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metadata.xml" ContentType="application/vnd.openxmlformats-officedocument.spreadsheetml.sheetMetadata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docProps/app.xml" ContentType="application/vnd.openxmlformats-officedocument.extended-properties+xml"/>
  <Override PartName="/xl/ctrlProps/ctrlProp7.xml" ContentType="application/vnd.ms-excel.controlproperties+xml"/>
  <Override PartName="/xl/ctrlProps/ctrlProp6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ctrlProps/ctrlProp8.xml" ContentType="application/vnd.ms-excel.controlproperties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/>
  <xr:revisionPtr revIDLastSave="181" documentId="8_{C0A131B2-7ADA-4531-9F40-02485321C8C6}" xr6:coauthVersionLast="47" xr6:coauthVersionMax="47" xr10:uidLastSave="{5727738A-A30A-4C20-9E15-8FCCFFAEFD6E}"/>
  <bookViews>
    <workbookView xWindow="-28920" yWindow="-1290" windowWidth="29040" windowHeight="15720" tabRatio="970" xr2:uid="{5B6F6CCF-8697-4000-9CED-309E05F1A931}"/>
  </bookViews>
  <sheets>
    <sheet name="Disclaimer" sheetId="70" r:id="rId1"/>
    <sheet name="Summary" sheetId="66" r:id="rId2"/>
    <sheet name="DFs" sheetId="60" r:id="rId3"/>
    <sheet name="Usos e fontes" sheetId="80" r:id="rId4"/>
    <sheet name="Inputs" sheetId="24" r:id="rId5"/>
    <sheet name="Ops" sheetId="59" r:id="rId6"/>
    <sheet name="Debt" sheetId="63" r:id="rId7"/>
    <sheet name="NPV, TIR e Payback" sheetId="68" r:id="rId8"/>
    <sheet name="Value for Money (VfM)" sheetId="73" r:id="rId9"/>
    <sheet name="WACC" sheetId="100" r:id="rId10"/>
    <sheet name="Flags" sheetId="46" r:id="rId11"/>
    <sheet name="Sensitivity" sheetId="71" r:id="rId12"/>
    <sheet name="Macro" sheetId="56" r:id="rId13"/>
    <sheet name="SETUP" sheetId="11" r:id="rId14"/>
    <sheet name="CHECKS" sheetId="58" r:id="rId15"/>
    <sheet name="Suporte Cliente -&gt;" sheetId="75" r:id="rId16"/>
    <sheet name="CAPEX" sheetId="79" r:id="rId17"/>
    <sheet name="OPEX" sheetId="95" r:id="rId18"/>
    <sheet name="CAPEX - Imobilizado fiscal" sheetId="89" r:id="rId19"/>
    <sheet name="EPIs_unif." sheetId="98" r:id="rId20"/>
    <sheet name="Insumos" sheetId="96" r:id="rId21"/>
    <sheet name="Sal._benef." sheetId="97" r:id="rId22"/>
  </sheets>
  <definedNames>
    <definedName name="___________NEW2" localSheetId="17" hidden="1">{"'RATEIO RECEITA BRUTA'!$B$77:$C$106"}</definedName>
    <definedName name="___________NEW2" localSheetId="9" hidden="1">{"'RATEIO RECEITA BRUTA'!$B$77:$C$106"}</definedName>
    <definedName name="___________NEW2" hidden="1">{"'RATEIO RECEITA BRUTA'!$B$77:$C$106"}</definedName>
    <definedName name="_________x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_____x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_____x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____JAN0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___JAN0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___JAN0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__x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___x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___x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__JAN0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_JAN0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_JAN0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ago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___ago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___ago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___JAN0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1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1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1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1_1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1_1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1_1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1_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1_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1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2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2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2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3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3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3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3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3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3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4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4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4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5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5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1_5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2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2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2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3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3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3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3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3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3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4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4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4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5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5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1_5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2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2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2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3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3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3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4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4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4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5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5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1_5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2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2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2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3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3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3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4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4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4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5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5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JAN02_5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p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p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p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_x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_x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_x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adm1" localSheetId="17" hidden="1">{"'Índice'!$A$1:$K$49"}</definedName>
    <definedName name="____adm1" localSheetId="9" hidden="1">{"'Índice'!$A$1:$K$49"}</definedName>
    <definedName name="____adm1" hidden="1">{"'Índice'!$A$1:$K$49"}</definedName>
    <definedName name="____adm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adm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ago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__ago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__ago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__JAN0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JAN0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JAN0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x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1_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1_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1_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1_2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1_2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1_2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2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2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2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2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2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2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3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3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3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3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3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3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4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4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4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5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5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1_5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2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2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2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2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2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2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3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3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3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3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3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3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4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4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4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5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5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1_5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2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2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2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2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2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2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3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3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3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4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4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4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5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5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1_5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2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2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2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2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2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2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3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3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3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4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4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4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5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5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_5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ACC2" localSheetId="9" hidden="1">#REF!</definedName>
    <definedName name="___ACC2" hidden="1">#REF!</definedName>
    <definedName name="___adm1" localSheetId="17" hidden="1">{"'Índice'!$A$1:$K$49"}</definedName>
    <definedName name="___adm1" localSheetId="9" hidden="1">{"'Índice'!$A$1:$K$49"}</definedName>
    <definedName name="___adm1" hidden="1">{"'Índice'!$A$1:$K$49"}</definedName>
    <definedName name="___adm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adm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ago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_ago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_ago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_JAN0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1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1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1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1_1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1_1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1_1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1_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1_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1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2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2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2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3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3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3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3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3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3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4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4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4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5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5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1_5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2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2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2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3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3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3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3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3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3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4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4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4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5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5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JAN02_5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thinkcellPDLM4DZHWAPEPH5A6BCJ66VLSE" hidden="1">#REF!</definedName>
    <definedName name="___x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1_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1_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1_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1_2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1_2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1_2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2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2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2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2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2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2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3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3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3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3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3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1_3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2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2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2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2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2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2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3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3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3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4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4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4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5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5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_5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lfn.IFERROR" hidden="1">#NAME?</definedName>
    <definedName name="___xlfn.RTD" hidden="1">#NAME?</definedName>
    <definedName name="__123Graph_A" localSheetId="9" hidden="1">#REF!</definedName>
    <definedName name="__123Graph_A" hidden="1">#REF!</definedName>
    <definedName name="__123Graph_ACurrent" localSheetId="9" hidden="1">#REF!</definedName>
    <definedName name="__123Graph_ACurrent" hidden="1">#REF!</definedName>
    <definedName name="__123Graph_AGraph10" localSheetId="9" hidden="1">#REF!</definedName>
    <definedName name="__123Graph_AGraph10" hidden="1">#REF!</definedName>
    <definedName name="__123Graph_AGraph11" localSheetId="9" hidden="1">#REF!</definedName>
    <definedName name="__123Graph_AGraph11" hidden="1">#REF!</definedName>
    <definedName name="__123Graph_AGraph12" localSheetId="9" hidden="1">#REF!</definedName>
    <definedName name="__123Graph_AGraph12" hidden="1">#REF!</definedName>
    <definedName name="__123Graph_AGraph2" localSheetId="9" hidden="1">#REF!</definedName>
    <definedName name="__123Graph_AGraph2" hidden="1">#REF!</definedName>
    <definedName name="__123Graph_AGraph3" localSheetId="9" hidden="1">#REF!</definedName>
    <definedName name="__123Graph_AGraph3" hidden="1">#REF!</definedName>
    <definedName name="__123Graph_AGraph4" localSheetId="9" hidden="1">#REF!</definedName>
    <definedName name="__123Graph_AGraph4" hidden="1">#REF!</definedName>
    <definedName name="__123Graph_AGraph5" localSheetId="9" hidden="1">#REF!</definedName>
    <definedName name="__123Graph_AGraph5" hidden="1">#REF!</definedName>
    <definedName name="__123Graph_AGraph6" localSheetId="9" hidden="1">#REF!</definedName>
    <definedName name="__123Graph_AGraph6" hidden="1">#REF!</definedName>
    <definedName name="__123Graph_AGraph7" localSheetId="9" hidden="1">#REF!</definedName>
    <definedName name="__123Graph_AGraph7" hidden="1">#REF!</definedName>
    <definedName name="__123Graph_AGraph8" localSheetId="9" hidden="1">#REF!</definedName>
    <definedName name="__123Graph_AGraph8" hidden="1">#REF!</definedName>
    <definedName name="__123Graph_AGraph9" localSheetId="9" hidden="1">#REF!</definedName>
    <definedName name="__123Graph_AGraph9" hidden="1">#REF!</definedName>
    <definedName name="__123Graph_ASIDECO" localSheetId="9" hidden="1">#REF!</definedName>
    <definedName name="__123Graph_ASIDECO" hidden="1">#REF!</definedName>
    <definedName name="__123Graph_B" localSheetId="9" hidden="1">#REF!</definedName>
    <definedName name="__123Graph_B" hidden="1">#REF!</definedName>
    <definedName name="__123Graph_BCurrent" localSheetId="9" hidden="1">#REF!</definedName>
    <definedName name="__123Graph_BCurrent" hidden="1">#REF!</definedName>
    <definedName name="__123Graph_BGraph10" localSheetId="9" hidden="1">#REF!</definedName>
    <definedName name="__123Graph_BGraph10" hidden="1">#REF!</definedName>
    <definedName name="__123Graph_BGraph11" localSheetId="9" hidden="1">#REF!</definedName>
    <definedName name="__123Graph_BGraph11" hidden="1">#REF!</definedName>
    <definedName name="__123Graph_BGraph12" localSheetId="9" hidden="1">#REF!</definedName>
    <definedName name="__123Graph_BGraph12" hidden="1">#REF!</definedName>
    <definedName name="__123Graph_BGraph2" localSheetId="9" hidden="1">#REF!</definedName>
    <definedName name="__123Graph_BGraph2" hidden="1">#REF!</definedName>
    <definedName name="__123Graph_BGraph3" localSheetId="9" hidden="1">#REF!</definedName>
    <definedName name="__123Graph_BGraph3" hidden="1">#REF!</definedName>
    <definedName name="__123Graph_BGraph4" localSheetId="9" hidden="1">#REF!</definedName>
    <definedName name="__123Graph_BGraph4" hidden="1">#REF!</definedName>
    <definedName name="__123Graph_BGraph5" localSheetId="9" hidden="1">#REF!</definedName>
    <definedName name="__123Graph_BGraph5" hidden="1">#REF!</definedName>
    <definedName name="__123Graph_BGraph6" localSheetId="9" hidden="1">#REF!</definedName>
    <definedName name="__123Graph_BGraph6" hidden="1">#REF!</definedName>
    <definedName name="__123Graph_BGraph7" localSheetId="9" hidden="1">#REF!</definedName>
    <definedName name="__123Graph_BGraph7" hidden="1">#REF!</definedName>
    <definedName name="__123Graph_BGraph8" localSheetId="9" hidden="1">#REF!</definedName>
    <definedName name="__123Graph_BGraph8" hidden="1">#REF!</definedName>
    <definedName name="__123Graph_BGraph9" localSheetId="9" hidden="1">#REF!</definedName>
    <definedName name="__123Graph_BGraph9" hidden="1">#REF!</definedName>
    <definedName name="__123Graph_BSIDECO" localSheetId="9" hidden="1">#REF!</definedName>
    <definedName name="__123Graph_BSIDECO" hidden="1">#REF!</definedName>
    <definedName name="__123Graph_C" localSheetId="9" hidden="1">#REF!</definedName>
    <definedName name="__123Graph_C" hidden="1">#REF!</definedName>
    <definedName name="__123Graph_CCurrent" localSheetId="9" hidden="1">#REF!</definedName>
    <definedName name="__123Graph_CCurrent" hidden="1">#REF!</definedName>
    <definedName name="__123Graph_CSIDECO" localSheetId="9" hidden="1">#REF!</definedName>
    <definedName name="__123Graph_CSIDECO" hidden="1">#REF!</definedName>
    <definedName name="__123Graph_D" localSheetId="9" hidden="1">#REF!</definedName>
    <definedName name="__123Graph_D" hidden="1">#REF!</definedName>
    <definedName name="__123Graph_DCurrent" localSheetId="9" hidden="1">#REF!</definedName>
    <definedName name="__123Graph_DCurrent" hidden="1">#REF!</definedName>
    <definedName name="__123Graph_E" localSheetId="9" hidden="1">#REF!</definedName>
    <definedName name="__123Graph_E" hidden="1">#REF!</definedName>
    <definedName name="__123Graph_ECurrent" localSheetId="9" hidden="1">#REF!</definedName>
    <definedName name="__123Graph_ECurrent" hidden="1">#REF!</definedName>
    <definedName name="__123Graph_FCurrent" localSheetId="9" hidden="1">#REF!</definedName>
    <definedName name="__123Graph_FCurrent" hidden="1">#REF!</definedName>
    <definedName name="__123Graph_X" localSheetId="9" hidden="1">#REF!</definedName>
    <definedName name="__123Graph_X" hidden="1">#REF!</definedName>
    <definedName name="__123Graph_XGraph10" localSheetId="9" hidden="1">#REF!</definedName>
    <definedName name="__123Graph_XGraph10" hidden="1">#REF!</definedName>
    <definedName name="__123Graph_XGraph11" localSheetId="9" hidden="1">#REF!</definedName>
    <definedName name="__123Graph_XGraph11" hidden="1">#REF!</definedName>
    <definedName name="__123Graph_XGraph12" localSheetId="9" hidden="1">#REF!</definedName>
    <definedName name="__123Graph_XGraph12" hidden="1">#REF!</definedName>
    <definedName name="__123Graph_XGraph2" localSheetId="9" hidden="1">#REF!</definedName>
    <definedName name="__123Graph_XGraph2" hidden="1">#REF!</definedName>
    <definedName name="__123Graph_XGraph3" localSheetId="9" hidden="1">#REF!</definedName>
    <definedName name="__123Graph_XGraph3" hidden="1">#REF!</definedName>
    <definedName name="__123Graph_XGraph4" localSheetId="9" hidden="1">#REF!</definedName>
    <definedName name="__123Graph_XGraph4" hidden="1">#REF!</definedName>
    <definedName name="__123Graph_XGraph5" localSheetId="9" hidden="1">#REF!</definedName>
    <definedName name="__123Graph_XGraph5" hidden="1">#REF!</definedName>
    <definedName name="__123Graph_XGraph6" localSheetId="9" hidden="1">#REF!</definedName>
    <definedName name="__123Graph_XGraph6" hidden="1">#REF!</definedName>
    <definedName name="__123Graph_XGraph7" localSheetId="9" hidden="1">#REF!</definedName>
    <definedName name="__123Graph_XGraph7" hidden="1">#REF!</definedName>
    <definedName name="__123Graph_XGraph8" localSheetId="9" hidden="1">#REF!</definedName>
    <definedName name="__123Graph_XGraph8" hidden="1">#REF!</definedName>
    <definedName name="__123Graph_XGraph9" localSheetId="9" hidden="1">#REF!</definedName>
    <definedName name="__123Graph_XGraph9" hidden="1">#REF!</definedName>
    <definedName name="__123Graph_XSIDECO" localSheetId="9" hidden="1">#REF!</definedName>
    <definedName name="__123Graph_XSIDECO" hidden="1">#REF!</definedName>
    <definedName name="__adm1" localSheetId="17" hidden="1">{"'Índice'!$A$1:$K$49"}</definedName>
    <definedName name="__adm1" localSheetId="9" hidden="1">{"'Índice'!$A$1:$K$49"}</definedName>
    <definedName name="__adm1" hidden="1">{"'Índice'!$A$1:$K$49"}</definedName>
    <definedName name="__adm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adm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ago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1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1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1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ago1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_FDS_HYPERLINK_TOGGLE_STATE__" hidden="1">"ON"</definedName>
    <definedName name="__IntlFixup" hidden="1">TRUE</definedName>
    <definedName name="__JAN0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1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1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1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1_1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1_1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1_1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1_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1_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1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2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2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2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3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3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3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3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3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3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4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4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4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5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5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1_5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2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2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2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3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3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3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3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3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3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4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4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4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5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5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1_5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2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2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2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3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3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3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4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4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4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5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5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1_5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2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2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2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3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3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3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4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4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4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5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5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02_5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x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1_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1_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1_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1_2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1_2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1_2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2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2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2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2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2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2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3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3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3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3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3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3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4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4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4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5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5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1_5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2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2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2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2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2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2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3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3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3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3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3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3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4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4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4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5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5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1_5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2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2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2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2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2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2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3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3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3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4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4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4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5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5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1_5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2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2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2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2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2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2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3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3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3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4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4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4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5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5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_5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lfn.BAHTTEXT" hidden="1">#NAME?</definedName>
    <definedName name="__xlfn.IFERROR" hidden="1">#NAME?</definedName>
    <definedName name="__xlfn.RTD" hidden="1">#NAME?</definedName>
    <definedName name="_1__123Graph_ACHART_1" localSheetId="9" hidden="1">#REF!</definedName>
    <definedName name="_1__123Graph_ACHART_1" hidden="1">#REF!</definedName>
    <definedName name="_10__123Graph_BCHART_9" localSheetId="9" hidden="1">#REF!</definedName>
    <definedName name="_10__123Graph_BCHART_9" hidden="1">#REF!</definedName>
    <definedName name="_11__123Graph_LBL_ACHART_2" localSheetId="9" hidden="1">#REF!</definedName>
    <definedName name="_11__123Graph_LBL_ACHART_2" hidden="1">#REF!</definedName>
    <definedName name="_12__123Graph_LBL_ACHART_3" localSheetId="9" hidden="1">#REF!</definedName>
    <definedName name="_12__123Graph_LBL_ACHART_3" hidden="1">#REF!</definedName>
    <definedName name="_13__123Graph_LBL_ACHART_7" localSheetId="9" hidden="1">#REF!</definedName>
    <definedName name="_13__123Graph_LBL_ACHART_7" hidden="1">#REF!</definedName>
    <definedName name="_14__123Graph_LBL_ACHART_8" localSheetId="9" hidden="1">#REF!</definedName>
    <definedName name="_14__123Graph_LBL_ACHART_8" hidden="1">#REF!</definedName>
    <definedName name="_15__123Graph_LBL_BCHART_2" localSheetId="9" hidden="1">#REF!</definedName>
    <definedName name="_15__123Graph_LBL_BCHART_2" hidden="1">#REF!</definedName>
    <definedName name="_16__123Graph_LBL_BCHART_3" localSheetId="9" hidden="1">#REF!</definedName>
    <definedName name="_16__123Graph_LBL_BCHART_3" hidden="1">#REF!</definedName>
    <definedName name="_17__123Graph_XCHART_3" localSheetId="9" hidden="1">#REF!</definedName>
    <definedName name="_17__123Graph_XCHART_3" hidden="1">#REF!</definedName>
    <definedName name="_18__123Graph_XCHART_8" localSheetId="9" hidden="1">#REF!</definedName>
    <definedName name="_18__123Graph_XCHART_8" hidden="1">#REF!</definedName>
    <definedName name="_19__123Graph_XCHART_9" localSheetId="9" hidden="1">#REF!</definedName>
    <definedName name="_19__123Graph_XCHART_9" hidden="1">#REF!</definedName>
    <definedName name="_2__123Graph_ACHART_2" localSheetId="9" hidden="1">#REF!</definedName>
    <definedName name="_2__123Graph_ACHART_2" hidden="1">#REF!</definedName>
    <definedName name="_20_3Graph_LBL_ACHART_3_ƙ믰Ł__랴Ł_________耀_______123Gra" localSheetId="9" hidden="1">#REF!</definedName>
    <definedName name="_20_3Graph_LBL_ACHART_3_ƙ믰Ł__랴Ł_________耀_______123Gra" hidden="1">#REF!</definedName>
    <definedName name="_3__123Graph_ACHART_3" localSheetId="9" hidden="1">#REF!</definedName>
    <definedName name="_3__123Graph_ACHART_3" hidden="1">#REF!</definedName>
    <definedName name="_4__123Graph_ACHART_7" localSheetId="9" hidden="1">#REF!</definedName>
    <definedName name="_4__123Graph_ACHART_7" hidden="1">#REF!</definedName>
    <definedName name="_5__123Graph_ACHART_8" localSheetId="9" hidden="1">#REF!</definedName>
    <definedName name="_5__123Graph_ACHART_8" hidden="1">#REF!</definedName>
    <definedName name="_6__123Graph_ACHART_9" localSheetId="9" hidden="1">#REF!</definedName>
    <definedName name="_6__123Graph_ACHART_9" hidden="1">#REF!</definedName>
    <definedName name="_7__123Graph_BCHART_1" localSheetId="9" hidden="1">#REF!</definedName>
    <definedName name="_7__123Graph_BCHART_1" hidden="1">#REF!</definedName>
    <definedName name="_8__123Graph_BCHART_2" localSheetId="9" hidden="1">#REF!</definedName>
    <definedName name="_8__123Graph_BCHART_2" hidden="1">#REF!</definedName>
    <definedName name="_9__123Graph_BCHART_3" localSheetId="9" hidden="1">#REF!</definedName>
    <definedName name="_9__123Graph_BCHART_3" hidden="1">#REF!</definedName>
    <definedName name="_ACC2" localSheetId="9" hidden="1">#REF!</definedName>
    <definedName name="_ACC2" hidden="1">#REF!</definedName>
    <definedName name="_adm1" localSheetId="17" hidden="1">{"'Índice'!$A$1:$K$49"}</definedName>
    <definedName name="_adm1" localSheetId="9" hidden="1">{"'Índice'!$A$1:$K$49"}</definedName>
    <definedName name="_adm1" hidden="1">{"'Índice'!$A$1:$K$49"}</definedName>
    <definedName name="_adm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adm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ago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1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ago1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_bdm.3F011716051B4FEEAD434DAF7429A66C.edm" hidden="1">#REF!</definedName>
    <definedName name="_bdm.88CC4E1D12694638BB763E7B3B3E920B.edm" localSheetId="9" hidden="1">#REF!</definedName>
    <definedName name="_bdm.88CC4E1D12694638BB763E7B3B3E920B.edm" hidden="1">#REF!</definedName>
    <definedName name="_bdm.E8CF0219824446BFB78BED17CACAE78D.edm" localSheetId="9" hidden="1">#REF!</definedName>
    <definedName name="_bdm.E8CF0219824446BFB78BED17CACAE78D.edm" hidden="1">#REF!</definedName>
    <definedName name="_BLA1" hidden="1">"SRVEXACT;041;marleen;0"</definedName>
    <definedName name="_D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D4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D5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D6">{0;0;0;0;9;#N/A;0.75;0.75;1;1;1;FALSE;FALSE;FALSE;FALSE;FALSE;#N/A;1;100;#N/A;#N/A;"&amp;A";"Page &amp;P"}</definedName>
    <definedName name="_D7">{0;0;0;0;9;#N/A;0.75;0.75;1;1;1;FALSE;FALSE;FALSE;FALSE;FALSE;#N/A;1;100;#N/A;#N/A;"&amp;A";"Page &amp;P"}</definedName>
    <definedName name="_D8">{0;0;0;0;9;#N/A;0.75;0.75;1;1;1;FALSE;FALSE;FALSE;FALSE;FALSE;#N/A;1;100;#N/A;#N/A;"&amp;A";"Page &amp;P"}</definedName>
    <definedName name="_Dist_Bin" hidden="1">#REF!</definedName>
    <definedName name="_Dist_Values" localSheetId="9" hidden="1">#REF!</definedName>
    <definedName name="_Dist_Values" hidden="1">#REF!</definedName>
    <definedName name="_Fill" localSheetId="9" hidden="1">#REF!</definedName>
    <definedName name="_Fill" hidden="1">#REF!</definedName>
    <definedName name="_xlnm._FilterDatabase" localSheetId="6" hidden="1">Debt!$A$1:$A$3</definedName>
    <definedName name="_xlnm._FilterDatabase" localSheetId="2" hidden="1">DFs!$A$1:$A$4</definedName>
    <definedName name="_xlnm._FilterDatabase" localSheetId="10" hidden="1">Flags!$A$1:$A$2</definedName>
    <definedName name="_xlnm._FilterDatabase" localSheetId="7" hidden="1">'NPV, TIR e Payback'!$A$1:$A$3</definedName>
    <definedName name="_xlnm._FilterDatabase" localSheetId="17" hidden="1">OPEX!$B$3:$AF$1754</definedName>
    <definedName name="_xlnm._FilterDatabase" localSheetId="5" hidden="1">Ops!$A$1:$A$3</definedName>
    <definedName name="_xlnm._FilterDatabase" localSheetId="8" hidden="1">'Value for Money (VfM)'!$A$1:$A$3</definedName>
    <definedName name="_xlnm._FilterDatabase" localSheetId="9" hidden="1">#REF!</definedName>
    <definedName name="_xlnm._FilterDatabase" hidden="1">#REF!</definedName>
    <definedName name="_JAN0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1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1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1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1_1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1_1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1_1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1_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1_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1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2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2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2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3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3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3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3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3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3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4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4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4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5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5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1_5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2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2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2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3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3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3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3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3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3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4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4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4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5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5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02_5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Key1" hidden="1">#REF!</definedName>
    <definedName name="_Key2" localSheetId="9" hidden="1">#REF!</definedName>
    <definedName name="_Key2" hidden="1">#REF!</definedName>
    <definedName name="_MatInverse_In" localSheetId="9" hidden="1">#REF!</definedName>
    <definedName name="_MatInverse_In" hidden="1">#REF!</definedName>
    <definedName name="_NEW2" localSheetId="17" hidden="1">{"'RATEIO RECEITA BRUTA'!$B$77:$C$106"}</definedName>
    <definedName name="_NEW2" localSheetId="9" hidden="1">{"'RATEIO RECEITA BRUTA'!$B$77:$C$106"}</definedName>
    <definedName name="_NEW2" hidden="1">{"'RATEIO RECEITA BRUTA'!$B$77:$C$106"}</definedName>
    <definedName name="_Order1" hidden="1">255</definedName>
    <definedName name="_Order2" hidden="1">255</definedName>
    <definedName name="_qe1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qe10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qe11">{0;0;0;0;9;#N/A;0.75;0.75;1;1;1;FALSE;FALSE;FALSE;FALSE;FALSE;#N/A;1;100;#N/A;#N/A;"&amp;A";"Page &amp;P"}</definedName>
    <definedName name="_qe2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qe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qe4">{0;0;0;0;9;#N/A;0.75;0.75;1;1;1;FALSE;FALSE;FALSE;FALSE;FALSE;#N/A;1;100;#N/A;#N/A;"&amp;A";"Page &amp;P"}</definedName>
    <definedName name="_qe5">{0;0;0;0;9;#N/A;0.75;0.75;1;1;1;FALSE;FALSE;FALSE;FALSE;FALSE;#N/A;1;100;#N/A;#N/A;"&amp;A";"Page &amp;P"}</definedName>
    <definedName name="_qe6">{0;0;0;0;9;#N/A;0.75;0.75;1;1;1;FALSE;FALSE;FALSE;FALSE;FALSE;#N/A;1;100;#N/A;#N/A;"&amp;A";"Page &amp;P"}</definedName>
    <definedName name="_qe7">{0;0;0;0;1;#N/A;0.5;0.5;0.75;0.75;2;TRUE;TRUE;FALSE;FALSE;FALSE;#N/A;1;56;#N/A;#N/A;"&amp;L&amp;7 RAMIBD05\GROUPS\EMG\DESOUSA\BRAZIL\MACHADIB\MODEL\MODEL_20.XLS -- &amp;D, &amp;T -- Page 7 of 9
Machadinho Project
&amp;R&amp;""Arial,Italic""Confidential";"&amp;L&amp;F&amp;A&amp;RPage 7"}</definedName>
    <definedName name="_qe8">{0;0;0;0;1;#N/A;0.5;0.5;0.75;0.75;2;TRUE;TRUE;FALSE;FALSE;FALSE;#N/A;1;56;#N/A;#N/A;"&amp;L&amp;7 RAMIBD05\GROUPS\EMG\DESOUSA\BRAZIL\MACHADIB\MODEL\MODEL_20.XLS -- &amp;D, &amp;T -- Page 8 of 9
Machadinho Project
&amp;R&amp;""Arial,Italic""Confidential";"&amp;L&amp;F&amp;A&amp;RPage 8"}</definedName>
    <definedName name="_qe9">{0;0;0;0;258;#N/A;0.75;0.75;1;1;2;FALSE;FALSE;FALSE;FALSE;FALSE;#N/A;1;#N/A;1;1;"&amp;A";"Page &amp;P"}</definedName>
    <definedName name="_qw1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qw2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qw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Regression_Int" hidden="1">1</definedName>
    <definedName name="_Regression_Out" hidden="1">#REF!</definedName>
    <definedName name="_Regression_X" localSheetId="9" hidden="1">#REF!</definedName>
    <definedName name="_Regression_X" hidden="1">#REF!</definedName>
    <definedName name="_Regression_Y" localSheetId="9" hidden="1">#REF!</definedName>
    <definedName name="_Regression_Y" hidden="1">#REF!</definedName>
    <definedName name="_Report">0</definedName>
    <definedName name="_Sort" localSheetId="9" hidden="1">#REF!</definedName>
    <definedName name="_Sort" hidden="1">#REF!</definedName>
    <definedName name="_Table1_In1" localSheetId="9" hidden="1">#REF!</definedName>
    <definedName name="_Table1_In1" hidden="1">#REF!</definedName>
    <definedName name="_Table1_Out" localSheetId="9" hidden="1">#REF!</definedName>
    <definedName name="_Table1_Out" hidden="1">#REF!</definedName>
    <definedName name="_Table2_In1" localSheetId="9" hidden="1">#REF!</definedName>
    <definedName name="_Table2_In1" hidden="1">#REF!</definedName>
    <definedName name="_Table2_In2" localSheetId="9" hidden="1">#REF!</definedName>
    <definedName name="_Table2_In2" hidden="1">#REF!</definedName>
    <definedName name="_Table2_Out" localSheetId="9" hidden="1">#REF!</definedName>
    <definedName name="_Table2_Out" hidden="1">#REF!</definedName>
    <definedName name="_Table3_In2" localSheetId="9" hidden="1">#REF!</definedName>
    <definedName name="_Table3_In2" hidden="1">#REF!</definedName>
    <definedName name="_Table3_Out" localSheetId="9" hidden="1">#REF!</definedName>
    <definedName name="_Table3_Out" hidden="1">#REF!</definedName>
    <definedName name="_wq1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wq10">{0;0;0;0;258;#N/A;0.75;0.75;1;1;2;FALSE;FALSE;FALSE;FALSE;FALSE;#N/A;1;#N/A;1;1;"&amp;A";"Page &amp;P"}</definedName>
    <definedName name="_wq11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wq12">{0;0;0;0;9;#N/A;0.75;0.75;1;1;1;FALSE;FALSE;FALSE;FALSE;FALSE;#N/A;1;100;#N/A;#N/A;"&amp;A";"Page &amp;P"}</definedName>
    <definedName name="_wq2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wq3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wq4">{0;0;0;0;9;#N/A;0.75;0.75;1;1;1;FALSE;FALSE;FALSE;FALSE;FALSE;#N/A;1;100;#N/A;#N/A;"&amp;A";"Page &amp;P"}</definedName>
    <definedName name="_wq5">{0;0;0;0;9;#N/A;0.75;0.75;1;1;1;FALSE;FALSE;FALSE;FALSE;FALSE;#N/A;1;100;#N/A;#N/A;"&amp;A";"Page &amp;P"}</definedName>
    <definedName name="_wq6">{0;0;0;0;9;#N/A;0.75;0.75;1;1;1;FALSE;FALSE;FALSE;FALSE;FALSE;#N/A;1;100;#N/A;#N/A;"&amp;A";"Page &amp;P"}</definedName>
    <definedName name="_wq7">{0;0;0;0;1;#N/A;0.5;0.5;0.75;0.75;2;TRUE;TRUE;FALSE;FALSE;FALSE;#N/A;1;56;#N/A;#N/A;"&amp;L&amp;7 RAMIBD05\GROUPS\EMG\DESOUSA\BRAZIL\MACHADIB\MODEL\MODEL_20.XLS -- &amp;D, &amp;T -- Page 7 of 9
Machadinho Project
&amp;R&amp;""Arial,Italic""Confidential";"&amp;L&amp;F&amp;A&amp;RPage 7"}</definedName>
    <definedName name="_wq8">{0;0;0;0;1;#N/A;0.5;0.5;0.75;0.75;2;TRUE;TRUE;FALSE;FALSE;FALSE;#N/A;1;56;#N/A;#N/A;"&amp;L&amp;7 RAMIBD05\GROUPS\EMG\DESOUSA\BRAZIL\MACHADIB\MODEL\MODEL_20.XLS -- &amp;D, &amp;T -- Page 8 of 9
Machadinho Project
&amp;R&amp;""Arial,Italic""Confidential";"&amp;L&amp;F&amp;A&amp;RPage 8"}</definedName>
    <definedName name="_x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1_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1_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1_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1_2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1_2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1_2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2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2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2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2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2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2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3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3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3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3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3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3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4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4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4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5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5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1_5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2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2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2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2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2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2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3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3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3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3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3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3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4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4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4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5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5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_5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Z1srAssp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Z2ndAssp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Z2srAssp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Z3rdassp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Z3reAssp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_ZBalance">{0;0;0;0;9;#N/A;0.75;0.75;1;1;1;FALSE;FALSE;FALSE;FALSE;FALSE;#N/A;1;100;#N/A;#N/A;"&amp;A";"Page &amp;P"}</definedName>
    <definedName name="_ZCash">{0;0;0;0;9;#N/A;0.75;0.75;1;1;1;FALSE;FALSE;FALSE;FALSE;FALSE;#N/A;1;100;#N/A;#N/A;"&amp;A";"Page &amp;P"}</definedName>
    <definedName name="_ZDebt">{0;0;0;0;9;#N/A;0.75;0.75;1;1;1;FALSE;FALSE;FALSE;FALSE;FALSE;#N/A;1;100;#N/A;#N/A;"&amp;A";"Page &amp;P"}</definedName>
    <definedName name="_Zdebt1">{0;0;0;0;1;#N/A;0.5;0.5;0.75;0.75;2;TRUE;TRUE;FALSE;FALSE;FALSE;#N/A;1;56;#N/A;#N/A;"&amp;L&amp;7 RAMIBD05\GROUPS\EMG\DESOUSA\BRAZIL\MACHADIB\MODEL\MODEL_20.XLS -- &amp;D, &amp;T -- Page 7 of 9
Machadinho Project
&amp;R&amp;""Arial,Italic""Confidential";"&amp;L&amp;F&amp;A&amp;RPage 7"}</definedName>
    <definedName name="_Zdebt2">{0;0;0;0;1;#N/A;0.5;0.5;0.75;0.75;2;TRUE;TRUE;FALSE;FALSE;FALSE;#N/A;1;56;#N/A;#N/A;"&amp;L&amp;7 RAMIBD05\GROUPS\EMG\DESOUSA\BRAZIL\MACHADIB\MODEL\MODEL_20.XLS -- &amp;D, &amp;T -- Page 8 of 9
Machadinho Project
&amp;R&amp;""Arial,Italic""Confidential";"&amp;L&amp;F&amp;A&amp;RPage 8"}</definedName>
    <definedName name="_ZDeprec.">{0;0;0;0;258;#N/A;0.75;0.75;1;1;2;FALSE;FALSE;FALSE;FALSE;FALSE;#N/A;1;#N/A;1;1;"&amp;A";"Page &amp;P"}</definedName>
    <definedName name="´´" hidden="1">#REF!</definedName>
    <definedName name="aaa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1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1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1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DOCTOPS" hidden="1">"AAA_SET"</definedName>
    <definedName name="AAA_duser" hidden="1">"OFF"</definedName>
    <definedName name="AAAAA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AAAAA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AAAAA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AAB_Addin5" hidden="1">"AAB_Description for addin 5,Description for addin 5,Description for addin 5,Description for addin 5,Description for addin 5,Description for addin 5"</definedName>
    <definedName name="AAB_GSPPG" hidden="1">"AAB_Goldman Sachs PPG Chart Utilities 1.0g"</definedName>
    <definedName name="AccessDatabase" hidden="1">"C:\Controle de Custos - SAP\CONTROLE DE RC E PC.mdb"</definedName>
    <definedName name="ADPOFJPDAFOK" localSheetId="17" hidden="1">{"'RATEIO RECEITA BRUTA'!$B$77:$C$106"}</definedName>
    <definedName name="ADPOFJPDAFOK" localSheetId="9" hidden="1">{"'RATEIO RECEITA BRUTA'!$B$77:$C$106"}</definedName>
    <definedName name="ADPOFJPDAFOK" hidden="1">{"'RATEIO RECEITA BRUTA'!$B$77:$C$106"}</definedName>
    <definedName name="aersf" hidden="1">#REF!</definedName>
    <definedName name="ago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1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s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s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s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LÍQUOTAS_DE_PRESUNÇÃO_IR_CSLL">" "</definedName>
    <definedName name="amortizaciones" localSheetId="1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mortizaciones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mortizac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nscount" hidden="1">7</definedName>
    <definedName name="_xlnm.Print_Area" localSheetId="6">Debt!$A$1:$AN$389</definedName>
    <definedName name="_xlnm.Print_Area" localSheetId="2">DFs!$A$1:$AJ$194</definedName>
    <definedName name="_xlnm.Print_Area" localSheetId="0">Disclaimer!$A:$H</definedName>
    <definedName name="_xlnm.Print_Area" localSheetId="10">Flags!$A$1:$AN$91</definedName>
    <definedName name="_xlnm.Print_Area" localSheetId="4">Inputs!$A$1:$AL$360</definedName>
    <definedName name="_xlnm.Print_Area" localSheetId="7">'NPV, TIR e Payback'!$A$1:$AN$76</definedName>
    <definedName name="_xlnm.Print_Area" localSheetId="5">Ops!$A$1:$AN$1119</definedName>
    <definedName name="_xlnm.Print_Area" localSheetId="1">Summary!$1:$68</definedName>
    <definedName name="_xlnm.Print_Area" localSheetId="3">'Usos e fontes'!$A$1:$AH$25</definedName>
    <definedName name="_xlnm.Print_Area" localSheetId="8">'Value for Money (VfM)'!$A$1:$AN$100</definedName>
    <definedName name="_xlnm.Print_Area" localSheetId="9">WACC!$A$1:$F$37</definedName>
    <definedName name="AS" hidden="1">#REF!</definedName>
    <definedName name="AS2DocOpenMode" hidden="1">"AS2DocumentEdit"</definedName>
    <definedName name="AS2HasNoAutoHeaderFooter" hidden="1">" "</definedName>
    <definedName name="AS2NamedRange" hidden="1">17</definedName>
    <definedName name="AS2ReportLS" hidden="1">1</definedName>
    <definedName name="AS2SyncStepLS" hidden="1">0</definedName>
    <definedName name="AS2VersionLS" hidden="1">300</definedName>
    <definedName name="asdadsad" hidden="1">#REF!</definedName>
    <definedName name="ASE" localSheetId="9" hidden="1">#REF!</definedName>
    <definedName name="ASE" hidden="1">#REF!</definedName>
    <definedName name="Assumptios2" localSheetId="17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Assumptios2" localSheetId="9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Assumptios2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ATI" localSheetId="9" hidden="1">#REF!</definedName>
    <definedName name="ATI" hidden="1">#REF!</definedName>
    <definedName name="Aumento_real" localSheetId="17">#REF!</definedName>
    <definedName name="Aumento_real">Inputs!$D$94</definedName>
    <definedName name="b">{0;0;0;0;9;#N/A;0.75;0.75;1;1;1;FALSE;FALSE;FALSE;FALSE;FALSE;#N/A;1;100;#N/A;#N/A;"&amp;A";"Page &amp;P"}</definedName>
    <definedName name="balance" localSheetId="1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ance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ance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BB" localSheetId="17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BBB" localSheetId="9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BBB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BG_Del" hidden="1">15</definedName>
    <definedName name="BG_Ins" hidden="1">4</definedName>
    <definedName name="BG_Mod" hidden="1">6</definedName>
    <definedName name="BLA" hidden="1">"SRVEXACT;030;marleen;0"</definedName>
    <definedName name="BLANK" localSheetId="17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" localSheetId="9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2" localSheetId="17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2" localSheetId="9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2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PH1" localSheetId="9" hidden="1">#REF!</definedName>
    <definedName name="BLPH1" hidden="1">#REF!</definedName>
    <definedName name="BLPH10" localSheetId="9" hidden="1">#REF!</definedName>
    <definedName name="BLPH10" hidden="1">#REF!</definedName>
    <definedName name="BLPH100" localSheetId="9" hidden="1">#REF!</definedName>
    <definedName name="BLPH100" hidden="1">#REF!</definedName>
    <definedName name="BLPH101" localSheetId="9" hidden="1">#REF!</definedName>
    <definedName name="BLPH101" hidden="1">#REF!</definedName>
    <definedName name="BLPH102" localSheetId="9" hidden="1">#REF!</definedName>
    <definedName name="BLPH102" hidden="1">#REF!</definedName>
    <definedName name="BLPH103" localSheetId="9" hidden="1">#REF!</definedName>
    <definedName name="BLPH103" hidden="1">#REF!</definedName>
    <definedName name="BLPH104" localSheetId="9" hidden="1">#REF!</definedName>
    <definedName name="BLPH104" hidden="1">#REF!</definedName>
    <definedName name="BLPH105" localSheetId="9" hidden="1">#REF!</definedName>
    <definedName name="BLPH105" hidden="1">#REF!</definedName>
    <definedName name="BLPH106" localSheetId="9" hidden="1">#REF!</definedName>
    <definedName name="BLPH106" hidden="1">#REF!</definedName>
    <definedName name="BLPH107" localSheetId="9" hidden="1">#REF!</definedName>
    <definedName name="BLPH107" hidden="1">#REF!</definedName>
    <definedName name="BLPH108" localSheetId="9" hidden="1">#REF!</definedName>
    <definedName name="BLPH108" hidden="1">#REF!</definedName>
    <definedName name="BLPH109" localSheetId="9" hidden="1">#REF!</definedName>
    <definedName name="BLPH109" hidden="1">#REF!</definedName>
    <definedName name="BLPH11" localSheetId="9" hidden="1">#REF!</definedName>
    <definedName name="BLPH11" hidden="1">#REF!</definedName>
    <definedName name="BLPH110" localSheetId="9" hidden="1">#REF!</definedName>
    <definedName name="BLPH110" hidden="1">#REF!</definedName>
    <definedName name="BLPH111" localSheetId="9" hidden="1">#REF!</definedName>
    <definedName name="BLPH111" hidden="1">#REF!</definedName>
    <definedName name="BLPH112" localSheetId="9" hidden="1">#REF!</definedName>
    <definedName name="BLPH112" hidden="1">#REF!</definedName>
    <definedName name="BLPH12" localSheetId="9" hidden="1">#REF!</definedName>
    <definedName name="BLPH12" hidden="1">#REF!</definedName>
    <definedName name="BLPH13" localSheetId="9" hidden="1">#REF!</definedName>
    <definedName name="BLPH13" hidden="1">#REF!</definedName>
    <definedName name="BLPH14" localSheetId="9" hidden="1">#REF!</definedName>
    <definedName name="BLPH14" hidden="1">#REF!</definedName>
    <definedName name="BLPH15" localSheetId="9" hidden="1">#REF!</definedName>
    <definedName name="BLPH15" hidden="1">#REF!</definedName>
    <definedName name="BLPH16" localSheetId="9" hidden="1">#REF!</definedName>
    <definedName name="BLPH16" hidden="1">#REF!</definedName>
    <definedName name="BLPH17" localSheetId="9" hidden="1">#REF!</definedName>
    <definedName name="BLPH17" hidden="1">#REF!</definedName>
    <definedName name="BLPH18" localSheetId="9" hidden="1">#REF!</definedName>
    <definedName name="BLPH18" hidden="1">#REF!</definedName>
    <definedName name="BLPH19" localSheetId="9" hidden="1">#REF!</definedName>
    <definedName name="BLPH19" hidden="1">#REF!</definedName>
    <definedName name="BLPH2" localSheetId="9" hidden="1">#REF!</definedName>
    <definedName name="BLPH2" hidden="1">#REF!</definedName>
    <definedName name="BLPH20" localSheetId="9" hidden="1">#REF!</definedName>
    <definedName name="BLPH20" hidden="1">#REF!</definedName>
    <definedName name="BLPH21" localSheetId="9" hidden="1">#REF!</definedName>
    <definedName name="BLPH21" hidden="1">#REF!</definedName>
    <definedName name="BLPH22" localSheetId="9" hidden="1">#REF!</definedName>
    <definedName name="BLPH22" hidden="1">#REF!</definedName>
    <definedName name="BLPH23" localSheetId="9" hidden="1">#REF!</definedName>
    <definedName name="BLPH23" hidden="1">#REF!</definedName>
    <definedName name="BLPH24" localSheetId="9" hidden="1">#REF!</definedName>
    <definedName name="BLPH24" hidden="1">#REF!</definedName>
    <definedName name="BLPH3" localSheetId="9" hidden="1">#REF!</definedName>
    <definedName name="BLPH3" hidden="1">#REF!</definedName>
    <definedName name="BLPH4" localSheetId="9" hidden="1">#REF!</definedName>
    <definedName name="BLPH4" hidden="1">#REF!</definedName>
    <definedName name="BLPH5" localSheetId="9" hidden="1">#REF!</definedName>
    <definedName name="BLPH5" hidden="1">#REF!</definedName>
    <definedName name="BLPH6" localSheetId="9" hidden="1">#REF!</definedName>
    <definedName name="BLPH6" hidden="1">#REF!</definedName>
    <definedName name="BLPH7" localSheetId="9" hidden="1">#REF!</definedName>
    <definedName name="BLPH7" hidden="1">#REF!</definedName>
    <definedName name="BLPH74" localSheetId="9" hidden="1">#REF!</definedName>
    <definedName name="BLPH74" hidden="1">#REF!</definedName>
    <definedName name="BLPH75" localSheetId="9" hidden="1">#REF!</definedName>
    <definedName name="BLPH75" hidden="1">#REF!</definedName>
    <definedName name="BLPH76" localSheetId="9" hidden="1">#REF!</definedName>
    <definedName name="BLPH76" hidden="1">#REF!</definedName>
    <definedName name="BLPH77" localSheetId="9" hidden="1">#REF!</definedName>
    <definedName name="BLPH77" hidden="1">#REF!</definedName>
    <definedName name="BLPH78" localSheetId="9" hidden="1">#REF!</definedName>
    <definedName name="BLPH78" hidden="1">#REF!</definedName>
    <definedName name="BLPH79" localSheetId="9" hidden="1">#REF!</definedName>
    <definedName name="BLPH79" hidden="1">#REF!</definedName>
    <definedName name="BLPH8" localSheetId="9" hidden="1">#REF!</definedName>
    <definedName name="BLPH8" hidden="1">#REF!</definedName>
    <definedName name="BLPH80" localSheetId="9" hidden="1">#REF!</definedName>
    <definedName name="BLPH80" hidden="1">#REF!</definedName>
    <definedName name="BLPH81" localSheetId="9" hidden="1">#REF!</definedName>
    <definedName name="BLPH81" hidden="1">#REF!</definedName>
    <definedName name="BLPH82" localSheetId="9" hidden="1">#REF!</definedName>
    <definedName name="BLPH82" hidden="1">#REF!</definedName>
    <definedName name="BLPH83" localSheetId="9" hidden="1">#REF!</definedName>
    <definedName name="BLPH83" hidden="1">#REF!</definedName>
    <definedName name="BLPH84" localSheetId="9" hidden="1">#REF!</definedName>
    <definedName name="BLPH84" hidden="1">#REF!</definedName>
    <definedName name="BLPH85" localSheetId="9" hidden="1">#REF!</definedName>
    <definedName name="BLPH85" hidden="1">#REF!</definedName>
    <definedName name="BLPH86" localSheetId="9" hidden="1">#REF!</definedName>
    <definedName name="BLPH86" hidden="1">#REF!</definedName>
    <definedName name="BLPH87" localSheetId="9" hidden="1">#REF!</definedName>
    <definedName name="BLPH87" hidden="1">#REF!</definedName>
    <definedName name="BLPH88" localSheetId="9" hidden="1">#REF!</definedName>
    <definedName name="BLPH88" hidden="1">#REF!</definedName>
    <definedName name="BLPH89" localSheetId="9" hidden="1">#REF!</definedName>
    <definedName name="BLPH89" hidden="1">#REF!</definedName>
    <definedName name="BLPH9" localSheetId="9" hidden="1">#REF!</definedName>
    <definedName name="BLPH9" hidden="1">#REF!</definedName>
    <definedName name="BLPH90" localSheetId="9" hidden="1">#REF!</definedName>
    <definedName name="BLPH90" hidden="1">#REF!</definedName>
    <definedName name="BLPH91" localSheetId="9" hidden="1">#REF!</definedName>
    <definedName name="BLPH91" hidden="1">#REF!</definedName>
    <definedName name="BLPH92" localSheetId="9" hidden="1">#REF!</definedName>
    <definedName name="BLPH92" hidden="1">#REF!</definedName>
    <definedName name="BLPH93" localSheetId="9" hidden="1">#REF!</definedName>
    <definedName name="BLPH93" hidden="1">#REF!</definedName>
    <definedName name="BLPH94" localSheetId="9" hidden="1">#REF!</definedName>
    <definedName name="BLPH94" hidden="1">#REF!</definedName>
    <definedName name="BLPH95" localSheetId="9" hidden="1">#REF!</definedName>
    <definedName name="BLPH95" hidden="1">#REF!</definedName>
    <definedName name="BLPH96" localSheetId="9" hidden="1">#REF!</definedName>
    <definedName name="BLPH96" hidden="1">#REF!</definedName>
    <definedName name="BLPH97" localSheetId="9" hidden="1">#REF!</definedName>
    <definedName name="BLPH97" hidden="1">#REF!</definedName>
    <definedName name="BLPH98" localSheetId="9" hidden="1">#REF!</definedName>
    <definedName name="BLPH98" hidden="1">#REF!</definedName>
    <definedName name="BLPH99" localSheetId="9" hidden="1">#REF!</definedName>
    <definedName name="BLPH99" hidden="1">#REF!</definedName>
    <definedName name="BLPI1" localSheetId="9" hidden="1">#REF!</definedName>
    <definedName name="BLPI1" hidden="1">#REF!</definedName>
    <definedName name="BLPI3" localSheetId="9" hidden="1">#REF!</definedName>
    <definedName name="BLPI3" hidden="1">#REF!</definedName>
    <definedName name="BLPI4" localSheetId="9" hidden="1">#REF!</definedName>
    <definedName name="BLPI4" hidden="1">#REF!</definedName>
    <definedName name="BLPI5" localSheetId="9" hidden="1">#REF!</definedName>
    <definedName name="BLPI5" hidden="1">#REF!</definedName>
    <definedName name="BROWN" localSheetId="17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ROWN" localSheetId="9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ROWN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CAPEX_Live" localSheetId="17">#REF!</definedName>
    <definedName name="CAPEX_Live">Macro!#REF!</definedName>
    <definedName name="CAPEX_Paste" localSheetId="17">#REF!</definedName>
    <definedName name="CAPEX_Paste">Macro!#REF!</definedName>
    <definedName name="CAPEX_Sens" localSheetId="17">#REF!</definedName>
    <definedName name="CAPEX_Sens">Sensitivity!$F$15</definedName>
    <definedName name="CAPEX_start">Sensitivity!$E$7</definedName>
    <definedName name="CBWorkbookPriority" hidden="1">-471789682</definedName>
    <definedName name="cc" localSheetId="17" hidden="1">{"'CONS'!$A$10:$N$62"}</definedName>
    <definedName name="cc" localSheetId="9" hidden="1">{"'CONS'!$A$10:$N$62"}</definedName>
    <definedName name="cc" hidden="1">{"'CONS'!$A$10:$N$62"}</definedName>
    <definedName name="cd">{0;0;0;0;1;#N/A;0.5;0.5;0.75;0.75;2;TRUE;TRUE;FALSE;FALSE;FALSE;#N/A;1;56;#N/A;#N/A;"&amp;L&amp;7 RAMIBD05\GROUPS\EMG\DESOUSA\BRAZIL\MACHADIB\MODEL\MODEL_20.XLS -- &amp;D, &amp;T -- Page 8 of 9
Machadinho Project
&amp;R&amp;""Arial,Italic""Confidential";"&amp;L&amp;F&amp;A&amp;RPage 8"}</definedName>
    <definedName name="Change" hidden="1">#N/A</definedName>
    <definedName name="Change2" hidden="1">#N/A</definedName>
    <definedName name="Change3" hidden="1">#N/A</definedName>
    <definedName name="Change4" hidden="1">#N/A</definedName>
    <definedName name="ChangeRange" hidden="1">#N/A</definedName>
    <definedName name="ChangeRange2" hidden="1">#N/A</definedName>
    <definedName name="Check" localSheetId="17">#REF!</definedName>
    <definedName name="Check">Macro!#REF!</definedName>
    <definedName name="CIQWBGuid" localSheetId="9" hidden="1">"0b87baad-d9c4-4bca-a083-46e215409d31"</definedName>
    <definedName name="CIQWBGuid" hidden="1">"0b87baad-d9c4-4bca-a083-46e215409d31"</definedName>
    <definedName name="circularização" hidden="1">"AS2DocumentBrowse"</definedName>
    <definedName name="cofi" hidden="1">15</definedName>
    <definedName name="comparativo" localSheetId="17" hidden="1">{#N/A,#N/A,FALSE,"Cronograma";#N/A,#N/A,FALSE,"Cronogr. 2"}</definedName>
    <definedName name="comparativo" localSheetId="9" hidden="1">{#N/A,#N/A,FALSE,"Cronograma";#N/A,#N/A,FALSE,"Cronogr. 2"}</definedName>
    <definedName name="comparativo" hidden="1">{#N/A,#N/A,FALSE,"Cronograma";#N/A,#N/A,FALSE,"Cronogr. 2"}</definedName>
    <definedName name="concorrentes" localSheetId="17" hidden="1">{#N/A,#N/A,FALSE,"Cronograma";#N/A,#N/A,FALSE,"Cronogr. 2"}</definedName>
    <definedName name="concorrentes" localSheetId="9" hidden="1">{#N/A,#N/A,FALSE,"Cronograma";#N/A,#N/A,FALSE,"Cronogr. 2"}</definedName>
    <definedName name="concorrentes" hidden="1">{#N/A,#N/A,FALSE,"Cronograma";#N/A,#N/A,FALSE,"Cronogr. 2"}</definedName>
    <definedName name="Cons_end" localSheetId="17">#REF!</definedName>
    <definedName name="Cons_end">Inputs!#REF!</definedName>
    <definedName name="Cons_start" localSheetId="17">#REF!</definedName>
    <definedName name="Cons_start">Inputs!$E$26</definedName>
    <definedName name="consolidado" localSheetId="17" hidden="1">{#N/A,#N/A,FALSE,"Cronograma";#N/A,#N/A,FALSE,"Cronogr. 2"}</definedName>
    <definedName name="consolidado" localSheetId="9" hidden="1">{#N/A,#N/A,FALSE,"Cronograma";#N/A,#N/A,FALSE,"Cronogr. 2"}</definedName>
    <definedName name="consolidado" hidden="1">{#N/A,#N/A,FALSE,"Cronograma";#N/A,#N/A,FALSE,"Cronogr. 2"}</definedName>
    <definedName name="CP" localSheetId="17">#REF!</definedName>
    <definedName name="CP">Inputs!$D$75</definedName>
    <definedName name="CP_Meta_macro">Macro!$F$16</definedName>
    <definedName name="CP_sens">Sensitivity!$E$6</definedName>
    <definedName name="Current" localSheetId="9" hidden="1">#REF!-1 &amp; "." &amp; MAX(1,COUNTA(INDEX(#REF!,MATCH(#REF!-1,#REF!,FALSE)):#REF!))</definedName>
    <definedName name="Current" hidden="1">#REF!-1 &amp; "." &amp; MAX(1,COUNTA(INDEX(#REF!,MATCH(#REF!-1,#REF!,FALSE)):#REF!))</definedName>
    <definedName name="d" localSheetId="17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d" localSheetId="9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d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dados" localSheetId="17" hidden="1">{TRUE,TRUE,-1.25,-15.5,484.5,278.25,FALSE,FALSE,TRUE,FALSE,0,1,#N/A,551,#N/A,5.92592592592593,22.5714285714286,1,FALSE,FALSE,3,TRUE,1,FALSE,100,"Swvu.AFAC.","ACwvu.AFAC.",#N/A,FALSE,FALSE,0,0,0,0,2,"","",FALSE,FALSE,FALSE,FALSE,1,90,#N/A,#N/A,"=R1C1:R650C11",FALSE,#N/A,#N/A,FALSE,FALSE,FALSE,1,65532,65532,FALSE,FALSE,TRUE,TRUE,TRUE}</definedName>
    <definedName name="dados" localSheetId="9" hidden="1">{TRUE,TRUE,-1.25,-15.5,484.5,278.25,FALSE,FALSE,TRUE,FALSE,0,1,#N/A,551,#N/A,5.92592592592593,22.5714285714286,1,FALSE,FALSE,3,TRUE,1,FALSE,100,"Swvu.AFAC.","ACwvu.AFAC.",#N/A,FALSE,FALSE,0,0,0,0,2,"","",FALSE,FALSE,FALSE,FALSE,1,90,#N/A,#N/A,"=R1C1:R650C11",FALSE,#N/A,#N/A,FALSE,FALSE,FALSE,1,65532,65532,FALSE,FALSE,TRUE,TRUE,TRUE}</definedName>
    <definedName name="dados" hidden="1">{TRUE,TRUE,-1.25,-15.5,484.5,278.25,FALSE,FALSE,TRUE,FALSE,0,1,#N/A,551,#N/A,5.92592592592593,22.5714285714286,1,FALSE,FALSE,3,TRUE,1,FALSE,100,"Swvu.AFAC.","ACwvu.AFAC.",#N/A,FALSE,FALSE,0,0,0,0,2,"","",FALSE,FALSE,FALSE,FALSE,1,90,#N/A,#N/A,"=R1C1:R650C11",FALSE,#N/A,#N/A,FALSE,FALSE,FALSE,1,65532,65532,FALSE,FALSE,TRUE,TRUE,TRUE}</definedName>
    <definedName name="DANIEL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DANIEL2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Days_month">SETUP!$E$14</definedName>
    <definedName name="Days_yr" localSheetId="17">#REF!</definedName>
    <definedName name="Days_yr">SETUP!$E$9</definedName>
    <definedName name="dddd" localSheetId="9" hidden="1">#REF!</definedName>
    <definedName name="dddd" hidden="1">#REF!</definedName>
    <definedName name="dds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depreciaciones" localSheetId="1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preciaciones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preciac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senho" hidden="1">#REF!</definedName>
    <definedName name="deuda" localSheetId="1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localSheetId="1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fdfdfd" hidden="1">#N/A</definedName>
    <definedName name="Dividends" localSheetId="17">#REF!</definedName>
    <definedName name="Dividends">Inputs!$D$306</definedName>
    <definedName name="ds" localSheetId="1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s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SCR_chart">#REF!</definedName>
    <definedName name="dsgsd" localSheetId="17" hidden="1">{#N/A,#N/A,FALSE,"Cronograma";#N/A,#N/A,FALSE,"Cronogr. 2"}</definedName>
    <definedName name="dsgsd" localSheetId="9" hidden="1">{#N/A,#N/A,FALSE,"Cronograma";#N/A,#N/A,FALSE,"Cronogr. 2"}</definedName>
    <definedName name="dsgsd" hidden="1">{#N/A,#N/A,FALSE,"Cronograma";#N/A,#N/A,FALSE,"Cronogr. 2"}</definedName>
    <definedName name="dxsdw" localSheetId="9" hidden="1">#REF!</definedName>
    <definedName name="dxsdw" hidden="1">#REF!</definedName>
    <definedName name="ede">{0;0;0;0;9;#N/A;0.75;0.75;1;1;1;FALSE;FALSE;FALSE;FALSE;FALSE;#N/A;1;100;#N/A;#N/A;"&amp;A";"Page &amp;P"}</definedName>
    <definedName name="eduardocarvalho" localSheetId="1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eduardocarvalho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eduardocarvalho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eee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1_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1_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1_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1_2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1_2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1_2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2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2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2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2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2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2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3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3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3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3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3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1_3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2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2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2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2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2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2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3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3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3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4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4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4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5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5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ee_5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quity_IRR" localSheetId="17">#REF!</definedName>
    <definedName name="Equity_IRR">'NPV, TIR e Payback'!#REF!</definedName>
    <definedName name="Equity_NPV" localSheetId="17">#REF!</definedName>
    <definedName name="Equity_NPV">'NPV, TIR e Payback'!#REF!</definedName>
    <definedName name="ev.Calculation" hidden="1">-4135</definedName>
    <definedName name="ev.Initialized" hidden="1">FALSE</definedName>
    <definedName name="EVOLUTION_DES_ROI" localSheetId="17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EVOLUTION_DES_ROI" localSheetId="9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EVOLUTION_DES_ROI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ExactAddinConnection" hidden="1">"001"</definedName>
    <definedName name="ExactAddinConnection.001" hidden="1">"SRVEXACT2003;001;marleen;1"</definedName>
    <definedName name="ExactAddinConnection.021" hidden="1">"SRVEXACT2003;021;marleen;1"</definedName>
    <definedName name="ExactAddinConnection.025" hidden="1">"SRVEXACT2003;025;marleen;1"</definedName>
    <definedName name="ExactAddinConnection.030" hidden="1">"SRVEXACT2003;030;marleen;1"</definedName>
    <definedName name="ExactAddinConnection.040" hidden="1">"SRVEXACT2003;040;marleen;1"</definedName>
    <definedName name="ExactAddinConnection.041" hidden="1">"SRVEXACT2003;041;marleen;1"</definedName>
    <definedName name="ExactAddinConnection.050" hidden="1">"SRVEXACT2003;050;marleen;1"</definedName>
    <definedName name="ExactAddinReports" hidden="1">1</definedName>
    <definedName name="f" localSheetId="17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f" localSheetId="9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f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FDD_0_0" hidden="1">"A30681"</definedName>
    <definedName name="FDD_0_1" hidden="1">"A31047"</definedName>
    <definedName name="FDD_0_10" hidden="1">"A34334"</definedName>
    <definedName name="FDD_0_11" hidden="1">"A34699"</definedName>
    <definedName name="FDD_0_12" hidden="1">"A35064"</definedName>
    <definedName name="FDD_0_13" hidden="1">"A35430"</definedName>
    <definedName name="FDD_0_14" hidden="1">"A35795"</definedName>
    <definedName name="FDD_0_2" hidden="1">"A31412"</definedName>
    <definedName name="FDD_0_3" hidden="1">"A31777"</definedName>
    <definedName name="FDD_0_4" hidden="1">"A32142"</definedName>
    <definedName name="FDD_0_5" hidden="1">"A32508"</definedName>
    <definedName name="FDD_0_6" hidden="1">"A32873"</definedName>
    <definedName name="FDD_0_7" hidden="1">"A33238"</definedName>
    <definedName name="FDD_0_8" hidden="1">"A33603"</definedName>
    <definedName name="FDD_0_9" hidden="1">"A33969"</definedName>
    <definedName name="FDD_1_0" hidden="1">"U25569"</definedName>
    <definedName name="FDD_10_0" hidden="1">"A25569"</definedName>
    <definedName name="FDD_100_0" hidden="1">"A25569"</definedName>
    <definedName name="FDD_101_0" hidden="1">"A25569"</definedName>
    <definedName name="FDD_102_0" hidden="1">"A25569"</definedName>
    <definedName name="FDD_103_0" hidden="1">"A25569"</definedName>
    <definedName name="FDD_104_0" hidden="1">"A25569"</definedName>
    <definedName name="FDD_105_0" hidden="1">"A25569"</definedName>
    <definedName name="FDD_106_0" hidden="1">"A25569"</definedName>
    <definedName name="FDD_107_0" hidden="1">"A25569"</definedName>
    <definedName name="FDD_108_0" hidden="1">"A25569"</definedName>
    <definedName name="FDD_109_0" hidden="1">"A25569"</definedName>
    <definedName name="FDD_11_0" hidden="1">"A25569"</definedName>
    <definedName name="FDD_110_0" hidden="1">"A25569"</definedName>
    <definedName name="FDD_111_0" hidden="1">"A25569"</definedName>
    <definedName name="FDD_112_0" hidden="1">"A25569"</definedName>
    <definedName name="FDD_113_0" hidden="1">"A25569"</definedName>
    <definedName name="FDD_114_0" hidden="1">"A25569"</definedName>
    <definedName name="FDD_115_0" hidden="1">"A25569"</definedName>
    <definedName name="FDD_116_0" hidden="1">"A25569"</definedName>
    <definedName name="FDD_117_0" hidden="1">"A30681"</definedName>
    <definedName name="FDD_117_1" hidden="1">"A31047"</definedName>
    <definedName name="FDD_117_10" hidden="1">"A34334"</definedName>
    <definedName name="FDD_117_11" hidden="1">"A34699"</definedName>
    <definedName name="FDD_117_12" hidden="1">"A35064"</definedName>
    <definedName name="FDD_117_13" hidden="1">"A35430"</definedName>
    <definedName name="FDD_117_14" hidden="1">"A35795"</definedName>
    <definedName name="FDD_117_2" hidden="1">"A31412"</definedName>
    <definedName name="FDD_117_3" hidden="1">"A31777"</definedName>
    <definedName name="FDD_117_4" hidden="1">"A32142"</definedName>
    <definedName name="FDD_117_5" hidden="1">"A32508"</definedName>
    <definedName name="FDD_117_6" hidden="1">"A32873"</definedName>
    <definedName name="FDD_117_7" hidden="1">"A33238"</definedName>
    <definedName name="FDD_117_8" hidden="1">"A33603"</definedName>
    <definedName name="FDD_117_9" hidden="1">"A33969"</definedName>
    <definedName name="FDD_118_0" hidden="1">"A30681"</definedName>
    <definedName name="FDD_118_1" hidden="1">"A31047"</definedName>
    <definedName name="FDD_118_10" hidden="1">"A34334"</definedName>
    <definedName name="FDD_118_11" hidden="1">"A34699"</definedName>
    <definedName name="FDD_118_12" hidden="1">"A35064"</definedName>
    <definedName name="FDD_118_13" hidden="1">"A35430"</definedName>
    <definedName name="FDD_118_14" hidden="1">"A35795"</definedName>
    <definedName name="FDD_118_2" hidden="1">"A31412"</definedName>
    <definedName name="FDD_118_3" hidden="1">"A31777"</definedName>
    <definedName name="FDD_118_4" hidden="1">"A32142"</definedName>
    <definedName name="FDD_118_5" hidden="1">"A32508"</definedName>
    <definedName name="FDD_118_6" hidden="1">"A32873"</definedName>
    <definedName name="FDD_118_7" hidden="1">"A33238"</definedName>
    <definedName name="FDD_118_8" hidden="1">"A33603"</definedName>
    <definedName name="FDD_118_9" hidden="1">"A33969"</definedName>
    <definedName name="FDD_119_0" hidden="1">"A30681"</definedName>
    <definedName name="FDD_119_1" hidden="1">"A31047"</definedName>
    <definedName name="FDD_119_10" hidden="1">"A34334"</definedName>
    <definedName name="FDD_119_11" hidden="1">"A34699"</definedName>
    <definedName name="FDD_119_12" hidden="1">"A35064"</definedName>
    <definedName name="FDD_119_13" hidden="1">"A35430"</definedName>
    <definedName name="FDD_119_14" hidden="1">"A35795"</definedName>
    <definedName name="FDD_119_2" hidden="1">"A31412"</definedName>
    <definedName name="FDD_119_3" hidden="1">"A31777"</definedName>
    <definedName name="FDD_119_4" hidden="1">"A32142"</definedName>
    <definedName name="FDD_119_5" hidden="1">"A32508"</definedName>
    <definedName name="FDD_119_6" hidden="1">"A32873"</definedName>
    <definedName name="FDD_119_7" hidden="1">"A33238"</definedName>
    <definedName name="FDD_119_8" hidden="1">"A33603"</definedName>
    <definedName name="FDD_119_9" hidden="1">"A33969"</definedName>
    <definedName name="FDD_12_0" hidden="1">"A25569"</definedName>
    <definedName name="FDD_120_0" hidden="1">"A30681"</definedName>
    <definedName name="FDD_120_1" hidden="1">"A31047"</definedName>
    <definedName name="FDD_120_10" hidden="1">"A34334"</definedName>
    <definedName name="FDD_120_11" hidden="1">"A34699"</definedName>
    <definedName name="FDD_120_12" hidden="1">"A35064"</definedName>
    <definedName name="FDD_120_13" hidden="1">"A35430"</definedName>
    <definedName name="FDD_120_14" hidden="1">"A35795"</definedName>
    <definedName name="FDD_120_2" hidden="1">"A31412"</definedName>
    <definedName name="FDD_120_3" hidden="1">"A31777"</definedName>
    <definedName name="FDD_120_4" hidden="1">"A32142"</definedName>
    <definedName name="FDD_120_5" hidden="1">"A32508"</definedName>
    <definedName name="FDD_120_6" hidden="1">"A32873"</definedName>
    <definedName name="FDD_120_7" hidden="1">"A33238"</definedName>
    <definedName name="FDD_120_8" hidden="1">"A33603"</definedName>
    <definedName name="FDD_120_9" hidden="1">"A33969"</definedName>
    <definedName name="FDD_121_0" hidden="1">"A30681"</definedName>
    <definedName name="FDD_121_1" hidden="1">"A31047"</definedName>
    <definedName name="FDD_121_10" hidden="1">"A34334"</definedName>
    <definedName name="FDD_121_11" hidden="1">"A34699"</definedName>
    <definedName name="FDD_121_12" hidden="1">"A35064"</definedName>
    <definedName name="FDD_121_13" hidden="1">"A35430"</definedName>
    <definedName name="FDD_121_14" hidden="1">"A35795"</definedName>
    <definedName name="FDD_121_2" hidden="1">"A31412"</definedName>
    <definedName name="FDD_121_3" hidden="1">"A31777"</definedName>
    <definedName name="FDD_121_4" hidden="1">"A32142"</definedName>
    <definedName name="FDD_121_5" hidden="1">"A32508"</definedName>
    <definedName name="FDD_121_6" hidden="1">"A32873"</definedName>
    <definedName name="FDD_121_7" hidden="1">"A33238"</definedName>
    <definedName name="FDD_121_8" hidden="1">"A33603"</definedName>
    <definedName name="FDD_121_9" hidden="1">"A33969"</definedName>
    <definedName name="FDD_122_0" hidden="1">"A30681"</definedName>
    <definedName name="FDD_122_1" hidden="1">"A31047"</definedName>
    <definedName name="FDD_122_10" hidden="1">"A34334"</definedName>
    <definedName name="FDD_122_11" hidden="1">"A34699"</definedName>
    <definedName name="FDD_122_12" hidden="1">"A35064"</definedName>
    <definedName name="FDD_122_13" hidden="1">"A35430"</definedName>
    <definedName name="FDD_122_14" hidden="1">"A35795"</definedName>
    <definedName name="FDD_122_2" hidden="1">"A31412"</definedName>
    <definedName name="FDD_122_3" hidden="1">"A31777"</definedName>
    <definedName name="FDD_122_4" hidden="1">"A32142"</definedName>
    <definedName name="FDD_122_5" hidden="1">"A32508"</definedName>
    <definedName name="FDD_122_6" hidden="1">"A32873"</definedName>
    <definedName name="FDD_122_7" hidden="1">"A33238"</definedName>
    <definedName name="FDD_122_8" hidden="1">"A33603"</definedName>
    <definedName name="FDD_122_9" hidden="1">"A33969"</definedName>
    <definedName name="FDD_123_0" hidden="1">"A30681"</definedName>
    <definedName name="FDD_123_1" hidden="1">"A31047"</definedName>
    <definedName name="FDD_123_10" hidden="1">"A34334"</definedName>
    <definedName name="FDD_123_11" hidden="1">"A34699"</definedName>
    <definedName name="FDD_123_12" hidden="1">"A35064"</definedName>
    <definedName name="FDD_123_13" hidden="1">"A35430"</definedName>
    <definedName name="FDD_123_14" hidden="1">"A35795"</definedName>
    <definedName name="FDD_123_2" hidden="1">"A31412"</definedName>
    <definedName name="FDD_123_3" hidden="1">"A31777"</definedName>
    <definedName name="FDD_123_4" hidden="1">"A32142"</definedName>
    <definedName name="FDD_123_5" hidden="1">"A32508"</definedName>
    <definedName name="FDD_123_6" hidden="1">"A32873"</definedName>
    <definedName name="FDD_123_7" hidden="1">"A33238"</definedName>
    <definedName name="FDD_123_8" hidden="1">"A33603"</definedName>
    <definedName name="FDD_123_9" hidden="1">"A33969"</definedName>
    <definedName name="FDD_124_0" hidden="1">"A30681"</definedName>
    <definedName name="FDD_124_1" hidden="1">"A31047"</definedName>
    <definedName name="FDD_124_10" hidden="1">"A34334"</definedName>
    <definedName name="FDD_124_11" hidden="1">"A34699"</definedName>
    <definedName name="FDD_124_12" hidden="1">"A35064"</definedName>
    <definedName name="FDD_124_13" hidden="1">"A35430"</definedName>
    <definedName name="FDD_124_14" hidden="1">"A35795"</definedName>
    <definedName name="FDD_124_2" hidden="1">"A31412"</definedName>
    <definedName name="FDD_124_3" hidden="1">"A31777"</definedName>
    <definedName name="FDD_124_4" hidden="1">"A32142"</definedName>
    <definedName name="FDD_124_5" hidden="1">"A32508"</definedName>
    <definedName name="FDD_124_6" hidden="1">"A32873"</definedName>
    <definedName name="FDD_124_7" hidden="1">"A33238"</definedName>
    <definedName name="FDD_124_8" hidden="1">"A33603"</definedName>
    <definedName name="FDD_124_9" hidden="1">"A33969"</definedName>
    <definedName name="FDD_125_0" hidden="1">"A30681"</definedName>
    <definedName name="FDD_125_1" hidden="1">"A31047"</definedName>
    <definedName name="FDD_125_10" hidden="1">"A34334"</definedName>
    <definedName name="FDD_125_11" hidden="1">"A34699"</definedName>
    <definedName name="FDD_125_12" hidden="1">"A35064"</definedName>
    <definedName name="FDD_125_13" hidden="1">"A35430"</definedName>
    <definedName name="FDD_125_14" hidden="1">"A35795"</definedName>
    <definedName name="FDD_125_2" hidden="1">"A31412"</definedName>
    <definedName name="FDD_125_3" hidden="1">"A31777"</definedName>
    <definedName name="FDD_125_4" hidden="1">"A32142"</definedName>
    <definedName name="FDD_125_5" hidden="1">"A32508"</definedName>
    <definedName name="FDD_125_6" hidden="1">"A32873"</definedName>
    <definedName name="FDD_125_7" hidden="1">"A33238"</definedName>
    <definedName name="FDD_125_8" hidden="1">"A33603"</definedName>
    <definedName name="FDD_125_9" hidden="1">"A33969"</definedName>
    <definedName name="FDD_126_0" hidden="1">"A30681"</definedName>
    <definedName name="FDD_126_1" hidden="1">"A31047"</definedName>
    <definedName name="FDD_126_10" hidden="1">"A34334"</definedName>
    <definedName name="FDD_126_11" hidden="1">"A34699"</definedName>
    <definedName name="FDD_126_12" hidden="1">"A35064"</definedName>
    <definedName name="FDD_126_13" hidden="1">"A35430"</definedName>
    <definedName name="FDD_126_14" hidden="1">"A35795"</definedName>
    <definedName name="FDD_126_2" hidden="1">"A31412"</definedName>
    <definedName name="FDD_126_3" hidden="1">"A31777"</definedName>
    <definedName name="FDD_126_4" hidden="1">"A32142"</definedName>
    <definedName name="FDD_126_5" hidden="1">"A32508"</definedName>
    <definedName name="FDD_126_6" hidden="1">"A32873"</definedName>
    <definedName name="FDD_126_7" hidden="1">"A33238"</definedName>
    <definedName name="FDD_126_8" hidden="1">"A33603"</definedName>
    <definedName name="FDD_126_9" hidden="1">"A33969"</definedName>
    <definedName name="FDD_127_0" hidden="1">"A30681"</definedName>
    <definedName name="FDD_127_1" hidden="1">"A31047"</definedName>
    <definedName name="FDD_127_10" hidden="1">"A34334"</definedName>
    <definedName name="FDD_127_11" hidden="1">"A34699"</definedName>
    <definedName name="FDD_127_12" hidden="1">"A35064"</definedName>
    <definedName name="FDD_127_13" hidden="1">"A35430"</definedName>
    <definedName name="FDD_127_14" hidden="1">"A35795"</definedName>
    <definedName name="FDD_127_2" hidden="1">"A31412"</definedName>
    <definedName name="FDD_127_3" hidden="1">"A31777"</definedName>
    <definedName name="FDD_127_4" hidden="1">"A32142"</definedName>
    <definedName name="FDD_127_5" hidden="1">"A32508"</definedName>
    <definedName name="FDD_127_6" hidden="1">"A32873"</definedName>
    <definedName name="FDD_127_7" hidden="1">"A33238"</definedName>
    <definedName name="FDD_127_8" hidden="1">"A33603"</definedName>
    <definedName name="FDD_127_9" hidden="1">"A33969"</definedName>
    <definedName name="FDD_128_0" hidden="1">"A30681"</definedName>
    <definedName name="FDD_128_1" hidden="1">"A31047"</definedName>
    <definedName name="FDD_128_10" hidden="1">"A34334"</definedName>
    <definedName name="FDD_128_11" hidden="1">"A34699"</definedName>
    <definedName name="FDD_128_12" hidden="1">"A35064"</definedName>
    <definedName name="FDD_128_13" hidden="1">"A35430"</definedName>
    <definedName name="FDD_128_14" hidden="1">"A35795"</definedName>
    <definedName name="FDD_128_2" hidden="1">"A31412"</definedName>
    <definedName name="FDD_128_3" hidden="1">"A31777"</definedName>
    <definedName name="FDD_128_4" hidden="1">"A32142"</definedName>
    <definedName name="FDD_128_5" hidden="1">"A32508"</definedName>
    <definedName name="FDD_128_6" hidden="1">"A32873"</definedName>
    <definedName name="FDD_128_7" hidden="1">"A33238"</definedName>
    <definedName name="FDD_128_8" hidden="1">"A33603"</definedName>
    <definedName name="FDD_128_9" hidden="1">"A33969"</definedName>
    <definedName name="FDD_129_0" hidden="1">"A30681"</definedName>
    <definedName name="FDD_129_1" hidden="1">"A31047"</definedName>
    <definedName name="FDD_129_10" hidden="1">"A34334"</definedName>
    <definedName name="FDD_129_11" hidden="1">"A34699"</definedName>
    <definedName name="FDD_129_12" hidden="1">"A35064"</definedName>
    <definedName name="FDD_129_13" hidden="1">"A35430"</definedName>
    <definedName name="FDD_129_14" hidden="1">"A35795"</definedName>
    <definedName name="FDD_129_2" hidden="1">"A31412"</definedName>
    <definedName name="FDD_129_3" hidden="1">"A31777"</definedName>
    <definedName name="FDD_129_4" hidden="1">"A32142"</definedName>
    <definedName name="FDD_129_5" hidden="1">"A32508"</definedName>
    <definedName name="FDD_129_6" hidden="1">"A32873"</definedName>
    <definedName name="FDD_129_7" hidden="1">"A33238"</definedName>
    <definedName name="FDD_129_8" hidden="1">"A33603"</definedName>
    <definedName name="FDD_129_9" hidden="1">"A33969"</definedName>
    <definedName name="FDD_13_0" hidden="1">"A25569"</definedName>
    <definedName name="FDD_130_0" hidden="1">"A30681"</definedName>
    <definedName name="FDD_130_1" hidden="1">"A31047"</definedName>
    <definedName name="FDD_130_10" hidden="1">"A34334"</definedName>
    <definedName name="FDD_130_11" hidden="1">"A34699"</definedName>
    <definedName name="FDD_130_12" hidden="1">"A35064"</definedName>
    <definedName name="FDD_130_13" hidden="1">"A35430"</definedName>
    <definedName name="FDD_130_14" hidden="1">"A35795"</definedName>
    <definedName name="FDD_130_2" hidden="1">"A31412"</definedName>
    <definedName name="FDD_130_3" hidden="1">"A31777"</definedName>
    <definedName name="FDD_130_4" hidden="1">"A32142"</definedName>
    <definedName name="FDD_130_5" hidden="1">"A32508"</definedName>
    <definedName name="FDD_130_6" hidden="1">"A32873"</definedName>
    <definedName name="FDD_130_7" hidden="1">"A33238"</definedName>
    <definedName name="FDD_130_8" hidden="1">"A33603"</definedName>
    <definedName name="FDD_130_9" hidden="1">"A33969"</definedName>
    <definedName name="FDD_131_0" hidden="1">"A30681"</definedName>
    <definedName name="FDD_131_1" hidden="1">"A31047"</definedName>
    <definedName name="FDD_131_10" hidden="1">"A34334"</definedName>
    <definedName name="FDD_131_11" hidden="1">"A34699"</definedName>
    <definedName name="FDD_131_12" hidden="1">"A35064"</definedName>
    <definedName name="FDD_131_13" hidden="1">"A35430"</definedName>
    <definedName name="FDD_131_14" hidden="1">"A35795"</definedName>
    <definedName name="FDD_131_2" hidden="1">"A31412"</definedName>
    <definedName name="FDD_131_3" hidden="1">"A31777"</definedName>
    <definedName name="FDD_131_4" hidden="1">"A32142"</definedName>
    <definedName name="FDD_131_5" hidden="1">"A32508"</definedName>
    <definedName name="FDD_131_6" hidden="1">"A32873"</definedName>
    <definedName name="FDD_131_7" hidden="1">"A33238"</definedName>
    <definedName name="FDD_131_8" hidden="1">"A33603"</definedName>
    <definedName name="FDD_131_9" hidden="1">"A33969"</definedName>
    <definedName name="FDD_132_0" hidden="1">"U30681"</definedName>
    <definedName name="FDD_132_1" hidden="1">"U31047"</definedName>
    <definedName name="FDD_132_10" hidden="1">"U34334"</definedName>
    <definedName name="FDD_132_11" hidden="1">"U34699"</definedName>
    <definedName name="FDD_132_12" hidden="1">"U35064"</definedName>
    <definedName name="FDD_132_13" hidden="1">"U35430"</definedName>
    <definedName name="FDD_132_14" hidden="1">"U35795"</definedName>
    <definedName name="FDD_132_2" hidden="1">"U31412"</definedName>
    <definedName name="FDD_132_3" hidden="1">"U31777"</definedName>
    <definedName name="FDD_132_4" hidden="1">"U32142"</definedName>
    <definedName name="FDD_132_5" hidden="1">"U32508"</definedName>
    <definedName name="FDD_132_6" hidden="1">"U32873"</definedName>
    <definedName name="FDD_132_7" hidden="1">"U33238"</definedName>
    <definedName name="FDD_132_8" hidden="1">"U33603"</definedName>
    <definedName name="FDD_132_9" hidden="1">"U33969"</definedName>
    <definedName name="FDD_133_0" hidden="1">"A30681"</definedName>
    <definedName name="FDD_133_1" hidden="1">"A31047"</definedName>
    <definedName name="FDD_133_10" hidden="1">"A34334"</definedName>
    <definedName name="FDD_133_11" hidden="1">"A34699"</definedName>
    <definedName name="FDD_133_12" hidden="1">"A35064"</definedName>
    <definedName name="FDD_133_13" hidden="1">"A35430"</definedName>
    <definedName name="FDD_133_14" hidden="1">"A35795"</definedName>
    <definedName name="FDD_133_2" hidden="1">"A31412"</definedName>
    <definedName name="FDD_133_3" hidden="1">"A31777"</definedName>
    <definedName name="FDD_133_4" hidden="1">"A32142"</definedName>
    <definedName name="FDD_133_5" hidden="1">"A32508"</definedName>
    <definedName name="FDD_133_6" hidden="1">"A32873"</definedName>
    <definedName name="FDD_133_7" hidden="1">"A33238"</definedName>
    <definedName name="FDD_133_8" hidden="1">"A33603"</definedName>
    <definedName name="FDD_133_9" hidden="1">"A33969"</definedName>
    <definedName name="FDD_134_0" hidden="1">"A30681"</definedName>
    <definedName name="FDD_134_1" hidden="1">"A31047"</definedName>
    <definedName name="FDD_134_10" hidden="1">"A34334"</definedName>
    <definedName name="FDD_134_11" hidden="1">"A34699"</definedName>
    <definedName name="FDD_134_12" hidden="1">"A35064"</definedName>
    <definedName name="FDD_134_13" hidden="1">"A35430"</definedName>
    <definedName name="FDD_134_14" hidden="1">"A35795"</definedName>
    <definedName name="FDD_134_2" hidden="1">"A31412"</definedName>
    <definedName name="FDD_134_3" hidden="1">"A31777"</definedName>
    <definedName name="FDD_134_4" hidden="1">"A32142"</definedName>
    <definedName name="FDD_134_5" hidden="1">"A32508"</definedName>
    <definedName name="FDD_134_6" hidden="1">"A32873"</definedName>
    <definedName name="FDD_134_7" hidden="1">"A33238"</definedName>
    <definedName name="FDD_134_8" hidden="1">"A33603"</definedName>
    <definedName name="FDD_134_9" hidden="1">"A33969"</definedName>
    <definedName name="FDD_135_0" hidden="1">"A30681"</definedName>
    <definedName name="FDD_135_1" hidden="1">"A31047"</definedName>
    <definedName name="FDD_135_10" hidden="1">"A34334"</definedName>
    <definedName name="FDD_135_11" hidden="1">"A34699"</definedName>
    <definedName name="FDD_135_12" hidden="1">"A35064"</definedName>
    <definedName name="FDD_135_13" hidden="1">"A35430"</definedName>
    <definedName name="FDD_135_14" hidden="1">"A35795"</definedName>
    <definedName name="FDD_135_2" hidden="1">"A31412"</definedName>
    <definedName name="FDD_135_3" hidden="1">"A31777"</definedName>
    <definedName name="FDD_135_4" hidden="1">"A32142"</definedName>
    <definedName name="FDD_135_5" hidden="1">"A32508"</definedName>
    <definedName name="FDD_135_6" hidden="1">"A32873"</definedName>
    <definedName name="FDD_135_7" hidden="1">"A33238"</definedName>
    <definedName name="FDD_135_8" hidden="1">"A33603"</definedName>
    <definedName name="FDD_135_9" hidden="1">"A33969"</definedName>
    <definedName name="FDD_136_0" hidden="1">"A30681"</definedName>
    <definedName name="FDD_136_1" hidden="1">"A31047"</definedName>
    <definedName name="FDD_136_10" hidden="1">"A34334"</definedName>
    <definedName name="FDD_136_11" hidden="1">"A34699"</definedName>
    <definedName name="FDD_136_12" hidden="1">"A35064"</definedName>
    <definedName name="FDD_136_13" hidden="1">"A35430"</definedName>
    <definedName name="FDD_136_14" hidden="1">"A35795"</definedName>
    <definedName name="FDD_136_2" hidden="1">"A31412"</definedName>
    <definedName name="FDD_136_3" hidden="1">"A31777"</definedName>
    <definedName name="FDD_136_4" hidden="1">"A32142"</definedName>
    <definedName name="FDD_136_5" hidden="1">"A32508"</definedName>
    <definedName name="FDD_136_6" hidden="1">"A32873"</definedName>
    <definedName name="FDD_136_7" hidden="1">"A33238"</definedName>
    <definedName name="FDD_136_8" hidden="1">"A33603"</definedName>
    <definedName name="FDD_136_9" hidden="1">"A33969"</definedName>
    <definedName name="FDD_137_0" hidden="1">"A30681"</definedName>
    <definedName name="FDD_137_1" hidden="1">"A31047"</definedName>
    <definedName name="FDD_137_10" hidden="1">"A34334"</definedName>
    <definedName name="FDD_137_11" hidden="1">"A34699"</definedName>
    <definedName name="FDD_137_12" hidden="1">"A35064"</definedName>
    <definedName name="FDD_137_13" hidden="1">"A35430"</definedName>
    <definedName name="FDD_137_14" hidden="1">"A35795"</definedName>
    <definedName name="FDD_137_2" hidden="1">"A31412"</definedName>
    <definedName name="FDD_137_3" hidden="1">"A31777"</definedName>
    <definedName name="FDD_137_4" hidden="1">"A32142"</definedName>
    <definedName name="FDD_137_5" hidden="1">"A32508"</definedName>
    <definedName name="FDD_137_6" hidden="1">"A32873"</definedName>
    <definedName name="FDD_137_7" hidden="1">"A33238"</definedName>
    <definedName name="FDD_137_8" hidden="1">"A33603"</definedName>
    <definedName name="FDD_137_9" hidden="1">"A33969"</definedName>
    <definedName name="FDD_138_0" hidden="1">"A30681"</definedName>
    <definedName name="FDD_138_1" hidden="1">"A31047"</definedName>
    <definedName name="FDD_138_10" hidden="1">"A34334"</definedName>
    <definedName name="FDD_138_11" hidden="1">"A34699"</definedName>
    <definedName name="FDD_138_12" hidden="1">"A35064"</definedName>
    <definedName name="FDD_138_13" hidden="1">"A35430"</definedName>
    <definedName name="FDD_138_14" hidden="1">"A35795"</definedName>
    <definedName name="FDD_138_2" hidden="1">"A31412"</definedName>
    <definedName name="FDD_138_3" hidden="1">"A31777"</definedName>
    <definedName name="FDD_138_4" hidden="1">"A32142"</definedName>
    <definedName name="FDD_138_5" hidden="1">"A32508"</definedName>
    <definedName name="FDD_138_6" hidden="1">"A32873"</definedName>
    <definedName name="FDD_138_7" hidden="1">"A33238"</definedName>
    <definedName name="FDD_138_8" hidden="1">"A33603"</definedName>
    <definedName name="FDD_138_9" hidden="1">"A33969"</definedName>
    <definedName name="FDD_139_0" hidden="1">"A30681"</definedName>
    <definedName name="FDD_139_1" hidden="1">"A31047"</definedName>
    <definedName name="FDD_139_10" hidden="1">"U34334"</definedName>
    <definedName name="FDD_139_11" hidden="1">"U34699"</definedName>
    <definedName name="FDD_139_12" hidden="1">"U35064"</definedName>
    <definedName name="FDD_139_13" hidden="1">"U35430"</definedName>
    <definedName name="FDD_139_14" hidden="1">"U35795"</definedName>
    <definedName name="FDD_139_2" hidden="1">"A31412"</definedName>
    <definedName name="FDD_139_3" hidden="1">"U31777"</definedName>
    <definedName name="FDD_139_4" hidden="1">"U32142"</definedName>
    <definedName name="FDD_139_5" hidden="1">"U32508"</definedName>
    <definedName name="FDD_139_6" hidden="1">"U32873"</definedName>
    <definedName name="FDD_139_7" hidden="1">"U33238"</definedName>
    <definedName name="FDD_139_8" hidden="1">"U33603"</definedName>
    <definedName name="FDD_139_9" hidden="1">"U33969"</definedName>
    <definedName name="FDD_14_0" hidden="1">"A25569"</definedName>
    <definedName name="FDD_140_0" hidden="1">"A25569"</definedName>
    <definedName name="FDD_141_0" hidden="1">"A30681"</definedName>
    <definedName name="FDD_141_1" hidden="1">"A31047"</definedName>
    <definedName name="FDD_141_10" hidden="1">"A34334"</definedName>
    <definedName name="FDD_141_11" hidden="1">"A34699"</definedName>
    <definedName name="FDD_141_12" hidden="1">"A35064"</definedName>
    <definedName name="FDD_141_13" hidden="1">"A35430"</definedName>
    <definedName name="FDD_141_14" hidden="1">"A35795"</definedName>
    <definedName name="FDD_141_2" hidden="1">"A31412"</definedName>
    <definedName name="FDD_141_3" hidden="1">"A31777"</definedName>
    <definedName name="FDD_141_4" hidden="1">"A32142"</definedName>
    <definedName name="FDD_141_5" hidden="1">"A32508"</definedName>
    <definedName name="FDD_141_6" hidden="1">"A32873"</definedName>
    <definedName name="FDD_141_7" hidden="1">"A33238"</definedName>
    <definedName name="FDD_141_8" hidden="1">"A33603"</definedName>
    <definedName name="FDD_141_9" hidden="1">"A33969"</definedName>
    <definedName name="FDD_142_0" hidden="1">"A30681"</definedName>
    <definedName name="FDD_142_1" hidden="1">"A31047"</definedName>
    <definedName name="FDD_142_10" hidden="1">"A34334"</definedName>
    <definedName name="FDD_142_11" hidden="1">"A34699"</definedName>
    <definedName name="FDD_142_12" hidden="1">"A35064"</definedName>
    <definedName name="FDD_142_13" hidden="1">"A35430"</definedName>
    <definedName name="FDD_142_14" hidden="1">"A35795"</definedName>
    <definedName name="FDD_142_2" hidden="1">"A31412"</definedName>
    <definedName name="FDD_142_3" hidden="1">"A31777"</definedName>
    <definedName name="FDD_142_4" hidden="1">"A32142"</definedName>
    <definedName name="FDD_142_5" hidden="1">"A32508"</definedName>
    <definedName name="FDD_142_6" hidden="1">"A32873"</definedName>
    <definedName name="FDD_142_7" hidden="1">"A33238"</definedName>
    <definedName name="FDD_142_8" hidden="1">"A33603"</definedName>
    <definedName name="FDD_142_9" hidden="1">"A33969"</definedName>
    <definedName name="FDD_143_0" hidden="1">"A30681"</definedName>
    <definedName name="FDD_143_1" hidden="1">"A31047"</definedName>
    <definedName name="FDD_143_10" hidden="1">"A34334"</definedName>
    <definedName name="FDD_143_11" hidden="1">"A34699"</definedName>
    <definedName name="FDD_143_12" hidden="1">"A35064"</definedName>
    <definedName name="FDD_143_13" hidden="1">"A35430"</definedName>
    <definedName name="FDD_143_14" hidden="1">"A35795"</definedName>
    <definedName name="FDD_143_2" hidden="1">"A31412"</definedName>
    <definedName name="FDD_143_3" hidden="1">"A31777"</definedName>
    <definedName name="FDD_143_4" hidden="1">"A32142"</definedName>
    <definedName name="FDD_143_5" hidden="1">"A32508"</definedName>
    <definedName name="FDD_143_6" hidden="1">"A32873"</definedName>
    <definedName name="FDD_143_7" hidden="1">"A33238"</definedName>
    <definedName name="FDD_143_8" hidden="1">"A33603"</definedName>
    <definedName name="FDD_143_9" hidden="1">"A33969"</definedName>
    <definedName name="FDD_144_0" hidden="1">"A30681"</definedName>
    <definedName name="FDD_144_1" hidden="1">"A31047"</definedName>
    <definedName name="FDD_144_10" hidden="1">"A34334"</definedName>
    <definedName name="FDD_144_11" hidden="1">"A34699"</definedName>
    <definedName name="FDD_144_12" hidden="1">"A35064"</definedName>
    <definedName name="FDD_144_13" hidden="1">"A35430"</definedName>
    <definedName name="FDD_144_14" hidden="1">"A35795"</definedName>
    <definedName name="FDD_144_2" hidden="1">"A31412"</definedName>
    <definedName name="FDD_144_3" hidden="1">"A31777"</definedName>
    <definedName name="FDD_144_4" hidden="1">"A32142"</definedName>
    <definedName name="FDD_144_5" hidden="1">"A32508"</definedName>
    <definedName name="FDD_144_6" hidden="1">"A32873"</definedName>
    <definedName name="FDD_144_7" hidden="1">"A33238"</definedName>
    <definedName name="FDD_144_8" hidden="1">"A33603"</definedName>
    <definedName name="FDD_144_9" hidden="1">"A33969"</definedName>
    <definedName name="FDD_145_0" hidden="1">"A30681"</definedName>
    <definedName name="FDD_145_1" hidden="1">"A31047"</definedName>
    <definedName name="FDD_145_10" hidden="1">"A34334"</definedName>
    <definedName name="FDD_145_11" hidden="1">"A34699"</definedName>
    <definedName name="FDD_145_12" hidden="1">"A35064"</definedName>
    <definedName name="FDD_145_13" hidden="1">"A35430"</definedName>
    <definedName name="FDD_145_14" hidden="1">"A35795"</definedName>
    <definedName name="FDD_145_2" hidden="1">"A31412"</definedName>
    <definedName name="FDD_145_3" hidden="1">"A31777"</definedName>
    <definedName name="FDD_145_4" hidden="1">"A32142"</definedName>
    <definedName name="FDD_145_5" hidden="1">"A32508"</definedName>
    <definedName name="FDD_145_6" hidden="1">"A32873"</definedName>
    <definedName name="FDD_145_7" hidden="1">"A33238"</definedName>
    <definedName name="FDD_145_8" hidden="1">"A33603"</definedName>
    <definedName name="FDD_145_9" hidden="1">"A33969"</definedName>
    <definedName name="FDD_146_0" hidden="1">"A30681"</definedName>
    <definedName name="FDD_146_1" hidden="1">"A31047"</definedName>
    <definedName name="FDD_146_10" hidden="1">"A34334"</definedName>
    <definedName name="FDD_146_11" hidden="1">"A34699"</definedName>
    <definedName name="FDD_146_12" hidden="1">"A35064"</definedName>
    <definedName name="FDD_146_13" hidden="1">"A35430"</definedName>
    <definedName name="FDD_146_14" hidden="1">"A35795"</definedName>
    <definedName name="FDD_146_2" hidden="1">"A31412"</definedName>
    <definedName name="FDD_146_3" hidden="1">"A31777"</definedName>
    <definedName name="FDD_146_4" hidden="1">"A32142"</definedName>
    <definedName name="FDD_146_5" hidden="1">"A32508"</definedName>
    <definedName name="FDD_146_6" hidden="1">"A32873"</definedName>
    <definedName name="FDD_146_7" hidden="1">"A33238"</definedName>
    <definedName name="FDD_146_8" hidden="1">"A33603"</definedName>
    <definedName name="FDD_146_9" hidden="1">"A33969"</definedName>
    <definedName name="FDD_147_0" hidden="1">"U30681"</definedName>
    <definedName name="FDD_147_1" hidden="1">"U31047"</definedName>
    <definedName name="FDD_147_10" hidden="1">"U34334"</definedName>
    <definedName name="FDD_147_11" hidden="1">"U34699"</definedName>
    <definedName name="FDD_147_12" hidden="1">"U35064"</definedName>
    <definedName name="FDD_147_13" hidden="1">"U35430"</definedName>
    <definedName name="FDD_147_14" hidden="1">"U35795"</definedName>
    <definedName name="FDD_147_2" hidden="1">"U31412"</definedName>
    <definedName name="FDD_147_3" hidden="1">"U31777"</definedName>
    <definedName name="FDD_147_4" hidden="1">"U32142"</definedName>
    <definedName name="FDD_147_5" hidden="1">"U32508"</definedName>
    <definedName name="FDD_147_6" hidden="1">"U32873"</definedName>
    <definedName name="FDD_147_7" hidden="1">"U33238"</definedName>
    <definedName name="FDD_147_8" hidden="1">"U33603"</definedName>
    <definedName name="FDD_147_9" hidden="1">"U33969"</definedName>
    <definedName name="FDD_148_0" hidden="1">"A30681"</definedName>
    <definedName name="FDD_148_1" hidden="1">"A31047"</definedName>
    <definedName name="FDD_148_10" hidden="1">"A34334"</definedName>
    <definedName name="FDD_148_11" hidden="1">"A34699"</definedName>
    <definedName name="FDD_148_12" hidden="1">"A35064"</definedName>
    <definedName name="FDD_148_13" hidden="1">"A35430"</definedName>
    <definedName name="FDD_148_14" hidden="1">"A35795"</definedName>
    <definedName name="FDD_148_2" hidden="1">"A31412"</definedName>
    <definedName name="FDD_148_3" hidden="1">"A31777"</definedName>
    <definedName name="FDD_148_4" hidden="1">"A32142"</definedName>
    <definedName name="FDD_148_5" hidden="1">"A32508"</definedName>
    <definedName name="FDD_148_6" hidden="1">"A32873"</definedName>
    <definedName name="FDD_148_7" hidden="1">"A33238"</definedName>
    <definedName name="FDD_148_8" hidden="1">"A33603"</definedName>
    <definedName name="FDD_148_9" hidden="1">"A33969"</definedName>
    <definedName name="FDD_149_0" hidden="1">"U30681"</definedName>
    <definedName name="FDD_149_1" hidden="1">"U31047"</definedName>
    <definedName name="FDD_149_10" hidden="1">"U34334"</definedName>
    <definedName name="FDD_149_11" hidden="1">"U34699"</definedName>
    <definedName name="FDD_149_12" hidden="1">"U35064"</definedName>
    <definedName name="FDD_149_13" hidden="1">"U35430"</definedName>
    <definedName name="FDD_149_14" hidden="1">"A35795"</definedName>
    <definedName name="FDD_149_2" hidden="1">"U31412"</definedName>
    <definedName name="FDD_149_3" hidden="1">"U31777"</definedName>
    <definedName name="FDD_149_4" hidden="1">"U32142"</definedName>
    <definedName name="FDD_149_5" hidden="1">"U32508"</definedName>
    <definedName name="FDD_149_6" hidden="1">"U32873"</definedName>
    <definedName name="FDD_149_7" hidden="1">"U33238"</definedName>
    <definedName name="FDD_149_8" hidden="1">"U33603"</definedName>
    <definedName name="FDD_149_9" hidden="1">"U33969"</definedName>
    <definedName name="FDD_15_0" hidden="1">"A25569"</definedName>
    <definedName name="FDD_151_0" hidden="1">"A30681"</definedName>
    <definedName name="FDD_151_1" hidden="1">"A31047"</definedName>
    <definedName name="FDD_151_10" hidden="1">"A34334"</definedName>
    <definedName name="FDD_151_11" hidden="1">"A34699"</definedName>
    <definedName name="FDD_151_12" hidden="1">"A35064"</definedName>
    <definedName name="FDD_151_13" hidden="1">"A35430"</definedName>
    <definedName name="FDD_151_14" hidden="1">"A35795"</definedName>
    <definedName name="FDD_151_2" hidden="1">"A31412"</definedName>
    <definedName name="FDD_151_3" hidden="1">"A31777"</definedName>
    <definedName name="FDD_151_4" hidden="1">"A32142"</definedName>
    <definedName name="FDD_151_5" hidden="1">"A32508"</definedName>
    <definedName name="FDD_151_6" hidden="1">"A32873"</definedName>
    <definedName name="FDD_151_7" hidden="1">"A33238"</definedName>
    <definedName name="FDD_151_8" hidden="1">"A33603"</definedName>
    <definedName name="FDD_151_9" hidden="1">"A33969"</definedName>
    <definedName name="FDD_152_0" hidden="1">"A30681"</definedName>
    <definedName name="FDD_152_1" hidden="1">"A31047"</definedName>
    <definedName name="FDD_152_10" hidden="1">"A34334"</definedName>
    <definedName name="FDD_152_11" hidden="1">"A34699"</definedName>
    <definedName name="FDD_152_12" hidden="1">"A35064"</definedName>
    <definedName name="FDD_152_13" hidden="1">"A35430"</definedName>
    <definedName name="FDD_152_14" hidden="1">"A35795"</definedName>
    <definedName name="FDD_152_15" hidden="1">"E36160"</definedName>
    <definedName name="FDD_152_2" hidden="1">"A31412"</definedName>
    <definedName name="FDD_152_3" hidden="1">"A31777"</definedName>
    <definedName name="FDD_152_4" hidden="1">"A32142"</definedName>
    <definedName name="FDD_152_5" hidden="1">"A32508"</definedName>
    <definedName name="FDD_152_6" hidden="1">"A32873"</definedName>
    <definedName name="FDD_152_7" hidden="1">"A33238"</definedName>
    <definedName name="FDD_152_8" hidden="1">"A33603"</definedName>
    <definedName name="FDD_152_9" hidden="1">"A33969"</definedName>
    <definedName name="FDD_153_0" hidden="1">"A30681"</definedName>
    <definedName name="FDD_153_1" hidden="1">"A31047"</definedName>
    <definedName name="FDD_153_10" hidden="1">"A34334"</definedName>
    <definedName name="FDD_153_11" hidden="1">"A34699"</definedName>
    <definedName name="FDD_153_12" hidden="1">"A35064"</definedName>
    <definedName name="FDD_153_13" hidden="1">"A35430"</definedName>
    <definedName name="FDD_153_14" hidden="1">"A35795"</definedName>
    <definedName name="FDD_153_2" hidden="1">"A31412"</definedName>
    <definedName name="FDD_153_3" hidden="1">"A31777"</definedName>
    <definedName name="FDD_153_4" hidden="1">"A32142"</definedName>
    <definedName name="FDD_153_5" hidden="1">"A32508"</definedName>
    <definedName name="FDD_153_6" hidden="1">"A32873"</definedName>
    <definedName name="FDD_153_7" hidden="1">"A33238"</definedName>
    <definedName name="FDD_153_8" hidden="1">"A33603"</definedName>
    <definedName name="FDD_153_9" hidden="1">"A33969"</definedName>
    <definedName name="FDD_154_0" hidden="1">"A30681"</definedName>
    <definedName name="FDD_154_1" hidden="1">"A31047"</definedName>
    <definedName name="FDD_154_10" hidden="1">"A34334"</definedName>
    <definedName name="FDD_154_11" hidden="1">"A34699"</definedName>
    <definedName name="FDD_154_12" hidden="1">"A35064"</definedName>
    <definedName name="FDD_154_13" hidden="1">"A35430"</definedName>
    <definedName name="FDD_154_14" hidden="1">"A35795"</definedName>
    <definedName name="FDD_154_2" hidden="1">"A31412"</definedName>
    <definedName name="FDD_154_3" hidden="1">"A31777"</definedName>
    <definedName name="FDD_154_4" hidden="1">"A32142"</definedName>
    <definedName name="FDD_154_5" hidden="1">"A32508"</definedName>
    <definedName name="FDD_154_6" hidden="1">"A32873"</definedName>
    <definedName name="FDD_154_7" hidden="1">"A33238"</definedName>
    <definedName name="FDD_154_8" hidden="1">"A33603"</definedName>
    <definedName name="FDD_154_9" hidden="1">"A33969"</definedName>
    <definedName name="FDD_155_0" hidden="1">"A25569"</definedName>
    <definedName name="FDD_156_0" hidden="1">"A30681"</definedName>
    <definedName name="FDD_156_1" hidden="1">"A31047"</definedName>
    <definedName name="FDD_156_10" hidden="1">"A34334"</definedName>
    <definedName name="FDD_156_11" hidden="1">"A34699"</definedName>
    <definedName name="FDD_156_12" hidden="1">"A35064"</definedName>
    <definedName name="FDD_156_13" hidden="1">"A35430"</definedName>
    <definedName name="FDD_156_14" hidden="1">"A35795"</definedName>
    <definedName name="FDD_156_15" hidden="1">"E36160"</definedName>
    <definedName name="FDD_156_2" hidden="1">"A31412"</definedName>
    <definedName name="FDD_156_3" hidden="1">"A31777"</definedName>
    <definedName name="FDD_156_4" hidden="1">"A32142"</definedName>
    <definedName name="FDD_156_5" hidden="1">"A32508"</definedName>
    <definedName name="FDD_156_6" hidden="1">"A32873"</definedName>
    <definedName name="FDD_156_7" hidden="1">"A33238"</definedName>
    <definedName name="FDD_156_8" hidden="1">"A33603"</definedName>
    <definedName name="FDD_156_9" hidden="1">"A33969"</definedName>
    <definedName name="FDD_157_0" hidden="1">"A30681"</definedName>
    <definedName name="FDD_157_1" hidden="1">"A31047"</definedName>
    <definedName name="FDD_157_10" hidden="1">"A34334"</definedName>
    <definedName name="FDD_157_11" hidden="1">"A34699"</definedName>
    <definedName name="FDD_157_12" hidden="1">"A35064"</definedName>
    <definedName name="FDD_157_13" hidden="1">"A35430"</definedName>
    <definedName name="FDD_157_14" hidden="1">"A35795"</definedName>
    <definedName name="FDD_157_2" hidden="1">"A31412"</definedName>
    <definedName name="FDD_157_3" hidden="1">"A31777"</definedName>
    <definedName name="FDD_157_4" hidden="1">"A32142"</definedName>
    <definedName name="FDD_157_5" hidden="1">"A32508"</definedName>
    <definedName name="FDD_157_6" hidden="1">"A32873"</definedName>
    <definedName name="FDD_157_7" hidden="1">"A33238"</definedName>
    <definedName name="FDD_157_8" hidden="1">"A33603"</definedName>
    <definedName name="FDD_157_9" hidden="1">"A33969"</definedName>
    <definedName name="FDD_158_0" hidden="1">"A30681"</definedName>
    <definedName name="FDD_158_1" hidden="1">"A31047"</definedName>
    <definedName name="FDD_158_10" hidden="1">"A34334"</definedName>
    <definedName name="FDD_158_11" hidden="1">"A34699"</definedName>
    <definedName name="FDD_158_12" hidden="1">"A35064"</definedName>
    <definedName name="FDD_158_13" hidden="1">"A35430"</definedName>
    <definedName name="FDD_158_14" hidden="1">"A35795"</definedName>
    <definedName name="FDD_158_15" hidden="1">"E36160"</definedName>
    <definedName name="FDD_158_2" hidden="1">"A31412"</definedName>
    <definedName name="FDD_158_3" hidden="1">"A31777"</definedName>
    <definedName name="FDD_158_4" hidden="1">"A32142"</definedName>
    <definedName name="FDD_158_5" hidden="1">"A32508"</definedName>
    <definedName name="FDD_158_6" hidden="1">"A32873"</definedName>
    <definedName name="FDD_158_7" hidden="1">"A33238"</definedName>
    <definedName name="FDD_158_8" hidden="1">"A33603"</definedName>
    <definedName name="FDD_158_9" hidden="1">"A33969"</definedName>
    <definedName name="FDD_159_0" hidden="1">"A30681"</definedName>
    <definedName name="FDD_159_1" hidden="1">"A31047"</definedName>
    <definedName name="FDD_159_10" hidden="1">"A34334"</definedName>
    <definedName name="FDD_159_11" hidden="1">"A34699"</definedName>
    <definedName name="FDD_159_12" hidden="1">"A35064"</definedName>
    <definedName name="FDD_159_13" hidden="1">"A35430"</definedName>
    <definedName name="FDD_159_14" hidden="1">"A35795"</definedName>
    <definedName name="FDD_159_2" hidden="1">"A31412"</definedName>
    <definedName name="FDD_159_3" hidden="1">"A31777"</definedName>
    <definedName name="FDD_159_4" hidden="1">"A32142"</definedName>
    <definedName name="FDD_159_5" hidden="1">"A32508"</definedName>
    <definedName name="FDD_159_6" hidden="1">"A32873"</definedName>
    <definedName name="FDD_159_7" hidden="1">"A33238"</definedName>
    <definedName name="FDD_159_8" hidden="1">"A33603"</definedName>
    <definedName name="FDD_159_9" hidden="1">"A33969"</definedName>
    <definedName name="FDD_16_0" hidden="1">"A25569"</definedName>
    <definedName name="FDD_160_0" hidden="1">"A30681"</definedName>
    <definedName name="FDD_160_1" hidden="1">"A31047"</definedName>
    <definedName name="FDD_160_10" hidden="1">"A34334"</definedName>
    <definedName name="FDD_160_11" hidden="1">"A34699"</definedName>
    <definedName name="FDD_160_12" hidden="1">"A35064"</definedName>
    <definedName name="FDD_160_13" hidden="1">"A35430"</definedName>
    <definedName name="FDD_160_14" hidden="1">"A35795"</definedName>
    <definedName name="FDD_160_15" hidden="1">"E36160"</definedName>
    <definedName name="FDD_160_2" hidden="1">"A31412"</definedName>
    <definedName name="FDD_160_3" hidden="1">"A31777"</definedName>
    <definedName name="FDD_160_4" hidden="1">"A32142"</definedName>
    <definedName name="FDD_160_5" hidden="1">"A32508"</definedName>
    <definedName name="FDD_160_6" hidden="1">"A32873"</definedName>
    <definedName name="FDD_160_7" hidden="1">"A33238"</definedName>
    <definedName name="FDD_160_8" hidden="1">"A33603"</definedName>
    <definedName name="FDD_160_9" hidden="1">"A33969"</definedName>
    <definedName name="FDD_161_0" hidden="1">"A30681"</definedName>
    <definedName name="FDD_161_1" hidden="1">"A31047"</definedName>
    <definedName name="FDD_161_10" hidden="1">"A34334"</definedName>
    <definedName name="FDD_161_11" hidden="1">"A34699"</definedName>
    <definedName name="FDD_161_12" hidden="1">"A35064"</definedName>
    <definedName name="FDD_161_13" hidden="1">"A35430"</definedName>
    <definedName name="FDD_161_14" hidden="1">"A35795"</definedName>
    <definedName name="FDD_161_2" hidden="1">"A31412"</definedName>
    <definedName name="FDD_161_3" hidden="1">"A31777"</definedName>
    <definedName name="FDD_161_4" hidden="1">"A32142"</definedName>
    <definedName name="FDD_161_5" hidden="1">"A32508"</definedName>
    <definedName name="FDD_161_6" hidden="1">"A32873"</definedName>
    <definedName name="FDD_161_7" hidden="1">"A33238"</definedName>
    <definedName name="FDD_161_8" hidden="1">"A33603"</definedName>
    <definedName name="FDD_161_9" hidden="1">"A33969"</definedName>
    <definedName name="FDD_162_0" hidden="1">"A30681"</definedName>
    <definedName name="FDD_162_1" hidden="1">"A31047"</definedName>
    <definedName name="FDD_162_10" hidden="1">"A34334"</definedName>
    <definedName name="FDD_162_11" hidden="1">"A34699"</definedName>
    <definedName name="FDD_162_12" hidden="1">"A35064"</definedName>
    <definedName name="FDD_162_13" hidden="1">"A35430"</definedName>
    <definedName name="FDD_162_14" hidden="1">"A35795"</definedName>
    <definedName name="FDD_162_2" hidden="1">"A31412"</definedName>
    <definedName name="FDD_162_3" hidden="1">"A31777"</definedName>
    <definedName name="FDD_162_4" hidden="1">"A32142"</definedName>
    <definedName name="FDD_162_5" hidden="1">"A32508"</definedName>
    <definedName name="FDD_162_6" hidden="1">"A32873"</definedName>
    <definedName name="FDD_162_7" hidden="1">"A33238"</definedName>
    <definedName name="FDD_162_8" hidden="1">"A33603"</definedName>
    <definedName name="FDD_162_9" hidden="1">"A33969"</definedName>
    <definedName name="FDD_163_0" hidden="1">"A30681"</definedName>
    <definedName name="FDD_163_1" hidden="1">"A31047"</definedName>
    <definedName name="FDD_163_10" hidden="1">"A34334"</definedName>
    <definedName name="FDD_163_11" hidden="1">"A34699"</definedName>
    <definedName name="FDD_163_12" hidden="1">"A35064"</definedName>
    <definedName name="FDD_163_13" hidden="1">"A35430"</definedName>
    <definedName name="FDD_163_14" hidden="1">"A35795"</definedName>
    <definedName name="FDD_163_2" hidden="1">"A31412"</definedName>
    <definedName name="FDD_163_3" hidden="1">"A31777"</definedName>
    <definedName name="FDD_163_4" hidden="1">"A32142"</definedName>
    <definedName name="FDD_163_5" hidden="1">"A32508"</definedName>
    <definedName name="FDD_163_6" hidden="1">"A32873"</definedName>
    <definedName name="FDD_163_7" hidden="1">"A33238"</definedName>
    <definedName name="FDD_163_8" hidden="1">"A33603"</definedName>
    <definedName name="FDD_163_9" hidden="1">"A33969"</definedName>
    <definedName name="FDD_164_0" hidden="1">"A25569"</definedName>
    <definedName name="FDD_165_0" hidden="1">"A30681"</definedName>
    <definedName name="FDD_165_1" hidden="1">"A31047"</definedName>
    <definedName name="FDD_165_10" hidden="1">"A34334"</definedName>
    <definedName name="FDD_165_11" hidden="1">"A34699"</definedName>
    <definedName name="FDD_165_12" hidden="1">"A35064"</definedName>
    <definedName name="FDD_165_13" hidden="1">"A35430"</definedName>
    <definedName name="FDD_165_14" hidden="1">"A35795"</definedName>
    <definedName name="FDD_165_2" hidden="1">"A31412"</definedName>
    <definedName name="FDD_165_3" hidden="1">"A31777"</definedName>
    <definedName name="FDD_165_4" hidden="1">"A32142"</definedName>
    <definedName name="FDD_165_5" hidden="1">"A32508"</definedName>
    <definedName name="FDD_165_6" hidden="1">"A32873"</definedName>
    <definedName name="FDD_165_7" hidden="1">"A33238"</definedName>
    <definedName name="FDD_165_8" hidden="1">"A33603"</definedName>
    <definedName name="FDD_165_9" hidden="1">"A33969"</definedName>
    <definedName name="FDD_166_0" hidden="1">"A30681"</definedName>
    <definedName name="FDD_166_1" hidden="1">"A31047"</definedName>
    <definedName name="FDD_166_10" hidden="1">"A34334"</definedName>
    <definedName name="FDD_166_11" hidden="1">"A34699"</definedName>
    <definedName name="FDD_166_12" hidden="1">"A35064"</definedName>
    <definedName name="FDD_166_13" hidden="1">"A35430"</definedName>
    <definedName name="FDD_166_14" hidden="1">"A35795"</definedName>
    <definedName name="FDD_166_2" hidden="1">"A31412"</definedName>
    <definedName name="FDD_166_3" hidden="1">"A31777"</definedName>
    <definedName name="FDD_166_4" hidden="1">"A32142"</definedName>
    <definedName name="FDD_166_5" hidden="1">"A32508"</definedName>
    <definedName name="FDD_166_6" hidden="1">"A32873"</definedName>
    <definedName name="FDD_166_7" hidden="1">"A33238"</definedName>
    <definedName name="FDD_166_8" hidden="1">"A33603"</definedName>
    <definedName name="FDD_166_9" hidden="1">"A33969"</definedName>
    <definedName name="FDD_167_0" hidden="1">"A30681"</definedName>
    <definedName name="FDD_167_1" hidden="1">"A31047"</definedName>
    <definedName name="FDD_167_10" hidden="1">"A34334"</definedName>
    <definedName name="FDD_167_11" hidden="1">"A34699"</definedName>
    <definedName name="FDD_167_12" hidden="1">"A35064"</definedName>
    <definedName name="FDD_167_13" hidden="1">"A35430"</definedName>
    <definedName name="FDD_167_14" hidden="1">"A35795"</definedName>
    <definedName name="FDD_167_2" hidden="1">"A31412"</definedName>
    <definedName name="FDD_167_3" hidden="1">"A31777"</definedName>
    <definedName name="FDD_167_4" hidden="1">"A32142"</definedName>
    <definedName name="FDD_167_5" hidden="1">"A32508"</definedName>
    <definedName name="FDD_167_6" hidden="1">"A32873"</definedName>
    <definedName name="FDD_167_7" hidden="1">"A33238"</definedName>
    <definedName name="FDD_167_8" hidden="1">"A33603"</definedName>
    <definedName name="FDD_167_9" hidden="1">"A33969"</definedName>
    <definedName name="FDD_168_0" hidden="1">"E36160"</definedName>
    <definedName name="FDD_168_1" hidden="1">"E36525"</definedName>
    <definedName name="FDD_168_2" hidden="1">"E36891"</definedName>
    <definedName name="FDD_169_0" hidden="1">"A30681"</definedName>
    <definedName name="FDD_169_1" hidden="1">"A31047"</definedName>
    <definedName name="FDD_169_10" hidden="1">"A34334"</definedName>
    <definedName name="FDD_169_11" hidden="1">"A34699"</definedName>
    <definedName name="FDD_169_12" hidden="1">"A35064"</definedName>
    <definedName name="FDD_169_13" hidden="1">"A35430"</definedName>
    <definedName name="FDD_169_14" hidden="1">"A35795"</definedName>
    <definedName name="FDD_169_2" hidden="1">"A31412"</definedName>
    <definedName name="FDD_169_3" hidden="1">"A31777"</definedName>
    <definedName name="FDD_169_4" hidden="1">"A32142"</definedName>
    <definedName name="FDD_169_5" hidden="1">"A32508"</definedName>
    <definedName name="FDD_169_6" hidden="1">"A32873"</definedName>
    <definedName name="FDD_169_7" hidden="1">"A33238"</definedName>
    <definedName name="FDD_169_8" hidden="1">"A33603"</definedName>
    <definedName name="FDD_169_9" hidden="1">"A33969"</definedName>
    <definedName name="FDD_17_0" hidden="1">"A25569"</definedName>
    <definedName name="FDD_170_0" hidden="1">"A30681"</definedName>
    <definedName name="FDD_170_1" hidden="1">"A31047"</definedName>
    <definedName name="FDD_170_10" hidden="1">"A34334"</definedName>
    <definedName name="FDD_170_11" hidden="1">"A34699"</definedName>
    <definedName name="FDD_170_12" hidden="1">"A35064"</definedName>
    <definedName name="FDD_170_13" hidden="1">"A35430"</definedName>
    <definedName name="FDD_170_14" hidden="1">"A35795"</definedName>
    <definedName name="FDD_170_2" hidden="1">"A31412"</definedName>
    <definedName name="FDD_170_3" hidden="1">"A31777"</definedName>
    <definedName name="FDD_170_4" hidden="1">"A32142"</definedName>
    <definedName name="FDD_170_5" hidden="1">"A32508"</definedName>
    <definedName name="FDD_170_6" hidden="1">"A32873"</definedName>
    <definedName name="FDD_170_7" hidden="1">"A33238"</definedName>
    <definedName name="FDD_170_8" hidden="1">"A33603"</definedName>
    <definedName name="FDD_170_9" hidden="1">"A33969"</definedName>
    <definedName name="FDD_171_0" hidden="1">"A30681"</definedName>
    <definedName name="FDD_171_1" hidden="1">"A31047"</definedName>
    <definedName name="FDD_171_10" hidden="1">"A34334"</definedName>
    <definedName name="FDD_171_11" hidden="1">"A34699"</definedName>
    <definedName name="FDD_171_12" hidden="1">"A35064"</definedName>
    <definedName name="FDD_171_13" hidden="1">"A35430"</definedName>
    <definedName name="FDD_171_14" hidden="1">"A35795"</definedName>
    <definedName name="FDD_171_2" hidden="1">"A31412"</definedName>
    <definedName name="FDD_171_3" hidden="1">"A31777"</definedName>
    <definedName name="FDD_171_4" hidden="1">"A32142"</definedName>
    <definedName name="FDD_171_5" hidden="1">"A32508"</definedName>
    <definedName name="FDD_171_6" hidden="1">"A32873"</definedName>
    <definedName name="FDD_171_7" hidden="1">"A33238"</definedName>
    <definedName name="FDD_171_8" hidden="1">"A33603"</definedName>
    <definedName name="FDD_171_9" hidden="1">"A33969"</definedName>
    <definedName name="FDD_172_0" hidden="1">"A30681"</definedName>
    <definedName name="FDD_172_1" hidden="1">"A31047"</definedName>
    <definedName name="FDD_172_10" hidden="1">"A34334"</definedName>
    <definedName name="FDD_172_11" hidden="1">"A34699"</definedName>
    <definedName name="FDD_172_12" hidden="1">"A35064"</definedName>
    <definedName name="FDD_172_13" hidden="1">"A35430"</definedName>
    <definedName name="FDD_172_14" hidden="1">"A35795"</definedName>
    <definedName name="FDD_172_2" hidden="1">"A31412"</definedName>
    <definedName name="FDD_172_3" hidden="1">"A31777"</definedName>
    <definedName name="FDD_172_4" hidden="1">"A32142"</definedName>
    <definedName name="FDD_172_5" hidden="1">"A32508"</definedName>
    <definedName name="FDD_172_6" hidden="1">"A32873"</definedName>
    <definedName name="FDD_172_7" hidden="1">"A33238"</definedName>
    <definedName name="FDD_172_8" hidden="1">"A33603"</definedName>
    <definedName name="FDD_172_9" hidden="1">"A33969"</definedName>
    <definedName name="FDD_173_0" hidden="1">"A30681"</definedName>
    <definedName name="FDD_173_1" hidden="1">"A31047"</definedName>
    <definedName name="FDD_173_10" hidden="1">"A34334"</definedName>
    <definedName name="FDD_173_11" hidden="1">"A34699"</definedName>
    <definedName name="FDD_173_12" hidden="1">"A35064"</definedName>
    <definedName name="FDD_173_13" hidden="1">"A35430"</definedName>
    <definedName name="FDD_173_14" hidden="1">"A35795"</definedName>
    <definedName name="FDD_173_2" hidden="1">"A31412"</definedName>
    <definedName name="FDD_173_3" hidden="1">"A31777"</definedName>
    <definedName name="FDD_173_4" hidden="1">"A32142"</definedName>
    <definedName name="FDD_173_5" hidden="1">"A32508"</definedName>
    <definedName name="FDD_173_6" hidden="1">"A32873"</definedName>
    <definedName name="FDD_173_7" hidden="1">"A33238"</definedName>
    <definedName name="FDD_173_8" hidden="1">"A33603"</definedName>
    <definedName name="FDD_173_9" hidden="1">"A33969"</definedName>
    <definedName name="FDD_174_0" hidden="1">"A30681"</definedName>
    <definedName name="FDD_174_1" hidden="1">"A31047"</definedName>
    <definedName name="FDD_174_10" hidden="1">"A34334"</definedName>
    <definedName name="FDD_174_11" hidden="1">"A34699"</definedName>
    <definedName name="FDD_174_12" hidden="1">"A35064"</definedName>
    <definedName name="FDD_174_13" hidden="1">"A35430"</definedName>
    <definedName name="FDD_174_14" hidden="1">"A35795"</definedName>
    <definedName name="FDD_174_2" hidden="1">"A31412"</definedName>
    <definedName name="FDD_174_3" hidden="1">"A31777"</definedName>
    <definedName name="FDD_174_4" hidden="1">"A32142"</definedName>
    <definedName name="FDD_174_5" hidden="1">"A32508"</definedName>
    <definedName name="FDD_174_6" hidden="1">"A32873"</definedName>
    <definedName name="FDD_174_7" hidden="1">"A33238"</definedName>
    <definedName name="FDD_174_8" hidden="1">"A33603"</definedName>
    <definedName name="FDD_174_9" hidden="1">"A33969"</definedName>
    <definedName name="FDD_175_0" hidden="1">"E36160"</definedName>
    <definedName name="FDD_175_1" hidden="1">"E36525"</definedName>
    <definedName name="FDD_175_2" hidden="1">"E36891"</definedName>
    <definedName name="FDD_176_0" hidden="1">"E36160"</definedName>
    <definedName name="FDD_176_1" hidden="1">"E36525"</definedName>
    <definedName name="FDD_176_2" hidden="1">"E36891"</definedName>
    <definedName name="FDD_177_0" hidden="1">"E36160"</definedName>
    <definedName name="FDD_177_1" hidden="1">"E36525"</definedName>
    <definedName name="FDD_177_2" hidden="1">"E36891"</definedName>
    <definedName name="FDD_178_0" hidden="1">"E36160"</definedName>
    <definedName name="FDD_178_1" hidden="1">"E36525"</definedName>
    <definedName name="FDD_178_2" hidden="1">"E36891"</definedName>
    <definedName name="FDD_179_0" hidden="1">"E36160"</definedName>
    <definedName name="FDD_179_1" hidden="1">"E36525"</definedName>
    <definedName name="FDD_179_2" hidden="1">"E36891"</definedName>
    <definedName name="FDD_18_0" hidden="1">"A25569"</definedName>
    <definedName name="FDD_180_0" hidden="1">"E36160"</definedName>
    <definedName name="FDD_180_1" hidden="1">"E36525"</definedName>
    <definedName name="FDD_180_2" hidden="1">"E36891"</definedName>
    <definedName name="FDD_181_0" hidden="1">"E36160"</definedName>
    <definedName name="FDD_181_1" hidden="1">"E36525"</definedName>
    <definedName name="FDD_181_2" hidden="1">"E36891"</definedName>
    <definedName name="FDD_182_0" hidden="1">"E36160"</definedName>
    <definedName name="FDD_182_1" hidden="1">"E36525"</definedName>
    <definedName name="FDD_182_2" hidden="1">"E36891"</definedName>
    <definedName name="FDD_183_0" hidden="1">"E36160"</definedName>
    <definedName name="FDD_183_1" hidden="1">"E36525"</definedName>
    <definedName name="FDD_183_2" hidden="1">"E36891"</definedName>
    <definedName name="FDD_184_0" hidden="1">"E36160"</definedName>
    <definedName name="FDD_184_1" hidden="1">"E36525"</definedName>
    <definedName name="FDD_184_2" hidden="1">"E36891"</definedName>
    <definedName name="FDD_185_0" hidden="1">"E36160"</definedName>
    <definedName name="FDD_185_1" hidden="1">"E36525"</definedName>
    <definedName name="FDD_185_2" hidden="1">"E36891"</definedName>
    <definedName name="FDD_186_0" hidden="1">"E36160"</definedName>
    <definedName name="FDD_186_1" hidden="1">"E36525"</definedName>
    <definedName name="FDD_186_2" hidden="1">"E36891"</definedName>
    <definedName name="FDD_187_0" hidden="1">"E36160"</definedName>
    <definedName name="FDD_187_1" hidden="1">"E36525"</definedName>
    <definedName name="FDD_187_2" hidden="1">"E36891"</definedName>
    <definedName name="FDD_188_0" hidden="1">"A30681"</definedName>
    <definedName name="FDD_188_1" hidden="1">"A31047"</definedName>
    <definedName name="FDD_188_10" hidden="1">"A34334"</definedName>
    <definedName name="FDD_188_11" hidden="1">"A34699"</definedName>
    <definedName name="FDD_188_12" hidden="1">"A35064"</definedName>
    <definedName name="FDD_188_13" hidden="1">"A35430"</definedName>
    <definedName name="FDD_188_14" hidden="1">"A35795"</definedName>
    <definedName name="FDD_188_2" hidden="1">"A31412"</definedName>
    <definedName name="FDD_188_3" hidden="1">"A31777"</definedName>
    <definedName name="FDD_188_4" hidden="1">"A32142"</definedName>
    <definedName name="FDD_188_5" hidden="1">"A32508"</definedName>
    <definedName name="FDD_188_6" hidden="1">"A32873"</definedName>
    <definedName name="FDD_188_7" hidden="1">"A33238"</definedName>
    <definedName name="FDD_188_8" hidden="1">"A33603"</definedName>
    <definedName name="FDD_188_9" hidden="1">"A33969"</definedName>
    <definedName name="FDD_189_0" hidden="1">"A30681"</definedName>
    <definedName name="FDD_189_1" hidden="1">"A31047"</definedName>
    <definedName name="FDD_189_10" hidden="1">"A34334"</definedName>
    <definedName name="FDD_189_11" hidden="1">"A34699"</definedName>
    <definedName name="FDD_189_12" hidden="1">"A35064"</definedName>
    <definedName name="FDD_189_13" hidden="1">"A35430"</definedName>
    <definedName name="FDD_189_14" hidden="1">"A35795"</definedName>
    <definedName name="FDD_189_2" hidden="1">"A31412"</definedName>
    <definedName name="FDD_189_3" hidden="1">"A31777"</definedName>
    <definedName name="FDD_189_4" hidden="1">"A32142"</definedName>
    <definedName name="FDD_189_5" hidden="1">"A32508"</definedName>
    <definedName name="FDD_189_6" hidden="1">"A32873"</definedName>
    <definedName name="FDD_189_7" hidden="1">"A33238"</definedName>
    <definedName name="FDD_189_8" hidden="1">"A33603"</definedName>
    <definedName name="FDD_189_9" hidden="1">"A33969"</definedName>
    <definedName name="FDD_19_0" hidden="1">"A25569"</definedName>
    <definedName name="FDD_190_0" hidden="1">"A30681"</definedName>
    <definedName name="FDD_190_1" hidden="1">"A31047"</definedName>
    <definedName name="FDD_190_10" hidden="1">"A34334"</definedName>
    <definedName name="FDD_190_11" hidden="1">"A34699"</definedName>
    <definedName name="FDD_190_12" hidden="1">"A35064"</definedName>
    <definedName name="FDD_190_13" hidden="1">"A35430"</definedName>
    <definedName name="FDD_190_14" hidden="1">"A35795"</definedName>
    <definedName name="FDD_190_2" hidden="1">"A31412"</definedName>
    <definedName name="FDD_190_3" hidden="1">"A31777"</definedName>
    <definedName name="FDD_190_4" hidden="1">"A32142"</definedName>
    <definedName name="FDD_190_5" hidden="1">"A32508"</definedName>
    <definedName name="FDD_190_6" hidden="1">"A32873"</definedName>
    <definedName name="FDD_190_7" hidden="1">"A33238"</definedName>
    <definedName name="FDD_190_8" hidden="1">"A33603"</definedName>
    <definedName name="FDD_190_9" hidden="1">"A33969"</definedName>
    <definedName name="FDD_191_0" hidden="1">"A30681"</definedName>
    <definedName name="FDD_191_1" hidden="1">"A31047"</definedName>
    <definedName name="FDD_191_10" hidden="1">"A34334"</definedName>
    <definedName name="FDD_191_11" hidden="1">"A34699"</definedName>
    <definedName name="FDD_191_12" hidden="1">"A35064"</definedName>
    <definedName name="FDD_191_13" hidden="1">"A35430"</definedName>
    <definedName name="FDD_191_14" hidden="1">"A35795"</definedName>
    <definedName name="FDD_191_2" hidden="1">"A31412"</definedName>
    <definedName name="FDD_191_3" hidden="1">"A31777"</definedName>
    <definedName name="FDD_191_4" hidden="1">"A32142"</definedName>
    <definedName name="FDD_191_5" hidden="1">"A32508"</definedName>
    <definedName name="FDD_191_6" hidden="1">"A32873"</definedName>
    <definedName name="FDD_191_7" hidden="1">"A33238"</definedName>
    <definedName name="FDD_191_8" hidden="1">"A33603"</definedName>
    <definedName name="FDD_191_9" hidden="1">"A33969"</definedName>
    <definedName name="FDD_192_0" hidden="1">"E36160"</definedName>
    <definedName name="FDD_192_1" hidden="1">"E36525"</definedName>
    <definedName name="FDD_192_2" hidden="1">"E36891"</definedName>
    <definedName name="FDD_193_0" hidden="1">"A30681"</definedName>
    <definedName name="FDD_193_1" hidden="1">"A31047"</definedName>
    <definedName name="FDD_193_10" hidden="1">"A34334"</definedName>
    <definedName name="FDD_193_11" hidden="1">"A34699"</definedName>
    <definedName name="FDD_193_12" hidden="1">"A35064"</definedName>
    <definedName name="FDD_193_13" hidden="1">"A35430"</definedName>
    <definedName name="FDD_193_14" hidden="1">"A35795"</definedName>
    <definedName name="FDD_193_2" hidden="1">"A31412"</definedName>
    <definedName name="FDD_193_3" hidden="1">"A31777"</definedName>
    <definedName name="FDD_193_4" hidden="1">"A32142"</definedName>
    <definedName name="FDD_193_5" hidden="1">"A32508"</definedName>
    <definedName name="FDD_193_6" hidden="1">"A32873"</definedName>
    <definedName name="FDD_193_7" hidden="1">"A33238"</definedName>
    <definedName name="FDD_193_8" hidden="1">"A33603"</definedName>
    <definedName name="FDD_193_9" hidden="1">"A33969"</definedName>
    <definedName name="FDD_194_0" hidden="1">"A30681"</definedName>
    <definedName name="FDD_194_1" hidden="1">"A31047"</definedName>
    <definedName name="FDD_194_10" hidden="1">"A34334"</definedName>
    <definedName name="FDD_194_11" hidden="1">"A34699"</definedName>
    <definedName name="FDD_194_12" hidden="1">"A35064"</definedName>
    <definedName name="FDD_194_13" hidden="1">"A35430"</definedName>
    <definedName name="FDD_194_14" hidden="1">"A35795"</definedName>
    <definedName name="FDD_194_2" hidden="1">"A31412"</definedName>
    <definedName name="FDD_194_3" hidden="1">"A31777"</definedName>
    <definedName name="FDD_194_4" hidden="1">"A32142"</definedName>
    <definedName name="FDD_194_5" hidden="1">"A32508"</definedName>
    <definedName name="FDD_194_6" hidden="1">"A32873"</definedName>
    <definedName name="FDD_194_7" hidden="1">"A33238"</definedName>
    <definedName name="FDD_194_8" hidden="1">"A33603"</definedName>
    <definedName name="FDD_194_9" hidden="1">"A33969"</definedName>
    <definedName name="FDD_195_0" hidden="1">"A30681"</definedName>
    <definedName name="FDD_195_1" hidden="1">"A31047"</definedName>
    <definedName name="FDD_195_10" hidden="1">"A34334"</definedName>
    <definedName name="FDD_195_11" hidden="1">"A34699"</definedName>
    <definedName name="FDD_195_12" hidden="1">"A35064"</definedName>
    <definedName name="FDD_195_13" hidden="1">"A35430"</definedName>
    <definedName name="FDD_195_14" hidden="1">"A35795"</definedName>
    <definedName name="FDD_195_2" hidden="1">"A31412"</definedName>
    <definedName name="FDD_195_3" hidden="1">"A31777"</definedName>
    <definedName name="FDD_195_4" hidden="1">"A32142"</definedName>
    <definedName name="FDD_195_5" hidden="1">"A32508"</definedName>
    <definedName name="FDD_195_6" hidden="1">"A32873"</definedName>
    <definedName name="FDD_195_7" hidden="1">"A33238"</definedName>
    <definedName name="FDD_195_8" hidden="1">"A33603"</definedName>
    <definedName name="FDD_195_9" hidden="1">"A33969"</definedName>
    <definedName name="FDD_196_0" hidden="1">"E36160"</definedName>
    <definedName name="FDD_196_1" hidden="1">"E36525"</definedName>
    <definedName name="FDD_196_2" hidden="1">"E36891"</definedName>
    <definedName name="FDD_197_0" hidden="1">"A30681"</definedName>
    <definedName name="FDD_197_1" hidden="1">"A31047"</definedName>
    <definedName name="FDD_197_10" hidden="1">"A34334"</definedName>
    <definedName name="FDD_197_11" hidden="1">"A34699"</definedName>
    <definedName name="FDD_197_12" hidden="1">"A35064"</definedName>
    <definedName name="FDD_197_13" hidden="1">"A35430"</definedName>
    <definedName name="FDD_197_14" hidden="1">"A35795"</definedName>
    <definedName name="FDD_197_2" hidden="1">"A31412"</definedName>
    <definedName name="FDD_197_3" hidden="1">"A31777"</definedName>
    <definedName name="FDD_197_4" hidden="1">"A32142"</definedName>
    <definedName name="FDD_197_5" hidden="1">"A32508"</definedName>
    <definedName name="FDD_197_6" hidden="1">"A32873"</definedName>
    <definedName name="FDD_197_7" hidden="1">"A33238"</definedName>
    <definedName name="FDD_197_8" hidden="1">"A33603"</definedName>
    <definedName name="FDD_197_9" hidden="1">"A33969"</definedName>
    <definedName name="FDD_198_0" hidden="1">"A30681"</definedName>
    <definedName name="FDD_198_1" hidden="1">"A31047"</definedName>
    <definedName name="FDD_198_10" hidden="1">"U34334"</definedName>
    <definedName name="FDD_198_11" hidden="1">"U34699"</definedName>
    <definedName name="FDD_198_12" hidden="1">"U35064"</definedName>
    <definedName name="FDD_198_13" hidden="1">"U35430"</definedName>
    <definedName name="FDD_198_14" hidden="1">"U35795"</definedName>
    <definedName name="FDD_198_2" hidden="1">"A31412"</definedName>
    <definedName name="FDD_198_3" hidden="1">"U31777"</definedName>
    <definedName name="FDD_198_4" hidden="1">"U32142"</definedName>
    <definedName name="FDD_198_5" hidden="1">"U32508"</definedName>
    <definedName name="FDD_198_6" hidden="1">"U32873"</definedName>
    <definedName name="FDD_198_7" hidden="1">"U33238"</definedName>
    <definedName name="FDD_198_8" hidden="1">"U33603"</definedName>
    <definedName name="FDD_198_9" hidden="1">"U33969"</definedName>
    <definedName name="FDD_199_0" hidden="1">"E36160"</definedName>
    <definedName name="FDD_199_1" hidden="1">"E36525"</definedName>
    <definedName name="FDD_199_2" hidden="1">"E36891"</definedName>
    <definedName name="FDD_2_0" hidden="1">"A25569"</definedName>
    <definedName name="FDD_20_0" hidden="1">"A25569"</definedName>
    <definedName name="FDD_200_0" hidden="1">"E36160"</definedName>
    <definedName name="FDD_200_1" hidden="1">"E36525"</definedName>
    <definedName name="FDD_200_2" hidden="1">"E36891"</definedName>
    <definedName name="FDD_201_0" hidden="1">"A30681"</definedName>
    <definedName name="FDD_201_1" hidden="1">"A31047"</definedName>
    <definedName name="FDD_201_10" hidden="1">"A34334"</definedName>
    <definedName name="FDD_201_11" hidden="1">"A34699"</definedName>
    <definedName name="FDD_201_12" hidden="1">"A35064"</definedName>
    <definedName name="FDD_201_13" hidden="1">"A35430"</definedName>
    <definedName name="FDD_201_14" hidden="1">"A35795"</definedName>
    <definedName name="FDD_201_2" hidden="1">"A31412"</definedName>
    <definedName name="FDD_201_3" hidden="1">"A31777"</definedName>
    <definedName name="FDD_201_4" hidden="1">"A32142"</definedName>
    <definedName name="FDD_201_5" hidden="1">"A32508"</definedName>
    <definedName name="FDD_201_6" hidden="1">"A32873"</definedName>
    <definedName name="FDD_201_7" hidden="1">"A33238"</definedName>
    <definedName name="FDD_201_8" hidden="1">"A33603"</definedName>
    <definedName name="FDD_201_9" hidden="1">"A33969"</definedName>
    <definedName name="FDD_202_0" hidden="1">"A30681"</definedName>
    <definedName name="FDD_202_1" hidden="1">"A31047"</definedName>
    <definedName name="FDD_202_10" hidden="1">"A34334"</definedName>
    <definedName name="FDD_202_11" hidden="1">"A34699"</definedName>
    <definedName name="FDD_202_12" hidden="1">"A35064"</definedName>
    <definedName name="FDD_202_13" hidden="1">"A35430"</definedName>
    <definedName name="FDD_202_14" hidden="1">"A35795"</definedName>
    <definedName name="FDD_202_2" hidden="1">"A31412"</definedName>
    <definedName name="FDD_202_3" hidden="1">"A31777"</definedName>
    <definedName name="FDD_202_4" hidden="1">"A32142"</definedName>
    <definedName name="FDD_202_5" hidden="1">"A32508"</definedName>
    <definedName name="FDD_202_6" hidden="1">"A32873"</definedName>
    <definedName name="FDD_202_7" hidden="1">"A33238"</definedName>
    <definedName name="FDD_202_8" hidden="1">"A33603"</definedName>
    <definedName name="FDD_202_9" hidden="1">"A33969"</definedName>
    <definedName name="FDD_203_0" hidden="1">"E36160"</definedName>
    <definedName name="FDD_203_1" hidden="1">"E36525"</definedName>
    <definedName name="FDD_203_2" hidden="1">"E36891"</definedName>
    <definedName name="FDD_204_0" hidden="1">"A25569"</definedName>
    <definedName name="FDD_205_0" hidden="1">"A25569"</definedName>
    <definedName name="FDD_206_0" hidden="1">"A25569"</definedName>
    <definedName name="FDD_207_0" hidden="1">"A25569"</definedName>
    <definedName name="FDD_208_0" hidden="1">"E36160"</definedName>
    <definedName name="FDD_208_1" hidden="1">"E36525"</definedName>
    <definedName name="FDD_208_2" hidden="1">"E36891"</definedName>
    <definedName name="FDD_209_0" hidden="1">"A25569"</definedName>
    <definedName name="FDD_21_0" hidden="1">"A25569"</definedName>
    <definedName name="FDD_210_0" hidden="1">"A25569"</definedName>
    <definedName name="FDD_211_0" hidden="1">"A25569"</definedName>
    <definedName name="FDD_212_0" hidden="1">"A25569"</definedName>
    <definedName name="FDD_213_0" hidden="1">"E36160"</definedName>
    <definedName name="FDD_213_1" hidden="1">"E36525"</definedName>
    <definedName name="FDD_213_2" hidden="1">"E36891"</definedName>
    <definedName name="FDD_214_0" hidden="1">"A25569"</definedName>
    <definedName name="FDD_215_0" hidden="1">"A25569"</definedName>
    <definedName name="FDD_216_0" hidden="1">"A25569"</definedName>
    <definedName name="FDD_217_0" hidden="1">"A25569"</definedName>
    <definedName name="FDD_218_0" hidden="1">"E36160"</definedName>
    <definedName name="FDD_218_1" hidden="1">"E36525"</definedName>
    <definedName name="FDD_218_2" hidden="1">"E36891"</definedName>
    <definedName name="FDD_219_0" hidden="1">"U25569"</definedName>
    <definedName name="FDD_22_0" hidden="1">"A25569"</definedName>
    <definedName name="FDD_220_0" hidden="1">"U25569"</definedName>
    <definedName name="FDD_221_0" hidden="1">"U25569"</definedName>
    <definedName name="FDD_222_0" hidden="1">"U25569"</definedName>
    <definedName name="FDD_223_0" hidden="1">"E36160"</definedName>
    <definedName name="FDD_223_1" hidden="1">"E36525"</definedName>
    <definedName name="FDD_223_2" hidden="1">"E36891"</definedName>
    <definedName name="FDD_224_0" hidden="1">"A25569"</definedName>
    <definedName name="FDD_225_0" hidden="1">"A25569"</definedName>
    <definedName name="FDD_226_0" hidden="1">"A25569"</definedName>
    <definedName name="FDD_227_0" hidden="1">"A25569"</definedName>
    <definedName name="FDD_228_0" hidden="1">"E36160"</definedName>
    <definedName name="FDD_228_1" hidden="1">"E36525"</definedName>
    <definedName name="FDD_228_2" hidden="1">"E36891"</definedName>
    <definedName name="FDD_229_0" hidden="1">"A25569"</definedName>
    <definedName name="FDD_23_0" hidden="1">"A25569"</definedName>
    <definedName name="FDD_230_0" hidden="1">"A25569"</definedName>
    <definedName name="FDD_231_0" hidden="1">"A25569"</definedName>
    <definedName name="FDD_232_0" hidden="1">"A25569"</definedName>
    <definedName name="FDD_233_0" hidden="1">"A25569"</definedName>
    <definedName name="FDD_234_0" hidden="1">"A25569"</definedName>
    <definedName name="FDD_235_0" hidden="1">"A25569"</definedName>
    <definedName name="FDD_236_0" hidden="1">"A25569"</definedName>
    <definedName name="FDD_237_0" hidden="1">"A25569"</definedName>
    <definedName name="FDD_238_0" hidden="1">"A30681"</definedName>
    <definedName name="FDD_238_1" hidden="1">"A31047"</definedName>
    <definedName name="FDD_238_10" hidden="1">"A34334"</definedName>
    <definedName name="FDD_238_11" hidden="1">"A34699"</definedName>
    <definedName name="FDD_238_12" hidden="1">"A35064"</definedName>
    <definedName name="FDD_238_13" hidden="1">"A35430"</definedName>
    <definedName name="FDD_238_14" hidden="1">"A35795"</definedName>
    <definedName name="FDD_238_2" hidden="1">"A31412"</definedName>
    <definedName name="FDD_238_3" hidden="1">"A31777"</definedName>
    <definedName name="FDD_238_4" hidden="1">"A32142"</definedName>
    <definedName name="FDD_238_5" hidden="1">"A32508"</definedName>
    <definedName name="FDD_238_6" hidden="1">"A32873"</definedName>
    <definedName name="FDD_238_7" hidden="1">"A33238"</definedName>
    <definedName name="FDD_238_8" hidden="1">"A33603"</definedName>
    <definedName name="FDD_238_9" hidden="1">"A33969"</definedName>
    <definedName name="FDD_24_0" hidden="1">"A25569"</definedName>
    <definedName name="FDD_243_0" hidden="1">"E36160"</definedName>
    <definedName name="FDD_243_1" hidden="1">"E36525"</definedName>
    <definedName name="FDD_243_2" hidden="1">"E36891"</definedName>
    <definedName name="FDD_244_0" hidden="1">"A25569"</definedName>
    <definedName name="FDD_245_0" hidden="1">"A25569"</definedName>
    <definedName name="FDD_246_0" hidden="1">"A25569"</definedName>
    <definedName name="FDD_247_0" hidden="1">"A25569"</definedName>
    <definedName name="FDD_248_0" hidden="1">"E36160"</definedName>
    <definedName name="FDD_248_1" hidden="1">"E36525"</definedName>
    <definedName name="FDD_248_2" hidden="1">"E36891"</definedName>
    <definedName name="FDD_249_0" hidden="1">"A25569"</definedName>
    <definedName name="FDD_25_0" hidden="1">"A25569"</definedName>
    <definedName name="FDD_250_0" hidden="1">"A25569"</definedName>
    <definedName name="FDD_251_0" hidden="1">"A25569"</definedName>
    <definedName name="FDD_252_0" hidden="1">"A25569"</definedName>
    <definedName name="FDD_253_0" hidden="1">"E36160"</definedName>
    <definedName name="FDD_253_1" hidden="1">"E36525"</definedName>
    <definedName name="FDD_253_2" hidden="1">"E36891"</definedName>
    <definedName name="FDD_254_0" hidden="1">"E36160"</definedName>
    <definedName name="FDD_254_1" hidden="1">"E36525"</definedName>
    <definedName name="FDD_254_2" hidden="1">"E36891"</definedName>
    <definedName name="FDD_255_0" hidden="1">"E36160"</definedName>
    <definedName name="FDD_255_1" hidden="1">"E36525"</definedName>
    <definedName name="FDD_255_2" hidden="1">"E36891"</definedName>
    <definedName name="FDD_256_0" hidden="1">"U36160"</definedName>
    <definedName name="FDD_256_1" hidden="1">"U36525"</definedName>
    <definedName name="FDD_256_2" hidden="1">"U36891"</definedName>
    <definedName name="FDD_257_0" hidden="1">"E36160"</definedName>
    <definedName name="FDD_257_1" hidden="1">"E36525"</definedName>
    <definedName name="FDD_257_2" hidden="1">"E36891"</definedName>
    <definedName name="FDD_258_0" hidden="1">"E36160"</definedName>
    <definedName name="FDD_258_1" hidden="1">"E36525"</definedName>
    <definedName name="FDD_258_2" hidden="1">"E36891"</definedName>
    <definedName name="FDD_259_0" hidden="1">"E36160"</definedName>
    <definedName name="FDD_259_1" hidden="1">"E36525"</definedName>
    <definedName name="FDD_259_2" hidden="1">"E36891"</definedName>
    <definedName name="FDD_26_0" hidden="1">"A25569"</definedName>
    <definedName name="FDD_260_0" hidden="1">"E36160"</definedName>
    <definedName name="FDD_260_1" hidden="1">"E36525"</definedName>
    <definedName name="FDD_260_2" hidden="1">"E36891"</definedName>
    <definedName name="FDD_261_0" hidden="1">"E36160"</definedName>
    <definedName name="FDD_261_1" hidden="1">"E36525"</definedName>
    <definedName name="FDD_261_2" hidden="1">"E36891"</definedName>
    <definedName name="FDD_264_0" hidden="1">"E36160"</definedName>
    <definedName name="FDD_264_1" hidden="1">"E36525"</definedName>
    <definedName name="FDD_264_2" hidden="1">"E36891"</definedName>
    <definedName name="FDD_265_0" hidden="1">"A25569"</definedName>
    <definedName name="FDD_266_0" hidden="1">"A25569"</definedName>
    <definedName name="FDD_267_0" hidden="1">"A25569"</definedName>
    <definedName name="FDD_268_0" hidden="1">"A25569"</definedName>
    <definedName name="FDD_269_0" hidden="1">"E36160"</definedName>
    <definedName name="FDD_269_1" hidden="1">"E36525"</definedName>
    <definedName name="FDD_269_2" hidden="1">"E36891"</definedName>
    <definedName name="FDD_27_0" hidden="1">"A25569"</definedName>
    <definedName name="FDD_270_0" hidden="1">"A25569"</definedName>
    <definedName name="FDD_271_0" hidden="1">"A25569"</definedName>
    <definedName name="FDD_272_0" hidden="1">"A25569"</definedName>
    <definedName name="FDD_273_0" hidden="1">"A25569"</definedName>
    <definedName name="FDD_274_0" hidden="1">"E36160"</definedName>
    <definedName name="FDD_274_1" hidden="1">"E36525"</definedName>
    <definedName name="FDD_274_2" hidden="1">"E36891"</definedName>
    <definedName name="FDD_275_0" hidden="1">"A25569"</definedName>
    <definedName name="FDD_276_0" hidden="1">"A25569"</definedName>
    <definedName name="FDD_277_0" hidden="1">"A25569"</definedName>
    <definedName name="FDD_278_0" hidden="1">"A25569"</definedName>
    <definedName name="FDD_279_0" hidden="1">"E36160"</definedName>
    <definedName name="FDD_279_1" hidden="1">"E36525"</definedName>
    <definedName name="FDD_279_2" hidden="1">"E36891"</definedName>
    <definedName name="FDD_28_0" hidden="1">"A25569"</definedName>
    <definedName name="FDD_280_0" hidden="1">"E36160"</definedName>
    <definedName name="FDD_280_1" hidden="1">"E36525"</definedName>
    <definedName name="FDD_280_2" hidden="1">"E36891"</definedName>
    <definedName name="FDD_281_0" hidden="1">"E36160"</definedName>
    <definedName name="FDD_281_1" hidden="1">"E36525"</definedName>
    <definedName name="FDD_281_2" hidden="1">"E36891"</definedName>
    <definedName name="FDD_282_0" hidden="1">"E36160"</definedName>
    <definedName name="FDD_282_1" hidden="1">"E36525"</definedName>
    <definedName name="FDD_282_2" hidden="1">"E36891"</definedName>
    <definedName name="FDD_283_0" hidden="1">"E36160"</definedName>
    <definedName name="FDD_283_1" hidden="1">"E36525"</definedName>
    <definedName name="FDD_283_2" hidden="1">"E36891"</definedName>
    <definedName name="FDD_284_0" hidden="1">"A30681"</definedName>
    <definedName name="FDD_284_1" hidden="1">"A31047"</definedName>
    <definedName name="FDD_284_10" hidden="1">"A34334"</definedName>
    <definedName name="FDD_284_11" hidden="1">"A34699"</definedName>
    <definedName name="FDD_284_12" hidden="1">"A35064"</definedName>
    <definedName name="FDD_284_13" hidden="1">"A35430"</definedName>
    <definedName name="FDD_284_14" hidden="1">"A35795"</definedName>
    <definedName name="FDD_284_2" hidden="1">"A31412"</definedName>
    <definedName name="FDD_284_3" hidden="1">"A31777"</definedName>
    <definedName name="FDD_284_4" hidden="1">"A32142"</definedName>
    <definedName name="FDD_284_5" hidden="1">"A32508"</definedName>
    <definedName name="FDD_284_6" hidden="1">"A32873"</definedName>
    <definedName name="FDD_284_7" hidden="1">"A33238"</definedName>
    <definedName name="FDD_284_8" hidden="1">"A33603"</definedName>
    <definedName name="FDD_284_9" hidden="1">"A33969"</definedName>
    <definedName name="FDD_285_0" hidden="1">"A35795"</definedName>
    <definedName name="FDD_285_1" hidden="1">"E36160"</definedName>
    <definedName name="FDD_285_10" hidden="1">"E39447"</definedName>
    <definedName name="FDD_285_11" hidden="1">"E39813"</definedName>
    <definedName name="FDD_285_12" hidden="1">"E40178"</definedName>
    <definedName name="FDD_285_13" hidden="1">"E40543"</definedName>
    <definedName name="FDD_285_14" hidden="1">"E40908"</definedName>
    <definedName name="FDD_285_15" hidden="1">"E41274"</definedName>
    <definedName name="FDD_285_16" hidden="1">"E41639"</definedName>
    <definedName name="FDD_285_17" hidden="1">"E42004"</definedName>
    <definedName name="FDD_285_18" hidden="1">"E42369"</definedName>
    <definedName name="FDD_285_19" hidden="1">"E42735"</definedName>
    <definedName name="FDD_285_2" hidden="1">"E36525"</definedName>
    <definedName name="FDD_285_20" hidden="1">"E43100"</definedName>
    <definedName name="FDD_285_21" hidden="1">"E43465"</definedName>
    <definedName name="FDD_285_22" hidden="1">"E43830"</definedName>
    <definedName name="FDD_285_23" hidden="1">"E44196"</definedName>
    <definedName name="FDD_285_24" hidden="1">"E44561"</definedName>
    <definedName name="FDD_285_25" hidden="1">"E44926"</definedName>
    <definedName name="FDD_285_3" hidden="1">"E36891"</definedName>
    <definedName name="FDD_285_4" hidden="1">"E37256"</definedName>
    <definedName name="FDD_285_5" hidden="1">"E37621"</definedName>
    <definedName name="FDD_285_6" hidden="1">"E37986"</definedName>
    <definedName name="FDD_285_7" hidden="1">"E38352"</definedName>
    <definedName name="FDD_285_8" hidden="1">"E38717"</definedName>
    <definedName name="FDD_285_9" hidden="1">"E39082"</definedName>
    <definedName name="FDD_286_0" hidden="1">"E36160"</definedName>
    <definedName name="FDD_286_1" hidden="1">"E36525"</definedName>
    <definedName name="FDD_286_10" hidden="1">"E39813"</definedName>
    <definedName name="FDD_286_11" hidden="1">"E40178"</definedName>
    <definedName name="FDD_286_12" hidden="1">"E40543"</definedName>
    <definedName name="FDD_286_13" hidden="1">"E40908"</definedName>
    <definedName name="FDD_286_14" hidden="1">"E41274"</definedName>
    <definedName name="FDD_286_15" hidden="1">"E41639"</definedName>
    <definedName name="FDD_286_16" hidden="1">"E42004"</definedName>
    <definedName name="FDD_286_17" hidden="1">"E42369"</definedName>
    <definedName name="FDD_286_18" hidden="1">"E42735"</definedName>
    <definedName name="FDD_286_19" hidden="1">"E43100"</definedName>
    <definedName name="FDD_286_2" hidden="1">"E36891"</definedName>
    <definedName name="FDD_286_20" hidden="1">"E43465"</definedName>
    <definedName name="FDD_286_21" hidden="1">"E43830"</definedName>
    <definedName name="FDD_286_22" hidden="1">"E44196"</definedName>
    <definedName name="FDD_286_23" hidden="1">"E44561"</definedName>
    <definedName name="FDD_286_24" hidden="1">"E44926"</definedName>
    <definedName name="FDD_286_3" hidden="1">"E37256"</definedName>
    <definedName name="FDD_286_4" hidden="1">"E37621"</definedName>
    <definedName name="FDD_286_5" hidden="1">"E37986"</definedName>
    <definedName name="FDD_286_6" hidden="1">"E38352"</definedName>
    <definedName name="FDD_286_7" hidden="1">"E38717"</definedName>
    <definedName name="FDD_286_8" hidden="1">"E39082"</definedName>
    <definedName name="FDD_286_9" hidden="1">"E39447"</definedName>
    <definedName name="FDD_287_0" hidden="1">"A25569"</definedName>
    <definedName name="FDD_288_0" hidden="1">"A25569"</definedName>
    <definedName name="FDD_289_0" hidden="1">"A36890"</definedName>
    <definedName name="FDD_29_0" hidden="1">"A25569"</definedName>
    <definedName name="FDD_290_0" hidden="1">"A36890"</definedName>
    <definedName name="FDD_291_0" hidden="1">"A25569"</definedName>
    <definedName name="FDD_295_0" hidden="1">"U25569"</definedName>
    <definedName name="FDD_296_0" hidden="1">"A25569"</definedName>
    <definedName name="FDD_297_0" hidden="1">"A25569"</definedName>
    <definedName name="FDD_298_0" hidden="1">"A25569"</definedName>
    <definedName name="FDD_299_0" hidden="1">"A25569"</definedName>
    <definedName name="FDD_3_0" hidden="1">"A25569"</definedName>
    <definedName name="FDD_30_0" hidden="1">"A25569"</definedName>
    <definedName name="FDD_300_0" hidden="1">"U25569"</definedName>
    <definedName name="FDD_301_0" hidden="1">"U35795"</definedName>
    <definedName name="FDD_301_1" hidden="1">"U36160"</definedName>
    <definedName name="FDD_301_2" hidden="1">"U36525"</definedName>
    <definedName name="FDD_302_0" hidden="1">"U35795"</definedName>
    <definedName name="FDD_302_1" hidden="1">"U36160"</definedName>
    <definedName name="FDD_302_2" hidden="1">"U36525"</definedName>
    <definedName name="FDD_303_0" hidden="1">"U35795"</definedName>
    <definedName name="FDD_303_1" hidden="1">"U36160"</definedName>
    <definedName name="FDD_303_2" hidden="1">"U36525"</definedName>
    <definedName name="FDD_304_0" hidden="1">"U35795"</definedName>
    <definedName name="FDD_304_1" hidden="1">"U36160"</definedName>
    <definedName name="FDD_304_2" hidden="1">"U36525"</definedName>
    <definedName name="FDD_305_0" hidden="1">"A30681"</definedName>
    <definedName name="FDD_305_1" hidden="1">"A31047"</definedName>
    <definedName name="FDD_305_10" hidden="1">"U34334"</definedName>
    <definedName name="FDD_305_11" hidden="1">"U34699"</definedName>
    <definedName name="FDD_305_12" hidden="1">"U35064"</definedName>
    <definedName name="FDD_305_13" hidden="1">"U35430"</definedName>
    <definedName name="FDD_305_14" hidden="1">"U35795"</definedName>
    <definedName name="FDD_305_2" hidden="1">"A31412"</definedName>
    <definedName name="FDD_305_3" hidden="1">"U31777"</definedName>
    <definedName name="FDD_305_4" hidden="1">"U32142"</definedName>
    <definedName name="FDD_305_5" hidden="1">"U32508"</definedName>
    <definedName name="FDD_305_6" hidden="1">"U32873"</definedName>
    <definedName name="FDD_305_7" hidden="1">"U33238"</definedName>
    <definedName name="FDD_305_8" hidden="1">"U33603"</definedName>
    <definedName name="FDD_305_9" hidden="1">"U33969"</definedName>
    <definedName name="FDD_306_0" hidden="1">"U35795"</definedName>
    <definedName name="FDD_306_1" hidden="1">"E36160"</definedName>
    <definedName name="FDD_306_2" hidden="1">"U36525"</definedName>
    <definedName name="FDD_307_0" hidden="1">"A35795"</definedName>
    <definedName name="FDD_307_1" hidden="1">"U36160"</definedName>
    <definedName name="FDD_307_2" hidden="1">"U36525"</definedName>
    <definedName name="FDD_31_0" hidden="1">"A25569"</definedName>
    <definedName name="FDD_32_0" hidden="1">"A25569"</definedName>
    <definedName name="FDD_33_0" hidden="1">"A25569"</definedName>
    <definedName name="FDD_34_0" hidden="1">"A25569"</definedName>
    <definedName name="FDD_35_0" hidden="1">"A25569"</definedName>
    <definedName name="FDD_36_0" hidden="1">"A25569"</definedName>
    <definedName name="FDD_37_0" hidden="1">"A25569"</definedName>
    <definedName name="FDD_38_0" hidden="1">"A25569"</definedName>
    <definedName name="FDD_39_0" hidden="1">"A25569"</definedName>
    <definedName name="FDD_4_0" hidden="1">"A25569"</definedName>
    <definedName name="FDD_40_0" hidden="1">"A25569"</definedName>
    <definedName name="FDD_41_0" hidden="1">"U25569"</definedName>
    <definedName name="FDD_42_0" hidden="1">"U25569"</definedName>
    <definedName name="FDD_43_0" hidden="1">"A25569"</definedName>
    <definedName name="FDD_44_0" hidden="1">"A30681"</definedName>
    <definedName name="FDD_44_1" hidden="1">"A31047"</definedName>
    <definedName name="FDD_44_10" hidden="1">"A34334"</definedName>
    <definedName name="FDD_44_11" hidden="1">"A34699"</definedName>
    <definedName name="FDD_44_12" hidden="1">"A35064"</definedName>
    <definedName name="FDD_44_13" hidden="1">"A35430"</definedName>
    <definedName name="FDD_44_14" hidden="1">"A35795"</definedName>
    <definedName name="FDD_44_2" hidden="1">"A31412"</definedName>
    <definedName name="FDD_44_3" hidden="1">"A31777"</definedName>
    <definedName name="FDD_44_4" hidden="1">"A32142"</definedName>
    <definedName name="FDD_44_5" hidden="1">"A32508"</definedName>
    <definedName name="FDD_44_6" hidden="1">"A32873"</definedName>
    <definedName name="FDD_44_7" hidden="1">"A33238"</definedName>
    <definedName name="FDD_44_8" hidden="1">"A33603"</definedName>
    <definedName name="FDD_44_9" hidden="1">"A33969"</definedName>
    <definedName name="FDD_45_0" hidden="1">"A30681"</definedName>
    <definedName name="FDD_45_1" hidden="1">"A31047"</definedName>
    <definedName name="FDD_45_10" hidden="1">"A34334"</definedName>
    <definedName name="FDD_45_11" hidden="1">"A34699"</definedName>
    <definedName name="FDD_45_12" hidden="1">"A35064"</definedName>
    <definedName name="FDD_45_13" hidden="1">"A35430"</definedName>
    <definedName name="FDD_45_14" hidden="1">"A35795"</definedName>
    <definedName name="FDD_45_2" hidden="1">"A31412"</definedName>
    <definedName name="FDD_45_3" hidden="1">"A31777"</definedName>
    <definedName name="FDD_45_4" hidden="1">"A32142"</definedName>
    <definedName name="FDD_45_5" hidden="1">"A32508"</definedName>
    <definedName name="FDD_45_6" hidden="1">"A32873"</definedName>
    <definedName name="FDD_45_7" hidden="1">"A33238"</definedName>
    <definedName name="FDD_45_8" hidden="1">"A33603"</definedName>
    <definedName name="FDD_45_9" hidden="1">"A33969"</definedName>
    <definedName name="FDD_46_0" hidden="1">"A30681"</definedName>
    <definedName name="FDD_46_1" hidden="1">"A31047"</definedName>
    <definedName name="FDD_46_10" hidden="1">"A34334"</definedName>
    <definedName name="FDD_46_11" hidden="1">"A34699"</definedName>
    <definedName name="FDD_46_12" hidden="1">"A35064"</definedName>
    <definedName name="FDD_46_13" hidden="1">"A35430"</definedName>
    <definedName name="FDD_46_14" hidden="1">"A35795"</definedName>
    <definedName name="FDD_46_2" hidden="1">"A31412"</definedName>
    <definedName name="FDD_46_3" hidden="1">"A31777"</definedName>
    <definedName name="FDD_46_4" hidden="1">"A32142"</definedName>
    <definedName name="FDD_46_5" hidden="1">"A32508"</definedName>
    <definedName name="FDD_46_6" hidden="1">"A32873"</definedName>
    <definedName name="FDD_46_7" hidden="1">"A33238"</definedName>
    <definedName name="FDD_46_8" hidden="1">"A33603"</definedName>
    <definedName name="FDD_46_9" hidden="1">"A33969"</definedName>
    <definedName name="FDD_47_0" hidden="1">"A30681"</definedName>
    <definedName name="FDD_47_1" hidden="1">"A31047"</definedName>
    <definedName name="FDD_47_10" hidden="1">"A34334"</definedName>
    <definedName name="FDD_47_11" hidden="1">"A34699"</definedName>
    <definedName name="FDD_47_12" hidden="1">"A35064"</definedName>
    <definedName name="FDD_47_13" hidden="1">"A35430"</definedName>
    <definedName name="FDD_47_14" hidden="1">"A35795"</definedName>
    <definedName name="FDD_47_2" hidden="1">"A31412"</definedName>
    <definedName name="FDD_47_3" hidden="1">"A31777"</definedName>
    <definedName name="FDD_47_4" hidden="1">"A32142"</definedName>
    <definedName name="FDD_47_5" hidden="1">"A32508"</definedName>
    <definedName name="FDD_47_6" hidden="1">"A32873"</definedName>
    <definedName name="FDD_47_7" hidden="1">"A33238"</definedName>
    <definedName name="FDD_47_8" hidden="1">"A33603"</definedName>
    <definedName name="FDD_47_9" hidden="1">"A33969"</definedName>
    <definedName name="FDD_48_0" hidden="1">"A30681"</definedName>
    <definedName name="FDD_48_1" hidden="1">"A31047"</definedName>
    <definedName name="FDD_48_10" hidden="1">"A34334"</definedName>
    <definedName name="FDD_48_11" hidden="1">"A34699"</definedName>
    <definedName name="FDD_48_12" hidden="1">"A35064"</definedName>
    <definedName name="FDD_48_13" hidden="1">"A35430"</definedName>
    <definedName name="FDD_48_14" hidden="1">"A35795"</definedName>
    <definedName name="FDD_48_2" hidden="1">"A31412"</definedName>
    <definedName name="FDD_48_3" hidden="1">"A31777"</definedName>
    <definedName name="FDD_48_4" hidden="1">"A32142"</definedName>
    <definedName name="FDD_48_5" hidden="1">"A32508"</definedName>
    <definedName name="FDD_48_6" hidden="1">"A32873"</definedName>
    <definedName name="FDD_48_7" hidden="1">"A33238"</definedName>
    <definedName name="FDD_48_8" hidden="1">"A33603"</definedName>
    <definedName name="FDD_48_9" hidden="1">"A33969"</definedName>
    <definedName name="FDD_49_0" hidden="1">"A30681"</definedName>
    <definedName name="FDD_49_1" hidden="1">"A31047"</definedName>
    <definedName name="FDD_49_10" hidden="1">"A34334"</definedName>
    <definedName name="FDD_49_11" hidden="1">"A34699"</definedName>
    <definedName name="FDD_49_12" hidden="1">"A35064"</definedName>
    <definedName name="FDD_49_13" hidden="1">"A35430"</definedName>
    <definedName name="FDD_49_14" hidden="1">"A35795"</definedName>
    <definedName name="FDD_49_2" hidden="1">"A31412"</definedName>
    <definedName name="FDD_49_3" hidden="1">"A31777"</definedName>
    <definedName name="FDD_49_4" hidden="1">"A32142"</definedName>
    <definedName name="FDD_49_5" hidden="1">"A32508"</definedName>
    <definedName name="FDD_49_6" hidden="1">"A32873"</definedName>
    <definedName name="FDD_49_7" hidden="1">"A33238"</definedName>
    <definedName name="FDD_49_8" hidden="1">"A33603"</definedName>
    <definedName name="FDD_49_9" hidden="1">"A33969"</definedName>
    <definedName name="FDD_5_0" hidden="1">"A25569"</definedName>
    <definedName name="FDD_50_0" hidden="1">"A30681"</definedName>
    <definedName name="FDD_50_1" hidden="1">"A31047"</definedName>
    <definedName name="FDD_50_10" hidden="1">"A34334"</definedName>
    <definedName name="FDD_50_11" hidden="1">"A34699"</definedName>
    <definedName name="FDD_50_12" hidden="1">"A35064"</definedName>
    <definedName name="FDD_50_13" hidden="1">"A35430"</definedName>
    <definedName name="FDD_50_14" hidden="1">"A35795"</definedName>
    <definedName name="FDD_50_2" hidden="1">"A31412"</definedName>
    <definedName name="FDD_50_3" hidden="1">"A31777"</definedName>
    <definedName name="FDD_50_4" hidden="1">"A32142"</definedName>
    <definedName name="FDD_50_5" hidden="1">"A32508"</definedName>
    <definedName name="FDD_50_6" hidden="1">"A32873"</definedName>
    <definedName name="FDD_50_7" hidden="1">"A33238"</definedName>
    <definedName name="FDD_50_8" hidden="1">"A33603"</definedName>
    <definedName name="FDD_50_9" hidden="1">"A33969"</definedName>
    <definedName name="FDD_51_0" hidden="1">"A30681"</definedName>
    <definedName name="FDD_51_1" hidden="1">"A31047"</definedName>
    <definedName name="FDD_51_10" hidden="1">"A34334"</definedName>
    <definedName name="FDD_51_11" hidden="1">"A34699"</definedName>
    <definedName name="FDD_51_12" hidden="1">"A35064"</definedName>
    <definedName name="FDD_51_13" hidden="1">"A35430"</definedName>
    <definedName name="FDD_51_14" hidden="1">"A35795"</definedName>
    <definedName name="FDD_51_2" hidden="1">"A31412"</definedName>
    <definedName name="FDD_51_3" hidden="1">"A31777"</definedName>
    <definedName name="FDD_51_4" hidden="1">"A32142"</definedName>
    <definedName name="FDD_51_5" hidden="1">"A32508"</definedName>
    <definedName name="FDD_51_6" hidden="1">"A32873"</definedName>
    <definedName name="FDD_51_7" hidden="1">"A33238"</definedName>
    <definedName name="FDD_51_8" hidden="1">"A33603"</definedName>
    <definedName name="FDD_51_9" hidden="1">"A33969"</definedName>
    <definedName name="FDD_52_0" hidden="1">"A30681"</definedName>
    <definedName name="FDD_52_1" hidden="1">"A31047"</definedName>
    <definedName name="FDD_52_10" hidden="1">"A34334"</definedName>
    <definedName name="FDD_52_11" hidden="1">"A34699"</definedName>
    <definedName name="FDD_52_12" hidden="1">"A35064"</definedName>
    <definedName name="FDD_52_13" hidden="1">"A35430"</definedName>
    <definedName name="FDD_52_14" hidden="1">"A35795"</definedName>
    <definedName name="FDD_52_2" hidden="1">"A31412"</definedName>
    <definedName name="FDD_52_3" hidden="1">"A31777"</definedName>
    <definedName name="FDD_52_4" hidden="1">"A32142"</definedName>
    <definedName name="FDD_52_5" hidden="1">"A32508"</definedName>
    <definedName name="FDD_52_6" hidden="1">"A32873"</definedName>
    <definedName name="FDD_52_7" hidden="1">"A33238"</definedName>
    <definedName name="FDD_52_8" hidden="1">"A33603"</definedName>
    <definedName name="FDD_52_9" hidden="1">"A33969"</definedName>
    <definedName name="FDD_53_0" hidden="1">"U30681"</definedName>
    <definedName name="FDD_53_1" hidden="1">"A31047"</definedName>
    <definedName name="FDD_53_10" hidden="1">"A34334"</definedName>
    <definedName name="FDD_53_11" hidden="1">"A34699"</definedName>
    <definedName name="FDD_53_12" hidden="1">"A35064"</definedName>
    <definedName name="FDD_53_13" hidden="1">"A35430"</definedName>
    <definedName name="FDD_53_14" hidden="1">"A35795"</definedName>
    <definedName name="FDD_53_2" hidden="1">"A31412"</definedName>
    <definedName name="FDD_53_3" hidden="1">"A31777"</definedName>
    <definedName name="FDD_53_4" hidden="1">"A32142"</definedName>
    <definedName name="FDD_53_5" hidden="1">"A32508"</definedName>
    <definedName name="FDD_53_6" hidden="1">"A32873"</definedName>
    <definedName name="FDD_53_7" hidden="1">"A33238"</definedName>
    <definedName name="FDD_53_8" hidden="1">"A33603"</definedName>
    <definedName name="FDD_53_9" hidden="1">"A33969"</definedName>
    <definedName name="FDD_54_0" hidden="1">"A30681"</definedName>
    <definedName name="FDD_54_1" hidden="1">"A31047"</definedName>
    <definedName name="FDD_54_10" hidden="1">"A34334"</definedName>
    <definedName name="FDD_54_11" hidden="1">"A34699"</definedName>
    <definedName name="FDD_54_12" hidden="1">"A35064"</definedName>
    <definedName name="FDD_54_13" hidden="1">"A35430"</definedName>
    <definedName name="FDD_54_14" hidden="1">"A35795"</definedName>
    <definedName name="FDD_54_2" hidden="1">"A31412"</definedName>
    <definedName name="FDD_54_3" hidden="1">"A31777"</definedName>
    <definedName name="FDD_54_4" hidden="1">"A32142"</definedName>
    <definedName name="FDD_54_5" hidden="1">"A32508"</definedName>
    <definedName name="FDD_54_6" hidden="1">"A32873"</definedName>
    <definedName name="FDD_54_7" hidden="1">"A33238"</definedName>
    <definedName name="FDD_54_8" hidden="1">"A33603"</definedName>
    <definedName name="FDD_54_9" hidden="1">"A33969"</definedName>
    <definedName name="FDD_55_0" hidden="1">"A30681"</definedName>
    <definedName name="FDD_55_1" hidden="1">"A31047"</definedName>
    <definedName name="FDD_55_10" hidden="1">"A34334"</definedName>
    <definedName name="FDD_55_11" hidden="1">"A34699"</definedName>
    <definedName name="FDD_55_12" hidden="1">"A35064"</definedName>
    <definedName name="FDD_55_13" hidden="1">"A35430"</definedName>
    <definedName name="FDD_55_14" hidden="1">"A35795"</definedName>
    <definedName name="FDD_55_2" hidden="1">"A31412"</definedName>
    <definedName name="FDD_55_3" hidden="1">"A31777"</definedName>
    <definedName name="FDD_55_4" hidden="1">"A32142"</definedName>
    <definedName name="FDD_55_5" hidden="1">"A32508"</definedName>
    <definedName name="FDD_55_6" hidden="1">"A32873"</definedName>
    <definedName name="FDD_55_7" hidden="1">"A33238"</definedName>
    <definedName name="FDD_55_8" hidden="1">"A33603"</definedName>
    <definedName name="FDD_55_9" hidden="1">"A33969"</definedName>
    <definedName name="FDD_56_0" hidden="1">"A30681"</definedName>
    <definedName name="FDD_56_1" hidden="1">"A31047"</definedName>
    <definedName name="FDD_56_10" hidden="1">"A34334"</definedName>
    <definedName name="FDD_56_11" hidden="1">"A34699"</definedName>
    <definedName name="FDD_56_12" hidden="1">"A35064"</definedName>
    <definedName name="FDD_56_13" hidden="1">"A35430"</definedName>
    <definedName name="FDD_56_14" hidden="1">"A35795"</definedName>
    <definedName name="FDD_56_2" hidden="1">"A31412"</definedName>
    <definedName name="FDD_56_3" hidden="1">"A31777"</definedName>
    <definedName name="FDD_56_4" hidden="1">"A32142"</definedName>
    <definedName name="FDD_56_5" hidden="1">"A32508"</definedName>
    <definedName name="FDD_56_6" hidden="1">"A32873"</definedName>
    <definedName name="FDD_56_7" hidden="1">"A33238"</definedName>
    <definedName name="FDD_56_8" hidden="1">"A33603"</definedName>
    <definedName name="FDD_56_9" hidden="1">"A33969"</definedName>
    <definedName name="FDD_57_0" hidden="1">"A30681"</definedName>
    <definedName name="FDD_57_1" hidden="1">"A31047"</definedName>
    <definedName name="FDD_57_10" hidden="1">"A34334"</definedName>
    <definedName name="FDD_57_11" hidden="1">"A34699"</definedName>
    <definedName name="FDD_57_12" hidden="1">"A35064"</definedName>
    <definedName name="FDD_57_13" hidden="1">"A35430"</definedName>
    <definedName name="FDD_57_14" hidden="1">"A35795"</definedName>
    <definedName name="FDD_57_2" hidden="1">"A31412"</definedName>
    <definedName name="FDD_57_3" hidden="1">"A31777"</definedName>
    <definedName name="FDD_57_4" hidden="1">"A32142"</definedName>
    <definedName name="FDD_57_5" hidden="1">"A32508"</definedName>
    <definedName name="FDD_57_6" hidden="1">"A32873"</definedName>
    <definedName name="FDD_57_7" hidden="1">"A33238"</definedName>
    <definedName name="FDD_57_8" hidden="1">"A33603"</definedName>
    <definedName name="FDD_57_9" hidden="1">"A33969"</definedName>
    <definedName name="FDD_58_0" hidden="1">"A30681"</definedName>
    <definedName name="FDD_58_1" hidden="1">"A31047"</definedName>
    <definedName name="FDD_58_10" hidden="1">"A34334"</definedName>
    <definedName name="FDD_58_11" hidden="1">"A34699"</definedName>
    <definedName name="FDD_58_12" hidden="1">"A35064"</definedName>
    <definedName name="FDD_58_13" hidden="1">"A35430"</definedName>
    <definedName name="FDD_58_14" hidden="1">"A35795"</definedName>
    <definedName name="FDD_58_2" hidden="1">"A31412"</definedName>
    <definedName name="FDD_58_3" hidden="1">"A31777"</definedName>
    <definedName name="FDD_58_4" hidden="1">"A32142"</definedName>
    <definedName name="FDD_58_5" hidden="1">"A32508"</definedName>
    <definedName name="FDD_58_6" hidden="1">"A32873"</definedName>
    <definedName name="FDD_58_7" hidden="1">"A33238"</definedName>
    <definedName name="FDD_58_8" hidden="1">"A33603"</definedName>
    <definedName name="FDD_58_9" hidden="1">"A33969"</definedName>
    <definedName name="FDD_59_0" hidden="1">"A30681"</definedName>
    <definedName name="FDD_59_1" hidden="1">"A31047"</definedName>
    <definedName name="FDD_59_10" hidden="1">"A34334"</definedName>
    <definedName name="FDD_59_11" hidden="1">"A34699"</definedName>
    <definedName name="FDD_59_12" hidden="1">"A35064"</definedName>
    <definedName name="FDD_59_13" hidden="1">"A35430"</definedName>
    <definedName name="FDD_59_14" hidden="1">"A35795"</definedName>
    <definedName name="FDD_59_2" hidden="1">"A31412"</definedName>
    <definedName name="FDD_59_3" hidden="1">"A31777"</definedName>
    <definedName name="FDD_59_4" hidden="1">"A32142"</definedName>
    <definedName name="FDD_59_5" hidden="1">"A32508"</definedName>
    <definedName name="FDD_59_6" hidden="1">"A32873"</definedName>
    <definedName name="FDD_59_7" hidden="1">"A33238"</definedName>
    <definedName name="FDD_59_8" hidden="1">"A33603"</definedName>
    <definedName name="FDD_59_9" hidden="1">"A33969"</definedName>
    <definedName name="FDD_6_0" hidden="1">"A25569"</definedName>
    <definedName name="FDD_60_0" hidden="1">"A30681"</definedName>
    <definedName name="FDD_60_1" hidden="1">"A31047"</definedName>
    <definedName name="FDD_60_10" hidden="1">"A34334"</definedName>
    <definedName name="FDD_60_11" hidden="1">"A34699"</definedName>
    <definedName name="FDD_60_12" hidden="1">"A35064"</definedName>
    <definedName name="FDD_60_13" hidden="1">"A35430"</definedName>
    <definedName name="FDD_60_14" hidden="1">"A35795"</definedName>
    <definedName name="FDD_60_2" hidden="1">"A31412"</definedName>
    <definedName name="FDD_60_3" hidden="1">"A31777"</definedName>
    <definedName name="FDD_60_4" hidden="1">"A32142"</definedName>
    <definedName name="FDD_60_5" hidden="1">"A32508"</definedName>
    <definedName name="FDD_60_6" hidden="1">"A32873"</definedName>
    <definedName name="FDD_60_7" hidden="1">"A33238"</definedName>
    <definedName name="FDD_60_8" hidden="1">"A33603"</definedName>
    <definedName name="FDD_60_9" hidden="1">"A33969"</definedName>
    <definedName name="FDD_61_0" hidden="1">"A30681"</definedName>
    <definedName name="FDD_61_1" hidden="1">"A31047"</definedName>
    <definedName name="FDD_61_10" hidden="1">"A34334"</definedName>
    <definedName name="FDD_61_11" hidden="1">"A34699"</definedName>
    <definedName name="FDD_61_12" hidden="1">"A35064"</definedName>
    <definedName name="FDD_61_13" hidden="1">"A35430"</definedName>
    <definedName name="FDD_61_14" hidden="1">"A35795"</definedName>
    <definedName name="FDD_61_2" hidden="1">"A31412"</definedName>
    <definedName name="FDD_61_3" hidden="1">"A31777"</definedName>
    <definedName name="FDD_61_4" hidden="1">"A32142"</definedName>
    <definedName name="FDD_61_5" hidden="1">"A32508"</definedName>
    <definedName name="FDD_61_6" hidden="1">"A32873"</definedName>
    <definedName name="FDD_61_7" hidden="1">"A33238"</definedName>
    <definedName name="FDD_61_8" hidden="1">"A33603"</definedName>
    <definedName name="FDD_61_9" hidden="1">"A33969"</definedName>
    <definedName name="FDD_62_0" hidden="1">"A30681"</definedName>
    <definedName name="FDD_62_1" hidden="1">"A31047"</definedName>
    <definedName name="FDD_62_10" hidden="1">"A34334"</definedName>
    <definedName name="FDD_62_11" hidden="1">"A34699"</definedName>
    <definedName name="FDD_62_12" hidden="1">"A35064"</definedName>
    <definedName name="FDD_62_13" hidden="1">"A35430"</definedName>
    <definedName name="FDD_62_14" hidden="1">"A35795"</definedName>
    <definedName name="FDD_62_2" hidden="1">"A31412"</definedName>
    <definedName name="FDD_62_3" hidden="1">"A31777"</definedName>
    <definedName name="FDD_62_4" hidden="1">"A32142"</definedName>
    <definedName name="FDD_62_5" hidden="1">"A32508"</definedName>
    <definedName name="FDD_62_6" hidden="1">"A32873"</definedName>
    <definedName name="FDD_62_7" hidden="1">"A33238"</definedName>
    <definedName name="FDD_62_8" hidden="1">"A33603"</definedName>
    <definedName name="FDD_62_9" hidden="1">"A33969"</definedName>
    <definedName name="FDD_63_0" hidden="1">"A30681"</definedName>
    <definedName name="FDD_63_1" hidden="1">"A31047"</definedName>
    <definedName name="FDD_63_10" hidden="1">"A34334"</definedName>
    <definedName name="FDD_63_11" hidden="1">"A34699"</definedName>
    <definedName name="FDD_63_12" hidden="1">"A35064"</definedName>
    <definedName name="FDD_63_13" hidden="1">"A35430"</definedName>
    <definedName name="FDD_63_14" hidden="1">"A35795"</definedName>
    <definedName name="FDD_63_2" hidden="1">"A31412"</definedName>
    <definedName name="FDD_63_3" hidden="1">"A31777"</definedName>
    <definedName name="FDD_63_4" hidden="1">"A32142"</definedName>
    <definedName name="FDD_63_5" hidden="1">"A32508"</definedName>
    <definedName name="FDD_63_6" hidden="1">"A32873"</definedName>
    <definedName name="FDD_63_7" hidden="1">"A33238"</definedName>
    <definedName name="FDD_63_8" hidden="1">"A33603"</definedName>
    <definedName name="FDD_63_9" hidden="1">"A33969"</definedName>
    <definedName name="FDD_64_0" hidden="1">"A30681"</definedName>
    <definedName name="FDD_64_1" hidden="1">"A31047"</definedName>
    <definedName name="FDD_64_10" hidden="1">"A34334"</definedName>
    <definedName name="FDD_64_11" hidden="1">"A34699"</definedName>
    <definedName name="FDD_64_12" hidden="1">"A35064"</definedName>
    <definedName name="FDD_64_13" hidden="1">"A35430"</definedName>
    <definedName name="FDD_64_14" hidden="1">"A35795"</definedName>
    <definedName name="FDD_64_2" hidden="1">"A31412"</definedName>
    <definedName name="FDD_64_3" hidden="1">"A31777"</definedName>
    <definedName name="FDD_64_4" hidden="1">"A32142"</definedName>
    <definedName name="FDD_64_5" hidden="1">"A32508"</definedName>
    <definedName name="FDD_64_6" hidden="1">"A32873"</definedName>
    <definedName name="FDD_64_7" hidden="1">"A33238"</definedName>
    <definedName name="FDD_64_8" hidden="1">"A33603"</definedName>
    <definedName name="FDD_64_9" hidden="1">"A33969"</definedName>
    <definedName name="FDD_65_0" hidden="1">"A30681"</definedName>
    <definedName name="FDD_65_1" hidden="1">"A31047"</definedName>
    <definedName name="FDD_65_10" hidden="1">"A34334"</definedName>
    <definedName name="FDD_65_11" hidden="1">"A34699"</definedName>
    <definedName name="FDD_65_12" hidden="1">"A35064"</definedName>
    <definedName name="FDD_65_13" hidden="1">"A35430"</definedName>
    <definedName name="FDD_65_14" hidden="1">"A35795"</definedName>
    <definedName name="FDD_65_2" hidden="1">"A31412"</definedName>
    <definedName name="FDD_65_3" hidden="1">"A31777"</definedName>
    <definedName name="FDD_65_4" hidden="1">"A32142"</definedName>
    <definedName name="FDD_65_5" hidden="1">"A32508"</definedName>
    <definedName name="FDD_65_6" hidden="1">"A32873"</definedName>
    <definedName name="FDD_65_7" hidden="1">"A33238"</definedName>
    <definedName name="FDD_65_8" hidden="1">"A33603"</definedName>
    <definedName name="FDD_65_9" hidden="1">"A33969"</definedName>
    <definedName name="FDD_66_0" hidden="1">"A30681"</definedName>
    <definedName name="FDD_66_1" hidden="1">"A31047"</definedName>
    <definedName name="FDD_66_10" hidden="1">"A34334"</definedName>
    <definedName name="FDD_66_11" hidden="1">"A34699"</definedName>
    <definedName name="FDD_66_12" hidden="1">"A35064"</definedName>
    <definedName name="FDD_66_13" hidden="1">"A35430"</definedName>
    <definedName name="FDD_66_14" hidden="1">"A35795"</definedName>
    <definedName name="FDD_66_2" hidden="1">"A31412"</definedName>
    <definedName name="FDD_66_3" hidden="1">"A31777"</definedName>
    <definedName name="FDD_66_4" hidden="1">"A32142"</definedName>
    <definedName name="FDD_66_5" hidden="1">"A32508"</definedName>
    <definedName name="FDD_66_6" hidden="1">"A32873"</definedName>
    <definedName name="FDD_66_7" hidden="1">"A33238"</definedName>
    <definedName name="FDD_66_8" hidden="1">"A33603"</definedName>
    <definedName name="FDD_66_9" hidden="1">"A33969"</definedName>
    <definedName name="FDD_67_0" hidden="1">"A30681"</definedName>
    <definedName name="FDD_67_1" hidden="1">"A31047"</definedName>
    <definedName name="FDD_67_10" hidden="1">"A34334"</definedName>
    <definedName name="FDD_67_11" hidden="1">"A34699"</definedName>
    <definedName name="FDD_67_12" hidden="1">"A35064"</definedName>
    <definedName name="FDD_67_13" hidden="1">"A35430"</definedName>
    <definedName name="FDD_67_14" hidden="1">"A35795"</definedName>
    <definedName name="FDD_67_2" hidden="1">"A31412"</definedName>
    <definedName name="FDD_67_3" hidden="1">"A31777"</definedName>
    <definedName name="FDD_67_4" hidden="1">"A32142"</definedName>
    <definedName name="FDD_67_5" hidden="1">"A32508"</definedName>
    <definedName name="FDD_67_6" hidden="1">"A32873"</definedName>
    <definedName name="FDD_67_7" hidden="1">"A33238"</definedName>
    <definedName name="FDD_67_8" hidden="1">"A33603"</definedName>
    <definedName name="FDD_67_9" hidden="1">"A33969"</definedName>
    <definedName name="FDD_68_0" hidden="1">"A30681"</definedName>
    <definedName name="FDD_68_1" hidden="1">"A31047"</definedName>
    <definedName name="FDD_68_10" hidden="1">"A34334"</definedName>
    <definedName name="FDD_68_11" hidden="1">"A34699"</definedName>
    <definedName name="FDD_68_12" hidden="1">"A35064"</definedName>
    <definedName name="FDD_68_13" hidden="1">"A35430"</definedName>
    <definedName name="FDD_68_14" hidden="1">"A35795"</definedName>
    <definedName name="FDD_68_2" hidden="1">"A31412"</definedName>
    <definedName name="FDD_68_3" hidden="1">"A31777"</definedName>
    <definedName name="FDD_68_4" hidden="1">"A32142"</definedName>
    <definedName name="FDD_68_5" hidden="1">"A32508"</definedName>
    <definedName name="FDD_68_6" hidden="1">"A32873"</definedName>
    <definedName name="FDD_68_7" hidden="1">"A33238"</definedName>
    <definedName name="FDD_68_8" hidden="1">"A33603"</definedName>
    <definedName name="FDD_68_9" hidden="1">"A33969"</definedName>
    <definedName name="FDD_69_0" hidden="1">"U30681"</definedName>
    <definedName name="FDD_69_1" hidden="1">"A31047"</definedName>
    <definedName name="FDD_69_10" hidden="1">"A34334"</definedName>
    <definedName name="FDD_69_11" hidden="1">"A34699"</definedName>
    <definedName name="FDD_69_12" hidden="1">"A35064"</definedName>
    <definedName name="FDD_69_13" hidden="1">"A35430"</definedName>
    <definedName name="FDD_69_14" hidden="1">"A35795"</definedName>
    <definedName name="FDD_69_2" hidden="1">"A31412"</definedName>
    <definedName name="FDD_69_3" hidden="1">"A31777"</definedName>
    <definedName name="FDD_69_4" hidden="1">"A32142"</definedName>
    <definedName name="FDD_69_5" hidden="1">"A32508"</definedName>
    <definedName name="FDD_69_6" hidden="1">"A32873"</definedName>
    <definedName name="FDD_69_7" hidden="1">"A33238"</definedName>
    <definedName name="FDD_69_8" hidden="1">"A33603"</definedName>
    <definedName name="FDD_69_9" hidden="1">"A33969"</definedName>
    <definedName name="FDD_7_0" hidden="1">"A25569"</definedName>
    <definedName name="FDD_70_0" hidden="1">"A30681"</definedName>
    <definedName name="FDD_70_1" hidden="1">"A31047"</definedName>
    <definedName name="FDD_70_10" hidden="1">"A34334"</definedName>
    <definedName name="FDD_70_11" hidden="1">"A34699"</definedName>
    <definedName name="FDD_70_12" hidden="1">"A35064"</definedName>
    <definedName name="FDD_70_13" hidden="1">"A35430"</definedName>
    <definedName name="FDD_70_14" hidden="1">"A35795"</definedName>
    <definedName name="FDD_70_2" hidden="1">"A31412"</definedName>
    <definedName name="FDD_70_3" hidden="1">"A31777"</definedName>
    <definedName name="FDD_70_4" hidden="1">"A32142"</definedName>
    <definedName name="FDD_70_5" hidden="1">"A32508"</definedName>
    <definedName name="FDD_70_6" hidden="1">"A32873"</definedName>
    <definedName name="FDD_70_7" hidden="1">"A33238"</definedName>
    <definedName name="FDD_70_8" hidden="1">"A33603"</definedName>
    <definedName name="FDD_70_9" hidden="1">"A33969"</definedName>
    <definedName name="FDD_71_0" hidden="1">"A30681"</definedName>
    <definedName name="FDD_71_1" hidden="1">"A31047"</definedName>
    <definedName name="FDD_71_10" hidden="1">"A34334"</definedName>
    <definedName name="FDD_71_11" hidden="1">"A34699"</definedName>
    <definedName name="FDD_71_12" hidden="1">"A35064"</definedName>
    <definedName name="FDD_71_13" hidden="1">"A35430"</definedName>
    <definedName name="FDD_71_14" hidden="1">"A35795"</definedName>
    <definedName name="FDD_71_2" hidden="1">"A31412"</definedName>
    <definedName name="FDD_71_3" hidden="1">"A31777"</definedName>
    <definedName name="FDD_71_4" hidden="1">"A32142"</definedName>
    <definedName name="FDD_71_5" hidden="1">"A32508"</definedName>
    <definedName name="FDD_71_6" hidden="1">"A32873"</definedName>
    <definedName name="FDD_71_7" hidden="1">"A33238"</definedName>
    <definedName name="FDD_71_8" hidden="1">"A33603"</definedName>
    <definedName name="FDD_71_9" hidden="1">"A33969"</definedName>
    <definedName name="FDD_72_0" hidden="1">"A30681"</definedName>
    <definedName name="FDD_72_1" hidden="1">"A31047"</definedName>
    <definedName name="FDD_72_10" hidden="1">"A34334"</definedName>
    <definedName name="FDD_72_11" hidden="1">"A34699"</definedName>
    <definedName name="FDD_72_12" hidden="1">"A35064"</definedName>
    <definedName name="FDD_72_13" hidden="1">"A35430"</definedName>
    <definedName name="FDD_72_14" hidden="1">"A35795"</definedName>
    <definedName name="FDD_72_2" hidden="1">"A31412"</definedName>
    <definedName name="FDD_72_3" hidden="1">"A31777"</definedName>
    <definedName name="FDD_72_4" hidden="1">"A32142"</definedName>
    <definedName name="FDD_72_5" hidden="1">"A32508"</definedName>
    <definedName name="FDD_72_6" hidden="1">"A32873"</definedName>
    <definedName name="FDD_72_7" hidden="1">"A33238"</definedName>
    <definedName name="FDD_72_8" hidden="1">"A33603"</definedName>
    <definedName name="FDD_72_9" hidden="1">"A33969"</definedName>
    <definedName name="FDD_73_0" hidden="1">"A30681"</definedName>
    <definedName name="FDD_73_1" hidden="1">"A31047"</definedName>
    <definedName name="FDD_73_10" hidden="1">"A34334"</definedName>
    <definedName name="FDD_73_11" hidden="1">"A34699"</definedName>
    <definedName name="FDD_73_12" hidden="1">"A35064"</definedName>
    <definedName name="FDD_73_13" hidden="1">"A35430"</definedName>
    <definedName name="FDD_73_14" hidden="1">"A35795"</definedName>
    <definedName name="FDD_73_2" hidden="1">"A31412"</definedName>
    <definedName name="FDD_73_3" hidden="1">"A31777"</definedName>
    <definedName name="FDD_73_4" hidden="1">"A32142"</definedName>
    <definedName name="FDD_73_5" hidden="1">"A32508"</definedName>
    <definedName name="FDD_73_6" hidden="1">"A32873"</definedName>
    <definedName name="FDD_73_7" hidden="1">"A33238"</definedName>
    <definedName name="FDD_73_8" hidden="1">"A33603"</definedName>
    <definedName name="FDD_73_9" hidden="1">"A33969"</definedName>
    <definedName name="FDD_74_0" hidden="1">"A30681"</definedName>
    <definedName name="FDD_74_1" hidden="1">"A31047"</definedName>
    <definedName name="FDD_74_10" hidden="1">"A34334"</definedName>
    <definedName name="FDD_74_11" hidden="1">"A34699"</definedName>
    <definedName name="FDD_74_12" hidden="1">"A35064"</definedName>
    <definedName name="FDD_74_13" hidden="1">"A35430"</definedName>
    <definedName name="FDD_74_14" hidden="1">"A35795"</definedName>
    <definedName name="FDD_74_2" hidden="1">"A31412"</definedName>
    <definedName name="FDD_74_3" hidden="1">"A31777"</definedName>
    <definedName name="FDD_74_4" hidden="1">"A32142"</definedName>
    <definedName name="FDD_74_5" hidden="1">"A32508"</definedName>
    <definedName name="FDD_74_6" hidden="1">"A32873"</definedName>
    <definedName name="FDD_74_7" hidden="1">"A33238"</definedName>
    <definedName name="FDD_74_8" hidden="1">"A33603"</definedName>
    <definedName name="FDD_74_9" hidden="1">"A33969"</definedName>
    <definedName name="FDD_75_0" hidden="1">"A30681"</definedName>
    <definedName name="FDD_75_1" hidden="1">"A31047"</definedName>
    <definedName name="FDD_75_10" hidden="1">"A34334"</definedName>
    <definedName name="FDD_75_11" hidden="1">"A34699"</definedName>
    <definedName name="FDD_75_12" hidden="1">"A35064"</definedName>
    <definedName name="FDD_75_13" hidden="1">"A35430"</definedName>
    <definedName name="FDD_75_14" hidden="1">"A35795"</definedName>
    <definedName name="FDD_75_2" hidden="1">"A31412"</definedName>
    <definedName name="FDD_75_3" hidden="1">"A31777"</definedName>
    <definedName name="FDD_75_4" hidden="1">"A32142"</definedName>
    <definedName name="FDD_75_5" hidden="1">"A32508"</definedName>
    <definedName name="FDD_75_6" hidden="1">"A32873"</definedName>
    <definedName name="FDD_75_7" hidden="1">"A33238"</definedName>
    <definedName name="FDD_75_8" hidden="1">"A33603"</definedName>
    <definedName name="FDD_75_9" hidden="1">"A33969"</definedName>
    <definedName name="FDD_76_0" hidden="1">"A30681"</definedName>
    <definedName name="FDD_76_1" hidden="1">"A31047"</definedName>
    <definedName name="FDD_76_10" hidden="1">"A34334"</definedName>
    <definedName name="FDD_76_11" hidden="1">"A34699"</definedName>
    <definedName name="FDD_76_12" hidden="1">"A35064"</definedName>
    <definedName name="FDD_76_13" hidden="1">"A35430"</definedName>
    <definedName name="FDD_76_14" hidden="1">"A35795"</definedName>
    <definedName name="FDD_76_2" hidden="1">"A31412"</definedName>
    <definedName name="FDD_76_3" hidden="1">"A31777"</definedName>
    <definedName name="FDD_76_4" hidden="1">"A32142"</definedName>
    <definedName name="FDD_76_5" hidden="1">"A32508"</definedName>
    <definedName name="FDD_76_6" hidden="1">"A32873"</definedName>
    <definedName name="FDD_76_7" hidden="1">"A33238"</definedName>
    <definedName name="FDD_76_8" hidden="1">"A33603"</definedName>
    <definedName name="FDD_76_9" hidden="1">"A33969"</definedName>
    <definedName name="FDD_77_0" hidden="1">"A30681"</definedName>
    <definedName name="FDD_77_1" hidden="1">"A31047"</definedName>
    <definedName name="FDD_77_10" hidden="1">"A34334"</definedName>
    <definedName name="FDD_77_11" hidden="1">"A34699"</definedName>
    <definedName name="FDD_77_12" hidden="1">"A35064"</definedName>
    <definedName name="FDD_77_13" hidden="1">"A35430"</definedName>
    <definedName name="FDD_77_14" hidden="1">"A35795"</definedName>
    <definedName name="FDD_77_2" hidden="1">"A31412"</definedName>
    <definedName name="FDD_77_3" hidden="1">"A31777"</definedName>
    <definedName name="FDD_77_4" hidden="1">"A32142"</definedName>
    <definedName name="FDD_77_5" hidden="1">"A32508"</definedName>
    <definedName name="FDD_77_6" hidden="1">"A32873"</definedName>
    <definedName name="FDD_77_7" hidden="1">"A33238"</definedName>
    <definedName name="FDD_77_8" hidden="1">"A33603"</definedName>
    <definedName name="FDD_77_9" hidden="1">"A33969"</definedName>
    <definedName name="FDD_78_0" hidden="1">"A30681"</definedName>
    <definedName name="FDD_78_1" hidden="1">"A31047"</definedName>
    <definedName name="FDD_78_10" hidden="1">"A34334"</definedName>
    <definedName name="FDD_78_11" hidden="1">"A34699"</definedName>
    <definedName name="FDD_78_12" hidden="1">"A35064"</definedName>
    <definedName name="FDD_78_13" hidden="1">"A35430"</definedName>
    <definedName name="FDD_78_14" hidden="1">"A35795"</definedName>
    <definedName name="FDD_78_2" hidden="1">"A31412"</definedName>
    <definedName name="FDD_78_3" hidden="1">"A31777"</definedName>
    <definedName name="FDD_78_4" hidden="1">"A32142"</definedName>
    <definedName name="FDD_78_5" hidden="1">"A32508"</definedName>
    <definedName name="FDD_78_6" hidden="1">"A32873"</definedName>
    <definedName name="FDD_78_7" hidden="1">"A33238"</definedName>
    <definedName name="FDD_78_8" hidden="1">"A33603"</definedName>
    <definedName name="FDD_78_9" hidden="1">"A33969"</definedName>
    <definedName name="FDD_79_0" hidden="1">"A30681"</definedName>
    <definedName name="FDD_79_1" hidden="1">"A31047"</definedName>
    <definedName name="FDD_79_10" hidden="1">"A34334"</definedName>
    <definedName name="FDD_79_11" hidden="1">"A34699"</definedName>
    <definedName name="FDD_79_12" hidden="1">"A35064"</definedName>
    <definedName name="FDD_79_13" hidden="1">"A35430"</definedName>
    <definedName name="FDD_79_14" hidden="1">"A35795"</definedName>
    <definedName name="FDD_79_2" hidden="1">"A31412"</definedName>
    <definedName name="FDD_79_3" hidden="1">"A31777"</definedName>
    <definedName name="FDD_79_4" hidden="1">"A32142"</definedName>
    <definedName name="FDD_79_5" hidden="1">"A32508"</definedName>
    <definedName name="FDD_79_6" hidden="1">"A32873"</definedName>
    <definedName name="FDD_79_7" hidden="1">"A33238"</definedName>
    <definedName name="FDD_79_8" hidden="1">"A33603"</definedName>
    <definedName name="FDD_79_9" hidden="1">"A33969"</definedName>
    <definedName name="FDD_8_0" hidden="1">"A25569"</definedName>
    <definedName name="FDD_80_0" hidden="1">"A30681"</definedName>
    <definedName name="FDD_80_1" hidden="1">"A31047"</definedName>
    <definedName name="FDD_80_10" hidden="1">"A34334"</definedName>
    <definedName name="FDD_80_11" hidden="1">"A34699"</definedName>
    <definedName name="FDD_80_12" hidden="1">"A35064"</definedName>
    <definedName name="FDD_80_13" hidden="1">"A35430"</definedName>
    <definedName name="FDD_80_14" hidden="1">"A35795"</definedName>
    <definedName name="FDD_80_2" hidden="1">"A31412"</definedName>
    <definedName name="FDD_80_3" hidden="1">"A31777"</definedName>
    <definedName name="FDD_80_4" hidden="1">"A32142"</definedName>
    <definedName name="FDD_80_5" hidden="1">"A32508"</definedName>
    <definedName name="FDD_80_6" hidden="1">"A32873"</definedName>
    <definedName name="FDD_80_7" hidden="1">"A33238"</definedName>
    <definedName name="FDD_80_8" hidden="1">"A33603"</definedName>
    <definedName name="FDD_80_9" hidden="1">"A33969"</definedName>
    <definedName name="FDD_81_0" hidden="1">"A30681"</definedName>
    <definedName name="FDD_81_1" hidden="1">"A31047"</definedName>
    <definedName name="FDD_81_10" hidden="1">"A34334"</definedName>
    <definedName name="FDD_81_11" hidden="1">"A34699"</definedName>
    <definedName name="FDD_81_12" hidden="1">"A35064"</definedName>
    <definedName name="FDD_81_13" hidden="1">"A35430"</definedName>
    <definedName name="FDD_81_14" hidden="1">"A35795"</definedName>
    <definedName name="FDD_81_2" hidden="1">"A31412"</definedName>
    <definedName name="FDD_81_3" hidden="1">"A31777"</definedName>
    <definedName name="FDD_81_4" hidden="1">"A32142"</definedName>
    <definedName name="FDD_81_5" hidden="1">"A32508"</definedName>
    <definedName name="FDD_81_6" hidden="1">"A32873"</definedName>
    <definedName name="FDD_81_7" hidden="1">"A33238"</definedName>
    <definedName name="FDD_81_8" hidden="1">"A33603"</definedName>
    <definedName name="FDD_81_9" hidden="1">"A33969"</definedName>
    <definedName name="FDD_82_0" hidden="1">"A30681"</definedName>
    <definedName name="FDD_82_1" hidden="1">"A31047"</definedName>
    <definedName name="FDD_82_10" hidden="1">"A34334"</definedName>
    <definedName name="FDD_82_11" hidden="1">"A34699"</definedName>
    <definedName name="FDD_82_12" hidden="1">"A35064"</definedName>
    <definedName name="FDD_82_13" hidden="1">"A35430"</definedName>
    <definedName name="FDD_82_14" hidden="1">"A35795"</definedName>
    <definedName name="FDD_82_2" hidden="1">"A31412"</definedName>
    <definedName name="FDD_82_3" hidden="1">"A31777"</definedName>
    <definedName name="FDD_82_4" hidden="1">"A32142"</definedName>
    <definedName name="FDD_82_5" hidden="1">"A32508"</definedName>
    <definedName name="FDD_82_6" hidden="1">"A32873"</definedName>
    <definedName name="FDD_82_7" hidden="1">"A33238"</definedName>
    <definedName name="FDD_82_8" hidden="1">"A33603"</definedName>
    <definedName name="FDD_82_9" hidden="1">"A33969"</definedName>
    <definedName name="FDD_83_0" hidden="1">"A30681"</definedName>
    <definedName name="FDD_83_1" hidden="1">"A31047"</definedName>
    <definedName name="FDD_83_10" hidden="1">"A34334"</definedName>
    <definedName name="FDD_83_11" hidden="1">"A34699"</definedName>
    <definedName name="FDD_83_12" hidden="1">"A35064"</definedName>
    <definedName name="FDD_83_13" hidden="1">"A35430"</definedName>
    <definedName name="FDD_83_14" hidden="1">"A35795"</definedName>
    <definedName name="FDD_83_2" hidden="1">"A31412"</definedName>
    <definedName name="FDD_83_3" hidden="1">"A31777"</definedName>
    <definedName name="FDD_83_4" hidden="1">"A32142"</definedName>
    <definedName name="FDD_83_5" hidden="1">"A32508"</definedName>
    <definedName name="FDD_83_6" hidden="1">"A32873"</definedName>
    <definedName name="FDD_83_7" hidden="1">"A33238"</definedName>
    <definedName name="FDD_83_8" hidden="1">"A33603"</definedName>
    <definedName name="FDD_83_9" hidden="1">"A33969"</definedName>
    <definedName name="FDD_84_0" hidden="1">"A30681"</definedName>
    <definedName name="FDD_84_1" hidden="1">"A31047"</definedName>
    <definedName name="FDD_84_10" hidden="1">"A34334"</definedName>
    <definedName name="FDD_84_11" hidden="1">"A34699"</definedName>
    <definedName name="FDD_84_12" hidden="1">"A35064"</definedName>
    <definedName name="FDD_84_13" hidden="1">"A35430"</definedName>
    <definedName name="FDD_84_14" hidden="1">"A35795"</definedName>
    <definedName name="FDD_84_2" hidden="1">"A31412"</definedName>
    <definedName name="FDD_84_3" hidden="1">"A31777"</definedName>
    <definedName name="FDD_84_4" hidden="1">"A32142"</definedName>
    <definedName name="FDD_84_5" hidden="1">"A32508"</definedName>
    <definedName name="FDD_84_6" hidden="1">"A32873"</definedName>
    <definedName name="FDD_84_7" hidden="1">"A33238"</definedName>
    <definedName name="FDD_84_8" hidden="1">"A33603"</definedName>
    <definedName name="FDD_84_9" hidden="1">"A33969"</definedName>
    <definedName name="FDD_85_0" hidden="1">"A30681"</definedName>
    <definedName name="FDD_85_1" hidden="1">"A31047"</definedName>
    <definedName name="FDD_85_10" hidden="1">"A34334"</definedName>
    <definedName name="FDD_85_11" hidden="1">"A34699"</definedName>
    <definedName name="FDD_85_12" hidden="1">"A35064"</definedName>
    <definedName name="FDD_85_13" hidden="1">"A35430"</definedName>
    <definedName name="FDD_85_14" hidden="1">"A35795"</definedName>
    <definedName name="FDD_85_2" hidden="1">"A31412"</definedName>
    <definedName name="FDD_85_3" hidden="1">"A31777"</definedName>
    <definedName name="FDD_85_4" hidden="1">"A32142"</definedName>
    <definedName name="FDD_85_5" hidden="1">"A32508"</definedName>
    <definedName name="FDD_85_6" hidden="1">"A32873"</definedName>
    <definedName name="FDD_85_7" hidden="1">"A33238"</definedName>
    <definedName name="FDD_85_8" hidden="1">"A33603"</definedName>
    <definedName name="FDD_85_9" hidden="1">"A33969"</definedName>
    <definedName name="FDD_86_0" hidden="1">"A30681"</definedName>
    <definedName name="FDD_86_1" hidden="1">"A31047"</definedName>
    <definedName name="FDD_86_10" hidden="1">"A34334"</definedName>
    <definedName name="FDD_86_11" hidden="1">"A34699"</definedName>
    <definedName name="FDD_86_12" hidden="1">"A35064"</definedName>
    <definedName name="FDD_86_13" hidden="1">"A35430"</definedName>
    <definedName name="FDD_86_14" hidden="1">"A35795"</definedName>
    <definedName name="FDD_86_2" hidden="1">"A31412"</definedName>
    <definedName name="FDD_86_3" hidden="1">"A31777"</definedName>
    <definedName name="FDD_86_4" hidden="1">"A32142"</definedName>
    <definedName name="FDD_86_5" hidden="1">"A32508"</definedName>
    <definedName name="FDD_86_6" hidden="1">"A32873"</definedName>
    <definedName name="FDD_86_7" hidden="1">"A33238"</definedName>
    <definedName name="FDD_86_8" hidden="1">"A33603"</definedName>
    <definedName name="FDD_86_9" hidden="1">"A33969"</definedName>
    <definedName name="FDD_87_0" hidden="1">"A30681"</definedName>
    <definedName name="FDD_87_1" hidden="1">"A31047"</definedName>
    <definedName name="FDD_87_10" hidden="1">"A34334"</definedName>
    <definedName name="FDD_87_11" hidden="1">"A34699"</definedName>
    <definedName name="FDD_87_12" hidden="1">"A35064"</definedName>
    <definedName name="FDD_87_13" hidden="1">"A35430"</definedName>
    <definedName name="FDD_87_14" hidden="1">"A35795"</definedName>
    <definedName name="FDD_87_2" hidden="1">"A31412"</definedName>
    <definedName name="FDD_87_3" hidden="1">"A31777"</definedName>
    <definedName name="FDD_87_4" hidden="1">"A32142"</definedName>
    <definedName name="FDD_87_5" hidden="1">"A32508"</definedName>
    <definedName name="FDD_87_6" hidden="1">"A32873"</definedName>
    <definedName name="FDD_87_7" hidden="1">"A33238"</definedName>
    <definedName name="FDD_87_8" hidden="1">"A33603"</definedName>
    <definedName name="FDD_87_9" hidden="1">"A33969"</definedName>
    <definedName name="FDD_88_0" hidden="1">"A30681"</definedName>
    <definedName name="FDD_88_1" hidden="1">"A31047"</definedName>
    <definedName name="FDD_88_10" hidden="1">"A34334"</definedName>
    <definedName name="FDD_88_11" hidden="1">"A34699"</definedName>
    <definedName name="FDD_88_12" hidden="1">"A35064"</definedName>
    <definedName name="FDD_88_13" hidden="1">"A35430"</definedName>
    <definedName name="FDD_88_14" hidden="1">"A35795"</definedName>
    <definedName name="FDD_88_2" hidden="1">"A31412"</definedName>
    <definedName name="FDD_88_3" hidden="1">"A31777"</definedName>
    <definedName name="FDD_88_4" hidden="1">"A32142"</definedName>
    <definedName name="FDD_88_5" hidden="1">"A32508"</definedName>
    <definedName name="FDD_88_6" hidden="1">"A32873"</definedName>
    <definedName name="FDD_88_7" hidden="1">"A33238"</definedName>
    <definedName name="FDD_88_8" hidden="1">"A33603"</definedName>
    <definedName name="FDD_88_9" hidden="1">"A33969"</definedName>
    <definedName name="FDD_89_0" hidden="1">"A30681"</definedName>
    <definedName name="FDD_89_1" hidden="1">"A31047"</definedName>
    <definedName name="FDD_89_10" hidden="1">"A34334"</definedName>
    <definedName name="FDD_89_11" hidden="1">"A34699"</definedName>
    <definedName name="FDD_89_12" hidden="1">"A35064"</definedName>
    <definedName name="FDD_89_13" hidden="1">"A35430"</definedName>
    <definedName name="FDD_89_14" hidden="1">"A35795"</definedName>
    <definedName name="FDD_89_2" hidden="1">"A31412"</definedName>
    <definedName name="FDD_89_3" hidden="1">"A31777"</definedName>
    <definedName name="FDD_89_4" hidden="1">"A32142"</definedName>
    <definedName name="FDD_89_5" hidden="1">"A32508"</definedName>
    <definedName name="FDD_89_6" hidden="1">"A32873"</definedName>
    <definedName name="FDD_89_7" hidden="1">"A33238"</definedName>
    <definedName name="FDD_89_8" hidden="1">"A33603"</definedName>
    <definedName name="FDD_89_9" hidden="1">"A33969"</definedName>
    <definedName name="FDD_9_0" hidden="1">"A25569"</definedName>
    <definedName name="FDD_90_0" hidden="1">"A30681"</definedName>
    <definedName name="FDD_90_1" hidden="1">"A31047"</definedName>
    <definedName name="FDD_90_10" hidden="1">"A34334"</definedName>
    <definedName name="FDD_90_11" hidden="1">"A34699"</definedName>
    <definedName name="FDD_90_12" hidden="1">"A35064"</definedName>
    <definedName name="FDD_90_13" hidden="1">"A35430"</definedName>
    <definedName name="FDD_90_14" hidden="1">"A35795"</definedName>
    <definedName name="FDD_90_2" hidden="1">"A31412"</definedName>
    <definedName name="FDD_90_3" hidden="1">"A31777"</definedName>
    <definedName name="FDD_90_4" hidden="1">"A32142"</definedName>
    <definedName name="FDD_90_5" hidden="1">"A32508"</definedName>
    <definedName name="FDD_90_6" hidden="1">"A32873"</definedName>
    <definedName name="FDD_90_7" hidden="1">"A33238"</definedName>
    <definedName name="FDD_90_8" hidden="1">"A33603"</definedName>
    <definedName name="FDD_90_9" hidden="1">"A33969"</definedName>
    <definedName name="FDD_91_0" hidden="1">"A30681"</definedName>
    <definedName name="FDD_91_1" hidden="1">"A31047"</definedName>
    <definedName name="FDD_91_10" hidden="1">"A34334"</definedName>
    <definedName name="FDD_91_11" hidden="1">"A34699"</definedName>
    <definedName name="FDD_91_12" hidden="1">"A35064"</definedName>
    <definedName name="FDD_91_13" hidden="1">"A35430"</definedName>
    <definedName name="FDD_91_14" hidden="1">"A35795"</definedName>
    <definedName name="FDD_91_2" hidden="1">"A31412"</definedName>
    <definedName name="FDD_91_3" hidden="1">"A31777"</definedName>
    <definedName name="FDD_91_4" hidden="1">"A32142"</definedName>
    <definedName name="FDD_91_5" hidden="1">"A32508"</definedName>
    <definedName name="FDD_91_6" hidden="1">"A32873"</definedName>
    <definedName name="FDD_91_7" hidden="1">"A33238"</definedName>
    <definedName name="FDD_91_8" hidden="1">"A33603"</definedName>
    <definedName name="FDD_91_9" hidden="1">"A33969"</definedName>
    <definedName name="FDD_92_0" hidden="1">"A30681"</definedName>
    <definedName name="FDD_92_1" hidden="1">"A31047"</definedName>
    <definedName name="FDD_92_10" hidden="1">"A34334"</definedName>
    <definedName name="FDD_92_11" hidden="1">"A34699"</definedName>
    <definedName name="FDD_92_12" hidden="1">"A35064"</definedName>
    <definedName name="FDD_92_13" hidden="1">"A35430"</definedName>
    <definedName name="FDD_92_14" hidden="1">"A35795"</definedName>
    <definedName name="FDD_92_2" hidden="1">"A31412"</definedName>
    <definedName name="FDD_92_3" hidden="1">"A31777"</definedName>
    <definedName name="FDD_92_4" hidden="1">"A32142"</definedName>
    <definedName name="FDD_92_5" hidden="1">"A32508"</definedName>
    <definedName name="FDD_92_6" hidden="1">"A32873"</definedName>
    <definedName name="FDD_92_7" hidden="1">"A33238"</definedName>
    <definedName name="FDD_92_8" hidden="1">"A33603"</definedName>
    <definedName name="FDD_92_9" hidden="1">"A33969"</definedName>
    <definedName name="FDD_93_0" hidden="1">"A30681"</definedName>
    <definedName name="FDD_93_1" hidden="1">"A31047"</definedName>
    <definedName name="FDD_93_10" hidden="1">"A34334"</definedName>
    <definedName name="FDD_93_11" hidden="1">"A34699"</definedName>
    <definedName name="FDD_93_12" hidden="1">"A35064"</definedName>
    <definedName name="FDD_93_13" hidden="1">"A35430"</definedName>
    <definedName name="FDD_93_14" hidden="1">"A35795"</definedName>
    <definedName name="FDD_93_2" hidden="1">"A31412"</definedName>
    <definedName name="FDD_93_3" hidden="1">"A31777"</definedName>
    <definedName name="FDD_93_4" hidden="1">"A32142"</definedName>
    <definedName name="FDD_93_5" hidden="1">"A32508"</definedName>
    <definedName name="FDD_93_6" hidden="1">"A32873"</definedName>
    <definedName name="FDD_93_7" hidden="1">"A33238"</definedName>
    <definedName name="FDD_93_8" hidden="1">"A33603"</definedName>
    <definedName name="FDD_93_9" hidden="1">"A33969"</definedName>
    <definedName name="FDD_94_0" hidden="1">"A30681"</definedName>
    <definedName name="FDD_94_1" hidden="1">"A31047"</definedName>
    <definedName name="FDD_94_10" hidden="1">"A34334"</definedName>
    <definedName name="FDD_94_11" hidden="1">"A34699"</definedName>
    <definedName name="FDD_94_12" hidden="1">"A35064"</definedName>
    <definedName name="FDD_94_13" hidden="1">"A35430"</definedName>
    <definedName name="FDD_94_14" hidden="1">"A35795"</definedName>
    <definedName name="FDD_94_2" hidden="1">"A31412"</definedName>
    <definedName name="FDD_94_3" hidden="1">"A31777"</definedName>
    <definedName name="FDD_94_4" hidden="1">"A32142"</definedName>
    <definedName name="FDD_94_5" hidden="1">"A32508"</definedName>
    <definedName name="FDD_94_6" hidden="1">"A32873"</definedName>
    <definedName name="FDD_94_7" hidden="1">"A33238"</definedName>
    <definedName name="FDD_94_8" hidden="1">"A33603"</definedName>
    <definedName name="FDD_94_9" hidden="1">"A33969"</definedName>
    <definedName name="FDD_95_0" hidden="1">"A30681"</definedName>
    <definedName name="FDD_95_1" hidden="1">"A31047"</definedName>
    <definedName name="FDD_95_10" hidden="1">"A34334"</definedName>
    <definedName name="FDD_95_11" hidden="1">"A34699"</definedName>
    <definedName name="FDD_95_12" hidden="1">"A35064"</definedName>
    <definedName name="FDD_95_13" hidden="1">"A35430"</definedName>
    <definedName name="FDD_95_14" hidden="1">"A35795"</definedName>
    <definedName name="FDD_95_2" hidden="1">"A31412"</definedName>
    <definedName name="FDD_95_3" hidden="1">"A31777"</definedName>
    <definedName name="FDD_95_4" hidden="1">"A32142"</definedName>
    <definedName name="FDD_95_5" hidden="1">"A32508"</definedName>
    <definedName name="FDD_95_6" hidden="1">"A32873"</definedName>
    <definedName name="FDD_95_7" hidden="1">"A33238"</definedName>
    <definedName name="FDD_95_8" hidden="1">"A33603"</definedName>
    <definedName name="FDD_95_9" hidden="1">"A33969"</definedName>
    <definedName name="FDD_96_0" hidden="1">"U30681"</definedName>
    <definedName name="FDD_96_1" hidden="1">"A31047"</definedName>
    <definedName name="FDD_96_10" hidden="1">"A34334"</definedName>
    <definedName name="FDD_96_11" hidden="1">"A34699"</definedName>
    <definedName name="FDD_96_12" hidden="1">"A35064"</definedName>
    <definedName name="FDD_96_13" hidden="1">"A35430"</definedName>
    <definedName name="FDD_96_14" hidden="1">"A35795"</definedName>
    <definedName name="FDD_96_2" hidden="1">"A31412"</definedName>
    <definedName name="FDD_96_3" hidden="1">"A31777"</definedName>
    <definedName name="FDD_96_4" hidden="1">"A32142"</definedName>
    <definedName name="FDD_96_5" hidden="1">"A32508"</definedName>
    <definedName name="FDD_96_6" hidden="1">"A32873"</definedName>
    <definedName name="FDD_96_7" hidden="1">"A33238"</definedName>
    <definedName name="FDD_96_8" hidden="1">"A33603"</definedName>
    <definedName name="FDD_96_9" hidden="1">"A33969"</definedName>
    <definedName name="FDD_97_0" hidden="1">"U30681"</definedName>
    <definedName name="FDD_97_1" hidden="1">"A31047"</definedName>
    <definedName name="FDD_97_10" hidden="1">"A34334"</definedName>
    <definedName name="FDD_97_11" hidden="1">"A34699"</definedName>
    <definedName name="FDD_97_12" hidden="1">"A35064"</definedName>
    <definedName name="FDD_97_13" hidden="1">"A35430"</definedName>
    <definedName name="FDD_97_14" hidden="1">"A35795"</definedName>
    <definedName name="FDD_97_2" hidden="1">"A31412"</definedName>
    <definedName name="FDD_97_3" hidden="1">"A31777"</definedName>
    <definedName name="FDD_97_4" hidden="1">"A32142"</definedName>
    <definedName name="FDD_97_5" hidden="1">"A32508"</definedName>
    <definedName name="FDD_97_6" hidden="1">"A32873"</definedName>
    <definedName name="FDD_97_7" hidden="1">"A33238"</definedName>
    <definedName name="FDD_97_8" hidden="1">"A33603"</definedName>
    <definedName name="FDD_97_9" hidden="1">"A33969"</definedName>
    <definedName name="FDD_98_0" hidden="1">"U30681"</definedName>
    <definedName name="FDD_98_1" hidden="1">"A31047"</definedName>
    <definedName name="FDD_98_10" hidden="1">"A34334"</definedName>
    <definedName name="FDD_98_11" hidden="1">"A34699"</definedName>
    <definedName name="FDD_98_12" hidden="1">"A35064"</definedName>
    <definedName name="FDD_98_13" hidden="1">"A35430"</definedName>
    <definedName name="FDD_98_14" hidden="1">"A35795"</definedName>
    <definedName name="FDD_98_2" hidden="1">"A31412"</definedName>
    <definedName name="FDD_98_3" hidden="1">"A31777"</definedName>
    <definedName name="FDD_98_4" hidden="1">"A32142"</definedName>
    <definedName name="FDD_98_5" hidden="1">"A32508"</definedName>
    <definedName name="FDD_98_6" hidden="1">"A32873"</definedName>
    <definedName name="FDD_98_7" hidden="1">"A33238"</definedName>
    <definedName name="FDD_98_8" hidden="1">"A33603"</definedName>
    <definedName name="FDD_98_9" hidden="1">"A33969"</definedName>
    <definedName name="FDD_99_0" hidden="1">"U30681"</definedName>
    <definedName name="FDD_99_1" hidden="1">"A31047"</definedName>
    <definedName name="FDD_99_10" hidden="1">"A34334"</definedName>
    <definedName name="FDD_99_11" hidden="1">"A34699"</definedName>
    <definedName name="FDD_99_12" hidden="1">"A35064"</definedName>
    <definedName name="FDD_99_13" hidden="1">"A35430"</definedName>
    <definedName name="FDD_99_14" hidden="1">"A35795"</definedName>
    <definedName name="FDD_99_2" hidden="1">"A31412"</definedName>
    <definedName name="FDD_99_3" hidden="1">"A31777"</definedName>
    <definedName name="FDD_99_4" hidden="1">"A32142"</definedName>
    <definedName name="FDD_99_5" hidden="1">"A32508"</definedName>
    <definedName name="FDD_99_6" hidden="1">"A32873"</definedName>
    <definedName name="FDD_99_7" hidden="1">"A33238"</definedName>
    <definedName name="FDD_99_8" hidden="1">"A33603"</definedName>
    <definedName name="FDD_99_9" hidden="1">"A33969"</definedName>
    <definedName name="FDP_0_1_aUrv" hidden="1">#REF!</definedName>
    <definedName name="FDP_10_1_aDrv" localSheetId="9" hidden="1">#REF!</definedName>
    <definedName name="FDP_10_1_aDrv" hidden="1">#REF!</definedName>
    <definedName name="FDP_107_1_aUrv" localSheetId="9" hidden="1">#REF!</definedName>
    <definedName name="FDP_107_1_aUrv" hidden="1">#REF!</definedName>
    <definedName name="FDP_11_1_aDrv" localSheetId="9" hidden="1">#REF!</definedName>
    <definedName name="FDP_11_1_aDrv" hidden="1">#REF!</definedName>
    <definedName name="FDP_111_1_aUrv" localSheetId="9" hidden="1">#REF!</definedName>
    <definedName name="FDP_111_1_aUrv" hidden="1">#REF!</definedName>
    <definedName name="FDP_112_1_aUrv" localSheetId="9" hidden="1">#REF!</definedName>
    <definedName name="FDP_112_1_aUrv" hidden="1">#REF!</definedName>
    <definedName name="FDP_113_1_aUrv" localSheetId="9" hidden="1">#REF!</definedName>
    <definedName name="FDP_113_1_aUrv" hidden="1">#REF!</definedName>
    <definedName name="FDP_114_1_aUrv" localSheetId="9" hidden="1">#REF!</definedName>
    <definedName name="FDP_114_1_aUrv" hidden="1">#REF!</definedName>
    <definedName name="FDP_115_1_aUrv" localSheetId="9" hidden="1">#REF!</definedName>
    <definedName name="FDP_115_1_aUrv" hidden="1">#REF!</definedName>
    <definedName name="FDP_12_1_aDrv" localSheetId="9" hidden="1">#REF!</definedName>
    <definedName name="FDP_12_1_aDrv" hidden="1">#REF!</definedName>
    <definedName name="FDP_126_1_aUrv" localSheetId="9" hidden="1">#REF!</definedName>
    <definedName name="FDP_126_1_aUrv" hidden="1">#REF!</definedName>
    <definedName name="FDP_127_1_aUrv" localSheetId="9" hidden="1">#REF!</definedName>
    <definedName name="FDP_127_1_aUrv" hidden="1">#REF!</definedName>
    <definedName name="FDP_128_1_aUrv" localSheetId="9" hidden="1">#REF!</definedName>
    <definedName name="FDP_128_1_aUrv" hidden="1">#REF!</definedName>
    <definedName name="FDP_129_1_aUrv" localSheetId="9" hidden="1">#REF!</definedName>
    <definedName name="FDP_129_1_aUrv" hidden="1">#REF!</definedName>
    <definedName name="FDP_13_1_aDrv" localSheetId="9" hidden="1">#REF!</definedName>
    <definedName name="FDP_13_1_aDrv" hidden="1">#REF!</definedName>
    <definedName name="FDP_131_1_aDrv" localSheetId="9" hidden="1">#REF!</definedName>
    <definedName name="FDP_131_1_aDrv" hidden="1">#REF!</definedName>
    <definedName name="FDP_134_1_aDrv" localSheetId="9" hidden="1">#REF!</definedName>
    <definedName name="FDP_134_1_aDrv" hidden="1">#REF!</definedName>
    <definedName name="FDP_135_1_aDrv" localSheetId="9" hidden="1">#REF!</definedName>
    <definedName name="FDP_135_1_aDrv" hidden="1">#REF!</definedName>
    <definedName name="FDP_137_1_aDdv" localSheetId="9" hidden="1">#REF!</definedName>
    <definedName name="FDP_137_1_aDdv" hidden="1">#REF!</definedName>
    <definedName name="FDP_139_1_aUrv" localSheetId="9" hidden="1">#REF!</definedName>
    <definedName name="FDP_139_1_aUrv" hidden="1">#REF!</definedName>
    <definedName name="FDP_14_1_aDrv" localSheetId="9" hidden="1">#REF!</definedName>
    <definedName name="FDP_14_1_aDrv" hidden="1">#REF!</definedName>
    <definedName name="FDP_140_1_aUrv" localSheetId="9" hidden="1">#REF!</definedName>
    <definedName name="FDP_140_1_aUrv" hidden="1">#REF!</definedName>
    <definedName name="FDP_141_1_aUrv" localSheetId="9" hidden="1">#REF!</definedName>
    <definedName name="FDP_141_1_aUrv" hidden="1">#REF!</definedName>
    <definedName name="FDP_143_1_aUrv" localSheetId="9" hidden="1">#REF!</definedName>
    <definedName name="FDP_143_1_aUrv" hidden="1">#REF!</definedName>
    <definedName name="FDP_144_1_aUrv" localSheetId="9" hidden="1">#REF!</definedName>
    <definedName name="FDP_144_1_aUrv" hidden="1">#REF!</definedName>
    <definedName name="FDP_15_1_aDrv" localSheetId="9" hidden="1">#REF!</definedName>
    <definedName name="FDP_15_1_aDrv" hidden="1">#REF!</definedName>
    <definedName name="FDP_16_1_aDrv" localSheetId="9" hidden="1">#REF!</definedName>
    <definedName name="FDP_16_1_aDrv" hidden="1">#REF!</definedName>
    <definedName name="FDP_17_1_aDrv" localSheetId="9" hidden="1">#REF!</definedName>
    <definedName name="FDP_17_1_aDrv" hidden="1">#REF!</definedName>
    <definedName name="FDP_18_1_aDrv" localSheetId="9" hidden="1">#REF!</definedName>
    <definedName name="FDP_18_1_aDrv" hidden="1">#REF!</definedName>
    <definedName name="FDP_19_1_aDrv" localSheetId="9" hidden="1">#REF!</definedName>
    <definedName name="FDP_19_1_aDrv" hidden="1">#REF!</definedName>
    <definedName name="FDP_20_1_aUrv" localSheetId="9" hidden="1">#REF!</definedName>
    <definedName name="FDP_20_1_aUrv" hidden="1">#REF!</definedName>
    <definedName name="FDP_21_1_aUrv" localSheetId="9" hidden="1">#REF!</definedName>
    <definedName name="FDP_21_1_aUrv" hidden="1">#REF!</definedName>
    <definedName name="FDP_22_1_aUrv" localSheetId="9" hidden="1">#REF!</definedName>
    <definedName name="FDP_22_1_aUrv" hidden="1">#REF!</definedName>
    <definedName name="FDP_23_1_aUrv" localSheetId="9" hidden="1">#REF!</definedName>
    <definedName name="FDP_23_1_aUrv" hidden="1">#REF!</definedName>
    <definedName name="FDP_24_1_aUrv" localSheetId="9" hidden="1">#REF!</definedName>
    <definedName name="FDP_24_1_aUrv" hidden="1">#REF!</definedName>
    <definedName name="FDP_25_1_aUrv" localSheetId="9" hidden="1">#REF!</definedName>
    <definedName name="FDP_25_1_aUrv" hidden="1">#REF!</definedName>
    <definedName name="FDP_26_1_aUrv" localSheetId="9" hidden="1">#REF!</definedName>
    <definedName name="FDP_26_1_aUrv" hidden="1">#REF!</definedName>
    <definedName name="FDP_27_1_aUrv" localSheetId="9" hidden="1">#REF!</definedName>
    <definedName name="FDP_27_1_aUrv" hidden="1">#REF!</definedName>
    <definedName name="FDP_28_1_aUrv" localSheetId="9" hidden="1">#REF!</definedName>
    <definedName name="FDP_28_1_aUrv" hidden="1">#REF!</definedName>
    <definedName name="FDP_280_1_aSrv" localSheetId="9" hidden="1">#REF!</definedName>
    <definedName name="FDP_280_1_aSrv" hidden="1">#REF!</definedName>
    <definedName name="FDP_281_1_aSrv" localSheetId="9" hidden="1">#REF!</definedName>
    <definedName name="FDP_281_1_aSrv" hidden="1">#REF!</definedName>
    <definedName name="FDP_282_1_aSrv" localSheetId="9" hidden="1">#REF!</definedName>
    <definedName name="FDP_282_1_aSrv" hidden="1">#REF!</definedName>
    <definedName name="FDP_283_1_aSrv" localSheetId="9" hidden="1">#REF!</definedName>
    <definedName name="FDP_283_1_aSrv" hidden="1">#REF!</definedName>
    <definedName name="FDP_29_1_aUrv" localSheetId="9" hidden="1">#REF!</definedName>
    <definedName name="FDP_29_1_aUrv" hidden="1">#REF!</definedName>
    <definedName name="FDP_30_1_aUrv" localSheetId="9" hidden="1">#REF!</definedName>
    <definedName name="FDP_30_1_aUrv" hidden="1">#REF!</definedName>
    <definedName name="FDP_31_1_aUrv" localSheetId="9" hidden="1">#REF!</definedName>
    <definedName name="FDP_31_1_aUrv" hidden="1">#REF!</definedName>
    <definedName name="FDP_32_1_aUrv" localSheetId="9" hidden="1">#REF!</definedName>
    <definedName name="FDP_32_1_aUrv" hidden="1">#REF!</definedName>
    <definedName name="FDP_33_1_aUrv" localSheetId="9" hidden="1">#REF!</definedName>
    <definedName name="FDP_33_1_aUrv" hidden="1">#REF!</definedName>
    <definedName name="FDP_34_1_aUrv" localSheetId="9" hidden="1">#REF!</definedName>
    <definedName name="FDP_34_1_aUrv" hidden="1">#REF!</definedName>
    <definedName name="FDP_35_1_aUrv" localSheetId="9" hidden="1">#REF!</definedName>
    <definedName name="FDP_35_1_aUrv" hidden="1">#REF!</definedName>
    <definedName name="FDP_36_1_aUrv" localSheetId="9" hidden="1">#REF!</definedName>
    <definedName name="FDP_36_1_aUrv" hidden="1">#REF!</definedName>
    <definedName name="FDP_37_1_aUrv" localSheetId="9" hidden="1">#REF!</definedName>
    <definedName name="FDP_37_1_aUrv" hidden="1">#REF!</definedName>
    <definedName name="FDP_38_1_aUrv" localSheetId="9" hidden="1">#REF!</definedName>
    <definedName name="FDP_38_1_aUrv" hidden="1">#REF!</definedName>
    <definedName name="FDP_39_1_aUrv" localSheetId="9" hidden="1">#REF!</definedName>
    <definedName name="FDP_39_1_aUrv" hidden="1">#REF!</definedName>
    <definedName name="FDP_41_1_aUrv" localSheetId="9" hidden="1">#REF!</definedName>
    <definedName name="FDP_41_1_aUrv" hidden="1">#REF!</definedName>
    <definedName name="FDP_42_1_aUrv" localSheetId="9" hidden="1">#REF!</definedName>
    <definedName name="FDP_42_1_aUrv" hidden="1">#REF!</definedName>
    <definedName name="FDP_43_1_aUrv" localSheetId="9" hidden="1">#REF!</definedName>
    <definedName name="FDP_43_1_aUrv" hidden="1">#REF!</definedName>
    <definedName name="FDP_44_1_aUrv" localSheetId="9" hidden="1">#REF!</definedName>
    <definedName name="FDP_44_1_aUrv" hidden="1">#REF!</definedName>
    <definedName name="FDP_45_1_aUrv" localSheetId="9" hidden="1">#REF!</definedName>
    <definedName name="FDP_45_1_aUrv" hidden="1">#REF!</definedName>
    <definedName name="FDP_46_1_aUrv" localSheetId="9" hidden="1">#REF!</definedName>
    <definedName name="FDP_46_1_aUrv" hidden="1">#REF!</definedName>
    <definedName name="FDP_47_1_aUrv" localSheetId="9" hidden="1">#REF!</definedName>
    <definedName name="FDP_47_1_aUrv" hidden="1">#REF!</definedName>
    <definedName name="FDP_48_1_aUrv" localSheetId="9" hidden="1">#REF!</definedName>
    <definedName name="FDP_48_1_aUrv" hidden="1">#REF!</definedName>
    <definedName name="FDP_49_1_aUrv" localSheetId="9" hidden="1">#REF!</definedName>
    <definedName name="FDP_49_1_aUrv" hidden="1">#REF!</definedName>
    <definedName name="FDP_50_1_aUrv" localSheetId="9" hidden="1">#REF!</definedName>
    <definedName name="FDP_50_1_aUrv" hidden="1">#REF!</definedName>
    <definedName name="FDP_51_1_aUrv" localSheetId="9" hidden="1">#REF!</definedName>
    <definedName name="FDP_51_1_aUrv" hidden="1">#REF!</definedName>
    <definedName name="FDP_52_1_aUrv" localSheetId="9" hidden="1">#REF!</definedName>
    <definedName name="FDP_52_1_aUrv" hidden="1">#REF!</definedName>
    <definedName name="FDP_53_1_aUrv" localSheetId="9" hidden="1">#REF!</definedName>
    <definedName name="FDP_53_1_aUrv" hidden="1">#REF!</definedName>
    <definedName name="FDP_53_1_rUrv" localSheetId="9" hidden="1">#REF!</definedName>
    <definedName name="FDP_53_1_rUrv" hidden="1">#REF!</definedName>
    <definedName name="FDP_54_1_aUrv" localSheetId="9" hidden="1">#REF!</definedName>
    <definedName name="FDP_54_1_aUrv" hidden="1">#REF!</definedName>
    <definedName name="FDP_55_1_aUrv" localSheetId="9" hidden="1">#REF!</definedName>
    <definedName name="FDP_55_1_aUrv" hidden="1">#REF!</definedName>
    <definedName name="FDP_8_1_aDrv" localSheetId="9" hidden="1">#REF!</definedName>
    <definedName name="FDP_8_1_aDrv" hidden="1">#REF!</definedName>
    <definedName name="FDP_9_1_aDrv" localSheetId="9" hidden="1">#REF!</definedName>
    <definedName name="FDP_9_1_aDrv" hidden="1">#REF!</definedName>
    <definedName name="ffw" localSheetId="1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fw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fw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n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1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a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a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a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anc.Resumen" localSheetId="1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nanc.Resumen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nanc.Resume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nancialCloseDate" localSheetId="17">#REF!</definedName>
    <definedName name="FinancialCloseDate">Inputs!$E$29</definedName>
    <definedName name="Fluxo" localSheetId="17" hidden="1">{#N/A,#N/A,FALSE,"OUT";#N/A,#N/A,FALSE,"NOV"}</definedName>
    <definedName name="Fluxo" localSheetId="9" hidden="1">{#N/A,#N/A,FALSE,"OUT";#N/A,#N/A,FALSE,"NOV"}</definedName>
    <definedName name="Fluxo" hidden="1">{#N/A,#N/A,FALSE,"OUT";#N/A,#N/A,FALSE,"NOV"}</definedName>
    <definedName name="Fluxo_Jan_Fev" localSheetId="17" hidden="1">{#N/A,#N/A,FALSE,"OUT";#N/A,#N/A,FALSE,"NOV"}</definedName>
    <definedName name="Fluxo_Jan_Fev" localSheetId="9" hidden="1">{#N/A,#N/A,FALSE,"OUT";#N/A,#N/A,FALSE,"NOV"}</definedName>
    <definedName name="Fluxo_Jan_Fev" hidden="1">{#N/A,#N/A,FALSE,"OUT";#N/A,#N/A,FALSE,"NOV"}</definedName>
    <definedName name="frdg" localSheetId="9" hidden="1">#REF!-1 &amp; "." &amp; MAX(1,COUNTA(INDEX(#REF!,MATCH(#REF!-1,#REF!,FALSE)):#REF!))</definedName>
    <definedName name="frdg" hidden="1">#REF!-1 &amp; "." &amp; MAX(1,COUNTA(INDEX(#REF!,MATCH(#REF!-1,#REF!,FALSE)):#REF!))</definedName>
    <definedName name="fresfg" localSheetId="17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fresfg" localSheetId="9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fresfg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fsdfsdfsdf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fsdfsdfsdf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fsdfsdfsdf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fthju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fthju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fthju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gggggggggg" hidden="1">#REF!</definedName>
    <definedName name="Header1" localSheetId="9" hidden="1">IF(COUNTA(#REF!)=0,0,INDEX(#REF!,MATCH(ROW(#REF!),#REF!,TRUE)))+1</definedName>
    <definedName name="Header1" hidden="1">IF(COUNTA(#REF!)=0,0,INDEX(#REF!,MATCH(ROW(#REF!),#REF!,TRUE)))+1</definedName>
    <definedName name="Header2" localSheetId="9" hidden="1">#REF!-1 &amp; "." &amp; MAX(1,COUNTA(INDEX(#REF!,MATCH(#REF!-1,#REF!,FALSE)):#REF!))</definedName>
    <definedName name="Header2" hidden="1">#REF!-1 &amp; "." &amp; MAX(1,COUNTA(INDEX(#REF!,MATCH(#REF!-1,#REF!,FALSE)):#REF!))</definedName>
    <definedName name="hn.ExtDb" hidden="1">FALSE</definedName>
    <definedName name="hn.ModelType" hidden="1">"DEAL"</definedName>
    <definedName name="hn.ModelVersion" hidden="1">1</definedName>
    <definedName name="hn.NoUpload" hidden="1">0</definedName>
    <definedName name="hn.RolledForward" hidden="1">FALSE</definedName>
    <definedName name="hthj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hthj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hthj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HTML_CodePage" hidden="1">1252</definedName>
    <definedName name="HTML_Control" localSheetId="17" hidden="1">{"'Índice'!$A$1:$K$49"}</definedName>
    <definedName name="HTML_Control" localSheetId="9" hidden="1">{"'Índice'!$A$1:$K$49"}</definedName>
    <definedName name="HTML_Control" hidden="1">{"'Índice'!$A$1:$K$49"}</definedName>
    <definedName name="HTML_Control_1" localSheetId="17" hidden="1">{"'Índice'!$A$1:$K$49"}</definedName>
    <definedName name="HTML_Control_1" localSheetId="9" hidden="1">{"'Índice'!$A$1:$K$49"}</definedName>
    <definedName name="HTML_Control_1" hidden="1">{"'Índice'!$A$1:$K$49"}</definedName>
    <definedName name="HTML_Control_1_1" localSheetId="17" hidden="1">{"'Índice'!$A$1:$K$49"}</definedName>
    <definedName name="HTML_Control_1_1" localSheetId="9" hidden="1">{"'Índice'!$A$1:$K$49"}</definedName>
    <definedName name="HTML_Control_1_1" hidden="1">{"'Índice'!$A$1:$K$49"}</definedName>
    <definedName name="HTML_Control_1_1_1" localSheetId="17" hidden="1">{"'Índice'!$A$1:$K$49"}</definedName>
    <definedName name="HTML_Control_1_1_1" localSheetId="9" hidden="1">{"'Índice'!$A$1:$K$49"}</definedName>
    <definedName name="HTML_Control_1_1_1" hidden="1">{"'Índice'!$A$1:$K$49"}</definedName>
    <definedName name="HTML_Control_1_1_1_1" localSheetId="17" hidden="1">{"'Índice'!$A$1:$K$49"}</definedName>
    <definedName name="HTML_Control_1_1_1_1" localSheetId="9" hidden="1">{"'Índice'!$A$1:$K$49"}</definedName>
    <definedName name="HTML_Control_1_1_1_1" hidden="1">{"'Índice'!$A$1:$K$49"}</definedName>
    <definedName name="HTML_Control_1_1_2" localSheetId="17" hidden="1">{"'Índice'!$A$1:$K$49"}</definedName>
    <definedName name="HTML_Control_1_1_2" localSheetId="9" hidden="1">{"'Índice'!$A$1:$K$49"}</definedName>
    <definedName name="HTML_Control_1_1_2" hidden="1">{"'Índice'!$A$1:$K$49"}</definedName>
    <definedName name="HTML_Control_1_2" localSheetId="17" hidden="1">{"'Índice'!$A$1:$K$49"}</definedName>
    <definedName name="HTML_Control_1_2" localSheetId="9" hidden="1">{"'Índice'!$A$1:$K$49"}</definedName>
    <definedName name="HTML_Control_1_2" hidden="1">{"'Índice'!$A$1:$K$49"}</definedName>
    <definedName name="HTML_Control_1_2_1" localSheetId="17" hidden="1">{"'Índice'!$A$1:$K$49"}</definedName>
    <definedName name="HTML_Control_1_2_1" localSheetId="9" hidden="1">{"'Índice'!$A$1:$K$49"}</definedName>
    <definedName name="HTML_Control_1_2_1" hidden="1">{"'Índice'!$A$1:$K$49"}</definedName>
    <definedName name="HTML_Control_1_3" localSheetId="17" hidden="1">{"'Índice'!$A$1:$K$49"}</definedName>
    <definedName name="HTML_Control_1_3" localSheetId="9" hidden="1">{"'Índice'!$A$1:$K$49"}</definedName>
    <definedName name="HTML_Control_1_3" hidden="1">{"'Índice'!$A$1:$K$49"}</definedName>
    <definedName name="HTML_Control_1_3_1" localSheetId="17" hidden="1">{"'Índice'!$A$1:$K$49"}</definedName>
    <definedName name="HTML_Control_1_3_1" localSheetId="9" hidden="1">{"'Índice'!$A$1:$K$49"}</definedName>
    <definedName name="HTML_Control_1_3_1" hidden="1">{"'Índice'!$A$1:$K$49"}</definedName>
    <definedName name="HTML_Control_1_4" localSheetId="17" hidden="1">{"'Índice'!$A$1:$K$49"}</definedName>
    <definedName name="HTML_Control_1_4" localSheetId="9" hidden="1">{"'Índice'!$A$1:$K$49"}</definedName>
    <definedName name="HTML_Control_1_4" hidden="1">{"'Índice'!$A$1:$K$49"}</definedName>
    <definedName name="HTML_Control_1_5" localSheetId="17" hidden="1">{"'Índice'!$A$1:$K$49"}</definedName>
    <definedName name="HTML_Control_1_5" localSheetId="9" hidden="1">{"'Índice'!$A$1:$K$49"}</definedName>
    <definedName name="HTML_Control_1_5" hidden="1">{"'Índice'!$A$1:$K$49"}</definedName>
    <definedName name="HTML_Control_2" localSheetId="17" hidden="1">{"'Índice'!$A$1:$K$49"}</definedName>
    <definedName name="HTML_Control_2" localSheetId="9" hidden="1">{"'Índice'!$A$1:$K$49"}</definedName>
    <definedName name="HTML_Control_2" hidden="1">{"'Índice'!$A$1:$K$49"}</definedName>
    <definedName name="HTML_Control_2_1" localSheetId="17" hidden="1">{"'Índice'!$A$1:$K$49"}</definedName>
    <definedName name="HTML_Control_2_1" localSheetId="9" hidden="1">{"'Índice'!$A$1:$K$49"}</definedName>
    <definedName name="HTML_Control_2_1" hidden="1">{"'Índice'!$A$1:$K$49"}</definedName>
    <definedName name="HTML_Control_3" localSheetId="17" hidden="1">{"'Índice'!$A$1:$K$49"}</definedName>
    <definedName name="HTML_Control_3" localSheetId="9" hidden="1">{"'Índice'!$A$1:$K$49"}</definedName>
    <definedName name="HTML_Control_3" hidden="1">{"'Índice'!$A$1:$K$49"}</definedName>
    <definedName name="HTML_Control_3_1" localSheetId="17" hidden="1">{"'Índice'!$A$1:$K$49"}</definedName>
    <definedName name="HTML_Control_3_1" localSheetId="9" hidden="1">{"'Índice'!$A$1:$K$49"}</definedName>
    <definedName name="HTML_Control_3_1" hidden="1">{"'Índice'!$A$1:$K$49"}</definedName>
    <definedName name="HTML_Control_4" localSheetId="17" hidden="1">{"'Índice'!$A$1:$K$49"}</definedName>
    <definedName name="HTML_Control_4" localSheetId="9" hidden="1">{"'Índice'!$A$1:$K$49"}</definedName>
    <definedName name="HTML_Control_4" hidden="1">{"'Índice'!$A$1:$K$49"}</definedName>
    <definedName name="HTML_Control_5" localSheetId="17" hidden="1">{"'Índice'!$A$1:$K$49"}</definedName>
    <definedName name="HTML_Control_5" localSheetId="9" hidden="1">{"'Índice'!$A$1:$K$49"}</definedName>
    <definedName name="HTML_Control_5" hidden="1">{"'Índice'!$A$1:$K$49"}</definedName>
    <definedName name="HTML_Control2" localSheetId="17" hidden="1">{"'RATEIO RECEITA BRUTA'!$B$77:$C$106"}</definedName>
    <definedName name="HTML_Control2" localSheetId="9" hidden="1">{"'RATEIO RECEITA BRUTA'!$B$77:$C$106"}</definedName>
    <definedName name="HTML_Control2" hidden="1">{"'RATEIO RECEITA BRUTA'!$B$77:$C$106"}</definedName>
    <definedName name="HTML_Description" hidden="1">""</definedName>
    <definedName name="HTML_Email" hidden="1">""</definedName>
    <definedName name="HTML_Header" hidden="1">"Índice"</definedName>
    <definedName name="HTML_LastUpdate" hidden="1">"12/08/1999"</definedName>
    <definedName name="HTML_LineAfter" hidden="1">FALSE</definedName>
    <definedName name="HTML_LineBefore" hidden="1">FALSE</definedName>
    <definedName name="HTML_Name" hidden="1">"Rodovia das Cataratas"</definedName>
    <definedName name="HTML_OBDlg2" hidden="1">TRUE</definedName>
    <definedName name="HTML_OBDlg4" hidden="1">TRUE</definedName>
    <definedName name="HTML_OS" hidden="1">0</definedName>
    <definedName name="HTML_PathFile" hidden="1">"\\Server_1\sig\07 Julho\Informe\MeuHTML.htm"</definedName>
    <definedName name="HTML_PathFileMac" hidden="1">"Macintosh HD:HomePageStuff:New_Home_Page:datafile:histret.html"</definedName>
    <definedName name="HTML_Title" hidden="1">"Gerência de Administração e Controle de Gestão"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xgasygxbiuxhio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hxgasygxbiuxhio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hxgasygxbiuxhio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I8O" localSheetId="17" hidden="1">{#N/A,#N/A,FALSE,"JUN";#N/A,#N/A,FALSE,"JUL"}</definedName>
    <definedName name="I8O" localSheetId="9" hidden="1">{#N/A,#N/A,FALSE,"JUN";#N/A,#N/A,FALSE,"JUL"}</definedName>
    <definedName name="I8O" hidden="1">{#N/A,#N/A,FALSE,"JUN";#N/A,#N/A,FALSE,"JUL"}</definedName>
    <definedName name="I9O" localSheetId="17" hidden="1">{#N/A,#N/A,FALSE,"JUN";#N/A,#N/A,FALSE,"JUL"}</definedName>
    <definedName name="I9O" localSheetId="9" hidden="1">{#N/A,#N/A,FALSE,"JUN";#N/A,#N/A,FALSE,"JUL"}</definedName>
    <definedName name="I9O" hidden="1">{#N/A,#N/A,FALSE,"JUN";#N/A,#N/A,FALSE,"JUL"}</definedName>
    <definedName name="IFRIC12_Check" localSheetId="17">#REF!</definedName>
    <definedName name="IFRIC12_Check">Macro!$F$8</definedName>
    <definedName name="II" localSheetId="17" hidden="1">{#N/A,#N/A,FALSE,"JUN";#N/A,#N/A,FALSE,"JUL"}</definedName>
    <definedName name="II" localSheetId="9" hidden="1">{#N/A,#N/A,FALSE,"JUN";#N/A,#N/A,FALSE,"JUL"}</definedName>
    <definedName name="II" hidden="1">{#N/A,#N/A,FALSE,"JUN";#N/A,#N/A,FALSE,"JUL"}</definedName>
    <definedName name="INCOME_PTE" localSheetId="17" hidden="1">{#N/A,#N/A,FALSE,"JUN";#N/A,#N/A,FALSE,"JUL"}</definedName>
    <definedName name="INCOME_PTE" localSheetId="9" hidden="1">{#N/A,#N/A,FALSE,"JUN";#N/A,#N/A,FALSE,"JUL"}</definedName>
    <definedName name="INCOME_PTE" hidden="1">{#N/A,#N/A,FALSE,"JUN";#N/A,#N/A,FALSE,"JUL"}</definedName>
    <definedName name="Inflación" localSheetId="1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flación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flació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" localSheetId="1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" localSheetId="1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localSheetId="1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localSheetId="1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localSheetId="1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Q_1_4_FAMILY_JUNIOR_LIENS_CHARGE_OFFS_FDIC" hidden="1">"c6605"</definedName>
    <definedName name="IQ_1_4_FAMILY_JUNIOR_LIENS_NET_CHARGE_OFFS_FDIC" hidden="1">"c6643"</definedName>
    <definedName name="IQ_1_4_FAMILY_JUNIOR_LIENS_RECOVERIES_FDIC" hidden="1">"c6624"</definedName>
    <definedName name="IQ_1_4_FAMILY_SENIOR_LIENS_CHARGE_OFFS_FDIC" hidden="1">"c6604"</definedName>
    <definedName name="IQ_1_4_FAMILY_SENIOR_LIENS_NET_CHARGE_OFFS_FDIC" hidden="1">"c6642"</definedName>
    <definedName name="IQ_1_4_FAMILY_SENIOR_LIENS_RECOVERIES_FDIC" hidden="1">"c6623"</definedName>
    <definedName name="IQ_1_4_HOME_EQUITY_NET_LOANS_FDIC" hidden="1">"c6441"</definedName>
    <definedName name="IQ_1_4_RESIDENTIAL_FIRST_LIENS_NET_LOANS_FDIC" hidden="1">"c6439"</definedName>
    <definedName name="IQ_1_4_RESIDENTIAL_JUNIOR_LIENS_NET_LOANS_FDIC" hidden="1">"c6440"</definedName>
    <definedName name="IQ_1_4_RESIDENTIAL_LOANS_FDIC" hidden="1">"c6310"</definedName>
    <definedName name="IQ_ACCOUNT_CHANGE" hidden="1">"c1449"</definedName>
    <definedName name="IQ_ACCOUNTING_STANDARD" hidden="1">"c4539"</definedName>
    <definedName name="IQ_ACCOUNTING_STANDARD_CIQ" hidden="1">"c5092"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CAGR" hidden="1">"c6159"</definedName>
    <definedName name="IQ_ACCT_RECV_10YR_ANN_GROWTH" hidden="1">"c1924"</definedName>
    <definedName name="IQ_ACCT_RECV_1YR_ANN_GROWTH" hidden="1">"c1919"</definedName>
    <definedName name="IQ_ACCT_RECV_2YR_ANN_CAGR" hidden="1">"c6155"</definedName>
    <definedName name="IQ_ACCT_RECV_2YR_ANN_GROWTH" hidden="1">"c1920"</definedName>
    <definedName name="IQ_ACCT_RECV_3YR_ANN_CAGR" hidden="1">"c6156"</definedName>
    <definedName name="IQ_ACCT_RECV_3YR_ANN_GROWTH" hidden="1">"c1921"</definedName>
    <definedName name="IQ_ACCT_RECV_5YR_ANN_CAGR" hidden="1">"c6157"</definedName>
    <definedName name="IQ_ACCT_RECV_5YR_ANN_GROWTH" hidden="1">"c1922"</definedName>
    <definedName name="IQ_ACCT_RECV_7YR_ANN_CAGR" hidden="1">"c6158"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CUMULATED_PENSION_OBLIGATION_DOMESTIC" hidden="1">"c2657"</definedName>
    <definedName name="IQ_ACCUMULATED_PENSION_OBLIGATION_FOREIGN" hidden="1">"c2665"</definedName>
    <definedName name="IQ_ACQ_COST_SUB" hidden="1">"c2125"</definedName>
    <definedName name="IQ_ACQ_COSTS_CAPITALIZED" hidden="1">"c5"</definedName>
    <definedName name="IQ_ACQUIRE_REAL_ESTATE_CF" hidden="1">"c6"</definedName>
    <definedName name="IQ_ACQUIRED_BY_REPORTING_BANK_FDIC" hidden="1">"c6535"</definedName>
    <definedName name="IQ_ACQUISITION_RE_ASSETS" hidden="1">"c1628"</definedName>
    <definedName name="IQ_AD" hidden="1">"c7"</definedName>
    <definedName name="IQ_ADD_PAID_IN" hidden="1">"c1344"</definedName>
    <definedName name="IQ_ADDIN" hidden="1">"AUTO"</definedName>
    <definedName name="IQ_ADDITIONAL_NON_INT_INC_FDIC" hidden="1">"c6574"</definedName>
    <definedName name="IQ_ADJ_AVG_BANK_ASSETS" hidden="1">"c2671"</definedName>
    <definedName name="IQ_ADJUSTABLE_RATE_LOANS_FDIC" hidden="1">"c6375"</definedName>
    <definedName name="IQ_ADMIN_RATIO" hidden="1">"c2784"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" hidden="1">"c6195"</definedName>
    <definedName name="IQ_AE_REIT" hidden="1">"c13"</definedName>
    <definedName name="IQ_AE_UTI" hidden="1">"c14"</definedName>
    <definedName name="IQ_AFTER_TAX_INCOME_FDIC" hidden="1">"c6583"</definedName>
    <definedName name="IQ_AGRICULTURAL_PRODUCTION_CHARGE_OFFS_FDIC" hidden="1">"c6597"</definedName>
    <definedName name="IQ_AGRICULTURAL_PRODUCTION_CHARGE_OFFS_LESS_THAN_300M_FDIC" hidden="1">"c6655"</definedName>
    <definedName name="IQ_AGRICULTURAL_PRODUCTION_NET_CHARGE_OFFS_FDIC" hidden="1">"c6635"</definedName>
    <definedName name="IQ_AGRICULTURAL_PRODUCTION_NET_CHARGE_OFFS_LESS_THAN_300M_FDIC" hidden="1">"c6657"</definedName>
    <definedName name="IQ_AGRICULTURAL_PRODUCTION_RECOVERIES_FDIC" hidden="1">"c6616"</definedName>
    <definedName name="IQ_AGRICULTURAL_PRODUCTION_RECOVERIES_LESS_THAN_300M_FDIC" hidden="1">"c6656"</definedName>
    <definedName name="IQ_AH_EARNED" hidden="1">"c2744"</definedName>
    <definedName name="IQ_AH_POLICY_BENEFITS_EXP" hidden="1">"c2789"</definedName>
    <definedName name="IQ_AIR_AIRPLANES_NOT_IN_SERVICE" hidden="1">"c2842"</definedName>
    <definedName name="IQ_AIR_AIRPLANES_SUBLEASED" hidden="1">"c2841"</definedName>
    <definedName name="IQ_AIR_ASK" hidden="1">"c2813"</definedName>
    <definedName name="IQ_AIR_ASK_INCREASE" hidden="1">"c2826"</definedName>
    <definedName name="IQ_AIR_ASM" hidden="1">"c2812"</definedName>
    <definedName name="IQ_AIR_ASM_INCREASE" hidden="1">"c2825"</definedName>
    <definedName name="IQ_AIR_AVG_AGE" hidden="1">"c2843"</definedName>
    <definedName name="IQ_AIR_BREAK_EVEN_FACTOR" hidden="1">"c2822"</definedName>
    <definedName name="IQ_AIR_CAPITAL_LEASE" hidden="1">"c2833"</definedName>
    <definedName name="IQ_AIR_COMPLETION_FACTOR" hidden="1">"c2824"</definedName>
    <definedName name="IQ_AIR_ENPLANED_PSGRS" hidden="1">"c2809"</definedName>
    <definedName name="IQ_AIR_FUEL_CONSUMED" hidden="1">"c2806"</definedName>
    <definedName name="IQ_AIR_FUEL_CONSUMED_L" hidden="1">"c2807"</definedName>
    <definedName name="IQ_AIR_FUEL_COST" hidden="1">"c2803"</definedName>
    <definedName name="IQ_AIR_FUEL_COST_L" hidden="1">"c2804"</definedName>
    <definedName name="IQ_AIR_FUEL_EXP" hidden="1">"c2802"</definedName>
    <definedName name="IQ_AIR_FUEL_EXP_PERCENT" hidden="1">"c2805"</definedName>
    <definedName name="IQ_AIR_LEASED" hidden="1">"c2835"</definedName>
    <definedName name="IQ_AIR_LOAD_FACTOR" hidden="1">"c2823"</definedName>
    <definedName name="IQ_AIR_NEW_AIRPLANES" hidden="1">"c2839"</definedName>
    <definedName name="IQ_AIR_OPER_EXP_ASK" hidden="1">"c2821"</definedName>
    <definedName name="IQ_AIR_OPER_EXP_ASM" hidden="1">"c2820"</definedName>
    <definedName name="IQ_AIR_OPER_LEASE" hidden="1">"c2834"</definedName>
    <definedName name="IQ_AIR_OPER_REV_YIELD_ASK" hidden="1">"c2819"</definedName>
    <definedName name="IQ_AIR_OPER_REV_YIELD_ASM" hidden="1">"c2818"</definedName>
    <definedName name="IQ_AIR_OPTIONS" hidden="1">"c2837"</definedName>
    <definedName name="IQ_AIR_ORDERS" hidden="1">"c2836"</definedName>
    <definedName name="IQ_AIR_OWNED" hidden="1">"c2832"</definedName>
    <definedName name="IQ_AIR_PSGR_REV_YIELD_ASK" hidden="1">"c2817"</definedName>
    <definedName name="IQ_AIR_PSGR_REV_YIELD_ASM" hidden="1">"c2816"</definedName>
    <definedName name="IQ_AIR_PSGR_REV_YIELD_RPK" hidden="1">"c2815"</definedName>
    <definedName name="IQ_AIR_PSGR_REV_YIELD_RPM" hidden="1">"c2814"</definedName>
    <definedName name="IQ_AIR_PURCHASE_RIGHTS" hidden="1">"c2838"</definedName>
    <definedName name="IQ_AIR_RETIRED_AIRPLANES" hidden="1">"c2840"</definedName>
    <definedName name="IQ_AIR_REV_PSGRS_CARRIED" hidden="1">"c2808"</definedName>
    <definedName name="IQ_AIR_REV_SCHEDULED_SERVICE" hidden="1">"c2830"</definedName>
    <definedName name="IQ_AIR_RPK" hidden="1">"c2811"</definedName>
    <definedName name="IQ_AIR_RPM" hidden="1">"c2810"</definedName>
    <definedName name="IQ_AIR_STAGE_LENGTH" hidden="1">"c2828"</definedName>
    <definedName name="IQ_AIR_STAGE_LENGTH_KM" hidden="1">"c2829"</definedName>
    <definedName name="IQ_AIR_TOTAL" hidden="1">"c2831"</definedName>
    <definedName name="IQ_AIR_UTILIZATION" hidden="1">"c2827"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CAGR" hidden="1">"c6035"</definedName>
    <definedName name="IQ_ALLOWANCE_10YR_ANN_GROWTH" hidden="1">"c18"</definedName>
    <definedName name="IQ_ALLOWANCE_1YR_ANN_GROWTH" hidden="1">"c19"</definedName>
    <definedName name="IQ_ALLOWANCE_2YR_ANN_CAGR" hidden="1">"c6036"</definedName>
    <definedName name="IQ_ALLOWANCE_2YR_ANN_GROWTH" hidden="1">"c20"</definedName>
    <definedName name="IQ_ALLOWANCE_3YR_ANN_CAGR" hidden="1">"c6037"</definedName>
    <definedName name="IQ_ALLOWANCE_3YR_ANN_GROWTH" hidden="1">"c21"</definedName>
    <definedName name="IQ_ALLOWANCE_5YR_ANN_CAGR" hidden="1">"c6038"</definedName>
    <definedName name="IQ_ALLOWANCE_5YR_ANN_GROWTH" hidden="1">"c22"</definedName>
    <definedName name="IQ_ALLOWANCE_7YR_ANN_CAGR" hidden="1">"c6039"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ENDED_BALANCE_PREVIOUS_YR_FDIC" hidden="1">"c6499"</definedName>
    <definedName name="IQ_AMORT_EXPENSE_FDIC" hidden="1">"c6677"</definedName>
    <definedName name="IQ_AMORTIZATION" hidden="1">"c1591"</definedName>
    <definedName name="IQ_AMORTIZED_COST_FDIC" hidden="1">"c6426"</definedName>
    <definedName name="IQ_AMT_OUT" hidden="1">"c2145"</definedName>
    <definedName name="IQ_ANNU_DISTRIBUTION_UNIT" hidden="1">"c3004"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" hidden="1">"c6196"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" hidden="1">"c6197"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BACKED_FDIC" hidden="1">"c6301"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" hidden="1">"c6198"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" hidden="1">"c6199"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HELD_FDIC" hidden="1">"c6305"</definedName>
    <definedName name="IQ_ASSETS_OPER_LEASE_DEPR" hidden="1">"c2070"</definedName>
    <definedName name="IQ_ASSETS_OPER_LEASE_GROSS" hidden="1">"c2071"</definedName>
    <definedName name="IQ_ASSETS_PER_EMPLOYEE_FDIC" hidden="1">"c6737"</definedName>
    <definedName name="IQ_ASSETS_SOLD_1_4_FAMILY_LOANS_FDIC" hidden="1">"c6686"</definedName>
    <definedName name="IQ_ASSETS_SOLD_AUTO_LOANS_FDIC" hidden="1">"c6680"</definedName>
    <definedName name="IQ_ASSETS_SOLD_CL_LOANS_FDIC" hidden="1">"c6681"</definedName>
    <definedName name="IQ_ASSETS_SOLD_CREDIT_CARDS_RECEIVABLES_FDIC" hidden="1">"c6683"</definedName>
    <definedName name="IQ_ASSETS_SOLD_HOME_EQUITY_LINES_FDIC" hidden="1">"c6684"</definedName>
    <definedName name="IQ_ASSETS_SOLD_OTHER_CONSUMER_LOANS_FDIC" hidden="1">"c6682"</definedName>
    <definedName name="IQ_ASSETS_SOLD_OTHER_LOANS_FDIC" hidden="1">"c6685"</definedName>
    <definedName name="IQ_ASSUMED_AH_EARNED" hidden="1">"c2741"</definedName>
    <definedName name="IQ_ASSUMED_EARNED" hidden="1">"c2731"</definedName>
    <definedName name="IQ_ASSUMED_LIFE_EARNED" hidden="1">"c2736"</definedName>
    <definedName name="IQ_ASSUMED_LIFE_IN_FORCE" hidden="1">"c2766"</definedName>
    <definedName name="IQ_ASSUMED_PC_EARNED" hidden="1">"c2746"</definedName>
    <definedName name="IQ_ASSUMED_WRITTEN" hidden="1">"c2725"</definedName>
    <definedName name="IQ_AUDITOR_NAME" hidden="1">"c1539"</definedName>
    <definedName name="IQ_AUDITOR_OPINION" hidden="1">"c1540"</definedName>
    <definedName name="IQ_AUTO_WRITTEN" hidden="1">"c62"</definedName>
    <definedName name="IQ_AVAILABLE_FOR_SALE_FDIC" hidden="1">"c6409"</definedName>
    <definedName name="IQ_AVERAGE_ASSETS_FDIC" hidden="1">"c6362"</definedName>
    <definedName name="IQ_AVERAGE_ASSETS_QUART_FDIC" hidden="1">"c6363"</definedName>
    <definedName name="IQ_AVERAGE_EARNING_ASSETS_FDIC" hidden="1">"c6748"</definedName>
    <definedName name="IQ_AVERAGE_EQUITY_FDIC" hidden="1">"c6749"</definedName>
    <definedName name="IQ_AVERAGE_LOANS_FDIC" hidden="1">"c6750"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CIQ" hidden="1">"c3612"</definedName>
    <definedName name="IQ_AVG_BROKER_REC_NO" hidden="1">"c64"</definedName>
    <definedName name="IQ_AVG_BROKER_REC_NO_CIQ" hidden="1">"c4657"</definedName>
    <definedName name="IQ_AVG_BROKER_REC_NO_REUT" hidden="1">"c5315"</definedName>
    <definedName name="IQ_AVG_BROKER_REC_REUT" hidden="1">"c3630"</definedName>
    <definedName name="IQ_AVG_DAILY_VOL" hidden="1">"c65"</definedName>
    <definedName name="IQ_AVG_EMPLOYEES" hidden="1">"c6019"</definedName>
    <definedName name="IQ_AVG_INDUSTRY_REC" hidden="1">"c4455"</definedName>
    <definedName name="IQ_AVG_INDUSTRY_REC_CIQ" hidden="1">"c4984"</definedName>
    <definedName name="IQ_AVG_INDUSTRY_REC_NO" hidden="1">"c4454"</definedName>
    <definedName name="IQ_AVG_INDUSTRY_REC_NO_CIQ" hidden="1">"c4983"</definedName>
    <definedName name="IQ_AVG_INT_BEAR_LIAB" hidden="1">"c66"</definedName>
    <definedName name="IQ_AVG_INT_BEAR_LIAB_10YR_ANN_CAGR" hidden="1">"c6040"</definedName>
    <definedName name="IQ_AVG_INT_BEAR_LIAB_10YR_ANN_GROWTH" hidden="1">"c67"</definedName>
    <definedName name="IQ_AVG_INT_BEAR_LIAB_1YR_ANN_GROWTH" hidden="1">"c68"</definedName>
    <definedName name="IQ_AVG_INT_BEAR_LIAB_2YR_ANN_CAGR" hidden="1">"c6041"</definedName>
    <definedName name="IQ_AVG_INT_BEAR_LIAB_2YR_ANN_GROWTH" hidden="1">"c69"</definedName>
    <definedName name="IQ_AVG_INT_BEAR_LIAB_3YR_ANN_CAGR" hidden="1">"c6042"</definedName>
    <definedName name="IQ_AVG_INT_BEAR_LIAB_3YR_ANN_GROWTH" hidden="1">"c70"</definedName>
    <definedName name="IQ_AVG_INT_BEAR_LIAB_5YR_ANN_CAGR" hidden="1">"c6043"</definedName>
    <definedName name="IQ_AVG_INT_BEAR_LIAB_5YR_ANN_GROWTH" hidden="1">"c71"</definedName>
    <definedName name="IQ_AVG_INT_BEAR_LIAB_7YR_ANN_CAGR" hidden="1">"c6044"</definedName>
    <definedName name="IQ_AVG_INT_BEAR_LIAB_7YR_ANN_GROWTH" hidden="1">"c72"</definedName>
    <definedName name="IQ_AVG_INT_EARN_ASSETS" hidden="1">"c73"</definedName>
    <definedName name="IQ_AVG_INT_EARN_ASSETS_10YR_ANN_CAGR" hidden="1">"c6045"</definedName>
    <definedName name="IQ_AVG_INT_EARN_ASSETS_10YR_ANN_GROWTH" hidden="1">"c74"</definedName>
    <definedName name="IQ_AVG_INT_EARN_ASSETS_1YR_ANN_GROWTH" hidden="1">"c75"</definedName>
    <definedName name="IQ_AVG_INT_EARN_ASSETS_2YR_ANN_CAGR" hidden="1">"c6046"</definedName>
    <definedName name="IQ_AVG_INT_EARN_ASSETS_2YR_ANN_GROWTH" hidden="1">"c76"</definedName>
    <definedName name="IQ_AVG_INT_EARN_ASSETS_3YR_ANN_CAGR" hidden="1">"c6047"</definedName>
    <definedName name="IQ_AVG_INT_EARN_ASSETS_3YR_ANN_GROWTH" hidden="1">"c77"</definedName>
    <definedName name="IQ_AVG_INT_EARN_ASSETS_5YR_ANN_CAGR" hidden="1">"c6048"</definedName>
    <definedName name="IQ_AVG_INT_EARN_ASSETS_5YR_ANN_GROWTH" hidden="1">"c78"</definedName>
    <definedName name="IQ_AVG_INT_EARN_ASSETS_7YR_ANN_CAGR" hidden="1">"c6049"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MP_EMPLOYEES" hidden="1">"c6020"</definedName>
    <definedName name="IQ_AVG_TEV" hidden="1">"c84"</definedName>
    <definedName name="IQ_AVG_VOLUME" hidden="1">"c1346"</definedName>
    <definedName name="IQ_BALANCES_DUE_DEPOSITORY_INSTITUTIONS_FDIC" hidden="1">"c6389"</definedName>
    <definedName name="IQ_BALANCES_DUE_FOREIGN_FDIC" hidden="1">"c6391"</definedName>
    <definedName name="IQ_BALANCES_DUE_FRB_FDIC" hidden="1">"c6393"</definedName>
    <definedName name="IQ_BANK_BENEFICIARY_FDIC" hidden="1">"c6505"</definedName>
    <definedName name="IQ_BANK_DEBT" hidden="1">"c2544"</definedName>
    <definedName name="IQ_BANK_DEBT_PCT" hidden="1">"c2545"</definedName>
    <definedName name="IQ_BANK_GUARANTOR_FDIC" hidden="1">"c6506"</definedName>
    <definedName name="IQ_BANK_PREMISES_FDIC" hidden="1">"c6329"</definedName>
    <definedName name="IQ_BANK_SECURITIZATION_1_4_FAMILY_LOANS_FDIC" hidden="1">"c6721"</definedName>
    <definedName name="IQ_BANK_SECURITIZATION_AUTO_LOANS_FDIC" hidden="1">"c6715"</definedName>
    <definedName name="IQ_BANK_SECURITIZATION_CL_LOANS_FDIC" hidden="1">"c6716"</definedName>
    <definedName name="IQ_BANK_SECURITIZATION_CREDIT_CARDS_RECEIVABLES_FDIC" hidden="1">"c6718"</definedName>
    <definedName name="IQ_BANK_SECURITIZATION_HOME_EQUITY_LINES_FDIC" hidden="1">"c6719"</definedName>
    <definedName name="IQ_BANK_SECURITIZATION_OTHER_CONSUMER_LOANS_FDIC" hidden="1">"c6717"</definedName>
    <definedName name="IQ_BANK_SECURITIZATION_OTHER_LOANS_FDIC" hidden="1">"c6720"</definedName>
    <definedName name="IQ_BANKS_FOREIGN_COUNTRIES_TOTAL_DEPOSITS_FDIC" hidden="1">"c6475"</definedName>
    <definedName name="IQ_BASIC_EPS_EXCL" hidden="1">"c85"</definedName>
    <definedName name="IQ_BASIC_EPS_INCL" hidden="1">"c86"</definedName>
    <definedName name="IQ_BASIC_NORMAL_EPS" hidden="1">"c1592"</definedName>
    <definedName name="IQ_BASIC_OUTSTANDING_CURRENT_EST" hidden="1">"c4128"</definedName>
    <definedName name="IQ_BASIC_OUTSTANDING_CURRENT_EST_CIQ" hidden="1">"c4541"</definedName>
    <definedName name="IQ_BASIC_OUTSTANDING_CURRENT_HIGH_EST" hidden="1">"c4129"</definedName>
    <definedName name="IQ_BASIC_OUTSTANDING_CURRENT_HIGH_EST_CIQ" hidden="1">"c4542"</definedName>
    <definedName name="IQ_BASIC_OUTSTANDING_CURRENT_LOW_EST" hidden="1">"c4130"</definedName>
    <definedName name="IQ_BASIC_OUTSTANDING_CURRENT_LOW_EST_CIQ" hidden="1">"c4543"</definedName>
    <definedName name="IQ_BASIC_OUTSTANDING_CURRENT_MEDIAN_EST" hidden="1">"c4131"</definedName>
    <definedName name="IQ_BASIC_OUTSTANDING_CURRENT_MEDIAN_EST_CIQ" hidden="1">"c4544"</definedName>
    <definedName name="IQ_BASIC_OUTSTANDING_CURRENT_NUM_EST" hidden="1">"c4132"</definedName>
    <definedName name="IQ_BASIC_OUTSTANDING_CURRENT_NUM_EST_CIQ" hidden="1">"c4545"</definedName>
    <definedName name="IQ_BASIC_OUTSTANDING_CURRENT_STDDEV_EST" hidden="1">"c4133"</definedName>
    <definedName name="IQ_BASIC_OUTSTANDING_CURRENT_STDDEV_EST_CIQ" hidden="1">"c4546"</definedName>
    <definedName name="IQ_BASIC_OUTSTANDING_EST" hidden="1">"c4134"</definedName>
    <definedName name="IQ_BASIC_OUTSTANDING_EST_CIQ" hidden="1">"c4547"</definedName>
    <definedName name="IQ_BASIC_OUTSTANDING_HIGH_EST" hidden="1">"c4135"</definedName>
    <definedName name="IQ_BASIC_OUTSTANDING_HIGH_EST_CIQ" hidden="1">"c4548"</definedName>
    <definedName name="IQ_BASIC_OUTSTANDING_LOW_EST" hidden="1">"c4136"</definedName>
    <definedName name="IQ_BASIC_OUTSTANDING_LOW_EST_CIQ" hidden="1">"c4549"</definedName>
    <definedName name="IQ_BASIC_OUTSTANDING_MEDIAN_EST" hidden="1">"c4137"</definedName>
    <definedName name="IQ_BASIC_OUTSTANDING_MEDIAN_EST_CIQ" hidden="1">"c4550"</definedName>
    <definedName name="IQ_BASIC_OUTSTANDING_NUM_EST" hidden="1">"c4138"</definedName>
    <definedName name="IQ_BASIC_OUTSTANDING_NUM_EST_CIQ" hidden="1">"c4551"</definedName>
    <definedName name="IQ_BASIC_OUTSTANDING_STDDEV_EST" hidden="1">"c4139"</definedName>
    <definedName name="IQ_BASIC_OUTSTANDING_STDDEV_EST_CIQ" hidden="1">"c4552"</definedName>
    <definedName name="IQ_BASIC_WEIGHT" hidden="1">"c87"</definedName>
    <definedName name="IQ_BASIC_WEIGHT_EST" hidden="1">"c4140"</definedName>
    <definedName name="IQ_BASIC_WEIGHT_EST_CIQ" hidden="1">"c4553"</definedName>
    <definedName name="IQ_BASIC_WEIGHT_GUIDANCE" hidden="1">"c4141"</definedName>
    <definedName name="IQ_BASIC_WEIGHT_HIGH_EST" hidden="1">"c4142"</definedName>
    <definedName name="IQ_BASIC_WEIGHT_HIGH_EST_CIQ" hidden="1">"c4554"</definedName>
    <definedName name="IQ_BASIC_WEIGHT_LOW_EST" hidden="1">"c4143"</definedName>
    <definedName name="IQ_BASIC_WEIGHT_LOW_EST_CIQ" hidden="1">"c4555"</definedName>
    <definedName name="IQ_BASIC_WEIGHT_MEDIAN_EST" hidden="1">"c4144"</definedName>
    <definedName name="IQ_BASIC_WEIGHT_MEDIAN_EST_CIQ" hidden="1">"c4556"</definedName>
    <definedName name="IQ_BASIC_WEIGHT_NUM_EST" hidden="1">"c4145"</definedName>
    <definedName name="IQ_BASIC_WEIGHT_NUM_EST_CIQ" hidden="1">"c4557"</definedName>
    <definedName name="IQ_BASIC_WEIGHT_STDDEV_EST" hidden="1">"c4146"</definedName>
    <definedName name="IQ_BASIC_WEIGHT_STDDEV_EST_CIQ" hidden="1">"c4558"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ROK_COMMISSION" hidden="1">"c3514"</definedName>
    <definedName name="IQ_BROKERED_DEPOSITS_FDIC" hidden="1">"c6486"</definedName>
    <definedName name="IQ_BUILDINGS" hidden="1">"c99"</definedName>
    <definedName name="IQ_BUS_SEG_ASSETS" hidden="1">"c4067"</definedName>
    <definedName name="IQ_BUS_SEG_ASSETS_ABS" hidden="1">"c4089"</definedName>
    <definedName name="IQ_BUS_SEG_ASSETS_TOTAL" hidden="1">"c4112"</definedName>
    <definedName name="IQ_BUS_SEG_CAPEX" hidden="1">"c4079"</definedName>
    <definedName name="IQ_BUS_SEG_CAPEX_ABS" hidden="1">"c4101"</definedName>
    <definedName name="IQ_BUS_SEG_CAPEX_TOTAL" hidden="1">"c4116"</definedName>
    <definedName name="IQ_BUS_SEG_DA" hidden="1">"c4078"</definedName>
    <definedName name="IQ_BUS_SEG_DA_ABS" hidden="1">"c4100"</definedName>
    <definedName name="IQ_BUS_SEG_DA_TOTAL" hidden="1">"c4115"</definedName>
    <definedName name="IQ_BUS_SEG_EARNINGS_OP" hidden="1">"c4063"</definedName>
    <definedName name="IQ_BUS_SEG_EARNINGS_OP_ABS" hidden="1">"c4085"</definedName>
    <definedName name="IQ_BUS_SEG_EARNINGS_OP_TOTAL" hidden="1">"c4108"</definedName>
    <definedName name="IQ_BUS_SEG_EBT" hidden="1">"c4064"</definedName>
    <definedName name="IQ_BUS_SEG_EBT_ABS" hidden="1">"c4086"</definedName>
    <definedName name="IQ_BUS_SEG_EBT_TOTAL" hidden="1">"c4110"</definedName>
    <definedName name="IQ_BUS_SEG_GP" hidden="1">"c4066"</definedName>
    <definedName name="IQ_BUS_SEG_GP_ABS" hidden="1">"c4088"</definedName>
    <definedName name="IQ_BUS_SEG_GP_TOTAL" hidden="1">"c4109"</definedName>
    <definedName name="IQ_BUS_SEG_INC_TAX" hidden="1">"c4077"</definedName>
    <definedName name="IQ_BUS_SEG_INC_TAX_ABS" hidden="1">"c4099"</definedName>
    <definedName name="IQ_BUS_SEG_INC_TAX_TOTAL" hidden="1">"c4114"</definedName>
    <definedName name="IQ_BUS_SEG_INTEREST_EXP" hidden="1">"c4076"</definedName>
    <definedName name="IQ_BUS_SEG_INTEREST_EXP_ABS" hidden="1">"c4098"</definedName>
    <definedName name="IQ_BUS_SEG_INTEREST_EXP_TOTAL" hidden="1">"c4113"</definedName>
    <definedName name="IQ_BUS_SEG_NAME" hidden="1">"c5482"</definedName>
    <definedName name="IQ_BUS_SEG_NAME_ABS" hidden="1">"c5483"</definedName>
    <definedName name="IQ_BUS_SEG_NI" hidden="1">"c4065"</definedName>
    <definedName name="IQ_BUS_SEG_NI_ABS" hidden="1">"c4087"</definedName>
    <definedName name="IQ_BUS_SEG_NI_TOTAL" hidden="1">"c4111"</definedName>
    <definedName name="IQ_BUS_SEG_OPER_INC" hidden="1">"c4062"</definedName>
    <definedName name="IQ_BUS_SEG_OPER_INC_ABS" hidden="1">"c4084"</definedName>
    <definedName name="IQ_BUS_SEG_OPER_INC_TOTAL" hidden="1">"c4107"</definedName>
    <definedName name="IQ_BUS_SEG_REV" hidden="1">"c4068"</definedName>
    <definedName name="IQ_BUS_SEG_REV_ABS" hidden="1">"c4090"</definedName>
    <definedName name="IQ_BUS_SEG_REV_TOTAL" hidden="1">"c4106"</definedName>
    <definedName name="IQ_BUSINESS_DESCRIPTION" hidden="1">"c322"</definedName>
    <definedName name="IQ_BV_ACT_OR_EST_CIQ" hidden="1">"c5068"</definedName>
    <definedName name="IQ_BV_ACT_OR_EST_REUT" hidden="1">"c5471"</definedName>
    <definedName name="IQ_BV_EST" hidden="1">"c5624"</definedName>
    <definedName name="IQ_BV_EST_CIQ" hidden="1">"c4737"</definedName>
    <definedName name="IQ_BV_EST_REUT" hidden="1">"c5403"</definedName>
    <definedName name="IQ_BV_HIGH_EST" hidden="1">"c5626"</definedName>
    <definedName name="IQ_BV_HIGH_EST_CIQ" hidden="1">"c4739"</definedName>
    <definedName name="IQ_BV_HIGH_EST_REUT" hidden="1">"c5405"</definedName>
    <definedName name="IQ_BV_LOW_EST" hidden="1">"c5627"</definedName>
    <definedName name="IQ_BV_LOW_EST_CIQ" hidden="1">"c4740"</definedName>
    <definedName name="IQ_BV_LOW_EST_REUT" hidden="1">"c5406"</definedName>
    <definedName name="IQ_BV_MEDIAN_EST" hidden="1">"c5625"</definedName>
    <definedName name="IQ_BV_MEDIAN_EST_CIQ" hidden="1">"c4738"</definedName>
    <definedName name="IQ_BV_MEDIAN_EST_REUT" hidden="1">"c5404"</definedName>
    <definedName name="IQ_BV_NUM_EST" hidden="1">"c5628"</definedName>
    <definedName name="IQ_BV_NUM_EST_CIQ" hidden="1">"c4741"</definedName>
    <definedName name="IQ_BV_NUM_EST_REUT" hidden="1">"c5407"</definedName>
    <definedName name="IQ_BV_OVER_SHARES" hidden="1">"c1349"</definedName>
    <definedName name="IQ_BV_SHARE" hidden="1">"c100"</definedName>
    <definedName name="IQ_BV_SHARE_ACT_OR_EST" hidden="1">"c3587"</definedName>
    <definedName name="IQ_BV_SHARE_ACT_OR_EST_CIQ" hidden="1">"c5072"</definedName>
    <definedName name="IQ_BV_SHARE_ACT_OR_EST_REUT" hidden="1">"c5477"</definedName>
    <definedName name="IQ_BV_SHARE_EST" hidden="1">"c3541"</definedName>
    <definedName name="IQ_BV_SHARE_EST_CIQ" hidden="1">"c3800"</definedName>
    <definedName name="IQ_BV_SHARE_EST_REUT" hidden="1">"c5439"</definedName>
    <definedName name="IQ_BV_SHARE_HIGH_EST" hidden="1">"c3542"</definedName>
    <definedName name="IQ_BV_SHARE_HIGH_EST_CIQ" hidden="1">"c3802"</definedName>
    <definedName name="IQ_BV_SHARE_HIGH_EST_REUT" hidden="1">"c5441"</definedName>
    <definedName name="IQ_BV_SHARE_LOW_EST" hidden="1">"c3543"</definedName>
    <definedName name="IQ_BV_SHARE_LOW_EST_CIQ" hidden="1">"c3803"</definedName>
    <definedName name="IQ_BV_SHARE_LOW_EST_REUT" hidden="1">"c5442"</definedName>
    <definedName name="IQ_BV_SHARE_MEDIAN_EST" hidden="1">"c3544"</definedName>
    <definedName name="IQ_BV_SHARE_MEDIAN_EST_CIQ" hidden="1">"c3801"</definedName>
    <definedName name="IQ_BV_SHARE_MEDIAN_EST_REUT" hidden="1">"c5440"</definedName>
    <definedName name="IQ_BV_SHARE_NUM_EST" hidden="1">"c3539"</definedName>
    <definedName name="IQ_BV_SHARE_NUM_EST_CIQ" hidden="1">"c3804"</definedName>
    <definedName name="IQ_BV_SHARE_NUM_EST_REUT" hidden="1">"c5443"</definedName>
    <definedName name="IQ_BV_SHARE_STDDEV_EST" hidden="1">"c3540"</definedName>
    <definedName name="IQ_BV_SHARE_STDDEV_EST_CIQ" hidden="1">"c3805"</definedName>
    <definedName name="IQ_BV_SHARE_STDDEV_EST_REUT" hidden="1">"c5444"</definedName>
    <definedName name="IQ_BV_STDDEV_EST" hidden="1">"c5629"</definedName>
    <definedName name="IQ_BV_STDDEV_EST_CIQ" hidden="1">"c4742"</definedName>
    <definedName name="IQ_BV_STDDEV_EST_REUT" hidden="1">"c5408"</definedName>
    <definedName name="IQ_CABLE_ARPU" hidden="1">"c2869"</definedName>
    <definedName name="IQ_CABLE_ARPU_ANALOG" hidden="1">"c2864"</definedName>
    <definedName name="IQ_CABLE_ARPU_BASIC" hidden="1">"c2866"</definedName>
    <definedName name="IQ_CABLE_ARPU_BBAND" hidden="1">"c2867"</definedName>
    <definedName name="IQ_CABLE_ARPU_DIG" hidden="1">"c2865"</definedName>
    <definedName name="IQ_CABLE_ARPU_PHONE" hidden="1">"c2868"</definedName>
    <definedName name="IQ_CABLE_BASIC_PENETRATION" hidden="1">"c2850"</definedName>
    <definedName name="IQ_CABLE_BBAND_PENETRATION" hidden="1">"c2852"</definedName>
    <definedName name="IQ_CABLE_BBAND_PENETRATION_THP" hidden="1">"c2851"</definedName>
    <definedName name="IQ_CABLE_CHURN" hidden="1">"c2874"</definedName>
    <definedName name="IQ_CABLE_CHURN_BASIC" hidden="1">"c2871"</definedName>
    <definedName name="IQ_CABLE_CHURN_BBAND" hidden="1">"c2872"</definedName>
    <definedName name="IQ_CABLE_CHURN_DIG" hidden="1">"c2870"</definedName>
    <definedName name="IQ_CABLE_CHURN_PHONE" hidden="1">"c2873"</definedName>
    <definedName name="IQ_CABLE_HOMES_PER_MILE" hidden="1">"c2849"</definedName>
    <definedName name="IQ_CABLE_HP_BBAND" hidden="1">"c2845"</definedName>
    <definedName name="IQ_CABLE_HP_DIG" hidden="1">"c2844"</definedName>
    <definedName name="IQ_CABLE_HP_PHONE" hidden="1">"c2846"</definedName>
    <definedName name="IQ_CABLE_MILES_PASSED" hidden="1">"c2848"</definedName>
    <definedName name="IQ_CABLE_OTHER_REV" hidden="1">"c2882"</definedName>
    <definedName name="IQ_CABLE_PHONE_PENETRATION" hidden="1">"c2853"</definedName>
    <definedName name="IQ_CABLE_PROGRAMMING_COSTS" hidden="1">"c2884"</definedName>
    <definedName name="IQ_CABLE_REV_ADVERT" hidden="1">"c2880"</definedName>
    <definedName name="IQ_CABLE_REV_ANALOG" hidden="1">"c2875"</definedName>
    <definedName name="IQ_CABLE_REV_BASIC" hidden="1">"c2877"</definedName>
    <definedName name="IQ_CABLE_REV_BBAND" hidden="1">"c2878"</definedName>
    <definedName name="IQ_CABLE_REV_COMMERCIAL" hidden="1">"c2881"</definedName>
    <definedName name="IQ_CABLE_REV_DIG" hidden="1">"c2876"</definedName>
    <definedName name="IQ_CABLE_REV_PHONE" hidden="1">"c2879"</definedName>
    <definedName name="IQ_CABLE_RGU" hidden="1">"c2863"</definedName>
    <definedName name="IQ_CABLE_SUBS_ANALOG" hidden="1">"c2855"</definedName>
    <definedName name="IQ_CABLE_SUBS_BASIC" hidden="1">"c2857"</definedName>
    <definedName name="IQ_CABLE_SUBS_BBAND" hidden="1">"c2858"</definedName>
    <definedName name="IQ_CABLE_SUBS_BUNDLED" hidden="1">"c2861"</definedName>
    <definedName name="IQ_CABLE_SUBS_DIG" hidden="1">"c2856"</definedName>
    <definedName name="IQ_CABLE_SUBS_NON_VIDEO" hidden="1">"c2860"</definedName>
    <definedName name="IQ_CABLE_SUBS_PHONE" hidden="1">"c2859"</definedName>
    <definedName name="IQ_CABLE_SUBS_TOTAL" hidden="1">"c2862"</definedName>
    <definedName name="IQ_CABLE_THP" hidden="1">"c2847"</definedName>
    <definedName name="IQ_CABLE_TOTAL_PENETRATION" hidden="1">"c2854"</definedName>
    <definedName name="IQ_CABLE_TOTAL_REV" hidden="1">"c2883"</definedName>
    <definedName name="IQ_CAL_Q" hidden="1">"c101"</definedName>
    <definedName name="IQ_CAL_Q_EST" hidden="1">"c6796"</definedName>
    <definedName name="IQ_CAL_Q_EST_CIQ" hidden="1">"c6808"</definedName>
    <definedName name="IQ_CAL_Q_EST_REUT" hidden="1">"c6800"</definedName>
    <definedName name="IQ_CAL_Y" hidden="1">"c102"</definedName>
    <definedName name="IQ_CAL_Y_EST" hidden="1">"c6797"</definedName>
    <definedName name="IQ_CAL_Y_EST_CIQ" hidden="1">"c6809"</definedName>
    <definedName name="IQ_CAL_Y_EST_REUT" hidden="1">"c6801"</definedName>
    <definedName name="IQ_CALC_TYPE_BS" hidden="1">"c3086"</definedName>
    <definedName name="IQ_CALC_TYPE_CF" hidden="1">"c3085"</definedName>
    <definedName name="IQ_CALC_TYPE_IS" hidden="1">"c3084"</definedName>
    <definedName name="IQ_CALL_DATE_SCHEDULE" hidden="1">"c2481"</definedName>
    <definedName name="IQ_CALL_FEATURE" hidden="1">"c2197"</definedName>
    <definedName name="IQ_CALL_PRICE_SCHEDULE" hidden="1">"c2482"</definedName>
    <definedName name="IQ_CALLABLE" hidden="1">"c2196"</definedName>
    <definedName name="IQ_CAP_LOSS_CF_1YR" hidden="1">"c3474"</definedName>
    <definedName name="IQ_CAP_LOSS_CF_2YR" hidden="1">"c3475"</definedName>
    <definedName name="IQ_CAP_LOSS_CF_3YR" hidden="1">"c3476"</definedName>
    <definedName name="IQ_CAP_LOSS_CF_4YR" hidden="1">"c3477"</definedName>
    <definedName name="IQ_CAP_LOSS_CF_5YR" hidden="1">"c3478"</definedName>
    <definedName name="IQ_CAP_LOSS_CF_AFTER_FIVE" hidden="1">"c3479"</definedName>
    <definedName name="IQ_CAP_LOSS_CF_MAX_YEAR" hidden="1">"c3482"</definedName>
    <definedName name="IQ_CAP_LOSS_CF_NO_EXP" hidden="1">"c3480"</definedName>
    <definedName name="IQ_CAP_LOSS_CF_TOTAL" hidden="1">"c3481"</definedName>
    <definedName name="IQ_CAPEX" hidden="1">"c103"</definedName>
    <definedName name="IQ_CAPEX_10YR_ANN_CAGR" hidden="1">"c6050"</definedName>
    <definedName name="IQ_CAPEX_10YR_ANN_GROWTH" hidden="1">"c104"</definedName>
    <definedName name="IQ_CAPEX_1YR_ANN_GROWTH" hidden="1">"c105"</definedName>
    <definedName name="IQ_CAPEX_2YR_ANN_CAGR" hidden="1">"c6051"</definedName>
    <definedName name="IQ_CAPEX_2YR_ANN_GROWTH" hidden="1">"c106"</definedName>
    <definedName name="IQ_CAPEX_3YR_ANN_CAGR" hidden="1">"c6052"</definedName>
    <definedName name="IQ_CAPEX_3YR_ANN_GROWTH" hidden="1">"c107"</definedName>
    <definedName name="IQ_CAPEX_5YR_ANN_CAGR" hidden="1">"c6053"</definedName>
    <definedName name="IQ_CAPEX_5YR_ANN_GROWTH" hidden="1">"c108"</definedName>
    <definedName name="IQ_CAPEX_7YR_ANN_CAGR" hidden="1">"c6054"</definedName>
    <definedName name="IQ_CAPEX_7YR_ANN_GROWTH" hidden="1">"c109"</definedName>
    <definedName name="IQ_CAPEX_ACT_OR_EST" hidden="1">"c3584"</definedName>
    <definedName name="IQ_CAPEX_ACT_OR_EST_CIQ" hidden="1">"c5071"</definedName>
    <definedName name="IQ_CAPEX_ACT_OR_EST_REUT" hidden="1">"c5474"</definedName>
    <definedName name="IQ_CAPEX_BNK" hidden="1">"c110"</definedName>
    <definedName name="IQ_CAPEX_BR" hidden="1">"c111"</definedName>
    <definedName name="IQ_CAPEX_EST" hidden="1">"c3523"</definedName>
    <definedName name="IQ_CAPEX_EST_CIQ" hidden="1">"c3807"</definedName>
    <definedName name="IQ_CAPEX_EST_REUT" hidden="1">"c3969"</definedName>
    <definedName name="IQ_CAPEX_FIN" hidden="1">"c112"</definedName>
    <definedName name="IQ_CAPEX_GUIDANCE" hidden="1">"c4150"</definedName>
    <definedName name="IQ_CAPEX_GUIDANCE_CIQ" hidden="1">"c4562"</definedName>
    <definedName name="IQ_CAPEX_HIGH_EST" hidden="1">"c3524"</definedName>
    <definedName name="IQ_CAPEX_HIGH_EST_CIQ" hidden="1">"c3809"</definedName>
    <definedName name="IQ_CAPEX_HIGH_EST_REUT" hidden="1">"c3971"</definedName>
    <definedName name="IQ_CAPEX_HIGH_GUIDANCE" hidden="1">"c4180"</definedName>
    <definedName name="IQ_CAPEX_HIGH_GUIDANCE_CIQ" hidden="1">"c4592"</definedName>
    <definedName name="IQ_CAPEX_INS" hidden="1">"c113"</definedName>
    <definedName name="IQ_CAPEX_LOW_EST" hidden="1">"c3525"</definedName>
    <definedName name="IQ_CAPEX_LOW_EST_CIQ" hidden="1">"c3810"</definedName>
    <definedName name="IQ_CAPEX_LOW_EST_REUT" hidden="1">"c3972"</definedName>
    <definedName name="IQ_CAPEX_LOW_GUIDANCE" hidden="1">"c4220"</definedName>
    <definedName name="IQ_CAPEX_LOW_GUIDANCE_CIQ" hidden="1">"c4632"</definedName>
    <definedName name="IQ_CAPEX_MEDIAN_EST" hidden="1">"c3526"</definedName>
    <definedName name="IQ_CAPEX_MEDIAN_EST_CIQ" hidden="1">"c3808"</definedName>
    <definedName name="IQ_CAPEX_MEDIAN_EST_REUT" hidden="1">"c3970"</definedName>
    <definedName name="IQ_CAPEX_NUM_EST" hidden="1">"c3521"</definedName>
    <definedName name="IQ_CAPEX_NUM_EST_CIQ" hidden="1">"c3811"</definedName>
    <definedName name="IQ_CAPEX_NUM_EST_REUT" hidden="1">"c3973"</definedName>
    <definedName name="IQ_CAPEX_STDDEV_EST" hidden="1">"c3522"</definedName>
    <definedName name="IQ_CAPEX_STDDEV_EST_CIQ" hidden="1">"c3812"</definedName>
    <definedName name="IQ_CAPEX_STDDEV_EST_REUT" hidden="1">"c3974"</definedName>
    <definedName name="IQ_CAPEX_UTI" hidden="1">"c114"</definedName>
    <definedName name="IQ_CAPITAL_LEASE" hidden="1">"c1350"</definedName>
    <definedName name="IQ_CAPITAL_LEASES" hidden="1">"c115"</definedName>
    <definedName name="IQ_CAPITAL_LEASES_TOTAL" hidden="1">"c3031"</definedName>
    <definedName name="IQ_CAPITAL_LEASES_TOTAL_PCT" hidden="1">"c2506"</definedName>
    <definedName name="IQ_CAPITALIZED_INTEREST" hidden="1">"c2076"</definedName>
    <definedName name="IQ_CAPITALIZED_INTEREST_BOP" hidden="1">"c3459"</definedName>
    <definedName name="IQ_CAPITALIZED_INTEREST_EOP" hidden="1">"c3464"</definedName>
    <definedName name="IQ_CAPITALIZED_INTEREST_EXP" hidden="1">"c3461"</definedName>
    <definedName name="IQ_CAPITALIZED_INTEREST_OTHER_ADJ" hidden="1">"c3463"</definedName>
    <definedName name="IQ_CAPITALIZED_INTEREST_WRITE_OFF" hidden="1">"c3462"</definedName>
    <definedName name="IQ_CASH" hidden="1">"c1458"</definedName>
    <definedName name="IQ_CASH_ACQUIRE_CF" hidden="1">"c116"</definedName>
    <definedName name="IQ_CASH_CONVERSION" hidden="1">"c117"</definedName>
    <definedName name="IQ_CASH_DIVIDENDS_NET_INCOME_FDIC" hidden="1">"c6738"</definedName>
    <definedName name="IQ_CASH_DUE_BANKS" hidden="1">"c1351"</definedName>
    <definedName name="IQ_CASH_EPS_ACT_OR_EST" hidden="1">"c5638"</definedName>
    <definedName name="IQ_CASH_EPS_EST" hidden="1">"c5631"</definedName>
    <definedName name="IQ_CASH_EPS_HIGH_EST" hidden="1">"c5633"</definedName>
    <definedName name="IQ_CASH_EPS_LOW_EST" hidden="1">"c5634"</definedName>
    <definedName name="IQ_CASH_EPS_MEDIAN_EST" hidden="1">"c5632"</definedName>
    <definedName name="IQ_CASH_EPS_NUM_EST" hidden="1">"c5635"</definedName>
    <definedName name="IQ_CASH_EPS_STDDEV_EST" hidden="1">"c5636"</definedName>
    <definedName name="IQ_CASH_EQUIV" hidden="1">"c118"</definedName>
    <definedName name="IQ_CASH_FINAN" hidden="1">"c119"</definedName>
    <definedName name="IQ_CASH_FLOW_ACT_OR_EST" hidden="1">"c4154"</definedName>
    <definedName name="IQ_CASH_FLOW_ACT_OR_EST_CIQ" hidden="1">"c4566"</definedName>
    <definedName name="IQ_CASH_FLOW_EST" hidden="1">"c4153"</definedName>
    <definedName name="IQ_CASH_FLOW_EST_CIQ" hidden="1">"c4565"</definedName>
    <definedName name="IQ_CASH_FLOW_GUIDANCE" hidden="1">"c4155"</definedName>
    <definedName name="IQ_CASH_FLOW_GUIDANCE_CIQ" hidden="1">"c4567"</definedName>
    <definedName name="IQ_CASH_FLOW_HIGH_EST" hidden="1">"c4156"</definedName>
    <definedName name="IQ_CASH_FLOW_HIGH_EST_CIQ" hidden="1">"c4568"</definedName>
    <definedName name="IQ_CASH_FLOW_HIGH_GUIDANCE" hidden="1">"c4201"</definedName>
    <definedName name="IQ_CASH_FLOW_HIGH_GUIDANCE_CIQ" hidden="1">"c4613"</definedName>
    <definedName name="IQ_CASH_FLOW_LOW_EST" hidden="1">"c4157"</definedName>
    <definedName name="IQ_CASH_FLOW_LOW_EST_CIQ" hidden="1">"c4569"</definedName>
    <definedName name="IQ_CASH_FLOW_LOW_GUIDANCE" hidden="1">"c4241"</definedName>
    <definedName name="IQ_CASH_FLOW_LOW_GUIDANCE_CIQ" hidden="1">"c4653"</definedName>
    <definedName name="IQ_CASH_FLOW_MEDIAN_EST" hidden="1">"c4158"</definedName>
    <definedName name="IQ_CASH_FLOW_MEDIAN_EST_CIQ" hidden="1">"c4570"</definedName>
    <definedName name="IQ_CASH_FLOW_NUM_EST" hidden="1">"c4159"</definedName>
    <definedName name="IQ_CASH_FLOW_NUM_EST_CIQ" hidden="1">"c4571"</definedName>
    <definedName name="IQ_CASH_FLOW_STDDEV_EST" hidden="1">"c4160"</definedName>
    <definedName name="IQ_CASH_FLOW_STDDEV_EST_CIQ" hidden="1">"c4572"</definedName>
    <definedName name="IQ_CASH_IN_PROCESS_FDIC" hidden="1">"c6386"</definedName>
    <definedName name="IQ_CASH_INTEREST" hidden="1">"c120"</definedName>
    <definedName name="IQ_CASH_INTEREST_FINAN" hidden="1">"c6295"</definedName>
    <definedName name="IQ_CASH_INTEREST_INVEST" hidden="1">"c6294"</definedName>
    <definedName name="IQ_CASH_INTEREST_OPER" hidden="1">"c6293"</definedName>
    <definedName name="IQ_CASH_INVEST" hidden="1">"c121"</definedName>
    <definedName name="IQ_CASH_OPER" hidden="1">"c122"</definedName>
    <definedName name="IQ_CASH_OPER_ACT_OR_EST" hidden="1">"c4164"</definedName>
    <definedName name="IQ_CASH_OPER_ACT_OR_EST_CIQ" hidden="1">"c4576"</definedName>
    <definedName name="IQ_CASH_OPER_EST" hidden="1">"c4163"</definedName>
    <definedName name="IQ_CASH_OPER_EST_CIQ" hidden="1">"c4575"</definedName>
    <definedName name="IQ_CASH_OPER_GUIDANCE" hidden="1">"c4165"</definedName>
    <definedName name="IQ_CASH_OPER_GUIDANCE_CIQ" hidden="1">"c4577"</definedName>
    <definedName name="IQ_CASH_OPER_HIGH_EST" hidden="1">"c4166"</definedName>
    <definedName name="IQ_CASH_OPER_HIGH_EST_CIQ" hidden="1">"c4578"</definedName>
    <definedName name="IQ_CASH_OPER_HIGH_GUIDANCE" hidden="1">"c4185"</definedName>
    <definedName name="IQ_CASH_OPER_HIGH_GUIDANCE_CIQ" hidden="1">"c4597"</definedName>
    <definedName name="IQ_CASH_OPER_LOW_EST" hidden="1">"c4244"</definedName>
    <definedName name="IQ_CASH_OPER_LOW_EST_CIQ" hidden="1">"c4768"</definedName>
    <definedName name="IQ_CASH_OPER_LOW_GUIDANCE" hidden="1">"c4225"</definedName>
    <definedName name="IQ_CASH_OPER_LOW_GUIDANCE_CIQ" hidden="1">"c4637"</definedName>
    <definedName name="IQ_CASH_OPER_MEDIAN_EST" hidden="1">"c4245"</definedName>
    <definedName name="IQ_CASH_OPER_MEDIAN_EST_CIQ" hidden="1">"c4771"</definedName>
    <definedName name="IQ_CASH_OPER_NUM_EST" hidden="1">"c4246"</definedName>
    <definedName name="IQ_CASH_OPER_NUM_EST_CIQ" hidden="1">"c4772"</definedName>
    <definedName name="IQ_CASH_OPER_STDDEV_EST" hidden="1">"c4247"</definedName>
    <definedName name="IQ_CASH_OPER_STDDEV_EST_CIQ" hidden="1">"c4773"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ST_INVEST_EST" hidden="1">"c4249"</definedName>
    <definedName name="IQ_CASH_ST_INVEST_EST_CIQ" hidden="1">"c4775"</definedName>
    <definedName name="IQ_CASH_ST_INVEST_GUIDANCE" hidden="1">"c4250"</definedName>
    <definedName name="IQ_CASH_ST_INVEST_GUIDANCE_CIQ" hidden="1">"c4776"</definedName>
    <definedName name="IQ_CASH_ST_INVEST_HIGH_EST" hidden="1">"c4251"</definedName>
    <definedName name="IQ_CASH_ST_INVEST_HIGH_EST_CIQ" hidden="1">"c4777"</definedName>
    <definedName name="IQ_CASH_ST_INVEST_HIGH_GUIDANCE" hidden="1">"c4195"</definedName>
    <definedName name="IQ_CASH_ST_INVEST_HIGH_GUIDANCE_CIQ" hidden="1">"c4607"</definedName>
    <definedName name="IQ_CASH_ST_INVEST_LOW_EST" hidden="1">"c4252"</definedName>
    <definedName name="IQ_CASH_ST_INVEST_LOW_EST_CIQ" hidden="1">"c4778"</definedName>
    <definedName name="IQ_CASH_ST_INVEST_LOW_GUIDANCE" hidden="1">"c4235"</definedName>
    <definedName name="IQ_CASH_ST_INVEST_LOW_GUIDANCE_CIQ" hidden="1">"c4647"</definedName>
    <definedName name="IQ_CASH_ST_INVEST_MEDIAN_EST" hidden="1">"c4253"</definedName>
    <definedName name="IQ_CASH_ST_INVEST_MEDIAN_EST_CIQ" hidden="1">"c4779"</definedName>
    <definedName name="IQ_CASH_ST_INVEST_NUM_EST" hidden="1">"c4254"</definedName>
    <definedName name="IQ_CASH_ST_INVEST_NUM_EST_CIQ" hidden="1">"c4780"</definedName>
    <definedName name="IQ_CASH_ST_INVEST_STDDEV_EST" hidden="1">"c4255"</definedName>
    <definedName name="IQ_CASH_ST_INVEST_STDDEV_EST_CIQ" hidden="1">"c4781"</definedName>
    <definedName name="IQ_CASH_TAXES" hidden="1">"c125"</definedName>
    <definedName name="IQ_CASH_TAXES_FINAN" hidden="1">"c6292"</definedName>
    <definedName name="IQ_CASH_TAXES_INVEST" hidden="1">"c6291"</definedName>
    <definedName name="IQ_CASH_TAXES_OPER" hidden="1">"c6290"</definedName>
    <definedName name="IQ_CCE_FDIC" hidden="1">"c6296"</definedName>
    <definedName name="IQ_CDS_ASK" hidden="1">"c6027"</definedName>
    <definedName name="IQ_CDS_BID" hidden="1">"c6026"</definedName>
    <definedName name="IQ_CDS_CURRENCY" hidden="1">"c6031"</definedName>
    <definedName name="IQ_CDS_EVAL_DATE" hidden="1">"c6029"</definedName>
    <definedName name="IQ_CDS_MID" hidden="1">"c6028"</definedName>
    <definedName name="IQ_CDS_NAME" hidden="1">"c6034"</definedName>
    <definedName name="IQ_CDS_TERM" hidden="1">"c6030"</definedName>
    <definedName name="IQ_CDS_TYPE" hidden="1">"c6025"</definedName>
    <definedName name="IQ_CEDED_AH_EARNED" hidden="1">"c2743"</definedName>
    <definedName name="IQ_CEDED_CLAIM_EXP_INCUR" hidden="1">"c2756"</definedName>
    <definedName name="IQ_CEDED_CLAIM_EXP_PAID" hidden="1">"c2759"</definedName>
    <definedName name="IQ_CEDED_CLAIM_EXP_RES" hidden="1">"c2753"</definedName>
    <definedName name="IQ_CEDED_EARNED" hidden="1">"c2733"</definedName>
    <definedName name="IQ_CEDED_LIFE_EARNED" hidden="1">"c2738"</definedName>
    <definedName name="IQ_CEDED_LIFE_IN_FORCE" hidden="1">"c2768"</definedName>
    <definedName name="IQ_CEDED_PC_EARNED" hidden="1">"c2748"</definedName>
    <definedName name="IQ_CEDED_WRITTEN" hidden="1">"c2727"</definedName>
    <definedName name="IQ_CFO_10YR_ANN_CAGR" hidden="1">"c6055"</definedName>
    <definedName name="IQ_CFO_10YR_ANN_GROWTH" hidden="1">"c126"</definedName>
    <definedName name="IQ_CFO_1YR_ANN_GROWTH" hidden="1">"c127"</definedName>
    <definedName name="IQ_CFO_2YR_ANN_CAGR" hidden="1">"c6056"</definedName>
    <definedName name="IQ_CFO_2YR_ANN_GROWTH" hidden="1">"c128"</definedName>
    <definedName name="IQ_CFO_3YR_ANN_CAGR" hidden="1">"c6057"</definedName>
    <definedName name="IQ_CFO_3YR_ANN_GROWTH" hidden="1">"c129"</definedName>
    <definedName name="IQ_CFO_5YR_ANN_CAGR" hidden="1">"c6058"</definedName>
    <definedName name="IQ_CFO_5YR_ANN_GROWTH" hidden="1">"c130"</definedName>
    <definedName name="IQ_CFO_7YR_ANN_CAGR" hidden="1">"c6059"</definedName>
    <definedName name="IQ_CFO_7YR_ANN_GROWTH" hidden="1">"c131"</definedName>
    <definedName name="IQ_CFO_CURRENT_LIAB" hidden="1">"c132"</definedName>
    <definedName name="IQ_CFPS_ACT_OR_EST" hidden="1">"c2217"</definedName>
    <definedName name="IQ_CFPS_ACT_OR_EST_CIQ" hidden="1">"c5061"</definedName>
    <definedName name="IQ_CFPS_ACT_OR_EST_REUT" hidden="1">"c5463"</definedName>
    <definedName name="IQ_CFPS_EST" hidden="1">"c1667"</definedName>
    <definedName name="IQ_CFPS_EST_CIQ" hidden="1">"c3675"</definedName>
    <definedName name="IQ_CFPS_EST_REUT" hidden="1">"c3844"</definedName>
    <definedName name="IQ_CFPS_GUIDANCE" hidden="1">"c4256"</definedName>
    <definedName name="IQ_CFPS_GUIDANCE_CIQ" hidden="1">"c4782"</definedName>
    <definedName name="IQ_CFPS_HIGH_EST" hidden="1">"c1669"</definedName>
    <definedName name="IQ_CFPS_HIGH_EST_CIQ" hidden="1">"c3677"</definedName>
    <definedName name="IQ_CFPS_HIGH_EST_REUT" hidden="1">"c3846"</definedName>
    <definedName name="IQ_CFPS_HIGH_GUIDANCE" hidden="1">"c4167"</definedName>
    <definedName name="IQ_CFPS_HIGH_GUIDANCE_CIQ" hidden="1">"c4579"</definedName>
    <definedName name="IQ_CFPS_LOW_EST" hidden="1">"c1670"</definedName>
    <definedName name="IQ_CFPS_LOW_EST_CIQ" hidden="1">"c3678"</definedName>
    <definedName name="IQ_CFPS_LOW_EST_REUT" hidden="1">"c3847"</definedName>
    <definedName name="IQ_CFPS_LOW_GUIDANCE" hidden="1">"c4207"</definedName>
    <definedName name="IQ_CFPS_LOW_GUIDANCE_CIQ" hidden="1">"c4619"</definedName>
    <definedName name="IQ_CFPS_MEDIAN_EST" hidden="1">"c1668"</definedName>
    <definedName name="IQ_CFPS_MEDIAN_EST_CIQ" hidden="1">"c3676"</definedName>
    <definedName name="IQ_CFPS_MEDIAN_EST_REUT" hidden="1">"c3845"</definedName>
    <definedName name="IQ_CFPS_NUM_EST" hidden="1">"c1671"</definedName>
    <definedName name="IQ_CFPS_NUM_EST_CIQ" hidden="1">"c3679"</definedName>
    <definedName name="IQ_CFPS_NUM_EST_REUT" hidden="1">"c3848"</definedName>
    <definedName name="IQ_CFPS_STDDEV_EST" hidden="1">"c1672"</definedName>
    <definedName name="IQ_CFPS_STDDEV_EST_CIQ" hidden="1">"c3680"</definedName>
    <definedName name="IQ_CFPS_STDDEV_EST_REUT" hidden="1">"c3849"</definedName>
    <definedName name="IQ_CH">110000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" hidden="1">"c6200"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" hidden="1">"c6201"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OPER_ASSETS" hidden="1">"c3592"</definedName>
    <definedName name="IQ_CHANGE_NET_WORKING_CAPITAL" hidden="1">"c1909"</definedName>
    <definedName name="IQ_CHANGE_OTHER_NET_OPER_ASSETS" hidden="1">"c3593"</definedName>
    <definedName name="IQ_CHANGE_OTHER_NET_OPER_ASSETS_BNK" hidden="1">"c3594"</definedName>
    <definedName name="IQ_CHANGE_OTHER_NET_OPER_ASSETS_BR" hidden="1">"c3595"</definedName>
    <definedName name="IQ_CHANGE_OTHER_NET_OPER_ASSETS_FIN" hidden="1">"c3596"</definedName>
    <definedName name="IQ_CHANGE_OTHER_NET_OPER_ASSETS_INS" hidden="1">"c3597"</definedName>
    <definedName name="IQ_CHANGE_OTHER_NET_OPER_ASSETS_RE" hidden="1">"c6285"</definedName>
    <definedName name="IQ_CHANGE_OTHER_NET_OPER_ASSETS_REIT" hidden="1">"c3598"</definedName>
    <definedName name="IQ_CHANGE_OTHER_NET_OPER_ASSETS_UTI" hidden="1">"c3599"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1_4_FAMILY_FDIC" hidden="1">"c6756"</definedName>
    <definedName name="IQ_CHARGE_OFFS_1_4_FAMILY_LOANS_FDIC" hidden="1">"c6714"</definedName>
    <definedName name="IQ_CHARGE_OFFS_AUTO_LOANS_FDIC" hidden="1">"c6708"</definedName>
    <definedName name="IQ_CHARGE_OFFS_CL_LOANS_FDIC" hidden="1">"c6709"</definedName>
    <definedName name="IQ_CHARGE_OFFS_COMMERCIAL_INDUSTRIAL_FDIC" hidden="1">"c6759"</definedName>
    <definedName name="IQ_CHARGE_OFFS_COMMERCIAL_RE_FDIC" hidden="1">"c6754"</definedName>
    <definedName name="IQ_CHARGE_OFFS_COMMERCIAL_RE_NOT_SECURED_FDIC" hidden="1">"c6764"</definedName>
    <definedName name="IQ_CHARGE_OFFS_CONSTRUCTION_DEVELOPMENT_FDIC" hidden="1">"c6753"</definedName>
    <definedName name="IQ_CHARGE_OFFS_CREDIT_CARDS_FDIC" hidden="1">"c6761"</definedName>
    <definedName name="IQ_CHARGE_OFFS_CREDIT_CARDS_RECEIVABLES_FDIC" hidden="1">"c6711"</definedName>
    <definedName name="IQ_CHARGE_OFFS_GROSS" hidden="1">"c162"</definedName>
    <definedName name="IQ_CHARGE_OFFS_HOME_EQUITY_FDIC" hidden="1">"c6757"</definedName>
    <definedName name="IQ_CHARGE_OFFS_HOME_EQUITY_LINES_FDIC" hidden="1">"c6712"</definedName>
    <definedName name="IQ_CHARGE_OFFS_INDIVIDUALS_FDIC" hidden="1">"c6760"</definedName>
    <definedName name="IQ_CHARGE_OFFS_MULTI_FAMILY_FDIC" hidden="1">"c6755"</definedName>
    <definedName name="IQ_CHARGE_OFFS_NET" hidden="1">"c163"</definedName>
    <definedName name="IQ_CHARGE_OFFS_OTHER_1_4_FAMILY_FDIC" hidden="1">"c6758"</definedName>
    <definedName name="IQ_CHARGE_OFFS_OTHER_CONSUMER_LOANS_FDIC" hidden="1">"c6710"</definedName>
    <definedName name="IQ_CHARGE_OFFS_OTHER_INDIVIDUAL_FDIC" hidden="1">"c6762"</definedName>
    <definedName name="IQ_CHARGE_OFFS_OTHER_LOANS_FDIC" hidden="1">"c6763"</definedName>
    <definedName name="IQ_CHARGE_OFFS_OTHER_LOANS_OTHER_FDIC" hidden="1">"c6713"</definedName>
    <definedName name="IQ_CHARGE_OFFS_RE_LOANS_FDIC" hidden="1">"c6752"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OBLIGATION_IMMEDIATE" hidden="1">"c2253"</definedName>
    <definedName name="IQ_CLASSA_OPTIONS_BEG_OS" hidden="1">"c2679"</definedName>
    <definedName name="IQ_CLASSA_OPTIONS_CANCELLED" hidden="1">"c2682"</definedName>
    <definedName name="IQ_CLASSA_OPTIONS_END_OS" hidden="1">"c2683"</definedName>
    <definedName name="IQ_CLASSA_OPTIONS_EXERCISABLE_END_OS" hidden="1">"c5809"</definedName>
    <definedName name="IQ_CLASSA_OPTIONS_EXERCISED" hidden="1">"c2681"</definedName>
    <definedName name="IQ_CLASSA_OPTIONS_GRANTED" hidden="1">"c2680"</definedName>
    <definedName name="IQ_CLASSA_OPTIONS_STRIKE_PRICE_BEG_OS" hidden="1">"c5810"</definedName>
    <definedName name="IQ_CLASSA_OPTIONS_STRIKE_PRICE_CANCELLED" hidden="1">"c5812"</definedName>
    <definedName name="IQ_CLASSA_OPTIONS_STRIKE_PRICE_EXERCISABLE" hidden="1">"c5813"</definedName>
    <definedName name="IQ_CLASSA_OPTIONS_STRIKE_PRICE_EXERCISED" hidden="1">"c5811"</definedName>
    <definedName name="IQ_CLASSA_OPTIONS_STRIKE_PRICE_OS" hidden="1">"c2684"</definedName>
    <definedName name="IQ_CLASSA_OUTSTANDING_BS_DATE" hidden="1">"c1971"</definedName>
    <definedName name="IQ_CLASSA_OUTSTANDING_FILING_DATE" hidden="1">"c1973"</definedName>
    <definedName name="IQ_CLASSA_STRIKE_PRICE_GRANTED" hidden="1">"c2685"</definedName>
    <definedName name="IQ_CLASSA_WARRANTS_BEG_OS" hidden="1">"c2705"</definedName>
    <definedName name="IQ_CLASSA_WARRANTS_CANCELLED" hidden="1">"c2708"</definedName>
    <definedName name="IQ_CLASSA_WARRANTS_END_OS" hidden="1">"c2709"</definedName>
    <definedName name="IQ_CLASSA_WARRANTS_EXERCISED" hidden="1">"c2707"</definedName>
    <definedName name="IQ_CLASSA_WARRANTS_ISSUED" hidden="1">"c2706"</definedName>
    <definedName name="IQ_CLASSA_WARRANTS_STRIKE_PRICE_ISSUED" hidden="1">"c2711"</definedName>
    <definedName name="IQ_CLASSA_WARRANTS_STRIKE_PRICE_OS" hidden="1">"c2710"</definedName>
    <definedName name="IQ_CLOSEPRICE" hidden="1">"c174"</definedName>
    <definedName name="IQ_CLOSEPRICE_ADJ" hidden="1">"c2115"</definedName>
    <definedName name="IQ_CMO_FDIC" hidden="1">"c6406"</definedName>
    <definedName name="IQ_COGS" hidden="1">"c175"</definedName>
    <definedName name="IQ_COLLECTION_DOMESTIC_FDIC" hidden="1">"c6387"</definedName>
    <definedName name="IQ_COMBINED_RATIO" hidden="1">"c176"</definedName>
    <definedName name="IQ_COMMERCIAL_BANKS_DEPOSITS_FOREIGN_FDIC" hidden="1">"c6480"</definedName>
    <definedName name="IQ_COMMERCIAL_BANKS_LOANS_FDIC" hidden="1">"c6434"</definedName>
    <definedName name="IQ_COMMERCIAL_BANKS_NONTRANSACTION_ACCOUNTS_FDIC" hidden="1">"c6548"</definedName>
    <definedName name="IQ_COMMERCIAL_BANKS_TOTAL_DEPOSITS_FDIC" hidden="1">"c6474"</definedName>
    <definedName name="IQ_COMMERCIAL_BANKS_TOTAL_LOANS_FOREIGN_FDIC" hidden="1">"c6444"</definedName>
    <definedName name="IQ_COMMERCIAL_BANKS_TRANSACTION_ACCOUNTS_FDIC" hidden="1">"c6540"</definedName>
    <definedName name="IQ_COMMERCIAL_DOM" hidden="1">"c177"</definedName>
    <definedName name="IQ_COMMERCIAL_FIRE_WRITTEN" hidden="1">"c178"</definedName>
    <definedName name="IQ_COMMERCIAL_INDUSTRIAL_CHARGE_OFFS_FDIC" hidden="1">"c6598"</definedName>
    <definedName name="IQ_COMMERCIAL_INDUSTRIAL_LOANS_NET_FDIC" hidden="1">"c6317"</definedName>
    <definedName name="IQ_COMMERCIAL_INDUSTRIAL_NET_CHARGE_OFFS_FDIC" hidden="1">"c6636"</definedName>
    <definedName name="IQ_COMMERCIAL_INDUSTRIAL_RECOVERIES_FDIC" hidden="1">"c6617"</definedName>
    <definedName name="IQ_COMMERCIAL_INDUSTRIAL_TOTAL_LOANS_FOREIGN_FDIC" hidden="1">"c6451"</definedName>
    <definedName name="IQ_COMMERCIAL_MORT" hidden="1">"c179"</definedName>
    <definedName name="IQ_COMMERCIAL_RE_CONSTRUCTION_LAND_DEV_FDIC" hidden="1">"c6526"</definedName>
    <definedName name="IQ_COMMERCIAL_RE_LOANS_FDIC" hidden="1">"c6312"</definedName>
    <definedName name="IQ_COMMISS_FEES" hidden="1">"c180"</definedName>
    <definedName name="IQ_COMMISSION_DEF" hidden="1">"c181"</definedName>
    <definedName name="IQ_COMMITMENTS_MATURITY_EXCEEDING_1YR_FDIC" hidden="1">"c6531"</definedName>
    <definedName name="IQ_COMMITMENTS_NOT_SECURED_RE_FDIC" hidden="1">"c6528"</definedName>
    <definedName name="IQ_COMMITMENTS_SECURED_RE_FDIC" hidden="1">"c6527"</definedName>
    <definedName name="IQ_COMMODITY_EXPOSURES_FDIC" hidden="1">"c6665"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" hidden="1">"c6202"</definedName>
    <definedName name="IQ_COMMON_APIC_REIT" hidden="1">"c188"</definedName>
    <definedName name="IQ_COMMON_APIC_UTI" hidden="1">"c189"</definedName>
    <definedName name="IQ_COMMON_DIV" hidden="1">"c3006"</definedName>
    <definedName name="IQ_COMMON_DIV_CF" hidden="1">"c190"</definedName>
    <definedName name="IQ_COMMON_EQUITY_10YR_ANN_CAGR" hidden="1">"c6060"</definedName>
    <definedName name="IQ_COMMON_EQUITY_10YR_ANN_GROWTH" hidden="1">"c191"</definedName>
    <definedName name="IQ_COMMON_EQUITY_1YR_ANN_GROWTH" hidden="1">"c192"</definedName>
    <definedName name="IQ_COMMON_EQUITY_2YR_ANN_CAGR" hidden="1">"c6061"</definedName>
    <definedName name="IQ_COMMON_EQUITY_2YR_ANN_GROWTH" hidden="1">"c193"</definedName>
    <definedName name="IQ_COMMON_EQUITY_3YR_ANN_CAGR" hidden="1">"c6062"</definedName>
    <definedName name="IQ_COMMON_EQUITY_3YR_ANN_GROWTH" hidden="1">"c194"</definedName>
    <definedName name="IQ_COMMON_EQUITY_5YR_ANN_CAGR" hidden="1">"c6063"</definedName>
    <definedName name="IQ_COMMON_EQUITY_5YR_ANN_GROWTH" hidden="1">"c195"</definedName>
    <definedName name="IQ_COMMON_EQUITY_7YR_ANN_CAGR" hidden="1">"c6064"</definedName>
    <definedName name="IQ_COMMON_EQUITY_7YR_ANN_GROWTH" hidden="1">"c196"</definedName>
    <definedName name="IQ_COMMON_FDIC" hidden="1">"c6350"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" hidden="1">"c6203"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" hidden="1">"c6204"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ID" hidden="1">"c3513"</definedName>
    <definedName name="IQ_COMPANY_NAME" hidden="1">"c215"</definedName>
    <definedName name="IQ_COMPANY_NAME_LONG" hidden="1">"c1585"</definedName>
    <definedName name="IQ_COMPANY_NOTE" hidden="1">"c6792"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DEV_LOANS_FDIC" hidden="1">"c6313"</definedName>
    <definedName name="IQ_CONSTRUCTION_LAND_DEVELOPMENT_CHARGE_OFFS_FDIC" hidden="1">"c6594"</definedName>
    <definedName name="IQ_CONSTRUCTION_LAND_DEVELOPMENT_NET_CHARGE_OFFS_FDIC" hidden="1">"c6632"</definedName>
    <definedName name="IQ_CONSTRUCTION_LAND_DEVELOPMENT_RECOVERIES_FDIC" hidden="1">"c6613"</definedName>
    <definedName name="IQ_CONSTRUCTION_LOANS" hidden="1">"c222"</definedName>
    <definedName name="IQ_CONSUMER_LOANS" hidden="1">"c223"</definedName>
    <definedName name="IQ_CONTRACTS_OTHER_COMMODITIES_EQUITIES._FDIC" hidden="1">"c6522"</definedName>
    <definedName name="IQ_CONV_DATE" hidden="1">"c2191"</definedName>
    <definedName name="IQ_CONV_EXP_DATE" hidden="1">"c3043"</definedName>
    <definedName name="IQ_CONV_PREMIUM" hidden="1">"c2195"</definedName>
    <definedName name="IQ_CONV_PRICE" hidden="1">"c2193"</definedName>
    <definedName name="IQ_CONV_RATE" hidden="1">"c2192"</definedName>
    <definedName name="IQ_CONV_RATIO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RT" hidden="1">"c2536"</definedName>
    <definedName name="IQ_CONVERT_PCT" hidden="1">"c2537"</definedName>
    <definedName name="IQ_CONVEXITY" hidden="1">"c2182"</definedName>
    <definedName name="IQ_CONVEYED_TO_OTHERS_FDIC" hidden="1">"c6534"</definedName>
    <definedName name="IQ_CORE_CAPITAL_RATIO_FDIC" hidden="1">"c6745"</definedName>
    <definedName name="IQ_COST_BORROWING" hidden="1">"c2936"</definedName>
    <definedName name="IQ_COST_BORROWINGS" hidden="1">"c225"</definedName>
    <definedName name="IQ_COST_OF_FUNDING_ASSETS_FDIC" hidden="1">"c6725"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P" hidden="1">"c2495"</definedName>
    <definedName name="IQ_CP_PCT" hidden="1">"c2496"</definedName>
    <definedName name="IQ_CQ">5000</definedName>
    <definedName name="IQ_CREDIT_CARD_CHARGE_OFFS_FDIC" hidden="1">"c6652"</definedName>
    <definedName name="IQ_CREDIT_CARD_FEE_BNK" hidden="1">"c231"</definedName>
    <definedName name="IQ_CREDIT_CARD_FEE_FIN" hidden="1">"c1583"</definedName>
    <definedName name="IQ_CREDIT_CARD_LINES_FDIC" hidden="1">"c6525"</definedName>
    <definedName name="IQ_CREDIT_CARD_LOANS_FDIC" hidden="1">"c6319"</definedName>
    <definedName name="IQ_CREDIT_CARD_NET_CHARGE_OFFS_FDIC" hidden="1">"c6654"</definedName>
    <definedName name="IQ_CREDIT_CARD_RECOVERIES_FDIC" hidden="1">"c6653"</definedName>
    <definedName name="IQ_CREDIT_LOSS_CF" hidden="1">"c232"</definedName>
    <definedName name="IQ_CREDIT_LOSS_PROVISION_NET_CHARGE_OFFS_FDIC" hidden="1">"c6734"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COIN_DOMESTIC_FDIC" hidden="1">"c6388"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" hidden="1">"c6205"</definedName>
    <definedName name="IQ_CURRENCY_GAIN_REIT" hidden="1">"c239"</definedName>
    <definedName name="IQ_CURRENCY_GAIN_UTI" hidden="1">"c240"</definedName>
    <definedName name="IQ_CURRENT_BENCHMARK" hidden="1">"c6780"</definedName>
    <definedName name="IQ_CURRENT_BENCHMARK_CIQID" hidden="1">"c6781"</definedName>
    <definedName name="IQ_CURRENT_BENCHMARK_MATURITY" hidden="1">"c6782"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" hidden="1">"c6283"</definedName>
    <definedName name="IQ_CURRENT_PORT_DEBT_REIT" hidden="1">"c1570"</definedName>
    <definedName name="IQ_CURRENT_PORT_DEBT_UTI" hidden="1">"c1571"</definedName>
    <definedName name="IQ_CURRENT_PORT_FHLB_DEBT" hidden="1">"c5657"</definedName>
    <definedName name="IQ_CURRENT_PORT_LEASES" hidden="1">"c245"</definedName>
    <definedName name="IQ_CURRENT_PORT_PCT" hidden="1">"c2541"</definedName>
    <definedName name="IQ_CURRENT_RATIO" hidden="1">"c246"</definedName>
    <definedName name="IQ_CY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" hidden="1">"c6206"</definedName>
    <definedName name="IQ_DA_CF_REIT" hidden="1">"c254"</definedName>
    <definedName name="IQ_DA_CF_UTI" hidden="1">"c255"</definedName>
    <definedName name="IQ_DA_EBITDA" hidden="1">"c5528"</definedName>
    <definedName name="IQ_DA_FIN" hidden="1">"c256"</definedName>
    <definedName name="IQ_DA_INS" hidden="1">"c257"</definedName>
    <definedName name="IQ_DA_RE" hidden="1">"c6207"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" hidden="1">"c6208"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" hidden="1">"c6209"</definedName>
    <definedName name="IQ_DA_SUPPL_REIT" hidden="1">"c270"</definedName>
    <definedName name="IQ_DA_SUPPL_UTI" hidden="1">"c271"</definedName>
    <definedName name="IQ_DA_UTI" hidden="1">"c272"</definedName>
    <definedName name="IQ_DAILY">500000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BT_ADJ" hidden="1">"c2515"</definedName>
    <definedName name="IQ_DEBT_ADJ_PCT" hidden="1">"c2516"</definedName>
    <definedName name="IQ_DEBT_EQUITY_EST" hidden="1">"c4257"</definedName>
    <definedName name="IQ_DEBT_EQUITY_EST_CIQ" hidden="1">"c4783"</definedName>
    <definedName name="IQ_DEBT_EQUITY_HIGH_EST" hidden="1">"c4258"</definedName>
    <definedName name="IQ_DEBT_EQUITY_HIGH_EST_CIQ" hidden="1">"c4784"</definedName>
    <definedName name="IQ_DEBT_EQUITY_LOW_EST" hidden="1">"c4259"</definedName>
    <definedName name="IQ_DEBT_EQUITY_LOW_EST_CIQ" hidden="1">"c4785"</definedName>
    <definedName name="IQ_DEBT_EQUITY_MEDIAN_EST" hidden="1">"c4260"</definedName>
    <definedName name="IQ_DEBT_EQUITY_MEDIAN_EST_CIQ" hidden="1">"c4786"</definedName>
    <definedName name="IQ_DEBT_EQUITY_NUM_EST" hidden="1">"c4261"</definedName>
    <definedName name="IQ_DEBT_EQUITY_NUM_EST_CIQ" hidden="1">"c4787"</definedName>
    <definedName name="IQ_DEBT_EQUITY_STDDEV_EST" hidden="1">"c4262"</definedName>
    <definedName name="IQ_DEBT_EQUITY_STDDEV_EST_CIQ" hidden="1">"c4788"</definedName>
    <definedName name="IQ_DEBT_EQUIV_NET_PBO" hidden="1">"c2938"</definedName>
    <definedName name="IQ_DEBT_EQUIV_OPER_LEASE" hidden="1">"c2935"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INTEREST_COST_DOMESTIC" hidden="1">"c2652"</definedName>
    <definedName name="IQ_DEF_BENEFIT_INTEREST_COST_FOREIGN" hidden="1">"c2660"</definedName>
    <definedName name="IQ_DEF_BENEFIT_OTHER_COST" hidden="1">"c284"</definedName>
    <definedName name="IQ_DEF_BENEFIT_OTHER_COST_DOMESTIC" hidden="1">"c2654"</definedName>
    <definedName name="IQ_DEF_BENEFIT_OTHER_COST_FOREIGN" hidden="1">"c2662"</definedName>
    <definedName name="IQ_DEF_BENEFIT_ROA" hidden="1">"c285"</definedName>
    <definedName name="IQ_DEF_BENEFIT_ROA_DOMESTIC" hidden="1">"c2653"</definedName>
    <definedName name="IQ_DEF_BENEFIT_ROA_FOREIGN" hidden="1">"c2661"</definedName>
    <definedName name="IQ_DEF_BENEFIT_SERVICE_COST" hidden="1">"c286"</definedName>
    <definedName name="IQ_DEF_BENEFIT_SERVICE_COST_DOMESTIC" hidden="1">"c2651"</definedName>
    <definedName name="IQ_DEF_BENEFIT_SERVICE_COST_FOREIGN" hidden="1">"c2659"</definedName>
    <definedName name="IQ_DEF_BENEFIT_TOTAL_COST" hidden="1">"c287"</definedName>
    <definedName name="IQ_DEF_BENEFIT_TOTAL_COST_DOMESTIC" hidden="1">"c2655"</definedName>
    <definedName name="IQ_DEF_BENEFIT_TOTAL_COST_FOREIGN" hidden="1">"c2663"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" hidden="1">"c6210"</definedName>
    <definedName name="IQ_DEF_CHARGES_LT_REIT" hidden="1">"c297"</definedName>
    <definedName name="IQ_DEF_CHARGES_LT_UTI" hidden="1">"c298"</definedName>
    <definedName name="IQ_DEF_CHARGES_RE" hidden="1">"c6211"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" hidden="1">"c6212"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" hidden="1">"c6213"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MAND_DEPOSITS_FDIC" hidden="1">"c6489"</definedName>
    <definedName name="IQ_DEPOSIT_ACCOUNTS_LESS_THAN_100K_FDIC" hidden="1">"c6494"</definedName>
    <definedName name="IQ_DEPOSIT_ACCOUNTS_MORE_THAN_100K_FDIC" hidden="1">"c6492"</definedName>
    <definedName name="IQ_DEPOSITORY_INSTITUTIONS_CHARGE_OFFS_FDIC" hidden="1">"c6596"</definedName>
    <definedName name="IQ_DEPOSITORY_INSTITUTIONS_NET_CHARGE_OFFS_FDIC" hidden="1">"c6634"</definedName>
    <definedName name="IQ_DEPOSITORY_INSTITUTIONS_RECOVERIES_FDIC" hidden="1">"c6615"</definedName>
    <definedName name="IQ_DEPOSITS_FIN" hidden="1">"c321"</definedName>
    <definedName name="IQ_DEPOSITS_HELD_DOMESTIC_FDIC" hidden="1">"c6340"</definedName>
    <definedName name="IQ_DEPOSITS_HELD_FOREIGN_FDIC" hidden="1">"c6341"</definedName>
    <definedName name="IQ_DEPOSITS_INTEREST_SECURITIES" hidden="1">"c5509"</definedName>
    <definedName name="IQ_DEPOSITS_LESS_THAN_100K_AFTER_THREE_YEARS_FDIC" hidden="1">"c6464"</definedName>
    <definedName name="IQ_DEPOSITS_LESS_THAN_100K_THREE_MONTHS_FDIC" hidden="1">"c6461"</definedName>
    <definedName name="IQ_DEPOSITS_LESS_THAN_100K_THREE_YEARS_FDIC" hidden="1">"c6463"</definedName>
    <definedName name="IQ_DEPOSITS_LESS_THAN_100K_TWELVE_MONTHS_FDIC" hidden="1">"c6462"</definedName>
    <definedName name="IQ_DEPOSITS_MORE_THAN_100K_AFTER_THREE_YEARS_FDIC" hidden="1">"c6469"</definedName>
    <definedName name="IQ_DEPOSITS_MORE_THAN_100K_THREE_MONTHS_FDIC" hidden="1">"c6466"</definedName>
    <definedName name="IQ_DEPOSITS_MORE_THAN_100K_THREE_YEARS_FDIC" hidden="1">"c6468"</definedName>
    <definedName name="IQ_DEPOSITS_MORE_THAN_100K_TWELVE_MONTHS_FDIC" hidden="1">"c6467"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RIVATIVES_FDIC" hidden="1">"c6523"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FF_LASTCLOSE_TARGET_PRICE_CIQ" hidden="1">"c4767"</definedName>
    <definedName name="IQ_DIFF_LASTCLOSE_TARGET_PRICE_REUT" hidden="1">"c5436"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OUTSTANDING_CURRENT_EST" hidden="1">"c4263"</definedName>
    <definedName name="IQ_DILUT_OUTSTANDING_CURRENT_EST_CIQ" hidden="1">"c4789"</definedName>
    <definedName name="IQ_DILUT_OUTSTANDING_CURRENT_HIGH_EST" hidden="1">"c4264"</definedName>
    <definedName name="IQ_DILUT_OUTSTANDING_CURRENT_HIGH_EST_CIQ" hidden="1">"c4790"</definedName>
    <definedName name="IQ_DILUT_OUTSTANDING_CURRENT_LOW_EST" hidden="1">"c4265"</definedName>
    <definedName name="IQ_DILUT_OUTSTANDING_CURRENT_LOW_EST_CIQ" hidden="1">"c4791"</definedName>
    <definedName name="IQ_DILUT_OUTSTANDING_CURRENT_MEDIAN_EST" hidden="1">"c4266"</definedName>
    <definedName name="IQ_DILUT_OUTSTANDING_CURRENT_MEDIAN_EST_CIQ" hidden="1">"c4792"</definedName>
    <definedName name="IQ_DILUT_OUTSTANDING_CURRENT_NUM_EST" hidden="1">"c4267"</definedName>
    <definedName name="IQ_DILUT_OUTSTANDING_CURRENT_NUM_EST_CIQ" hidden="1">"c4793"</definedName>
    <definedName name="IQ_DILUT_OUTSTANDING_CURRENT_STDDEV_EST" hidden="1">"c4268"</definedName>
    <definedName name="IQ_DILUT_OUTSTANDING_CURRENT_STDDEV_EST_CIQ" hidden="1">"c4794"</definedName>
    <definedName name="IQ_DILUT_WEIGHT" hidden="1">"c326"</definedName>
    <definedName name="IQ_DILUT_WEIGHT_EST" hidden="1">"c4269"</definedName>
    <definedName name="IQ_DILUT_WEIGHT_EST_CIQ" hidden="1">"c4795"</definedName>
    <definedName name="IQ_DILUT_WEIGHT_GUIDANCE" hidden="1">"c4270"</definedName>
    <definedName name="IQ_DILUT_WEIGHT_HIGH_EST" hidden="1">"c4271"</definedName>
    <definedName name="IQ_DILUT_WEIGHT_HIGH_EST_CIQ" hidden="1">"c4796"</definedName>
    <definedName name="IQ_DILUT_WEIGHT_LOW_EST" hidden="1">"c4272"</definedName>
    <definedName name="IQ_DILUT_WEIGHT_LOW_EST_CIQ" hidden="1">"c4797"</definedName>
    <definedName name="IQ_DILUT_WEIGHT_MEDIAN_EST" hidden="1">"c4273"</definedName>
    <definedName name="IQ_DILUT_WEIGHT_MEDIAN_EST_CIQ" hidden="1">"c4798"</definedName>
    <definedName name="IQ_DILUT_WEIGHT_NUM_EST" hidden="1">"c4274"</definedName>
    <definedName name="IQ_DILUT_WEIGHT_NUM_EST_CIQ" hidden="1">"c4799"</definedName>
    <definedName name="IQ_DILUT_WEIGHT_STDDEV_EST" hidden="1">"c4275"</definedName>
    <definedName name="IQ_DILUT_WEIGHT_STDDEV_EST_CIQ" hidden="1">"c4800"</definedName>
    <definedName name="IQ_DIRECT_AH_EARNED" hidden="1">"c2740"</definedName>
    <definedName name="IQ_DIRECT_EARNED" hidden="1">"c2730"</definedName>
    <definedName name="IQ_DIRECT_LIFE_EARNED" hidden="1">"c2735"</definedName>
    <definedName name="IQ_DIRECT_LIFE_IN_FORCE" hidden="1">"c2765"</definedName>
    <definedName name="IQ_DIRECT_PC_EARNED" hidden="1">"c2745"</definedName>
    <definedName name="IQ_DIRECT_WRITTEN" hidden="1">"c2724"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STRIBUTABLE_CASH" hidden="1">"c3002"</definedName>
    <definedName name="IQ_DISTRIBUTABLE_CASH_ACT_OR_EST" hidden="1">"c4278"</definedName>
    <definedName name="IQ_DISTRIBUTABLE_CASH_ACT_OR_EST_CIQ" hidden="1">"c4803"</definedName>
    <definedName name="IQ_DISTRIBUTABLE_CASH_EST" hidden="1">"c4277"</definedName>
    <definedName name="IQ_DISTRIBUTABLE_CASH_EST_CIQ" hidden="1">"c4802"</definedName>
    <definedName name="IQ_DISTRIBUTABLE_CASH_GUIDANCE" hidden="1">"c4279"</definedName>
    <definedName name="IQ_DISTRIBUTABLE_CASH_GUIDANCE_CIQ" hidden="1">"c4804"</definedName>
    <definedName name="IQ_DISTRIBUTABLE_CASH_HIGH_EST" hidden="1">"c4280"</definedName>
    <definedName name="IQ_DISTRIBUTABLE_CASH_HIGH_EST_CIQ" hidden="1">"c4805"</definedName>
    <definedName name="IQ_DISTRIBUTABLE_CASH_HIGH_GUIDANCE" hidden="1">"c4198"</definedName>
    <definedName name="IQ_DISTRIBUTABLE_CASH_HIGH_GUIDANCE_CIQ" hidden="1">"c4610"</definedName>
    <definedName name="IQ_DISTRIBUTABLE_CASH_LOW_EST" hidden="1">"c4281"</definedName>
    <definedName name="IQ_DISTRIBUTABLE_CASH_LOW_EST_CIQ" hidden="1">"c4806"</definedName>
    <definedName name="IQ_DISTRIBUTABLE_CASH_LOW_GUIDANCE" hidden="1">"c4238"</definedName>
    <definedName name="IQ_DISTRIBUTABLE_CASH_LOW_GUIDANCE_CIQ" hidden="1">"c4650"</definedName>
    <definedName name="IQ_DISTRIBUTABLE_CASH_MEDIAN_EST" hidden="1">"c4282"</definedName>
    <definedName name="IQ_DISTRIBUTABLE_CASH_MEDIAN_EST_CIQ" hidden="1">"c4807"</definedName>
    <definedName name="IQ_DISTRIBUTABLE_CASH_NUM_EST" hidden="1">"c4283"</definedName>
    <definedName name="IQ_DISTRIBUTABLE_CASH_NUM_EST_CIQ" hidden="1">"c4808"</definedName>
    <definedName name="IQ_DISTRIBUTABLE_CASH_PAYOUT" hidden="1">"c3005"</definedName>
    <definedName name="IQ_DISTRIBUTABLE_CASH_SHARE" hidden="1">"c3003"</definedName>
    <definedName name="IQ_DISTRIBUTABLE_CASH_SHARE_ACT_OR_EST" hidden="1">"c4286"</definedName>
    <definedName name="IQ_DISTRIBUTABLE_CASH_SHARE_ACT_OR_EST_CIQ" hidden="1">"c4811"</definedName>
    <definedName name="IQ_DISTRIBUTABLE_CASH_SHARE_EST" hidden="1">"c4285"</definedName>
    <definedName name="IQ_DISTRIBUTABLE_CASH_SHARE_EST_CIQ" hidden="1">"c4810"</definedName>
    <definedName name="IQ_DISTRIBUTABLE_CASH_SHARE_GUIDANCE" hidden="1">"c4287"</definedName>
    <definedName name="IQ_DISTRIBUTABLE_CASH_SHARE_GUIDANCE_CIQ" hidden="1">"c4812"</definedName>
    <definedName name="IQ_DISTRIBUTABLE_CASH_SHARE_HIGH_EST" hidden="1">"c4288"</definedName>
    <definedName name="IQ_DISTRIBUTABLE_CASH_SHARE_HIGH_EST_CIQ" hidden="1">"c4813"</definedName>
    <definedName name="IQ_DISTRIBUTABLE_CASH_SHARE_HIGH_GUIDANCE" hidden="1">"c4199"</definedName>
    <definedName name="IQ_DISTRIBUTABLE_CASH_SHARE_HIGH_GUIDANCE_CIQ" hidden="1">"c4611"</definedName>
    <definedName name="IQ_DISTRIBUTABLE_CASH_SHARE_LOW_EST" hidden="1">"c4289"</definedName>
    <definedName name="IQ_DISTRIBUTABLE_CASH_SHARE_LOW_EST_CIQ" hidden="1">"c4814"</definedName>
    <definedName name="IQ_DISTRIBUTABLE_CASH_SHARE_LOW_GUIDANCE" hidden="1">"c4239"</definedName>
    <definedName name="IQ_DISTRIBUTABLE_CASH_SHARE_LOW_GUIDANCE_CIQ" hidden="1">"c4651"</definedName>
    <definedName name="IQ_DISTRIBUTABLE_CASH_SHARE_MEDIAN_EST" hidden="1">"c4290"</definedName>
    <definedName name="IQ_DISTRIBUTABLE_CASH_SHARE_MEDIAN_EST_CIQ" hidden="1">"c4815"</definedName>
    <definedName name="IQ_DISTRIBUTABLE_CASH_SHARE_NUM_EST" hidden="1">"c4291"</definedName>
    <definedName name="IQ_DISTRIBUTABLE_CASH_SHARE_NUM_EST_CIQ" hidden="1">"c4816"</definedName>
    <definedName name="IQ_DISTRIBUTABLE_CASH_SHARE_STDDEV_EST" hidden="1">"c4292"</definedName>
    <definedName name="IQ_DISTRIBUTABLE_CASH_SHARE_STDDEV_EST_CIQ" hidden="1">"c4817"</definedName>
    <definedName name="IQ_DISTRIBUTABLE_CASH_STDDEV_EST" hidden="1">"c4294"</definedName>
    <definedName name="IQ_DISTRIBUTABLE_CASH_STDDEV_EST_CIQ" hidden="1">"c4819"</definedName>
    <definedName name="IQ_DIV_AMOUNT" hidden="1">"c3041"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EST" hidden="1">"c4296"</definedName>
    <definedName name="IQ_DIVIDEND_EST_CIQ" hidden="1">"c4821"</definedName>
    <definedName name="IQ_DIVIDEND_HIGH_EST" hidden="1">"c4297"</definedName>
    <definedName name="IQ_DIVIDEND_HIGH_EST_CIQ" hidden="1">"c4822"</definedName>
    <definedName name="IQ_DIVIDEND_LOW_EST" hidden="1">"c4298"</definedName>
    <definedName name="IQ_DIVIDEND_LOW_EST_CIQ" hidden="1">"c4823"</definedName>
    <definedName name="IQ_DIVIDEND_MEDIAN_EST" hidden="1">"c4299"</definedName>
    <definedName name="IQ_DIVIDEND_MEDIAN_EST_CIQ" hidden="1">"c4824"</definedName>
    <definedName name="IQ_DIVIDEND_NUM_EST" hidden="1">"c4300"</definedName>
    <definedName name="IQ_DIVIDEND_NUM_EST_CIQ" hidden="1">"c4825"</definedName>
    <definedName name="IQ_DIVIDEND_STDDEV_EST" hidden="1">"c4301"</definedName>
    <definedName name="IQ_DIVIDEND_STDDEV_EST_CIQ" hidden="1">"c4826"</definedName>
    <definedName name="IQ_DIVIDEND_YIELD" hidden="1">"c332"</definedName>
    <definedName name="IQ_DIVIDENDS_DECLARED_COMMON_FDIC" hidden="1">"c6659"</definedName>
    <definedName name="IQ_DIVIDENDS_DECLARED_PREFERRED_FDIC" hidden="1">"c6658"</definedName>
    <definedName name="IQ_DIVIDENDS_FDIC" hidden="1">"c6660"</definedName>
    <definedName name="IQ_DNB_OTHER_EXP_INC_TAX_US" hidden="1">"c6787"</definedName>
    <definedName name="IQ_DNTM" hidden="1">700000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OC_CLAUSE" hidden="1">"c6032"</definedName>
    <definedName name="IQ_DPAC_ACC" hidden="1">"c2799"</definedName>
    <definedName name="IQ_DPAC_AMORT" hidden="1">"c2795"</definedName>
    <definedName name="IQ_DPAC_BEG" hidden="1">"c2791"</definedName>
    <definedName name="IQ_DPAC_COMMISSIONS" hidden="1">"c2792"</definedName>
    <definedName name="IQ_DPAC_END" hidden="1">"c2801"</definedName>
    <definedName name="IQ_DPAC_FX" hidden="1">"c2798"</definedName>
    <definedName name="IQ_DPAC_OTHER_ADJ" hidden="1">"c2800"</definedName>
    <definedName name="IQ_DPAC_OTHERS" hidden="1">"c2793"</definedName>
    <definedName name="IQ_DPAC_PERIOD" hidden="1">"c2794"</definedName>
    <definedName name="IQ_DPAC_REAL_GAIN" hidden="1">"c2797"</definedName>
    <definedName name="IQ_DPAC_UNREAL_GAIN" hidden="1">"c2796"</definedName>
    <definedName name="IQ_DPS_10YR_ANN_CAGR" hidden="1">"c6065"</definedName>
    <definedName name="IQ_DPS_10YR_ANN_GROWTH" hidden="1">"c337"</definedName>
    <definedName name="IQ_DPS_1YR_ANN_GROWTH" hidden="1">"c338"</definedName>
    <definedName name="IQ_DPS_2YR_ANN_CAGR" hidden="1">"c6066"</definedName>
    <definedName name="IQ_DPS_2YR_ANN_GROWTH" hidden="1">"c339"</definedName>
    <definedName name="IQ_DPS_3YR_ANN_CAGR" hidden="1">"c6067"</definedName>
    <definedName name="IQ_DPS_3YR_ANN_GROWTH" hidden="1">"c340"</definedName>
    <definedName name="IQ_DPS_5YR_ANN_CAGR" hidden="1">"c6068"</definedName>
    <definedName name="IQ_DPS_5YR_ANN_GROWTH" hidden="1">"c341"</definedName>
    <definedName name="IQ_DPS_7YR_ANN_CAGR" hidden="1">"c6069"</definedName>
    <definedName name="IQ_DPS_7YR_ANN_GROWTH" hidden="1">"c342"</definedName>
    <definedName name="IQ_DPS_ACT_OR_EST" hidden="1">"c2218"</definedName>
    <definedName name="IQ_DPS_ACT_OR_EST_CIQ" hidden="1">"c5062"</definedName>
    <definedName name="IQ_DPS_ACT_OR_EST_REUT" hidden="1">"c5464"</definedName>
    <definedName name="IQ_DPS_EST" hidden="1">"c1674"</definedName>
    <definedName name="IQ_DPS_EST_BOTTOM_UP" hidden="1">"c5493"</definedName>
    <definedName name="IQ_DPS_EST_BOTTOM_UP_REUT" hidden="1">"c5501"</definedName>
    <definedName name="IQ_DPS_EST_CIQ" hidden="1">"c3682"</definedName>
    <definedName name="IQ_DPS_EST_REUT" hidden="1">"c3851"</definedName>
    <definedName name="IQ_DPS_GUIDANCE" hidden="1">"c4302"</definedName>
    <definedName name="IQ_DPS_GUIDANCE_CIQ" hidden="1">"c4827"</definedName>
    <definedName name="IQ_DPS_HIGH_EST" hidden="1">"c1676"</definedName>
    <definedName name="IQ_DPS_HIGH_EST_CIQ" hidden="1">"c3684"</definedName>
    <definedName name="IQ_DPS_HIGH_EST_REUT" hidden="1">"c3853"</definedName>
    <definedName name="IQ_DPS_HIGH_GUIDANCE" hidden="1">"c4168"</definedName>
    <definedName name="IQ_DPS_HIGH_GUIDANCE_CIQ" hidden="1">"c4580"</definedName>
    <definedName name="IQ_DPS_LOW_EST" hidden="1">"c1677"</definedName>
    <definedName name="IQ_DPS_LOW_EST_CIQ" hidden="1">"c3685"</definedName>
    <definedName name="IQ_DPS_LOW_EST_REUT" hidden="1">"c3854"</definedName>
    <definedName name="IQ_DPS_LOW_GUIDANCE" hidden="1">"c4208"</definedName>
    <definedName name="IQ_DPS_LOW_GUIDANCE_CIQ" hidden="1">"c4620"</definedName>
    <definedName name="IQ_DPS_MEDIAN_EST" hidden="1">"c1675"</definedName>
    <definedName name="IQ_DPS_MEDIAN_EST_CIQ" hidden="1">"c3683"</definedName>
    <definedName name="IQ_DPS_MEDIAN_EST_REUT" hidden="1">"c3852"</definedName>
    <definedName name="IQ_DPS_NUM_EST" hidden="1">"c1678"</definedName>
    <definedName name="IQ_DPS_NUM_EST_CIQ" hidden="1">"c3686"</definedName>
    <definedName name="IQ_DPS_NUM_EST_REUT" hidden="1">"c3855"</definedName>
    <definedName name="IQ_DPS_STDDEV_EST" hidden="1">"c1679"</definedName>
    <definedName name="IQ_DPS_STDDEV_EST_CIQ" hidden="1">"c3687"</definedName>
    <definedName name="IQ_DPS_STDDEV_EST_REUT" hidden="1">"c3856"</definedName>
    <definedName name="IQ_DURATION" hidden="1">"c2181"</definedName>
    <definedName name="IQ_EARNING_ASSET_YIELD" hidden="1">"c343"</definedName>
    <definedName name="IQ_EARNING_ASSETS_FDIC" hidden="1">"c6360"</definedName>
    <definedName name="IQ_EARNING_ASSETS_YIELD_FDIC" hidden="1">"c6724"</definedName>
    <definedName name="IQ_EARNING_CO" hidden="1">"c344"</definedName>
    <definedName name="IQ_EARNING_CO_10YR_ANN_CAGR" hidden="1">"c6070"</definedName>
    <definedName name="IQ_EARNING_CO_10YR_ANN_GROWTH" hidden="1">"c345"</definedName>
    <definedName name="IQ_EARNING_CO_1YR_ANN_GROWTH" hidden="1">"c346"</definedName>
    <definedName name="IQ_EARNING_CO_2YR_ANN_CAGR" hidden="1">"c6071"</definedName>
    <definedName name="IQ_EARNING_CO_2YR_ANN_GROWTH" hidden="1">"c347"</definedName>
    <definedName name="IQ_EARNING_CO_3YR_ANN_CAGR" hidden="1">"c6072"</definedName>
    <definedName name="IQ_EARNING_CO_3YR_ANN_GROWTH" hidden="1">"c348"</definedName>
    <definedName name="IQ_EARNING_CO_5YR_ANN_CAGR" hidden="1">"c6073"</definedName>
    <definedName name="IQ_EARNING_CO_5YR_ANN_GROWTH" hidden="1">"c349"</definedName>
    <definedName name="IQ_EARNING_CO_7YR_ANN_CAGR" hidden="1">"c6074"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ARNINGS_ANNOUNCE_DATE_CIQ" hidden="1">"c4656"</definedName>
    <definedName name="IQ_EARNINGS_ANNOUNCE_DATE_REUT" hidden="1">"c5314"</definedName>
    <definedName name="IQ_EARNINGS_COVERAGE_NET_CHARGE_OFFS_FDIC" hidden="1">"c6735"</definedName>
    <definedName name="IQ_EBIT" hidden="1">"c352"</definedName>
    <definedName name="IQ_EBIT_10YR_ANN_CAGR" hidden="1">"c6075"</definedName>
    <definedName name="IQ_EBIT_10YR_ANN_GROWTH" hidden="1">"c353"</definedName>
    <definedName name="IQ_EBIT_1YR_ANN_GROWTH" hidden="1">"c354"</definedName>
    <definedName name="IQ_EBIT_2YR_ANN_CAGR" hidden="1">"c6076"</definedName>
    <definedName name="IQ_EBIT_2YR_ANN_GROWTH" hidden="1">"c355"</definedName>
    <definedName name="IQ_EBIT_3YR_ANN_CAGR" hidden="1">"c6077"</definedName>
    <definedName name="IQ_EBIT_3YR_ANN_GROWTH" hidden="1">"c356"</definedName>
    <definedName name="IQ_EBIT_5YR_ANN_CAGR" hidden="1">"c6078"</definedName>
    <definedName name="IQ_EBIT_5YR_ANN_GROWTH" hidden="1">"c357"</definedName>
    <definedName name="IQ_EBIT_7YR_ANN_CAGR" hidden="1">"c6079"</definedName>
    <definedName name="IQ_EBIT_7YR_ANN_GROWTH" hidden="1">"c358"</definedName>
    <definedName name="IQ_EBIT_ACT_OR_EST" hidden="1">"c2219"</definedName>
    <definedName name="IQ_EBIT_ACT_OR_EST_CIQ" hidden="1">"c5063"</definedName>
    <definedName name="IQ_EBIT_ACT_OR_EST_REUT" hidden="1">"c5465"</definedName>
    <definedName name="IQ_EBIT_EQ_INC" hidden="1">"c3498"</definedName>
    <definedName name="IQ_EBIT_EQ_INC_EXCL_SBC" hidden="1">"c3502"</definedName>
    <definedName name="IQ_EBIT_EST" hidden="1">"c1681"</definedName>
    <definedName name="IQ_EBIT_EST_CIQ" hidden="1">"c4674"</definedName>
    <definedName name="IQ_EBIT_EST_REUT" hidden="1">"c5333"</definedName>
    <definedName name="IQ_EBIT_EXCL_SBC" hidden="1">"c3082"</definedName>
    <definedName name="IQ_EBIT_GUIDANCE" hidden="1">"c4303"</definedName>
    <definedName name="IQ_EBIT_GUIDANCE_CIQ" hidden="1">"c4828"</definedName>
    <definedName name="IQ_EBIT_GW_ACT_OR_EST" hidden="1">"c4306"</definedName>
    <definedName name="IQ_EBIT_GW_ACT_OR_EST_CIQ" hidden="1">"c4831"</definedName>
    <definedName name="IQ_EBIT_GW_EST" hidden="1">"c4305"</definedName>
    <definedName name="IQ_EBIT_GW_EST_CIQ" hidden="1">"c4830"</definedName>
    <definedName name="IQ_EBIT_GW_GUIDANCE" hidden="1">"c4307"</definedName>
    <definedName name="IQ_EBIT_GW_GUIDANCE_CIQ" hidden="1">"c4832"</definedName>
    <definedName name="IQ_EBIT_GW_HIGH_EST" hidden="1">"c4308"</definedName>
    <definedName name="IQ_EBIT_GW_HIGH_EST_CIQ" hidden="1">"c4833"</definedName>
    <definedName name="IQ_EBIT_GW_HIGH_GUIDANCE" hidden="1">"c4171"</definedName>
    <definedName name="IQ_EBIT_GW_HIGH_GUIDANCE_CIQ" hidden="1">"c4583"</definedName>
    <definedName name="IQ_EBIT_GW_LOW_EST" hidden="1">"c4309"</definedName>
    <definedName name="IQ_EBIT_GW_LOW_EST_CIQ" hidden="1">"c4834"</definedName>
    <definedName name="IQ_EBIT_GW_LOW_GUIDANCE" hidden="1">"c4211"</definedName>
    <definedName name="IQ_EBIT_GW_LOW_GUIDANCE_CIQ" hidden="1">"c4623"</definedName>
    <definedName name="IQ_EBIT_GW_MEDIAN_EST" hidden="1">"c4310"</definedName>
    <definedName name="IQ_EBIT_GW_MEDIAN_EST_CIQ" hidden="1">"c4835"</definedName>
    <definedName name="IQ_EBIT_GW_NUM_EST" hidden="1">"c4311"</definedName>
    <definedName name="IQ_EBIT_GW_NUM_EST_CIQ" hidden="1">"c4836"</definedName>
    <definedName name="IQ_EBIT_GW_STDDEV_EST" hidden="1">"c4312"</definedName>
    <definedName name="IQ_EBIT_GW_STDDEV_EST_CIQ" hidden="1">"c4837"</definedName>
    <definedName name="IQ_EBIT_HIGH_EST" hidden="1">"c1683"</definedName>
    <definedName name="IQ_EBIT_HIGH_EST_CIQ" hidden="1">"c4676"</definedName>
    <definedName name="IQ_EBIT_HIGH_EST_REUT" hidden="1">"c5335"</definedName>
    <definedName name="IQ_EBIT_HIGH_GUIDANCE" hidden="1">"c4172"</definedName>
    <definedName name="IQ_EBIT_HIGH_GUIDANCE_CIQ" hidden="1">"c4584"</definedName>
    <definedName name="IQ_EBIT_INT" hidden="1">"c360"</definedName>
    <definedName name="IQ_EBIT_LOW_EST" hidden="1">"c1684"</definedName>
    <definedName name="IQ_EBIT_LOW_EST_CIQ" hidden="1">"c4677"</definedName>
    <definedName name="IQ_EBIT_LOW_EST_REUT" hidden="1">"c5336"</definedName>
    <definedName name="IQ_EBIT_LOW_GUIDANCE" hidden="1">"c4212"</definedName>
    <definedName name="IQ_EBIT_LOW_GUIDANCE_CIQ" hidden="1">"c4624"</definedName>
    <definedName name="IQ_EBIT_MARGIN" hidden="1">"c359"</definedName>
    <definedName name="IQ_EBIT_MEDIAN_EST" hidden="1">"c1682"</definedName>
    <definedName name="IQ_EBIT_MEDIAN_EST_CIQ" hidden="1">"c4675"</definedName>
    <definedName name="IQ_EBIT_MEDIAN_EST_REUT" hidden="1">"c5334"</definedName>
    <definedName name="IQ_EBIT_NUM_EST" hidden="1">"c1685"</definedName>
    <definedName name="IQ_EBIT_NUM_EST_CIQ" hidden="1">"c4678"</definedName>
    <definedName name="IQ_EBIT_NUM_EST_REUT" hidden="1">"c5337"</definedName>
    <definedName name="IQ_EBIT_OVER_IE" hidden="1">"c1369"</definedName>
    <definedName name="IQ_EBIT_SBC_ACT_OR_EST" hidden="1">"c4316"</definedName>
    <definedName name="IQ_EBIT_SBC_ACT_OR_EST_CIQ" hidden="1">"c4841"</definedName>
    <definedName name="IQ_EBIT_SBC_EST" hidden="1">"c4315"</definedName>
    <definedName name="IQ_EBIT_SBC_EST_CIQ" hidden="1">"c4840"</definedName>
    <definedName name="IQ_EBIT_SBC_GUIDANCE" hidden="1">"c4317"</definedName>
    <definedName name="IQ_EBIT_SBC_GUIDANCE_CIQ" hidden="1">"c4842"</definedName>
    <definedName name="IQ_EBIT_SBC_GW_ACT_OR_EST" hidden="1">"c4320"</definedName>
    <definedName name="IQ_EBIT_SBC_GW_ACT_OR_EST_CIQ" hidden="1">"c4845"</definedName>
    <definedName name="IQ_EBIT_SBC_GW_EST" hidden="1">"c4319"</definedName>
    <definedName name="IQ_EBIT_SBC_GW_EST_CIQ" hidden="1">"c4844"</definedName>
    <definedName name="IQ_EBIT_SBC_GW_GUIDANCE" hidden="1">"c4321"</definedName>
    <definedName name="IQ_EBIT_SBC_GW_GUIDANCE_CIQ" hidden="1">"c4846"</definedName>
    <definedName name="IQ_EBIT_SBC_GW_HIGH_EST" hidden="1">"c4322"</definedName>
    <definedName name="IQ_EBIT_SBC_GW_HIGH_EST_CIQ" hidden="1">"c4847"</definedName>
    <definedName name="IQ_EBIT_SBC_GW_HIGH_GUIDANCE" hidden="1">"c4193"</definedName>
    <definedName name="IQ_EBIT_SBC_GW_HIGH_GUIDANCE_CIQ" hidden="1">"c4605"</definedName>
    <definedName name="IQ_EBIT_SBC_GW_LOW_EST" hidden="1">"c4323"</definedName>
    <definedName name="IQ_EBIT_SBC_GW_LOW_EST_CIQ" hidden="1">"c4848"</definedName>
    <definedName name="IQ_EBIT_SBC_GW_LOW_GUIDANCE" hidden="1">"c4233"</definedName>
    <definedName name="IQ_EBIT_SBC_GW_LOW_GUIDANCE_CIQ" hidden="1">"c4645"</definedName>
    <definedName name="IQ_EBIT_SBC_GW_MEDIAN_EST" hidden="1">"c4324"</definedName>
    <definedName name="IQ_EBIT_SBC_GW_MEDIAN_EST_CIQ" hidden="1">"c4849"</definedName>
    <definedName name="IQ_EBIT_SBC_GW_NUM_EST" hidden="1">"c4325"</definedName>
    <definedName name="IQ_EBIT_SBC_GW_NUM_EST_CIQ" hidden="1">"c4850"</definedName>
    <definedName name="IQ_EBIT_SBC_GW_STDDEV_EST" hidden="1">"c4326"</definedName>
    <definedName name="IQ_EBIT_SBC_GW_STDDEV_EST_CIQ" hidden="1">"c4851"</definedName>
    <definedName name="IQ_EBIT_SBC_HIGH_EST" hidden="1">"c4328"</definedName>
    <definedName name="IQ_EBIT_SBC_HIGH_EST_CIQ" hidden="1">"c4853"</definedName>
    <definedName name="IQ_EBIT_SBC_HIGH_GUIDANCE" hidden="1">"c4192"</definedName>
    <definedName name="IQ_EBIT_SBC_HIGH_GUIDANCE_CIQ" hidden="1">"c4604"</definedName>
    <definedName name="IQ_EBIT_SBC_LOW_EST" hidden="1">"c4329"</definedName>
    <definedName name="IQ_EBIT_SBC_LOW_EST_CIQ" hidden="1">"c4854"</definedName>
    <definedName name="IQ_EBIT_SBC_LOW_GUIDANCE" hidden="1">"c4232"</definedName>
    <definedName name="IQ_EBIT_SBC_LOW_GUIDANCE_CIQ" hidden="1">"c4644"</definedName>
    <definedName name="IQ_EBIT_SBC_MEDIAN_EST" hidden="1">"c4330"</definedName>
    <definedName name="IQ_EBIT_SBC_MEDIAN_EST_CIQ" hidden="1">"c4855"</definedName>
    <definedName name="IQ_EBIT_SBC_NUM_EST" hidden="1">"c4331"</definedName>
    <definedName name="IQ_EBIT_SBC_NUM_EST_CIQ" hidden="1">"c4856"</definedName>
    <definedName name="IQ_EBIT_SBC_STDDEV_EST" hidden="1">"c4332"</definedName>
    <definedName name="IQ_EBIT_SBC_STDDEV_EST_CIQ" hidden="1">"c4857"</definedName>
    <definedName name="IQ_EBIT_STDDEV_EST" hidden="1">"c1686"</definedName>
    <definedName name="IQ_EBIT_STDDEV_EST_CIQ" hidden="1">"c4679"</definedName>
    <definedName name="IQ_EBIT_STDDEV_EST_REUT" hidden="1">"c5338"</definedName>
    <definedName name="IQ_EBITA" hidden="1">"c1910"</definedName>
    <definedName name="IQ_EBITA_10YR_ANN_CAGR" hidden="1">"c6184"</definedName>
    <definedName name="IQ_EBITA_10YR_ANN_GROWTH" hidden="1">"c1954"</definedName>
    <definedName name="IQ_EBITA_1YR_ANN_GROWTH" hidden="1">"c1949"</definedName>
    <definedName name="IQ_EBITA_2YR_ANN_CAGR" hidden="1">"c6180"</definedName>
    <definedName name="IQ_EBITA_2YR_ANN_GROWTH" hidden="1">"c1950"</definedName>
    <definedName name="IQ_EBITA_3YR_ANN_CAGR" hidden="1">"c6181"</definedName>
    <definedName name="IQ_EBITA_3YR_ANN_GROWTH" hidden="1">"c1951"</definedName>
    <definedName name="IQ_EBITA_5YR_ANN_CAGR" hidden="1">"c6182"</definedName>
    <definedName name="IQ_EBITA_5YR_ANN_GROWTH" hidden="1">"c1952"</definedName>
    <definedName name="IQ_EBITA_7YR_ANN_CAGR" hidden="1">"c6183"</definedName>
    <definedName name="IQ_EBITA_7YR_ANN_GROWTH" hidden="1">"c1953"</definedName>
    <definedName name="IQ_EBITA_EQ_INC" hidden="1">"c3497"</definedName>
    <definedName name="IQ_EBITA_EQ_INC_EXCL_SBC" hidden="1">"c3501"</definedName>
    <definedName name="IQ_EBITA_EXCL_SBC" hidden="1">"c3080"</definedName>
    <definedName name="IQ_EBITA_MARGIN" hidden="1">"c1963"</definedName>
    <definedName name="IQ_EBITDA" hidden="1">"c361"</definedName>
    <definedName name="IQ_EBITDA_10YR_ANN_CAGR" hidden="1">"c6080"</definedName>
    <definedName name="IQ_EBITDA_10YR_ANN_GROWTH" hidden="1">"c362"</definedName>
    <definedName name="IQ_EBITDA_1YR_ANN_GROWTH" hidden="1">"c363"</definedName>
    <definedName name="IQ_EBITDA_2YR_ANN_CAGR" hidden="1">"c6081"</definedName>
    <definedName name="IQ_EBITDA_2YR_ANN_GROWTH" hidden="1">"c364"</definedName>
    <definedName name="IQ_EBITDA_3YR_ANN_CAGR" hidden="1">"c6082"</definedName>
    <definedName name="IQ_EBITDA_3YR_ANN_GROWTH" hidden="1">"c365"</definedName>
    <definedName name="IQ_EBITDA_5YR_ANN_CAGR" hidden="1">"c6083"</definedName>
    <definedName name="IQ_EBITDA_5YR_ANN_GROWTH" hidden="1">"c366"</definedName>
    <definedName name="IQ_EBITDA_7YR_ANN_CAGR" hidden="1">"c6084"</definedName>
    <definedName name="IQ_EBITDA_7YR_ANN_GROWTH" hidden="1">"c367"</definedName>
    <definedName name="IQ_EBITDA_ACT_OR_EST" hidden="1">"c2215"</definedName>
    <definedName name="IQ_EBITDA_ACT_OR_EST_CIQ" hidden="1">"c5060"</definedName>
    <definedName name="IQ_EBITDA_ACT_OR_EST_REUT" hidden="1">"c5462"</definedName>
    <definedName name="IQ_EBITDA_CAPEX_INT" hidden="1">"c368"</definedName>
    <definedName name="IQ_EBITDA_CAPEX_OVER_TOTAL_IE" hidden="1">"c1370"</definedName>
    <definedName name="IQ_EBITDA_EQ_INC" hidden="1">"c3496"</definedName>
    <definedName name="IQ_EBITDA_EQ_INC_EXCL_SBC" hidden="1">"c3500"</definedName>
    <definedName name="IQ_EBITDA_EST" hidden="1">"c369"</definedName>
    <definedName name="IQ_EBITDA_EST_CIQ" hidden="1">"c3622"</definedName>
    <definedName name="IQ_EBITDA_EST_REUT" hidden="1">"c3640"</definedName>
    <definedName name="IQ_EBITDA_EXCL_SBC" hidden="1">"c3081"</definedName>
    <definedName name="IQ_EBITDA_GUIDANCE" hidden="1">"c4334"</definedName>
    <definedName name="IQ_EBITDA_GUIDANCE_CIQ" hidden="1">"c4859"</definedName>
    <definedName name="IQ_EBITDA_HIGH_EST" hidden="1">"c370"</definedName>
    <definedName name="IQ_EBITDA_HIGH_EST_CIQ" hidden="1">"c3624"</definedName>
    <definedName name="IQ_EBITDA_HIGH_EST_REUT" hidden="1">"c3642"</definedName>
    <definedName name="IQ_EBITDA_HIGH_GUIDANCE" hidden="1">"c4170"</definedName>
    <definedName name="IQ_EBITDA_HIGH_GUIDANCE_CIQ" hidden="1">"c4582"</definedName>
    <definedName name="IQ_EBITDA_INT" hidden="1">"c373"</definedName>
    <definedName name="IQ_EBITDA_LOW_EST" hidden="1">"c371"</definedName>
    <definedName name="IQ_EBITDA_LOW_EST_CIQ" hidden="1">"c3625"</definedName>
    <definedName name="IQ_EBITDA_LOW_EST_REUT" hidden="1">"c3643"</definedName>
    <definedName name="IQ_EBITDA_LOW_GUIDANCE" hidden="1">"c4210"</definedName>
    <definedName name="IQ_EBITDA_LOW_GUIDANCE_CIQ" hidden="1">"c4622"</definedName>
    <definedName name="IQ_EBITDA_MARGIN" hidden="1">"c372"</definedName>
    <definedName name="IQ_EBITDA_MEDIAN_EST" hidden="1">"c1663"</definedName>
    <definedName name="IQ_EBITDA_MEDIAN_EST_CIQ" hidden="1">"c3623"</definedName>
    <definedName name="IQ_EBITDA_MEDIAN_EST_REUT" hidden="1">"c3641"</definedName>
    <definedName name="IQ_EBITDA_NUM_EST" hidden="1">"c374"</definedName>
    <definedName name="IQ_EBITDA_NUM_EST_CIQ" hidden="1">"c3626"</definedName>
    <definedName name="IQ_EBITDA_NUM_EST_REUT" hidden="1">"c3644"</definedName>
    <definedName name="IQ_EBITDA_OVER_TOTAL_IE" hidden="1">"c1371"</definedName>
    <definedName name="IQ_EBITDA_SBC_ACT_OR_EST" hidden="1">"c4337"</definedName>
    <definedName name="IQ_EBITDA_SBC_ACT_OR_EST_CIQ" hidden="1">"c4862"</definedName>
    <definedName name="IQ_EBITDA_SBC_EST" hidden="1">"c4336"</definedName>
    <definedName name="IQ_EBITDA_SBC_EST_CIQ" hidden="1">"c4861"</definedName>
    <definedName name="IQ_EBITDA_SBC_GUIDANCE" hidden="1">"c4338"</definedName>
    <definedName name="IQ_EBITDA_SBC_GUIDANCE_CIQ" hidden="1">"c4863"</definedName>
    <definedName name="IQ_EBITDA_SBC_HIGH_EST" hidden="1">"c4339"</definedName>
    <definedName name="IQ_EBITDA_SBC_HIGH_EST_CIQ" hidden="1">"c4864"</definedName>
    <definedName name="IQ_EBITDA_SBC_HIGH_GUIDANCE" hidden="1">"c4194"</definedName>
    <definedName name="IQ_EBITDA_SBC_HIGH_GUIDANCE_CIQ" hidden="1">"c4606"</definedName>
    <definedName name="IQ_EBITDA_SBC_LOW_EST" hidden="1">"c4340"</definedName>
    <definedName name="IQ_EBITDA_SBC_LOW_EST_CIQ" hidden="1">"c4865"</definedName>
    <definedName name="IQ_EBITDA_SBC_LOW_GUIDANCE" hidden="1">"c4234"</definedName>
    <definedName name="IQ_EBITDA_SBC_LOW_GUIDANCE_CIQ" hidden="1">"c4646"</definedName>
    <definedName name="IQ_EBITDA_SBC_MEDIAN_EST" hidden="1">"c4341"</definedName>
    <definedName name="IQ_EBITDA_SBC_MEDIAN_EST_CIQ" hidden="1">"c4866"</definedName>
    <definedName name="IQ_EBITDA_SBC_NUM_EST" hidden="1">"c4342"</definedName>
    <definedName name="IQ_EBITDA_SBC_NUM_EST_CIQ" hidden="1">"c4867"</definedName>
    <definedName name="IQ_EBITDA_SBC_STDDEV_EST" hidden="1">"c4343"</definedName>
    <definedName name="IQ_EBITDA_SBC_STDDEV_EST_CIQ" hidden="1">"c4868"</definedName>
    <definedName name="IQ_EBITDA_STDDEV_EST" hidden="1">"c375"</definedName>
    <definedName name="IQ_EBITDA_STDDEV_EST_CIQ" hidden="1">"c3627"</definedName>
    <definedName name="IQ_EBITDA_STDDEV_EST_REUT" hidden="1">"c3645"</definedName>
    <definedName name="IQ_EBITDAR" hidden="1">"c2989"</definedName>
    <definedName name="IQ_EBITDAR_EQ_INC" hidden="1">"c3499"</definedName>
    <definedName name="IQ_EBITDAR_EQ_INC_EXCL_SBC" hidden="1">"c3503"</definedName>
    <definedName name="IQ_EBITDAR_EXCL_SBC" hidden="1">"c3083"</definedName>
    <definedName name="IQ_EBIT聴SBC_HIGH_GUIDANCE" hidden="1">"c4192"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" hidden="1">"c6214"</definedName>
    <definedName name="IQ_EBT_EXCL_REIT" hidden="1">"c384"</definedName>
    <definedName name="IQ_EBT_EXCL_UTI" hidden="1">"c385"</definedName>
    <definedName name="IQ_EBT_FIN" hidden="1">"c386"</definedName>
    <definedName name="IQ_EBT_GAAP_GUIDANCE" hidden="1">"c4345"</definedName>
    <definedName name="IQ_EBT_GAAP_GUIDANCE_CIQ" hidden="1">"c4870"</definedName>
    <definedName name="IQ_EBT_GAAP_HIGH_GUIDANCE" hidden="1">"c4174"</definedName>
    <definedName name="IQ_EBT_GAAP_HIGH_GUIDANCE_CIQ" hidden="1">"c4586"</definedName>
    <definedName name="IQ_EBT_GAAP_LOW_GUIDANCE" hidden="1">"c4214"</definedName>
    <definedName name="IQ_EBT_GAAP_LOW_GUIDANCE_CIQ" hidden="1">"c4626"</definedName>
    <definedName name="IQ_EBT_GUIDANCE" hidden="1">"c4346"</definedName>
    <definedName name="IQ_EBT_GUIDANCE_CIQ" hidden="1">"c4871"</definedName>
    <definedName name="IQ_EBT_GW_GUIDANCE" hidden="1">"c4347"</definedName>
    <definedName name="IQ_EBT_GW_GUIDANCE_CIQ" hidden="1">"c4872"</definedName>
    <definedName name="IQ_EBT_GW_HIGH_GUIDANCE" hidden="1">"c4175"</definedName>
    <definedName name="IQ_EBT_GW_HIGH_GUIDANCE_CIQ" hidden="1">"c4587"</definedName>
    <definedName name="IQ_EBT_GW_LOW_GUIDANCE" hidden="1">"c4215"</definedName>
    <definedName name="IQ_EBT_GW_LOW_GUIDANCE_CIQ" hidden="1">"c4627"</definedName>
    <definedName name="IQ_EBT_HIGH_GUIDANCE" hidden="1">"c4173"</definedName>
    <definedName name="IQ_EBT_HIGH_GUIDANCE_CIQ" hidden="1">"c4585"</definedName>
    <definedName name="IQ_EBT_INCL_MARGIN" hidden="1">"c387"</definedName>
    <definedName name="IQ_EBT_INS" hidden="1">"c388"</definedName>
    <definedName name="IQ_EBT_LOW_GUIDANCE" hidden="1">"c4213"</definedName>
    <definedName name="IQ_EBT_LOW_GUIDANCE_CIQ" hidden="1">"c4625"</definedName>
    <definedName name="IQ_EBT_RE" hidden="1">"c6215"</definedName>
    <definedName name="IQ_EBT_REIT" hidden="1">"c389"</definedName>
    <definedName name="IQ_EBT_SBC_ACT_OR_EST" hidden="1">"c4350"</definedName>
    <definedName name="IQ_EBT_SBC_ACT_OR_EST_CIQ" hidden="1">"c4875"</definedName>
    <definedName name="IQ_EBT_SBC_EST" hidden="1">"c4349"</definedName>
    <definedName name="IQ_EBT_SBC_EST_CIQ" hidden="1">"c4874"</definedName>
    <definedName name="IQ_EBT_SBC_GUIDANCE" hidden="1">"c4351"</definedName>
    <definedName name="IQ_EBT_SBC_GUIDANCE_CIQ" hidden="1">"c4876"</definedName>
    <definedName name="IQ_EBT_SBC_GW_ACT_OR_EST" hidden="1">"c4354"</definedName>
    <definedName name="IQ_EBT_SBC_GW_ACT_OR_EST_CIQ" hidden="1">"c4879"</definedName>
    <definedName name="IQ_EBT_SBC_GW_EST" hidden="1">"c4353"</definedName>
    <definedName name="IQ_EBT_SBC_GW_EST_CIQ" hidden="1">"c4878"</definedName>
    <definedName name="IQ_EBT_SBC_GW_GUIDANCE" hidden="1">"c4355"</definedName>
    <definedName name="IQ_EBT_SBC_GW_GUIDANCE_CIQ" hidden="1">"c4880"</definedName>
    <definedName name="IQ_EBT_SBC_GW_HIGH_EST" hidden="1">"c4356"</definedName>
    <definedName name="IQ_EBT_SBC_GW_HIGH_EST_CIQ" hidden="1">"c4881"</definedName>
    <definedName name="IQ_EBT_SBC_GW_HIGH_GUIDANCE" hidden="1">"c4191"</definedName>
    <definedName name="IQ_EBT_SBC_GW_HIGH_GUIDANCE_CIQ" hidden="1">"c4603"</definedName>
    <definedName name="IQ_EBT_SBC_GW_LOW_EST" hidden="1">"c4357"</definedName>
    <definedName name="IQ_EBT_SBC_GW_LOW_EST_CIQ" hidden="1">"c4882"</definedName>
    <definedName name="IQ_EBT_SBC_GW_LOW_GUIDANCE" hidden="1">"c4231"</definedName>
    <definedName name="IQ_EBT_SBC_GW_LOW_GUIDANCE_CIQ" hidden="1">"c4643"</definedName>
    <definedName name="IQ_EBT_SBC_GW_MEDIAN_EST" hidden="1">"c4358"</definedName>
    <definedName name="IQ_EBT_SBC_GW_MEDIAN_EST_CIQ" hidden="1">"c4883"</definedName>
    <definedName name="IQ_EBT_SBC_GW_NUM_EST" hidden="1">"c4359"</definedName>
    <definedName name="IQ_EBT_SBC_GW_NUM_EST_CIQ" hidden="1">"c4884"</definedName>
    <definedName name="IQ_EBT_SBC_GW_STDDEV_EST" hidden="1">"c4360"</definedName>
    <definedName name="IQ_EBT_SBC_GW_STDDEV_EST_CIQ" hidden="1">"c4885"</definedName>
    <definedName name="IQ_EBT_SBC_HIGH_EST" hidden="1">"c4362"</definedName>
    <definedName name="IQ_EBT_SBC_HIGH_EST_CIQ" hidden="1">"c4887"</definedName>
    <definedName name="IQ_EBT_SBC_HIGH_GUIDANCE" hidden="1">"c4190"</definedName>
    <definedName name="IQ_EBT_SBC_HIGH_GUIDANCE_CIQ" hidden="1">"c4602"</definedName>
    <definedName name="IQ_EBT_SBC_LOW_EST" hidden="1">"c4363"</definedName>
    <definedName name="IQ_EBT_SBC_LOW_EST_CIQ" hidden="1">"c4888"</definedName>
    <definedName name="IQ_EBT_SBC_LOW_GUIDANCE" hidden="1">"c4230"</definedName>
    <definedName name="IQ_EBT_SBC_LOW_GUIDANCE_CIQ" hidden="1">"c4642"</definedName>
    <definedName name="IQ_EBT_SBC_MEDIAN_EST" hidden="1">"c4364"</definedName>
    <definedName name="IQ_EBT_SBC_MEDIAN_EST_CIQ" hidden="1">"c4889"</definedName>
    <definedName name="IQ_EBT_SBC_NUM_EST" hidden="1">"c4365"</definedName>
    <definedName name="IQ_EBT_SBC_NUM_EST_CIQ" hidden="1">"c4890"</definedName>
    <definedName name="IQ_EBT_SBC_STDDEV_EST" hidden="1">"c4366"</definedName>
    <definedName name="IQ_EBT_SBC_STDDEV_EST_CIQ" hidden="1">"c4891"</definedName>
    <definedName name="IQ_EBT_UTI" hidden="1">"c390"</definedName>
    <definedName name="IQ_ECS_AUTHORIZED_SHARES" hidden="1">"c5583"</definedName>
    <definedName name="IQ_ECS_AUTHORIZED_SHARES_ABS" hidden="1">"c5597"</definedName>
    <definedName name="IQ_ECS_CONVERT_FACTOR" hidden="1">"c5581"</definedName>
    <definedName name="IQ_ECS_CONVERT_FACTOR_ABS" hidden="1">"c5595"</definedName>
    <definedName name="IQ_ECS_CONVERT_INTO" hidden="1">"c5580"</definedName>
    <definedName name="IQ_ECS_CONVERT_INTO_ABS" hidden="1">"c5594"</definedName>
    <definedName name="IQ_ECS_CONVERT_TYPE" hidden="1">"c5579"</definedName>
    <definedName name="IQ_ECS_CONVERT_TYPE_ABS" hidden="1">"c5593"</definedName>
    <definedName name="IQ_ECS_INACTIVE_DATE" hidden="1">"c5576"</definedName>
    <definedName name="IQ_ECS_INACTIVE_DATE_ABS" hidden="1">"c5590"</definedName>
    <definedName name="IQ_ECS_NAME" hidden="1">"c5571"</definedName>
    <definedName name="IQ_ECS_NAME_ABS" hidden="1">"c5585"</definedName>
    <definedName name="IQ_ECS_NUM_SHAREHOLDERS" hidden="1">"c5584"</definedName>
    <definedName name="IQ_ECS_NUM_SHAREHOLDERS_ABS" hidden="1">"c5598"</definedName>
    <definedName name="IQ_ECS_PAR_VALUE" hidden="1">"c5577"</definedName>
    <definedName name="IQ_ECS_PAR_VALUE_ABS" hidden="1">"c5591"</definedName>
    <definedName name="IQ_ECS_PAR_VALUE_CURRENCY" hidden="1">"c5578"</definedName>
    <definedName name="IQ_ECS_PAR_VALUE_CURRENCY_ABS" hidden="1">"c5592"</definedName>
    <definedName name="IQ_ECS_SHARES_OUT_BS_DATE" hidden="1">"c5572"</definedName>
    <definedName name="IQ_ECS_SHARES_OUT_BS_DATE_ABS" hidden="1">"c5586"</definedName>
    <definedName name="IQ_ECS_SHARES_OUT_FILING_DATE" hidden="1">"c5573"</definedName>
    <definedName name="IQ_ECS_SHARES_OUT_FILING_DATE_ABS" hidden="1">"c5587"</definedName>
    <definedName name="IQ_ECS_START_DATE" hidden="1">"c5575"</definedName>
    <definedName name="IQ_ECS_START_DATE_ABS" hidden="1">"c5589"</definedName>
    <definedName name="IQ_ECS_TYPE" hidden="1">"c5574"</definedName>
    <definedName name="IQ_ECS_TYPE_ABS" hidden="1">"c5588"</definedName>
    <definedName name="IQ_ECS_VOTING" hidden="1">"c5582"</definedName>
    <definedName name="IQ_ECS_VOTING_ABS" hidden="1">"c5596"</definedName>
    <definedName name="IQ_EFFECT_SPECIAL_CHARGE" hidden="1">"c1595"</definedName>
    <definedName name="IQ_EFFECT_TAX_RATE" hidden="1">"c1899"</definedName>
    <definedName name="IQ_EFFICIENCY_RATIO" hidden="1">"c391"</definedName>
    <definedName name="IQ_EFFICIENCY_RATIO_FDIC" hidden="1">"c6736"</definedName>
    <definedName name="IQ_EMPLOYEES" hidden="1">"c392"</definedName>
    <definedName name="IQ_ENTERPRISE_VALUE" hidden="1">"c1348"</definedName>
    <definedName name="IQ_EPS_10YR_ANN_CAGR" hidden="1">"c6085"</definedName>
    <definedName name="IQ_EPS_10YR_ANN_GROWTH" hidden="1">"c393"</definedName>
    <definedName name="IQ_EPS_1YR_ANN_GROWTH" hidden="1">"c394"</definedName>
    <definedName name="IQ_EPS_2YR_ANN_CAGR" hidden="1">"c6086"</definedName>
    <definedName name="IQ_EPS_2YR_ANN_GROWTH" hidden="1">"c395"</definedName>
    <definedName name="IQ_EPS_3YR_ANN_CAGR" hidden="1">"c6087"</definedName>
    <definedName name="IQ_EPS_3YR_ANN_GROWTH" hidden="1">"c396"</definedName>
    <definedName name="IQ_EPS_5YR_ANN_CAGR" hidden="1">"c6088"</definedName>
    <definedName name="IQ_EPS_5YR_ANN_GROWTH" hidden="1">"c397"</definedName>
    <definedName name="IQ_EPS_7YR_ANN_CAGR" hidden="1">"c6089"</definedName>
    <definedName name="IQ_EPS_7YR_ANN_GROWTH" hidden="1">"c398"</definedName>
    <definedName name="IQ_EPS_ACT_OR_EST" hidden="1">"c2213"</definedName>
    <definedName name="IQ_EPS_ACT_OR_EST_CIQ" hidden="1">"c5058"</definedName>
    <definedName name="IQ_EPS_ACT_OR_EST_REUT" hidden="1">"c5460"</definedName>
    <definedName name="IQ_EPS_EST" hidden="1">"c399"</definedName>
    <definedName name="IQ_EPS_EST_BOTTOM_UP" hidden="1">"c5489"</definedName>
    <definedName name="IQ_EPS_EST_BOTTOM_UP_REUT" hidden="1">"c5497"</definedName>
    <definedName name="IQ_EPS_EST_CIQ" hidden="1">"c4994"</definedName>
    <definedName name="IQ_EPS_EST_REUT" hidden="1">"c5453"</definedName>
    <definedName name="IQ_EPS_EXCL_GUIDANCE" hidden="1">"c4368"</definedName>
    <definedName name="IQ_EPS_EXCL_GUIDANCE_CIQ" hidden="1">"c4893"</definedName>
    <definedName name="IQ_EPS_EXCL_HIGH_GUIDANCE" hidden="1">"c4369"</definedName>
    <definedName name="IQ_EPS_EXCL_HIGH_GUIDANCE_CIQ" hidden="1">"c4894"</definedName>
    <definedName name="IQ_EPS_EXCL_LOW_GUIDANCE" hidden="1">"c4204"</definedName>
    <definedName name="IQ_EPS_EXCL_LOW_GUIDANCE_CIQ" hidden="1">"c4616"</definedName>
    <definedName name="IQ_EPS_GAAP_GUIDANCE" hidden="1">"c4370"</definedName>
    <definedName name="IQ_EPS_GAAP_GUIDANCE_CIQ" hidden="1">"c4895"</definedName>
    <definedName name="IQ_EPS_GAAP_HIGH_GUIDANCE" hidden="1">"c4371"</definedName>
    <definedName name="IQ_EPS_GAAP_HIGH_GUIDANCE_CIQ" hidden="1">"c4896"</definedName>
    <definedName name="IQ_EPS_GAAP_LOW_GUIDANCE" hidden="1">"c4205"</definedName>
    <definedName name="IQ_EPS_GAAP_LOW_GUIDANCE_CIQ" hidden="1">"c4617"</definedName>
    <definedName name="IQ_EPS_GW_ACT_OR_EST" hidden="1">"c2223"</definedName>
    <definedName name="IQ_EPS_GW_ACT_OR_EST_CIQ" hidden="1">"c5066"</definedName>
    <definedName name="IQ_EPS_GW_ACT_OR_EST_REUT" hidden="1">"c5469"</definedName>
    <definedName name="IQ_EPS_GW_EST" hidden="1">"c1737"</definedName>
    <definedName name="IQ_EPS_GW_EST_BOTTOM_UP" hidden="1">"c5491"</definedName>
    <definedName name="IQ_EPS_GW_EST_BOTTOM_UP_REUT" hidden="1">"c5499"</definedName>
    <definedName name="IQ_EPS_GW_EST_CIQ" hidden="1">"c4723"</definedName>
    <definedName name="IQ_EPS_GW_EST_REUT" hidden="1">"c5389"</definedName>
    <definedName name="IQ_EPS_GW_GUIDANCE" hidden="1">"c4372"</definedName>
    <definedName name="IQ_EPS_GW_GUIDANCE_CIQ" hidden="1">"c4897"</definedName>
    <definedName name="IQ_EPS_GW_HIGH_EST" hidden="1">"c1739"</definedName>
    <definedName name="IQ_EPS_GW_HIGH_EST_CIQ" hidden="1">"c4725"</definedName>
    <definedName name="IQ_EPS_GW_HIGH_EST_REUT" hidden="1">"c5391"</definedName>
    <definedName name="IQ_EPS_GW_HIGH_GUIDANCE" hidden="1">"c4373"</definedName>
    <definedName name="IQ_EPS_GW_HIGH_GUIDANCE_CIQ" hidden="1">"c4898"</definedName>
    <definedName name="IQ_EPS_GW_LOW_EST" hidden="1">"c1740"</definedName>
    <definedName name="IQ_EPS_GW_LOW_EST_CIQ" hidden="1">"c4726"</definedName>
    <definedName name="IQ_EPS_GW_LOW_EST_REUT" hidden="1">"c5392"</definedName>
    <definedName name="IQ_EPS_GW_LOW_GUIDANCE" hidden="1">"c4206"</definedName>
    <definedName name="IQ_EPS_GW_LOW_GUIDANCE_CIQ" hidden="1">"c4618"</definedName>
    <definedName name="IQ_EPS_GW_MEDIAN_EST" hidden="1">"c1738"</definedName>
    <definedName name="IQ_EPS_GW_MEDIAN_EST_CIQ" hidden="1">"c4724"</definedName>
    <definedName name="IQ_EPS_GW_MEDIAN_EST_REUT" hidden="1">"c5390"</definedName>
    <definedName name="IQ_EPS_GW_NUM_EST" hidden="1">"c1741"</definedName>
    <definedName name="IQ_EPS_GW_NUM_EST_CIQ" hidden="1">"c4727"</definedName>
    <definedName name="IQ_EPS_GW_NUM_EST_REUT" hidden="1">"c5393"</definedName>
    <definedName name="IQ_EPS_GW_STDDEV_EST" hidden="1">"c1742"</definedName>
    <definedName name="IQ_EPS_GW_STDDEV_EST_CIQ" hidden="1">"c4728"</definedName>
    <definedName name="IQ_EPS_GW_STDDEV_EST_REUT" hidden="1">"c5394"</definedName>
    <definedName name="IQ_EPS_HIGH_EST" hidden="1">"c400"</definedName>
    <definedName name="IQ_EPS_HIGH_EST_CIQ" hidden="1">"c4995"</definedName>
    <definedName name="IQ_EPS_HIGH_EST_REUT" hidden="1">"c5454"</definedName>
    <definedName name="IQ_EPS_LOW_EST" hidden="1">"c401"</definedName>
    <definedName name="IQ_EPS_LOW_EST_CIQ" hidden="1">"c4996"</definedName>
    <definedName name="IQ_EPS_LOW_EST_REUT" hidden="1">"c5455"</definedName>
    <definedName name="IQ_EPS_MEDIAN_EST" hidden="1">"c1661"</definedName>
    <definedName name="IQ_EPS_MEDIAN_EST_CIQ" hidden="1">"c4997"</definedName>
    <definedName name="IQ_EPS_MEDIAN_EST_REUT" hidden="1">"c5456"</definedName>
    <definedName name="IQ_EPS_NORM" hidden="1">"c1902"</definedName>
    <definedName name="IQ_EPS_NORM_EST" hidden="1">"c2226"</definedName>
    <definedName name="IQ_EPS_NORM_EST_BOTTOM_UP" hidden="1">"c5490"</definedName>
    <definedName name="IQ_EPS_NORM_EST_BOTTOM_UP_REUT" hidden="1">"c5498"</definedName>
    <definedName name="IQ_EPS_NORM_EST_CIQ" hidden="1">"c4667"</definedName>
    <definedName name="IQ_EPS_NORM_EST_REUT" hidden="1">"c5326"</definedName>
    <definedName name="IQ_EPS_NORM_HIGH_EST" hidden="1">"c2228"</definedName>
    <definedName name="IQ_EPS_NORM_HIGH_EST_CIQ" hidden="1">"c4669"</definedName>
    <definedName name="IQ_EPS_NORM_HIGH_EST_REUT" hidden="1">"c5328"</definedName>
    <definedName name="IQ_EPS_NORM_LOW_EST" hidden="1">"c2229"</definedName>
    <definedName name="IQ_EPS_NORM_LOW_EST_CIQ" hidden="1">"c4670"</definedName>
    <definedName name="IQ_EPS_NORM_LOW_EST_REUT" hidden="1">"c5329"</definedName>
    <definedName name="IQ_EPS_NORM_MEDIAN_EST" hidden="1">"c2227"</definedName>
    <definedName name="IQ_EPS_NORM_MEDIAN_EST_CIQ" hidden="1">"c4668"</definedName>
    <definedName name="IQ_EPS_NORM_MEDIAN_EST_REUT" hidden="1">"c5327"</definedName>
    <definedName name="IQ_EPS_NORM_NUM_EST" hidden="1">"c2230"</definedName>
    <definedName name="IQ_EPS_NORM_NUM_EST_CIQ" hidden="1">"c4671"</definedName>
    <definedName name="IQ_EPS_NORM_NUM_EST_REUT" hidden="1">"c5330"</definedName>
    <definedName name="IQ_EPS_NORM_STDDEV_EST" hidden="1">"c2231"</definedName>
    <definedName name="IQ_EPS_NORM_STDDEV_EST_CIQ" hidden="1">"c4672"</definedName>
    <definedName name="IQ_EPS_NORM_STDDEV_EST_REUT" hidden="1">"c5331"</definedName>
    <definedName name="IQ_EPS_NUM_EST" hidden="1">"c402"</definedName>
    <definedName name="IQ_EPS_NUM_EST_CIQ" hidden="1">"c4992"</definedName>
    <definedName name="IQ_EPS_NUM_EST_REUT" hidden="1">"c5451"</definedName>
    <definedName name="IQ_EPS_REPORT_ACT_OR_EST" hidden="1">"c2224"</definedName>
    <definedName name="IQ_EPS_REPORT_ACT_OR_EST_CIQ" hidden="1">"c5067"</definedName>
    <definedName name="IQ_EPS_REPORT_ACT_OR_EST_REUT" hidden="1">"c5470"</definedName>
    <definedName name="IQ_EPS_REPORTED_EST" hidden="1">"c1744"</definedName>
    <definedName name="IQ_EPS_REPORTED_EST_BOTTOM_UP" hidden="1">"c5492"</definedName>
    <definedName name="IQ_EPS_REPORTED_EST_BOTTOM_UP_REUT" hidden="1">"c5500"</definedName>
    <definedName name="IQ_EPS_REPORTED_EST_CIQ" hidden="1">"c4730"</definedName>
    <definedName name="IQ_EPS_REPORTED_EST_REUT" hidden="1">"c5396"</definedName>
    <definedName name="IQ_EPS_REPORTED_HIGH_EST" hidden="1">"c1746"</definedName>
    <definedName name="IQ_EPS_REPORTED_HIGH_EST_CIQ" hidden="1">"c4732"</definedName>
    <definedName name="IQ_EPS_REPORTED_HIGH_EST_REUT" hidden="1">"c5398"</definedName>
    <definedName name="IQ_EPS_REPORTED_LOW_EST" hidden="1">"c1747"</definedName>
    <definedName name="IQ_EPS_REPORTED_LOW_EST_CIQ" hidden="1">"c4733"</definedName>
    <definedName name="IQ_EPS_REPORTED_LOW_EST_REUT" hidden="1">"c5399"</definedName>
    <definedName name="IQ_EPS_REPORTED_MEDIAN_EST" hidden="1">"c1745"</definedName>
    <definedName name="IQ_EPS_REPORTED_MEDIAN_EST_CIQ" hidden="1">"c4731"</definedName>
    <definedName name="IQ_EPS_REPORTED_MEDIAN_EST_REUT" hidden="1">"c5397"</definedName>
    <definedName name="IQ_EPS_REPORTED_NUM_EST" hidden="1">"c1748"</definedName>
    <definedName name="IQ_EPS_REPORTED_NUM_EST_CIQ" hidden="1">"c4734"</definedName>
    <definedName name="IQ_EPS_REPORTED_NUM_EST_REUT" hidden="1">"c5400"</definedName>
    <definedName name="IQ_EPS_REPORTED_STDDEV_EST" hidden="1">"c1749"</definedName>
    <definedName name="IQ_EPS_REPORTED_STDDEV_EST_CIQ" hidden="1">"c4735"</definedName>
    <definedName name="IQ_EPS_REPORTED_STDDEV_EST_REUT" hidden="1">"c5401"</definedName>
    <definedName name="IQ_EPS_SBC_ACT_OR_EST" hidden="1">"c4376"</definedName>
    <definedName name="IQ_EPS_SBC_ACT_OR_EST_CIQ" hidden="1">"c4901"</definedName>
    <definedName name="IQ_EPS_SBC_EST" hidden="1">"c4375"</definedName>
    <definedName name="IQ_EPS_SBC_EST_CIQ" hidden="1">"c4900"</definedName>
    <definedName name="IQ_EPS_SBC_GUIDANCE" hidden="1">"c4377"</definedName>
    <definedName name="IQ_EPS_SBC_GUIDANCE_CIQ" hidden="1">"c4902"</definedName>
    <definedName name="IQ_EPS_SBC_GW_ACT_OR_EST" hidden="1">"c4380"</definedName>
    <definedName name="IQ_EPS_SBC_GW_ACT_OR_EST_CIQ" hidden="1">"c4905"</definedName>
    <definedName name="IQ_EPS_SBC_GW_EST" hidden="1">"c4379"</definedName>
    <definedName name="IQ_EPS_SBC_GW_EST_CIQ" hidden="1">"c4904"</definedName>
    <definedName name="IQ_EPS_SBC_GW_GUIDANCE" hidden="1">"c4381"</definedName>
    <definedName name="IQ_EPS_SBC_GW_GUIDANCE_CIQ" hidden="1">"c4906"</definedName>
    <definedName name="IQ_EPS_SBC_GW_HIGH_EST" hidden="1">"c4382"</definedName>
    <definedName name="IQ_EPS_SBC_GW_HIGH_EST_CIQ" hidden="1">"c4907"</definedName>
    <definedName name="IQ_EPS_SBC_GW_HIGH_GUIDANCE" hidden="1">"c4189"</definedName>
    <definedName name="IQ_EPS_SBC_GW_HIGH_GUIDANCE_CIQ" hidden="1">"c4601"</definedName>
    <definedName name="IQ_EPS_SBC_GW_LOW_EST" hidden="1">"c4383"</definedName>
    <definedName name="IQ_EPS_SBC_GW_LOW_EST_CIQ" hidden="1">"c4908"</definedName>
    <definedName name="IQ_EPS_SBC_GW_LOW_GUIDANCE" hidden="1">"c4229"</definedName>
    <definedName name="IQ_EPS_SBC_GW_LOW_GUIDANCE_CIQ" hidden="1">"c4641"</definedName>
    <definedName name="IQ_EPS_SBC_GW_MEDIAN_EST" hidden="1">"c4384"</definedName>
    <definedName name="IQ_EPS_SBC_GW_MEDIAN_EST_CIQ" hidden="1">"c4909"</definedName>
    <definedName name="IQ_EPS_SBC_GW_NUM_EST" hidden="1">"c4385"</definedName>
    <definedName name="IQ_EPS_SBC_GW_NUM_EST_CIQ" hidden="1">"c4910"</definedName>
    <definedName name="IQ_EPS_SBC_GW_STDDEV_EST" hidden="1">"c4386"</definedName>
    <definedName name="IQ_EPS_SBC_GW_STDDEV_EST_CIQ" hidden="1">"c4911"</definedName>
    <definedName name="IQ_EPS_SBC_HIGH_EST" hidden="1">"c4388"</definedName>
    <definedName name="IQ_EPS_SBC_HIGH_EST_CIQ" hidden="1">"c4913"</definedName>
    <definedName name="IQ_EPS_SBC_HIGH_GUIDANCE" hidden="1">"c4188"</definedName>
    <definedName name="IQ_EPS_SBC_HIGH_GUIDANCE_CIQ" hidden="1">"c4600"</definedName>
    <definedName name="IQ_EPS_SBC_LOW_EST" hidden="1">"c4389"</definedName>
    <definedName name="IQ_EPS_SBC_LOW_EST_CIQ" hidden="1">"c4914"</definedName>
    <definedName name="IQ_EPS_SBC_LOW_GUIDANCE" hidden="1">"c4228"</definedName>
    <definedName name="IQ_EPS_SBC_LOW_GUIDANCE_CIQ" hidden="1">"c4640"</definedName>
    <definedName name="IQ_EPS_SBC_MEDIAN_EST" hidden="1">"c4390"</definedName>
    <definedName name="IQ_EPS_SBC_MEDIAN_EST_CIQ" hidden="1">"c4915"</definedName>
    <definedName name="IQ_EPS_SBC_NUM_EST" hidden="1">"c4391"</definedName>
    <definedName name="IQ_EPS_SBC_NUM_EST_CIQ" hidden="1">"c4916"</definedName>
    <definedName name="IQ_EPS_SBC_STDDEV_EST" hidden="1">"c4392"</definedName>
    <definedName name="IQ_EPS_SBC_STDDEV_EST_CIQ" hidden="1">"c4917"</definedName>
    <definedName name="IQ_EPS_STDDEV_EST" hidden="1">"c403"</definedName>
    <definedName name="IQ_EPS_STDDEV_EST_CIQ" hidden="1">"c4993"</definedName>
    <definedName name="IQ_EPS_STDDEV_EST_REUT" hidden="1">"c5452"</definedName>
    <definedName name="IQ_EQUITY_AFFIL" hidden="1">"c1451"</definedName>
    <definedName name="IQ_EQUITY_CAPITAL_ASSETS_FDIC" hidden="1">"c6744"</definedName>
    <definedName name="IQ_EQUITY_FDIC" hidden="1">"c6353"</definedName>
    <definedName name="IQ_EQUITY_METHOD" hidden="1">"c404"</definedName>
    <definedName name="IQ_EQUITY_SECURITIES_FDIC" hidden="1">"c6304"</definedName>
    <definedName name="IQ_EQUITY_SECURITY_EXPOSURES_FDIC" hidden="1">"c6664"</definedName>
    <definedName name="IQ_EQV_OVER_BV" hidden="1">"c1596"</definedName>
    <definedName name="IQ_EQV_OVER_LTM_PRETAX_INC" hidden="1">"c1390"</definedName>
    <definedName name="IQ_ESOP_DEBT" hidden="1">"c1597"</definedName>
    <definedName name="IQ_EST_ACT_BV" hidden="1">"c5630"</definedName>
    <definedName name="IQ_EST_ACT_BV_CIQ" hidden="1">"c4743"</definedName>
    <definedName name="IQ_EST_ACT_BV_REUT" hidden="1">"c5409"</definedName>
    <definedName name="IQ_EST_ACT_BV_SHARE" hidden="1">"c3549"</definedName>
    <definedName name="IQ_EST_ACT_BV_SHARE_CIQ" hidden="1">"c3806"</definedName>
    <definedName name="IQ_EST_ACT_BV_SHARE_REUT" hidden="1">"c5445"</definedName>
    <definedName name="IQ_EST_ACT_CAPEX" hidden="1">"c3546"</definedName>
    <definedName name="IQ_EST_ACT_CAPEX_CIQ" hidden="1">"c3813"</definedName>
    <definedName name="IQ_EST_ACT_CAPEX_REUT" hidden="1">"c3975"</definedName>
    <definedName name="IQ_EST_ACT_CASH_EPS" hidden="1">"c5637"</definedName>
    <definedName name="IQ_EST_ACT_CASH_FLOW" hidden="1">"c4394"</definedName>
    <definedName name="IQ_EST_ACT_CASH_FLOW_CIQ" hidden="1">"c4919"</definedName>
    <definedName name="IQ_EST_ACT_CASH_OPER" hidden="1">"c4395"</definedName>
    <definedName name="IQ_EST_ACT_CASH_OPER_CIQ" hidden="1">"c4920"</definedName>
    <definedName name="IQ_EST_ACT_CFPS" hidden="1">"c1673"</definedName>
    <definedName name="IQ_EST_ACT_CFPS_CIQ" hidden="1">"c3681"</definedName>
    <definedName name="IQ_EST_ACT_CFPS_REUT" hidden="1">"c3850"</definedName>
    <definedName name="IQ_EST_ACT_DISTRIBUTABLE_CASH" hidden="1">"c4396"</definedName>
    <definedName name="IQ_EST_ACT_DISTRIBUTABLE_CASH_CIQ" hidden="1">"c4921"</definedName>
    <definedName name="IQ_EST_ACT_DISTRIBUTABLE_CASH_SHARE" hidden="1">"c4397"</definedName>
    <definedName name="IQ_EST_ACT_DISTRIBUTABLE_CASH_SHARE_CIQ" hidden="1">"c4922"</definedName>
    <definedName name="IQ_EST_ACT_DPS" hidden="1">"c1680"</definedName>
    <definedName name="IQ_EST_ACT_DPS_CIQ" hidden="1">"c3688"</definedName>
    <definedName name="IQ_EST_ACT_DPS_REUT" hidden="1">"c3857"</definedName>
    <definedName name="IQ_EST_ACT_EBIT" hidden="1">"c1687"</definedName>
    <definedName name="IQ_EST_ACT_EBIT_CIQ" hidden="1">"c4680"</definedName>
    <definedName name="IQ_EST_ACT_EBIT_GW" hidden="1">"c4398"</definedName>
    <definedName name="IQ_EST_ACT_EBIT_GW_CIQ" hidden="1">"c4923"</definedName>
    <definedName name="IQ_EST_ACT_EBIT_REUT" hidden="1">"c5339"</definedName>
    <definedName name="IQ_EST_ACT_EBIT_SBC" hidden="1">"c4399"</definedName>
    <definedName name="IQ_EST_ACT_EBIT_SBC_CIQ" hidden="1">"c4924"</definedName>
    <definedName name="IQ_EST_ACT_EBIT_SBC_GW" hidden="1">"c4400"</definedName>
    <definedName name="IQ_EST_ACT_EBIT_SBC_GW_CIQ" hidden="1">"c4925"</definedName>
    <definedName name="IQ_EST_ACT_EBITDA" hidden="1">"c1664"</definedName>
    <definedName name="IQ_EST_ACT_EBITDA_CIQ" hidden="1">"c3667"</definedName>
    <definedName name="IQ_EST_ACT_EBITDA_REUT" hidden="1">"c3836"</definedName>
    <definedName name="IQ_EST_ACT_EBITDA_SBC" hidden="1">"c4401"</definedName>
    <definedName name="IQ_EST_ACT_EBITDA_SBC_CIQ" hidden="1">"c4926"</definedName>
    <definedName name="IQ_EST_ACT_EBT_SBC" hidden="1">"c4402"</definedName>
    <definedName name="IQ_EST_ACT_EBT_SBC_CIQ" hidden="1">"c4927"</definedName>
    <definedName name="IQ_EST_ACT_EBT_SBC_GW" hidden="1">"c4403"</definedName>
    <definedName name="IQ_EST_ACT_EBT_SBC_GW_CIQ" hidden="1">"c4928"</definedName>
    <definedName name="IQ_EST_ACT_EPS" hidden="1">"c1648"</definedName>
    <definedName name="IQ_EST_ACT_EPS_CIQ" hidden="1">"c4998"</definedName>
    <definedName name="IQ_EST_ACT_EPS_GW" hidden="1">"c1743"</definedName>
    <definedName name="IQ_EST_ACT_EPS_GW_CIQ" hidden="1">"c4729"</definedName>
    <definedName name="IQ_EST_ACT_EPS_GW_REUT" hidden="1">"c5395"</definedName>
    <definedName name="IQ_EST_ACT_EPS_NORM" hidden="1">"c2232"</definedName>
    <definedName name="IQ_EST_ACT_EPS_NORM_CIQ" hidden="1">"c4673"</definedName>
    <definedName name="IQ_EST_ACT_EPS_NORM_REUT" hidden="1">"c5332"</definedName>
    <definedName name="IQ_EST_ACT_EPS_REPORTED" hidden="1">"c1750"</definedName>
    <definedName name="IQ_EST_ACT_EPS_REPORTED_CIQ" hidden="1">"c4736"</definedName>
    <definedName name="IQ_EST_ACT_EPS_REPORTED_REUT" hidden="1">"c5402"</definedName>
    <definedName name="IQ_EST_ACT_EPS_REUT" hidden="1">"c5457"</definedName>
    <definedName name="IQ_EST_ACT_EPS_SBC" hidden="1">"c4404"</definedName>
    <definedName name="IQ_EST_ACT_EPS_SBC_CIQ" hidden="1">"c4929"</definedName>
    <definedName name="IQ_EST_ACT_EPS_SBC_GW" hidden="1">"c4405"</definedName>
    <definedName name="IQ_EST_ACT_EPS_SBC_GW_CIQ" hidden="1">"c4930"</definedName>
    <definedName name="IQ_EST_ACT_FFO" hidden="1">"c1666"</definedName>
    <definedName name="IQ_EST_ACT_FFO_ADJ" hidden="1">"c4406"</definedName>
    <definedName name="IQ_EST_ACT_FFO_ADJ_CIQ" hidden="1">"c4931"</definedName>
    <definedName name="IQ_EST_ACT_FFO_CIQ" hidden="1">"c3674"</definedName>
    <definedName name="IQ_EST_ACT_FFO_REUT" hidden="1">"c3843"</definedName>
    <definedName name="IQ_EST_ACT_FFO_SHARE" hidden="1">"c4407"</definedName>
    <definedName name="IQ_EST_ACT_FFO_SHARE_CIQ" hidden="1">"c4932"</definedName>
    <definedName name="IQ_EST_ACT_GROSS_MARGIN" hidden="1">"c5553"</definedName>
    <definedName name="IQ_EST_ACT_MAINT_CAPEX" hidden="1">"c4408"</definedName>
    <definedName name="IQ_EST_ACT_MAINT_CAPEX_CIQ" hidden="1">"c4933"</definedName>
    <definedName name="IQ_EST_ACT_NAV" hidden="1">"c1757"</definedName>
    <definedName name="IQ_EST_ACT_NAV_SHARE" hidden="1">"c5608"</definedName>
    <definedName name="IQ_EST_ACT_NET_DEBT" hidden="1">"c3545"</definedName>
    <definedName name="IQ_EST_ACT_NET_DEBT_CIQ" hidden="1">"c3820"</definedName>
    <definedName name="IQ_EST_ACT_NET_DEBT_REUT" hidden="1">"c5446"</definedName>
    <definedName name="IQ_EST_ACT_NI" hidden="1">"c1722"</definedName>
    <definedName name="IQ_EST_ACT_NI_CIQ" hidden="1">"c4708"</definedName>
    <definedName name="IQ_EST_ACT_NI_GW" hidden="1">"c1729"</definedName>
    <definedName name="IQ_EST_ACT_NI_GW_CIQ" hidden="1">"c4715"</definedName>
    <definedName name="IQ_EST_ACT_NI_GW_REUT" hidden="1">"c5381"</definedName>
    <definedName name="IQ_EST_ACT_NI_REPORTED" hidden="1">"c1736"</definedName>
    <definedName name="IQ_EST_ACT_NI_REPORTED_CIQ" hidden="1">"c4722"</definedName>
    <definedName name="IQ_EST_ACT_NI_REPORTED_REUT" hidden="1">"c5388"</definedName>
    <definedName name="IQ_EST_ACT_NI_REUT" hidden="1">"c5374"</definedName>
    <definedName name="IQ_EST_ACT_NI_SBC" hidden="1">"c4409"</definedName>
    <definedName name="IQ_EST_ACT_NI_SBC_CIQ" hidden="1">"c4934"</definedName>
    <definedName name="IQ_EST_ACT_NI_SBC_GW" hidden="1">"c4410"</definedName>
    <definedName name="IQ_EST_ACT_NI_SBC_GW_CIQ" hidden="1">"c4935"</definedName>
    <definedName name="IQ_EST_ACT_OPER_INC" hidden="1">"c1694"</definedName>
    <definedName name="IQ_EST_ACT_OPER_INC_REUT" hidden="1">"c5346"</definedName>
    <definedName name="IQ_EST_ACT_PRETAX_GW_INC" hidden="1">"c1708"</definedName>
    <definedName name="IQ_EST_ACT_PRETAX_GW_INC_CIQ" hidden="1">"c4694"</definedName>
    <definedName name="IQ_EST_ACT_PRETAX_GW_INC_REUT" hidden="1">"c5360"</definedName>
    <definedName name="IQ_EST_ACT_PRETAX_INC" hidden="1">"c1701"</definedName>
    <definedName name="IQ_EST_ACT_PRETAX_INC_CIQ" hidden="1">"c4687"</definedName>
    <definedName name="IQ_EST_ACT_PRETAX_INC_REUT" hidden="1">"c5353"</definedName>
    <definedName name="IQ_EST_ACT_PRETAX_REPORT_INC" hidden="1">"c1715"</definedName>
    <definedName name="IQ_EST_ACT_PRETAX_REPORT_INC_CIQ" hidden="1">"c4701"</definedName>
    <definedName name="IQ_EST_ACT_PRETAX_REPORT_INC_REUT" hidden="1">"c5367"</definedName>
    <definedName name="IQ_EST_ACT_RECURRING_PROFIT" hidden="1">"c4411"</definedName>
    <definedName name="IQ_EST_ACT_RECURRING_PROFIT_CIQ" hidden="1">"c4936"</definedName>
    <definedName name="IQ_EST_ACT_RECURRING_PROFIT_SHARE" hidden="1">"c4412"</definedName>
    <definedName name="IQ_EST_ACT_RECURRING_PROFIT_SHARE_CIQ" hidden="1">"c4937"</definedName>
    <definedName name="IQ_EST_ACT_RETURN_ASSETS" hidden="1">"c3547"</definedName>
    <definedName name="IQ_EST_ACT_RETURN_ASSETS_REUT" hidden="1">"c3996"</definedName>
    <definedName name="IQ_EST_ACT_RETURN_EQUITY" hidden="1">"c3548"</definedName>
    <definedName name="IQ_EST_ACT_RETURN_EQUITY_REUT" hidden="1">"c3989"</definedName>
    <definedName name="IQ_EST_ACT_REV" hidden="1">"c2113"</definedName>
    <definedName name="IQ_EST_ACT_REV_CIQ" hidden="1">"c3666"</definedName>
    <definedName name="IQ_EST_ACT_REV_REUT" hidden="1">"c3835"</definedName>
    <definedName name="IQ_EST_BV_DIFF_REUT" hidden="1">"c5433"</definedName>
    <definedName name="IQ_EST_BV_SHARE_DIFF" hidden="1">"c4147"</definedName>
    <definedName name="IQ_EST_BV_SHARE_DIFF_CIQ" hidden="1">"c4559"</definedName>
    <definedName name="IQ_EST_BV_SHARE_SURPRISE_PERCENT" hidden="1">"c4148"</definedName>
    <definedName name="IQ_EST_BV_SHARE_SURPRISE_PERCENT_CIQ" hidden="1">"c4560"</definedName>
    <definedName name="IQ_EST_BV_SURPRISE_PERCENT_REUT" hidden="1">"c5434"</definedName>
    <definedName name="IQ_EST_CAPEX_DIFF" hidden="1">"c4149"</definedName>
    <definedName name="IQ_EST_CAPEX_DIFF_CIQ" hidden="1">"c4561"</definedName>
    <definedName name="IQ_EST_CAPEX_GROWTH_1YR" hidden="1">"c3588"</definedName>
    <definedName name="IQ_EST_CAPEX_GROWTH_1YR_CIQ" hidden="1">"c4972"</definedName>
    <definedName name="IQ_EST_CAPEX_GROWTH_1YR_REUT" hidden="1">"c5447"</definedName>
    <definedName name="IQ_EST_CAPEX_GROWTH_2YR" hidden="1">"c3589"</definedName>
    <definedName name="IQ_EST_CAPEX_GROWTH_2YR_CIQ" hidden="1">"c4973"</definedName>
    <definedName name="IQ_EST_CAPEX_GROWTH_2YR_REUT" hidden="1">"c5448"</definedName>
    <definedName name="IQ_EST_CAPEX_GROWTH_Q_1YR" hidden="1">"c3590"</definedName>
    <definedName name="IQ_EST_CAPEX_GROWTH_Q_1YR_CIQ" hidden="1">"c4974"</definedName>
    <definedName name="IQ_EST_CAPEX_GROWTH_Q_1YR_REUT" hidden="1">"c5449"</definedName>
    <definedName name="IQ_EST_CAPEX_SEQ_GROWTH_Q" hidden="1">"c3591"</definedName>
    <definedName name="IQ_EST_CAPEX_SEQ_GROWTH_Q_CIQ" hidden="1">"c4975"</definedName>
    <definedName name="IQ_EST_CAPEX_SEQ_GROWTH_Q_REUT" hidden="1">"c5450"</definedName>
    <definedName name="IQ_EST_CAPEX_SURPRISE_PERCENT" hidden="1">"c4151"</definedName>
    <definedName name="IQ_EST_CAPEX_SURPRISE_PERCENT_CIQ" hidden="1">"c4563"</definedName>
    <definedName name="IQ_EST_CASH_FLOW_DIFF" hidden="1">"c4152"</definedName>
    <definedName name="IQ_EST_CASH_FLOW_DIFF_CIQ" hidden="1">"c4564"</definedName>
    <definedName name="IQ_EST_CASH_FLOW_SURPRISE_PERCENT" hidden="1">"c4161"</definedName>
    <definedName name="IQ_EST_CASH_FLOW_SURPRISE_PERCENT_CIQ" hidden="1">"c4573"</definedName>
    <definedName name="IQ_EST_CASH_OPER_DIFF" hidden="1">"c4162"</definedName>
    <definedName name="IQ_EST_CASH_OPER_DIFF_CIQ" hidden="1">"c4574"</definedName>
    <definedName name="IQ_EST_CASH_OPER_SURPRISE_PERCENT" hidden="1">"c4248"</definedName>
    <definedName name="IQ_EST_CASH_OPER_SURPRISE_PERCENT_CIQ" hidden="1">"c4774"</definedName>
    <definedName name="IQ_EST_CFPS_DIFF" hidden="1">"c1871"</definedName>
    <definedName name="IQ_EST_CFPS_DIFF_CIQ" hidden="1">"c3723"</definedName>
    <definedName name="IQ_EST_CFPS_DIFF_REUT" hidden="1">"c3892"</definedName>
    <definedName name="IQ_EST_CFPS_GROWTH_1YR" hidden="1">"c1774"</definedName>
    <definedName name="IQ_EST_CFPS_GROWTH_1YR_CIQ" hidden="1">"c3709"</definedName>
    <definedName name="IQ_EST_CFPS_GROWTH_1YR_REUT" hidden="1">"c3878"</definedName>
    <definedName name="IQ_EST_CFPS_GROWTH_2YR" hidden="1">"c1775"</definedName>
    <definedName name="IQ_EST_CFPS_GROWTH_2YR_CIQ" hidden="1">"c3710"</definedName>
    <definedName name="IQ_EST_CFPS_GROWTH_2YR_REUT" hidden="1">"c3879"</definedName>
    <definedName name="IQ_EST_CFPS_GROWTH_Q_1YR" hidden="1">"c1776"</definedName>
    <definedName name="IQ_EST_CFPS_GROWTH_Q_1YR_CIQ" hidden="1">"c3711"</definedName>
    <definedName name="IQ_EST_CFPS_GROWTH_Q_1YR_REUT" hidden="1">"c3880"</definedName>
    <definedName name="IQ_EST_CFPS_SEQ_GROWTH_Q" hidden="1">"c1777"</definedName>
    <definedName name="IQ_EST_CFPS_SEQ_GROWTH_Q_CIQ" hidden="1">"c3712"</definedName>
    <definedName name="IQ_EST_CFPS_SEQ_GROWTH_Q_REUT" hidden="1">"c3881"</definedName>
    <definedName name="IQ_EST_CFPS_SURPRISE_PERCENT" hidden="1">"c1872"</definedName>
    <definedName name="IQ_EST_CFPS_SURPRISE_PERCENT_CIQ" hidden="1">"c3724"</definedName>
    <definedName name="IQ_EST_CFPS_SURPRISE_PERCENT_REUT" hidden="1">"c3893"</definedName>
    <definedName name="IQ_EST_CURRENCY" hidden="1">"c2140"</definedName>
    <definedName name="IQ_EST_CURRENCY_CIQ" hidden="1">"c4769"</definedName>
    <definedName name="IQ_EST_CURRENCY_REUT" hidden="1">"c5437"</definedName>
    <definedName name="IQ_EST_DATE" hidden="1">"c1634"</definedName>
    <definedName name="IQ_EST_DATE_CIQ" hidden="1">"c4770"</definedName>
    <definedName name="IQ_EST_DATE_REUT" hidden="1">"c5438"</definedName>
    <definedName name="IQ_EST_DISTRIBUTABLE_CASH_DIFF" hidden="1">"c4276"</definedName>
    <definedName name="IQ_EST_DISTRIBUTABLE_CASH_DIFF_CIQ" hidden="1">"c4801"</definedName>
    <definedName name="IQ_EST_DISTRIBUTABLE_CASH_GROWTH_1YR" hidden="1">"c4413"</definedName>
    <definedName name="IQ_EST_DISTRIBUTABLE_CASH_GROWTH_1YR_CIQ" hidden="1">"c4938"</definedName>
    <definedName name="IQ_EST_DISTRIBUTABLE_CASH_GROWTH_2YR" hidden="1">"c4414"</definedName>
    <definedName name="IQ_EST_DISTRIBUTABLE_CASH_GROWTH_2YR_CIQ" hidden="1">"c4939"</definedName>
    <definedName name="IQ_EST_DISTRIBUTABLE_CASH_GROWTH_Q_1YR" hidden="1">"c4415"</definedName>
    <definedName name="IQ_EST_DISTRIBUTABLE_CASH_GROWTH_Q_1YR_CIQ" hidden="1">"c4940"</definedName>
    <definedName name="IQ_EST_DISTRIBUTABLE_CASH_SEQ_GROWTH_Q" hidden="1">"c4416"</definedName>
    <definedName name="IQ_EST_DISTRIBUTABLE_CASH_SEQ_GROWTH_Q_CIQ" hidden="1">"c4941"</definedName>
    <definedName name="IQ_EST_DISTRIBUTABLE_CASH_SHARE_DIFF" hidden="1">"c4284"</definedName>
    <definedName name="IQ_EST_DISTRIBUTABLE_CASH_SHARE_DIFF_CIQ" hidden="1">"c4809"</definedName>
    <definedName name="IQ_EST_DISTRIBUTABLE_CASH_SHARE_GROWTH_1YR" hidden="1">"c4417"</definedName>
    <definedName name="IQ_EST_DISTRIBUTABLE_CASH_SHARE_GROWTH_1YR_CIQ" hidden="1">"c4942"</definedName>
    <definedName name="IQ_EST_DISTRIBUTABLE_CASH_SHARE_GROWTH_2YR" hidden="1">"c4418"</definedName>
    <definedName name="IQ_EST_DISTRIBUTABLE_CASH_SHARE_GROWTH_2YR_CIQ" hidden="1">"c4943"</definedName>
    <definedName name="IQ_EST_DISTRIBUTABLE_CASH_SHARE_GROWTH_Q_1YR" hidden="1">"c4419"</definedName>
    <definedName name="IQ_EST_DISTRIBUTABLE_CASH_SHARE_GROWTH_Q_1YR_CIQ" hidden="1">"c4944"</definedName>
    <definedName name="IQ_EST_DISTRIBUTABLE_CASH_SHARE_SEQ_GROWTH_Q" hidden="1">"c4420"</definedName>
    <definedName name="IQ_EST_DISTRIBUTABLE_CASH_SHARE_SEQ_GROWTH_Q_CIQ" hidden="1">"c4945"</definedName>
    <definedName name="IQ_EST_DISTRIBUTABLE_CASH_SHARE_SURPRISE_PERCENT" hidden="1">"c4293"</definedName>
    <definedName name="IQ_EST_DISTRIBUTABLE_CASH_SHARE_SURPRISE_PERCENT_CIQ" hidden="1">"c4818"</definedName>
    <definedName name="IQ_EST_DISTRIBUTABLE_CASH_SURPRISE_PERCENT" hidden="1">"c4295"</definedName>
    <definedName name="IQ_EST_DISTRIBUTABLE_CASH_SURPRISE_PERCENT_CIQ" hidden="1">"c4820"</definedName>
    <definedName name="IQ_EST_DPS_DIFF" hidden="1">"c1873"</definedName>
    <definedName name="IQ_EST_DPS_DIFF_CIQ" hidden="1">"c3725"</definedName>
    <definedName name="IQ_EST_DPS_DIFF_REUT" hidden="1">"c3894"</definedName>
    <definedName name="IQ_EST_DPS_GROWTH_1YR" hidden="1">"c1778"</definedName>
    <definedName name="IQ_EST_DPS_GROWTH_1YR_CIQ" hidden="1">"c3713"</definedName>
    <definedName name="IQ_EST_DPS_GROWTH_1YR_REUT" hidden="1">"c3882"</definedName>
    <definedName name="IQ_EST_DPS_GROWTH_2YR" hidden="1">"c1779"</definedName>
    <definedName name="IQ_EST_DPS_GROWTH_2YR_CIQ" hidden="1">"c3714"</definedName>
    <definedName name="IQ_EST_DPS_GROWTH_2YR_REUT" hidden="1">"c3883"</definedName>
    <definedName name="IQ_EST_DPS_GROWTH_Q_1YR" hidden="1">"c1780"</definedName>
    <definedName name="IQ_EST_DPS_GROWTH_Q_1YR_CIQ" hidden="1">"c3715"</definedName>
    <definedName name="IQ_EST_DPS_GROWTH_Q_1YR_REUT" hidden="1">"c3884"</definedName>
    <definedName name="IQ_EST_DPS_SEQ_GROWTH_Q" hidden="1">"c1781"</definedName>
    <definedName name="IQ_EST_DPS_SEQ_GROWTH_Q_CIQ" hidden="1">"c3716"</definedName>
    <definedName name="IQ_EST_DPS_SEQ_GROWTH_Q_REUT" hidden="1">"c3885"</definedName>
    <definedName name="IQ_EST_DPS_SURPRISE_PERCENT" hidden="1">"c1874"</definedName>
    <definedName name="IQ_EST_DPS_SURPRISE_PERCENT_CIQ" hidden="1">"c3726"</definedName>
    <definedName name="IQ_EST_DPS_SURPRISE_PERCENT_REUT" hidden="1">"c3895"</definedName>
    <definedName name="IQ_EST_EBIT_DIFF" hidden="1">"c1875"</definedName>
    <definedName name="IQ_EST_EBIT_DIFF_CIQ" hidden="1">"c4747"</definedName>
    <definedName name="IQ_EST_EBIT_DIFF_REUT" hidden="1">"c5413"</definedName>
    <definedName name="IQ_EST_EBIT_GW_DIFF" hidden="1">"c4304"</definedName>
    <definedName name="IQ_EST_EBIT_GW_DIFF_CIQ" hidden="1">"c4829"</definedName>
    <definedName name="IQ_EST_EBIT_GW_SURPRISE_PERCENT" hidden="1">"c4313"</definedName>
    <definedName name="IQ_EST_EBIT_GW_SURPRISE_PERCENT_CIQ" hidden="1">"c4838"</definedName>
    <definedName name="IQ_EST_EBIT_SBC_DIFF" hidden="1">"c4314"</definedName>
    <definedName name="IQ_EST_EBIT_SBC_DIFF_CIQ" hidden="1">"c4839"</definedName>
    <definedName name="IQ_EST_EBIT_SBC_GW_DIFF" hidden="1">"c4318"</definedName>
    <definedName name="IQ_EST_EBIT_SBC_GW_DIFF_CIQ" hidden="1">"c4843"</definedName>
    <definedName name="IQ_EST_EBIT_SBC_GW_SURPRISE_PERCENT" hidden="1">"c4327"</definedName>
    <definedName name="IQ_EST_EBIT_SBC_GW_SURPRISE_PERCENT_CIQ" hidden="1">"c4852"</definedName>
    <definedName name="IQ_EST_EBIT_SBC_SURPRISE_PERCENT" hidden="1">"c4333"</definedName>
    <definedName name="IQ_EST_EBIT_SBC_SURPRISE_PERCENT_CIQ" hidden="1">"c4858"</definedName>
    <definedName name="IQ_EST_EBIT_SURPRISE_PERCENT" hidden="1">"c1876"</definedName>
    <definedName name="IQ_EST_EBIT_SURPRISE_PERCENT_CIQ" hidden="1">"c4748"</definedName>
    <definedName name="IQ_EST_EBIT_SURPRISE_PERCENT_REUT" hidden="1">"c5414"</definedName>
    <definedName name="IQ_EST_EBITDA_DIFF" hidden="1">"c1867"</definedName>
    <definedName name="IQ_EST_EBITDA_DIFF_CIQ" hidden="1">"c3719"</definedName>
    <definedName name="IQ_EST_EBITDA_DIFF_REUT" hidden="1">"c3888"</definedName>
    <definedName name="IQ_EST_EBITDA_GROWTH_1YR" hidden="1">"c1766"</definedName>
    <definedName name="IQ_EST_EBITDA_GROWTH_1YR_CIQ" hidden="1">"c3695"</definedName>
    <definedName name="IQ_EST_EBITDA_GROWTH_1YR_REUT" hidden="1">"c3864"</definedName>
    <definedName name="IQ_EST_EBITDA_GROWTH_2YR" hidden="1">"c1767"</definedName>
    <definedName name="IQ_EST_EBITDA_GROWTH_2YR_CIQ" hidden="1">"c3696"</definedName>
    <definedName name="IQ_EST_EBITDA_GROWTH_2YR_REUT" hidden="1">"c3865"</definedName>
    <definedName name="IQ_EST_EBITDA_GROWTH_Q_1YR" hidden="1">"c1768"</definedName>
    <definedName name="IQ_EST_EBITDA_GROWTH_Q_1YR_CIQ" hidden="1">"c3697"</definedName>
    <definedName name="IQ_EST_EBITDA_GROWTH_Q_1YR_REUT" hidden="1">"c3866"</definedName>
    <definedName name="IQ_EST_EBITDA_SBC_DIFF" hidden="1">"c4335"</definedName>
    <definedName name="IQ_EST_EBITDA_SBC_DIFF_CIQ" hidden="1">"c4860"</definedName>
    <definedName name="IQ_EST_EBITDA_SBC_SURPRISE_PERCENT" hidden="1">"c4344"</definedName>
    <definedName name="IQ_EST_EBITDA_SBC_SURPRISE_PERCENT_CIQ" hidden="1">"c4869"</definedName>
    <definedName name="IQ_EST_EBITDA_SEQ_GROWTH_Q" hidden="1">"c1769"</definedName>
    <definedName name="IQ_EST_EBITDA_SEQ_GROWTH_Q_CIQ" hidden="1">"c3698"</definedName>
    <definedName name="IQ_EST_EBITDA_SEQ_GROWTH_Q_REUT" hidden="1">"c3867"</definedName>
    <definedName name="IQ_EST_EBITDA_SURPRISE_PERCENT" hidden="1">"c1868"</definedName>
    <definedName name="IQ_EST_EBITDA_SURPRISE_PERCENT_CIQ" hidden="1">"c3720"</definedName>
    <definedName name="IQ_EST_EBITDA_SURPRISE_PERCENT_REUT" hidden="1">"c3889"</definedName>
    <definedName name="IQ_EST_EBT_SBC_DIFF" hidden="1">"c4348"</definedName>
    <definedName name="IQ_EST_EBT_SBC_DIFF_CIQ" hidden="1">"c4873"</definedName>
    <definedName name="IQ_EST_EBT_SBC_GW_DIFF" hidden="1">"c4352"</definedName>
    <definedName name="IQ_EST_EBT_SBC_GW_DIFF_CIQ" hidden="1">"c4877"</definedName>
    <definedName name="IQ_EST_EBT_SBC_GW_SURPRISE_PERCENT" hidden="1">"c4361"</definedName>
    <definedName name="IQ_EST_EBT_SBC_GW_SURPRISE_PERCENT_CIQ" hidden="1">"c4886"</definedName>
    <definedName name="IQ_EST_EBT_SBC_SURPRISE_PERCENT" hidden="1">"c4367"</definedName>
    <definedName name="IQ_EST_EBT_SBC_SURPRISE_PERCENT_CIQ" hidden="1">"c4892"</definedName>
    <definedName name="IQ_EST_EPS_DIFF" hidden="1">"c1864"</definedName>
    <definedName name="IQ_EST_EPS_DIFF_CIQ" hidden="1">"c4999"</definedName>
    <definedName name="IQ_EST_EPS_DIFF_REUT" hidden="1">"c5458"</definedName>
    <definedName name="IQ_EST_EPS_GROWTH_1YR" hidden="1">"c1636"</definedName>
    <definedName name="IQ_EST_EPS_GROWTH_1YR_CIQ" hidden="1">"c3628"</definedName>
    <definedName name="IQ_EST_EPS_GROWTH_1YR_REUT" hidden="1">"c3646"</definedName>
    <definedName name="IQ_EST_EPS_GROWTH_2YR" hidden="1">"c1637"</definedName>
    <definedName name="IQ_EST_EPS_GROWTH_2YR_CIQ" hidden="1">"c3689"</definedName>
    <definedName name="IQ_EST_EPS_GROWTH_2YR_REUT" hidden="1">"c3858"</definedName>
    <definedName name="IQ_EST_EPS_GROWTH_5YR" hidden="1">"c1655"</definedName>
    <definedName name="IQ_EST_EPS_GROWTH_5YR_BOTTOM_UP" hidden="1">"c5487"</definedName>
    <definedName name="IQ_EST_EPS_GROWTH_5YR_BOTTOM_UP_REUT" hidden="1">"c5495"</definedName>
    <definedName name="IQ_EST_EPS_GROWTH_5YR_CIQ" hidden="1">"c3615"</definedName>
    <definedName name="IQ_EST_EPS_GROWTH_5YR_HIGH" hidden="1">"c1657"</definedName>
    <definedName name="IQ_EST_EPS_GROWTH_5YR_HIGH_CIQ" hidden="1">"c4663"</definedName>
    <definedName name="IQ_EST_EPS_GROWTH_5YR_HIGH_REUT" hidden="1">"c5322"</definedName>
    <definedName name="IQ_EST_EPS_GROWTH_5YR_LOW" hidden="1">"c1658"</definedName>
    <definedName name="IQ_EST_EPS_GROWTH_5YR_LOW_CIQ" hidden="1">"c4664"</definedName>
    <definedName name="IQ_EST_EPS_GROWTH_5YR_LOW_REUT" hidden="1">"c5323"</definedName>
    <definedName name="IQ_EST_EPS_GROWTH_5YR_MEDIAN" hidden="1">"c1656"</definedName>
    <definedName name="IQ_EST_EPS_GROWTH_5YR_MEDIAN_CIQ" hidden="1">"c5480"</definedName>
    <definedName name="IQ_EST_EPS_GROWTH_5YR_MEDIAN_REUT" hidden="1">"c5321"</definedName>
    <definedName name="IQ_EST_EPS_GROWTH_5YR_NUM" hidden="1">"c1659"</definedName>
    <definedName name="IQ_EST_EPS_GROWTH_5YR_NUM_CIQ" hidden="1">"c4665"</definedName>
    <definedName name="IQ_EST_EPS_GROWTH_5YR_NUM_REUT" hidden="1">"c5324"</definedName>
    <definedName name="IQ_EST_EPS_GROWTH_5YR_REUT" hidden="1">"c3633"</definedName>
    <definedName name="IQ_EST_EPS_GROWTH_5YR_STDDEV" hidden="1">"c1660"</definedName>
    <definedName name="IQ_EST_EPS_GROWTH_5YR_STDDEV_CIQ" hidden="1">"c4666"</definedName>
    <definedName name="IQ_EST_EPS_GROWTH_5YR_STDDEV_REUT" hidden="1">"c5325"</definedName>
    <definedName name="IQ_EST_EPS_GROWTH_Q_1YR" hidden="1">"c1641"</definedName>
    <definedName name="IQ_EST_EPS_GROWTH_Q_1YR_CIQ" hidden="1">"c4744"</definedName>
    <definedName name="IQ_EST_EPS_GROWTH_Q_1YR_REUT" hidden="1">"c5410"</definedName>
    <definedName name="IQ_EST_EPS_GW_DIFF" hidden="1">"c1891"</definedName>
    <definedName name="IQ_EST_EPS_GW_DIFF_CIQ" hidden="1">"c4761"</definedName>
    <definedName name="IQ_EST_EPS_GW_DIFF_REUT" hidden="1">"c5429"</definedName>
    <definedName name="IQ_EST_EPS_GW_SURPRISE_PERCENT" hidden="1">"c1892"</definedName>
    <definedName name="IQ_EST_EPS_GW_SURPRISE_PERCENT_CIQ" hidden="1">"c4762"</definedName>
    <definedName name="IQ_EST_EPS_GW_SURPRISE_PERCENT_REUT" hidden="1">"c5430"</definedName>
    <definedName name="IQ_EST_EPS_NORM_DIFF" hidden="1">"c2247"</definedName>
    <definedName name="IQ_EST_EPS_NORM_DIFF_CIQ" hidden="1">"c4745"</definedName>
    <definedName name="IQ_EST_EPS_NORM_DIFF_REUT" hidden="1">"c5411"</definedName>
    <definedName name="IQ_EST_EPS_NORM_SURPRISE_PERCENT" hidden="1">"c2248"</definedName>
    <definedName name="IQ_EST_EPS_NORM_SURPRISE_PERCENT_CIQ" hidden="1">"c4746"</definedName>
    <definedName name="IQ_EST_EPS_NORM_SURPRISE_PERCENT_REUT" hidden="1">"c5412"</definedName>
    <definedName name="IQ_EST_EPS_REPORT_DIFF" hidden="1">"c1893"</definedName>
    <definedName name="IQ_EST_EPS_REPORT_DIFF_CIQ" hidden="1">"c4763"</definedName>
    <definedName name="IQ_EST_EPS_REPORT_DIFF_REUT" hidden="1">"c5431"</definedName>
    <definedName name="IQ_EST_EPS_REPORT_SURPRISE_PERCENT" hidden="1">"c1894"</definedName>
    <definedName name="IQ_EST_EPS_REPORT_SURPRISE_PERCENT_CIQ" hidden="1">"c4764"</definedName>
    <definedName name="IQ_EST_EPS_REPORT_SURPRISE_PERCENT_REUT" hidden="1">"c5432"</definedName>
    <definedName name="IQ_EST_EPS_SBC_DIFF" hidden="1">"c4374"</definedName>
    <definedName name="IQ_EST_EPS_SBC_DIFF_CIQ" hidden="1">"c4899"</definedName>
    <definedName name="IQ_EST_EPS_SBC_GW_DIFF" hidden="1">"c4378"</definedName>
    <definedName name="IQ_EST_EPS_SBC_GW_DIFF_CIQ" hidden="1">"c4903"</definedName>
    <definedName name="IQ_EST_EPS_SBC_GW_SURPRISE_PERCENT" hidden="1">"c4387"</definedName>
    <definedName name="IQ_EST_EPS_SBC_GW_SURPRISE_PERCENT_CIQ" hidden="1">"c4912"</definedName>
    <definedName name="IQ_EST_EPS_SBC_SURPRISE_PERCENT" hidden="1">"c4393"</definedName>
    <definedName name="IQ_EST_EPS_SBC_SURPRISE_PERCENT_CIQ" hidden="1">"c4918"</definedName>
    <definedName name="IQ_EST_EPS_SEQ_GROWTH_Q" hidden="1">"c1764"</definedName>
    <definedName name="IQ_EST_EPS_SEQ_GROWTH_Q_CIQ" hidden="1">"c3690"</definedName>
    <definedName name="IQ_EST_EPS_SEQ_GROWTH_Q_REUT" hidden="1">"c3859"</definedName>
    <definedName name="IQ_EST_EPS_SURPRISE_PERCENT" hidden="1">"c1635"</definedName>
    <definedName name="IQ_EST_EPS_SURPRISE_PERCENT_CIQ" hidden="1">"c5000"</definedName>
    <definedName name="IQ_EST_EPS_SURPRISE_PERCENT_REUT" hidden="1">"c5459"</definedName>
    <definedName name="IQ_EST_FFO_ADJ_DIFF" hidden="1">"c4433"</definedName>
    <definedName name="IQ_EST_FFO_ADJ_DIFF_CIQ" hidden="1">"c4958"</definedName>
    <definedName name="IQ_EST_FFO_ADJ_GROWTH_1YR" hidden="1">"c4421"</definedName>
    <definedName name="IQ_EST_FFO_ADJ_GROWTH_1YR_CIQ" hidden="1">"c4946"</definedName>
    <definedName name="IQ_EST_FFO_ADJ_GROWTH_2YR" hidden="1">"c4422"</definedName>
    <definedName name="IQ_EST_FFO_ADJ_GROWTH_2YR_CIQ" hidden="1">"c4947"</definedName>
    <definedName name="IQ_EST_FFO_ADJ_GROWTH_Q_1YR" hidden="1">"c4423"</definedName>
    <definedName name="IQ_EST_FFO_ADJ_GROWTH_Q_1YR_CIQ" hidden="1">"c4948"</definedName>
    <definedName name="IQ_EST_FFO_ADJ_SEQ_GROWTH_Q" hidden="1">"c4424"</definedName>
    <definedName name="IQ_EST_FFO_ADJ_SEQ_GROWTH_Q_CIQ" hidden="1">"c4949"</definedName>
    <definedName name="IQ_EST_FFO_ADJ_SURPRISE_PERCENT" hidden="1">"c4442"</definedName>
    <definedName name="IQ_EST_FFO_ADJ_SURPRISE_PERCENT_CIQ" hidden="1">"c4967"</definedName>
    <definedName name="IQ_EST_FFO_DIFF" hidden="1">"c1869"</definedName>
    <definedName name="IQ_EST_FFO_DIFF_CIQ" hidden="1">"c3721"</definedName>
    <definedName name="IQ_EST_FFO_DIFF_REUT" hidden="1">"c3890"</definedName>
    <definedName name="IQ_EST_FFO_GROWTH_1YR" hidden="1">"c1770"</definedName>
    <definedName name="IQ_EST_FFO_GROWTH_1YR_CIQ" hidden="1">"c3705"</definedName>
    <definedName name="IQ_EST_FFO_GROWTH_1YR_REUT" hidden="1">"c3874"</definedName>
    <definedName name="IQ_EST_FFO_GROWTH_2YR" hidden="1">"c1771"</definedName>
    <definedName name="IQ_EST_FFO_GROWTH_2YR_CIQ" hidden="1">"c3706"</definedName>
    <definedName name="IQ_EST_FFO_GROWTH_2YR_REUT" hidden="1">"c3875"</definedName>
    <definedName name="IQ_EST_FFO_GROWTH_Q_1YR" hidden="1">"c1772"</definedName>
    <definedName name="IQ_EST_FFO_GROWTH_Q_1YR_CIQ" hidden="1">"c3707"</definedName>
    <definedName name="IQ_EST_FFO_GROWTH_Q_1YR_REUT" hidden="1">"c3876"</definedName>
    <definedName name="IQ_EST_FFO_SEQ_GROWTH_Q" hidden="1">"c1773"</definedName>
    <definedName name="IQ_EST_FFO_SEQ_GROWTH_Q_CIQ" hidden="1">"c3708"</definedName>
    <definedName name="IQ_EST_FFO_SEQ_GROWTH_Q_REUT" hidden="1">"c3877"</definedName>
    <definedName name="IQ_EST_FFO_SHARE_DIFF" hidden="1">"c4444"</definedName>
    <definedName name="IQ_EST_FFO_SHARE_DIFF_CIQ" hidden="1">"c4969"</definedName>
    <definedName name="IQ_EST_FFO_SHARE_GROWTH_1YR" hidden="1">"c4425"</definedName>
    <definedName name="IQ_EST_FFO_SHARE_GROWTH_1YR_CIQ" hidden="1">"c4950"</definedName>
    <definedName name="IQ_EST_FFO_SHARE_GROWTH_2YR" hidden="1">"c4426"</definedName>
    <definedName name="IQ_EST_FFO_SHARE_GROWTH_2YR_CIQ" hidden="1">"c4951"</definedName>
    <definedName name="IQ_EST_FFO_SHARE_GROWTH_Q_1YR" hidden="1">"c4427"</definedName>
    <definedName name="IQ_EST_FFO_SHARE_GROWTH_Q_1YR_CIQ" hidden="1">"c4952"</definedName>
    <definedName name="IQ_EST_FFO_SHARE_SEQ_GROWTH_Q" hidden="1">"c4428"</definedName>
    <definedName name="IQ_EST_FFO_SHARE_SEQ_GROWTH_Q_CIQ" hidden="1">"c4953"</definedName>
    <definedName name="IQ_EST_FFO_SHARE_SURPRISE_PERCENT" hidden="1">"c4453"</definedName>
    <definedName name="IQ_EST_FFO_SHARE_SURPRISE_PERCENT_CIQ" hidden="1">"c4982"</definedName>
    <definedName name="IQ_EST_FFO_SURPRISE_PERCENT" hidden="1">"c1870"</definedName>
    <definedName name="IQ_EST_FFO_SURPRISE_PERCENT_CIQ" hidden="1">"c3722"</definedName>
    <definedName name="IQ_EST_FFO_SURPRISE_PERCENT_REUT" hidden="1">"c3891"</definedName>
    <definedName name="IQ_EST_FOOTNOTE" hidden="1">"c4540"</definedName>
    <definedName name="IQ_EST_FOOTNOTE_REUT" hidden="1">"c5478"</definedName>
    <definedName name="IQ_EST_MAINT_CAPEX_DIFF" hidden="1">"c4456"</definedName>
    <definedName name="IQ_EST_MAINT_CAPEX_DIFF_CIQ" hidden="1">"c4985"</definedName>
    <definedName name="IQ_EST_MAINT_CAPEX_GROWTH_1YR" hidden="1">"c4429"</definedName>
    <definedName name="IQ_EST_MAINT_CAPEX_GROWTH_1YR_CIQ" hidden="1">"c4954"</definedName>
    <definedName name="IQ_EST_MAINT_CAPEX_GROWTH_2YR" hidden="1">"c4430"</definedName>
    <definedName name="IQ_EST_MAINT_CAPEX_GROWTH_2YR_CIQ" hidden="1">"c4955"</definedName>
    <definedName name="IQ_EST_MAINT_CAPEX_GROWTH_Q_1YR" hidden="1">"c4431"</definedName>
    <definedName name="IQ_EST_MAINT_CAPEX_GROWTH_Q_1YR_CIQ" hidden="1">"c4956"</definedName>
    <definedName name="IQ_EST_MAINT_CAPEX_SEQ_GROWTH_Q" hidden="1">"c4432"</definedName>
    <definedName name="IQ_EST_MAINT_CAPEX_SEQ_GROWTH_Q_CIQ" hidden="1">"c4957"</definedName>
    <definedName name="IQ_EST_MAINT_CAPEX_SURPRISE_PERCENT" hidden="1">"c4465"</definedName>
    <definedName name="IQ_EST_MAINT_CAPEX_SURPRISE_PERCENT_CIQ" hidden="1">"c5003"</definedName>
    <definedName name="IQ_EST_NAV_DIFF" hidden="1">"c1895"</definedName>
    <definedName name="IQ_EST_NAV_SHARE_SURPRISE_PERCENT" hidden="1">"c1896"</definedName>
    <definedName name="IQ_EST_NAV_SURPRISE_PERCENT" hidden="1">"c1896"</definedName>
    <definedName name="IQ_EST_NET_DEBT_DIFF" hidden="1">"c4466"</definedName>
    <definedName name="IQ_EST_NET_DEBT_DIFF_CIQ" hidden="1">"c5004"</definedName>
    <definedName name="IQ_EST_NET_DEBT_SURPRISE_PERCENT" hidden="1">"c4468"</definedName>
    <definedName name="IQ_EST_NET_DEBT_SURPRISE_PERCENT_CIQ" hidden="1">"c5006"</definedName>
    <definedName name="IQ_EST_NI_DIFF" hidden="1">"c1885"</definedName>
    <definedName name="IQ_EST_NI_DIFF_CIQ" hidden="1">"c4755"</definedName>
    <definedName name="IQ_EST_NI_DIFF_REUT" hidden="1">"c5423"</definedName>
    <definedName name="IQ_EST_NI_GW_DIFF" hidden="1">"c1887"</definedName>
    <definedName name="IQ_EST_NI_GW_DIFF_CIQ" hidden="1">"c4757"</definedName>
    <definedName name="IQ_EST_NI_GW_DIFF_REUT" hidden="1">"c5425"</definedName>
    <definedName name="IQ_EST_NI_GW_SURPRISE_PERCENT" hidden="1">"c1888"</definedName>
    <definedName name="IQ_EST_NI_GW_SURPRISE_PERCENT_CIQ" hidden="1">"c4758"</definedName>
    <definedName name="IQ_EST_NI_GW_SURPRISE_PERCENT_REUT" hidden="1">"c5426"</definedName>
    <definedName name="IQ_EST_NI_REPORT_DIFF" hidden="1">"c1889"</definedName>
    <definedName name="IQ_EST_NI_REPORT_DIFF_CIQ" hidden="1">"c4759"</definedName>
    <definedName name="IQ_EST_NI_REPORT_DIFF_REUT" hidden="1">"c5427"</definedName>
    <definedName name="IQ_EST_NI_REPORT_SURPRISE_PERCENT" hidden="1">"c1890"</definedName>
    <definedName name="IQ_EST_NI_REPORT_SURPRISE_PERCENT_CIQ" hidden="1">"c4760"</definedName>
    <definedName name="IQ_EST_NI_REPORT_SURPRISE_PERCENT_REUT" hidden="1">"c5428"</definedName>
    <definedName name="IQ_EST_NI_SBC_DIFF" hidden="1">"c4472"</definedName>
    <definedName name="IQ_EST_NI_SBC_DIFF_CIQ" hidden="1">"c5010"</definedName>
    <definedName name="IQ_EST_NI_SBC_GW_DIFF" hidden="1">"c4476"</definedName>
    <definedName name="IQ_EST_NI_SBC_GW_DIFF_CIQ" hidden="1">"c5014"</definedName>
    <definedName name="IQ_EST_NI_SBC_GW_SURPRISE_PERCENT" hidden="1">"c4485"</definedName>
    <definedName name="IQ_EST_NI_SBC_GW_SURPRISE_PERCENT_CIQ" hidden="1">"c5023"</definedName>
    <definedName name="IQ_EST_NI_SBC_SURPRISE_PERCENT" hidden="1">"c4491"</definedName>
    <definedName name="IQ_EST_NI_SBC_SURPRISE_PERCENT_CIQ" hidden="1">"c5029"</definedName>
    <definedName name="IQ_EST_NI_SURPRISE_PERCENT" hidden="1">"c1886"</definedName>
    <definedName name="IQ_EST_NI_SURPRISE_PERCENT_CIQ" hidden="1">"c4756"</definedName>
    <definedName name="IQ_EST_NI_SURPRISE_PERCENT_REUT" hidden="1">"c5424"</definedName>
    <definedName name="IQ_EST_NUM_BUY" hidden="1">"c1759"</definedName>
    <definedName name="IQ_EST_NUM_BUY_REUT" hidden="1">"c3869"</definedName>
    <definedName name="IQ_EST_NUM_HIGH_REC" hidden="1">"c5649"</definedName>
    <definedName name="IQ_EST_NUM_HIGH_REC_CIQ" hidden="1">"c3701"</definedName>
    <definedName name="IQ_EST_NUM_HIGHEST_REC" hidden="1">"c5648"</definedName>
    <definedName name="IQ_EST_NUM_HIGHEST_REC_CIQ" hidden="1">"c3700"</definedName>
    <definedName name="IQ_EST_NUM_HOLD" hidden="1">"c1761"</definedName>
    <definedName name="IQ_EST_NUM_HOLD_REUT" hidden="1">"c3871"</definedName>
    <definedName name="IQ_EST_NUM_LOW_REC" hidden="1">"c5651"</definedName>
    <definedName name="IQ_EST_NUM_LOW_REC_CIQ" hidden="1">"c3703"</definedName>
    <definedName name="IQ_EST_NUM_LOWEST_REC" hidden="1">"c5652"</definedName>
    <definedName name="IQ_EST_NUM_LOWEST_REC_CIQ" hidden="1">"c3704"</definedName>
    <definedName name="IQ_EST_NUM_NEUTRAL_REC" hidden="1">"c5650"</definedName>
    <definedName name="IQ_EST_NUM_NEUTRAL_REC_CIQ" hidden="1">"c3702"</definedName>
    <definedName name="IQ_EST_NUM_NO_OPINION" hidden="1">"c1758"</definedName>
    <definedName name="IQ_EST_NUM_NO_OPINION_CIQ" hidden="1">"c3699"</definedName>
    <definedName name="IQ_EST_NUM_NO_OPINION_REUT" hidden="1">"c3868"</definedName>
    <definedName name="IQ_EST_NUM_OUTPERFORM" hidden="1">"c1760"</definedName>
    <definedName name="IQ_EST_NUM_OUTPERFORM_REUT" hidden="1">"c3870"</definedName>
    <definedName name="IQ_EST_NUM_SELL" hidden="1">"c1763"</definedName>
    <definedName name="IQ_EST_NUM_SELL_REUT" hidden="1">"c3873"</definedName>
    <definedName name="IQ_EST_NUM_UNDERPERFORM" hidden="1">"c1762"</definedName>
    <definedName name="IQ_EST_NUM_UNDERPERFORM_REUT" hidden="1">"c3872"</definedName>
    <definedName name="IQ_EST_OPER_INC_DIFF" hidden="1">"c1877"</definedName>
    <definedName name="IQ_EST_OPER_INC_DIFF_REUT" hidden="1">"c5415"</definedName>
    <definedName name="IQ_EST_OPER_INC_SURPRISE_PERCENT" hidden="1">"c1878"</definedName>
    <definedName name="IQ_EST_OPER_INC_SURPRISE_PERCENT_REUT" hidden="1">"c5416"</definedName>
    <definedName name="IQ_EST_PRE_TAX_DIFF" hidden="1">"c1879"</definedName>
    <definedName name="IQ_EST_PRE_TAX_DIFF_CIQ" hidden="1">"c4749"</definedName>
    <definedName name="IQ_EST_PRE_TAX_DIFF_REUT" hidden="1">"c5417"</definedName>
    <definedName name="IQ_EST_PRE_TAX_GW_DIFF" hidden="1">"c1881"</definedName>
    <definedName name="IQ_EST_PRE_TAX_GW_DIFF_CIQ" hidden="1">"c4751"</definedName>
    <definedName name="IQ_EST_PRE_TAX_GW_DIFF_REUT" hidden="1">"c5419"</definedName>
    <definedName name="IQ_EST_PRE_TAX_GW_SURPRISE_PERCENT" hidden="1">"c1882"</definedName>
    <definedName name="IQ_EST_PRE_TAX_GW_SURPRISE_PERCENT_CIQ" hidden="1">"c4752"</definedName>
    <definedName name="IQ_EST_PRE_TAX_GW_SURPRISE_PERCENT_REUT" hidden="1">"c5420"</definedName>
    <definedName name="IQ_EST_PRE_TAX_REPORT_DIFF" hidden="1">"c1883"</definedName>
    <definedName name="IQ_EST_PRE_TAX_REPORT_DIFF_CIQ" hidden="1">"c4753"</definedName>
    <definedName name="IQ_EST_PRE_TAX_REPORT_DIFF_REUT" hidden="1">"c5421"</definedName>
    <definedName name="IQ_EST_PRE_TAX_REPORT_SURPRISE_PERCENT" hidden="1">"c1884"</definedName>
    <definedName name="IQ_EST_PRE_TAX_REPORT_SURPRISE_PERCENT_CIQ" hidden="1">"c4754"</definedName>
    <definedName name="IQ_EST_PRE_TAX_REPORT_SURPRISE_PERCENT_REUT" hidden="1">"c5422"</definedName>
    <definedName name="IQ_EST_PRE_TAX_SURPRISE_PERCENT" hidden="1">"c1880"</definedName>
    <definedName name="IQ_EST_PRE_TAX_SURPRISE_PERCENT_CIQ" hidden="1">"c4750"</definedName>
    <definedName name="IQ_EST_PRE_TAX_SURPRISE_PERCENT_REUT" hidden="1">"c5418"</definedName>
    <definedName name="IQ_EST_RECURRING_PROFIT_SHARE_DIFF" hidden="1">"c4505"</definedName>
    <definedName name="IQ_EST_RECURRING_PROFIT_SHARE_DIFF_CIQ" hidden="1">"c5043"</definedName>
    <definedName name="IQ_EST_RECURRING_PROFIT_SHARE_SURPRISE_PERCENT" hidden="1">"c4515"</definedName>
    <definedName name="IQ_EST_RECURRING_PROFIT_SHARE_SURPRISE_PERCENT_CIQ" hidden="1">"c5053"</definedName>
    <definedName name="IQ_EST_REV_DIFF" hidden="1">"c1865"</definedName>
    <definedName name="IQ_EST_REV_DIFF_CIQ" hidden="1">"c3717"</definedName>
    <definedName name="IQ_EST_REV_DIFF_REUT" hidden="1">"c3886"</definedName>
    <definedName name="IQ_EST_REV_GROWTH_1YR" hidden="1">"c1638"</definedName>
    <definedName name="IQ_EST_REV_GROWTH_1YR_CIQ" hidden="1">"c3691"</definedName>
    <definedName name="IQ_EST_REV_GROWTH_1YR_REUT" hidden="1">"c3860"</definedName>
    <definedName name="IQ_EST_REV_GROWTH_2YR" hidden="1">"c1639"</definedName>
    <definedName name="IQ_EST_REV_GROWTH_2YR_CIQ" hidden="1">"c3692"</definedName>
    <definedName name="IQ_EST_REV_GROWTH_2YR_REUT" hidden="1">"c3861"</definedName>
    <definedName name="IQ_EST_REV_GROWTH_Q_1YR" hidden="1">"c1640"</definedName>
    <definedName name="IQ_EST_REV_GROWTH_Q_1YR_CIQ" hidden="1">"c3693"</definedName>
    <definedName name="IQ_EST_REV_GROWTH_Q_1YR_REUT" hidden="1">"c3862"</definedName>
    <definedName name="IQ_EST_REV_SEQ_GROWTH_Q" hidden="1">"c1765"</definedName>
    <definedName name="IQ_EST_REV_SEQ_GROWTH_Q_CIQ" hidden="1">"c3694"</definedName>
    <definedName name="IQ_EST_REV_SEQ_GROWTH_Q_REUT" hidden="1">"c3863"</definedName>
    <definedName name="IQ_EST_REV_SURPRISE_PERCENT" hidden="1">"c1866"</definedName>
    <definedName name="IQ_EST_REV_SURPRISE_PERCENT_CIQ" hidden="1">"c3718"</definedName>
    <definedName name="IQ_EST_REV_SURPRISE_PERCENT_REUT" hidden="1">"c3887"</definedName>
    <definedName name="IQ_EST_VENDOR" hidden="1">"c5564"</definedName>
    <definedName name="IQ_ESTIMATED_ASSESSABLE_DEPOSITS_FDIC" hidden="1">"c6490"</definedName>
    <definedName name="IQ_ESTIMATED_INSURED_DEPOSITS_FDIC" hidden="1">"c6491"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CISE_TAXES_EXCL_SALES" hidden="1">"c5515"</definedName>
    <definedName name="IQ_EXCISE_TAXES_INCL_SALES" hidden="1">"c5514"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ENSE_CODE_" localSheetId="9" hidden="1">"test"</definedName>
    <definedName name="IQ_EXPENSE_CODE_" hidden="1">"test"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" hidden="1">"c6216"</definedName>
    <definedName name="IQ_EXTRA_ACC_ITEMS_REIT" hidden="1">"c415"</definedName>
    <definedName name="IQ_EXTRA_ACC_ITEMS_UTI" hidden="1">"c416"</definedName>
    <definedName name="IQ_EXTRA_ITEMS" hidden="1">"c1459"</definedName>
    <definedName name="IQ_EXTRAORDINARY_GAINS_FDIC" hidden="1">"c6586"</definedName>
    <definedName name="IQ_FAIR_VALUE_FDIC" hidden="1">"c6427"</definedName>
    <definedName name="IQ_FARM_LOANS_NET_FDIC" hidden="1">"c6316"</definedName>
    <definedName name="IQ_FARM_LOANS_TOTAL_LOANS_FOREIGN_FDIC" hidden="1">"c6450"</definedName>
    <definedName name="IQ_FARMLAND_LOANS_FDIC" hidden="1">"c6314"</definedName>
    <definedName name="IQ_FDIC" hidden="1">"c417"</definedName>
    <definedName name="IQ_FED_FUNDS_PURCHASED_FDIC" hidden="1">"c6343"</definedName>
    <definedName name="IQ_FED_FUNDS_SOLD_FDIC" hidden="1">"c6307"</definedName>
    <definedName name="IQ_FEDFUNDS_SOLD" hidden="1">"c2256"</definedName>
    <definedName name="IQ_FFO" hidden="1">"c1574"</definedName>
    <definedName name="IQ_FFO_ACT_OR_EST" hidden="1">"c2216"</definedName>
    <definedName name="IQ_FFO_ADJ_ACT_OR_EST" hidden="1">"c4435"</definedName>
    <definedName name="IQ_FFO_ADJ_ACT_OR_EST_CIQ" hidden="1">"c4960"</definedName>
    <definedName name="IQ_FFO_ADJ_EST" hidden="1">"c4434"</definedName>
    <definedName name="IQ_FFO_ADJ_EST_CIQ" hidden="1">"c4959"</definedName>
    <definedName name="IQ_FFO_ADJ_GUIDANCE" hidden="1">"c4436"</definedName>
    <definedName name="IQ_FFO_ADJ_GUIDANCE_CIQ" hidden="1">"c4961"</definedName>
    <definedName name="IQ_FFO_ADJ_HIGH_EST" hidden="1">"c4437"</definedName>
    <definedName name="IQ_FFO_ADJ_HIGH_EST_CIQ" hidden="1">"c4962"</definedName>
    <definedName name="IQ_FFO_ADJ_HIGH_GUIDANCE" hidden="1">"c4202"</definedName>
    <definedName name="IQ_FFO_ADJ_HIGH_GUIDANCE_CIQ" hidden="1">"c4614"</definedName>
    <definedName name="IQ_FFO_ADJ_LOW_EST" hidden="1">"c4438"</definedName>
    <definedName name="IQ_FFO_ADJ_LOW_EST_CIQ" hidden="1">"c4963"</definedName>
    <definedName name="IQ_FFO_ADJ_LOW_GUIDANCE" hidden="1">"c4242"</definedName>
    <definedName name="IQ_FFO_ADJ_LOW_GUIDANCE_CIQ" hidden="1">"c4654"</definedName>
    <definedName name="IQ_FFO_ADJ_MEDIAN_EST" hidden="1">"c4439"</definedName>
    <definedName name="IQ_FFO_ADJ_MEDIAN_EST_CIQ" hidden="1">"c4964"</definedName>
    <definedName name="IQ_FFO_ADJ_NUM_EST" hidden="1">"c4440"</definedName>
    <definedName name="IQ_FFO_ADJ_NUM_EST_CIQ" hidden="1">"c4965"</definedName>
    <definedName name="IQ_FFO_ADJ_STDDEV_EST" hidden="1">"c4441"</definedName>
    <definedName name="IQ_FFO_ADJ_STDDEV_EST_CIQ" hidden="1">"c4966"</definedName>
    <definedName name="IQ_FFO_EST" hidden="1">"c418"</definedName>
    <definedName name="IQ_FFO_EST_CIQ" hidden="1">"c3668"</definedName>
    <definedName name="IQ_FFO_EST_REUT" hidden="1">"c3837"</definedName>
    <definedName name="IQ_FFO_GUIDANCE" hidden="1">"c4443"</definedName>
    <definedName name="IQ_FFO_GUIDANCE_CIQ" hidden="1">"c4968"</definedName>
    <definedName name="IQ_FFO_HIGH_EST" hidden="1">"c419"</definedName>
    <definedName name="IQ_FFO_HIGH_EST_CIQ" hidden="1">"c3670"</definedName>
    <definedName name="IQ_FFO_HIGH_EST_REUT" hidden="1">"c3839"</definedName>
    <definedName name="IQ_FFO_HIGH_GUIDANCE" hidden="1">"c4184"</definedName>
    <definedName name="IQ_FFO_HIGH_GUIDANCE_CIQ" hidden="1">"c4596"</definedName>
    <definedName name="IQ_FFO_LOW_EST" hidden="1">"c420"</definedName>
    <definedName name="IQ_FFO_LOW_EST_CIQ" hidden="1">"c3671"</definedName>
    <definedName name="IQ_FFO_LOW_EST_REUT" hidden="1">"c3840"</definedName>
    <definedName name="IQ_FFO_LOW_GUIDANCE" hidden="1">"c4224"</definedName>
    <definedName name="IQ_FFO_LOW_GUIDANCE_CIQ" hidden="1">"c4636"</definedName>
    <definedName name="IQ_FFO_MEDIAN_EST" hidden="1">"c1665"</definedName>
    <definedName name="IQ_FFO_MEDIAN_EST_CIQ" hidden="1">"c3669"</definedName>
    <definedName name="IQ_FFO_MEDIAN_EST_REUT" hidden="1">"c3838"</definedName>
    <definedName name="IQ_FFO_NUM_EST" hidden="1">"c421"</definedName>
    <definedName name="IQ_FFO_NUM_EST_CIQ" hidden="1">"c3672"</definedName>
    <definedName name="IQ_FFO_NUM_EST_REUT" hidden="1">"c3841"</definedName>
    <definedName name="IQ_FFO_PAYOUT_RATIO" hidden="1">"c3492"</definedName>
    <definedName name="IQ_FFO_SHARE_ACT_OR_EST" hidden="1">"c4446"</definedName>
    <definedName name="IQ_FFO_SHARE_ACT_OR_EST_CIQ" hidden="1">"c4971"</definedName>
    <definedName name="IQ_FFO_SHARE_EST" hidden="1">"c4445"</definedName>
    <definedName name="IQ_FFO_SHARE_EST_CIQ" hidden="1">"c4970"</definedName>
    <definedName name="IQ_FFO_SHARE_GUIDANCE" hidden="1">"c4447"</definedName>
    <definedName name="IQ_FFO_SHARE_GUIDANCE_CIQ" hidden="1">"c4976"</definedName>
    <definedName name="IQ_FFO_SHARE_HIGH_EST" hidden="1">"c4448"</definedName>
    <definedName name="IQ_FFO_SHARE_HIGH_EST_CIQ" hidden="1">"c4977"</definedName>
    <definedName name="IQ_FFO_SHARE_HIGH_GUIDANCE" hidden="1">"c4203"</definedName>
    <definedName name="IQ_FFO_SHARE_HIGH_GUIDANCE_CIQ" hidden="1">"c4615"</definedName>
    <definedName name="IQ_FFO_SHARE_LOW_EST" hidden="1">"c4449"</definedName>
    <definedName name="IQ_FFO_SHARE_LOW_EST_CIQ" hidden="1">"c4978"</definedName>
    <definedName name="IQ_FFO_SHARE_LOW_GUIDANCE" hidden="1">"c4243"</definedName>
    <definedName name="IQ_FFO_SHARE_LOW_GUIDANCE_CIQ" hidden="1">"c4655"</definedName>
    <definedName name="IQ_FFO_SHARE_MEDIAN_EST" hidden="1">"c4450"</definedName>
    <definedName name="IQ_FFO_SHARE_MEDIAN_EST_CIQ" hidden="1">"c4979"</definedName>
    <definedName name="IQ_FFO_SHARE_NUM_EST" hidden="1">"c4451"</definedName>
    <definedName name="IQ_FFO_SHARE_NUM_EST_CIQ" hidden="1">"c4980"</definedName>
    <definedName name="IQ_FFO_SHARE_STDDEV_EST" hidden="1">"c4452"</definedName>
    <definedName name="IQ_FFO_SHARE_STDDEV_EST_CIQ" hidden="1">"c4981"</definedName>
    <definedName name="IQ_FFO_STDDEV_EST" hidden="1">"c422"</definedName>
    <definedName name="IQ_FFO_STDDEV_EST_CIQ" hidden="1">"c3673"</definedName>
    <definedName name="IQ_FFO_STDDEV_EST_REUT" hidden="1">"c3842"</definedName>
    <definedName name="IQ_FH">100000</definedName>
    <definedName name="IQ_FHLB_ADVANCES_FDIC" hidden="1">"c6366"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DUCIARY_ACTIVITIES_FDIC" hidden="1">"c6571"</definedName>
    <definedName name="IQ_FIFETEEN_YEAR_FIXED_AND_FLOATING_RATE_FDIC" hidden="1">"c6423"</definedName>
    <definedName name="IQ_FIFETEEN_YEAR_MORTGAGE_PASS_THROUGHS_FDIC" hidden="1">"c6415"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ATA_SOURCE" hidden="1">"c6788"</definedName>
    <definedName name="IQ_FIN_DIV_ASSETS_CURRENT" hidden="1">"c427"</definedName>
    <definedName name="IQ_FIN_DIV_ASSETS_LT" hidden="1">"c428"</definedName>
    <definedName name="IQ_FIN_DIV_CASH_EQUIV" hidden="1">"c6289"</definedName>
    <definedName name="IQ_FIN_DIV_CURRENT_PORT_DEBT_TOTAL" hidden="1">"c5524"</definedName>
    <definedName name="IQ_FIN_DIV_CURRENT_PORT_LEASES_TOTAL" hidden="1">"c5523"</definedName>
    <definedName name="IQ_FIN_DIV_DEBT_CURRENT" hidden="1">"c429"</definedName>
    <definedName name="IQ_FIN_DIV_DEBT_LT" hidden="1">"c430"</definedName>
    <definedName name="IQ_FIN_DIV_DEBT_LT_TOTAL" hidden="1">"c5526"</definedName>
    <definedName name="IQ_FIN_DIV_DEBT_TOTAL" hidden="1">"c5656"</definedName>
    <definedName name="IQ_FIN_DIV_EXP" hidden="1">"c431"</definedName>
    <definedName name="IQ_FIN_DIV_INT_EXP" hidden="1">"c432"</definedName>
    <definedName name="IQ_FIN_DIV_LEASES_LT_TOTAL" hidden="1">"c5525"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LT_DEBT_TOTAL" hidden="1">"c5655"</definedName>
    <definedName name="IQ_FIN_DIV_NOTES_PAY_TOTAL" hidden="1">"c5522"</definedName>
    <definedName name="IQ_FIN_DIV_REV" hidden="1">"c437"</definedName>
    <definedName name="IQ_FIN_DIV_ST_DEBT_TOTAL" hidden="1">"c5527"</definedName>
    <definedName name="IQ_FIN_DIV_ST_INVEST" hidden="1">"c6288"</definedName>
    <definedName name="IQ_FINANCING_CASH" hidden="1">"c1405"</definedName>
    <definedName name="IQ_FINANCING_CASH_SUPPL" hidden="1">"c1406"</definedName>
    <definedName name="IQ_FINANCING_OBLIG_CURRENT" hidden="1">"c6190"</definedName>
    <definedName name="IQ_FINANCING_OBLIG_NON_CURRENT" hidden="1">"c6191"</definedName>
    <definedName name="IQ_FINISHED_INV" hidden="1">"c438"</definedName>
    <definedName name="IQ_FIRST_INT_DATE" hidden="1">"c2186"</definedName>
    <definedName name="IQ_FIRST_YEAR_LIFE" hidden="1">"c439"</definedName>
    <definedName name="IQ_FIRST_YEAR_LIFE_PREM" hidden="1">"c2787"</definedName>
    <definedName name="IQ_FIRST_YEAR_PREM" hidden="1">"c2786"</definedName>
    <definedName name="IQ_FIRSTPRICINGDATE" hidden="1">"c3050"</definedName>
    <definedName name="IQ_FISCAL_Q" hidden="1">"c440"</definedName>
    <definedName name="IQ_FISCAL_Q_EST" hidden="1">"c6794"</definedName>
    <definedName name="IQ_FISCAL_Q_EST_CIQ" hidden="1">"c6806"</definedName>
    <definedName name="IQ_FISCAL_Q_EST_REUT" hidden="1">"c6798"</definedName>
    <definedName name="IQ_FISCAL_Y" hidden="1">"c441"</definedName>
    <definedName name="IQ_FISCAL_Y_EST" hidden="1">"c6795"</definedName>
    <definedName name="IQ_FISCAL_Y_EST_CIQ" hidden="1">"c6807"</definedName>
    <definedName name="IQ_FISCAL_Y_EST_REUT" hidden="1">"c6799"</definedName>
    <definedName name="IQ_FIVE_PERCENT_OWNER" hidden="1">"c442"</definedName>
    <definedName name="IQ_FIVE_YEAR_FIXED_AND_FLOATING_RATE_FDIC" hidden="1">"c6422"</definedName>
    <definedName name="IQ_FIVE_YEAR_MORTGAGE_PASS_THROUGHS_FDIC" hidden="1">"c6414"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NMA_FHLMC_FDIC" hidden="1">"c6397"</definedName>
    <definedName name="IQ_FNMA_FHLMC_GNMA_FDIC" hidden="1">"c6399"</definedName>
    <definedName name="IQ_FORECLOSED_PROPERTIES_FDIC" hidden="1">"c6459"</definedName>
    <definedName name="IQ_FOREIGN_BANK_LOANS_FDIC" hidden="1">"c6437"</definedName>
    <definedName name="IQ_FOREIGN_BANKS_DEPOSITS_FOREIGN_FDIC" hidden="1">"c6481"</definedName>
    <definedName name="IQ_FOREIGN_BANKS_LOAN_CHARG_OFFS_FDIC" hidden="1">"c6645"</definedName>
    <definedName name="IQ_FOREIGN_BANKS_NET_CHARGE_OFFS_FDIC" hidden="1">"c6647"</definedName>
    <definedName name="IQ_FOREIGN_BANKS_NONTRANSACTION_ACCOUNTS_FDIC" hidden="1">"c6550"</definedName>
    <definedName name="IQ_FOREIGN_BANKS_RECOVERIES_FDIC" hidden="1">"c6646"</definedName>
    <definedName name="IQ_FOREIGN_BANKS_TRANSACTION_ACCOUNTS_FDIC" hidden="1">"c6542"</definedName>
    <definedName name="IQ_FOREIGN_BRANCHES_U.S._BANKS_LOANS_FDIC" hidden="1">"c6438"</definedName>
    <definedName name="IQ_FOREIGN_BRANCHES_US_BANKS_FDIC" hidden="1">"c6392"</definedName>
    <definedName name="IQ_FOREIGN_COUNTRIES_BANKS_TOTAL_LOANS_FOREIGN_FDIC" hidden="1">"c6445"</definedName>
    <definedName name="IQ_FOREIGN_DEBT_SECURITIES_FDIC" hidden="1">"c6303"</definedName>
    <definedName name="IQ_FOREIGN_DEP_IB" hidden="1">"c446"</definedName>
    <definedName name="IQ_FOREIGN_DEP_NON_IB" hidden="1">"c447"</definedName>
    <definedName name="IQ_FOREIGN_DEPOSITS_NONTRANSACTION_ACCOUNTS_FDIC" hidden="1">"c6549"</definedName>
    <definedName name="IQ_FOREIGN_DEPOSITS_TRANSACTION_ACCOUNTS_FDIC" hidden="1">"c6541"</definedName>
    <definedName name="IQ_FOREIGN_EXCHANGE" hidden="1">"c1376"</definedName>
    <definedName name="IQ_FOREIGN_EXCHANGE_EXPOSURES_FDIC" hidden="1">"c6663"</definedName>
    <definedName name="IQ_FOREIGN_GOVERNMENT_LOANS_FDIC" hidden="1">"c6430"</definedName>
    <definedName name="IQ_FOREIGN_GOVERNMENTS_CHARGE_OFFS_FDIC" hidden="1">"c6600"</definedName>
    <definedName name="IQ_FOREIGN_GOVERNMENTS_DEPOSITS_FOREIGN_FDIC" hidden="1">"c6482"</definedName>
    <definedName name="IQ_FOREIGN_GOVERNMENTS_NET_CHARGE_OFFS_FDIC" hidden="1">"c6638"</definedName>
    <definedName name="IQ_FOREIGN_GOVERNMENTS_NONTRANSACTION_ACCOUNTS_FDIC" hidden="1">"c6551"</definedName>
    <definedName name="IQ_FOREIGN_GOVERNMENTS_RECOVERIES_FDIC" hidden="1">"c6619"</definedName>
    <definedName name="IQ_FOREIGN_GOVERNMENTS_TOTAL_DEPOSITS_FDIC" hidden="1">"c6476"</definedName>
    <definedName name="IQ_FOREIGN_GOVERNMENTS_TRANSACTION_ACCOUNTS_FDIC" hidden="1">"c6543"</definedName>
    <definedName name="IQ_FOREIGN_LOANS" hidden="1">"c448"</definedName>
    <definedName name="IQ_FQ">500</definedName>
    <definedName name="IQ_FUEL" hidden="1">"c449"</definedName>
    <definedName name="IQ_FULL_TIME" hidden="1">"c450"</definedName>
    <definedName name="IQ_FULLY_INSURED_DEPOSITS_FDIC" hidden="1">"c6487"</definedName>
    <definedName name="IQ_FUTURES_FORWARD_CONTRACTS_NOTIONAL_AMOUNT_FDIC" hidden="1">"c6518"</definedName>
    <definedName name="IQ_FUTURES_FORWARD_CONTRACTS_RATE_RISK_FDIC" hidden="1">"c6508"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X_CONTRACTS_FDIC" hidden="1">"c6517"</definedName>
    <definedName name="IQ_FX_CONTRACTS_SPOT_FDIC" hidden="1">"c6356"</definedName>
    <definedName name="IQ_FY">1000</definedName>
    <definedName name="IQ_GA_EXP" hidden="1">"c2241"</definedName>
    <definedName name="IQ_GAAP_BS" hidden="1">"c6789"</definedName>
    <definedName name="IQ_GAAP_CF" hidden="1">"c6790"</definedName>
    <definedName name="IQ_GAAP_IS" hidden="1">"c6194"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" hidden="1">"c6217"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" hidden="1">"c6218"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" hidden="1">"c6219"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" hidden="1">"c6220"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" hidden="1">"c6278"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" hidden="1">"c6221"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AIN_SALE_LOANS_FDIC" hidden="1">"c6673"</definedName>
    <definedName name="IQ_GAIN_SALE_RE_FDIC" hidden="1">"c6674"</definedName>
    <definedName name="IQ_GAINS_SALE_ASSETS_FDIC" hidden="1">"c6675"</definedName>
    <definedName name="IQ_GEO_SEG_ASSETS" hidden="1">"c4069"</definedName>
    <definedName name="IQ_GEO_SEG_ASSETS_ABS" hidden="1">"c4091"</definedName>
    <definedName name="IQ_GEO_SEG_ASSETS_TOTAL" hidden="1">"c4123"</definedName>
    <definedName name="IQ_GEO_SEG_CAPEX" hidden="1">"c4083"</definedName>
    <definedName name="IQ_GEO_SEG_CAPEX_ABS" hidden="1">"c4105"</definedName>
    <definedName name="IQ_GEO_SEG_CAPEX_TOTAL" hidden="1">"c4127"</definedName>
    <definedName name="IQ_GEO_SEG_DA" hidden="1">"c4082"</definedName>
    <definedName name="IQ_GEO_SEG_DA_ABS" hidden="1">"c4104"</definedName>
    <definedName name="IQ_GEO_SEG_DA_TOTAL" hidden="1">"c4126"</definedName>
    <definedName name="IQ_GEO_SEG_EARNINGS_OP" hidden="1">"c4073"</definedName>
    <definedName name="IQ_GEO_SEG_EARNINGS_OP_ABS" hidden="1">"c4095"</definedName>
    <definedName name="IQ_GEO_SEG_EARNINGS_OP_TOTAL" hidden="1">"c4119"</definedName>
    <definedName name="IQ_GEO_SEG_EBT" hidden="1">"c4072"</definedName>
    <definedName name="IQ_GEO_SEG_EBT_ABS" hidden="1">"c4094"</definedName>
    <definedName name="IQ_GEO_SEG_EBT_TOTAL" hidden="1">"c4121"</definedName>
    <definedName name="IQ_GEO_SEG_GP" hidden="1">"c4070"</definedName>
    <definedName name="IQ_GEO_SEG_GP_ABS" hidden="1">"c4092"</definedName>
    <definedName name="IQ_GEO_SEG_GP_TOTAL" hidden="1">"c4120"</definedName>
    <definedName name="IQ_GEO_SEG_INC_TAX" hidden="1">"c4081"</definedName>
    <definedName name="IQ_GEO_SEG_INC_TAX_ABS" hidden="1">"c4103"</definedName>
    <definedName name="IQ_GEO_SEG_INC_TAX_TOTAL" hidden="1">"c4125"</definedName>
    <definedName name="IQ_GEO_SEG_INTEREST_EXP" hidden="1">"c4080"</definedName>
    <definedName name="IQ_GEO_SEG_INTEREST_EXP_ABS" hidden="1">"c4102"</definedName>
    <definedName name="IQ_GEO_SEG_INTEREST_EXP_TOTAL" hidden="1">"c4124"</definedName>
    <definedName name="IQ_GEO_SEG_NAME" hidden="1">"c5484"</definedName>
    <definedName name="IQ_GEO_SEG_NAME_ABS" hidden="1">"c5485"</definedName>
    <definedName name="IQ_GEO_SEG_NI" hidden="1">"c4071"</definedName>
    <definedName name="IQ_GEO_SEG_NI_ABS" hidden="1">"c4093"</definedName>
    <definedName name="IQ_GEO_SEG_NI_TOTAL" hidden="1">"c4122"</definedName>
    <definedName name="IQ_GEO_SEG_OPER_INC" hidden="1">"c4075"</definedName>
    <definedName name="IQ_GEO_SEG_OPER_INC_ABS" hidden="1">"c4097"</definedName>
    <definedName name="IQ_GEO_SEG_OPER_INC_TOTAL" hidden="1">"c4118"</definedName>
    <definedName name="IQ_GEO_SEG_REV" hidden="1">"c4074"</definedName>
    <definedName name="IQ_GEO_SEG_REV_ABS" hidden="1">"c4096"</definedName>
    <definedName name="IQ_GEO_SEG_REV_TOTAL" hidden="1">"c4117"</definedName>
    <definedName name="IQ_GNMA_FDIC" hidden="1">"c6398"</definedName>
    <definedName name="IQ_GOODWILL_FDIC" hidden="1">"c6334"</definedName>
    <definedName name="IQ_GOODWILL_IMPAIRMENT_FDIC" hidden="1">"c6678"</definedName>
    <definedName name="IQ_GOODWILL_INTAN_FDIC" hidden="1">"c6333"</definedName>
    <definedName name="IQ_GOODWILL_NET" hidden="1">"c1380"</definedName>
    <definedName name="IQ_GP" hidden="1">"c511"</definedName>
    <definedName name="IQ_GP_10YR_ANN_CAGR" hidden="1">"c6090"</definedName>
    <definedName name="IQ_GP_10YR_ANN_GROWTH" hidden="1">"c512"</definedName>
    <definedName name="IQ_GP_1YR_ANN_GROWTH" hidden="1">"c513"</definedName>
    <definedName name="IQ_GP_2YR_ANN_CAGR" hidden="1">"c6091"</definedName>
    <definedName name="IQ_GP_2YR_ANN_GROWTH" hidden="1">"c514"</definedName>
    <definedName name="IQ_GP_3YR_ANN_CAGR" hidden="1">"c6092"</definedName>
    <definedName name="IQ_GP_3YR_ANN_GROWTH" hidden="1">"c515"</definedName>
    <definedName name="IQ_GP_5YR_ANN_CAGR" hidden="1">"c6093"</definedName>
    <definedName name="IQ_GP_5YR_ANN_GROWTH" hidden="1">"c516"</definedName>
    <definedName name="IQ_GP_7YR_ANN_CAGR" hidden="1">"c6094"</definedName>
    <definedName name="IQ_GP_7YR_ANN_GROWTH" hidden="1">"c517"</definedName>
    <definedName name="IQ_GPPE" hidden="1">"c518"</definedName>
    <definedName name="IQ_GROSS_AH_EARNED" hidden="1">"c2742"</definedName>
    <definedName name="IQ_GROSS_CLAIM_EXP_INCUR" hidden="1">"c2755"</definedName>
    <definedName name="IQ_GROSS_CLAIM_EXP_PAID" hidden="1">"c2758"</definedName>
    <definedName name="IQ_GROSS_CLAIM_EXP_RES" hidden="1">"c2752"</definedName>
    <definedName name="IQ_GROSS_DIVID" hidden="1">"c1446"</definedName>
    <definedName name="IQ_GROSS_EARNED" hidden="1">"c2732"</definedName>
    <definedName name="IQ_GROSS_LIFE_EARNED" hidden="1">"c2737"</definedName>
    <definedName name="IQ_GROSS_LIFE_IN_FORCE" hidden="1">"c2767"</definedName>
    <definedName name="IQ_GROSS_LOANS" hidden="1">"c521"</definedName>
    <definedName name="IQ_GROSS_LOANS_10YR_ANN_CAGR" hidden="1">"c6095"</definedName>
    <definedName name="IQ_GROSS_LOANS_10YR_ANN_GROWTH" hidden="1">"c522"</definedName>
    <definedName name="IQ_GROSS_LOANS_1YR_ANN_GROWTH" hidden="1">"c523"</definedName>
    <definedName name="IQ_GROSS_LOANS_2YR_ANN_CAGR" hidden="1">"c6096"</definedName>
    <definedName name="IQ_GROSS_LOANS_2YR_ANN_GROWTH" hidden="1">"c524"</definedName>
    <definedName name="IQ_GROSS_LOANS_3YR_ANN_CAGR" hidden="1">"c6097"</definedName>
    <definedName name="IQ_GROSS_LOANS_3YR_ANN_GROWTH" hidden="1">"c525"</definedName>
    <definedName name="IQ_GROSS_LOANS_5YR_ANN_CAGR" hidden="1">"c6098"</definedName>
    <definedName name="IQ_GROSS_LOANS_5YR_ANN_GROWTH" hidden="1">"c526"</definedName>
    <definedName name="IQ_GROSS_LOANS_7YR_ANN_CAGR" hidden="1">"c6099"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MARGIN_ACT_OR_EST" hidden="1">"c5554"</definedName>
    <definedName name="IQ_GROSS_MARGIN_EST" hidden="1">"c5547"</definedName>
    <definedName name="IQ_GROSS_MARGIN_HIGH_EST" hidden="1">"c5549"</definedName>
    <definedName name="IQ_GROSS_MARGIN_LOW_EST" hidden="1">"c5550"</definedName>
    <definedName name="IQ_GROSS_MARGIN_MEDIAN_EST" hidden="1">"c5548"</definedName>
    <definedName name="IQ_GROSS_MARGIN_NUM_EST" hidden="1">"c5551"</definedName>
    <definedName name="IQ_GROSS_MARGIN_STDDEV_EST" hidden="1">"c5552"</definedName>
    <definedName name="IQ_GROSS_PC_EARNED" hidden="1">"c2747"</definedName>
    <definedName name="IQ_GROSS_PROFIT" hidden="1">"c1378"</definedName>
    <definedName name="IQ_GROSS_SPRD" hidden="1">"c2155"</definedName>
    <definedName name="IQ_GROSS_WRITTEN" hidden="1">"c2726"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" hidden="1">"c6279"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" hidden="1">"c6280"</definedName>
    <definedName name="IQ_GW_INTAN_AMORT_REIT" hidden="1">"c1480"</definedName>
    <definedName name="IQ_GW_INTAN_AMORT_UTI" hidden="1">"c1481"</definedName>
    <definedName name="IQ_HC_ADMISSIONS" hidden="1">"c5953"</definedName>
    <definedName name="IQ_HC_ADMISSIONS_GROWTH" hidden="1">"c5997"</definedName>
    <definedName name="IQ_HC_ADMISSIONS_MANAGED_CARE" hidden="1">"c5956"</definedName>
    <definedName name="IQ_HC_ADMISSIONS_MEDICAID" hidden="1">"c5955"</definedName>
    <definedName name="IQ_HC_ADMISSIONS_MEDICARE" hidden="1">"c5954"</definedName>
    <definedName name="IQ_HC_ADMISSIONS_OTHER" hidden="1">"c5957"</definedName>
    <definedName name="IQ_HC_ADMISSIONS_SF" hidden="1">"c6006"</definedName>
    <definedName name="IQ_HC_ALFS" hidden="1">"c5952"</definedName>
    <definedName name="IQ_HC_AVG_BEDS_SVC" hidden="1">"c5951"</definedName>
    <definedName name="IQ_HC_AVG_DAILY_CENSUS" hidden="1">"c5965"</definedName>
    <definedName name="IQ_HC_AVG_LICENSED_BEDS" hidden="1">"c5949"</definedName>
    <definedName name="IQ_HC_AVG_LICENSED_BEDS_SF" hidden="1">"c6004"</definedName>
    <definedName name="IQ_HC_AVG_STAY" hidden="1">"c5966"</definedName>
    <definedName name="IQ_HC_AVG_STAY_SF" hidden="1">"c6016"</definedName>
    <definedName name="IQ_HC_BEDS_SVC" hidden="1">"c5950"</definedName>
    <definedName name="IQ_HC_DAYS_REV_OUT" hidden="1">"c5993"</definedName>
    <definedName name="IQ_HC_EQUIV_ADMISSIONS_GROWTH" hidden="1">"c5998"</definedName>
    <definedName name="IQ_HC_EQUIVALENT_ADMISSIONS" hidden="1">"c5958"</definedName>
    <definedName name="IQ_HC_EQUIVALENT_ADMISSIONS_SF" hidden="1">"c6007"</definedName>
    <definedName name="IQ_HC_ER_VISITS" hidden="1">"c5964"</definedName>
    <definedName name="IQ_HC_ER_VISITS_SF" hidden="1">"c6017"</definedName>
    <definedName name="IQ_HC_GROSS_INPATIENT_REV" hidden="1">"c5987"</definedName>
    <definedName name="IQ_HC_GROSS_OUTPATIENT_REV" hidden="1">"c5988"</definedName>
    <definedName name="IQ_HC_GROSS_PATIENT_REV" hidden="1">"c5989"</definedName>
    <definedName name="IQ_HC_HOSP_FACILITIES_CONSOL" hidden="1">"c5945"</definedName>
    <definedName name="IQ_HC_HOSP_FACILITIES_CONSOL_SF" hidden="1">"c6000"</definedName>
    <definedName name="IQ_HC_HOSP_FACILITIES_NON_CONSOL" hidden="1">"c5946"</definedName>
    <definedName name="IQ_HC_HOSP_FACILITIES_NON_CONSOL_SF" hidden="1">"c6001"</definedName>
    <definedName name="IQ_HC_HOSP_FACILITIES_TOTAL" hidden="1">"c5947"</definedName>
    <definedName name="IQ_HC_HOSP_FACILITIES_TOTAL_SF" hidden="1">"c6002"</definedName>
    <definedName name="IQ_HC_INPATIENT_PROCEDURES" hidden="1">"c5961"</definedName>
    <definedName name="IQ_HC_INPATIENT_PROCEDURES_SF" hidden="1">"c6011"</definedName>
    <definedName name="IQ_HC_INPATIENT_REV_PER_ADMISSION" hidden="1">"c5994"</definedName>
    <definedName name="IQ_HC_INTPATIENT_SVCS_PCT_REV" hidden="1">"c5975"</definedName>
    <definedName name="IQ_HC_INTPATIENT_SVCS_PCT_REV_SF" hidden="1">"c6015"</definedName>
    <definedName name="IQ_HC_LICENSED_BEDS" hidden="1">"c5948"</definedName>
    <definedName name="IQ_HC_LICENSED_BEDS_SF" hidden="1">"c6003"</definedName>
    <definedName name="IQ_HC_MANAGED_CARE_PCT_ADMISSIONS" hidden="1">"c5982"</definedName>
    <definedName name="IQ_HC_MANAGED_CARE_PCT_REV" hidden="1">"c5978"</definedName>
    <definedName name="IQ_HC_MEDICAID_PCT_ADMISSIONS" hidden="1">"c5981"</definedName>
    <definedName name="IQ_HC_MEDICAID_PCT_REV" hidden="1">"c5977"</definedName>
    <definedName name="IQ_HC_MEDICARE_PCT_ADMISSIONS" hidden="1">"c5980"</definedName>
    <definedName name="IQ_HC_MEDICARE_PCT_REV" hidden="1">"c5976"</definedName>
    <definedName name="IQ_HC_NET_INPATIENT_REV" hidden="1">"c5984"</definedName>
    <definedName name="IQ_HC_NET_OUTPATIENT_REV" hidden="1">"c5985"</definedName>
    <definedName name="IQ_HC_NET_PATIENT_REV" hidden="1">"c5986"</definedName>
    <definedName name="IQ_HC_NET_PATIENT_REV_SF" hidden="1">"c6005"</definedName>
    <definedName name="IQ_HC_OCC_RATE" hidden="1">"c5967"</definedName>
    <definedName name="IQ_HC_OCC_RATE_LICENSED_BEDS" hidden="1">"c5968"</definedName>
    <definedName name="IQ_HC_OCC_RATE_SF" hidden="1">"c6009"</definedName>
    <definedName name="IQ_HC_OPEX_SUPPLIES" hidden="1">"c5990"</definedName>
    <definedName name="IQ_HC_OTHER_OPEX_PCT_REV" hidden="1">"c5973"</definedName>
    <definedName name="IQ_HC_OUTPATIENT_PROCEDURES" hidden="1">"c5962"</definedName>
    <definedName name="IQ_HC_OUTPATIENT_PROCEDURES_SF" hidden="1">"c6012"</definedName>
    <definedName name="IQ_HC_OUTPATIENT_REV_PER_ADMISSION" hidden="1">"c5995"</definedName>
    <definedName name="IQ_HC_OUTPATIENT_SVCS_PCT_REV" hidden="1">"c5974"</definedName>
    <definedName name="IQ_HC_OUTPATIENT_SVCS_PCT_REV_SF" hidden="1">"c6014"</definedName>
    <definedName name="IQ_HC_PATIENT_DAYS" hidden="1">"c5960"</definedName>
    <definedName name="IQ_HC_PATIENT_DAYS_SF" hidden="1">"c6010"</definedName>
    <definedName name="IQ_HC_PROF_GEN_LIAB_CLAIM_PAID" hidden="1">"c5991"</definedName>
    <definedName name="IQ_HC_PROF_GEN_LIAB_EXP_BENEFIT" hidden="1">"c5992"</definedName>
    <definedName name="IQ_HC_PROVISION_DOUBTFUL_PCT_REV" hidden="1">"c5972"</definedName>
    <definedName name="IQ_HC_REV_GROWTH" hidden="1">"c5996"</definedName>
    <definedName name="IQ_HC_REV_PER_EQUIV_ADMISSION" hidden="1">"c5959"</definedName>
    <definedName name="IQ_HC_REV_PER_EQUIV_ADMISSION_SF" hidden="1">"c6008"</definedName>
    <definedName name="IQ_HC_REV_PER_EQUIV_ADMISSIONS_GROWTH" hidden="1">"c5999"</definedName>
    <definedName name="IQ_HC_REV_PER_PATIENT_DAY" hidden="1">"c5969"</definedName>
    <definedName name="IQ_HC_REV_PER_PATIENT_DAY_SF" hidden="1">"c6018"</definedName>
    <definedName name="IQ_HC_SALARIES_PCT_REV" hidden="1">"c5970"</definedName>
    <definedName name="IQ_HC_SUPPLIES_PCT_REV" hidden="1">"c5971"</definedName>
    <definedName name="IQ_HC_TOTAL_PROCEDURES" hidden="1">"c5963"</definedName>
    <definedName name="IQ_HC_TOTAL_PROCEDURES_SF" hidden="1">"c6013"</definedName>
    <definedName name="IQ_HC_UNINSURED_PCT_ADMISSIONS" hidden="1">"c5983"</definedName>
    <definedName name="IQ_HC_UNINSURED_PCT_REV" hidden="1">"c5979"</definedName>
    <definedName name="IQ_HELD_MATURITY_FDIC" hidden="1">"c6408"</definedName>
    <definedName name="IQ_HIGH_TARGET_PRICE" hidden="1">"c1651"</definedName>
    <definedName name="IQ_HIGH_TARGET_PRICE_CIQ" hidden="1">"c4659"</definedName>
    <definedName name="IQ_HIGH_TARGET_PRICE_REUT" hidden="1">"c5317"</definedName>
    <definedName name="IQ_HIGHPRICE" hidden="1">"c545"</definedName>
    <definedName name="IQ_HOME_AVG_LOAN_SIZE" hidden="1">"c5911"</definedName>
    <definedName name="IQ_HOME_BACKLOG" hidden="1">"c5844"</definedName>
    <definedName name="IQ_HOME_BACKLOG_AVG_JV" hidden="1">"c5848"</definedName>
    <definedName name="IQ_HOME_BACKLOG_AVG_JV_GROWTH" hidden="1">"c5928"</definedName>
    <definedName name="IQ_HOME_BACKLOG_AVG_JV_INC" hidden="1">"c5851"</definedName>
    <definedName name="IQ_HOME_BACKLOG_AVG_JV_INC_GROWTH" hidden="1">"c5931"</definedName>
    <definedName name="IQ_HOME_BACKLOG_AVG_PRICE" hidden="1">"c5845"</definedName>
    <definedName name="IQ_HOME_BACKLOG_AVG_PRICE_GROWTH" hidden="1">"c5925"</definedName>
    <definedName name="IQ_HOME_BACKLOG_GROWTH" hidden="1">"c5924"</definedName>
    <definedName name="IQ_HOME_BACKLOG_JV" hidden="1">"c5847"</definedName>
    <definedName name="IQ_HOME_BACKLOG_JV_GROWTH" hidden="1">"c5927"</definedName>
    <definedName name="IQ_HOME_BACKLOG_JV_INC" hidden="1">"c5850"</definedName>
    <definedName name="IQ_HOME_BACKLOG_JV_INC_GROWTH" hidden="1">"c5930"</definedName>
    <definedName name="IQ_HOME_BACKLOG_VALUE" hidden="1">"c5846"</definedName>
    <definedName name="IQ_HOME_BACKLOG_VALUE_GROWTH" hidden="1">"c5926"</definedName>
    <definedName name="IQ_HOME_BACKLOG_VALUE_JV" hidden="1">"c5849"</definedName>
    <definedName name="IQ_HOME_BACKLOG_VALUE_JV_GROWTH" hidden="1">"c5929"</definedName>
    <definedName name="IQ_HOME_BACKLOG_VALUE_JV_INC" hidden="1">"c5852"</definedName>
    <definedName name="IQ_HOME_BACKLOG_VALUE_JV_INC_GROWTH" hidden="1">"c5932"</definedName>
    <definedName name="IQ_HOME_COMMUNITIES_ACTIVE" hidden="1">"c5862"</definedName>
    <definedName name="IQ_HOME_COMMUNITIES_ACTIVE_GROWTH" hidden="1">"c5942"</definedName>
    <definedName name="IQ_HOME_COMMUNITIES_ACTIVE_JV" hidden="1">"c5863"</definedName>
    <definedName name="IQ_HOME_COMMUNITIES_ACTIVE_JV_GROWTH" hidden="1">"c5943"</definedName>
    <definedName name="IQ_HOME_COMMUNITIES_ACTIVE_JV_INC" hidden="1">"c5864"</definedName>
    <definedName name="IQ_HOME_COMMUNITIES_ACTIVE_JV_INC_GROWTH" hidden="1">"c5944"</definedName>
    <definedName name="IQ_HOME_COST_CONSTRUCTION_SVCS" hidden="1">"c5882"</definedName>
    <definedName name="IQ_HOME_COST_ELIMINATIONS_OTHER" hidden="1">"c5883"</definedName>
    <definedName name="IQ_HOME_COST_FINANCIAL_SVCS" hidden="1">"c5881"</definedName>
    <definedName name="IQ_HOME_COST_HOUSING" hidden="1">"c5877"</definedName>
    <definedName name="IQ_HOME_COST_LAND_LOT" hidden="1">"c5878"</definedName>
    <definedName name="IQ_HOME_COST_OTHER_HOMEBUILDING" hidden="1">"c5879"</definedName>
    <definedName name="IQ_HOME_COST_TOTAL" hidden="1">"c5884"</definedName>
    <definedName name="IQ_HOME_COST_TOTAL_HOMEBUILDING" hidden="1">"c5880"</definedName>
    <definedName name="IQ_HOME_DELIVERED" hidden="1">"c5835"</definedName>
    <definedName name="IQ_HOME_DELIVERED_AVG_PRICE" hidden="1">"c5836"</definedName>
    <definedName name="IQ_HOME_DELIVERED_AVG_PRICE_GROWTH" hidden="1">"c5916"</definedName>
    <definedName name="IQ_HOME_DELIVERED_AVG_PRICE_JV" hidden="1">"c5839"</definedName>
    <definedName name="IQ_HOME_DELIVERED_AVG_PRICE_JV_GROWTH" hidden="1">"c5919"</definedName>
    <definedName name="IQ_HOME_DELIVERED_AVG_PRICE_JV_INC" hidden="1">"c5842"</definedName>
    <definedName name="IQ_HOME_DELIVERED_AVG_PRICE_JV_INC_GROWTH" hidden="1">"c5922"</definedName>
    <definedName name="IQ_HOME_DELIVERED_GROWTH" hidden="1">"c5915"</definedName>
    <definedName name="IQ_HOME_DELIVERED_JV" hidden="1">"c5838"</definedName>
    <definedName name="IQ_HOME_DELIVERED_JV_GROWTH" hidden="1">"c5918"</definedName>
    <definedName name="IQ_HOME_DELIVERED_JV_INC" hidden="1">"c5841"</definedName>
    <definedName name="IQ_HOME_DELIVERED_JV_INC_GROWTH" hidden="1">"c5921"</definedName>
    <definedName name="IQ_HOME_DELIVERED_VALUE" hidden="1">"c5837"</definedName>
    <definedName name="IQ_HOME_DELIVERED_VALUE_GROWTH" hidden="1">"c5917"</definedName>
    <definedName name="IQ_HOME_DELIVERED_VALUE_JV" hidden="1">"c5840"</definedName>
    <definedName name="IQ_HOME_DELIVERED_VALUE_JV_GROWTH" hidden="1">"c5920"</definedName>
    <definedName name="IQ_HOME_DELIVERED_VALUE_JV_INC" hidden="1">"c5843"</definedName>
    <definedName name="IQ_HOME_DELIVERED_VALUE_JV_INC_GROWTH" hidden="1">"c5923"</definedName>
    <definedName name="IQ_HOME_EQUITY_LOC_NET_CHARGE_OFFS_FDIC" hidden="1">"c6644"</definedName>
    <definedName name="IQ_HOME_EQUITY_LOC_TOTAL_CHARGE_OFFS_FDIC" hidden="1">"c6606"</definedName>
    <definedName name="IQ_HOME_EQUITY_LOC_TOTAL_RECOVERIES_FDIC" hidden="1">"c6625"</definedName>
    <definedName name="IQ_HOME_FINISHED_HOMES_CIP" hidden="1">"c5865"</definedName>
    <definedName name="IQ_HOME_FIRSTLIEN_MORT_ORIGINATED" hidden="1">"c5905"</definedName>
    <definedName name="IQ_HOME_FIRSTLIEN_MORT_ORIGINATED_VOL" hidden="1">"c5908"</definedName>
    <definedName name="IQ_HOME_HUC" hidden="1">"c5822"</definedName>
    <definedName name="IQ_HOME_HUC_JV" hidden="1">"c5823"</definedName>
    <definedName name="IQ_HOME_HUC_JV_INC" hidden="1">"c5824"</definedName>
    <definedName name="IQ_HOME_INV_NOT_OWNED" hidden="1">"c5868"</definedName>
    <definedName name="IQ_HOME_LAND_DEVELOPMENT" hidden="1">"c5866"</definedName>
    <definedName name="IQ_HOME_LAND_FUTURE_DEVELOPMENT" hidden="1">"c5867"</definedName>
    <definedName name="IQ_HOME_LOAN_APPLICATIONS" hidden="1">"c5910"</definedName>
    <definedName name="IQ_HOME_LOANS_SOLD_COUNT" hidden="1">"c5912"</definedName>
    <definedName name="IQ_HOME_LOANS_SOLD_VALUE" hidden="1">"c5913"</definedName>
    <definedName name="IQ_HOME_LOTS_CONTROLLED" hidden="1">"c5831"</definedName>
    <definedName name="IQ_HOME_LOTS_FINISHED" hidden="1">"c5827"</definedName>
    <definedName name="IQ_HOME_LOTS_HELD_SALE" hidden="1">"c5830"</definedName>
    <definedName name="IQ_HOME_LOTS_JV" hidden="1">"c5833"</definedName>
    <definedName name="IQ_HOME_LOTS_JV_INC" hidden="1">"c5834"</definedName>
    <definedName name="IQ_HOME_LOTS_OTHER" hidden="1">"c5832"</definedName>
    <definedName name="IQ_HOME_LOTS_OWNED" hidden="1">"c5828"</definedName>
    <definedName name="IQ_HOME_LOTS_UNDER_DEVELOPMENT" hidden="1">"c5826"</definedName>
    <definedName name="IQ_HOME_LOTS_UNDER_OPTION" hidden="1">"c5829"</definedName>
    <definedName name="IQ_HOME_LOTS_UNDEVELOPED" hidden="1">"c5825"</definedName>
    <definedName name="IQ_HOME_MORT_CAPTURE_RATE" hidden="1">"c5906"</definedName>
    <definedName name="IQ_HOME_MORT_ORIGINATED" hidden="1">"c5907"</definedName>
    <definedName name="IQ_HOME_OBLIGATIONS_INV_NOT_OWNED" hidden="1">"c5914"</definedName>
    <definedName name="IQ_HOME_ORDERS" hidden="1">"c5853"</definedName>
    <definedName name="IQ_HOME_ORDERS_AVG_PRICE" hidden="1">"c5854"</definedName>
    <definedName name="IQ_HOME_ORDERS_AVG_PRICE_GROWTH" hidden="1">"c5934"</definedName>
    <definedName name="IQ_HOME_ORDERS_AVG_PRICE_JV" hidden="1">"c5857"</definedName>
    <definedName name="IQ_HOME_ORDERS_AVG_PRICE_JV_GROWTH" hidden="1">"c5937"</definedName>
    <definedName name="IQ_HOME_ORDERS_AVG_PRICE_JV_INC" hidden="1">"c5860"</definedName>
    <definedName name="IQ_HOME_ORDERS_AVG_PRICE_JV_INC_GROWTH" hidden="1">"c5940"</definedName>
    <definedName name="IQ_HOME_ORDERS_GROWTH" hidden="1">"c5933"</definedName>
    <definedName name="IQ_HOME_ORDERS_JV" hidden="1">"c5856"</definedName>
    <definedName name="IQ_HOME_ORDERS_JV_GROWTH" hidden="1">"c5936"</definedName>
    <definedName name="IQ_HOME_ORDERS_JV_INC" hidden="1">"c5859"</definedName>
    <definedName name="IQ_HOME_ORDERS_JV_INC_GROWTH" hidden="1">"c5939"</definedName>
    <definedName name="IQ_HOME_ORDERS_VALUE" hidden="1">"c5855"</definedName>
    <definedName name="IQ_HOME_ORDERS_VALUE_GROWTH" hidden="1">"c5935"</definedName>
    <definedName name="IQ_HOME_ORDERS_VALUE_JV" hidden="1">"c5858"</definedName>
    <definedName name="IQ_HOME_ORDERS_VALUE_JV_GROWTH" hidden="1">"c5938"</definedName>
    <definedName name="IQ_HOME_ORDERS_VALUE_JV_INC" hidden="1">"c5861"</definedName>
    <definedName name="IQ_HOME_ORDERS_VALUE_JV_INC_GROWTH" hidden="1">"c5941"</definedName>
    <definedName name="IQ_HOME_ORIGINATION_TOTAL" hidden="1">"c5909"</definedName>
    <definedName name="IQ_HOME_PRETAX_INC_CONSTRUCTION_SVCS" hidden="1">"c5890"</definedName>
    <definedName name="IQ_HOME_PRETAX_INC_ELIMINATIONS_OTHER" hidden="1">"c5891"</definedName>
    <definedName name="IQ_HOME_PRETAX_INC_FINANCIAL_SVCS" hidden="1">"c5889"</definedName>
    <definedName name="IQ_HOME_PRETAX_INC_HOUSING" hidden="1">"c5885"</definedName>
    <definedName name="IQ_HOME_PRETAX_INC_LAND_LOT" hidden="1">"c5886"</definedName>
    <definedName name="IQ_HOME_PRETAX_INC_OTHER_HOMEBUILDING" hidden="1">"c5887"</definedName>
    <definedName name="IQ_HOME_PRETAX_INC_TOTAL" hidden="1">"c5892"</definedName>
    <definedName name="IQ_HOME_PRETAX_INC_TOTAL_HOMEBUILDING" hidden="1">"c5888"</definedName>
    <definedName name="IQ_HOME_PURCH_OBLIGATION_1YR" hidden="1">"c5898"</definedName>
    <definedName name="IQ_HOME_PURCH_OBLIGATION_2YR" hidden="1">"c5899"</definedName>
    <definedName name="IQ_HOME_PURCH_OBLIGATION_3YR" hidden="1">"c5900"</definedName>
    <definedName name="IQ_HOME_PURCH_OBLIGATION_4YR" hidden="1">"c5901"</definedName>
    <definedName name="IQ_HOME_PURCH_OBLIGATION_5YR" hidden="1">"c5902"</definedName>
    <definedName name="IQ_HOME_PURCH_OBLIGATION_AFTER5" hidden="1">"c5903"</definedName>
    <definedName name="IQ_HOME_PURCH_OBLIGATION_TOTAL" hidden="1">"c5904"</definedName>
    <definedName name="IQ_HOME_REV_CONSTRUCTION_SERVICES" hidden="1">"c5874"</definedName>
    <definedName name="IQ_HOME_REV_ELIMINATIONS_OTHER" hidden="1">"c5875"</definedName>
    <definedName name="IQ_HOME_REV_FINANCIAL_SERVICES" hidden="1">"c5873"</definedName>
    <definedName name="IQ_HOME_REV_HOUSING" hidden="1">"c5872"</definedName>
    <definedName name="IQ_HOME_REV_LAND_LOT" hidden="1">"c5870"</definedName>
    <definedName name="IQ_HOME_REV_OTHER_HOMEBUILDING" hidden="1">"c5871"</definedName>
    <definedName name="IQ_HOME_REV_TOTAL" hidden="1">"c5876"</definedName>
    <definedName name="IQ_HOME_TOTAL_INV" hidden="1">"c5869"</definedName>
    <definedName name="IQ_HOME_WARRANTY_RES_BEG" hidden="1">"c5893"</definedName>
    <definedName name="IQ_HOME_WARRANTY_RES_END" hidden="1">"c5897"</definedName>
    <definedName name="IQ_HOME_WARRANTY_RES_ISS" hidden="1">"c5894"</definedName>
    <definedName name="IQ_HOME_WARRANTY_RES_OTHER" hidden="1">"c5896"</definedName>
    <definedName name="IQ_HOME_WARRANTY_RES_PAY" hidden="1">"c5895"</definedName>
    <definedName name="IQ_HOMEOWNERS_WRITTEN" hidden="1">"c546"</definedName>
    <definedName name="IQ_IMPAIR_OIL" hidden="1">"c547"</definedName>
    <definedName name="IQ_IMPAIRMENT_GW" hidden="1">"c548"</definedName>
    <definedName name="IQ_IMPUT_OPER_LEASE_DEPR" hidden="1">"c2987"</definedName>
    <definedName name="IQ_IMPUT_OPER_LEASE_INT_EXP" hidden="1">"c2986"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" hidden="1">"c6222"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CIDENTAL_CHANGES_BUSINESS_COMBINATIONS_FDIC" hidden="1">"c6502"</definedName>
    <definedName name="IQ_INCOME_BEFORE_EXTRA_FDIC" hidden="1">"c6585"</definedName>
    <definedName name="IQ_INCOME_EARNED_FDIC" hidden="1">"c6359"</definedName>
    <definedName name="IQ_INCOME_TAXES_FDIC" hidden="1">"c6582"</definedName>
    <definedName name="IQ_INDEX_PROVIDED_DIVIDEND" hidden="1">"c19252"</definedName>
    <definedName name="IQ_INDEXCONSTITUENT_CLOSEPRICE" hidden="1">"c19241"</definedName>
    <definedName name="IQ_INDIVIDUALS_CHARGE_OFFS_FDIC" hidden="1">"c6599"</definedName>
    <definedName name="IQ_INDIVIDUALS_LOANS_FDIC" hidden="1">"c6318"</definedName>
    <definedName name="IQ_INDIVIDUALS_NET_CHARGE_OFFS_FDIC" hidden="1">"c6637"</definedName>
    <definedName name="IQ_INDIVIDUALS_OTHER_LOANS_FDIC" hidden="1">"c6321"</definedName>
    <definedName name="IQ_INDIVIDUALS_PARTNERSHIPS_CORP_DEPOSITS_FOREIGN_FDIC" hidden="1">"c6479"</definedName>
    <definedName name="IQ_INDIVIDUALS_PARTNERSHIPS_CORP_NONTRANSACTION_ACCOUNTS_FDIC" hidden="1">"c6545"</definedName>
    <definedName name="IQ_INDIVIDUALS_PARTNERSHIPS_CORP_TOTAL_DEPOSITS_FDIC" hidden="1">"c6471"</definedName>
    <definedName name="IQ_INDIVIDUALS_PARTNERSHIPS_CORP_TRANSACTION_ACCOUNTS_FDIC" hidden="1">"c6537"</definedName>
    <definedName name="IQ_INDIVIDUALS_RECOVERIES_FDIC" hidden="1">"c6618"</definedName>
    <definedName name="IQ_INDUSTRY" hidden="1">"c3601"</definedName>
    <definedName name="IQ_INDUSTRY_GROUP" hidden="1">"c3602"</definedName>
    <definedName name="IQ_INDUSTRY_SECTOR" hidden="1">"c3603"</definedName>
    <definedName name="IQ_INS_ANNUITY_LIAB" hidden="1">"c563"</definedName>
    <definedName name="IQ_INS_ANNUITY_REV" hidden="1">"c2788"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" hidden="1">"c6223"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LOANS_FDIC" hidden="1">"c6365"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TITUTIONS_EARNINGS_GAINS_FDIC" hidden="1">"c6723"</definedName>
    <definedName name="IQ_INSUR_RECEIV" hidden="1">"c1600"</definedName>
    <definedName name="IQ_INSURANCE_COMMISSION_FEES_FDIC" hidden="1">"c6670"</definedName>
    <definedName name="IQ_INSURANCE_UNDERWRITING_INCOME_FDIC" hidden="1">"c6671"</definedName>
    <definedName name="IQ_INT_BORROW" hidden="1">"c583"</definedName>
    <definedName name="IQ_INT_DEMAND_NOTES_FDIC" hidden="1">"c6567"</definedName>
    <definedName name="IQ_INT_DEPOSITS" hidden="1">"c584"</definedName>
    <definedName name="IQ_INT_DIV_INC" hidden="1">"c585"</definedName>
    <definedName name="IQ_INT_DOMESTIC_DEPOSITS_FDIC" hidden="1">"c6564"</definedName>
    <definedName name="IQ_INT_EXP_BR" hidden="1">"c586"</definedName>
    <definedName name="IQ_INT_EXP_COVERAGE" hidden="1">"c587"</definedName>
    <definedName name="IQ_INT_EXP_FIN" hidden="1">"c588"</definedName>
    <definedName name="IQ_INT_EXP_INCL_CAP" hidden="1">"c2988"</definedName>
    <definedName name="IQ_INT_EXP_INS" hidden="1">"c589"</definedName>
    <definedName name="IQ_INT_EXP_LTD" hidden="1">"c2086"</definedName>
    <definedName name="IQ_INT_EXP_RE" hidden="1">"c6224"</definedName>
    <definedName name="IQ_INT_EXP_REIT" hidden="1">"c590"</definedName>
    <definedName name="IQ_INT_EXP_TOTAL" hidden="1">"c591"</definedName>
    <definedName name="IQ_INT_EXP_TOTAL_FDIC" hidden="1">"c6569"</definedName>
    <definedName name="IQ_INT_EXP_UTI" hidden="1">"c592"</definedName>
    <definedName name="IQ_INT_FED_FUNDS_FDIC" hidden="1">"c6566"</definedName>
    <definedName name="IQ_INT_FOREIGN_DEPOSITS_FDIC" hidden="1">"c6565"</definedName>
    <definedName name="IQ_INT_INC_BR" hidden="1">"c593"</definedName>
    <definedName name="IQ_INT_INC_DEPOSITORY_INST_FDIC" hidden="1">"c6558"</definedName>
    <definedName name="IQ_INT_INC_DOM_LOANS_FDIC" hidden="1">"c6555"</definedName>
    <definedName name="IQ_INT_INC_FED_FUNDS_FDIC" hidden="1">"c6561"</definedName>
    <definedName name="IQ_INT_INC_FIN" hidden="1">"c594"</definedName>
    <definedName name="IQ_INT_INC_FOREIGN_LOANS_FDIC" hidden="1">"c6556"</definedName>
    <definedName name="IQ_INT_INC_INVEST" hidden="1">"c595"</definedName>
    <definedName name="IQ_INT_INC_LEASE_RECEIVABLES_FDIC" hidden="1">"c6557"</definedName>
    <definedName name="IQ_INT_INC_LOANS" hidden="1">"c596"</definedName>
    <definedName name="IQ_INT_INC_OTHER_FDIC" hidden="1">"c6562"</definedName>
    <definedName name="IQ_INT_INC_RE" hidden="1">"c6225"</definedName>
    <definedName name="IQ_INT_INC_REIT" hidden="1">"c597"</definedName>
    <definedName name="IQ_INT_INC_SECURITIES_FDIC" hidden="1">"c6559"</definedName>
    <definedName name="IQ_INT_INC_TOTAL" hidden="1">"c598"</definedName>
    <definedName name="IQ_INT_INC_TOTAL_FDIC" hidden="1">"c6563"</definedName>
    <definedName name="IQ_INT_INC_TRADING_ACCOUNTS_FDIC" hidden="1">"c6560"</definedName>
    <definedName name="IQ_INT_INC_UTI" hidden="1">"c599"</definedName>
    <definedName name="IQ_INT_INV_INC" hidden="1">"c600"</definedName>
    <definedName name="IQ_INT_INV_INC_RE" hidden="1">"c6226"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_SUB_NOTES_FDIC" hidden="1">"c6568"</definedName>
    <definedName name="IQ_INTANGIBLES_NET" hidden="1">"c1407"</definedName>
    <definedName name="IQ_INTEREST_BEARING_BALANCES_FDIC" hidden="1">"c6371"</definedName>
    <definedName name="IQ_INTEREST_BEARING_DEPOSITS_DOMESTIC_FDIC" hidden="1">"c6478"</definedName>
    <definedName name="IQ_INTEREST_BEARING_DEPOSITS_FDIC" hidden="1">"c6373"</definedName>
    <definedName name="IQ_INTEREST_BEARING_DEPOSITS_FOREIGN_FDIC" hidden="1">"c6485"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TEREST_RATE_CONTRACTS_FDIC" hidden="1">"c6512"</definedName>
    <definedName name="IQ_INTEREST_RATE_EXPOSURES_FDIC" hidden="1">"c6662"</definedName>
    <definedName name="IQ_INV_10YR_ANN_CAGR" hidden="1">"c6164"</definedName>
    <definedName name="IQ_INV_10YR_ANN_GROWTH" hidden="1">"c1930"</definedName>
    <definedName name="IQ_INV_1YR_ANN_GROWTH" hidden="1">"c1925"</definedName>
    <definedName name="IQ_INV_2YR_ANN_CAGR" hidden="1">"c6160"</definedName>
    <definedName name="IQ_INV_2YR_ANN_GROWTH" hidden="1">"c1926"</definedName>
    <definedName name="IQ_INV_3YR_ANN_CAGR" hidden="1">"c6161"</definedName>
    <definedName name="IQ_INV_3YR_ANN_GROWTH" hidden="1">"c1927"</definedName>
    <definedName name="IQ_INV_5YR_ANN_CAGR" hidden="1">"c6162"</definedName>
    <definedName name="IQ_INV_5YR_ANN_GROWTH" hidden="1">"c1928"</definedName>
    <definedName name="IQ_INV_7YR_ANN_CAGR" hidden="1">"c6163"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GOV_SECURITY" hidden="1">"c5510"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" hidden="1">"c6227"</definedName>
    <definedName name="IQ_INVEST_LOANS_CF_REIT" hidden="1">"c633"</definedName>
    <definedName name="IQ_INVEST_LOANS_CF_UTI" hidden="1">"c634"</definedName>
    <definedName name="IQ_INVEST_MUNI_SECURITY" hidden="1">"c5512"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" hidden="1">"c6228"</definedName>
    <definedName name="IQ_INVEST_SECURITY_CF_REIT" hidden="1">"c642"</definedName>
    <definedName name="IQ_INVEST_SECURITY_CF_UTI" hidden="1">"c643"</definedName>
    <definedName name="IQ_INVEST_SECURITY_SUPPL" hidden="1">"c5511"</definedName>
    <definedName name="IQ_INVESTMENT_BANKING_OTHER_FEES_FDIC" hidden="1">"c6666"</definedName>
    <definedName name="IQ_IPRD" hidden="1">"c644"</definedName>
    <definedName name="IQ_IRA_KEOGH_ACCOUNTS_FDIC" hidden="1">"c6496"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D_GUARANTEED_US_FDIC" hidden="1">"c6404"</definedName>
    <definedName name="IQ_ISSUER" hidden="1">"c2143"</definedName>
    <definedName name="IQ_ISSUER_CIQID" hidden="1">"c2258"</definedName>
    <definedName name="IQ_ISSUER_PARENT" hidden="1">"c2144"</definedName>
    <definedName name="IQ_ISSUER_PARENT_CIQID" hidden="1">"c2260"</definedName>
    <definedName name="IQ_ISSUER_PARENT_TICKER" hidden="1">"c2259"</definedName>
    <definedName name="IQ_ISSUER_TICKER" hidden="1">"c2252"</definedName>
    <definedName name="IQ_JR_SUB_DEBT" hidden="1">"c2534"</definedName>
    <definedName name="IQ_JR_SUB_DEBT_EBITDA" hidden="1">"c2560"</definedName>
    <definedName name="IQ_JR_SUB_DEBT_EBITDA_CAPEX" hidden="1">"c2561"</definedName>
    <definedName name="IQ_JR_SUB_DEBT_PCT" hidden="1">"c2535"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PRICINGDATE" hidden="1">"c3051"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ASE_FINANCING_RECEIVABLES_CHARGE_OFFS_FDIC" hidden="1">"c6602"</definedName>
    <definedName name="IQ_LEASE_FINANCING_RECEIVABLES_FDIC" hidden="1">"c6433"</definedName>
    <definedName name="IQ_LEASE_FINANCING_RECEIVABLES_NET_CHARGE_OFFS_FDIC" hidden="1">"c6640"</definedName>
    <definedName name="IQ_LEASE_FINANCING_RECEIVABLES_RECOVERIES_FDIC" hidden="1">"c6621"</definedName>
    <definedName name="IQ_LEASE_FINANCING_RECEIVABLES_TOTAL_LOANS_FOREIGN_FDIC" hidden="1">"c6449"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" hidden="1">"c6229"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CAGR" hidden="1">"c6174"</definedName>
    <definedName name="IQ_LFCF_10YR_ANN_GROWTH" hidden="1">"c1942"</definedName>
    <definedName name="IQ_LFCF_1YR_ANN_GROWTH" hidden="1">"c1937"</definedName>
    <definedName name="IQ_LFCF_2YR_ANN_CAGR" hidden="1">"c6170"</definedName>
    <definedName name="IQ_LFCF_2YR_ANN_GROWTH" hidden="1">"c1938"</definedName>
    <definedName name="IQ_LFCF_3YR_ANN_CAGR" hidden="1">"c6171"</definedName>
    <definedName name="IQ_LFCF_3YR_ANN_GROWTH" hidden="1">"c1939"</definedName>
    <definedName name="IQ_LFCF_5YR_ANN_CAGR" hidden="1">"c6172"</definedName>
    <definedName name="IQ_LFCF_5YR_ANN_GROWTH" hidden="1">"c1940"</definedName>
    <definedName name="IQ_LFCF_7YR_ANN_CAGR" hidden="1">"c6173"</definedName>
    <definedName name="IQ_LFCF_7YR_ANN_GROWTH" hidden="1">"c1941"</definedName>
    <definedName name="IQ_LFCF_MARGIN" hidden="1">"c1961"</definedName>
    <definedName name="IQ_LH_STATUTORY_SURPLUS" hidden="1">"c2771"</definedName>
    <definedName name="IQ_LICENSED_POPS" hidden="1">"c2123"</definedName>
    <definedName name="IQ_LIFE_EARNED" hidden="1">"c2739"</definedName>
    <definedName name="IQ_LIFE_INSURANCE_ASSETS_FDIC" hidden="1">"c6372"</definedName>
    <definedName name="IQ_LIFOR" hidden="1">"c655"</definedName>
    <definedName name="IQ_LL" hidden="1">"c656"</definedName>
    <definedName name="IQ_LOAN_COMMITMENTS_REVOLVING_FDIC" hidden="1">"c6524"</definedName>
    <definedName name="IQ_LOAN_LEASE_RECEIV" hidden="1">"c657"</definedName>
    <definedName name="IQ_LOAN_LOSS" hidden="1">"c1386"</definedName>
    <definedName name="IQ_LOAN_LOSS_ALLOW_FDIC" hidden="1">"c6326"</definedName>
    <definedName name="IQ_LOAN_LOSS_ALLOWANCE_NONCURRENT_LOANS_FDIC" hidden="1">"c6740"</definedName>
    <definedName name="IQ_LOAN_LOSSES_FDIC" hidden="1">"c6580"</definedName>
    <definedName name="IQ_LOAN_SERVICE_REV" hidden="1">"c658"</definedName>
    <definedName name="IQ_LOANS_AND_LEASES_HELD_FDIC" hidden="1">"c6367"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" hidden="1">"c6230"</definedName>
    <definedName name="IQ_LOANS_CF_REIT" hidden="1">"c664"</definedName>
    <definedName name="IQ_LOANS_CF_UTI" hidden="1">"c665"</definedName>
    <definedName name="IQ_LOANS_DEPOSITORY_INSTITUTIONS_FDIC" hidden="1">"c6382"</definedName>
    <definedName name="IQ_LOANS_FOR_SALE" hidden="1">"c666"</definedName>
    <definedName name="IQ_LOANS_HELD_FOREIGN_FDIC" hidden="1">"c6315"</definedName>
    <definedName name="IQ_LOANS_LEASES_FOREIGN_FDIC" hidden="1">"c6383"</definedName>
    <definedName name="IQ_LOANS_LEASES_GROSS_FDIC" hidden="1">"c6323"</definedName>
    <definedName name="IQ_LOANS_LEASES_GROSS_FOREIGN_FDIC" hidden="1">"c6384"</definedName>
    <definedName name="IQ_LOANS_LEASES_NET_FDIC" hidden="1">"c6327"</definedName>
    <definedName name="IQ_LOANS_LEASES_NET_UNEARNED_FDIC" hidden="1">"c6325"</definedName>
    <definedName name="IQ_LOANS_NOT_SECURED_RE_FDIC" hidden="1">"c6381"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ANS_SECURED_BY_RE_CHARGE_OFFS_FDIC" hidden="1">"c6588"</definedName>
    <definedName name="IQ_LOANS_SECURED_BY_RE_RECOVERIES_FDIC" hidden="1">"c6607"</definedName>
    <definedName name="IQ_LOANS_SECURED_NON_US_FDIC" hidden="1">"c6380"</definedName>
    <definedName name="IQ_LOANS_SECURED_RE_NET_CHARGE_OFFS_FDIC" hidden="1">"c6626"</definedName>
    <definedName name="IQ_LOANS_TO_DEPOSITORY_INSTITUTIONS_FOREIGN_FDIC" hidden="1">"c6453"</definedName>
    <definedName name="IQ_LOANS_TO_FOREIGN_GOVERNMENTS_FDIC" hidden="1">"c6448"</definedName>
    <definedName name="IQ_LOANS_TO_INDIVIDUALS_FOREIGN_FDIC" hidden="1">"c6452"</definedName>
    <definedName name="IQ_LONG_TERM_ASSETS_FDIC" hidden="1">"c6361"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ALLOWANCE_LOANS_FDIC" hidden="1">"c6739"</definedName>
    <definedName name="IQ_LOSS_LOSS_EXP" hidden="1">"c672"</definedName>
    <definedName name="IQ_LOSS_TO_NET_EARNED" hidden="1">"c2751"</definedName>
    <definedName name="IQ_LOW_TARGET_PRICE" hidden="1">"c1652"</definedName>
    <definedName name="IQ_LOW_TARGET_PRICE_CIQ" hidden="1">"c4660"</definedName>
    <definedName name="IQ_LOW_TARGET_PRICE_REUT" hidden="1">"c5318"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CAPITAL_LEASES" hidden="1">"c2542"</definedName>
    <definedName name="IQ_LT_DEBT_CAPITAL_LEASES_PCT" hidden="1">"c2543"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" hidden="1">"c6231"</definedName>
    <definedName name="IQ_LT_DEBT_ISSUED_REIT" hidden="1">"c686"</definedName>
    <definedName name="IQ_LT_DEBT_ISSUED_UTI" hidden="1">"c687"</definedName>
    <definedName name="IQ_LT_DEBT_RE" hidden="1">"c6232"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" hidden="1">"c6233"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" hidden="1">"c6234"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>2000</definedName>
    <definedName name="IQ_LTM_REVENUE_OVER_EMPLOYEES" hidden="1">"c1437"</definedName>
    <definedName name="IQ_LTMMONTH" hidden="1">120000</definedName>
    <definedName name="IQ_MACHINERY" hidden="1">"c711"</definedName>
    <definedName name="IQ_MAINT_CAPEX" hidden="1">"c2947"</definedName>
    <definedName name="IQ_MAINT_CAPEX_ACT_OR_EST" hidden="1">"c4458"</definedName>
    <definedName name="IQ_MAINT_CAPEX_ACT_OR_EST_CIQ" hidden="1">"c4987"</definedName>
    <definedName name="IQ_MAINT_CAPEX_EST" hidden="1">"c4457"</definedName>
    <definedName name="IQ_MAINT_CAPEX_EST_CIQ" hidden="1">"c4986"</definedName>
    <definedName name="IQ_MAINT_CAPEX_GUIDANCE" hidden="1">"c4459"</definedName>
    <definedName name="IQ_MAINT_CAPEX_GUIDANCE_CIQ" hidden="1">"c4988"</definedName>
    <definedName name="IQ_MAINT_CAPEX_HIGH_EST" hidden="1">"c4460"</definedName>
    <definedName name="IQ_MAINT_CAPEX_HIGH_EST_CIQ" hidden="1">"c4989"</definedName>
    <definedName name="IQ_MAINT_CAPEX_HIGH_GUIDANCE" hidden="1">"c4197"</definedName>
    <definedName name="IQ_MAINT_CAPEX_HIGH_GUIDANCE_CIQ" hidden="1">"c4609"</definedName>
    <definedName name="IQ_MAINT_CAPEX_LOW_EST" hidden="1">"c4461"</definedName>
    <definedName name="IQ_MAINT_CAPEX_LOW_EST_CIQ" hidden="1">"c4990"</definedName>
    <definedName name="IQ_MAINT_CAPEX_LOW_GUIDANCE" hidden="1">"c4237"</definedName>
    <definedName name="IQ_MAINT_CAPEX_LOW_GUIDANCE_CIQ" hidden="1">"c4649"</definedName>
    <definedName name="IQ_MAINT_CAPEX_MEDIAN_EST" hidden="1">"c4462"</definedName>
    <definedName name="IQ_MAINT_CAPEX_MEDIAN_EST_CIQ" hidden="1">"c4991"</definedName>
    <definedName name="IQ_MAINT_CAPEX_NUM_EST" hidden="1">"c4463"</definedName>
    <definedName name="IQ_MAINT_CAPEX_NUM_EST_CIQ" hidden="1">"c5001"</definedName>
    <definedName name="IQ_MAINT_CAPEX_STDDEV_EST" hidden="1">"c4464"</definedName>
    <definedName name="IQ_MAINT_CAPEX_STDDEV_EST_CIQ" hidden="1">"c5002"</definedName>
    <definedName name="IQ_MAINT_REPAIR" hidden="1">"c2087"</definedName>
    <definedName name="IQ_MAKE_WHOLE_END_DATE" hidden="1">"c2493"</definedName>
    <definedName name="IQ_MAKE_WHOLE_SPREAD" hidden="1">"c2494"</definedName>
    <definedName name="IQ_MAKE_WHOLE_START_DATE" hidden="1">"c2492"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ATURITY_ONE_YEAR_LESS_FDIC" hidden="1">"c6425"</definedName>
    <definedName name="IQ_MC_RATIO" hidden="1">"c2783"</definedName>
    <definedName name="IQ_MC_STATUTORY_SURPLUS" hidden="1">"c2772"</definedName>
    <definedName name="IQ_MEDIAN_TARGET_PRICE" hidden="1">"c1650"</definedName>
    <definedName name="IQ_MEDIAN_TARGET_PRICE_CIQ" hidden="1">"c4658"</definedName>
    <definedName name="IQ_MEDIAN_TARGET_PRICE_REUT" hidden="1">"c5316"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" hidden="1">"c6235"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" hidden="1">"c6236"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" hidden="1">"c6237"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KTCAP_TOTAL_REV_FWD_CIQ" hidden="1">"c4041"</definedName>
    <definedName name="IQ_MKTCAP_TOTAL_REV_FWD_REUT" hidden="1">"c4048"</definedName>
    <definedName name="IQ_MM_ACCOUNT" hidden="1">"c743"</definedName>
    <definedName name="IQ_MONEY_MARKET_DEPOSIT_ACCOUNTS_FDIC" hidden="1">"c6553"</definedName>
    <definedName name="IQ_MONTH">15000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BACKED_SECURITIES_FDIC" hidden="1">"c6402"</definedName>
    <definedName name="IQ_MORTGAGE_SERV_RIGHTS" hidden="1">"c2242"</definedName>
    <definedName name="IQ_MORTGAGE_SERVICING_FDIC" hidden="1">"c6335"</definedName>
    <definedName name="IQ_MTD" hidden="1">800000</definedName>
    <definedName name="IQ_MULTIFAMILY_RESIDENTIAL_LOANS_FDIC" hidden="1">"c6311"</definedName>
    <definedName name="IQ_NAMES_REVISION_DATE_" localSheetId="9" hidden="1">"07/13/2022 17:08:52"</definedName>
    <definedName name="IQ_NAMES_REVISION_DATE_" hidden="1">"07/13/2022 17:08:52"</definedName>
    <definedName name="IQ_NAV_ACT_OR_EST" hidden="1">"c2225"</definedName>
    <definedName name="IQ_NAV_EST" hidden="1">"c1751"</definedName>
    <definedName name="IQ_NAV_HIGH_EST" hidden="1">"c1753"</definedName>
    <definedName name="IQ_NAV_LOW_EST" hidden="1">"c1754"</definedName>
    <definedName name="IQ_NAV_MEDIAN_EST" hidden="1">"c1752"</definedName>
    <definedName name="IQ_NAV_NUM_EST" hidden="1">"c1755"</definedName>
    <definedName name="IQ_NAV_SHARE_ACT_OR_EST" hidden="1">"c2225"</definedName>
    <definedName name="IQ_NAV_SHARE_EST" hidden="1">"c5609"</definedName>
    <definedName name="IQ_NAV_SHARE_HIGH_EST" hidden="1">"c5612"</definedName>
    <definedName name="IQ_NAV_SHARE_LOW_EST" hidden="1">"c5613"</definedName>
    <definedName name="IQ_NAV_SHARE_MEDIAN_EST" hidden="1">"c5610"</definedName>
    <definedName name="IQ_NAV_SHARE_NUM_EST" hidden="1">"c5614"</definedName>
    <definedName name="IQ_NAV_SHARE_STDDEV_EST" hidden="1">"c5611"</definedName>
    <definedName name="IQ_NAV_STDDEV_EST" hidden="1">"c1756"</definedName>
    <definedName name="IQ_NET_CHANGE" hidden="1">"c749"</definedName>
    <definedName name="IQ_NET_CHARGE_OFFS_FDIC" hidden="1">"c6641"</definedName>
    <definedName name="IQ_NET_CHARGE_OFFS_LOANS_FDIC" hidden="1">"c6751"</definedName>
    <definedName name="IQ_NET_CLAIM_EXP_INCUR" hidden="1">"c2757"</definedName>
    <definedName name="IQ_NET_CLAIM_EXP_INCUR_CY" hidden="1">"c2761"</definedName>
    <definedName name="IQ_NET_CLAIM_EXP_INCUR_PY" hidden="1">"c2762"</definedName>
    <definedName name="IQ_NET_CLAIM_EXP_PAID" hidden="1">"c2760"</definedName>
    <definedName name="IQ_NET_CLAIM_EXP_PAID_CY" hidden="1">"c2763"</definedName>
    <definedName name="IQ_NET_CLAIM_EXP_PAID_PY" hidden="1">"c2764"</definedName>
    <definedName name="IQ_NET_CLAIM_EXP_RES" hidden="1">"c2754"</definedName>
    <definedName name="IQ_NET_DEBT" hidden="1">"c1584"</definedName>
    <definedName name="IQ_NET_DEBT_ACT_OR_EST" hidden="1">"c3583"</definedName>
    <definedName name="IQ_NET_DEBT_ACT_OR_EST_CIQ" hidden="1">"c5070"</definedName>
    <definedName name="IQ_NET_DEBT_ACT_OR_EST_REUT" hidden="1">"c5473"</definedName>
    <definedName name="IQ_NET_DEBT_EBITDA" hidden="1">"c750"</definedName>
    <definedName name="IQ_NET_DEBT_EBITDA_CAPEX" hidden="1">"c2949"</definedName>
    <definedName name="IQ_NET_DEBT_EST" hidden="1">"c3517"</definedName>
    <definedName name="IQ_NET_DEBT_EST_CIQ" hidden="1">"c3814"</definedName>
    <definedName name="IQ_NET_DEBT_EST_REUT" hidden="1">"c3976"</definedName>
    <definedName name="IQ_NET_DEBT_GUIDANCE" hidden="1">"c4467"</definedName>
    <definedName name="IQ_NET_DEBT_GUIDANCE_CIQ" hidden="1">"c5005"</definedName>
    <definedName name="IQ_NET_DEBT_HIGH_EST" hidden="1">"c3518"</definedName>
    <definedName name="IQ_NET_DEBT_HIGH_EST_CIQ" hidden="1">"c3816"</definedName>
    <definedName name="IQ_NET_DEBT_HIGH_EST_REUT" hidden="1">"c3978"</definedName>
    <definedName name="IQ_NET_DEBT_HIGH_GUIDANCE" hidden="1">"c4181"</definedName>
    <definedName name="IQ_NET_DEBT_HIGH_GUIDANCE_CIQ" hidden="1">"c4593"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" hidden="1">"c6238"</definedName>
    <definedName name="IQ_NET_DEBT_ISSUED_REIT" hidden="1">"c756"</definedName>
    <definedName name="IQ_NET_DEBT_ISSUED_UTI" hidden="1">"c757"</definedName>
    <definedName name="IQ_NET_DEBT_LOW_EST" hidden="1">"c3519"</definedName>
    <definedName name="IQ_NET_DEBT_LOW_EST_CIQ" hidden="1">"c3817"</definedName>
    <definedName name="IQ_NET_DEBT_LOW_EST_REUT" hidden="1">"c3979"</definedName>
    <definedName name="IQ_NET_DEBT_LOW_GUIDANCE" hidden="1">"c4221"</definedName>
    <definedName name="IQ_NET_DEBT_LOW_GUIDANCE_CIQ" hidden="1">"c4633"</definedName>
    <definedName name="IQ_NET_DEBT_MEDIAN_EST" hidden="1">"c3520"</definedName>
    <definedName name="IQ_NET_DEBT_MEDIAN_EST_CIQ" hidden="1">"c3815"</definedName>
    <definedName name="IQ_NET_DEBT_MEDIAN_EST_REUT" hidden="1">"c3977"</definedName>
    <definedName name="IQ_NET_DEBT_NUM_EST" hidden="1">"c3515"</definedName>
    <definedName name="IQ_NET_DEBT_NUM_EST_CIQ" hidden="1">"c3818"</definedName>
    <definedName name="IQ_NET_DEBT_NUM_EST_REUT" hidden="1">"c3980"</definedName>
    <definedName name="IQ_NET_DEBT_STDDEV_EST" hidden="1">"c3516"</definedName>
    <definedName name="IQ_NET_DEBT_STDDEV_EST_CIQ" hidden="1">"c3819"</definedName>
    <definedName name="IQ_NET_DEBT_STDDEV_EST_REUT" hidden="1">"c3981"</definedName>
    <definedName name="IQ_NET_EARNED" hidden="1">"c2734"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COME_FDIC" hidden="1">"c6587"</definedName>
    <definedName name="IQ_NET_INT_INC_10YR_ANN_CAGR" hidden="1">"c6100"</definedName>
    <definedName name="IQ_NET_INT_INC_10YR_ANN_GROWTH" hidden="1">"c758"</definedName>
    <definedName name="IQ_NET_INT_INC_1YR_ANN_GROWTH" hidden="1">"c759"</definedName>
    <definedName name="IQ_NET_INT_INC_2YR_ANN_CAGR" hidden="1">"c6101"</definedName>
    <definedName name="IQ_NET_INT_INC_2YR_ANN_GROWTH" hidden="1">"c760"</definedName>
    <definedName name="IQ_NET_INT_INC_3YR_ANN_CAGR" hidden="1">"c6102"</definedName>
    <definedName name="IQ_NET_INT_INC_3YR_ANN_GROWTH" hidden="1">"c761"</definedName>
    <definedName name="IQ_NET_INT_INC_5YR_ANN_CAGR" hidden="1">"c6103"</definedName>
    <definedName name="IQ_NET_INT_INC_5YR_ANN_GROWTH" hidden="1">"c762"</definedName>
    <definedName name="IQ_NET_INT_INC_7YR_ANN_CAGR" hidden="1">"c6104"</definedName>
    <definedName name="IQ_NET_INT_INC_7YR_ANN_GROWTH" hidden="1">"c763"</definedName>
    <definedName name="IQ_NET_INT_INC_BNK" hidden="1">"c764"</definedName>
    <definedName name="IQ_NET_INT_INC_BNK_FDIC" hidden="1">"c6570"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" hidden="1">"c6239"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INTEREST_MARGIN_FDIC" hidden="1">"c6726"</definedName>
    <definedName name="IQ_NET_LIFE_INS_IN_FORCE" hidden="1">"c2769"</definedName>
    <definedName name="IQ_NET_LOANS" hidden="1">"c772"</definedName>
    <definedName name="IQ_NET_LOANS_10YR_ANN_CAGR" hidden="1">"c6105"</definedName>
    <definedName name="IQ_NET_LOANS_10YR_ANN_GROWTH" hidden="1">"c773"</definedName>
    <definedName name="IQ_NET_LOANS_1YR_ANN_GROWTH" hidden="1">"c774"</definedName>
    <definedName name="IQ_NET_LOANS_2YR_ANN_CAGR" hidden="1">"c6106"</definedName>
    <definedName name="IQ_NET_LOANS_2YR_ANN_GROWTH" hidden="1">"c775"</definedName>
    <definedName name="IQ_NET_LOANS_3YR_ANN_CAGR" hidden="1">"c6107"</definedName>
    <definedName name="IQ_NET_LOANS_3YR_ANN_GROWTH" hidden="1">"c776"</definedName>
    <definedName name="IQ_NET_LOANS_5YR_ANN_CAGR" hidden="1">"c6108"</definedName>
    <definedName name="IQ_NET_LOANS_5YR_ANN_GROWTH" hidden="1">"c777"</definedName>
    <definedName name="IQ_NET_LOANS_7YR_ANN_CAGR" hidden="1">"c6109"</definedName>
    <definedName name="IQ_NET_LOANS_7YR_ANN_GROWTH" hidden="1">"c778"</definedName>
    <definedName name="IQ_NET_LOANS_LEASES_CORE_DEPOSITS_FDIC" hidden="1">"c6743"</definedName>
    <definedName name="IQ_NET_LOANS_LEASES_DEPOSITS_FDIC" hidden="1">"c6742"</definedName>
    <definedName name="IQ_NET_LOANS_TOTAL_DEPOSITS" hidden="1">"c779"</definedName>
    <definedName name="IQ_NET_OPERATING_INCOME_ASSETS_FDIC" hidden="1">"c6729"</definedName>
    <definedName name="IQ_NET_RENTAL_EXP_FN" hidden="1">"c780"</definedName>
    <definedName name="IQ_NET_SECURITIZATION_INCOME_FDIC" hidden="1">"c6669"</definedName>
    <definedName name="IQ_NET_SERVICING_FEES_FDIC" hidden="1">"c6668"</definedName>
    <definedName name="IQ_NET_TO_GROSS_EARNED" hidden="1">"c2750"</definedName>
    <definedName name="IQ_NET_TO_GROSS_WRITTEN" hidden="1">"c2729"</definedName>
    <definedName name="IQ_NET_WORKING_CAP" hidden="1">"c3493"</definedName>
    <definedName name="IQ_NET_WRITTEN" hidden="1">"c2728"</definedName>
    <definedName name="IQ_NEW_PREM" hidden="1">"c2785"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EXT_SINK_FUND_AMOUNT" hidden="1">"c2490"</definedName>
    <definedName name="IQ_NEXT_SINK_FUND_DATE" hidden="1">"c2489"</definedName>
    <definedName name="IQ_NEXT_SINK_FUND_PRICE" hidden="1">"c2491"</definedName>
    <definedName name="IQ_NI" hidden="1">"c781"</definedName>
    <definedName name="IQ_NI_10YR_ANN_CAGR" hidden="1">"c6110"</definedName>
    <definedName name="IQ_NI_10YR_ANN_GROWTH" hidden="1">"c782"</definedName>
    <definedName name="IQ_NI_1YR_ANN_GROWTH" hidden="1">"c783"</definedName>
    <definedName name="IQ_NI_2YR_ANN_CAGR" hidden="1">"c6111"</definedName>
    <definedName name="IQ_NI_2YR_ANN_GROWTH" hidden="1">"c784"</definedName>
    <definedName name="IQ_NI_3YR_ANN_CAGR" hidden="1">"c6112"</definedName>
    <definedName name="IQ_NI_3YR_ANN_GROWTH" hidden="1">"c785"</definedName>
    <definedName name="IQ_NI_5YR_ANN_CAGR" hidden="1">"c6113"</definedName>
    <definedName name="IQ_NI_5YR_ANN_GROWTH" hidden="1">"c786"</definedName>
    <definedName name="IQ_NI_7YR_ANN_CAGR" hidden="1">"c6114"</definedName>
    <definedName name="IQ_NI_7YR_ANN_GROWTH" hidden="1">"c787"</definedName>
    <definedName name="IQ_NI_ACT_OR_EST" hidden="1">"c2222"</definedName>
    <definedName name="IQ_NI_ACT_OR_EST_CIQ" hidden="1">"c5065"</definedName>
    <definedName name="IQ_NI_ACT_OR_EST_REUT" hidden="1">"c5468"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EST" hidden="1">"c1716"</definedName>
    <definedName name="IQ_NI_EST_CIQ" hidden="1">"c4702"</definedName>
    <definedName name="IQ_NI_EST_REUT" hidden="1">"c5368"</definedName>
    <definedName name="IQ_NI_GAAP_GUIDANCE" hidden="1">"c4470"</definedName>
    <definedName name="IQ_NI_GAAP_GUIDANCE_CIQ" hidden="1">"c5008"</definedName>
    <definedName name="IQ_NI_GAAP_HIGH_GUIDANCE" hidden="1">"c4177"</definedName>
    <definedName name="IQ_NI_GAAP_HIGH_GUIDANCE_CIQ" hidden="1">"c4589"</definedName>
    <definedName name="IQ_NI_GAAP_LOW_GUIDANCE" hidden="1">"c4217"</definedName>
    <definedName name="IQ_NI_GAAP_LOW_GUIDANCE_CIQ" hidden="1">"c4629"</definedName>
    <definedName name="IQ_NI_GUIDANCE" hidden="1">"c4469"</definedName>
    <definedName name="IQ_NI_GUIDANCE_CIQ" hidden="1">"c5007"</definedName>
    <definedName name="IQ_NI_GW_EST" hidden="1">"c1723"</definedName>
    <definedName name="IQ_NI_GW_EST_CIQ" hidden="1">"c4709"</definedName>
    <definedName name="IQ_NI_GW_EST_REUT" hidden="1">"c5375"</definedName>
    <definedName name="IQ_NI_GW_GUIDANCE" hidden="1">"c4471"</definedName>
    <definedName name="IQ_NI_GW_GUIDANCE_CIQ" hidden="1">"c5009"</definedName>
    <definedName name="IQ_NI_GW_HIGH_EST" hidden="1">"c1725"</definedName>
    <definedName name="IQ_NI_GW_HIGH_EST_CIQ" hidden="1">"c4711"</definedName>
    <definedName name="IQ_NI_GW_HIGH_EST_REUT" hidden="1">"c5377"</definedName>
    <definedName name="IQ_NI_GW_HIGH_GUIDANCE" hidden="1">"c4178"</definedName>
    <definedName name="IQ_NI_GW_HIGH_GUIDANCE_CIQ" hidden="1">"c4590"</definedName>
    <definedName name="IQ_NI_GW_LOW_EST" hidden="1">"c1726"</definedName>
    <definedName name="IQ_NI_GW_LOW_EST_CIQ" hidden="1">"c4712"</definedName>
    <definedName name="IQ_NI_GW_LOW_EST_REUT" hidden="1">"c5378"</definedName>
    <definedName name="IQ_NI_GW_LOW_GUIDANCE" hidden="1">"c4218"</definedName>
    <definedName name="IQ_NI_GW_LOW_GUIDANCE_CIQ" hidden="1">"c4630"</definedName>
    <definedName name="IQ_NI_GW_MEDIAN_EST" hidden="1">"c1724"</definedName>
    <definedName name="IQ_NI_GW_MEDIAN_EST_CIQ" hidden="1">"c4710"</definedName>
    <definedName name="IQ_NI_GW_MEDIAN_EST_REUT" hidden="1">"c5376"</definedName>
    <definedName name="IQ_NI_GW_NUM_EST" hidden="1">"c1727"</definedName>
    <definedName name="IQ_NI_GW_NUM_EST_CIQ" hidden="1">"c4713"</definedName>
    <definedName name="IQ_NI_GW_NUM_EST_REUT" hidden="1">"c5379"</definedName>
    <definedName name="IQ_NI_GW_STDDEV_EST" hidden="1">"c1728"</definedName>
    <definedName name="IQ_NI_GW_STDDEV_EST_CIQ" hidden="1">"c4714"</definedName>
    <definedName name="IQ_NI_GW_STDDEV_EST_REUT" hidden="1">"c5380"</definedName>
    <definedName name="IQ_NI_HIGH_EST" hidden="1">"c1718"</definedName>
    <definedName name="IQ_NI_HIGH_EST_CIQ" hidden="1">"c4704"</definedName>
    <definedName name="IQ_NI_HIGH_EST_REUT" hidden="1">"c5370"</definedName>
    <definedName name="IQ_NI_HIGH_GUIDANCE" hidden="1">"c4176"</definedName>
    <definedName name="IQ_NI_HIGH_GUIDANCE_CIQ" hidden="1">"c4588"</definedName>
    <definedName name="IQ_NI_LOW_EST" hidden="1">"c1719"</definedName>
    <definedName name="IQ_NI_LOW_EST_CIQ" hidden="1">"c4705"</definedName>
    <definedName name="IQ_NI_LOW_EST_REUT" hidden="1">"c5371"</definedName>
    <definedName name="IQ_NI_LOW_GUIDANCE" hidden="1">"c4216"</definedName>
    <definedName name="IQ_NI_LOW_GUIDANCE_CIQ" hidden="1">"c4628"</definedName>
    <definedName name="IQ_NI_MARGIN" hidden="1">"c794"</definedName>
    <definedName name="IQ_NI_MEDIAN_EST" hidden="1">"c1717"</definedName>
    <definedName name="IQ_NI_MEDIAN_EST_CIQ" hidden="1">"c4703"</definedName>
    <definedName name="IQ_NI_MEDIAN_EST_REUT" hidden="1">"c5369"</definedName>
    <definedName name="IQ_NI_NORM" hidden="1">"c1901"</definedName>
    <definedName name="IQ_NI_NORM_10YR_ANN_CAGR" hidden="1">"c6189"</definedName>
    <definedName name="IQ_NI_NORM_10YR_ANN_GROWTH" hidden="1">"c1960"</definedName>
    <definedName name="IQ_NI_NORM_1YR_ANN_GROWTH" hidden="1">"c1955"</definedName>
    <definedName name="IQ_NI_NORM_2YR_ANN_CAGR" hidden="1">"c6185"</definedName>
    <definedName name="IQ_NI_NORM_2YR_ANN_GROWTH" hidden="1">"c1956"</definedName>
    <definedName name="IQ_NI_NORM_3YR_ANN_CAGR" hidden="1">"c6186"</definedName>
    <definedName name="IQ_NI_NORM_3YR_ANN_GROWTH" hidden="1">"c1957"</definedName>
    <definedName name="IQ_NI_NORM_5YR_ANN_CAGR" hidden="1">"c6187"</definedName>
    <definedName name="IQ_NI_NORM_5YR_ANN_GROWTH" hidden="1">"c1958"</definedName>
    <definedName name="IQ_NI_NORM_7YR_ANN_CAGR" hidden="1">"c6188"</definedName>
    <definedName name="IQ_NI_NORM_7YR_ANN_GROWTH" hidden="1">"c1959"</definedName>
    <definedName name="IQ_NI_NORM_MARGIN" hidden="1">"c1964"</definedName>
    <definedName name="IQ_NI_NUM_EST" hidden="1">"c1720"</definedName>
    <definedName name="IQ_NI_NUM_EST_CIQ" hidden="1">"c4706"</definedName>
    <definedName name="IQ_NI_NUM_EST_REUT" hidden="1">"c5372"</definedName>
    <definedName name="IQ_NI_REPORTED_EST" hidden="1">"c1730"</definedName>
    <definedName name="IQ_NI_REPORTED_EST_CIQ" hidden="1">"c4716"</definedName>
    <definedName name="IQ_NI_REPORTED_EST_REUT" hidden="1">"c5382"</definedName>
    <definedName name="IQ_NI_REPORTED_HIGH_EST" hidden="1">"c1732"</definedName>
    <definedName name="IQ_NI_REPORTED_HIGH_EST_CIQ" hidden="1">"c4718"</definedName>
    <definedName name="IQ_NI_REPORTED_HIGH_EST_REUT" hidden="1">"c5384"</definedName>
    <definedName name="IQ_NI_REPORTED_LOW_EST" hidden="1">"c1733"</definedName>
    <definedName name="IQ_NI_REPORTED_LOW_EST_CIQ" hidden="1">"c4719"</definedName>
    <definedName name="IQ_NI_REPORTED_LOW_EST_REUT" hidden="1">"c5385"</definedName>
    <definedName name="IQ_NI_REPORTED_MEDIAN_EST" hidden="1">"c1731"</definedName>
    <definedName name="IQ_NI_REPORTED_MEDIAN_EST_CIQ" hidden="1">"c4717"</definedName>
    <definedName name="IQ_NI_REPORTED_MEDIAN_EST_REUT" hidden="1">"c5383"</definedName>
    <definedName name="IQ_NI_REPORTED_NUM_EST" hidden="1">"c1734"</definedName>
    <definedName name="IQ_NI_REPORTED_NUM_EST_CIQ" hidden="1">"c4720"</definedName>
    <definedName name="IQ_NI_REPORTED_NUM_EST_REUT" hidden="1">"c5386"</definedName>
    <definedName name="IQ_NI_REPORTED_STDDEV_EST" hidden="1">"c1735"</definedName>
    <definedName name="IQ_NI_REPORTED_STDDEV_EST_CIQ" hidden="1">"c4721"</definedName>
    <definedName name="IQ_NI_REPORTED_STDDEV_EST_REUT" hidden="1">"c5387"</definedName>
    <definedName name="IQ_NI_SBC_ACT_OR_EST" hidden="1">"c4474"</definedName>
    <definedName name="IQ_NI_SBC_ACT_OR_EST_CIQ" hidden="1">"c5012"</definedName>
    <definedName name="IQ_NI_SBC_EST" hidden="1">"c4473"</definedName>
    <definedName name="IQ_NI_SBC_EST_CIQ" hidden="1">"c5011"</definedName>
    <definedName name="IQ_NI_SBC_GUIDANCE" hidden="1">"c4475"</definedName>
    <definedName name="IQ_NI_SBC_GUIDANCE_CIQ" hidden="1">"c5013"</definedName>
    <definedName name="IQ_NI_SBC_GW_ACT_OR_EST" hidden="1">"c4478"</definedName>
    <definedName name="IQ_NI_SBC_GW_ACT_OR_EST_CIQ" hidden="1">"c5016"</definedName>
    <definedName name="IQ_NI_SBC_GW_EST" hidden="1">"c4477"</definedName>
    <definedName name="IQ_NI_SBC_GW_EST_CIQ" hidden="1">"c5015"</definedName>
    <definedName name="IQ_NI_SBC_GW_GUIDANCE" hidden="1">"c4479"</definedName>
    <definedName name="IQ_NI_SBC_GW_GUIDANCE_CIQ" hidden="1">"c5017"</definedName>
    <definedName name="IQ_NI_SBC_GW_HIGH_EST" hidden="1">"c4480"</definedName>
    <definedName name="IQ_NI_SBC_GW_HIGH_EST_CIQ" hidden="1">"c5018"</definedName>
    <definedName name="IQ_NI_SBC_GW_HIGH_GUIDANCE" hidden="1">"c4187"</definedName>
    <definedName name="IQ_NI_SBC_GW_HIGH_GUIDANCE_CIQ" hidden="1">"c4599"</definedName>
    <definedName name="IQ_NI_SBC_GW_LOW_EST" hidden="1">"c4481"</definedName>
    <definedName name="IQ_NI_SBC_GW_LOW_EST_CIQ" hidden="1">"c5019"</definedName>
    <definedName name="IQ_NI_SBC_GW_LOW_GUIDANCE" hidden="1">"c4227"</definedName>
    <definedName name="IQ_NI_SBC_GW_LOW_GUIDANCE_CIQ" hidden="1">"c4639"</definedName>
    <definedName name="IQ_NI_SBC_GW_MEDIAN_EST" hidden="1">"c4482"</definedName>
    <definedName name="IQ_NI_SBC_GW_MEDIAN_EST_CIQ" hidden="1">"c5020"</definedName>
    <definedName name="IQ_NI_SBC_GW_NUM_EST" hidden="1">"c4483"</definedName>
    <definedName name="IQ_NI_SBC_GW_NUM_EST_CIQ" hidden="1">"c5021"</definedName>
    <definedName name="IQ_NI_SBC_GW_STDDEV_EST" hidden="1">"c4484"</definedName>
    <definedName name="IQ_NI_SBC_GW_STDDEV_EST_CIQ" hidden="1">"c5022"</definedName>
    <definedName name="IQ_NI_SBC_HIGH_EST" hidden="1">"c4486"</definedName>
    <definedName name="IQ_NI_SBC_HIGH_EST_CIQ" hidden="1">"c5024"</definedName>
    <definedName name="IQ_NI_SBC_HIGH_GUIDANCE" hidden="1">"c4186"</definedName>
    <definedName name="IQ_NI_SBC_HIGH_GUIDANCE_CIQ" hidden="1">"c4598"</definedName>
    <definedName name="IQ_NI_SBC_LOW_EST" hidden="1">"c4487"</definedName>
    <definedName name="IQ_NI_SBC_LOW_EST_CIQ" hidden="1">"c5025"</definedName>
    <definedName name="IQ_NI_SBC_LOW_GUIDANCE" hidden="1">"c4226"</definedName>
    <definedName name="IQ_NI_SBC_LOW_GUIDANCE_CIQ" hidden="1">"c4638"</definedName>
    <definedName name="IQ_NI_SBC_MEDIAN_EST" hidden="1">"c4488"</definedName>
    <definedName name="IQ_NI_SBC_MEDIAN_EST_CIQ" hidden="1">"c5026"</definedName>
    <definedName name="IQ_NI_SBC_NUM_EST" hidden="1">"c4489"</definedName>
    <definedName name="IQ_NI_SBC_NUM_EST_CIQ" hidden="1">"c5027"</definedName>
    <definedName name="IQ_NI_SBC_STDDEV_EST" hidden="1">"c4490"</definedName>
    <definedName name="IQ_NI_SBC_STDDEV_EST_CIQ" hidden="1">"c5028"</definedName>
    <definedName name="IQ_NI_SFAS" hidden="1">"c795"</definedName>
    <definedName name="IQ_NI_STDDEV_EST" hidden="1">"c1721"</definedName>
    <definedName name="IQ_NI_STDDEV_EST_CIQ" hidden="1">"c4707"</definedName>
    <definedName name="IQ_NI_STDDEV_EST_REUT" hidden="1">"c5373"</definedName>
    <definedName name="IQ_NOL_CF_1YR" hidden="1">"c3465"</definedName>
    <definedName name="IQ_NOL_CF_2YR" hidden="1">"c3466"</definedName>
    <definedName name="IQ_NOL_CF_3YR" hidden="1">"c3467"</definedName>
    <definedName name="IQ_NOL_CF_4YR" hidden="1">"c3468"</definedName>
    <definedName name="IQ_NOL_CF_5YR" hidden="1">"c3469"</definedName>
    <definedName name="IQ_NOL_CF_AFTER_FIVE" hidden="1">"c3470"</definedName>
    <definedName name="IQ_NOL_CF_MAX_YEAR" hidden="1">"c3473"</definedName>
    <definedName name="IQ_NOL_CF_NO_EXP" hidden="1">"c3471"</definedName>
    <definedName name="IQ_NOL_CF_TOTAL" hidden="1">"c3472"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EXP_FDIC" hidden="1">"c6579"</definedName>
    <definedName name="IQ_NON_INT_INC" hidden="1">"c802"</definedName>
    <definedName name="IQ_NON_INT_INC_10YR_ANN_CAGR" hidden="1">"c6115"</definedName>
    <definedName name="IQ_NON_INT_INC_10YR_ANN_GROWTH" hidden="1">"c803"</definedName>
    <definedName name="IQ_NON_INT_INC_1YR_ANN_GROWTH" hidden="1">"c804"</definedName>
    <definedName name="IQ_NON_INT_INC_2YR_ANN_CAGR" hidden="1">"c6116"</definedName>
    <definedName name="IQ_NON_INT_INC_2YR_ANN_GROWTH" hidden="1">"c805"</definedName>
    <definedName name="IQ_NON_INT_INC_3YR_ANN_CAGR" hidden="1">"c6117"</definedName>
    <definedName name="IQ_NON_INT_INC_3YR_ANN_GROWTH" hidden="1">"c806"</definedName>
    <definedName name="IQ_NON_INT_INC_5YR_ANN_CAGR" hidden="1">"c6118"</definedName>
    <definedName name="IQ_NON_INT_INC_5YR_ANN_GROWTH" hidden="1">"c807"</definedName>
    <definedName name="IQ_NON_INT_INC_7YR_ANN_CAGR" hidden="1">"c6119"</definedName>
    <definedName name="IQ_NON_INT_INC_7YR_ANN_GROWTH" hidden="1">"c808"</definedName>
    <definedName name="IQ_NON_INT_INC_FDIC" hidden="1">"c6575"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CAGR" hidden="1">"c6120"</definedName>
    <definedName name="IQ_NON_PERF_ASSETS_10YR_ANN_GROWTH" hidden="1">"c811"</definedName>
    <definedName name="IQ_NON_PERF_ASSETS_1YR_ANN_GROWTH" hidden="1">"c812"</definedName>
    <definedName name="IQ_NON_PERF_ASSETS_2YR_ANN_CAGR" hidden="1">"c6121"</definedName>
    <definedName name="IQ_NON_PERF_ASSETS_2YR_ANN_GROWTH" hidden="1">"c813"</definedName>
    <definedName name="IQ_NON_PERF_ASSETS_3YR_ANN_CAGR" hidden="1">"c6122"</definedName>
    <definedName name="IQ_NON_PERF_ASSETS_3YR_ANN_GROWTH" hidden="1">"c814"</definedName>
    <definedName name="IQ_NON_PERF_ASSETS_5YR_ANN_CAGR" hidden="1">"c6123"</definedName>
    <definedName name="IQ_NON_PERF_ASSETS_5YR_ANN_GROWTH" hidden="1">"c815"</definedName>
    <definedName name="IQ_NON_PERF_ASSETS_7YR_ANN_CAGR" hidden="1">"c6124"</definedName>
    <definedName name="IQ_NON_PERF_ASSETS_7YR_ANN_GROWTH" hidden="1">"c816"</definedName>
    <definedName name="IQ_NON_PERF_ASSETS_TOTAL_ASSETS" hidden="1">"c817"</definedName>
    <definedName name="IQ_NON_PERF_LOANS_10YR_ANN_CAGR" hidden="1">"c6125"</definedName>
    <definedName name="IQ_NON_PERF_LOANS_10YR_ANN_GROWTH" hidden="1">"c818"</definedName>
    <definedName name="IQ_NON_PERF_LOANS_1YR_ANN_GROWTH" hidden="1">"c819"</definedName>
    <definedName name="IQ_NON_PERF_LOANS_2YR_ANN_CAGR" hidden="1">"c6126"</definedName>
    <definedName name="IQ_NON_PERF_LOANS_2YR_ANN_GROWTH" hidden="1">"c820"</definedName>
    <definedName name="IQ_NON_PERF_LOANS_3YR_ANN_CAGR" hidden="1">"c6127"</definedName>
    <definedName name="IQ_NON_PERF_LOANS_3YR_ANN_GROWTH" hidden="1">"c821"</definedName>
    <definedName name="IQ_NON_PERF_LOANS_5YR_ANN_CAGR" hidden="1">"c6128"</definedName>
    <definedName name="IQ_NON_PERF_LOANS_5YR_ANN_GROWTH" hidden="1">"c822"</definedName>
    <definedName name="IQ_NON_PERF_LOANS_7YR_ANN_CAGR" hidden="1">"c6129"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_US_ADDRESSEES_TOTAL_LOANS_FOREIGN_FDIC" hidden="1">"c6443"</definedName>
    <definedName name="IQ_NON_US_CHARGE_OFFS_AND_RECOVERIES_FDIC" hidden="1">"c6650"</definedName>
    <definedName name="IQ_NON_US_CHARGE_OFFS_FDIC" hidden="1">"c6648"</definedName>
    <definedName name="IQ_NON_US_COMMERCIAL_INDUSTRIAL_CHARGE_OFFS_FDIC" hidden="1">"c6651"</definedName>
    <definedName name="IQ_NON_US_NET_LOANS_FDIC" hidden="1">"c6376"</definedName>
    <definedName name="IQ_NON_US_RECOVERIES_FDIC" hidden="1">"c6649"</definedName>
    <definedName name="IQ_NONCASH_PENSION_EXP" hidden="1">"c3000"</definedName>
    <definedName name="IQ_NONCURRENT_LOANS_1_4_FAMILY_FDIC" hidden="1">"c6770"</definedName>
    <definedName name="IQ_NONCURRENT_LOANS_COMMERCIAL_INDUSTRIAL_FDIC" hidden="1">"c6773"</definedName>
    <definedName name="IQ_NONCURRENT_LOANS_COMMERCIAL_RE_FDIC" hidden="1">"c6768"</definedName>
    <definedName name="IQ_NONCURRENT_LOANS_COMMERCIAL_RE_NOT_SECURED_FDIC" hidden="1">"c6778"</definedName>
    <definedName name="IQ_NONCURRENT_LOANS_CONSTRUCTION_LAND_DEV_FDIC" hidden="1">"c6767"</definedName>
    <definedName name="IQ_NONCURRENT_LOANS_CREDIT_CARD_FDIC" hidden="1">"c6775"</definedName>
    <definedName name="IQ_NONCURRENT_LOANS_GUARANTEED_FDIC" hidden="1">"c6358"</definedName>
    <definedName name="IQ_NONCURRENT_LOANS_HOME_EQUITY_FDIC" hidden="1">"c6771"</definedName>
    <definedName name="IQ_NONCURRENT_LOANS_INDIVIDUALS_FDIC" hidden="1">"c6774"</definedName>
    <definedName name="IQ_NONCURRENT_LOANS_LEASES_FDIC" hidden="1">"c6357"</definedName>
    <definedName name="IQ_NONCURRENT_LOANS_MULTIFAMILY_FDIC" hidden="1">"c6769"</definedName>
    <definedName name="IQ_NONCURRENT_LOANS_OTHER_FAMILY_FDIC" hidden="1">"c6772"</definedName>
    <definedName name="IQ_NONCURRENT_LOANS_OTHER_INDIVIDUAL_FDIC" hidden="1">"c6776"</definedName>
    <definedName name="IQ_NONCURRENT_LOANS_OTHER_LOANS_FDIC" hidden="1">"c6777"</definedName>
    <definedName name="IQ_NONCURRENT_LOANS_RE_FDIC" hidden="1">"c6766"</definedName>
    <definedName name="IQ_NONCURRENT_LOANS_TOTAL_LOANS_FDIC" hidden="1">"c6765"</definedName>
    <definedName name="IQ_NONCURRENT_OREO_ASSETS_FDIC" hidden="1">"c6741"</definedName>
    <definedName name="IQ_NONINTEREST_BEARING_BALANCES_FDIC" hidden="1">"c6394"</definedName>
    <definedName name="IQ_NONINTEREST_BEARING_DEPOSITS_DOMESTIC_FDIC" hidden="1">"c6477"</definedName>
    <definedName name="IQ_NONINTEREST_BEARING_DEPOSITS_FOREIGN_FDIC" hidden="1">"c6484"</definedName>
    <definedName name="IQ_NONINTEREST_EXPENSE_EARNING_ASSETS_FDIC" hidden="1">"c6728"</definedName>
    <definedName name="IQ_NONINTEREST_INCOME_EARNING_ASSETS_FDIC" hidden="1">"c6727"</definedName>
    <definedName name="IQ_NONMORTGAGE_SERVICING_FDIC" hidden="1">"c6336"</definedName>
    <definedName name="IQ_NONRECOURSE_DEBT" hidden="1">"c2550"</definedName>
    <definedName name="IQ_NONRECOURSE_DEBT_PCT" hidden="1">"c2551"</definedName>
    <definedName name="IQ_NONTRANSACTION_ACCOUNTS_FDIC" hidden="1">"c6552"</definedName>
    <definedName name="IQ_NONUTIL_REV" hidden="1">"c2089"</definedName>
    <definedName name="IQ_NORM_EPS_ACT_OR_EST" hidden="1">"c2249"</definedName>
    <definedName name="IQ_NORM_EPS_ACT_OR_EST_CIQ" hidden="1">"c5069"</definedName>
    <definedName name="IQ_NORM_EPS_ACT_OR_EST_REUT" hidden="1">"c5472"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TIONAL_AMOUNT_CREDIT_DERIVATIVES_FDIC" hidden="1">"c6507"</definedName>
    <definedName name="IQ_NOTIONAL_VALUE_EXCHANGE_SWAPS_FDIC" hidden="1">"c6516"</definedName>
    <definedName name="IQ_NOTIONAL_VALUE_OTHER_SWAPS_FDIC" hidden="1">"c6521"</definedName>
    <definedName name="IQ_NOTIONAL_VALUE_RATE_SWAPS_FDIC" hidden="1">"c6511"</definedName>
    <definedName name="IQ_NOW_ACCOUNT" hidden="1">"c828"</definedName>
    <definedName name="IQ_NPPE" hidden="1">"c829"</definedName>
    <definedName name="IQ_NPPE_10YR_ANN_CAGR" hidden="1">"c6130"</definedName>
    <definedName name="IQ_NPPE_10YR_ANN_GROWTH" hidden="1">"c830"</definedName>
    <definedName name="IQ_NPPE_1YR_ANN_GROWTH" hidden="1">"c831"</definedName>
    <definedName name="IQ_NPPE_2YR_ANN_CAGR" hidden="1">"c6131"</definedName>
    <definedName name="IQ_NPPE_2YR_ANN_GROWTH" hidden="1">"c832"</definedName>
    <definedName name="IQ_NPPE_3YR_ANN_CAGR" hidden="1">"c6132"</definedName>
    <definedName name="IQ_NPPE_3YR_ANN_GROWTH" hidden="1">"c833"</definedName>
    <definedName name="IQ_NPPE_5YR_ANN_CAGR" hidden="1">"c6133"</definedName>
    <definedName name="IQ_NPPE_5YR_ANN_GROWTH" hidden="1">"c834"</definedName>
    <definedName name="IQ_NPPE_7YR_ANN_CAGR" hidden="1">"c6134"</definedName>
    <definedName name="IQ_NPPE_7YR_ANN_GROWTH" hidden="1">"c835"</definedName>
    <definedName name="IQ_NTM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DEPOSITS_LESS_THAN_100K_FDIC" hidden="1">"c6495"</definedName>
    <definedName name="IQ_NUMBER_DEPOSITS_MORE_THAN_100K_FDIC" hidden="1">"c6493"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BLIGATIONS_OF_STATES_TOTAL_LOANS_FOREIGN_FDIC" hidden="1">"c6447"</definedName>
    <definedName name="IQ_OBLIGATIONS_STATES_FDIC" hidden="1">"c6431"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AVG_DAILY_PROD_GAS" hidden="1">"c2910"</definedName>
    <definedName name="IQ_OG_AVG_DAILY_PROD_NGL" hidden="1">"c2911"</definedName>
    <definedName name="IQ_OG_AVG_DAILY_PROD_OIL" hidden="1">"c2909"</definedName>
    <definedName name="IQ_OG_AVG_DAILY_SALES_VOL_EQ_INC_GAS" hidden="1">"c5797"</definedName>
    <definedName name="IQ_OG_AVG_DAILY_SALES_VOL_EQ_INC_NGL" hidden="1">"c5798"</definedName>
    <definedName name="IQ_OG_AVG_DAILY_SALES_VOL_EQ_INC_OIL" hidden="1">"c5796"</definedName>
    <definedName name="IQ_OG_CLOSE_BALANCE_GAS" hidden="1">"c2049"</definedName>
    <definedName name="IQ_OG_CLOSE_BALANCE_NGL" hidden="1">"c2920"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ACRE_GROSS_EQ_INC" hidden="1">"c5802"</definedName>
    <definedName name="IQ_OG_DEVELOPED_ACRE_NET_EQ_INC" hidden="1">"c5803"</definedName>
    <definedName name="IQ_OG_DEVELOPED_RESERVES_GAS" hidden="1">"c2053"</definedName>
    <definedName name="IQ_OG_DEVELOPED_RESERVES_NGL" hidden="1">"c2922"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NGL" hidden="1">"c2921"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NGL" hidden="1">"c2914"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NGL" hidden="1">"c2915"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NGL" hidden="1">"c2912"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NGL" hidden="1">"c2919"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NGL" hidden="1">"c2918"</definedName>
    <definedName name="IQ_OG_PRODUCTION_OIL" hidden="1">"c2035"</definedName>
    <definedName name="IQ_OG_PURCHASES_GAS" hidden="1">"c2045"</definedName>
    <definedName name="IQ_OG_PURCHASES_NGL" hidden="1">"c2916"</definedName>
    <definedName name="IQ_OG_PURCHASES_OIL" hidden="1">"c2033"</definedName>
    <definedName name="IQ_OG_RESERVE_REPLACEMENT_RATIO" hidden="1">"c5799"</definedName>
    <definedName name="IQ_OG_REVISIONS_GAS" hidden="1">"c2042"</definedName>
    <definedName name="IQ_OG_REVISIONS_NGL" hidden="1">"c2913"</definedName>
    <definedName name="IQ_OG_REVISIONS_OIL" hidden="1">"c2030"</definedName>
    <definedName name="IQ_OG_SALES_IN_PLACE_GAS" hidden="1">"c2046"</definedName>
    <definedName name="IQ_OG_SALES_IN_PLACE_NGL" hidden="1">"c2917"</definedName>
    <definedName name="IQ_OG_SALES_IN_PLACE_OIL" hidden="1">"c2034"</definedName>
    <definedName name="IQ_OG_SALES_VOL_EQ_INC_GAS" hidden="1">"c5794"</definedName>
    <definedName name="IQ_OG_SALES_VOL_EQ_INC_NGL" hidden="1">"c5795"</definedName>
    <definedName name="IQ_OG_SALES_VOL_EQ_INC_OIL" hidden="1">"c5793"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ION" hidden="1">"c2059"</definedName>
    <definedName name="IQ_OG_TOTAL_OIL_PRODUCTON" hidden="1">"c2059"</definedName>
    <definedName name="IQ_OG_UNDEVELOPED_ACRE_GROSS_EQ_INC" hidden="1">"c5800"</definedName>
    <definedName name="IQ_OG_UNDEVELOPED_ACRE_NET_EQ_INC" hidden="1">"c5801"</definedName>
    <definedName name="IQ_OG_UNDEVELOPED_RESERVES_GAS" hidden="1">"c2051"</definedName>
    <definedName name="IQ_OG_UNDEVELOPED_RESERVES_NGL" hidden="1">"c2923"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B_ACCRUED_LIAB" hidden="1">"c3308"</definedName>
    <definedName name="IQ_OPEB_ACCRUED_LIAB_DOM" hidden="1">"c3306"</definedName>
    <definedName name="IQ_OPEB_ACCRUED_LIAB_FOREIGN" hidden="1">"c3307"</definedName>
    <definedName name="IQ_OPEB_ACCUM_OTHER_CI" hidden="1">"c3314"</definedName>
    <definedName name="IQ_OPEB_ACCUM_OTHER_CI_DOM" hidden="1">"c3312"</definedName>
    <definedName name="IQ_OPEB_ACCUM_OTHER_CI_FOREIGN" hidden="1">"c3313"</definedName>
    <definedName name="IQ_OPEB_ACT_NEXT" hidden="1">"c5774"</definedName>
    <definedName name="IQ_OPEB_ACT_NEXT_DOM" hidden="1">"c5772"</definedName>
    <definedName name="IQ_OPEB_ACT_NEXT_FOREIGN" hidden="1">"c5773"</definedName>
    <definedName name="IQ_OPEB_AMT_RECOG_NEXT" hidden="1">"c5783"</definedName>
    <definedName name="IQ_OPEB_AMT_RECOG_NEXT_DOM" hidden="1">"c5781"</definedName>
    <definedName name="IQ_OPEB_AMT_RECOG_NEXT_FOREIGN" hidden="1">"c5782"</definedName>
    <definedName name="IQ_OPEB_ASSETS" hidden="1">"c3356"</definedName>
    <definedName name="IQ_OPEB_ASSETS_ACQ" hidden="1">"c3347"</definedName>
    <definedName name="IQ_OPEB_ASSETS_ACQ_DOM" hidden="1">"c3345"</definedName>
    <definedName name="IQ_OPEB_ASSETS_ACQ_FOREIGN" hidden="1">"c3346"</definedName>
    <definedName name="IQ_OPEB_ASSETS_ACTUAL_RETURN" hidden="1">"c3332"</definedName>
    <definedName name="IQ_OPEB_ASSETS_ACTUAL_RETURN_DOM" hidden="1">"c3330"</definedName>
    <definedName name="IQ_OPEB_ASSETS_ACTUAL_RETURN_FOREIGN" hidden="1">"c3331"</definedName>
    <definedName name="IQ_OPEB_ASSETS_BEG" hidden="1">"c3329"</definedName>
    <definedName name="IQ_OPEB_ASSETS_BEG_DOM" hidden="1">"c3327"</definedName>
    <definedName name="IQ_OPEB_ASSETS_BEG_FOREIGN" hidden="1">"c3328"</definedName>
    <definedName name="IQ_OPEB_ASSETS_BENEFITS_PAID" hidden="1">"c3341"</definedName>
    <definedName name="IQ_OPEB_ASSETS_BENEFITS_PAID_DOM" hidden="1">"c3339"</definedName>
    <definedName name="IQ_OPEB_ASSETS_BENEFITS_PAID_FOREIGN" hidden="1">"c3340"</definedName>
    <definedName name="IQ_OPEB_ASSETS_CURTAIL" hidden="1">"c3350"</definedName>
    <definedName name="IQ_OPEB_ASSETS_CURTAIL_DOM" hidden="1">"c3348"</definedName>
    <definedName name="IQ_OPEB_ASSETS_CURTAIL_FOREIGN" hidden="1">"c3349"</definedName>
    <definedName name="IQ_OPEB_ASSETS_DOM" hidden="1">"c3354"</definedName>
    <definedName name="IQ_OPEB_ASSETS_EMPLOYER_CONTRIBUTIONS" hidden="1">"c3335"</definedName>
    <definedName name="IQ_OPEB_ASSETS_EMPLOYER_CONTRIBUTIONS_DOM" hidden="1">"c3333"</definedName>
    <definedName name="IQ_OPEB_ASSETS_EMPLOYER_CONTRIBUTIONS_FOREIGN" hidden="1">"c3334"</definedName>
    <definedName name="IQ_OPEB_ASSETS_FOREIGN" hidden="1">"c3355"</definedName>
    <definedName name="IQ_OPEB_ASSETS_FX_ADJ" hidden="1">"c3344"</definedName>
    <definedName name="IQ_OPEB_ASSETS_FX_ADJ_DOM" hidden="1">"c3342"</definedName>
    <definedName name="IQ_OPEB_ASSETS_FX_ADJ_FOREIGN" hidden="1">"c3343"</definedName>
    <definedName name="IQ_OPEB_ASSETS_OTHER_PLAN_ADJ" hidden="1">"c3353"</definedName>
    <definedName name="IQ_OPEB_ASSETS_OTHER_PLAN_ADJ_DOM" hidden="1">"c3351"</definedName>
    <definedName name="IQ_OPEB_ASSETS_OTHER_PLAN_ADJ_FOREIGN" hidden="1">"c3352"</definedName>
    <definedName name="IQ_OPEB_ASSETS_PARTICIP_CONTRIBUTIONS" hidden="1">"c3338"</definedName>
    <definedName name="IQ_OPEB_ASSETS_PARTICIP_CONTRIBUTIONS_DOM" hidden="1">"c3336"</definedName>
    <definedName name="IQ_OPEB_ASSETS_PARTICIP_CONTRIBUTIONS_FOREIGN" hidden="1">"c3337"</definedName>
    <definedName name="IQ_OPEB_BENEFIT_INFO_DATE" hidden="1">"c3410"</definedName>
    <definedName name="IQ_OPEB_BENEFIT_INFO_DATE_DOM" hidden="1">"c3408"</definedName>
    <definedName name="IQ_OPEB_BENEFIT_INFO_DATE_FOREIGN" hidden="1">"c3409"</definedName>
    <definedName name="IQ_OPEB_BREAKDOWN_EQ" hidden="1">"c3275"</definedName>
    <definedName name="IQ_OPEB_BREAKDOWN_EQ_DOM" hidden="1">"c3273"</definedName>
    <definedName name="IQ_OPEB_BREAKDOWN_EQ_FOREIGN" hidden="1">"c3274"</definedName>
    <definedName name="IQ_OPEB_BREAKDOWN_FI" hidden="1">"c3278"</definedName>
    <definedName name="IQ_OPEB_BREAKDOWN_FI_DOM" hidden="1">"c3276"</definedName>
    <definedName name="IQ_OPEB_BREAKDOWN_FI_FOREIGN" hidden="1">"c3277"</definedName>
    <definedName name="IQ_OPEB_BREAKDOWN_OTHER" hidden="1">"c3284"</definedName>
    <definedName name="IQ_OPEB_BREAKDOWN_OTHER_DOM" hidden="1">"c3282"</definedName>
    <definedName name="IQ_OPEB_BREAKDOWN_OTHER_FOREIGN" hidden="1">"c3283"</definedName>
    <definedName name="IQ_OPEB_BREAKDOWN_PCT_EQ" hidden="1">"c3263"</definedName>
    <definedName name="IQ_OPEB_BREAKDOWN_PCT_EQ_DOM" hidden="1">"c3261"</definedName>
    <definedName name="IQ_OPEB_BREAKDOWN_PCT_EQ_FOREIGN" hidden="1">"c3262"</definedName>
    <definedName name="IQ_OPEB_BREAKDOWN_PCT_FI" hidden="1">"c3266"</definedName>
    <definedName name="IQ_OPEB_BREAKDOWN_PCT_FI_DOM" hidden="1">"c3264"</definedName>
    <definedName name="IQ_OPEB_BREAKDOWN_PCT_FI_FOREIGN" hidden="1">"c3265"</definedName>
    <definedName name="IQ_OPEB_BREAKDOWN_PCT_OTHER" hidden="1">"c3272"</definedName>
    <definedName name="IQ_OPEB_BREAKDOWN_PCT_OTHER_DOM" hidden="1">"c3270"</definedName>
    <definedName name="IQ_OPEB_BREAKDOWN_PCT_OTHER_FOREIGN" hidden="1">"c3271"</definedName>
    <definedName name="IQ_OPEB_BREAKDOWN_PCT_RE" hidden="1">"c3269"</definedName>
    <definedName name="IQ_OPEB_BREAKDOWN_PCT_RE_DOM" hidden="1">"c3267"</definedName>
    <definedName name="IQ_OPEB_BREAKDOWN_PCT_RE_FOREIGN" hidden="1">"c3268"</definedName>
    <definedName name="IQ_OPEB_BREAKDOWN_RE" hidden="1">"c3281"</definedName>
    <definedName name="IQ_OPEB_BREAKDOWN_RE_DOM" hidden="1">"c3279"</definedName>
    <definedName name="IQ_OPEB_BREAKDOWN_RE_FOREIGN" hidden="1">"c3280"</definedName>
    <definedName name="IQ_OPEB_CI_ACT" hidden="1">"c5759"</definedName>
    <definedName name="IQ_OPEB_CI_ACT_DOM" hidden="1">"c5757"</definedName>
    <definedName name="IQ_OPEB_CI_ACT_FOREIGN" hidden="1">"c5758"</definedName>
    <definedName name="IQ_OPEB_CI_NET_AMT_RECOG" hidden="1">"c5771"</definedName>
    <definedName name="IQ_OPEB_CI_NET_AMT_RECOG_DOM" hidden="1">"c5769"</definedName>
    <definedName name="IQ_OPEB_CI_NET_AMT_RECOG_FOREIGN" hidden="1">"c5770"</definedName>
    <definedName name="IQ_OPEB_CI_OTHER_MISC_ADJ" hidden="1">"c5768"</definedName>
    <definedName name="IQ_OPEB_CI_OTHER_MISC_ADJ_DOM" hidden="1">"c5766"</definedName>
    <definedName name="IQ_OPEB_CI_OTHER_MISC_ADJ_FOREIGN" hidden="1">"c5767"</definedName>
    <definedName name="IQ_OPEB_CI_PRIOR_SERVICE" hidden="1">"c5762"</definedName>
    <definedName name="IQ_OPEB_CI_PRIOR_SERVICE_DOM" hidden="1">"c5760"</definedName>
    <definedName name="IQ_OPEB_CI_PRIOR_SERVICE_FOREIGN" hidden="1">"c5761"</definedName>
    <definedName name="IQ_OPEB_CI_TRANSITION" hidden="1">"c5765"</definedName>
    <definedName name="IQ_OPEB_CI_TRANSITION_DOM" hidden="1">"c5763"</definedName>
    <definedName name="IQ_OPEB_CI_TRANSITION_FOREIGN" hidden="1">"c5764"</definedName>
    <definedName name="IQ_OPEB_CL" hidden="1">"c5789"</definedName>
    <definedName name="IQ_OPEB_CL_DOM" hidden="1">"c5787"</definedName>
    <definedName name="IQ_OPEB_CL_FOREIGN" hidden="1">"c5788"</definedName>
    <definedName name="IQ_OPEB_DECREASE_EFFECT_PBO" hidden="1">"c3458"</definedName>
    <definedName name="IQ_OPEB_DECREASE_EFFECT_PBO_DOM" hidden="1">"c3456"</definedName>
    <definedName name="IQ_OPEB_DECREASE_EFFECT_PBO_FOREIGN" hidden="1">"c3457"</definedName>
    <definedName name="IQ_OPEB_DECREASE_EFFECT_SERVICE_INT_COST" hidden="1">"c3455"</definedName>
    <definedName name="IQ_OPEB_DECREASE_EFFECT_SERVICE_INT_COST_DOM" hidden="1">"c3453"</definedName>
    <definedName name="IQ_OPEB_DECREASE_EFFECT_SERVICE_INT_COST_FOREIGN" hidden="1">"c3454"</definedName>
    <definedName name="IQ_OPEB_DISC_RATE_MAX" hidden="1">"c3422"</definedName>
    <definedName name="IQ_OPEB_DISC_RATE_MAX_DOM" hidden="1">"c3420"</definedName>
    <definedName name="IQ_OPEB_DISC_RATE_MAX_FOREIGN" hidden="1">"c3421"</definedName>
    <definedName name="IQ_OPEB_DISC_RATE_MIN" hidden="1">"c3419"</definedName>
    <definedName name="IQ_OPEB_DISC_RATE_MIN_DOM" hidden="1">"c3417"</definedName>
    <definedName name="IQ_OPEB_DISC_RATE_MIN_FOREIGN" hidden="1">"c3418"</definedName>
    <definedName name="IQ_OPEB_EST_BENEFIT_1YR" hidden="1">"c3287"</definedName>
    <definedName name="IQ_OPEB_EST_BENEFIT_1YR_DOM" hidden="1">"c3285"</definedName>
    <definedName name="IQ_OPEB_EST_BENEFIT_1YR_FOREIGN" hidden="1">"c3286"</definedName>
    <definedName name="IQ_OPEB_EST_BENEFIT_2YR" hidden="1">"c3290"</definedName>
    <definedName name="IQ_OPEB_EST_BENEFIT_2YR_DOM" hidden="1">"c3288"</definedName>
    <definedName name="IQ_OPEB_EST_BENEFIT_2YR_FOREIGN" hidden="1">"c3289"</definedName>
    <definedName name="IQ_OPEB_EST_BENEFIT_3YR" hidden="1">"c3293"</definedName>
    <definedName name="IQ_OPEB_EST_BENEFIT_3YR_DOM" hidden="1">"c3291"</definedName>
    <definedName name="IQ_OPEB_EST_BENEFIT_3YR_FOREIGN" hidden="1">"c3292"</definedName>
    <definedName name="IQ_OPEB_EST_BENEFIT_4YR" hidden="1">"c3296"</definedName>
    <definedName name="IQ_OPEB_EST_BENEFIT_4YR_DOM" hidden="1">"c3294"</definedName>
    <definedName name="IQ_OPEB_EST_BENEFIT_4YR_FOREIGN" hidden="1">"c3295"</definedName>
    <definedName name="IQ_OPEB_EST_BENEFIT_5YR" hidden="1">"c3299"</definedName>
    <definedName name="IQ_OPEB_EST_BENEFIT_5YR_DOM" hidden="1">"c3297"</definedName>
    <definedName name="IQ_OPEB_EST_BENEFIT_5YR_FOREIGN" hidden="1">"c3298"</definedName>
    <definedName name="IQ_OPEB_EST_BENEFIT_AFTER5" hidden="1">"c3302"</definedName>
    <definedName name="IQ_OPEB_EST_BENEFIT_AFTER5_DOM" hidden="1">"c3300"</definedName>
    <definedName name="IQ_OPEB_EST_BENEFIT_AFTER5_FOREIGN" hidden="1">"c3301"</definedName>
    <definedName name="IQ_OPEB_EXP_RATE_RETURN_MAX" hidden="1">"c3434"</definedName>
    <definedName name="IQ_OPEB_EXP_RATE_RETURN_MAX_DOM" hidden="1">"c3432"</definedName>
    <definedName name="IQ_OPEB_EXP_RATE_RETURN_MAX_FOREIGN" hidden="1">"c3433"</definedName>
    <definedName name="IQ_OPEB_EXP_RATE_RETURN_MIN" hidden="1">"c3431"</definedName>
    <definedName name="IQ_OPEB_EXP_RATE_RETURN_MIN_DOM" hidden="1">"c3429"</definedName>
    <definedName name="IQ_OPEB_EXP_RATE_RETURN_MIN_FOREIGN" hidden="1">"c3430"</definedName>
    <definedName name="IQ_OPEB_EXP_RETURN" hidden="1">"c3398"</definedName>
    <definedName name="IQ_OPEB_EXP_RETURN_DOM" hidden="1">"c3396"</definedName>
    <definedName name="IQ_OPEB_EXP_RETURN_FOREIGN" hidden="1">"c3397"</definedName>
    <definedName name="IQ_OPEB_HEALTH_COST_TREND_INITIAL" hidden="1">"c3413"</definedName>
    <definedName name="IQ_OPEB_HEALTH_COST_TREND_INITIAL_DOM" hidden="1">"c3411"</definedName>
    <definedName name="IQ_OPEB_HEALTH_COST_TREND_INITIAL_FOREIGN" hidden="1">"c3412"</definedName>
    <definedName name="IQ_OPEB_HEALTH_COST_TREND_ULTIMATE" hidden="1">"c3416"</definedName>
    <definedName name="IQ_OPEB_HEALTH_COST_TREND_ULTIMATE_DOM" hidden="1">"c3414"</definedName>
    <definedName name="IQ_OPEB_HEALTH_COST_TREND_ULTIMATE_FOREIGN" hidden="1">"c3415"</definedName>
    <definedName name="IQ_OPEB_INCREASE_EFFECT_PBO" hidden="1">"c3452"</definedName>
    <definedName name="IQ_OPEB_INCREASE_EFFECT_PBO_DOM" hidden="1">"c3450"</definedName>
    <definedName name="IQ_OPEB_INCREASE_EFFECT_PBO_FOREIGN" hidden="1">"c3451"</definedName>
    <definedName name="IQ_OPEB_INCREASE_EFFECT_SERVICE_INT_COST" hidden="1">"c3449"</definedName>
    <definedName name="IQ_OPEB_INCREASE_EFFECT_SERVICE_INT_COST_DOM" hidden="1">"c3447"</definedName>
    <definedName name="IQ_OPEB_INCREASE_EFFECT_SERVICE_INT_COST_FOREIGN" hidden="1">"c3448"</definedName>
    <definedName name="IQ_OPEB_INTAN_ASSETS" hidden="1">"c3311"</definedName>
    <definedName name="IQ_OPEB_INTAN_ASSETS_DOM" hidden="1">"c3309"</definedName>
    <definedName name="IQ_OPEB_INTAN_ASSETS_FOREIGN" hidden="1">"c3310"</definedName>
    <definedName name="IQ_OPEB_INTEREST_COST" hidden="1">"c3395"</definedName>
    <definedName name="IQ_OPEB_INTEREST_COST_DOM" hidden="1">"c3393"</definedName>
    <definedName name="IQ_OPEB_INTEREST_COST_FOREIGN" hidden="1">"c3394"</definedName>
    <definedName name="IQ_OPEB_LT_ASSETS" hidden="1">"c5786"</definedName>
    <definedName name="IQ_OPEB_LT_ASSETS_DOM" hidden="1">"c5784"</definedName>
    <definedName name="IQ_OPEB_LT_ASSETS_FOREIGN" hidden="1">"c5785"</definedName>
    <definedName name="IQ_OPEB_LT_LIAB" hidden="1">"c5792"</definedName>
    <definedName name="IQ_OPEB_LT_LIAB_DOM" hidden="1">"c5790"</definedName>
    <definedName name="IQ_OPEB_LT_LIAB_FOREIGN" hidden="1">"c5791"</definedName>
    <definedName name="IQ_OPEB_NET_ASSET_RECOG" hidden="1">"c3326"</definedName>
    <definedName name="IQ_OPEB_NET_ASSET_RECOG_DOM" hidden="1">"c3324"</definedName>
    <definedName name="IQ_OPEB_NET_ASSET_RECOG_FOREIGN" hidden="1">"c3325"</definedName>
    <definedName name="IQ_OPEB_OBLIGATION_ACCUMULATED" hidden="1">"c3407"</definedName>
    <definedName name="IQ_OPEB_OBLIGATION_ACCUMULATED_DOM" hidden="1">"c3405"</definedName>
    <definedName name="IQ_OPEB_OBLIGATION_ACCUMULATED_FOREIGN" hidden="1">"c3406"</definedName>
    <definedName name="IQ_OPEB_OBLIGATION_ACQ" hidden="1">"c3380"</definedName>
    <definedName name="IQ_OPEB_OBLIGATION_ACQ_DOM" hidden="1">"c3378"</definedName>
    <definedName name="IQ_OPEB_OBLIGATION_ACQ_FOREIGN" hidden="1">"c3379"</definedName>
    <definedName name="IQ_OPEB_OBLIGATION_ACTUARIAL_GAIN_LOSS" hidden="1">"c3371"</definedName>
    <definedName name="IQ_OPEB_OBLIGATION_ACTUARIAL_GAIN_LOSS_DOM" hidden="1">"c3369"</definedName>
    <definedName name="IQ_OPEB_OBLIGATION_ACTUARIAL_GAIN_LOSS_FOREIGN" hidden="1">"c3370"</definedName>
    <definedName name="IQ_OPEB_OBLIGATION_BEG" hidden="1">"c3359"</definedName>
    <definedName name="IQ_OPEB_OBLIGATION_BEG_DOM" hidden="1">"c3357"</definedName>
    <definedName name="IQ_OPEB_OBLIGATION_BEG_FOREIGN" hidden="1">"c3358"</definedName>
    <definedName name="IQ_OPEB_OBLIGATION_CURTAIL" hidden="1">"c3383"</definedName>
    <definedName name="IQ_OPEB_OBLIGATION_CURTAIL_DOM" hidden="1">"c3381"</definedName>
    <definedName name="IQ_OPEB_OBLIGATION_CURTAIL_FOREIGN" hidden="1">"c3382"</definedName>
    <definedName name="IQ_OPEB_OBLIGATION_EMPLOYEE_CONTRIBUTIONS" hidden="1">"c3368"</definedName>
    <definedName name="IQ_OPEB_OBLIGATION_EMPLOYEE_CONTRIBUTIONS_DOM" hidden="1">"c3366"</definedName>
    <definedName name="IQ_OPEB_OBLIGATION_EMPLOYEE_CONTRIBUTIONS_FOREIGN" hidden="1">"c3367"</definedName>
    <definedName name="IQ_OPEB_OBLIGATION_FX_ADJ" hidden="1">"c3377"</definedName>
    <definedName name="IQ_OPEB_OBLIGATION_FX_ADJ_DOM" hidden="1">"c3375"</definedName>
    <definedName name="IQ_OPEB_OBLIGATION_FX_ADJ_FOREIGN" hidden="1">"c3376"</definedName>
    <definedName name="IQ_OPEB_OBLIGATION_INTEREST_COST" hidden="1">"c3365"</definedName>
    <definedName name="IQ_OPEB_OBLIGATION_INTEREST_COST_DOM" hidden="1">"c3363"</definedName>
    <definedName name="IQ_OPEB_OBLIGATION_INTEREST_COST_FOREIGN" hidden="1">"c3364"</definedName>
    <definedName name="IQ_OPEB_OBLIGATION_OTHER_PLAN_ADJ" hidden="1">"c3386"</definedName>
    <definedName name="IQ_OPEB_OBLIGATION_OTHER_PLAN_ADJ_DOM" hidden="1">"c3384"</definedName>
    <definedName name="IQ_OPEB_OBLIGATION_OTHER_PLAN_ADJ_FOREIGN" hidden="1">"c3385"</definedName>
    <definedName name="IQ_OPEB_OBLIGATION_PAID" hidden="1">"c3374"</definedName>
    <definedName name="IQ_OPEB_OBLIGATION_PAID_DOM" hidden="1">"c3372"</definedName>
    <definedName name="IQ_OPEB_OBLIGATION_PAID_FOREIGN" hidden="1">"c3373"</definedName>
    <definedName name="IQ_OPEB_OBLIGATION_PROJECTED" hidden="1">"c3389"</definedName>
    <definedName name="IQ_OPEB_OBLIGATION_PROJECTED_DOM" hidden="1">"c3387"</definedName>
    <definedName name="IQ_OPEB_OBLIGATION_PROJECTED_FOREIGN" hidden="1">"c3388"</definedName>
    <definedName name="IQ_OPEB_OBLIGATION_SERVICE_COST" hidden="1">"c3362"</definedName>
    <definedName name="IQ_OPEB_OBLIGATION_SERVICE_COST_DOM" hidden="1">"c3360"</definedName>
    <definedName name="IQ_OPEB_OBLIGATION_SERVICE_COST_FOREIGN" hidden="1">"c3361"</definedName>
    <definedName name="IQ_OPEB_OTHER" hidden="1">"c3317"</definedName>
    <definedName name="IQ_OPEB_OTHER_ADJ" hidden="1">"c3323"</definedName>
    <definedName name="IQ_OPEB_OTHER_ADJ_DOM" hidden="1">"c3321"</definedName>
    <definedName name="IQ_OPEB_OTHER_ADJ_FOREIGN" hidden="1">"c3322"</definedName>
    <definedName name="IQ_OPEB_OTHER_COST" hidden="1">"c3401"</definedName>
    <definedName name="IQ_OPEB_OTHER_COST_DOM" hidden="1">"c3399"</definedName>
    <definedName name="IQ_OPEB_OTHER_COST_FOREIGN" hidden="1">"c3400"</definedName>
    <definedName name="IQ_OPEB_OTHER_DOM" hidden="1">"c3315"</definedName>
    <definedName name="IQ_OPEB_OTHER_FOREIGN" hidden="1">"c3316"</definedName>
    <definedName name="IQ_OPEB_PBO_ASSUMED_RATE_RET_MAX" hidden="1">"c3440"</definedName>
    <definedName name="IQ_OPEB_PBO_ASSUMED_RATE_RET_MAX_DOM" hidden="1">"c3438"</definedName>
    <definedName name="IQ_OPEB_PBO_ASSUMED_RATE_RET_MAX_FOREIGN" hidden="1">"c3439"</definedName>
    <definedName name="IQ_OPEB_PBO_ASSUMED_RATE_RET_MIN" hidden="1">"c3437"</definedName>
    <definedName name="IQ_OPEB_PBO_ASSUMED_RATE_RET_MIN_DOM" hidden="1">"c3435"</definedName>
    <definedName name="IQ_OPEB_PBO_ASSUMED_RATE_RET_MIN_FOREIGN" hidden="1">"c3436"</definedName>
    <definedName name="IQ_OPEB_PBO_RATE_COMP_INCREASE_MAX" hidden="1">"c3446"</definedName>
    <definedName name="IQ_OPEB_PBO_RATE_COMP_INCREASE_MAX_DOM" hidden="1">"c3444"</definedName>
    <definedName name="IQ_OPEB_PBO_RATE_COMP_INCREASE_MAX_FOREIGN" hidden="1">"c3445"</definedName>
    <definedName name="IQ_OPEB_PBO_RATE_COMP_INCREASE_MIN" hidden="1">"c3443"</definedName>
    <definedName name="IQ_OPEB_PBO_RATE_COMP_INCREASE_MIN_DOM" hidden="1">"c3441"</definedName>
    <definedName name="IQ_OPEB_PBO_RATE_COMP_INCREASE_MIN_FOREIGN" hidden="1">"c3442"</definedName>
    <definedName name="IQ_OPEB_PREPAID_COST" hidden="1">"c3305"</definedName>
    <definedName name="IQ_OPEB_PREPAID_COST_DOM" hidden="1">"c3303"</definedName>
    <definedName name="IQ_OPEB_PREPAID_COST_FOREIGN" hidden="1">"c3304"</definedName>
    <definedName name="IQ_OPEB_PRIOR_SERVICE_NEXT" hidden="1">"c5777"</definedName>
    <definedName name="IQ_OPEB_PRIOR_SERVICE_NEXT_DOM" hidden="1">"c5775"</definedName>
    <definedName name="IQ_OPEB_PRIOR_SERVICE_NEXT_FOREIGN" hidden="1">"c5776"</definedName>
    <definedName name="IQ_OPEB_RATE_COMP_INCREASE_MAX" hidden="1">"c3428"</definedName>
    <definedName name="IQ_OPEB_RATE_COMP_INCREASE_MAX_DOM" hidden="1">"c3426"</definedName>
    <definedName name="IQ_OPEB_RATE_COMP_INCREASE_MAX_FOREIGN" hidden="1">"c3427"</definedName>
    <definedName name="IQ_OPEB_RATE_COMP_INCREASE_MIN" hidden="1">"c3425"</definedName>
    <definedName name="IQ_OPEB_RATE_COMP_INCREASE_MIN_DOM" hidden="1">"c3423"</definedName>
    <definedName name="IQ_OPEB_RATE_COMP_INCREASE_MIN_FOREIGN" hidden="1">"c3424"</definedName>
    <definedName name="IQ_OPEB_SERVICE_COST" hidden="1">"c3392"</definedName>
    <definedName name="IQ_OPEB_SERVICE_COST_DOM" hidden="1">"c3390"</definedName>
    <definedName name="IQ_OPEB_SERVICE_COST_FOREIGN" hidden="1">"c3391"</definedName>
    <definedName name="IQ_OPEB_TOTAL_COST" hidden="1">"c3404"</definedName>
    <definedName name="IQ_OPEB_TOTAL_COST_DOM" hidden="1">"c3402"</definedName>
    <definedName name="IQ_OPEB_TOTAL_COST_FOREIGN" hidden="1">"c3403"</definedName>
    <definedName name="IQ_OPEB_TRANSITION_NEXT" hidden="1">"c5780"</definedName>
    <definedName name="IQ_OPEB_TRANSITION_NEXT_DOM" hidden="1">"c5778"</definedName>
    <definedName name="IQ_OPEB_TRANSITION_NEXT_FOREIGN" hidden="1">"c5779"</definedName>
    <definedName name="IQ_OPEB_UNRECOG_PRIOR" hidden="1">"c3320"</definedName>
    <definedName name="IQ_OPEB_UNRECOG_PRIOR_DOM" hidden="1">"c3318"</definedName>
    <definedName name="IQ_OPEB_UNRECOG_PRIOR_FOREIGN" hidden="1">"c3319"</definedName>
    <definedName name="IQ_OPENPRICE" hidden="1">"c848"</definedName>
    <definedName name="IQ_OPER_INC" hidden="1">"c849"</definedName>
    <definedName name="IQ_OPER_INC_ACT_OR_EST" hidden="1">"c2220"</definedName>
    <definedName name="IQ_OPER_INC_ACT_OR_EST_REUT" hidden="1">"c5466"</definedName>
    <definedName name="IQ_OPER_INC_BR" hidden="1">"c850"</definedName>
    <definedName name="IQ_OPER_INC_EST" hidden="1">"c1688"</definedName>
    <definedName name="IQ_OPER_INC_EST_REUT" hidden="1">"c5340"</definedName>
    <definedName name="IQ_OPER_INC_FIN" hidden="1">"c851"</definedName>
    <definedName name="IQ_OPER_INC_HIGH_EST" hidden="1">"c1690"</definedName>
    <definedName name="IQ_OPER_INC_HIGH_EST_REUT" hidden="1">"c5342"</definedName>
    <definedName name="IQ_OPER_INC_INS" hidden="1">"c852"</definedName>
    <definedName name="IQ_OPER_INC_LOW_EST" hidden="1">"c1691"</definedName>
    <definedName name="IQ_OPER_INC_LOW_EST_REUT" hidden="1">"c5343"</definedName>
    <definedName name="IQ_OPER_INC_MARGIN" hidden="1">"c1448"</definedName>
    <definedName name="IQ_OPER_INC_MEDIAN_EST" hidden="1">"c1689"</definedName>
    <definedName name="IQ_OPER_INC_MEDIAN_EST_REUT" hidden="1">"c5341"</definedName>
    <definedName name="IQ_OPER_INC_NUM_EST" hidden="1">"c1692"</definedName>
    <definedName name="IQ_OPER_INC_NUM_EST_REUT" hidden="1">"c5344"</definedName>
    <definedName name="IQ_OPER_INC_RE" hidden="1">"c6240"</definedName>
    <definedName name="IQ_OPER_INC_REIT" hidden="1">"c853"</definedName>
    <definedName name="IQ_OPER_INC_STDDEV_EST" hidden="1">"c1693"</definedName>
    <definedName name="IQ_OPER_INC_STDDEV_EST_REUT" hidden="1">"c5345"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ABLE_END_OS" hidden="1">"c5804"</definedName>
    <definedName name="IQ_OPTIONS_EXERCISED" hidden="1">"c2116"</definedName>
    <definedName name="IQ_OPTIONS_GRANTED" hidden="1">"c2673"</definedName>
    <definedName name="IQ_OPTIONS_ISSUED" hidden="1">"c857"</definedName>
    <definedName name="IQ_OPTIONS_STRIKE_PRICE_BEG_OS" hidden="1">"c5805"</definedName>
    <definedName name="IQ_OPTIONS_STRIKE_PRICE_CANCELLED" hidden="1">"c5807"</definedName>
    <definedName name="IQ_OPTIONS_STRIKE_PRICE_EXERCISABLE" hidden="1">"c5808"</definedName>
    <definedName name="IQ_OPTIONS_STRIKE_PRICE_EXERCISED" hidden="1">"c5806"</definedName>
    <definedName name="IQ_OPTIONS_STRIKE_PRICE_GRANTED" hidden="1">"c2678"</definedName>
    <definedName name="IQ_OPTIONS_STRIKE_PRICE_OS" hidden="1">"c2677"</definedName>
    <definedName name="IQ_ORDER_BACKLOG" hidden="1">"c2090"</definedName>
    <definedName name="IQ_OREO_1_4_RESIDENTIAL_FDIC" hidden="1">"c6454"</definedName>
    <definedName name="IQ_OREO_COMMERCIAL_RE_FDIC" hidden="1">"c6456"</definedName>
    <definedName name="IQ_OREO_CONSTRUCTION_DEVELOPMENT_FDIC" hidden="1">"c6457"</definedName>
    <definedName name="IQ_OREO_FARMLAND_FDIC" hidden="1">"c6458"</definedName>
    <definedName name="IQ_OREO_FOREIGN_FDIC" hidden="1">"c6460"</definedName>
    <definedName name="IQ_OREO_MULTI_FAMILY_RESIDENTIAL_FDIC" hidden="1">"c6455"</definedName>
    <definedName name="IQ_OTHER_ADJUST_GROSS_LOANS" hidden="1">"c859"</definedName>
    <definedName name="IQ_OTHER_AMORT" hidden="1">"c5563"</definedName>
    <definedName name="IQ_OTHER_AMORT_BNK" hidden="1">"c5565"</definedName>
    <definedName name="IQ_OTHER_AMORT_BR" hidden="1">"c5566"</definedName>
    <definedName name="IQ_OTHER_AMORT_FIN" hidden="1">"c5567"</definedName>
    <definedName name="IQ_OTHER_AMORT_INS" hidden="1">"c5568"</definedName>
    <definedName name="IQ_OTHER_AMORT_RE" hidden="1">"c6287"</definedName>
    <definedName name="IQ_OTHER_AMORT_REIT" hidden="1">"c5569"</definedName>
    <definedName name="IQ_OTHER_AMORT_UTI" hidden="1">"c5570"</definedName>
    <definedName name="IQ_OTHER_ASSETS" hidden="1">"c860"</definedName>
    <definedName name="IQ_OTHER_ASSETS_BNK" hidden="1">"c861"</definedName>
    <definedName name="IQ_OTHER_ASSETS_BR" hidden="1">"c862"</definedName>
    <definedName name="IQ_OTHER_ASSETS_FDIC" hidden="1">"c6338"</definedName>
    <definedName name="IQ_OTHER_ASSETS_FIN" hidden="1">"c863"</definedName>
    <definedName name="IQ_OTHER_ASSETS_INS" hidden="1">"c864"</definedName>
    <definedName name="IQ_OTHER_ASSETS_RE" hidden="1">"c6241"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BORROWED_FUNDS_FDIC" hidden="1">"c6345"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" hidden="1">"c6242"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INS" hidden="1">"C6021"</definedName>
    <definedName name="IQ_OTHER_CL_SUPPL_RE" hidden="1">"c6243"</definedName>
    <definedName name="IQ_OTHER_CL_SUPPL_REIT" hidden="1">"c882"</definedName>
    <definedName name="IQ_OTHER_CL_SUPPL_UTI" hidden="1">"c883"</definedName>
    <definedName name="IQ_OTHER_CL_UTI" hidden="1">"c884"</definedName>
    <definedName name="IQ_OTHER_COMPREHENSIVE_INCOME_FDIC" hidden="1">"c6503"</definedName>
    <definedName name="IQ_OTHER_CURRENT_ASSETS" hidden="1">"c1403"</definedName>
    <definedName name="IQ_OTHER_CURRENT_LIAB" hidden="1">"c1404"</definedName>
    <definedName name="IQ_OTHER_DEBT" hidden="1">"c2507"</definedName>
    <definedName name="IQ_OTHER_DEBT_PCT" hidden="1">"c2508"</definedName>
    <definedName name="IQ_OTHER_DEP" hidden="1">"c885"</definedName>
    <definedName name="IQ_OTHER_DEPOSITORY_INSTITUTIONS_LOANS_FDIC" hidden="1">"c6436"</definedName>
    <definedName name="IQ_OTHER_DEPOSITORY_INSTITUTIONS_TOTAL_LOANS_FOREIGN_FDIC" hidden="1">"c6442"</definedName>
    <definedName name="IQ_OTHER_DOMESTIC_DEBT_SECURITIES_FDIC" hidden="1">"c6302"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" hidden="1">"c6244"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" hidden="1">"c6245"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" hidden="1">"c6246"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SURANCE_FEES_FDIC" hidden="1">"c6672"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" hidden="1">"c6247"</definedName>
    <definedName name="IQ_OTHER_INTAN_REIT" hidden="1">"c912"</definedName>
    <definedName name="IQ_OTHER_INTAN_UTI" hidden="1">"c913"</definedName>
    <definedName name="IQ_OTHER_INTANGIBLE_FDIC" hidden="1">"c6337"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" hidden="1">"c6248"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" hidden="1">"c6249"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" hidden="1">"c6250"</definedName>
    <definedName name="IQ_OTHER_LIAB_LT_REIT" hidden="1">"c940"</definedName>
    <definedName name="IQ_OTHER_LIAB_LT_UTI" hidden="1">"c941"</definedName>
    <definedName name="IQ_OTHER_LIAB_RE" hidden="1">"c6251"</definedName>
    <definedName name="IQ_OTHER_LIAB_REIT" hidden="1">"c942"</definedName>
    <definedName name="IQ_OTHER_LIAB_UTI" hidden="1">"c943"</definedName>
    <definedName name="IQ_OTHER_LIAB_WRITTEN" hidden="1">"c944"</definedName>
    <definedName name="IQ_OTHER_LIABILITIES_FDIC" hidden="1">"c6347"</definedName>
    <definedName name="IQ_OTHER_LOANS" hidden="1">"c945"</definedName>
    <definedName name="IQ_OTHER_LOANS_CHARGE_OFFS_FDIC" hidden="1">"c6601"</definedName>
    <definedName name="IQ_OTHER_LOANS_FOREIGN_FDIC" hidden="1">"c6446"</definedName>
    <definedName name="IQ_OTHER_LOANS_LEASES_FDIC" hidden="1">"c6322"</definedName>
    <definedName name="IQ_OTHER_LOANS_NET_CHARGE_OFFS_FDIC" hidden="1">"c6639"</definedName>
    <definedName name="IQ_OTHER_LOANS_RECOVERIES_FDIC" hidden="1">"c6620"</definedName>
    <definedName name="IQ_OTHER_LOANS_TOTAL_FDIC" hidden="1">"c6432"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" hidden="1">"c6252"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FDIC" hidden="1">"c6578"</definedName>
    <definedName name="IQ_OTHER_NON_INT_EXP_TOTAL" hidden="1">"c954"</definedName>
    <definedName name="IQ_OTHER_NON_INT_EXPENSE_FDIC" hidden="1">"c6679"</definedName>
    <definedName name="IQ_OTHER_NON_INT_INC" hidden="1">"c955"</definedName>
    <definedName name="IQ_OTHER_NON_INT_INC_FDIC" hidden="1">"c6676"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" hidden="1">"c6253"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" hidden="1">"c6254"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FF_BS_LIAB_FDIC" hidden="1">"c6533"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" hidden="1">"c6255"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" hidden="1">"c6256"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" hidden="1">"c6257"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" hidden="1">"c6258"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PTIONS_BEG_OS" hidden="1">"c2686"</definedName>
    <definedName name="IQ_OTHER_OPTIONS_CANCELLED" hidden="1">"c2689"</definedName>
    <definedName name="IQ_OTHER_OPTIONS_END_OS" hidden="1">"c2690"</definedName>
    <definedName name="IQ_OTHER_OPTIONS_EXERCISABLE_END_OS" hidden="1">"c5814"</definedName>
    <definedName name="IQ_OTHER_OPTIONS_EXERCISED" hidden="1">"c2688"</definedName>
    <definedName name="IQ_OTHER_OPTIONS_GRANTED" hidden="1">"c2687"</definedName>
    <definedName name="IQ_OTHER_OPTIONS_STRIKE_PRICE_BEG_OS" hidden="1">"c5815"</definedName>
    <definedName name="IQ_OTHER_OPTIONS_STRIKE_PRICE_CANCELLED" hidden="1">"c5817"</definedName>
    <definedName name="IQ_OTHER_OPTIONS_STRIKE_PRICE_EXERCISABLE" hidden="1">"c5818"</definedName>
    <definedName name="IQ_OTHER_OPTIONS_STRIKE_PRICE_EXERCISED" hidden="1">"c5816"</definedName>
    <definedName name="IQ_OTHER_OPTIONS_STRIKE_PRICE_OS" hidden="1">"c2691"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_OWNED_FDIC" hidden="1">"c6330"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" hidden="1">"c6259"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" hidden="1">"c6260"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SAVINGS_DEPOSITS_FDIC" hidden="1">"c6554"</definedName>
    <definedName name="IQ_OTHER_STRIKE_PRICE_GRANTED" hidden="1">"c2692"</definedName>
    <definedName name="IQ_OTHER_TRANSACTIONS_FDIC" hidden="1">"c6504"</definedName>
    <definedName name="IQ_OTHER_UNDRAWN" hidden="1">"c2522"</definedName>
    <definedName name="IQ_OTHER_UNUSED_COMMITMENTS_FDIC" hidden="1">"c6530"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" hidden="1">"c6282"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" hidden="1">"c6281"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THER_WARRANTS_BEG_OS" hidden="1">"c2712"</definedName>
    <definedName name="IQ_OTHER_WARRANTS_CANCELLED" hidden="1">"c2715"</definedName>
    <definedName name="IQ_OTHER_WARRANTS_END_OS" hidden="1">"c2716"</definedName>
    <definedName name="IQ_OTHER_WARRANTS_EXERCISED" hidden="1">"c2714"</definedName>
    <definedName name="IQ_OTHER_WARRANTS_ISSUED" hidden="1">"c2713"</definedName>
    <definedName name="IQ_OTHER_WARRANTS_STRIKE_PRICE_ISSUED" hidden="1">"c2718"</definedName>
    <definedName name="IQ_OTHER_WARRANTS_STRIKE_PRICE_OS" hidden="1">"c2717"</definedName>
    <definedName name="IQ_OUTSTANDING_BS_DATE" hidden="1">"c2128"</definedName>
    <definedName name="IQ_OUTSTANDING_FILING_DATE" hidden="1">"c1023"</definedName>
    <definedName name="IQ_OVER_FIFETEEN_YEAR_MORTGAGE_PASS_THROUGHS_FDIC" hidden="1">"c6416"</definedName>
    <definedName name="IQ_OVER_FIFTEEN_YEAR_FIXED_AND_FLOATING_RATE_FDIC" hidden="1">"c6424"</definedName>
    <definedName name="IQ_OVER_THREE_YEARS_FDIC" hidden="1">"c6418"</definedName>
    <definedName name="IQ_OWNERSHIP" hidden="1">"c2160"</definedName>
    <definedName name="IQ_PART_TIME" hidden="1">"c1024"</definedName>
    <definedName name="IQ_PARTICIPATION_POOLS_RESIDENTIAL_MORTGAGES_FDIC" hidden="1">"c6403"</definedName>
    <definedName name="IQ_PAST_DUE_30_1_4_FAMILY_LOANS_FDIC" hidden="1">"c6693"</definedName>
    <definedName name="IQ_PAST_DUE_30_AUTO_LOANS_FDIC" hidden="1">"c6687"</definedName>
    <definedName name="IQ_PAST_DUE_30_CL_LOANS_FDIC" hidden="1">"c6688"</definedName>
    <definedName name="IQ_PAST_DUE_30_CREDIT_CARDS_RECEIVABLES_FDIC" hidden="1">"c6690"</definedName>
    <definedName name="IQ_PAST_DUE_30_HOME_EQUITY_LINES_FDIC" hidden="1">"c6691"</definedName>
    <definedName name="IQ_PAST_DUE_30_OTHER_CONSUMER_LOANS_FDIC" hidden="1">"c6689"</definedName>
    <definedName name="IQ_PAST_DUE_30_OTHER_LOANS_FDIC" hidden="1">"c6692"</definedName>
    <definedName name="IQ_PAST_DUE_90_1_4_FAMILY_LOANS_FDIC" hidden="1">"c6700"</definedName>
    <definedName name="IQ_PAST_DUE_90_AUTO_LOANS_FDIC" hidden="1">"c6694"</definedName>
    <definedName name="IQ_PAST_DUE_90_CL_LOANS_FDIC" hidden="1">"c6695"</definedName>
    <definedName name="IQ_PAST_DUE_90_CREDIT_CARDS_RECEIVABLES_FDIC" hidden="1">"c6697"</definedName>
    <definedName name="IQ_PAST_DUE_90_HOME_EQUITY_LINES_FDIC" hidden="1">"c6698"</definedName>
    <definedName name="IQ_PAST_DUE_90_OTHER_CONSUMER_LOANS_FDIC" hidden="1">"c6696"</definedName>
    <definedName name="IQ_PAST_DUE_90_OTHER_LOANS_FDIC" hidden="1">"c6699"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EARNED" hidden="1">"c2749"</definedName>
    <definedName name="IQ_PC_GAAP_COMBINED_RATIO" hidden="1">"c2781"</definedName>
    <definedName name="IQ_PC_GAAP_COMBINED_RATIO_EXCL_CL" hidden="1">"c2782"</definedName>
    <definedName name="IQ_PC_GAAP_EXPENSE_RATIO" hidden="1">"c2780"</definedName>
    <definedName name="IQ_PC_GAAP_LOSS" hidden="1">"c2779"</definedName>
    <definedName name="IQ_PC_POLICY_BENEFITS_EXP" hidden="1">"c2790"</definedName>
    <definedName name="IQ_PC_STAT_COMBINED_RATIO" hidden="1">"c2778"</definedName>
    <definedName name="IQ_PC_STAT_COMBINED_RATIO_EXCL_DIV" hidden="1">"c2777"</definedName>
    <definedName name="IQ_PC_STAT_DIVIDEND_RATIO" hidden="1">"c2776"</definedName>
    <definedName name="IQ_PC_STAT_EXPENSE_RATIO" hidden="1">"c2775"</definedName>
    <definedName name="IQ_PC_STAT_LOSS_RATIO" hidden="1">"c2774"</definedName>
    <definedName name="IQ_PC_STATUTORY_SURPLUS" hidden="1">"c2770"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EXCL_FWD_CIQ" hidden="1">"c4042"</definedName>
    <definedName name="IQ_PE_EXCL_FWD_REUT" hidden="1">"c4049"</definedName>
    <definedName name="IQ_PE_NORMALIZED" hidden="1">"c2207"</definedName>
    <definedName name="IQ_PE_RATIO" hidden="1">"c1610"</definedName>
    <definedName name="IQ_PEG_FWD" hidden="1">"c1863"</definedName>
    <definedName name="IQ_PEG_FWD_CIQ" hidden="1">"c4045"</definedName>
    <definedName name="IQ_PEG_FWD_REUT" hidden="1">"c4052"</definedName>
    <definedName name="IQ_PENSION" hidden="1">"c1031"</definedName>
    <definedName name="IQ_PENSION_ACCRUED_LIAB" hidden="1">"c3134"</definedName>
    <definedName name="IQ_PENSION_ACCRUED_LIAB_DOM" hidden="1">"c3132"</definedName>
    <definedName name="IQ_PENSION_ACCRUED_LIAB_FOREIGN" hidden="1">"c3133"</definedName>
    <definedName name="IQ_PENSION_ACCUM_OTHER_CI" hidden="1">"c3140"</definedName>
    <definedName name="IQ_PENSION_ACCUM_OTHER_CI_DOM" hidden="1">"c3138"</definedName>
    <definedName name="IQ_PENSION_ACCUM_OTHER_CI_FOREIGN" hidden="1">"c3139"</definedName>
    <definedName name="IQ_PENSION_ACCUMULATED_OBLIGATION" hidden="1">"c3570"</definedName>
    <definedName name="IQ_PENSION_ACCUMULATED_OBLIGATION_DOMESTIC" hidden="1">"c3568"</definedName>
    <definedName name="IQ_PENSION_ACCUMULATED_OBLIGATION_FOREIGN" hidden="1">"c3569"</definedName>
    <definedName name="IQ_PENSION_ACT_NEXT" hidden="1">"c5738"</definedName>
    <definedName name="IQ_PENSION_ACT_NEXT_DOM" hidden="1">"c5736"</definedName>
    <definedName name="IQ_PENSION_ACT_NEXT_FOREIGN" hidden="1">"c5737"</definedName>
    <definedName name="IQ_PENSION_AMT_RECOG_NEXT_DOM" hidden="1">"c5745"</definedName>
    <definedName name="IQ_PENSION_AMT_RECOG_NEXT_FOREIGN" hidden="1">"c5746"</definedName>
    <definedName name="IQ_PENSION_AMT_RECOG_PERIOD" hidden="1">"c5747"</definedName>
    <definedName name="IQ_PENSION_ASSETS" hidden="1">"c3182"</definedName>
    <definedName name="IQ_PENSION_ASSETS_ACQ" hidden="1">"c3173"</definedName>
    <definedName name="IQ_PENSION_ASSETS_ACQ_DOM" hidden="1">"c3171"</definedName>
    <definedName name="IQ_PENSION_ASSETS_ACQ_FOREIGN" hidden="1">"c3172"</definedName>
    <definedName name="IQ_PENSION_ASSETS_ACTUAL_RETURN" hidden="1">"c3158"</definedName>
    <definedName name="IQ_PENSION_ASSETS_ACTUAL_RETURN_DOM" hidden="1">"c3156"</definedName>
    <definedName name="IQ_PENSION_ASSETS_ACTUAL_RETURN_FOREIGN" hidden="1">"c3157"</definedName>
    <definedName name="IQ_PENSION_ASSETS_BEG" hidden="1">"c3155"</definedName>
    <definedName name="IQ_PENSION_ASSETS_BEG_DOM" hidden="1">"c3153"</definedName>
    <definedName name="IQ_PENSION_ASSETS_BEG_FOREIGN" hidden="1">"c3154"</definedName>
    <definedName name="IQ_PENSION_ASSETS_BENEFITS_PAID" hidden="1">"c3167"</definedName>
    <definedName name="IQ_PENSION_ASSETS_BENEFITS_PAID_DOM" hidden="1">"c3165"</definedName>
    <definedName name="IQ_PENSION_ASSETS_BENEFITS_PAID_FOREIGN" hidden="1">"c3166"</definedName>
    <definedName name="IQ_PENSION_ASSETS_CURTAIL" hidden="1">"c3176"</definedName>
    <definedName name="IQ_PENSION_ASSETS_CURTAIL_DOM" hidden="1">"c3174"</definedName>
    <definedName name="IQ_PENSION_ASSETS_CURTAIL_FOREIGN" hidden="1">"c3175"</definedName>
    <definedName name="IQ_PENSION_ASSETS_DOM" hidden="1">"c3180"</definedName>
    <definedName name="IQ_PENSION_ASSETS_EMPLOYER_CONTRIBUTIONS" hidden="1">"c3161"</definedName>
    <definedName name="IQ_PENSION_ASSETS_EMPLOYER_CONTRIBUTIONS_DOM" hidden="1">"c3159"</definedName>
    <definedName name="IQ_PENSION_ASSETS_EMPLOYER_CONTRIBUTIONS_FOREIGN" hidden="1">"c3160"</definedName>
    <definedName name="IQ_PENSION_ASSETS_FOREIGN" hidden="1">"c3181"</definedName>
    <definedName name="IQ_PENSION_ASSETS_FX_ADJ" hidden="1">"c3170"</definedName>
    <definedName name="IQ_PENSION_ASSETS_FX_ADJ_DOM" hidden="1">"c3168"</definedName>
    <definedName name="IQ_PENSION_ASSETS_FX_ADJ_FOREIGN" hidden="1">"c3169"</definedName>
    <definedName name="IQ_PENSION_ASSETS_OTHER_PLAN_ADJ" hidden="1">"c3179"</definedName>
    <definedName name="IQ_PENSION_ASSETS_OTHER_PLAN_ADJ_DOM" hidden="1">"c3177"</definedName>
    <definedName name="IQ_PENSION_ASSETS_OTHER_PLAN_ADJ_FOREIGN" hidden="1">"c3178"</definedName>
    <definedName name="IQ_PENSION_ASSETS_PARTICIP_CONTRIBUTIONS" hidden="1">"c3164"</definedName>
    <definedName name="IQ_PENSION_ASSETS_PARTICIP_CONTRIBUTIONS_DOM" hidden="1">"c3162"</definedName>
    <definedName name="IQ_PENSION_ASSETS_PARTICIP_CONTRIBUTIONS_FOREIGN" hidden="1">"c3163"</definedName>
    <definedName name="IQ_PENSION_BENEFIT_INFO_DATE" hidden="1">"c3230"</definedName>
    <definedName name="IQ_PENSION_BENEFIT_INFO_DATE_DOM" hidden="1">"c3228"</definedName>
    <definedName name="IQ_PENSION_BENEFIT_INFO_DATE_FOREIGN" hidden="1">"c3229"</definedName>
    <definedName name="IQ_PENSION_BREAKDOWN_EQ" hidden="1">"c3101"</definedName>
    <definedName name="IQ_PENSION_BREAKDOWN_EQ_DOM" hidden="1">"c3099"</definedName>
    <definedName name="IQ_PENSION_BREAKDOWN_EQ_FOREIGN" hidden="1">"c3100"</definedName>
    <definedName name="IQ_PENSION_BREAKDOWN_FI" hidden="1">"c3104"</definedName>
    <definedName name="IQ_PENSION_BREAKDOWN_FI_DOM" hidden="1">"c3102"</definedName>
    <definedName name="IQ_PENSION_BREAKDOWN_FI_FOREIGN" hidden="1">"c3103"</definedName>
    <definedName name="IQ_PENSION_BREAKDOWN_OTHER" hidden="1">"c3110"</definedName>
    <definedName name="IQ_PENSION_BREAKDOWN_OTHER_DOM" hidden="1">"c3108"</definedName>
    <definedName name="IQ_PENSION_BREAKDOWN_OTHER_FOREIGN" hidden="1">"c3109"</definedName>
    <definedName name="IQ_PENSION_BREAKDOWN_PCT_EQ" hidden="1">"c3089"</definedName>
    <definedName name="IQ_PENSION_BREAKDOWN_PCT_EQ_DOM" hidden="1">"c3087"</definedName>
    <definedName name="IQ_PENSION_BREAKDOWN_PCT_EQ_FOREIGN" hidden="1">"c3088"</definedName>
    <definedName name="IQ_PENSION_BREAKDOWN_PCT_FI" hidden="1">"c3092"</definedName>
    <definedName name="IQ_PENSION_BREAKDOWN_PCT_FI_DOM" hidden="1">"c3090"</definedName>
    <definedName name="IQ_PENSION_BREAKDOWN_PCT_FI_FOREIGN" hidden="1">"c3091"</definedName>
    <definedName name="IQ_PENSION_BREAKDOWN_PCT_OTHER" hidden="1">"c3098"</definedName>
    <definedName name="IQ_PENSION_BREAKDOWN_PCT_OTHER_DOM" hidden="1">"c3096"</definedName>
    <definedName name="IQ_PENSION_BREAKDOWN_PCT_OTHER_FOREIGN" hidden="1">"c3097"</definedName>
    <definedName name="IQ_PENSION_BREAKDOWN_PCT_RE" hidden="1">"c3095"</definedName>
    <definedName name="IQ_PENSION_BREAKDOWN_PCT_RE_DOM" hidden="1">"c3093"</definedName>
    <definedName name="IQ_PENSION_BREAKDOWN_PCT_RE_FOREIGN" hidden="1">"c3094"</definedName>
    <definedName name="IQ_PENSION_BREAKDOWN_RE" hidden="1">"c3107"</definedName>
    <definedName name="IQ_PENSION_BREAKDOWN_RE_DOM" hidden="1">"c3105"</definedName>
    <definedName name="IQ_PENSION_BREAKDOWN_RE_FOREIGN" hidden="1">"c3106"</definedName>
    <definedName name="IQ_PENSION_CI_ACT" hidden="1">"c5723"</definedName>
    <definedName name="IQ_PENSION_CI_ACT_DOM" hidden="1">"c5721"</definedName>
    <definedName name="IQ_PENSION_CI_ACT_FOREIGN" hidden="1">"c5722"</definedName>
    <definedName name="IQ_PENSION_CI_NET_AMT_RECOG" hidden="1">"c5735"</definedName>
    <definedName name="IQ_PENSION_CI_NET_AMT_RECOG_DOM" hidden="1">"c5733"</definedName>
    <definedName name="IQ_PENSION_CI_NET_AMT_RECOG_FOREIGN" hidden="1">"c5734"</definedName>
    <definedName name="IQ_PENSION_CI_OTHER_MISC_ADJ" hidden="1">"c5732"</definedName>
    <definedName name="IQ_PENSION_CI_OTHER_MISC_ADJ_DOM" hidden="1">"c5730"</definedName>
    <definedName name="IQ_PENSION_CI_OTHER_MISC_ADJ_FOREIGN" hidden="1">"c5731"</definedName>
    <definedName name="IQ_PENSION_CI_PRIOR_SERVICE" hidden="1">"c5726"</definedName>
    <definedName name="IQ_PENSION_CI_PRIOR_SERVICE_DOM" hidden="1">"c5724"</definedName>
    <definedName name="IQ_PENSION_CI_PRIOR_SERVICE_FOREIGN" hidden="1">"c5725"</definedName>
    <definedName name="IQ_PENSION_CI_TRANSITION" hidden="1">"c5729"</definedName>
    <definedName name="IQ_PENSION_CI_TRANSITION_DOM" hidden="1">"c5727"</definedName>
    <definedName name="IQ_PENSION_CI_TRANSITION_FOREIGN" hidden="1">"c5728"</definedName>
    <definedName name="IQ_PENSION_CL" hidden="1">"c5753"</definedName>
    <definedName name="IQ_PENSION_CL_DOM" hidden="1">"c5751"</definedName>
    <definedName name="IQ_PENSION_CL_FOREIGN" hidden="1">"c5752"</definedName>
    <definedName name="IQ_PENSION_CONTRIBUTION_TOTAL_COST" hidden="1">"c3559"</definedName>
    <definedName name="IQ_PENSION_DISC_RATE_MAX" hidden="1">"c3236"</definedName>
    <definedName name="IQ_PENSION_DISC_RATE_MAX_DOM" hidden="1">"c3234"</definedName>
    <definedName name="IQ_PENSION_DISC_RATE_MAX_FOREIGN" hidden="1">"c3235"</definedName>
    <definedName name="IQ_PENSION_DISC_RATE_MIN" hidden="1">"c3233"</definedName>
    <definedName name="IQ_PENSION_DISC_RATE_MIN_DOM" hidden="1">"c3231"</definedName>
    <definedName name="IQ_PENSION_DISC_RATE_MIN_FOREIGN" hidden="1">"c3232"</definedName>
    <definedName name="IQ_PENSION_DISCOUNT_RATE_DOMESTIC" hidden="1">"c3573"</definedName>
    <definedName name="IQ_PENSION_DISCOUNT_RATE_FOREIGN" hidden="1">"c3574"</definedName>
    <definedName name="IQ_PENSION_EST_BENEFIT_1YR" hidden="1">"c3113"</definedName>
    <definedName name="IQ_PENSION_EST_BENEFIT_1YR_DOM" hidden="1">"c3111"</definedName>
    <definedName name="IQ_PENSION_EST_BENEFIT_1YR_FOREIGN" hidden="1">"c3112"</definedName>
    <definedName name="IQ_PENSION_EST_BENEFIT_2YR" hidden="1">"c3116"</definedName>
    <definedName name="IQ_PENSION_EST_BENEFIT_2YR_DOM" hidden="1">"c3114"</definedName>
    <definedName name="IQ_PENSION_EST_BENEFIT_2YR_FOREIGN" hidden="1">"c3115"</definedName>
    <definedName name="IQ_PENSION_EST_BENEFIT_3YR" hidden="1">"c3119"</definedName>
    <definedName name="IQ_PENSION_EST_BENEFIT_3YR_DOM" hidden="1">"c3117"</definedName>
    <definedName name="IQ_PENSION_EST_BENEFIT_3YR_FOREIGN" hidden="1">"c3118"</definedName>
    <definedName name="IQ_PENSION_EST_BENEFIT_4YR" hidden="1">"c3122"</definedName>
    <definedName name="IQ_PENSION_EST_BENEFIT_4YR_DOM" hidden="1">"c3120"</definedName>
    <definedName name="IQ_PENSION_EST_BENEFIT_4YR_FOREIGN" hidden="1">"c3121"</definedName>
    <definedName name="IQ_PENSION_EST_BENEFIT_5YR" hidden="1">"c3125"</definedName>
    <definedName name="IQ_PENSION_EST_BENEFIT_5YR_DOM" hidden="1">"c3123"</definedName>
    <definedName name="IQ_PENSION_EST_BENEFIT_5YR_FOREIGN" hidden="1">"c3124"</definedName>
    <definedName name="IQ_PENSION_EST_BENEFIT_AFTER5" hidden="1">"c3128"</definedName>
    <definedName name="IQ_PENSION_EST_BENEFIT_AFTER5_DOM" hidden="1">"c3126"</definedName>
    <definedName name="IQ_PENSION_EST_BENEFIT_AFTER5_FOREIGN" hidden="1">"c3127"</definedName>
    <definedName name="IQ_PENSION_EST_CONTRIBUTIONS_NEXTYR" hidden="1">"c3218"</definedName>
    <definedName name="IQ_PENSION_EST_CONTRIBUTIONS_NEXTYR_DOM" hidden="1">"c3216"</definedName>
    <definedName name="IQ_PENSION_EST_CONTRIBUTIONS_NEXTYR_FOREIGN" hidden="1">"c3217"</definedName>
    <definedName name="IQ_PENSION_EXP_RATE_RETURN_MAX" hidden="1">"c3248"</definedName>
    <definedName name="IQ_PENSION_EXP_RATE_RETURN_MAX_DOM" hidden="1">"c3246"</definedName>
    <definedName name="IQ_PENSION_EXP_RATE_RETURN_MAX_FOREIGN" hidden="1">"c3247"</definedName>
    <definedName name="IQ_PENSION_EXP_RATE_RETURN_MIN" hidden="1">"c3245"</definedName>
    <definedName name="IQ_PENSION_EXP_RATE_RETURN_MIN_DOM" hidden="1">"c3243"</definedName>
    <definedName name="IQ_PENSION_EXP_RATE_RETURN_MIN_FOREIGN" hidden="1">"c3244"</definedName>
    <definedName name="IQ_PENSION_EXP_RETURN_DOMESTIC" hidden="1">"c3571"</definedName>
    <definedName name="IQ_PENSION_EXP_RETURN_FOREIGN" hidden="1">"c3572"</definedName>
    <definedName name="IQ_PENSION_INTAN_ASSETS" hidden="1">"c3137"</definedName>
    <definedName name="IQ_PENSION_INTAN_ASSETS_DOM" hidden="1">"c3135"</definedName>
    <definedName name="IQ_PENSION_INTAN_ASSETS_FOREIGN" hidden="1">"c3136"</definedName>
    <definedName name="IQ_PENSION_INTEREST_COST" hidden="1">"c3582"</definedName>
    <definedName name="IQ_PENSION_INTEREST_COST_DOM" hidden="1">"c3580"</definedName>
    <definedName name="IQ_PENSION_INTEREST_COST_FOREIGN" hidden="1">"c3581"</definedName>
    <definedName name="IQ_PENSION_LT_ASSETS" hidden="1">"c5750"</definedName>
    <definedName name="IQ_PENSION_LT_ASSETS_DOM" hidden="1">"c5748"</definedName>
    <definedName name="IQ_PENSION_LT_ASSETS_FOREIGN" hidden="1">"c5749"</definedName>
    <definedName name="IQ_PENSION_LT_LIAB" hidden="1">"c5756"</definedName>
    <definedName name="IQ_PENSION_LT_LIAB_DOM" hidden="1">"c5754"</definedName>
    <definedName name="IQ_PENSION_LT_LIAB_FOREIGN" hidden="1">"c5755"</definedName>
    <definedName name="IQ_PENSION_NET_ASSET_RECOG" hidden="1">"c3152"</definedName>
    <definedName name="IQ_PENSION_NET_ASSET_RECOG_DOM" hidden="1">"c3150"</definedName>
    <definedName name="IQ_PENSION_NET_ASSET_RECOG_FOREIGN" hidden="1">"c3151"</definedName>
    <definedName name="IQ_PENSION_OBLIGATION_ACQ" hidden="1">"c3206"</definedName>
    <definedName name="IQ_PENSION_OBLIGATION_ACQ_DOM" hidden="1">"c3204"</definedName>
    <definedName name="IQ_PENSION_OBLIGATION_ACQ_FOREIGN" hidden="1">"c3205"</definedName>
    <definedName name="IQ_PENSION_OBLIGATION_ACTUARIAL_GAIN_LOSS" hidden="1">"c3197"</definedName>
    <definedName name="IQ_PENSION_OBLIGATION_ACTUARIAL_GAIN_LOSS_DOM" hidden="1">"c3195"</definedName>
    <definedName name="IQ_PENSION_OBLIGATION_ACTUARIAL_GAIN_LOSS_FOREIGN" hidden="1">"c3196"</definedName>
    <definedName name="IQ_PENSION_OBLIGATION_BEG" hidden="1">"c3185"</definedName>
    <definedName name="IQ_PENSION_OBLIGATION_BEG_DOM" hidden="1">"c3183"</definedName>
    <definedName name="IQ_PENSION_OBLIGATION_BEG_FOREIGN" hidden="1">"c3184"</definedName>
    <definedName name="IQ_PENSION_OBLIGATION_CURTAIL" hidden="1">"c3209"</definedName>
    <definedName name="IQ_PENSION_OBLIGATION_CURTAIL_DOM" hidden="1">"c3207"</definedName>
    <definedName name="IQ_PENSION_OBLIGATION_CURTAIL_FOREIGN" hidden="1">"c3208"</definedName>
    <definedName name="IQ_PENSION_OBLIGATION_EMPLOYEE_CONTRIBUTIONS" hidden="1">"c3194"</definedName>
    <definedName name="IQ_PENSION_OBLIGATION_EMPLOYEE_CONTRIBUTIONS_DOM" hidden="1">"c3192"</definedName>
    <definedName name="IQ_PENSION_OBLIGATION_EMPLOYEE_CONTRIBUTIONS_FOREIGN" hidden="1">"c3193"</definedName>
    <definedName name="IQ_PENSION_OBLIGATION_FX_ADJ" hidden="1">"c3203"</definedName>
    <definedName name="IQ_PENSION_OBLIGATION_FX_ADJ_DOM" hidden="1">"c3201"</definedName>
    <definedName name="IQ_PENSION_OBLIGATION_FX_ADJ_FOREIGN" hidden="1">"c3202"</definedName>
    <definedName name="IQ_PENSION_OBLIGATION_INTEREST_COST" hidden="1">"c3191"</definedName>
    <definedName name="IQ_PENSION_OBLIGATION_INTEREST_COST_DOM" hidden="1">"c3189"</definedName>
    <definedName name="IQ_PENSION_OBLIGATION_INTEREST_COST_FOREIGN" hidden="1">"c3190"</definedName>
    <definedName name="IQ_PENSION_OBLIGATION_OTHER_COST" hidden="1">"c3555"</definedName>
    <definedName name="IQ_PENSION_OBLIGATION_OTHER_COST_DOM" hidden="1">"c3553"</definedName>
    <definedName name="IQ_PENSION_OBLIGATION_OTHER_COST_FOREIGN" hidden="1">"c3554"</definedName>
    <definedName name="IQ_PENSION_OBLIGATION_OTHER_PLAN_ADJ" hidden="1">"c3212"</definedName>
    <definedName name="IQ_PENSION_OBLIGATION_OTHER_PLAN_ADJ_DOM" hidden="1">"c3210"</definedName>
    <definedName name="IQ_PENSION_OBLIGATION_OTHER_PLAN_ADJ_FOREIGN" hidden="1">"c3211"</definedName>
    <definedName name="IQ_PENSION_OBLIGATION_PAID" hidden="1">"c3200"</definedName>
    <definedName name="IQ_PENSION_OBLIGATION_PAID_DOM" hidden="1">"c3198"</definedName>
    <definedName name="IQ_PENSION_OBLIGATION_PAID_FOREIGN" hidden="1">"c3199"</definedName>
    <definedName name="IQ_PENSION_OBLIGATION_PROJECTED" hidden="1">"c3215"</definedName>
    <definedName name="IQ_PENSION_OBLIGATION_PROJECTED_DOM" hidden="1">"c3213"</definedName>
    <definedName name="IQ_PENSION_OBLIGATION_PROJECTED_FOREIGN" hidden="1">"c3214"</definedName>
    <definedName name="IQ_PENSION_OBLIGATION_ROA" hidden="1">"c3552"</definedName>
    <definedName name="IQ_PENSION_OBLIGATION_ROA_DOM" hidden="1">"c3550"</definedName>
    <definedName name="IQ_PENSION_OBLIGATION_ROA_FOREIGN" hidden="1">"c3551"</definedName>
    <definedName name="IQ_PENSION_OBLIGATION_SERVICE_COST" hidden="1">"c3188"</definedName>
    <definedName name="IQ_PENSION_OBLIGATION_SERVICE_COST_DOM" hidden="1">"c3186"</definedName>
    <definedName name="IQ_PENSION_OBLIGATION_SERVICE_COST_FOREIGN" hidden="1">"c3187"</definedName>
    <definedName name="IQ_PENSION_OBLIGATION_TOTAL_COST" hidden="1">"c3558"</definedName>
    <definedName name="IQ_PENSION_OBLIGATION_TOTAL_COST_DOM" hidden="1">"c3556"</definedName>
    <definedName name="IQ_PENSION_OBLIGATION_TOTAL_COST_FOREIGN" hidden="1">"c3557"</definedName>
    <definedName name="IQ_PENSION_OTHER" hidden="1">"c3143"</definedName>
    <definedName name="IQ_PENSION_OTHER_ADJ" hidden="1">"c3149"</definedName>
    <definedName name="IQ_PENSION_OTHER_ADJ_DOM" hidden="1">"c3147"</definedName>
    <definedName name="IQ_PENSION_OTHER_ADJ_FOREIGN" hidden="1">"c3148"</definedName>
    <definedName name="IQ_PENSION_OTHER_DOM" hidden="1">"c3141"</definedName>
    <definedName name="IQ_PENSION_OTHER_FOREIGN" hidden="1">"c3142"</definedName>
    <definedName name="IQ_PENSION_PBO_ASSUMED_RATE_RET_MAX" hidden="1">"c3254"</definedName>
    <definedName name="IQ_PENSION_PBO_ASSUMED_RATE_RET_MAX_DOM" hidden="1">"c3252"</definedName>
    <definedName name="IQ_PENSION_PBO_ASSUMED_RATE_RET_MAX_FOREIGN" hidden="1">"c3253"</definedName>
    <definedName name="IQ_PENSION_PBO_ASSUMED_RATE_RET_MIN" hidden="1">"c3251"</definedName>
    <definedName name="IQ_PENSION_PBO_ASSUMED_RATE_RET_MIN_DOM" hidden="1">"c3249"</definedName>
    <definedName name="IQ_PENSION_PBO_ASSUMED_RATE_RET_MIN_FOREIGN" hidden="1">"c3250"</definedName>
    <definedName name="IQ_PENSION_PBO_RATE_COMP_INCREASE_MAX" hidden="1">"c3260"</definedName>
    <definedName name="IQ_PENSION_PBO_RATE_COMP_INCREASE_MAX_DOM" hidden="1">"c3258"</definedName>
    <definedName name="IQ_PENSION_PBO_RATE_COMP_INCREASE_MAX_FOREIGN" hidden="1">"c3259"</definedName>
    <definedName name="IQ_PENSION_PBO_RATE_COMP_INCREASE_MIN" hidden="1">"c3257"</definedName>
    <definedName name="IQ_PENSION_PBO_RATE_COMP_INCREASE_MIN_DOM" hidden="1">"c3255"</definedName>
    <definedName name="IQ_PENSION_PBO_RATE_COMP_INCREASE_MIN_FOREIGN" hidden="1">"c3256"</definedName>
    <definedName name="IQ_PENSION_PREPAID_COST" hidden="1">"c3131"</definedName>
    <definedName name="IQ_PENSION_PREPAID_COST_DOM" hidden="1">"c3129"</definedName>
    <definedName name="IQ_PENSION_PREPAID_COST_FOREIGN" hidden="1">"c3130"</definedName>
    <definedName name="IQ_PENSION_PRIOR_SERVICE_NEXT" hidden="1">"c5741"</definedName>
    <definedName name="IQ_PENSION_PRIOR_SERVICE_NEXT_DOM" hidden="1">"c5739"</definedName>
    <definedName name="IQ_PENSION_PRIOR_SERVICE_NEXT_FOREIGN" hidden="1">"c5740"</definedName>
    <definedName name="IQ_PENSION_PROJECTED_OBLIGATION" hidden="1">"c3566"</definedName>
    <definedName name="IQ_PENSION_PROJECTED_OBLIGATION_DOMESTIC" hidden="1">"c3564"</definedName>
    <definedName name="IQ_PENSION_PROJECTED_OBLIGATION_FOREIGN" hidden="1">"c3565"</definedName>
    <definedName name="IQ_PENSION_QUART_ADDL_CONTRIBUTIONS_EXP" hidden="1">"c3224"</definedName>
    <definedName name="IQ_PENSION_QUART_ADDL_CONTRIBUTIONS_EXP_DOM" hidden="1">"c3222"</definedName>
    <definedName name="IQ_PENSION_QUART_ADDL_CONTRIBUTIONS_EXP_FOREIGN" hidden="1">"c3223"</definedName>
    <definedName name="IQ_PENSION_QUART_EMPLOYER_CONTRIBUTIONS" hidden="1">"c3221"</definedName>
    <definedName name="IQ_PENSION_QUART_EMPLOYER_CONTRIBUTIONS_DOM" hidden="1">"c3219"</definedName>
    <definedName name="IQ_PENSION_QUART_EMPLOYER_CONTRIBUTIONS_FOREIGN" hidden="1">"c3220"</definedName>
    <definedName name="IQ_PENSION_RATE_COMP_GROWTH_DOMESTIC" hidden="1">"c3575"</definedName>
    <definedName name="IQ_PENSION_RATE_COMP_GROWTH_FOREIGN" hidden="1">"c3576"</definedName>
    <definedName name="IQ_PENSION_RATE_COMP_INCREASE_MAX" hidden="1">"c3242"</definedName>
    <definedName name="IQ_PENSION_RATE_COMP_INCREASE_MAX_DOM" hidden="1">"c3240"</definedName>
    <definedName name="IQ_PENSION_RATE_COMP_INCREASE_MAX_FOREIGN" hidden="1">"c3241"</definedName>
    <definedName name="IQ_PENSION_RATE_COMP_INCREASE_MIN" hidden="1">"c3239"</definedName>
    <definedName name="IQ_PENSION_RATE_COMP_INCREASE_MIN_DOM" hidden="1">"c3237"</definedName>
    <definedName name="IQ_PENSION_RATE_COMP_INCREASE_MIN_FOREIGN" hidden="1">"c3238"</definedName>
    <definedName name="IQ_PENSION_SERVICE_COST" hidden="1">"c3579"</definedName>
    <definedName name="IQ_PENSION_SERVICE_COST_DOM" hidden="1">"c3577"</definedName>
    <definedName name="IQ_PENSION_SERVICE_COST_FOREIGN" hidden="1">"c3578"</definedName>
    <definedName name="IQ_PENSION_TOTAL_ASSETS" hidden="1">"c3563"</definedName>
    <definedName name="IQ_PENSION_TOTAL_ASSETS_DOMESTIC" hidden="1">"c3561"</definedName>
    <definedName name="IQ_PENSION_TOTAL_ASSETS_FOREIGN" hidden="1">"c3562"</definedName>
    <definedName name="IQ_PENSION_TOTAL_EXP" hidden="1">"c3560"</definedName>
    <definedName name="IQ_PENSION_TRANSITION_NEXT" hidden="1">"c5744"</definedName>
    <definedName name="IQ_PENSION_TRANSITION_NEXT_DOM" hidden="1">"c5742"</definedName>
    <definedName name="IQ_PENSION_TRANSITION_NEXT_FOREIGN" hidden="1">"c5743"</definedName>
    <definedName name="IQ_PENSION_UNFUNDED_ADDL_MIN_LIAB" hidden="1">"c3227"</definedName>
    <definedName name="IQ_PENSION_UNFUNDED_ADDL_MIN_LIAB_DOM" hidden="1">"c3225"</definedName>
    <definedName name="IQ_PENSION_UNFUNDED_ADDL_MIN_LIAB_FOREIGN" hidden="1">"c3226"</definedName>
    <definedName name="IQ_PENSION_UNRECOG_PRIOR" hidden="1">"c3146"</definedName>
    <definedName name="IQ_PENSION_UNRECOG_PRIOR_DOM" hidden="1">"c3144"</definedName>
    <definedName name="IQ_PENSION_UNRECOG_PRIOR_FOREIGN" hidden="1">"c3145"</definedName>
    <definedName name="IQ_PENSION_UV_LIAB" hidden="1">"c3567"</definedName>
    <definedName name="IQ_PERCENT_CHANGE_EST_5YR_GROWTH_RATE_12MONTHS" hidden="1">"c1852"</definedName>
    <definedName name="IQ_PERCENT_CHANGE_EST_5YR_GROWTH_RATE_12MONTHS_CIQ" hidden="1">"c3790"</definedName>
    <definedName name="IQ_PERCENT_CHANGE_EST_5YR_GROWTH_RATE_12MONTHS_REUT" hidden="1">"c3959"</definedName>
    <definedName name="IQ_PERCENT_CHANGE_EST_5YR_GROWTH_RATE_18MONTHS" hidden="1">"c1853"</definedName>
    <definedName name="IQ_PERCENT_CHANGE_EST_5YR_GROWTH_RATE_18MONTHS_CIQ" hidden="1">"c3791"</definedName>
    <definedName name="IQ_PERCENT_CHANGE_EST_5YR_GROWTH_RATE_18MONTHS_REUT" hidden="1">"c3960"</definedName>
    <definedName name="IQ_PERCENT_CHANGE_EST_5YR_GROWTH_RATE_3MONTHS" hidden="1">"c1849"</definedName>
    <definedName name="IQ_PERCENT_CHANGE_EST_5YR_GROWTH_RATE_3MONTHS_CIQ" hidden="1">"c3787"</definedName>
    <definedName name="IQ_PERCENT_CHANGE_EST_5YR_GROWTH_RATE_3MONTHS_REUT" hidden="1">"c3956"</definedName>
    <definedName name="IQ_PERCENT_CHANGE_EST_5YR_GROWTH_RATE_6MONTHS" hidden="1">"c1850"</definedName>
    <definedName name="IQ_PERCENT_CHANGE_EST_5YR_GROWTH_RATE_6MONTHS_CIQ" hidden="1">"c3788"</definedName>
    <definedName name="IQ_PERCENT_CHANGE_EST_5YR_GROWTH_RATE_6MONTHS_REUT" hidden="1">"c3957"</definedName>
    <definedName name="IQ_PERCENT_CHANGE_EST_5YR_GROWTH_RATE_9MONTHS" hidden="1">"c1851"</definedName>
    <definedName name="IQ_PERCENT_CHANGE_EST_5YR_GROWTH_RATE_9MONTHS_CIQ" hidden="1">"c3789"</definedName>
    <definedName name="IQ_PERCENT_CHANGE_EST_5YR_GROWTH_RATE_9MONTHS_REUT" hidden="1">"c3958"</definedName>
    <definedName name="IQ_PERCENT_CHANGE_EST_5YR_GROWTH_RATE_DAY" hidden="1">"c1846"</definedName>
    <definedName name="IQ_PERCENT_CHANGE_EST_5YR_GROWTH_RATE_DAY_CIQ" hidden="1">"c3785"</definedName>
    <definedName name="IQ_PERCENT_CHANGE_EST_5YR_GROWTH_RATE_DAY_REUT" hidden="1">"c3954"</definedName>
    <definedName name="IQ_PERCENT_CHANGE_EST_5YR_GROWTH_RATE_MONTH" hidden="1">"c1848"</definedName>
    <definedName name="IQ_PERCENT_CHANGE_EST_5YR_GROWTH_RATE_MONTH_CIQ" hidden="1">"c3786"</definedName>
    <definedName name="IQ_PERCENT_CHANGE_EST_5YR_GROWTH_RATE_MONTH_REUT" hidden="1">"c3955"</definedName>
    <definedName name="IQ_PERCENT_CHANGE_EST_5YR_GROWTH_RATE_WEEK" hidden="1">"c1847"</definedName>
    <definedName name="IQ_PERCENT_CHANGE_EST_5YR_GROWTH_RATE_WEEK_CIQ" hidden="1">"c3797"</definedName>
    <definedName name="IQ_PERCENT_CHANGE_EST_5YR_GROWTH_RATE_WEEK_REUT" hidden="1">"c5435"</definedName>
    <definedName name="IQ_PERCENT_CHANGE_EST_CFPS_12MONTHS" hidden="1">"c1812"</definedName>
    <definedName name="IQ_PERCENT_CHANGE_EST_CFPS_12MONTHS_CIQ" hidden="1">"c3755"</definedName>
    <definedName name="IQ_PERCENT_CHANGE_EST_CFPS_12MONTHS_REUT" hidden="1">"c3924"</definedName>
    <definedName name="IQ_PERCENT_CHANGE_EST_CFPS_18MONTHS" hidden="1">"c1813"</definedName>
    <definedName name="IQ_PERCENT_CHANGE_EST_CFPS_18MONTHS_CIQ" hidden="1">"c3756"</definedName>
    <definedName name="IQ_PERCENT_CHANGE_EST_CFPS_18MONTHS_REUT" hidden="1">"c3925"</definedName>
    <definedName name="IQ_PERCENT_CHANGE_EST_CFPS_3MONTHS" hidden="1">"c1809"</definedName>
    <definedName name="IQ_PERCENT_CHANGE_EST_CFPS_3MONTHS_CIQ" hidden="1">"c3752"</definedName>
    <definedName name="IQ_PERCENT_CHANGE_EST_CFPS_3MONTHS_REUT" hidden="1">"c3921"</definedName>
    <definedName name="IQ_PERCENT_CHANGE_EST_CFPS_6MONTHS" hidden="1">"c1810"</definedName>
    <definedName name="IQ_PERCENT_CHANGE_EST_CFPS_6MONTHS_CIQ" hidden="1">"c3753"</definedName>
    <definedName name="IQ_PERCENT_CHANGE_EST_CFPS_6MONTHS_REUT" hidden="1">"c3922"</definedName>
    <definedName name="IQ_PERCENT_CHANGE_EST_CFPS_9MONTHS" hidden="1">"c1811"</definedName>
    <definedName name="IQ_PERCENT_CHANGE_EST_CFPS_9MONTHS_CIQ" hidden="1">"c3754"</definedName>
    <definedName name="IQ_PERCENT_CHANGE_EST_CFPS_9MONTHS_REUT" hidden="1">"c3923"</definedName>
    <definedName name="IQ_PERCENT_CHANGE_EST_CFPS_DAY" hidden="1">"c1806"</definedName>
    <definedName name="IQ_PERCENT_CHANGE_EST_CFPS_DAY_CIQ" hidden="1">"c3750"</definedName>
    <definedName name="IQ_PERCENT_CHANGE_EST_CFPS_DAY_REUT" hidden="1">"c3919"</definedName>
    <definedName name="IQ_PERCENT_CHANGE_EST_CFPS_MONTH" hidden="1">"c1808"</definedName>
    <definedName name="IQ_PERCENT_CHANGE_EST_CFPS_MONTH_CIQ" hidden="1">"c3751"</definedName>
    <definedName name="IQ_PERCENT_CHANGE_EST_CFPS_MONTH_REUT" hidden="1">"c3920"</definedName>
    <definedName name="IQ_PERCENT_CHANGE_EST_CFPS_WEEK" hidden="1">"c1807"</definedName>
    <definedName name="IQ_PERCENT_CHANGE_EST_CFPS_WEEK_CIQ" hidden="1">"c3793"</definedName>
    <definedName name="IQ_PERCENT_CHANGE_EST_CFPS_WEEK_REUT" hidden="1">"c3962"</definedName>
    <definedName name="IQ_PERCENT_CHANGE_EST_DPS_12MONTHS" hidden="1">"c1820"</definedName>
    <definedName name="IQ_PERCENT_CHANGE_EST_DPS_12MONTHS_CIQ" hidden="1">"c3762"</definedName>
    <definedName name="IQ_PERCENT_CHANGE_EST_DPS_12MONTHS_REUT" hidden="1">"c3931"</definedName>
    <definedName name="IQ_PERCENT_CHANGE_EST_DPS_18MONTHS" hidden="1">"c1821"</definedName>
    <definedName name="IQ_PERCENT_CHANGE_EST_DPS_18MONTHS_CIQ" hidden="1">"c3763"</definedName>
    <definedName name="IQ_PERCENT_CHANGE_EST_DPS_18MONTHS_REUT" hidden="1">"c3932"</definedName>
    <definedName name="IQ_PERCENT_CHANGE_EST_DPS_3MONTHS" hidden="1">"c1817"</definedName>
    <definedName name="IQ_PERCENT_CHANGE_EST_DPS_3MONTHS_CIQ" hidden="1">"c3759"</definedName>
    <definedName name="IQ_PERCENT_CHANGE_EST_DPS_3MONTHS_REUT" hidden="1">"c3928"</definedName>
    <definedName name="IQ_PERCENT_CHANGE_EST_DPS_6MONTHS" hidden="1">"c1818"</definedName>
    <definedName name="IQ_PERCENT_CHANGE_EST_DPS_6MONTHS_CIQ" hidden="1">"c3760"</definedName>
    <definedName name="IQ_PERCENT_CHANGE_EST_DPS_6MONTHS_REUT" hidden="1">"c3929"</definedName>
    <definedName name="IQ_PERCENT_CHANGE_EST_DPS_9MONTHS" hidden="1">"c1819"</definedName>
    <definedName name="IQ_PERCENT_CHANGE_EST_DPS_9MONTHS_CIQ" hidden="1">"c3761"</definedName>
    <definedName name="IQ_PERCENT_CHANGE_EST_DPS_9MONTHS_REUT" hidden="1">"c3930"</definedName>
    <definedName name="IQ_PERCENT_CHANGE_EST_DPS_DAY" hidden="1">"c1814"</definedName>
    <definedName name="IQ_PERCENT_CHANGE_EST_DPS_DAY_CIQ" hidden="1">"c3757"</definedName>
    <definedName name="IQ_PERCENT_CHANGE_EST_DPS_DAY_REUT" hidden="1">"c3926"</definedName>
    <definedName name="IQ_PERCENT_CHANGE_EST_DPS_MONTH" hidden="1">"c1816"</definedName>
    <definedName name="IQ_PERCENT_CHANGE_EST_DPS_MONTH_CIQ" hidden="1">"c3758"</definedName>
    <definedName name="IQ_PERCENT_CHANGE_EST_DPS_MONTH_REUT" hidden="1">"c3927"</definedName>
    <definedName name="IQ_PERCENT_CHANGE_EST_DPS_WEEK" hidden="1">"c1815"</definedName>
    <definedName name="IQ_PERCENT_CHANGE_EST_DPS_WEEK_CIQ" hidden="1">"c3794"</definedName>
    <definedName name="IQ_PERCENT_CHANGE_EST_DPS_WEEK_REUT" hidden="1">"c3963"</definedName>
    <definedName name="IQ_PERCENT_CHANGE_EST_EBITDA_12MONTHS" hidden="1">"c1804"</definedName>
    <definedName name="IQ_PERCENT_CHANGE_EST_EBITDA_12MONTHS_CIQ" hidden="1">"c3748"</definedName>
    <definedName name="IQ_PERCENT_CHANGE_EST_EBITDA_12MONTHS_REUT" hidden="1">"c3917"</definedName>
    <definedName name="IQ_PERCENT_CHANGE_EST_EBITDA_18MONTHS" hidden="1">"c1805"</definedName>
    <definedName name="IQ_PERCENT_CHANGE_EST_EBITDA_18MONTHS_CIQ" hidden="1">"c3749"</definedName>
    <definedName name="IQ_PERCENT_CHANGE_EST_EBITDA_18MONTHS_REUT" hidden="1">"c3918"</definedName>
    <definedName name="IQ_PERCENT_CHANGE_EST_EBITDA_3MONTHS" hidden="1">"c1801"</definedName>
    <definedName name="IQ_PERCENT_CHANGE_EST_EBITDA_3MONTHS_CIQ" hidden="1">"c3745"</definedName>
    <definedName name="IQ_PERCENT_CHANGE_EST_EBITDA_3MONTHS_REUT" hidden="1">"c3914"</definedName>
    <definedName name="IQ_PERCENT_CHANGE_EST_EBITDA_6MONTHS" hidden="1">"c1802"</definedName>
    <definedName name="IQ_PERCENT_CHANGE_EST_EBITDA_6MONTHS_CIQ" hidden="1">"c3746"</definedName>
    <definedName name="IQ_PERCENT_CHANGE_EST_EBITDA_6MONTHS_REUT" hidden="1">"c3915"</definedName>
    <definedName name="IQ_PERCENT_CHANGE_EST_EBITDA_9MONTHS" hidden="1">"c1803"</definedName>
    <definedName name="IQ_PERCENT_CHANGE_EST_EBITDA_9MONTHS_CIQ" hidden="1">"c3747"</definedName>
    <definedName name="IQ_PERCENT_CHANGE_EST_EBITDA_9MONTHS_REUT" hidden="1">"c3916"</definedName>
    <definedName name="IQ_PERCENT_CHANGE_EST_EBITDA_DAY" hidden="1">"c1798"</definedName>
    <definedName name="IQ_PERCENT_CHANGE_EST_EBITDA_DAY_CIQ" hidden="1">"c3743"</definedName>
    <definedName name="IQ_PERCENT_CHANGE_EST_EBITDA_DAY_REUT" hidden="1">"c3912"</definedName>
    <definedName name="IQ_PERCENT_CHANGE_EST_EBITDA_MONTH" hidden="1">"c1800"</definedName>
    <definedName name="IQ_PERCENT_CHANGE_EST_EBITDA_MONTH_CIQ" hidden="1">"c3744"</definedName>
    <definedName name="IQ_PERCENT_CHANGE_EST_EBITDA_MONTH_REUT" hidden="1">"c3913"</definedName>
    <definedName name="IQ_PERCENT_CHANGE_EST_EBITDA_WEEK" hidden="1">"c1799"</definedName>
    <definedName name="IQ_PERCENT_CHANGE_EST_EBITDA_WEEK_CIQ" hidden="1">"c3792"</definedName>
    <definedName name="IQ_PERCENT_CHANGE_EST_EBITDA_WEEK_REUT" hidden="1">"c3961"</definedName>
    <definedName name="IQ_PERCENT_CHANGE_EST_EPS_12MONTHS" hidden="1">"c1788"</definedName>
    <definedName name="IQ_PERCENT_CHANGE_EST_EPS_12MONTHS_CIQ" hidden="1">"c3733"</definedName>
    <definedName name="IQ_PERCENT_CHANGE_EST_EPS_12MONTHS_REUT" hidden="1">"c3902"</definedName>
    <definedName name="IQ_PERCENT_CHANGE_EST_EPS_18MONTHS" hidden="1">"c1789"</definedName>
    <definedName name="IQ_PERCENT_CHANGE_EST_EPS_18MONTHS_CIQ" hidden="1">"c3734"</definedName>
    <definedName name="IQ_PERCENT_CHANGE_EST_EPS_18MONTHS_REUT" hidden="1">"c3903"</definedName>
    <definedName name="IQ_PERCENT_CHANGE_EST_EPS_3MONTHS" hidden="1">"c1785"</definedName>
    <definedName name="IQ_PERCENT_CHANGE_EST_EPS_3MONTHS_CIQ" hidden="1">"c3730"</definedName>
    <definedName name="IQ_PERCENT_CHANGE_EST_EPS_3MONTHS_REUT" hidden="1">"c3899"</definedName>
    <definedName name="IQ_PERCENT_CHANGE_EST_EPS_6MONTHS" hidden="1">"c1786"</definedName>
    <definedName name="IQ_PERCENT_CHANGE_EST_EPS_6MONTHS_CIQ" hidden="1">"c3731"</definedName>
    <definedName name="IQ_PERCENT_CHANGE_EST_EPS_6MONTHS_REUT" hidden="1">"c3900"</definedName>
    <definedName name="IQ_PERCENT_CHANGE_EST_EPS_9MONTHS" hidden="1">"c1787"</definedName>
    <definedName name="IQ_PERCENT_CHANGE_EST_EPS_9MONTHS_CIQ" hidden="1">"c3732"</definedName>
    <definedName name="IQ_PERCENT_CHANGE_EST_EPS_9MONTHS_REUT" hidden="1">"c3901"</definedName>
    <definedName name="IQ_PERCENT_CHANGE_EST_EPS_DAY" hidden="1">"c1782"</definedName>
    <definedName name="IQ_PERCENT_CHANGE_EST_EPS_DAY_CIQ" hidden="1">"c3727"</definedName>
    <definedName name="IQ_PERCENT_CHANGE_EST_EPS_DAY_REUT" hidden="1">"c3896"</definedName>
    <definedName name="IQ_PERCENT_CHANGE_EST_EPS_MONTH" hidden="1">"c1784"</definedName>
    <definedName name="IQ_PERCENT_CHANGE_EST_EPS_MONTH_CIQ" hidden="1">"c3729"</definedName>
    <definedName name="IQ_PERCENT_CHANGE_EST_EPS_MONTH_REUT" hidden="1">"c3898"</definedName>
    <definedName name="IQ_PERCENT_CHANGE_EST_EPS_WEEK" hidden="1">"c1783"</definedName>
    <definedName name="IQ_PERCENT_CHANGE_EST_EPS_WEEK_CIQ" hidden="1">"c3728"</definedName>
    <definedName name="IQ_PERCENT_CHANGE_EST_EPS_WEEK_REUT" hidden="1">"c3897"</definedName>
    <definedName name="IQ_PERCENT_CHANGE_EST_FFO_12MONTHS" hidden="1">"c1828"</definedName>
    <definedName name="IQ_PERCENT_CHANGE_EST_FFO_12MONTHS_CIQ" hidden="1">"c3769"</definedName>
    <definedName name="IQ_PERCENT_CHANGE_EST_FFO_12MONTHS_REUT" hidden="1">"c3938"</definedName>
    <definedName name="IQ_PERCENT_CHANGE_EST_FFO_18MONTHS" hidden="1">"c1829"</definedName>
    <definedName name="IQ_PERCENT_CHANGE_EST_FFO_18MONTHS_CIQ" hidden="1">"c3770"</definedName>
    <definedName name="IQ_PERCENT_CHANGE_EST_FFO_18MONTHS_REUT" hidden="1">"c3939"</definedName>
    <definedName name="IQ_PERCENT_CHANGE_EST_FFO_3MONTHS" hidden="1">"c1825"</definedName>
    <definedName name="IQ_PERCENT_CHANGE_EST_FFO_3MONTHS_CIQ" hidden="1">"c3766"</definedName>
    <definedName name="IQ_PERCENT_CHANGE_EST_FFO_3MONTHS_REUT" hidden="1">"c3935"</definedName>
    <definedName name="IQ_PERCENT_CHANGE_EST_FFO_6MONTHS" hidden="1">"c1826"</definedName>
    <definedName name="IQ_PERCENT_CHANGE_EST_FFO_6MONTHS_CIQ" hidden="1">"c3767"</definedName>
    <definedName name="IQ_PERCENT_CHANGE_EST_FFO_6MONTHS_REUT" hidden="1">"c3936"</definedName>
    <definedName name="IQ_PERCENT_CHANGE_EST_FFO_9MONTHS" hidden="1">"c1827"</definedName>
    <definedName name="IQ_PERCENT_CHANGE_EST_FFO_9MONTHS_CIQ" hidden="1">"c3768"</definedName>
    <definedName name="IQ_PERCENT_CHANGE_EST_FFO_9MONTHS_REUT" hidden="1">"c3937"</definedName>
    <definedName name="IQ_PERCENT_CHANGE_EST_FFO_DAY" hidden="1">"c1822"</definedName>
    <definedName name="IQ_PERCENT_CHANGE_EST_FFO_DAY_CIQ" hidden="1">"c3764"</definedName>
    <definedName name="IQ_PERCENT_CHANGE_EST_FFO_DAY_REUT" hidden="1">"c3933"</definedName>
    <definedName name="IQ_PERCENT_CHANGE_EST_FFO_MONTH" hidden="1">"c1824"</definedName>
    <definedName name="IQ_PERCENT_CHANGE_EST_FFO_MONTH_CIQ" hidden="1">"c3765"</definedName>
    <definedName name="IQ_PERCENT_CHANGE_EST_FFO_MONTH_REUT" hidden="1">"c3934"</definedName>
    <definedName name="IQ_PERCENT_CHANGE_EST_FFO_WEEK" hidden="1">"c1823"</definedName>
    <definedName name="IQ_PERCENT_CHANGE_EST_FFO_WEEK_CIQ" hidden="1">"c3795"</definedName>
    <definedName name="IQ_PERCENT_CHANGE_EST_FFO_WEEK_REUT" hidden="1">"c3964"</definedName>
    <definedName name="IQ_PERCENT_CHANGE_EST_PRICE_TARGET_12MONTHS" hidden="1">"c1844"</definedName>
    <definedName name="IQ_PERCENT_CHANGE_EST_PRICE_TARGET_12MONTHS_CIQ" hidden="1">"c3783"</definedName>
    <definedName name="IQ_PERCENT_CHANGE_EST_PRICE_TARGET_12MONTHS_REUT" hidden="1">"c3952"</definedName>
    <definedName name="IQ_PERCENT_CHANGE_EST_PRICE_TARGET_18MONTHS" hidden="1">"c1845"</definedName>
    <definedName name="IQ_PERCENT_CHANGE_EST_PRICE_TARGET_18MONTHS_CIQ" hidden="1">"c3784"</definedName>
    <definedName name="IQ_PERCENT_CHANGE_EST_PRICE_TARGET_18MONTHS_REUT" hidden="1">"c3953"</definedName>
    <definedName name="IQ_PERCENT_CHANGE_EST_PRICE_TARGET_3MONTHS" hidden="1">"c1841"</definedName>
    <definedName name="IQ_PERCENT_CHANGE_EST_PRICE_TARGET_3MONTHS_CIQ" hidden="1">"c3780"</definedName>
    <definedName name="IQ_PERCENT_CHANGE_EST_PRICE_TARGET_3MONTHS_REUT" hidden="1">"c3949"</definedName>
    <definedName name="IQ_PERCENT_CHANGE_EST_PRICE_TARGET_6MONTHS" hidden="1">"c1842"</definedName>
    <definedName name="IQ_PERCENT_CHANGE_EST_PRICE_TARGET_6MONTHS_CIQ" hidden="1">"c3781"</definedName>
    <definedName name="IQ_PERCENT_CHANGE_EST_PRICE_TARGET_6MONTHS_REUT" hidden="1">"c3950"</definedName>
    <definedName name="IQ_PERCENT_CHANGE_EST_PRICE_TARGET_9MONTHS" hidden="1">"c1843"</definedName>
    <definedName name="IQ_PERCENT_CHANGE_EST_PRICE_TARGET_9MONTHS_CIQ" hidden="1">"c3782"</definedName>
    <definedName name="IQ_PERCENT_CHANGE_EST_PRICE_TARGET_9MONTHS_REUT" hidden="1">"c3951"</definedName>
    <definedName name="IQ_PERCENT_CHANGE_EST_PRICE_TARGET_DAY" hidden="1">"c1838"</definedName>
    <definedName name="IQ_PERCENT_CHANGE_EST_PRICE_TARGET_DAY_CIQ" hidden="1">"c3778"</definedName>
    <definedName name="IQ_PERCENT_CHANGE_EST_PRICE_TARGET_DAY_REUT" hidden="1">"c3947"</definedName>
    <definedName name="IQ_PERCENT_CHANGE_EST_PRICE_TARGET_MONTH" hidden="1">"c1840"</definedName>
    <definedName name="IQ_PERCENT_CHANGE_EST_PRICE_TARGET_MONTH_CIQ" hidden="1">"c3779"</definedName>
    <definedName name="IQ_PERCENT_CHANGE_EST_PRICE_TARGET_MONTH_REUT" hidden="1">"c3948"</definedName>
    <definedName name="IQ_PERCENT_CHANGE_EST_PRICE_TARGET_WEEK" hidden="1">"c1839"</definedName>
    <definedName name="IQ_PERCENT_CHANGE_EST_PRICE_TARGET_WEEK_CIQ" hidden="1">"c3798"</definedName>
    <definedName name="IQ_PERCENT_CHANGE_EST_PRICE_TARGET_WEEK_REUT" hidden="1">"c3967"</definedName>
    <definedName name="IQ_PERCENT_CHANGE_EST_RECO_12MONTHS" hidden="1">"c1836"</definedName>
    <definedName name="IQ_PERCENT_CHANGE_EST_RECO_12MONTHS_CIQ" hidden="1">"c3776"</definedName>
    <definedName name="IQ_PERCENT_CHANGE_EST_RECO_12MONTHS_REUT" hidden="1">"c3945"</definedName>
    <definedName name="IQ_PERCENT_CHANGE_EST_RECO_18MONTHS" hidden="1">"c1837"</definedName>
    <definedName name="IQ_PERCENT_CHANGE_EST_RECO_18MONTHS_CIQ" hidden="1">"c3777"</definedName>
    <definedName name="IQ_PERCENT_CHANGE_EST_RECO_18MONTHS_REUT" hidden="1">"c3946"</definedName>
    <definedName name="IQ_PERCENT_CHANGE_EST_RECO_3MONTHS" hidden="1">"c1833"</definedName>
    <definedName name="IQ_PERCENT_CHANGE_EST_RECO_3MONTHS_CIQ" hidden="1">"c3773"</definedName>
    <definedName name="IQ_PERCENT_CHANGE_EST_RECO_3MONTHS_REUT" hidden="1">"c3942"</definedName>
    <definedName name="IQ_PERCENT_CHANGE_EST_RECO_6MONTHS" hidden="1">"c1834"</definedName>
    <definedName name="IQ_PERCENT_CHANGE_EST_RECO_6MONTHS_CIQ" hidden="1">"c3774"</definedName>
    <definedName name="IQ_PERCENT_CHANGE_EST_RECO_6MONTHS_REUT" hidden="1">"c3943"</definedName>
    <definedName name="IQ_PERCENT_CHANGE_EST_RECO_9MONTHS" hidden="1">"c1835"</definedName>
    <definedName name="IQ_PERCENT_CHANGE_EST_RECO_9MONTHS_CIQ" hidden="1">"c3775"</definedName>
    <definedName name="IQ_PERCENT_CHANGE_EST_RECO_9MONTHS_REUT" hidden="1">"c3944"</definedName>
    <definedName name="IQ_PERCENT_CHANGE_EST_RECO_DAY" hidden="1">"c1830"</definedName>
    <definedName name="IQ_PERCENT_CHANGE_EST_RECO_DAY_CIQ" hidden="1">"c3771"</definedName>
    <definedName name="IQ_PERCENT_CHANGE_EST_RECO_DAY_REUT" hidden="1">"c3940"</definedName>
    <definedName name="IQ_PERCENT_CHANGE_EST_RECO_MONTH" hidden="1">"c1832"</definedName>
    <definedName name="IQ_PERCENT_CHANGE_EST_RECO_MONTH_CIQ" hidden="1">"c3772"</definedName>
    <definedName name="IQ_PERCENT_CHANGE_EST_RECO_MONTH_REUT" hidden="1">"c3941"</definedName>
    <definedName name="IQ_PERCENT_CHANGE_EST_RECO_WEEK" hidden="1">"c1831"</definedName>
    <definedName name="IQ_PERCENT_CHANGE_EST_RECO_WEEK_CIQ" hidden="1">"c3796"</definedName>
    <definedName name="IQ_PERCENT_CHANGE_EST_RECO_WEEK_REUT" hidden="1">"c3965"</definedName>
    <definedName name="IQ_PERCENT_CHANGE_EST_REV_12MONTHS" hidden="1">"c1796"</definedName>
    <definedName name="IQ_PERCENT_CHANGE_EST_REV_12MONTHS_CIQ" hidden="1">"c3741"</definedName>
    <definedName name="IQ_PERCENT_CHANGE_EST_REV_12MONTHS_REUT" hidden="1">"c3910"</definedName>
    <definedName name="IQ_PERCENT_CHANGE_EST_REV_18MONTHS" hidden="1">"c1797"</definedName>
    <definedName name="IQ_PERCENT_CHANGE_EST_REV_18MONTHS_CIQ" hidden="1">"c3742"</definedName>
    <definedName name="IQ_PERCENT_CHANGE_EST_REV_18MONTHS_REUT" hidden="1">"c3911"</definedName>
    <definedName name="IQ_PERCENT_CHANGE_EST_REV_3MONTHS" hidden="1">"c1793"</definedName>
    <definedName name="IQ_PERCENT_CHANGE_EST_REV_3MONTHS_CIQ" hidden="1">"c3738"</definedName>
    <definedName name="IQ_PERCENT_CHANGE_EST_REV_3MONTHS_REUT" hidden="1">"c3907"</definedName>
    <definedName name="IQ_PERCENT_CHANGE_EST_REV_6MONTHS" hidden="1">"c1794"</definedName>
    <definedName name="IQ_PERCENT_CHANGE_EST_REV_6MONTHS_CIQ" hidden="1">"c3739"</definedName>
    <definedName name="IQ_PERCENT_CHANGE_EST_REV_6MONTHS_REUT" hidden="1">"c3908"</definedName>
    <definedName name="IQ_PERCENT_CHANGE_EST_REV_9MONTHS" hidden="1">"c1795"</definedName>
    <definedName name="IQ_PERCENT_CHANGE_EST_REV_9MONTHS_CIQ" hidden="1">"c3740"</definedName>
    <definedName name="IQ_PERCENT_CHANGE_EST_REV_9MONTHS_REUT" hidden="1">"c3909"</definedName>
    <definedName name="IQ_PERCENT_CHANGE_EST_REV_DAY" hidden="1">"c1790"</definedName>
    <definedName name="IQ_PERCENT_CHANGE_EST_REV_DAY_CIQ" hidden="1">"c3735"</definedName>
    <definedName name="IQ_PERCENT_CHANGE_EST_REV_DAY_REUT" hidden="1">"c3904"</definedName>
    <definedName name="IQ_PERCENT_CHANGE_EST_REV_MONTH" hidden="1">"c1792"</definedName>
    <definedName name="IQ_PERCENT_CHANGE_EST_REV_MONTH_CIQ" hidden="1">"c3737"</definedName>
    <definedName name="IQ_PERCENT_CHANGE_EST_REV_MONTH_REUT" hidden="1">"c3906"</definedName>
    <definedName name="IQ_PERCENT_CHANGE_EST_REV_WEEK" hidden="1">"c1791"</definedName>
    <definedName name="IQ_PERCENT_CHANGE_EST_REV_WEEK_CIQ" hidden="1">"c3736"</definedName>
    <definedName name="IQ_PERCENT_CHANGE_EST_REV_WEEK_REUT" hidden="1">"c3905"</definedName>
    <definedName name="IQ_PERCENT_INSURED_FDIC" hidden="1">"c6374"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EDGED_SECURITIES_FDIC" hidden="1">"c6401"</definedName>
    <definedName name="IQ_PLL" hidden="1">"c2114"</definedName>
    <definedName name="IQ_PMT_FREQ" hidden="1">"c2236"</definedName>
    <definedName name="IQ_POISON_PUT_EFFECT_DATE" hidden="1">"c2486"</definedName>
    <definedName name="IQ_POISON_PUT_EXPIRATION_DATE" hidden="1">"c2487"</definedName>
    <definedName name="IQ_POISON_PUT_PRICE" hidden="1">"c2488"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OTENTIAL_UPSIDE" hidden="1">"c1855"</definedName>
    <definedName name="IQ_POTENTIAL_UPSIDE_CIQ" hidden="1">"c3799"</definedName>
    <definedName name="IQ_POTENTIAL_UPSIDE_REUT" hidden="1">"c3968"</definedName>
    <definedName name="IQ_PRE_OPEN_COST" hidden="1">"c1040"</definedName>
    <definedName name="IQ_PRE_TAX_ACT_OR_EST" hidden="1">"c2221"</definedName>
    <definedName name="IQ_PRE_TAX_ACT_OR_EST_CIQ" hidden="1">"c5064"</definedName>
    <definedName name="IQ_PRE_TAX_ACT_OR_EST_REUT" hidden="1">"c5467"</definedName>
    <definedName name="IQ_PRE_TAX_INCOME_FDIC" hidden="1">"c6581"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" hidden="1">"c6261"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" hidden="1">"c6262"</definedName>
    <definedName name="IQ_PREF_OTHER_REIT" hidden="1">"c1058"</definedName>
    <definedName name="IQ_PREF_OTHER_UTI" hidden="1">"C6022"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" hidden="1">"c6263"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FERRED_FDIC" hidden="1">"c6349"</definedName>
    <definedName name="IQ_PREMISES_EQUIPMENT_FDIC" hidden="1">"c6577"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ETAX_GW_INC_EST" hidden="1">"c1702"</definedName>
    <definedName name="IQ_PRETAX_GW_INC_EST_CIQ" hidden="1">"c4688"</definedName>
    <definedName name="IQ_PRETAX_GW_INC_EST_REUT" hidden="1">"c5354"</definedName>
    <definedName name="IQ_PRETAX_GW_INC_HIGH_EST" hidden="1">"c1704"</definedName>
    <definedName name="IQ_PRETAX_GW_INC_HIGH_EST_CIQ" hidden="1">"c4690"</definedName>
    <definedName name="IQ_PRETAX_GW_INC_HIGH_EST_REUT" hidden="1">"c5356"</definedName>
    <definedName name="IQ_PRETAX_GW_INC_LOW_EST" hidden="1">"c1705"</definedName>
    <definedName name="IQ_PRETAX_GW_INC_LOW_EST_CIQ" hidden="1">"c4691"</definedName>
    <definedName name="IQ_PRETAX_GW_INC_LOW_EST_REUT" hidden="1">"c5357"</definedName>
    <definedName name="IQ_PRETAX_GW_INC_MEDIAN_EST" hidden="1">"c1703"</definedName>
    <definedName name="IQ_PRETAX_GW_INC_MEDIAN_EST_CIQ" hidden="1">"c4689"</definedName>
    <definedName name="IQ_PRETAX_GW_INC_MEDIAN_EST_REUT" hidden="1">"c5355"</definedName>
    <definedName name="IQ_PRETAX_GW_INC_NUM_EST" hidden="1">"c1706"</definedName>
    <definedName name="IQ_PRETAX_GW_INC_NUM_EST_CIQ" hidden="1">"c4692"</definedName>
    <definedName name="IQ_PRETAX_GW_INC_NUM_EST_REUT" hidden="1">"c5358"</definedName>
    <definedName name="IQ_PRETAX_GW_INC_STDDEV_EST" hidden="1">"c1707"</definedName>
    <definedName name="IQ_PRETAX_GW_INC_STDDEV_EST_CIQ" hidden="1">"c4693"</definedName>
    <definedName name="IQ_PRETAX_GW_INC_STDDEV_EST_REUT" hidden="1">"c5359"</definedName>
    <definedName name="IQ_PRETAX_INC_EST" hidden="1">"c1695"</definedName>
    <definedName name="IQ_PRETAX_INC_EST_CIQ" hidden="1">"c4681"</definedName>
    <definedName name="IQ_PRETAX_INC_EST_REUT" hidden="1">"c5347"</definedName>
    <definedName name="IQ_PRETAX_INC_HIGH_EST" hidden="1">"c1697"</definedName>
    <definedName name="IQ_PRETAX_INC_HIGH_EST_CIQ" hidden="1">"c4683"</definedName>
    <definedName name="IQ_PRETAX_INC_HIGH_EST_REUT" hidden="1">"c5349"</definedName>
    <definedName name="IQ_PRETAX_INC_LOW_EST" hidden="1">"c1698"</definedName>
    <definedName name="IQ_PRETAX_INC_LOW_EST_CIQ" hidden="1">"c4684"</definedName>
    <definedName name="IQ_PRETAX_INC_LOW_EST_REUT" hidden="1">"c5350"</definedName>
    <definedName name="IQ_PRETAX_INC_MEDIAN_EST" hidden="1">"c1696"</definedName>
    <definedName name="IQ_PRETAX_INC_MEDIAN_EST_CIQ" hidden="1">"c4682"</definedName>
    <definedName name="IQ_PRETAX_INC_MEDIAN_EST_REUT" hidden="1">"c5348"</definedName>
    <definedName name="IQ_PRETAX_INC_NUM_EST" hidden="1">"c1699"</definedName>
    <definedName name="IQ_PRETAX_INC_NUM_EST_CIQ" hidden="1">"c4685"</definedName>
    <definedName name="IQ_PRETAX_INC_NUM_EST_REUT" hidden="1">"c5351"</definedName>
    <definedName name="IQ_PRETAX_INC_STDDEV_EST" hidden="1">"c1700"</definedName>
    <definedName name="IQ_PRETAX_INC_STDDEV_EST_CIQ" hidden="1">"c4686"</definedName>
    <definedName name="IQ_PRETAX_INC_STDDEV_EST_REUT" hidden="1">"c5352"</definedName>
    <definedName name="IQ_PRETAX_REPORT_INC_EST" hidden="1">"c1709"</definedName>
    <definedName name="IQ_PRETAX_REPORT_INC_EST_CIQ" hidden="1">"c4695"</definedName>
    <definedName name="IQ_PRETAX_REPORT_INC_EST_REUT" hidden="1">"c5361"</definedName>
    <definedName name="IQ_PRETAX_REPORT_INC_HIGH_EST" hidden="1">"c1711"</definedName>
    <definedName name="IQ_PRETAX_REPORT_INC_HIGH_EST_CIQ" hidden="1">"c4697"</definedName>
    <definedName name="IQ_PRETAX_REPORT_INC_HIGH_EST_REUT" hidden="1">"c5363"</definedName>
    <definedName name="IQ_PRETAX_REPORT_INC_LOW_EST" hidden="1">"c1712"</definedName>
    <definedName name="IQ_PRETAX_REPORT_INC_LOW_EST_CIQ" hidden="1">"c4698"</definedName>
    <definedName name="IQ_PRETAX_REPORT_INC_LOW_EST_REUT" hidden="1">"c5364"</definedName>
    <definedName name="IQ_PRETAX_REPORT_INC_MEDIAN_EST" hidden="1">"c1710"</definedName>
    <definedName name="IQ_PRETAX_REPORT_INC_MEDIAN_EST_CIQ" hidden="1">"c4696"</definedName>
    <definedName name="IQ_PRETAX_REPORT_INC_MEDIAN_EST_REUT" hidden="1">"c5362"</definedName>
    <definedName name="IQ_PRETAX_REPORT_INC_NUM_EST" hidden="1">"c1713"</definedName>
    <definedName name="IQ_PRETAX_REPORT_INC_NUM_EST_CIQ" hidden="1">"c4699"</definedName>
    <definedName name="IQ_PRETAX_REPORT_INC_NUM_EST_REUT" hidden="1">"c5365"</definedName>
    <definedName name="IQ_PRETAX_REPORT_INC_STDDEV_EST" hidden="1">"c1714"</definedName>
    <definedName name="IQ_PRETAX_REPORT_INC_STDDEV_EST_CIQ" hidden="1">"c4700"</definedName>
    <definedName name="IQ_PRETAX_REPORT_INC_STDDEV_EST_REUT" hidden="1">"c5366"</definedName>
    <definedName name="IQ_PRETAX_RETURN_ASSETS_FDIC" hidden="1">"c6731"</definedName>
    <definedName name="IQ_PRICE_CFPS_FWD" hidden="1">"c2237"</definedName>
    <definedName name="IQ_PRICE_CFPS_FWD_CIQ" hidden="1">"c4046"</definedName>
    <definedName name="IQ_PRICE_CFPS_FWD_REUT" hidden="1">"c4053"</definedName>
    <definedName name="IQ_PRICE_OVER_BVPS" hidden="1">"c1412"</definedName>
    <definedName name="IQ_PRICE_OVER_LTM_EPS" hidden="1">"c1413"</definedName>
    <definedName name="IQ_PRICE_TARGET" hidden="1">"c82"</definedName>
    <definedName name="IQ_PRICE_TARGET_BOTTOM_UP" hidden="1">"c5486"</definedName>
    <definedName name="IQ_PRICE_TARGET_BOTTOM_UP_REUT" hidden="1">"c5494"</definedName>
    <definedName name="IQ_PRICE_TARGET_CIQ" hidden="1">"c3613"</definedName>
    <definedName name="IQ_PRICE_TARGET_REUT" hidden="1">"c3631"</definedName>
    <definedName name="IQ_PRICE_VOLATILITY_EST" hidden="1">"c4492"</definedName>
    <definedName name="IQ_PRICE_VOLATILITY_EST_CIQ" hidden="1">"c5030"</definedName>
    <definedName name="IQ_PRICE_VOLATILITY_HIGH" hidden="1">"c4493"</definedName>
    <definedName name="IQ_PRICE_VOLATILITY_HIGH_CIQ" hidden="1">"c5031"</definedName>
    <definedName name="IQ_PRICE_VOLATILITY_LOW" hidden="1">"c4494"</definedName>
    <definedName name="IQ_PRICE_VOLATILITY_LOW_CIQ" hidden="1">"c5032"</definedName>
    <definedName name="IQ_PRICE_VOLATILITY_MEDIAN" hidden="1">"c4495"</definedName>
    <definedName name="IQ_PRICE_VOLATILITY_MEDIAN_CIQ" hidden="1">"c5033"</definedName>
    <definedName name="IQ_PRICE_VOLATILITY_NUM" hidden="1">"c4496"</definedName>
    <definedName name="IQ_PRICE_VOLATILITY_NUM_CIQ" hidden="1">"c5034"</definedName>
    <definedName name="IQ_PRICE_VOLATILITY_STDDEV" hidden="1">"c4497"</definedName>
    <definedName name="IQ_PRICE_VOLATILITY_STDDEV_CIQ" hidden="1">"c5035"</definedName>
    <definedName name="IQ_PRICEDATE" hidden="1">"c1069"</definedName>
    <definedName name="IQ_PRICING_DATE" hidden="1">"c1613"</definedName>
    <definedName name="IQ_PRIMARY_EPS_TYPE" hidden="1">"c4498"</definedName>
    <definedName name="IQ_PRIMARY_EPS_TYPE_CIQ" hidden="1">"c5036"</definedName>
    <definedName name="IQ_PRIMARY_EPS_TYPE_REUT" hidden="1">"c5481"</definedName>
    <definedName name="IQ_PRIMARY_INDUSTRY" hidden="1">"c1070"</definedName>
    <definedName name="IQ_PRINCIPAL_AMT" hidden="1">"c2157"</definedName>
    <definedName name="IQ_PRIVATELY_ISSUED_MORTGAGE_BACKED_SECURITIES_FDIC" hidden="1">"c6407"</definedName>
    <definedName name="IQ_PRIVATELY_ISSUED_MORTGAGE_PASS_THROUGHS_FDIC" hidden="1">"c6405"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JECTED_PENSION_OBLIGATION_DOMESTIC" hidden="1">"c2656"</definedName>
    <definedName name="IQ_PROJECTED_PENSION_OBLIGATION_FOREIGN" hidden="1">"c2664"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CAGR" hidden="1">"c6135"</definedName>
    <definedName name="IQ_PROVISION_10YR_ANN_GROWTH" hidden="1">"c1077"</definedName>
    <definedName name="IQ_PROVISION_1YR_ANN_GROWTH" hidden="1">"c1078"</definedName>
    <definedName name="IQ_PROVISION_2YR_ANN_CAGR" hidden="1">"c6136"</definedName>
    <definedName name="IQ_PROVISION_2YR_ANN_GROWTH" hidden="1">"c1079"</definedName>
    <definedName name="IQ_PROVISION_3YR_ANN_CAGR" hidden="1">"c6137"</definedName>
    <definedName name="IQ_PROVISION_3YR_ANN_GROWTH" hidden="1">"c1080"</definedName>
    <definedName name="IQ_PROVISION_5YR_ANN_CAGR" hidden="1">"c6138"</definedName>
    <definedName name="IQ_PROVISION_5YR_ANN_GROWTH" hidden="1">"c1081"</definedName>
    <definedName name="IQ_PROVISION_7YR_ANN_CAGR" hidden="1">"c6139"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PURCHASE_FOREIGN_CURRENCIES_FDIC" hidden="1">"c6513"</definedName>
    <definedName name="IQ_PURCHASED_OPTION_CONTRACTS_FDIC" hidden="1">"c6510"</definedName>
    <definedName name="IQ_PURCHASED_OPTION_CONTRACTS_FX_RISK_FDIC" hidden="1">"c6515"</definedName>
    <definedName name="IQ_PURCHASED_OPTION_CONTRACTS_NON_FX_IR_FDIC" hidden="1">"c6520"</definedName>
    <definedName name="IQ_PUT_DATE_SCHEDULE" hidden="1">"c2483"</definedName>
    <definedName name="IQ_PUT_NOTIFICATION" hidden="1">"c2485"</definedName>
    <definedName name="IQ_PUT_PRICE_SCHEDULE" hidden="1">"c2484"</definedName>
    <definedName name="IQ_QTD" hidden="1">750000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C" hidden="1">"c2497"</definedName>
    <definedName name="IQ_RC_PCT" hidden="1">"c2498"</definedName>
    <definedName name="IQ_RD_EXP" hidden="1">"c1090"</definedName>
    <definedName name="IQ_RD_EXP_FN" hidden="1">"c1091"</definedName>
    <definedName name="IQ_RE" hidden="1">"c1092"</definedName>
    <definedName name="IQ_RE_FORECLOSURE_FDIC" hidden="1">"c6332"</definedName>
    <definedName name="IQ_RE_INVEST_FDIC" hidden="1">"c6331"</definedName>
    <definedName name="IQ_RE_LOANS_DOMESTIC_CHARGE_OFFS_FDIC" hidden="1">"c6589"</definedName>
    <definedName name="IQ_RE_LOANS_DOMESTIC_FDIC" hidden="1">"c6309"</definedName>
    <definedName name="IQ_RE_LOANS_DOMESTIC_NET_CHARGE_OFFS_FDIC" hidden="1">"c6627"</definedName>
    <definedName name="IQ_RE_LOANS_DOMESTIC_RECOVERIES_FDIC" hidden="1">"c6608"</definedName>
    <definedName name="IQ_RE_LOANS_FDIC" hidden="1">"c6308"</definedName>
    <definedName name="IQ_RE_LOANS_FOREIGN_CHARGE_OFFS_FDIC" hidden="1">"c6595"</definedName>
    <definedName name="IQ_RE_LOANS_FOREIGN_NET_CHARGE_OFFS_FDIC" hidden="1">"c6633"</definedName>
    <definedName name="IQ_RE_LOANS_FOREIGN_RECOVERIES_FDIC" hidden="1">"c6614"</definedName>
    <definedName name="IQ_REAL_ESTATE" hidden="1">"c1093"</definedName>
    <definedName name="IQ_REAL_ESTATE_ASSETS" hidden="1">"c1094"</definedName>
    <definedName name="IQ_RECOVERIES_1_4_FAMILY_LOANS_FDIC" hidden="1">"c6707"</definedName>
    <definedName name="IQ_RECOVERIES_AUTO_LOANS_FDIC" hidden="1">"c6701"</definedName>
    <definedName name="IQ_RECOVERIES_CL_LOANS_FDIC" hidden="1">"c6702"</definedName>
    <definedName name="IQ_RECOVERIES_CREDIT_CARDS_RECEIVABLES_FDIC" hidden="1">"c6704"</definedName>
    <definedName name="IQ_RECOVERIES_HOME_EQUITY_LINES_FDIC" hidden="1">"c6705"</definedName>
    <definedName name="IQ_RECOVERIES_OTHER_CONSUMER_LOANS_FDIC" hidden="1">"c6703"</definedName>
    <definedName name="IQ_RECOVERIES_OTHER_LOANS_FDIC" hidden="1">"c6706"</definedName>
    <definedName name="IQ_RECURRING_PROFIT_ACT_OR_EST" hidden="1">"c4507"</definedName>
    <definedName name="IQ_RECURRING_PROFIT_ACT_OR_EST_CIQ" hidden="1">"c5045"</definedName>
    <definedName name="IQ_RECURRING_PROFIT_EST" hidden="1">"c4499"</definedName>
    <definedName name="IQ_RECURRING_PROFIT_EST_CIQ" hidden="1">"c5037"</definedName>
    <definedName name="IQ_RECURRING_PROFIT_GUIDANCE" hidden="1">"c4500"</definedName>
    <definedName name="IQ_RECURRING_PROFIT_GUIDANCE_CIQ" hidden="1">"c5038"</definedName>
    <definedName name="IQ_RECURRING_PROFIT_HIGH_EST" hidden="1">"c4501"</definedName>
    <definedName name="IQ_RECURRING_PROFIT_HIGH_EST_CIQ" hidden="1">"c5039"</definedName>
    <definedName name="IQ_RECURRING_PROFIT_HIGH_GUIDANCE" hidden="1">"c4179"</definedName>
    <definedName name="IQ_RECURRING_PROFIT_HIGH_GUIDANCE_CIQ" hidden="1">"c4591"</definedName>
    <definedName name="IQ_RECURRING_PROFIT_LOW_EST" hidden="1">"c4502"</definedName>
    <definedName name="IQ_RECURRING_PROFIT_LOW_EST_CIQ" hidden="1">"c5040"</definedName>
    <definedName name="IQ_RECURRING_PROFIT_LOW_GUIDANCE" hidden="1">"c4219"</definedName>
    <definedName name="IQ_RECURRING_PROFIT_LOW_GUIDANCE_CIQ" hidden="1">"c4631"</definedName>
    <definedName name="IQ_RECURRING_PROFIT_MEDIAN_EST" hidden="1">"c4503"</definedName>
    <definedName name="IQ_RECURRING_PROFIT_MEDIAN_EST_CIQ" hidden="1">"c5041"</definedName>
    <definedName name="IQ_RECURRING_PROFIT_NUM_EST" hidden="1">"c4504"</definedName>
    <definedName name="IQ_RECURRING_PROFIT_NUM_EST_CIQ" hidden="1">"c5042"</definedName>
    <definedName name="IQ_RECURRING_PROFIT_SHARE_ACT_OR_EST" hidden="1">"c4508"</definedName>
    <definedName name="IQ_RECURRING_PROFIT_SHARE_ACT_OR_EST_CIQ" hidden="1">"c5046"</definedName>
    <definedName name="IQ_RECURRING_PROFIT_SHARE_EST" hidden="1">"c4506"</definedName>
    <definedName name="IQ_RECURRING_PROFIT_SHARE_EST_CIQ" hidden="1">"c5044"</definedName>
    <definedName name="IQ_RECURRING_PROFIT_SHARE_GUIDANCE" hidden="1">"c4509"</definedName>
    <definedName name="IQ_RECURRING_PROFIT_SHARE_GUIDANCE_CIQ" hidden="1">"c5047"</definedName>
    <definedName name="IQ_RECURRING_PROFIT_SHARE_HIGH_EST" hidden="1">"c4510"</definedName>
    <definedName name="IQ_RECURRING_PROFIT_SHARE_HIGH_EST_CIQ" hidden="1">"c5048"</definedName>
    <definedName name="IQ_RECURRING_PROFIT_SHARE_HIGH_GUIDANCE" hidden="1">"c4200"</definedName>
    <definedName name="IQ_RECURRING_PROFIT_SHARE_HIGH_GUIDANCE_CIQ" hidden="1">"c4612"</definedName>
    <definedName name="IQ_RECURRING_PROFIT_SHARE_LOW_EST" hidden="1">"c4511"</definedName>
    <definedName name="IQ_RECURRING_PROFIT_SHARE_LOW_EST_CIQ" hidden="1">"c5049"</definedName>
    <definedName name="IQ_RECURRING_PROFIT_SHARE_LOW_GUIDANCE" hidden="1">"c4240"</definedName>
    <definedName name="IQ_RECURRING_PROFIT_SHARE_LOW_GUIDANCE_CIQ" hidden="1">"c4652"</definedName>
    <definedName name="IQ_RECURRING_PROFIT_SHARE_MEDIAN_EST" hidden="1">"c4512"</definedName>
    <definedName name="IQ_RECURRING_PROFIT_SHARE_MEDIAN_EST_CIQ" hidden="1">"c5050"</definedName>
    <definedName name="IQ_RECURRING_PROFIT_SHARE_NUM_EST" hidden="1">"c4513"</definedName>
    <definedName name="IQ_RECURRING_PROFIT_SHARE_NUM_EST_CIQ" hidden="1">"c5051"</definedName>
    <definedName name="IQ_RECURRING_PROFIT_SHARE_STDDEV_EST" hidden="1">"c4514"</definedName>
    <definedName name="IQ_RECURRING_PROFIT_SHARE_STDDEV_EST_CIQ" hidden="1">"c5052"</definedName>
    <definedName name="IQ_RECURRING_PROFIT_STDDEV_EST" hidden="1">"c4516"</definedName>
    <definedName name="IQ_RECURRING_PROFIT_STDDEV_EST_CIQ" hidden="1">"c5054"</definedName>
    <definedName name="IQ_REDEEM_PREF_STOCK" hidden="1">"c1417"</definedName>
    <definedName name="IQ_REF_ENTITY" hidden="1">"c6033"</definedName>
    <definedName name="IQ_REF_ENTITY_CIQID" hidden="1">"c6024"</definedName>
    <definedName name="IQ_REF_ENTITY_TICKER" hidden="1">"c6023"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LATED_PLANS_FDIC" hidden="1">"c6320"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ATEMENTS_NET_FDIC" hidden="1">"c6500"</definedName>
    <definedName name="IQ_RESTR_STOCK_COMP" hidden="1">"c3506"</definedName>
    <definedName name="IQ_RESTR_STOCK_COMP_PRETAX" hidden="1">"c3504"</definedName>
    <definedName name="IQ_RESTR_STOCK_COMP_TAX" hidden="1">"c3505"</definedName>
    <definedName name="IQ_RESTRICTED_CASH" hidden="1">"c1103"</definedName>
    <definedName name="IQ_RESTRICTED_CASH_NON_CURRENT" hidden="1">"c6192"</definedName>
    <definedName name="IQ_RESTRICTED_CASH_TOTAL" hidden="1">"c6193"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" hidden="1">"c6264"</definedName>
    <definedName name="IQ_RESTRUCTURE_REIT" hidden="1">"c1110"</definedName>
    <definedName name="IQ_RESTRUCTURE_UTI" hidden="1">"c1111"</definedName>
    <definedName name="IQ_RESTRUCTURED_LOANS" hidden="1">"c1112"</definedName>
    <definedName name="IQ_RESTRUCTURED_LOANS_1_4_RESIDENTIAL_FDIC" hidden="1">"c6378"</definedName>
    <definedName name="IQ_RESTRUCTURED_LOANS_LEASES_FDIC" hidden="1">"c6377"</definedName>
    <definedName name="IQ_RESTRUCTURED_LOANS_NON_1_4_FDIC" hidden="1">"c6379"</definedName>
    <definedName name="IQ_RETAIL_ACQUIRED_FRANCHISE_STORES" hidden="1">"c2895"</definedName>
    <definedName name="IQ_RETAIL_ACQUIRED_OWNED_STORES" hidden="1">"c2903"</definedName>
    <definedName name="IQ_RETAIL_ACQUIRED_STORES" hidden="1">"c2887"</definedName>
    <definedName name="IQ_RETAIL_AVG_STORE_SIZE_GROSS" hidden="1">"c2066"</definedName>
    <definedName name="IQ_RETAIL_AVG_STORE_SIZE_NET" hidden="1">"c2067"</definedName>
    <definedName name="IQ_RETAIL_AVG_WK_SALES" hidden="1">"c2891"</definedName>
    <definedName name="IQ_RETAIL_AVG_WK_SALES_FRANCHISE" hidden="1">"c2899"</definedName>
    <definedName name="IQ_RETAIL_AVG_WK_SALES_OWNED" hidden="1">"c2907"</definedName>
    <definedName name="IQ_RETAIL_CLOSED_FRANCHISE_STORES" hidden="1">"c2896"</definedName>
    <definedName name="IQ_RETAIL_CLOSED_OWNED_STORES" hidden="1">"c2904"</definedName>
    <definedName name="IQ_RETAIL_CLOSED_STORES" hidden="1">"c2063"</definedName>
    <definedName name="IQ_RETAIL_DEPOSITS_FDIC" hidden="1">"c6488"</definedName>
    <definedName name="IQ_RETAIL_FRANCHISE_STORES_BEG" hidden="1">"c2893"</definedName>
    <definedName name="IQ_RETAIL_OPENED_FRANCHISE_STORES" hidden="1">"c2894"</definedName>
    <definedName name="IQ_RETAIL_OPENED_OWNED_STORES" hidden="1">"c2902"</definedName>
    <definedName name="IQ_RETAIL_OPENED_STORES" hidden="1">"c2062"</definedName>
    <definedName name="IQ_RETAIL_OWNED_STORES_BEG" hidden="1">"c2901"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OLD_FRANCHISE_STORES" hidden="1">"c2897"</definedName>
    <definedName name="IQ_RETAIL_SOLD_OWNED_STORES" hidden="1">"c2905"</definedName>
    <definedName name="IQ_RETAIL_SOLD_STORES" hidden="1">"c2889"</definedName>
    <definedName name="IQ_RETAIL_SQ_FOOTAGE" hidden="1">"c2064"</definedName>
    <definedName name="IQ_RETAIL_STORE_SELLING_AREA" hidden="1">"c2065"</definedName>
    <definedName name="IQ_RETAIL_STORES_BEG" hidden="1">"c2885"</definedName>
    <definedName name="IQ_RETAIL_TOTAL_FRANCHISE_STORES" hidden="1">"c2898"</definedName>
    <definedName name="IQ_RETAIL_TOTAL_OWNED_STORES" hidden="1">"c2906"</definedName>
    <definedName name="IQ_RETAIL_TOTAL_STORES" hidden="1">"c2061"</definedName>
    <definedName name="IQ_RETAINED_EARN" hidden="1">"c1420"</definedName>
    <definedName name="IQ_RETAINED_EARNINGS_AVERAGE_EQUITY_FDIC" hidden="1">"c6733"</definedName>
    <definedName name="IQ_RETURN_ASSETS" hidden="1">"c1113"</definedName>
    <definedName name="IQ_RETURN_ASSETS_ACT_OR_EST" hidden="1">"c3585"</definedName>
    <definedName name="IQ_RETURN_ASSETS_ACT_OR_EST_REUT" hidden="1">"c5475"</definedName>
    <definedName name="IQ_RETURN_ASSETS_BANK" hidden="1">"c1114"</definedName>
    <definedName name="IQ_RETURN_ASSETS_BROK" hidden="1">"c1115"</definedName>
    <definedName name="IQ_RETURN_ASSETS_EST" hidden="1">"c3529"</definedName>
    <definedName name="IQ_RETURN_ASSETS_EST_CIQ" hidden="1">"c3828"</definedName>
    <definedName name="IQ_RETURN_ASSETS_EST_REUT" hidden="1">"c3990"</definedName>
    <definedName name="IQ_RETURN_ASSETS_FDIC" hidden="1">"c6730"</definedName>
    <definedName name="IQ_RETURN_ASSETS_FS" hidden="1">"c1116"</definedName>
    <definedName name="IQ_RETURN_ASSETS_GUIDANCE" hidden="1">"c4517"</definedName>
    <definedName name="IQ_RETURN_ASSETS_GUIDANCE_CIQ" hidden="1">"c5055"</definedName>
    <definedName name="IQ_RETURN_ASSETS_HIGH_EST" hidden="1">"c3530"</definedName>
    <definedName name="IQ_RETURN_ASSETS_HIGH_EST_CIQ" hidden="1">"c3830"</definedName>
    <definedName name="IQ_RETURN_ASSETS_HIGH_EST_REUT" hidden="1">"c3992"</definedName>
    <definedName name="IQ_RETURN_ASSETS_HIGH_GUIDANCE" hidden="1">"c4183"</definedName>
    <definedName name="IQ_RETURN_ASSETS_HIGH_GUIDANCE_CIQ" hidden="1">"c4595"</definedName>
    <definedName name="IQ_RETURN_ASSETS_LOW_EST" hidden="1">"c3531"</definedName>
    <definedName name="IQ_RETURN_ASSETS_LOW_EST_CIQ" hidden="1">"c3831"</definedName>
    <definedName name="IQ_RETURN_ASSETS_LOW_EST_REUT" hidden="1">"c3993"</definedName>
    <definedName name="IQ_RETURN_ASSETS_LOW_GUIDANCE" hidden="1">"c4223"</definedName>
    <definedName name="IQ_RETURN_ASSETS_LOW_GUIDANCE_CIQ" hidden="1">"c4635"</definedName>
    <definedName name="IQ_RETURN_ASSETS_MEDIAN_EST" hidden="1">"c3532"</definedName>
    <definedName name="IQ_RETURN_ASSETS_MEDIAN_EST_CIQ" hidden="1">"c3829"</definedName>
    <definedName name="IQ_RETURN_ASSETS_MEDIAN_EST_REUT" hidden="1">"c3991"</definedName>
    <definedName name="IQ_RETURN_ASSETS_NUM_EST" hidden="1">"c3527"</definedName>
    <definedName name="IQ_RETURN_ASSETS_NUM_EST_CIQ" hidden="1">"c3832"</definedName>
    <definedName name="IQ_RETURN_ASSETS_NUM_EST_REUT" hidden="1">"c3994"</definedName>
    <definedName name="IQ_RETURN_ASSETS_STDDEV_EST" hidden="1">"c3528"</definedName>
    <definedName name="IQ_RETURN_ASSETS_STDDEV_EST_CIQ" hidden="1">"c3833"</definedName>
    <definedName name="IQ_RETURN_ASSETS_STDDEV_EST_REUT" hidden="1">"c3995"</definedName>
    <definedName name="IQ_RETURN_CAPITAL" hidden="1">"c1117"</definedName>
    <definedName name="IQ_RETURN_EQUITY" hidden="1">"c1118"</definedName>
    <definedName name="IQ_RETURN_EQUITY_ACT_OR_EST" hidden="1">"c3586"</definedName>
    <definedName name="IQ_RETURN_EQUITY_ACT_OR_EST_REUT" hidden="1">"c5476"</definedName>
    <definedName name="IQ_RETURN_EQUITY_BANK" hidden="1">"c1119"</definedName>
    <definedName name="IQ_RETURN_EQUITY_BROK" hidden="1">"c1120"</definedName>
    <definedName name="IQ_RETURN_EQUITY_EST" hidden="1">"c3535"</definedName>
    <definedName name="IQ_RETURN_EQUITY_EST_CIQ" hidden="1">"c3821"</definedName>
    <definedName name="IQ_RETURN_EQUITY_EST_REUT" hidden="1">"c3983"</definedName>
    <definedName name="IQ_RETURN_EQUITY_FDIC" hidden="1">"c6732"</definedName>
    <definedName name="IQ_RETURN_EQUITY_FS" hidden="1">"c1121"</definedName>
    <definedName name="IQ_RETURN_EQUITY_GUIDANCE" hidden="1">"c4518"</definedName>
    <definedName name="IQ_RETURN_EQUITY_GUIDANCE_CIQ" hidden="1">"c5056"</definedName>
    <definedName name="IQ_RETURN_EQUITY_HIGH_EST" hidden="1">"c3536"</definedName>
    <definedName name="IQ_RETURN_EQUITY_HIGH_EST_CIQ" hidden="1">"c3823"</definedName>
    <definedName name="IQ_RETURN_EQUITY_HIGH_EST_REUT" hidden="1">"c3985"</definedName>
    <definedName name="IQ_RETURN_EQUITY_HIGH_GUIDANCE" hidden="1">"c4182"</definedName>
    <definedName name="IQ_RETURN_EQUITY_HIGH_GUIDANCE_CIQ" hidden="1">"c4594"</definedName>
    <definedName name="IQ_RETURN_EQUITY_LOW_EST" hidden="1">"c3537"</definedName>
    <definedName name="IQ_RETURN_EQUITY_LOW_EST_CIQ" hidden="1">"c3824"</definedName>
    <definedName name="IQ_RETURN_EQUITY_LOW_EST_REUT" hidden="1">"c3986"</definedName>
    <definedName name="IQ_RETURN_EQUITY_LOW_GUIDANCE" hidden="1">"c4222"</definedName>
    <definedName name="IQ_RETURN_EQUITY_LOW_GUIDANCE_CIQ" hidden="1">"c4634"</definedName>
    <definedName name="IQ_RETURN_EQUITY_MEDIAN_EST" hidden="1">"c3538"</definedName>
    <definedName name="IQ_RETURN_EQUITY_MEDIAN_EST_CIQ" hidden="1">"c3822"</definedName>
    <definedName name="IQ_RETURN_EQUITY_MEDIAN_EST_REUT" hidden="1">"c3984"</definedName>
    <definedName name="IQ_RETURN_EQUITY_NUM_EST" hidden="1">"c3533"</definedName>
    <definedName name="IQ_RETURN_EQUITY_NUM_EST_CIQ" hidden="1">"c3825"</definedName>
    <definedName name="IQ_RETURN_EQUITY_NUM_EST_REUT" hidden="1">"c3987"</definedName>
    <definedName name="IQ_RETURN_EQUITY_STDDEV_EST" hidden="1">"c3534"</definedName>
    <definedName name="IQ_RETURN_EQUITY_STDDEV_EST_CIQ" hidden="1">"c3826"</definedName>
    <definedName name="IQ_RETURN_EQUITY_STDDEV_EST_REUT" hidden="1">"c3988"</definedName>
    <definedName name="IQ_RETURN_INVESTMENT" hidden="1">"c1421"</definedName>
    <definedName name="IQ_REV" hidden="1">"c1122"</definedName>
    <definedName name="IQ_REV_BEFORE_LL" hidden="1">"c1123"</definedName>
    <definedName name="IQ_REV_STDDEV_EST" hidden="1">"c1124"</definedName>
    <definedName name="IQ_REV_STDDEV_EST_CIQ" hidden="1">"c3621"</definedName>
    <definedName name="IQ_REV_STDDEV_EST_REUT" hidden="1">"c3639"</definedName>
    <definedName name="IQ_REV_UTI" hidden="1">"c1125"</definedName>
    <definedName name="IQ_REVALUATION_GAINS_FDIC" hidden="1">"c6428"</definedName>
    <definedName name="IQ_REVALUATION_LOSSES_FDIC" hidden="1">"c6429"</definedName>
    <definedName name="IQ_REVENUE" hidden="1">"c1422"</definedName>
    <definedName name="IQ_REVENUE_ACT_OR_EST" hidden="1">"c2214"</definedName>
    <definedName name="IQ_REVENUE_ACT_OR_EST_CIQ" hidden="1">"c5059"</definedName>
    <definedName name="IQ_REVENUE_ACT_OR_EST_REUT" hidden="1">"c5461"</definedName>
    <definedName name="IQ_REVENUE_EST" hidden="1">"c1126"</definedName>
    <definedName name="IQ_REVENUE_EST_BOTTOM_UP" hidden="1">"c5488"</definedName>
    <definedName name="IQ_REVENUE_EST_BOTTOM_UP_REUT" hidden="1">"c5496"</definedName>
    <definedName name="IQ_REVENUE_EST_CIQ" hidden="1">"c3616"</definedName>
    <definedName name="IQ_REVENUE_EST_REUT" hidden="1">"c3634"</definedName>
    <definedName name="IQ_REVENUE_GUIDANCE" hidden="1">"c4519"</definedName>
    <definedName name="IQ_REVENUE_GUIDANCE_CIQ" hidden="1">"c5057"</definedName>
    <definedName name="IQ_REVENUE_HIGH_EST" hidden="1">"c1127"</definedName>
    <definedName name="IQ_REVENUE_HIGH_EST_CIQ" hidden="1">"c3618"</definedName>
    <definedName name="IQ_REVENUE_HIGH_EST_REUT" hidden="1">"c3636"</definedName>
    <definedName name="IQ_REVENUE_HIGH_GUIDANCE" hidden="1">"c4169"</definedName>
    <definedName name="IQ_REVENUE_HIGH_GUIDANCE_CIQ" hidden="1">"c4581"</definedName>
    <definedName name="IQ_REVENUE_LOW_EST" hidden="1">"c1128"</definedName>
    <definedName name="IQ_REVENUE_LOW_EST_CIQ" hidden="1">"c3619"</definedName>
    <definedName name="IQ_REVENUE_LOW_EST_REUT" hidden="1">"c3637"</definedName>
    <definedName name="IQ_REVENUE_LOW_GUIDANCE" hidden="1">"c4209"</definedName>
    <definedName name="IQ_REVENUE_LOW_GUIDANCE_CIQ" hidden="1">"c4621"</definedName>
    <definedName name="IQ_REVENUE_MEDIAN_EST" hidden="1">"c1662"</definedName>
    <definedName name="IQ_REVENUE_MEDIAN_EST_CIQ" hidden="1">"c3617"</definedName>
    <definedName name="IQ_REVENUE_MEDIAN_EST_REUT" hidden="1">"c3635"</definedName>
    <definedName name="IQ_REVENUE_NUM_EST" hidden="1">"c1129"</definedName>
    <definedName name="IQ_REVENUE_NUM_EST_CIQ" hidden="1">"c3620"</definedName>
    <definedName name="IQ_REVENUE_NUM_EST_REUT" hidden="1">"c3638"</definedName>
    <definedName name="IQ_REVISION_DATE_" hidden="1">39764.6724421296</definedName>
    <definedName name="IQ_RISK_ADJ_BANK_ASSETS" hidden="1">"c2670"</definedName>
    <definedName name="IQ_RISK_WEIGHTED_ASSETS_FDIC" hidden="1">"c6370"</definedName>
    <definedName name="IQ_SALARY" hidden="1">"c1130"</definedName>
    <definedName name="IQ_SALARY_FDIC" hidden="1">"c6576"</definedName>
    <definedName name="IQ_SALE_CONVERSION_RETIREMENT_STOCK_FDIC" hidden="1">"c6661"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" hidden="1">"c6284"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ME_STORE_FRANCHISE" hidden="1">"c2900"</definedName>
    <definedName name="IQ_SAME_STORE_OWNED" hidden="1">"c2908"</definedName>
    <definedName name="IQ_SAME_STORE_TOTAL" hidden="1">"c2892"</definedName>
    <definedName name="IQ_SAVING_DEP" hidden="1">"c1150"</definedName>
    <definedName name="IQ_SEC_PURCHASED_RESELL" hidden="1">"c5513"</definedName>
    <definedName name="IQ_SECUR_RECEIV" hidden="1">"c1151"</definedName>
    <definedName name="IQ_SECURED_1_4_FAMILY_RESIDENTIAL_CHARGE_OFFS_FDIC" hidden="1">"c6590"</definedName>
    <definedName name="IQ_SECURED_1_4_FAMILY_RESIDENTIAL_NET_CHARGE_OFFS_FDIC" hidden="1">"c6628"</definedName>
    <definedName name="IQ_SECURED_1_4_FAMILY_RESIDENTIAL_RECOVERIES_FDIC" hidden="1">"c6609"</definedName>
    <definedName name="IQ_SECURED_DEBT" hidden="1">"c2546"</definedName>
    <definedName name="IQ_SECURED_DEBT_PCT" hidden="1">"c2547"</definedName>
    <definedName name="IQ_SECURED_FARMLAND_CHARGE_OFFS_FDIC" hidden="1">"c6593"</definedName>
    <definedName name="IQ_SECURED_FARMLAND_NET_CHARGE_OFFS_FDIC" hidden="1">"c6631"</definedName>
    <definedName name="IQ_SECURED_FARMLAND_RECOVERIES_FDIC" hidden="1">"c6612"</definedName>
    <definedName name="IQ_SECURED_MULTIFAMILY_RESIDENTIAL_CHARGE_OFFS_FDIC" hidden="1">"c6591"</definedName>
    <definedName name="IQ_SECURED_MULTIFAMILY_RESIDENTIAL_NET_CHARGE_OFFS_FDIC" hidden="1">"c6629"</definedName>
    <definedName name="IQ_SECURED_MULTIFAMILY_RESIDENTIAL_RECOVERIES_FDIC" hidden="1">"c6610"</definedName>
    <definedName name="IQ_SECURED_NONFARM_NONRESIDENTIAL_CHARGE_OFFS_FDIC" hidden="1">"c6592"</definedName>
    <definedName name="IQ_SECURED_NONFARM_NONRESIDENTIAL_NET_CHARGE_OFFS_FDIC" hidden="1">"c6630"</definedName>
    <definedName name="IQ_SECURED_NONFARM_NONRESIDENTIAL_RECOVERIES_FDIC" hidden="1">"c6611"</definedName>
    <definedName name="IQ_SECURITIES_GAINS_FDIC" hidden="1">"c6584"</definedName>
    <definedName name="IQ_SECURITIES_ISSUED_STATES_FDIC" hidden="1">"c6300"</definedName>
    <definedName name="IQ_SECURITIES_LENT_FDIC" hidden="1">"c6532"</definedName>
    <definedName name="IQ_SECURITIES_UNDERWRITING_FDIC" hidden="1">"c6529"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ERVICE_CHARGES_FDIC" hidden="1">"c6572"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" hidden="1">"c6265"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_PURCHASED_AVERAGE_PRICE" hidden="1">"c5821"</definedName>
    <definedName name="IQ_SHARES_PURCHASED_QUARTER" hidden="1">"c5820"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_BANK" hidden="1">"c2637"</definedName>
    <definedName name="IQ_SP_BANK_ACTION" hidden="1">"c2636"</definedName>
    <definedName name="IQ_SP_BANK_DATE" hidden="1">"c2635"</definedName>
    <definedName name="IQ_SP_FIN_ENHANCE_FX" hidden="1">"c2631"</definedName>
    <definedName name="IQ_SP_FIN_ENHANCE_FX_ACTION" hidden="1">"c2630"</definedName>
    <definedName name="IQ_SP_FIN_ENHANCE_FX_DATE" hidden="1">"c2629"</definedName>
    <definedName name="IQ_SP_FIN_ENHANCE_LC" hidden="1">"c2634"</definedName>
    <definedName name="IQ_SP_FIN_ENHANCE_LC_ACTION" hidden="1">"c2633"</definedName>
    <definedName name="IQ_SP_FIN_ENHANCE_LC_DATE" hidden="1">"c2632"</definedName>
    <definedName name="IQ_SP_FIN_STRENGTH_LC_ACTION_LT" hidden="1">"c2625"</definedName>
    <definedName name="IQ_SP_FIN_STRENGTH_LC_ACTION_ST" hidden="1">"c2626"</definedName>
    <definedName name="IQ_SP_FIN_STRENGTH_LC_DATE_LT" hidden="1">"c2623"</definedName>
    <definedName name="IQ_SP_FIN_STRENGTH_LC_DATE_ST" hidden="1">"c2624"</definedName>
    <definedName name="IQ_SP_FIN_STRENGTH_LC_LT" hidden="1">"c2627"</definedName>
    <definedName name="IQ_SP_FIN_STRENGTH_LC_ST" hidden="1">"c2628"</definedName>
    <definedName name="IQ_SP_FX_ACTION_LT" hidden="1">"c2613"</definedName>
    <definedName name="IQ_SP_FX_ACTION_ST" hidden="1">"c2614"</definedName>
    <definedName name="IQ_SP_FX_DATE_LT" hidden="1">"c2611"</definedName>
    <definedName name="IQ_SP_FX_DATE_ST" hidden="1">"c2612"</definedName>
    <definedName name="IQ_SP_FX_LT" hidden="1">"c2615"</definedName>
    <definedName name="IQ_SP_FX_ST" hidden="1">"c2616"</definedName>
    <definedName name="IQ_SP_ISSUE_ACTION" hidden="1">"c2644"</definedName>
    <definedName name="IQ_SP_ISSUE_DATE" hidden="1">"c2643"</definedName>
    <definedName name="IQ_SP_ISSUE_LT" hidden="1">"c2645"</definedName>
    <definedName name="IQ_SP_ISSUE_OUTLOOK_WATCH" hidden="1">"c2650"</definedName>
    <definedName name="IQ_SP_ISSUE_OUTLOOK_WATCH_DATE" hidden="1">"c2649"</definedName>
    <definedName name="IQ_SP_ISSUE_RECOVER" hidden="1">"c2648"</definedName>
    <definedName name="IQ_SP_ISSUE_RECOVER_ACTION" hidden="1">"c2647"</definedName>
    <definedName name="IQ_SP_ISSUE_RECOVER_DATE" hidden="1">"c2646"</definedName>
    <definedName name="IQ_SP_LC_ACTION_LT" hidden="1">"c2619"</definedName>
    <definedName name="IQ_SP_LC_ACTION_ST" hidden="1">"c2620"</definedName>
    <definedName name="IQ_SP_LC_DATE_LT" hidden="1">"c2617"</definedName>
    <definedName name="IQ_SP_LC_DATE_ST" hidden="1">"c2618"</definedName>
    <definedName name="IQ_SP_LC_LT" hidden="1">"c2621"</definedName>
    <definedName name="IQ_SP_LC_ST" hidden="1">"c2622"</definedName>
    <definedName name="IQ_SP_OUTLOOK_WATCH" hidden="1">"c2639"</definedName>
    <definedName name="IQ_SP_OUTLOOK_WATCH_DATE" hidden="1">"c2638"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" hidden="1">"c6266"</definedName>
    <definedName name="IQ_SPECIAL_DIV_CF_REIT" hidden="1">"c1174"</definedName>
    <definedName name="IQ_SPECIAL_DIV_CF_UTI" hidden="1">"c1175"</definedName>
    <definedName name="IQ_SPECIAL_DIV_SHARE" hidden="1">"c3007"</definedName>
    <definedName name="IQ_SR_BONDS_NOTES" hidden="1">"c2501"</definedName>
    <definedName name="IQ_SR_BONDS_NOTES_PCT" hidden="1">"c2502"</definedName>
    <definedName name="IQ_SR_DEBT" hidden="1">"c2526"</definedName>
    <definedName name="IQ_SR_DEBT_EBITDA" hidden="1">"c2552"</definedName>
    <definedName name="IQ_SR_DEBT_EBITDA_CAPEX" hidden="1">"c2553"</definedName>
    <definedName name="IQ_SR_DEBT_PCT" hidden="1">"c2527"</definedName>
    <definedName name="IQ_SR_SUB_DEBT" hidden="1">"c2530"</definedName>
    <definedName name="IQ_SR_SUB_DEBT_EBITDA" hidden="1">"c2556"</definedName>
    <definedName name="IQ_SR_SUB_DEBT_EBITDA_CAPEX" hidden="1">"c2557"</definedName>
    <definedName name="IQ_SR_SUB_DEBT_PCT" hidden="1">"c2531"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" hidden="1">"c6267"</definedName>
    <definedName name="IQ_ST_DEBT_ISSUED_REIT" hidden="1">"c1186"</definedName>
    <definedName name="IQ_ST_DEBT_ISSUED_UTI" hidden="1">"c1187"</definedName>
    <definedName name="IQ_ST_DEBT_PCT" hidden="1">"c2539"</definedName>
    <definedName name="IQ_ST_DEBT_RE" hidden="1">"c6268"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" hidden="1">"c6269"</definedName>
    <definedName name="IQ_ST_DEBT_REPAID_REIT" hidden="1">"c1194"</definedName>
    <definedName name="IQ_ST_DEBT_REPAID_UTI" hidden="1">"c1195"</definedName>
    <definedName name="IQ_ST_DEBT_UTI" hidden="1">"c1196"</definedName>
    <definedName name="IQ_ST_FHLB_DEBT" hidden="1">"c5658"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ES_NONTRANSACTION_ACCOUNTS_FDIC" hidden="1">"c6547"</definedName>
    <definedName name="IQ_STATES_TOTAL_DEPOSITS_FDIC" hidden="1">"c6473"</definedName>
    <definedName name="IQ_STATES_TRANSACTION_ACCOUNTS_FDIC" hidden="1">"c6539"</definedName>
    <definedName name="IQ_STATUTORY_SURPLUS" hidden="1">"c1201"</definedName>
    <definedName name="IQ_STOCK_BASED" hidden="1">"c1202"</definedName>
    <definedName name="IQ_STOCK_BASED_AT" hidden="1">"c2999"</definedName>
    <definedName name="IQ_STOCK_BASED_CF" hidden="1">"c1203"</definedName>
    <definedName name="IQ_STOCK_BASED_COGS" hidden="1">"c2990"</definedName>
    <definedName name="IQ_STOCK_BASED_COMP" hidden="1">"c3512"</definedName>
    <definedName name="IQ_STOCK_BASED_COMP_PRETAX" hidden="1">"c3510"</definedName>
    <definedName name="IQ_STOCK_BASED_COMP_TAX" hidden="1">"c3511"</definedName>
    <definedName name="IQ_STOCK_BASED_EST" hidden="1">"c4520"</definedName>
    <definedName name="IQ_STOCK_BASED_EST_CIQ" hidden="1">"c5073"</definedName>
    <definedName name="IQ_STOCK_BASED_GA" hidden="1">"c2993"</definedName>
    <definedName name="IQ_STOCK_BASED_HIGH_EST" hidden="1">"c4521"</definedName>
    <definedName name="IQ_STOCK_BASED_HIGH_EST_CIQ" hidden="1">"c5074"</definedName>
    <definedName name="IQ_STOCK_BASED_LOW_EST" hidden="1">"c4522"</definedName>
    <definedName name="IQ_STOCK_BASED_LOW_EST_CIQ" hidden="1">"c5075"</definedName>
    <definedName name="IQ_STOCK_BASED_MEDIAN_EST" hidden="1">"c4523"</definedName>
    <definedName name="IQ_STOCK_BASED_MEDIAN_EST_CIQ" hidden="1">"c5076"</definedName>
    <definedName name="IQ_STOCK_BASED_NUM_EST" hidden="1">"c4524"</definedName>
    <definedName name="IQ_STOCK_BASED_NUM_EST_CIQ" hidden="1">"c5077"</definedName>
    <definedName name="IQ_STOCK_BASED_OTHER" hidden="1">"c2995"</definedName>
    <definedName name="IQ_STOCK_BASED_RD" hidden="1">"c2991"</definedName>
    <definedName name="IQ_STOCK_BASED_SGA" hidden="1">"c2994"</definedName>
    <definedName name="IQ_STOCK_BASED_SM" hidden="1">"c2992"</definedName>
    <definedName name="IQ_STOCK_BASED_STDDEV_EST" hidden="1">"c4525"</definedName>
    <definedName name="IQ_STOCK_BASED_STDDEV_EST_CIQ" hidden="1">"c5078"</definedName>
    <definedName name="IQ_STOCK_BASED_TOTAL" hidden="1">"c3040"</definedName>
    <definedName name="IQ_STOCK_OPTIONS_COMP" hidden="1">"c3509"</definedName>
    <definedName name="IQ_STOCK_OPTIONS_COMP_PRETAX" hidden="1">"c3507"</definedName>
    <definedName name="IQ_STOCK_OPTIONS_COMP_TAX" hidden="1">"c3508"</definedName>
    <definedName name="IQ_STRATEGY_NOTE" hidden="1">"c6791"</definedName>
    <definedName name="IQ_STRIKE_PRICE_ISSUED" hidden="1">"c1645"</definedName>
    <definedName name="IQ_STRIKE_PRICE_OS" hidden="1">"c1646"</definedName>
    <definedName name="IQ_STW" hidden="1">"c2166"</definedName>
    <definedName name="IQ_SUB_BONDS_NOTES" hidden="1">"c2503"</definedName>
    <definedName name="IQ_SUB_BONDS_NOTES_PCT" hidden="1">"c2504"</definedName>
    <definedName name="IQ_SUB_DEBT" hidden="1">"c2532"</definedName>
    <definedName name="IQ_SUB_DEBT_EBITDA" hidden="1">"c2558"</definedName>
    <definedName name="IQ_SUB_DEBT_EBITDA_CAPEX" hidden="1">"c2559"</definedName>
    <definedName name="IQ_SUB_DEBT_FDIC" hidden="1">"c6346"</definedName>
    <definedName name="IQ_SUB_DEBT_PCT" hidden="1">"c2533"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URPLUS_FDIC" hidden="1">"c6351"</definedName>
    <definedName name="IQ_SVA" hidden="1">"c1214"</definedName>
    <definedName name="IQ_TARGET_PRICE_NUM" hidden="1">"c1653"</definedName>
    <definedName name="IQ_TARGET_PRICE_NUM_CIQ" hidden="1">"c4661"</definedName>
    <definedName name="IQ_TARGET_PRICE_NUM_REUT" hidden="1">"c5319"</definedName>
    <definedName name="IQ_TARGET_PRICE_STDDEV" hidden="1">"c1654"</definedName>
    <definedName name="IQ_TARGET_PRICE_STDDEV_CIQ" hidden="1">"c4662"</definedName>
    <definedName name="IQ_TARGET_PRICE_STDDEV_REUT" hidden="1">"c5320"</definedName>
    <definedName name="IQ_TAX_BENEFIT_CF_1YR" hidden="1">"c3483"</definedName>
    <definedName name="IQ_TAX_BENEFIT_CF_2YR" hidden="1">"c3484"</definedName>
    <definedName name="IQ_TAX_BENEFIT_CF_3YR" hidden="1">"c3485"</definedName>
    <definedName name="IQ_TAX_BENEFIT_CF_4YR" hidden="1">"c3486"</definedName>
    <definedName name="IQ_TAX_BENEFIT_CF_5YR" hidden="1">"c3487"</definedName>
    <definedName name="IQ_TAX_BENEFIT_CF_AFTER_FIVE" hidden="1">"c3488"</definedName>
    <definedName name="IQ_TAX_BENEFIT_CF_MAX_YEAR" hidden="1">"c3491"</definedName>
    <definedName name="IQ_TAX_BENEFIT_CF_NO_EXP" hidden="1">"c3489"</definedName>
    <definedName name="IQ_TAX_BENEFIT_CF_TOTAL" hidden="1">"c3490"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CAGR" hidden="1">"c6169"</definedName>
    <definedName name="IQ_TBV_10YR_ANN_GROWTH" hidden="1">"c1936"</definedName>
    <definedName name="IQ_TBV_1YR_ANN_GROWTH" hidden="1">"c1931"</definedName>
    <definedName name="IQ_TBV_2YR_ANN_CAGR" hidden="1">"c6165"</definedName>
    <definedName name="IQ_TBV_2YR_ANN_GROWTH" hidden="1">"c1932"</definedName>
    <definedName name="IQ_TBV_3YR_ANN_CAGR" hidden="1">"c6166"</definedName>
    <definedName name="IQ_TBV_3YR_ANN_GROWTH" hidden="1">"c1933"</definedName>
    <definedName name="IQ_TBV_5YR_ANN_CAGR" hidden="1">"c6167"</definedName>
    <definedName name="IQ_TBV_5YR_ANN_GROWTH" hidden="1">"c1934"</definedName>
    <definedName name="IQ_TBV_7YR_ANN_CAGR" hidden="1">"c6168"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RM_LOANS" hidden="1">"c2499"</definedName>
    <definedName name="IQ_TERM_LOANS_PCT" hidden="1">"c2500"</definedName>
    <definedName name="IQ_TEV" hidden="1">"c1219"</definedName>
    <definedName name="IQ_TEV_EBIT" hidden="1">"c1220"</definedName>
    <definedName name="IQ_TEV_EBIT_AVG" hidden="1">"c1221"</definedName>
    <definedName name="IQ_TEV_EBIT_FWD" hidden="1">"c2238"</definedName>
    <definedName name="IQ_TEV_EBIT_FWD_CIQ" hidden="1">"c4047"</definedName>
    <definedName name="IQ_TEV_EBIT_FWD_REUT" hidden="1">"c4054"</definedName>
    <definedName name="IQ_TEV_EBITDA" hidden="1">"c1222"</definedName>
    <definedName name="IQ_TEV_EBITDA_AVG" hidden="1">"c1223"</definedName>
    <definedName name="IQ_TEV_EBITDA_FWD" hidden="1">"c1224"</definedName>
    <definedName name="IQ_TEV_EBITDA_FWD_CIQ" hidden="1">"c4043"</definedName>
    <definedName name="IQ_TEV_EBITDA_FWD_REUT" hidden="1">"c4050"</definedName>
    <definedName name="IQ_TEV_EMPLOYEE_AVG" hidden="1">"c1225"</definedName>
    <definedName name="IQ_TEV_EST" hidden="1">"c4526"</definedName>
    <definedName name="IQ_TEV_EST_CIQ" hidden="1">"c5079"</definedName>
    <definedName name="IQ_TEV_HIGH_EST" hidden="1">"c4527"</definedName>
    <definedName name="IQ_TEV_HIGH_EST_CIQ" hidden="1">"c5080"</definedName>
    <definedName name="IQ_TEV_LOW_EST" hidden="1">"c4528"</definedName>
    <definedName name="IQ_TEV_LOW_EST_CIQ" hidden="1">"c5081"</definedName>
    <definedName name="IQ_TEV_MEDIAN_EST" hidden="1">"c4529"</definedName>
    <definedName name="IQ_TEV_MEDIAN_EST_CIQ" hidden="1">"c5082"</definedName>
    <definedName name="IQ_TEV_NUM_EST" hidden="1">"c4530"</definedName>
    <definedName name="IQ_TEV_NUM_EST_CIQ" hidden="1">"c5083"</definedName>
    <definedName name="IQ_TEV_STDDEV_EST" hidden="1">"c4531"</definedName>
    <definedName name="IQ_TEV_STDDEV_EST_CIQ" hidden="1">"c5084"</definedName>
    <definedName name="IQ_TEV_TOTAL_REV" hidden="1">"c1226"</definedName>
    <definedName name="IQ_TEV_TOTAL_REV_AVG" hidden="1">"c1227"</definedName>
    <definedName name="IQ_TEV_TOTAL_REV_FWD" hidden="1">"c1228"</definedName>
    <definedName name="IQ_TEV_TOTAL_REV_FWD_CIQ" hidden="1">"c4044"</definedName>
    <definedName name="IQ_TEV_TOTAL_REV_FWD_REUT" hidden="1">"c4051"</definedName>
    <definedName name="IQ_TEV_UFCF" hidden="1">"c2208"</definedName>
    <definedName name="IQ_THREE_MONTHS_FIXED_AND_FLOATING_FDIC" hidden="1">"c6419"</definedName>
    <definedName name="IQ_THREE_MONTHS_MORTGAGE_PASS_THROUGHS_FDIC" hidden="1">"c6411"</definedName>
    <definedName name="IQ_THREE_YEAR_FIXED_AND_FLOATING_RATE_FDIC" hidden="1">"c6421"</definedName>
    <definedName name="IQ_THREE_YEAR_MORTGAGE_PASS_THROUGHS_FDIC" hidden="1">"c6413"</definedName>
    <definedName name="IQ_THREE_YEARS_LESS_FDIC" hidden="1">"c6417"</definedName>
    <definedName name="IQ_TIER_1_RISK_BASED_CAPITAL_RATIO_FDIC" hidden="1">"c6746"</definedName>
    <definedName name="IQ_TIER_ONE_CAPITAL" hidden="1">"c2667"</definedName>
    <definedName name="IQ_TIER_ONE_FDIC" hidden="1">"c6369"</definedName>
    <definedName name="IQ_TIER_ONE_RATIO" hidden="1">"c1229"</definedName>
    <definedName name="IQ_TIER_TWO_CAPITAL" hidden="1">"c2669"</definedName>
    <definedName name="IQ_TIME_DEP" hidden="1">"c1230"</definedName>
    <definedName name="IQ_TIME_DEPOSITS_LESS_THAN_100K_FDIC" hidden="1">"c6465"</definedName>
    <definedName name="IQ_TIME_DEPOSITS_MORE_THAN_100K_FDIC" hidden="1">"c6470"</definedName>
    <definedName name="IQ_TODAY" hidden="1">0</definedName>
    <definedName name="IQ_TOT_ADJ_INC" hidden="1">"c1616"</definedName>
    <definedName name="IQ_TOTAL_AR_BR" hidden="1">"c1231"</definedName>
    <definedName name="IQ_TOTAL_AR_RE" hidden="1">"c6270"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CAGR" hidden="1">"c6140"</definedName>
    <definedName name="IQ_TOTAL_ASSETS_10YR_ANN_GROWTH" hidden="1">"c1235"</definedName>
    <definedName name="IQ_TOTAL_ASSETS_1YR_ANN_GROWTH" hidden="1">"c1236"</definedName>
    <definedName name="IQ_TOTAL_ASSETS_2YR_ANN_CAGR" hidden="1">"c6141"</definedName>
    <definedName name="IQ_TOTAL_ASSETS_2YR_ANN_GROWTH" hidden="1">"c1237"</definedName>
    <definedName name="IQ_TOTAL_ASSETS_3YR_ANN_CAGR" hidden="1">"c6142"</definedName>
    <definedName name="IQ_TOTAL_ASSETS_3YR_ANN_GROWTH" hidden="1">"c1238"</definedName>
    <definedName name="IQ_TOTAL_ASSETS_5YR_ANN_CAGR" hidden="1">"c6143"</definedName>
    <definedName name="IQ_TOTAL_ASSETS_5YR_ANN_GROWTH" hidden="1">"c1239"</definedName>
    <definedName name="IQ_TOTAL_ASSETS_7YR_ANN_CAGR" hidden="1">"c6144"</definedName>
    <definedName name="IQ_TOTAL_ASSETS_7YR_ANN_GROWTH" hidden="1">"c1240"</definedName>
    <definedName name="IQ_TOTAL_ASSETS_FDIC" hidden="1">"c6339"</definedName>
    <definedName name="IQ_TOTAL_AVG_CE_TOTAL_AVG_ASSETS" hidden="1">"c1241"</definedName>
    <definedName name="IQ_TOTAL_AVG_EQUITY_TOTAL_AVG_ASSETS" hidden="1">"c1242"</definedName>
    <definedName name="IQ_TOTAL_BANK_CAPITAL" hidden="1">"c2668"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ARGE_OFFS_FDIC" hidden="1">"c6603"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BITDA_CAPEX" hidden="1">"c2948"</definedName>
    <definedName name="IQ_TOTAL_DEBT_EQUITY" hidden="1">"c1250"</definedName>
    <definedName name="IQ_TOTAL_DEBT_EST" hidden="1">"c4532"</definedName>
    <definedName name="IQ_TOTAL_DEBT_EST_CIQ" hidden="1">"c5085"</definedName>
    <definedName name="IQ_TOTAL_DEBT_EXCL_FIN" hidden="1">"c2937"</definedName>
    <definedName name="IQ_TOTAL_DEBT_GUIDANCE" hidden="1">"c4533"</definedName>
    <definedName name="IQ_TOTAL_DEBT_GUIDANCE_CIQ" hidden="1">"c5086"</definedName>
    <definedName name="IQ_TOTAL_DEBT_HIGH_EST" hidden="1">"c4534"</definedName>
    <definedName name="IQ_TOTAL_DEBT_HIGH_EST_CIQ" hidden="1">"c5087"</definedName>
    <definedName name="IQ_TOTAL_DEBT_HIGH_GUIDANCE" hidden="1">"c4196"</definedName>
    <definedName name="IQ_TOTAL_DEBT_HIGH_GUIDANCE_CIQ" hidden="1">"c4608"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" hidden="1">"c6271"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LOW_EST" hidden="1">"c4535"</definedName>
    <definedName name="IQ_TOTAL_DEBT_LOW_EST_CIQ" hidden="1">"c5088"</definedName>
    <definedName name="IQ_TOTAL_DEBT_LOW_GUIDANCE" hidden="1">"c4236"</definedName>
    <definedName name="IQ_TOTAL_DEBT_LOW_GUIDANCE_CIQ" hidden="1">"c4648"</definedName>
    <definedName name="IQ_TOTAL_DEBT_MEDIAN_EST" hidden="1">"c4536"</definedName>
    <definedName name="IQ_TOTAL_DEBT_MEDIAN_EST_CIQ" hidden="1">"c5089"</definedName>
    <definedName name="IQ_TOTAL_DEBT_NUM_EST" hidden="1">"c4537"</definedName>
    <definedName name="IQ_TOTAL_DEBT_NUM_EST_CIQ" hidden="1">"c5090"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" hidden="1">"c6272"</definedName>
    <definedName name="IQ_TOTAL_DEBT_REPAID_REIT" hidden="1">"c1263"</definedName>
    <definedName name="IQ_TOTAL_DEBT_REPAID_UTI" hidden="1">"c1264"</definedName>
    <definedName name="IQ_TOTAL_DEBT_SECURITIES_FDIC" hidden="1">"c6410"</definedName>
    <definedName name="IQ_TOTAL_DEBT_STDDEV_EST" hidden="1">"c4538"</definedName>
    <definedName name="IQ_TOTAL_DEBT_STDDEV_EST_CIQ" hidden="1">"c5091"</definedName>
    <definedName name="IQ_TOTAL_DEPOSITS" hidden="1">"c1265"</definedName>
    <definedName name="IQ_TOTAL_DEPOSITS_FDIC" hidden="1">"c6342"</definedName>
    <definedName name="IQ_TOTAL_DIV_PAID_CF" hidden="1">"c1266"</definedName>
    <definedName name="IQ_TOTAL_EMPLOYEE" hidden="1">"c2141"</definedName>
    <definedName name="IQ_TOTAL_EMPLOYEES" hidden="1">"c1522"</definedName>
    <definedName name="IQ_TOTAL_EMPLOYEES_FDIC" hidden="1">"c6355"</definedName>
    <definedName name="IQ_TOTAL_EQUITY" hidden="1">"c1267"</definedName>
    <definedName name="IQ_TOTAL_EQUITY_10YR_ANN_CAGR" hidden="1">"c6145"</definedName>
    <definedName name="IQ_TOTAL_EQUITY_10YR_ANN_GROWTH" hidden="1">"c1268"</definedName>
    <definedName name="IQ_TOTAL_EQUITY_1YR_ANN_GROWTH" hidden="1">"c1269"</definedName>
    <definedName name="IQ_TOTAL_EQUITY_2YR_ANN_CAGR" hidden="1">"c6146"</definedName>
    <definedName name="IQ_TOTAL_EQUITY_2YR_ANN_GROWTH" hidden="1">"c1270"</definedName>
    <definedName name="IQ_TOTAL_EQUITY_3YR_ANN_CAGR" hidden="1">"c6147"</definedName>
    <definedName name="IQ_TOTAL_EQUITY_3YR_ANN_GROWTH" hidden="1">"c1271"</definedName>
    <definedName name="IQ_TOTAL_EQUITY_5YR_ANN_CAGR" hidden="1">"c6148"</definedName>
    <definedName name="IQ_TOTAL_EQUITY_5YR_ANN_GROWTH" hidden="1">"c1272"</definedName>
    <definedName name="IQ_TOTAL_EQUITY_7YR_ANN_CAGR" hidden="1">"c6149"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EQUITY_FDIC" hidden="1">"c6354"</definedName>
    <definedName name="IQ_TOTAL_LIAB_FIN" hidden="1">"c1280"</definedName>
    <definedName name="IQ_TOTAL_LIAB_INS" hidden="1">"c1281"</definedName>
    <definedName name="IQ_TOTAL_LIAB_RE" hidden="1">"c6273"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IABILITIES_FDIC" hidden="1">"c6348"</definedName>
    <definedName name="IQ_TOTAL_LOANS" hidden="1">"c5653"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" hidden="1">"c6274"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PTIONS_BEG_OS" hidden="1">"c2693"</definedName>
    <definedName name="IQ_TOTAL_OPTIONS_CANCELLED" hidden="1">"c2696"</definedName>
    <definedName name="IQ_TOTAL_OPTIONS_END_OS" hidden="1">"c2697"</definedName>
    <definedName name="IQ_TOTAL_OPTIONS_EXERCISABLE_END_OS" hidden="1">"c5819"</definedName>
    <definedName name="IQ_TOTAL_OPTIONS_EXERCISED" hidden="1">"c2695"</definedName>
    <definedName name="IQ_TOTAL_OPTIONS_GRANTED" hidden="1">"c2694"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ASSETS_DOMESTIC" hidden="1">"c2658"</definedName>
    <definedName name="IQ_TOTAL_PENSION_ASSETS_FOREIGN" hidden="1">"c2666"</definedName>
    <definedName name="IQ_TOTAL_PENSION_EXP" hidden="1">"c1291"</definedName>
    <definedName name="IQ_TOTAL_PENSION_OBLIGATION" hidden="1">"c1292"</definedName>
    <definedName name="IQ_TOTAL_PRINCIPAL" hidden="1">"c2509"</definedName>
    <definedName name="IQ_TOTAL_PRINCIPAL_PCT" hidden="1">"c2510"</definedName>
    <definedName name="IQ_TOTAL_PROVED_RESERVES_NGL" hidden="1">"c2924"</definedName>
    <definedName name="IQ_TOTAL_PROVED_RESERVES_OIL" hidden="1">"c2040"</definedName>
    <definedName name="IQ_TOTAL_RECEIV" hidden="1">"c1293"</definedName>
    <definedName name="IQ_TOTAL_RECOVERIES_FDIC" hidden="1">"c6622"</definedName>
    <definedName name="IQ_TOTAL_REV" hidden="1">"c1294"</definedName>
    <definedName name="IQ_TOTAL_REV_10YR_ANN_CAGR" hidden="1">"c6150"</definedName>
    <definedName name="IQ_TOTAL_REV_10YR_ANN_GROWTH" hidden="1">"c1295"</definedName>
    <definedName name="IQ_TOTAL_REV_1YR_ANN_GROWTH" hidden="1">"c1296"</definedName>
    <definedName name="IQ_TOTAL_REV_2YR_ANN_CAGR" hidden="1">"c6151"</definedName>
    <definedName name="IQ_TOTAL_REV_2YR_ANN_GROWTH" hidden="1">"c1297"</definedName>
    <definedName name="IQ_TOTAL_REV_3YR_ANN_CAGR" hidden="1">"c6152"</definedName>
    <definedName name="IQ_TOTAL_REV_3YR_ANN_GROWTH" hidden="1">"c1298"</definedName>
    <definedName name="IQ_TOTAL_REV_5YR_ANN_CAGR" hidden="1">"c6153"</definedName>
    <definedName name="IQ_TOTAL_REV_5YR_ANN_GROWTH" hidden="1">"c1299"</definedName>
    <definedName name="IQ_TOTAL_REV_7YR_ANN_CAGR" hidden="1">"c6154"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NK_FDIC" hidden="1">"c6786"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" hidden="1">"c6275"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RISK_BASED_CAPITAL_RATIO_FDIC" hidden="1">"c6747"</definedName>
    <definedName name="IQ_TOTAL_SECURITIES_FDIC" hidden="1">"c6306"</definedName>
    <definedName name="IQ_TOTAL_SPECIAL" hidden="1">"c1618"</definedName>
    <definedName name="IQ_TOTAL_ST_BORROW" hidden="1">"c1424"</definedName>
    <definedName name="IQ_TOTAL_SUB_DEBT" hidden="1">"c2528"</definedName>
    <definedName name="IQ_TOTAL_SUB_DEBT_EBITDA" hidden="1">"c2554"</definedName>
    <definedName name="IQ_TOTAL_SUB_DEBT_EBITDA_CAPEX" hidden="1">"c2555"</definedName>
    <definedName name="IQ_TOTAL_SUB_DEBT_PCT" hidden="1">"c2529"</definedName>
    <definedName name="IQ_TOTAL_SUBS" hidden="1">"c2119"</definedName>
    <definedName name="IQ_TOTAL_TIME_DEPOSITS_FDIC" hidden="1">"c6497"</definedName>
    <definedName name="IQ_TOTAL_TIME_SAVINGS_DEPOSITS_FDIC" hidden="1">"c6498"</definedName>
    <definedName name="IQ_TOTAL_UNUSED_COMMITMENTS_FDIC" hidden="1">"c6536"</definedName>
    <definedName name="IQ_TOTAL_UNUSUAL" hidden="1">"c1508"</definedName>
    <definedName name="IQ_TOTAL_UNUSUAL_BNK" hidden="1">"c5516"</definedName>
    <definedName name="IQ_TOTAL_UNUSUAL_BR" hidden="1">"c5517"</definedName>
    <definedName name="IQ_TOTAL_UNUSUAL_FIN" hidden="1">"c5518"</definedName>
    <definedName name="IQ_TOTAL_UNUSUAL_INS" hidden="1">"c5519"</definedName>
    <definedName name="IQ_TOTAL_UNUSUAL_RE" hidden="1">"c6286"</definedName>
    <definedName name="IQ_TOTAL_UNUSUAL_REIT" hidden="1">"c5520"</definedName>
    <definedName name="IQ_TOTAL_UNUSUAL_UTI" hidden="1">"c5521"</definedName>
    <definedName name="IQ_TOTAL_WARRANTS_BEG_OS" hidden="1">"c2719"</definedName>
    <definedName name="IQ_TOTAL_WARRANTS_CANCELLED" hidden="1">"c2722"</definedName>
    <definedName name="IQ_TOTAL_WARRANTS_END_OS" hidden="1">"c2723"</definedName>
    <definedName name="IQ_TOTAL_WARRANTS_EXERCISED" hidden="1">"c2721"</definedName>
    <definedName name="IQ_TOTAL_WARRANTS_ISSUED" hidden="1">"c2720"</definedName>
    <definedName name="IQ_TR_ACCT_METHOD" hidden="1">"c2363"</definedName>
    <definedName name="IQ_TR_ACQ_52_WK_HI_PCT" hidden="1">"c2348"</definedName>
    <definedName name="IQ_TR_ACQ_52_WK_LOW_PCT" hidden="1">"c2347"</definedName>
    <definedName name="IQ_TR_ACQ_CASH_ST_INVEST" hidden="1">"c2372"</definedName>
    <definedName name="IQ_TR_ACQ_CLOSEPRICE_1D" hidden="1">"c3027"</definedName>
    <definedName name="IQ_TR_ACQ_DILUT_EPS_EXCL" hidden="1">"c3028"</definedName>
    <definedName name="IQ_TR_ACQ_EARNING_CO" hidden="1">"c2379"</definedName>
    <definedName name="IQ_TR_ACQ_EBIT" hidden="1">"c2380"</definedName>
    <definedName name="IQ_TR_ACQ_EBIT_EQ_INC" hidden="1">"c3611"</definedName>
    <definedName name="IQ_TR_ACQ_EBITDA" hidden="1">"c2381"</definedName>
    <definedName name="IQ_TR_ACQ_EBITDA_EQ_INC" hidden="1">"c3610"</definedName>
    <definedName name="IQ_TR_ACQ_FILING_CURRENCY" hidden="1">"c3033"</definedName>
    <definedName name="IQ_TR_ACQ_FILINGDATE" hidden="1">"c3607"</definedName>
    <definedName name="IQ_TR_ACQ_MCAP_1DAY" hidden="1">"c2345"</definedName>
    <definedName name="IQ_TR_ACQ_MIN_INT" hidden="1">"c2374"</definedName>
    <definedName name="IQ_TR_ACQ_NET_DEBT" hidden="1">"c2373"</definedName>
    <definedName name="IQ_TR_ACQ_NI" hidden="1">"c2378"</definedName>
    <definedName name="IQ_TR_ACQ_PERIODDATE" hidden="1">"c3606"</definedName>
    <definedName name="IQ_TR_ACQ_PRICEDATE_1D" hidden="1">"c2346"</definedName>
    <definedName name="IQ_TR_ACQ_RETURN" hidden="1">"c2349"</definedName>
    <definedName name="IQ_TR_ACQ_STOCKYEARHIGH_1D" hidden="1">"c2343"</definedName>
    <definedName name="IQ_TR_ACQ_STOCKYEARLOW_1D" hidden="1">"c2344"</definedName>
    <definedName name="IQ_TR_ACQ_TOTAL_ASSETS" hidden="1">"c2371"</definedName>
    <definedName name="IQ_TR_ACQ_TOTAL_COMMON_EQ" hidden="1">"c2377"</definedName>
    <definedName name="IQ_TR_ACQ_TOTAL_DEBT" hidden="1">"c2376"</definedName>
    <definedName name="IQ_TR_ACQ_TOTAL_PREF" hidden="1">"c2375"</definedName>
    <definedName name="IQ_TR_ACQ_TOTAL_REV" hidden="1">"c2382"</definedName>
    <definedName name="IQ_TR_ADJ_SIZE" hidden="1">"c3024"</definedName>
    <definedName name="IQ_TR_ANN_DATE" hidden="1">"c2395"</definedName>
    <definedName name="IQ_TR_ANN_DATE_BL" hidden="1">"c2394"</definedName>
    <definedName name="IQ_TR_BID_DATE" hidden="1">"c2357"</definedName>
    <definedName name="IQ_TR_BLUESKY_FEES" hidden="1">"c2277"</definedName>
    <definedName name="IQ_TR_BUY_ACC_ADVISORS" hidden="1">"c3048"</definedName>
    <definedName name="IQ_TR_BUY_FIN_ADVISORS" hidden="1">"c3045"</definedName>
    <definedName name="IQ_TR_BUY_LEG_ADVISORS" hidden="1">"c2387"</definedName>
    <definedName name="IQ_TR_BUYER_ID" hidden="1">"c2404"</definedName>
    <definedName name="IQ_TR_BUYERNAME" hidden="1">"c2401"</definedName>
    <definedName name="IQ_TR_CANCELLED_DATE" hidden="1">"c2284"</definedName>
    <definedName name="IQ_TR_CASH_CONSID_PCT" hidden="1">"c2296"</definedName>
    <definedName name="IQ_TR_CASH_ST_INVEST" hidden="1">"c3025"</definedName>
    <definedName name="IQ_TR_CHANGE_CONTROL" hidden="1">"c2365"</definedName>
    <definedName name="IQ_TR_CLOSED_DATE" hidden="1">"c2283"</definedName>
    <definedName name="IQ_TR_CO_NET_PROCEEDS" hidden="1">"c2268"</definedName>
    <definedName name="IQ_TR_CO_NET_PROCEEDS_PCT" hidden="1">"c2270"</definedName>
    <definedName name="IQ_TR_COMMENTS" hidden="1">"c2383"</definedName>
    <definedName name="IQ_TR_CURRENCY" hidden="1">"c3016"</definedName>
    <definedName name="IQ_TR_DEAL_ATTITUDE" hidden="1">"c2364"</definedName>
    <definedName name="IQ_TR_DEAL_CONDITIONS" hidden="1">"c2367"</definedName>
    <definedName name="IQ_TR_DEAL_RESOLUTION" hidden="1">"c2391"</definedName>
    <definedName name="IQ_TR_DEAL_RESPONSES" hidden="1">"c2366"</definedName>
    <definedName name="IQ_TR_DEBT_CONSID_PCT" hidden="1">"c2299"</definedName>
    <definedName name="IQ_TR_DEF_AGRMT_DATE" hidden="1">"c2285"</definedName>
    <definedName name="IQ_TR_DISCLOSED_FEES_EXP" hidden="1">"c2288"</definedName>
    <definedName name="IQ_TR_EARNOUTS" hidden="1">"c3023"</definedName>
    <definedName name="IQ_TR_EXPIRED_DATE" hidden="1">"c2412"</definedName>
    <definedName name="IQ_TR_GROSS_OFFERING_AMT" hidden="1">"c2262"</definedName>
    <definedName name="IQ_TR_HYBRID_CONSID_PCT" hidden="1">"c2300"</definedName>
    <definedName name="IQ_TR_IMPLIED_EQ" hidden="1">"c3018"</definedName>
    <definedName name="IQ_TR_IMPLIED_EQ_BV" hidden="1">"c3019"</definedName>
    <definedName name="IQ_TR_IMPLIED_EQ_NI_LTM" hidden="1">"c3020"</definedName>
    <definedName name="IQ_TR_IMPLIED_EV" hidden="1">"c2301"</definedName>
    <definedName name="IQ_TR_IMPLIED_EV_BV" hidden="1">"c2306"</definedName>
    <definedName name="IQ_TR_IMPLIED_EV_EBIT" hidden="1">"c2302"</definedName>
    <definedName name="IQ_TR_IMPLIED_EV_EBITDA" hidden="1">"c2303"</definedName>
    <definedName name="IQ_TR_IMPLIED_EV_NI_LTM" hidden="1">"c2307"</definedName>
    <definedName name="IQ_TR_IMPLIED_EV_REV" hidden="1">"c2304"</definedName>
    <definedName name="IQ_TR_INIT_FILED_DATE" hidden="1">"c3495"</definedName>
    <definedName name="IQ_TR_LOI_DATE" hidden="1">"c2282"</definedName>
    <definedName name="IQ_TR_MAJ_MIN_STAKE" hidden="1">"c2389"</definedName>
    <definedName name="IQ_TR_NEGOTIATED_BUYBACK_PRICE" hidden="1">"c2414"</definedName>
    <definedName name="IQ_TR_NET_ASSUM_LIABILITIES" hidden="1">"c2308"</definedName>
    <definedName name="IQ_TR_NET_PROCEEDS" hidden="1">"c2267"</definedName>
    <definedName name="IQ_TR_OFFER_DATE" hidden="1">"c2265"</definedName>
    <definedName name="IQ_TR_OFFER_DATE_MA" hidden="1">"c3035"</definedName>
    <definedName name="IQ_TR_OFFER_PER_SHARE" hidden="1">"c3017"</definedName>
    <definedName name="IQ_TR_OPTIONS_CONSID_PCT" hidden="1">"c2311"</definedName>
    <definedName name="IQ_TR_OTHER_CONSID" hidden="1">"c3022"</definedName>
    <definedName name="IQ_TR_PCT_SOUGHT" hidden="1">"c2309"</definedName>
    <definedName name="IQ_TR_PFEATURES" hidden="1">"c2384"</definedName>
    <definedName name="IQ_TR_PIPE_CONV_PRICE_SHARE" hidden="1">"c2292"</definedName>
    <definedName name="IQ_TR_PIPE_CPN_PCT" hidden="1">"c2291"</definedName>
    <definedName name="IQ_TR_PIPE_NUMBER_SHARES" hidden="1">"c2293"</definedName>
    <definedName name="IQ_TR_PIPE_PPS" hidden="1">"c2290"</definedName>
    <definedName name="IQ_TR_POSTMONEY_VAL" hidden="1">"c2286"</definedName>
    <definedName name="IQ_TR_PREDEAL_SITUATION" hidden="1">"c2390"</definedName>
    <definedName name="IQ_TR_PREF_CONSID_PCT" hidden="1">"c2310"</definedName>
    <definedName name="IQ_TR_PREMONEY_VAL" hidden="1">"c2287"</definedName>
    <definedName name="IQ_TR_PRINTING_FEES" hidden="1">"c2276"</definedName>
    <definedName name="IQ_TR_PT_MONETARY_VALUES" hidden="1">"c2415"</definedName>
    <definedName name="IQ_TR_PT_NUMBER_SHARES" hidden="1">"c2417"</definedName>
    <definedName name="IQ_TR_PT_PCT_SHARES" hidden="1">"c2416"</definedName>
    <definedName name="IQ_TR_RATING_FEES" hidden="1">"c2275"</definedName>
    <definedName name="IQ_TR_REG_EFFECT_DATE" hidden="1">"c2264"</definedName>
    <definedName name="IQ_TR_REG_FILED_DATE" hidden="1">"c2263"</definedName>
    <definedName name="IQ_TR_RENEWAL_BUYBACK" hidden="1">"c2413"</definedName>
    <definedName name="IQ_TR_ROUND_NUMBER" hidden="1">"c2295"</definedName>
    <definedName name="IQ_TR_SEC_FEES" hidden="1">"c2274"</definedName>
    <definedName name="IQ_TR_SECURITY_TYPE_REG" hidden="1">"c2279"</definedName>
    <definedName name="IQ_TR_SELL_ACC_ADVISORS" hidden="1">"c3049"</definedName>
    <definedName name="IQ_TR_SELL_FIN_ADVISORS" hidden="1">"c3046"</definedName>
    <definedName name="IQ_TR_SELL_LEG_ADVISORS" hidden="1">"c2388"</definedName>
    <definedName name="IQ_TR_SELLER_ID" hidden="1">"c2406"</definedName>
    <definedName name="IQ_TR_SELLERNAME" hidden="1">"c2402"</definedName>
    <definedName name="IQ_TR_SFEATURES" hidden="1">"c2385"</definedName>
    <definedName name="IQ_TR_SH_NET_PROCEEDS" hidden="1">"c2269"</definedName>
    <definedName name="IQ_TR_SH_NET_PROCEEDS_PCT" hidden="1">"c2271"</definedName>
    <definedName name="IQ_TR_SPECIAL_COMMITTEE" hidden="1">"c2362"</definedName>
    <definedName name="IQ_TR_STATUS" hidden="1">"c2399"</definedName>
    <definedName name="IQ_TR_STOCK_CONSID_PCT" hidden="1">"c2312"</definedName>
    <definedName name="IQ_TR_SUSPENDED_DATE" hidden="1">"c2407"</definedName>
    <definedName name="IQ_TR_TARGET_52WKHI_PCT" hidden="1">"c2351"</definedName>
    <definedName name="IQ_TR_TARGET_52WKLOW_PCT" hidden="1">"c2350"</definedName>
    <definedName name="IQ_TR_TARGET_ACC_ADVISORS" hidden="1">"c3047"</definedName>
    <definedName name="IQ_TR_TARGET_CASH_ST_INVEST" hidden="1">"c2327"</definedName>
    <definedName name="IQ_TR_TARGET_CLOSEPRICE_1D" hidden="1">"c2352"</definedName>
    <definedName name="IQ_TR_TARGET_CLOSEPRICE_1M" hidden="1">"c2354"</definedName>
    <definedName name="IQ_TR_TARGET_CLOSEPRICE_1W" hidden="1">"c2353"</definedName>
    <definedName name="IQ_TR_TARGET_DILUT_EPS_EXCL" hidden="1">"c2324"</definedName>
    <definedName name="IQ_TR_TARGET_EARNING_CO" hidden="1">"c2332"</definedName>
    <definedName name="IQ_TR_TARGET_EBIT" hidden="1">"c2333"</definedName>
    <definedName name="IQ_TR_TARGET_EBIT_EQ_INC" hidden="1">"c3609"</definedName>
    <definedName name="IQ_TR_TARGET_EBITDA" hidden="1">"c2334"</definedName>
    <definedName name="IQ_TR_TARGET_EBITDA_EQ_INC" hidden="1">"c3608"</definedName>
    <definedName name="IQ_TR_TARGET_FILING_CURRENCY" hidden="1">"c3034"</definedName>
    <definedName name="IQ_TR_TARGET_FILINGDATE" hidden="1">"c3605"</definedName>
    <definedName name="IQ_TR_TARGET_FIN_ADVISORS" hidden="1">"c3044"</definedName>
    <definedName name="IQ_TR_TARGET_ID" hidden="1">"c2405"</definedName>
    <definedName name="IQ_TR_TARGET_LEG_ADVISORS" hidden="1">"c2386"</definedName>
    <definedName name="IQ_TR_TARGET_MARKETCAP" hidden="1">"c2342"</definedName>
    <definedName name="IQ_TR_TARGET_MIN_INT" hidden="1">"c2328"</definedName>
    <definedName name="IQ_TR_TARGET_NET_DEBT" hidden="1">"c2326"</definedName>
    <definedName name="IQ_TR_TARGET_NI" hidden="1">"c2331"</definedName>
    <definedName name="IQ_TR_TARGET_PERIODDATE" hidden="1">"c3604"</definedName>
    <definedName name="IQ_TR_TARGET_PRICEDATE_1D" hidden="1">"c2341"</definedName>
    <definedName name="IQ_TR_TARGET_RETURN" hidden="1">"c2355"</definedName>
    <definedName name="IQ_TR_TARGET_SEC_DETAIL" hidden="1">"c3021"</definedName>
    <definedName name="IQ_TR_TARGET_SEC_TI_ID" hidden="1">"c2368"</definedName>
    <definedName name="IQ_TR_TARGET_SEC_TYPE" hidden="1">"c2369"</definedName>
    <definedName name="IQ_TR_TARGET_SPD" hidden="1">"c2313"</definedName>
    <definedName name="IQ_TR_TARGET_SPD_PCT" hidden="1">"c2314"</definedName>
    <definedName name="IQ_TR_TARGET_STOCKPREMIUM_1D" hidden="1">"c2336"</definedName>
    <definedName name="IQ_TR_TARGET_STOCKPREMIUM_1M" hidden="1">"c2337"</definedName>
    <definedName name="IQ_TR_TARGET_STOCKPREMIUM_1W" hidden="1">"c2338"</definedName>
    <definedName name="IQ_TR_TARGET_STOCKYEARHIGH_1D" hidden="1">"c2339"</definedName>
    <definedName name="IQ_TR_TARGET_STOCKYEARLOW_1D" hidden="1">"c2340"</definedName>
    <definedName name="IQ_TR_TARGET_TOTAL_ASSETS" hidden="1">"c2325"</definedName>
    <definedName name="IQ_TR_TARGET_TOTAL_COMMON_EQ" hidden="1">"c2421"</definedName>
    <definedName name="IQ_TR_TARGET_TOTAL_DEBT" hidden="1">"c2330"</definedName>
    <definedName name="IQ_TR_TARGET_TOTAL_PREF" hidden="1">"c2329"</definedName>
    <definedName name="IQ_TR_TARGET_TOTAL_REV" hidden="1">"c2335"</definedName>
    <definedName name="IQ_TR_TARGETNAME" hidden="1">"c2403"</definedName>
    <definedName name="IQ_TR_TERM_FEE" hidden="1">"c2298"</definedName>
    <definedName name="IQ_TR_TERM_FEE_PCT" hidden="1">"c2297"</definedName>
    <definedName name="IQ_TR_TODATE" hidden="1">"c3036"</definedName>
    <definedName name="IQ_TR_TODATE_MONETARY_VALUE" hidden="1">"c2418"</definedName>
    <definedName name="IQ_TR_TODATE_NUMBER_SHARES" hidden="1">"c2420"</definedName>
    <definedName name="IQ_TR_TODATE_PCT_SHARES" hidden="1">"c2419"</definedName>
    <definedName name="IQ_TR_TOTAL_ACCT_FEES" hidden="1">"c2273"</definedName>
    <definedName name="IQ_TR_TOTAL_CASH" hidden="1">"c2315"</definedName>
    <definedName name="IQ_TR_TOTAL_CONSID_SH" hidden="1">"c2316"</definedName>
    <definedName name="IQ_TR_TOTAL_DEBT" hidden="1">"c2317"</definedName>
    <definedName name="IQ_TR_TOTAL_GROSS_TV" hidden="1">"c2318"</definedName>
    <definedName name="IQ_TR_TOTAL_HYBRID" hidden="1">"c2319"</definedName>
    <definedName name="IQ_TR_TOTAL_LEGAL_FEES" hidden="1">"c2272"</definedName>
    <definedName name="IQ_TR_TOTAL_NET_TV" hidden="1">"c2320"</definedName>
    <definedName name="IQ_TR_TOTAL_NEWMONEY" hidden="1">"c2289"</definedName>
    <definedName name="IQ_TR_TOTAL_OPTIONS" hidden="1">"c2322"</definedName>
    <definedName name="IQ_TR_TOTAL_OPTIONS_BUYER" hidden="1">"c3026"</definedName>
    <definedName name="IQ_TR_TOTAL_PREFERRED" hidden="1">"c2321"</definedName>
    <definedName name="IQ_TR_TOTAL_REG_AMT" hidden="1">"c2261"</definedName>
    <definedName name="IQ_TR_TOTAL_STOCK" hidden="1">"c2323"</definedName>
    <definedName name="IQ_TR_TOTAL_TAKEDOWNS" hidden="1">"c2278"</definedName>
    <definedName name="IQ_TR_TOTAL_UW_COMP" hidden="1">"c2280"</definedName>
    <definedName name="IQ_TR_TOTALVALUE" hidden="1">"c2400"</definedName>
    <definedName name="IQ_TR_TRANSACTION_TYPE" hidden="1">"c2398"</definedName>
    <definedName name="IQ_TR_WITHDRAWN_DTE" hidden="1">"c2266"</definedName>
    <definedName name="IQ_TRADE_AR" hidden="1">"c1345"</definedName>
    <definedName name="IQ_TRADE_PRINCIPAL" hidden="1">"c1309"</definedName>
    <definedName name="IQ_TRADING_ACCOUNT_GAINS_FEES_FDIC" hidden="1">"c6573"</definedName>
    <definedName name="IQ_TRADING_ASSETS" hidden="1">"c1310"</definedName>
    <definedName name="IQ_TRADING_ASSETS_FDIC" hidden="1">"c6328"</definedName>
    <definedName name="IQ_TRADING_CURRENCY" hidden="1">"c2212"</definedName>
    <definedName name="IQ_TRADING_LIABILITIES_FDIC" hidden="1">"c6344"</definedName>
    <definedName name="IQ_TRANSACTION_ACCOUNTS_FDIC" hidden="1">"c6544"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" hidden="1">"c6276"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EASURY_STOCK_TRANSACTIONS_FDIC" hidden="1">"c6501"</definedName>
    <definedName name="IQ_TRUST_INC" hidden="1">"c1319"</definedName>
    <definedName name="IQ_TRUST_PREF" hidden="1">"c1320"</definedName>
    <definedName name="IQ_TRUST_PREFERRED" hidden="1">"c3029"</definedName>
    <definedName name="IQ_TRUST_PREFERRED_PCT" hidden="1">"c3030"</definedName>
    <definedName name="IQ_TWELVE_MONTHS_FIXED_AND_FLOATING_FDIC" hidden="1">"c6420"</definedName>
    <definedName name="IQ_TWELVE_MONTHS_MORTGAGE_PASS_THROUGHS_FDIC" hidden="1">"c6412"</definedName>
    <definedName name="IQ_UFCF_10YR_ANN_CAGR" hidden="1">"c6179"</definedName>
    <definedName name="IQ_UFCF_10YR_ANN_GROWTH" hidden="1">"c1948"</definedName>
    <definedName name="IQ_UFCF_1YR_ANN_GROWTH" hidden="1">"c1943"</definedName>
    <definedName name="IQ_UFCF_2YR_ANN_CAGR" hidden="1">"c6175"</definedName>
    <definedName name="IQ_UFCF_2YR_ANN_GROWTH" hidden="1">"c1944"</definedName>
    <definedName name="IQ_UFCF_3YR_ANN_CAGR" hidden="1">"c6176"</definedName>
    <definedName name="IQ_UFCF_3YR_ANN_GROWTH" hidden="1">"c1945"</definedName>
    <definedName name="IQ_UFCF_5YR_ANN_CAGR" hidden="1">"c6177"</definedName>
    <definedName name="IQ_UFCF_5YR_ANN_GROWTH" hidden="1">"c1946"</definedName>
    <definedName name="IQ_UFCF_7YR_ANN_CAGR" hidden="1">"c6178"</definedName>
    <definedName name="IQ_UFCF_7YR_ANN_GROWTH" hidden="1">"c1947"</definedName>
    <definedName name="IQ_UFCF_MARGIN" hidden="1">"c1962"</definedName>
    <definedName name="IQ_ULT_PARENT" hidden="1">"c3037"</definedName>
    <definedName name="IQ_ULT_PARENT_CIQID" hidden="1">"c3039"</definedName>
    <definedName name="IQ_ULT_PARENT_TICKER" hidden="1">"c3038"</definedName>
    <definedName name="IQ_UNAMORT_DISC" hidden="1">"c2513"</definedName>
    <definedName name="IQ_UNAMORT_DISC_PCT" hidden="1">"c2514"</definedName>
    <definedName name="IQ_UNAMORT_PREMIUM" hidden="1">"c2511"</definedName>
    <definedName name="IQ_UNAMORT_PREMIUM_PCT" hidden="1">"c2512"</definedName>
    <definedName name="IQ_UNDIVIDED_PROFITS_FDIC" hidden="1">"c6352"</definedName>
    <definedName name="IQ_UNDRAWN_CP" hidden="1">"c2518"</definedName>
    <definedName name="IQ_UNDRAWN_CREDIT" hidden="1">"c3032"</definedName>
    <definedName name="IQ_UNDRAWN_RC" hidden="1">"c2517"</definedName>
    <definedName name="IQ_UNDRAWN_TL" hidden="1">"c2519"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" hidden="1">"c6277"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EARNED_INCOME_FDIC" hidden="1">"c6324"</definedName>
    <definedName name="IQ_UNEARNED_INCOME_FOREIGN_FDIC" hidden="1">"c6385"</definedName>
    <definedName name="IQ_UNLEVERED_FCF" hidden="1">"c1908"</definedName>
    <definedName name="IQ_UNPAID_CLAIMS" hidden="1">"c1330"</definedName>
    <definedName name="IQ_UNPROFITABLE_INSTITUTIONS_FDIC" hidden="1">"c6722"</definedName>
    <definedName name="IQ_UNREALIZED_GAIN" hidden="1">"c1619"</definedName>
    <definedName name="IQ_UNSECURED_DEBT" hidden="1">"c2548"</definedName>
    <definedName name="IQ_UNSECURED_DEBT_PCT" hidden="1">"c2549"</definedName>
    <definedName name="IQ_UNUSED_LOAN_COMMITMENTS_FDIC" hidden="1">"c6368"</definedName>
    <definedName name="IQ_UNUSUAL_EXP" hidden="1">"c1456"</definedName>
    <definedName name="IQ_US_BRANCHES_FOREIGN_BANK_LOANS_FDIC" hidden="1">"c6435"</definedName>
    <definedName name="IQ_US_BRANCHES_FOREIGN_BANKS_FDIC" hidden="1">"c6390"</definedName>
    <definedName name="IQ_US_GAAP" hidden="1">"c1331"</definedName>
    <definedName name="IQ_US_GAAP_BASIC_EPS_EXCL" hidden="1">"c2984"</definedName>
    <definedName name="IQ_US_GAAP_BASIC_EPS_INCL" hidden="1">"c2982"</definedName>
    <definedName name="IQ_US_GAAP_BASIC_WEIGHT" hidden="1">"c2980"</definedName>
    <definedName name="IQ_US_GAAP_CA_ADJ" hidden="1">"c2925"</definedName>
    <definedName name="IQ_US_GAAP_CASH_FINAN" hidden="1">"c2945"</definedName>
    <definedName name="IQ_US_GAAP_CASH_FINAN_ADJ" hidden="1">"c2941"</definedName>
    <definedName name="IQ_US_GAAP_CASH_INVEST" hidden="1">"c2944"</definedName>
    <definedName name="IQ_US_GAAP_CASH_INVEST_ADJ" hidden="1">"c2940"</definedName>
    <definedName name="IQ_US_GAAP_CASH_OPER" hidden="1">"c2943"</definedName>
    <definedName name="IQ_US_GAAP_CASH_OPER_ADJ" hidden="1">"c2939"</definedName>
    <definedName name="IQ_US_GAAP_CL_ADJ" hidden="1">"c2927"</definedName>
    <definedName name="IQ_US_GAAP_COST_REV_ADJ" hidden="1">"c2951"</definedName>
    <definedName name="IQ_US_GAAP_DILUT_EPS_EXCL" hidden="1">"c2985"</definedName>
    <definedName name="IQ_US_GAAP_DILUT_EPS_INCL" hidden="1">"c2983"</definedName>
    <definedName name="IQ_US_GAAP_DILUT_NI" hidden="1">"c2979"</definedName>
    <definedName name="IQ_US_GAAP_DILUT_WEIGHT" hidden="1">"c2981"</definedName>
    <definedName name="IQ_US_GAAP_DO_ADJ" hidden="1">"c2959"</definedName>
    <definedName name="IQ_US_GAAP_EXTRA_ACC_ITEMS_ADJ" hidden="1">"c2958"</definedName>
    <definedName name="IQ_US_GAAP_INC_TAX_ADJ" hidden="1">"c2961"</definedName>
    <definedName name="IQ_US_GAAP_INTEREST_EXP_ADJ" hidden="1">"c2957"</definedName>
    <definedName name="IQ_US_GAAP_LIAB_LT_ADJ" hidden="1">"c2928"</definedName>
    <definedName name="IQ_US_GAAP_LIAB_TOTAL_LIAB" hidden="1">"c2933"</definedName>
    <definedName name="IQ_US_GAAP_MINORITY_INTEREST_IS_ADJ" hidden="1">"c2960"</definedName>
    <definedName name="IQ_US_GAAP_NCA_ADJ" hidden="1">"c2926"</definedName>
    <definedName name="IQ_US_GAAP_NET_CHANGE" hidden="1">"c2946"</definedName>
    <definedName name="IQ_US_GAAP_NET_CHANGE_ADJ" hidden="1">"c2942"</definedName>
    <definedName name="IQ_US_GAAP_NI" hidden="1">"c2976"</definedName>
    <definedName name="IQ_US_GAAP_NI_ADJ" hidden="1">"c2963"</definedName>
    <definedName name="IQ_US_GAAP_NI_AVAIL_INCL" hidden="1">"c2978"</definedName>
    <definedName name="IQ_US_GAAP_OTHER_ADJ_ADJ" hidden="1">"c2962"</definedName>
    <definedName name="IQ_US_GAAP_OTHER_NON_OPER_ADJ" hidden="1">"c2955"</definedName>
    <definedName name="IQ_US_GAAP_OTHER_OPER_ADJ" hidden="1">"c2954"</definedName>
    <definedName name="IQ_US_GAAP_RD_ADJ" hidden="1">"c2953"</definedName>
    <definedName name="IQ_US_GAAP_SGA_ADJ" hidden="1">"c2952"</definedName>
    <definedName name="IQ_US_GAAP_TOTAL_ASSETS" hidden="1">"c2931"</definedName>
    <definedName name="IQ_US_GAAP_TOTAL_EQUITY" hidden="1">"c2934"</definedName>
    <definedName name="IQ_US_GAAP_TOTAL_EQUITY_ADJ" hidden="1">"c2929"</definedName>
    <definedName name="IQ_US_GAAP_TOTAL_REV_ADJ" hidden="1">"c2950"</definedName>
    <definedName name="IQ_US_GAAP_TOTAL_UNUSUAL_ADJ" hidden="1">"c2956"</definedName>
    <definedName name="IQ_US_GOV_AGENCIES_FDIC" hidden="1">"c6395"</definedName>
    <definedName name="IQ_US_GOV_DEPOSITS_FDIC" hidden="1">"c6483"</definedName>
    <definedName name="IQ_US_GOV_ENTERPRISES_FDIC" hidden="1">"c6396"</definedName>
    <definedName name="IQ_US_GOV_NONCURRENT_LOANS_TOTAL_NONCURRENT_FDIC" hidden="1">"c6779"</definedName>
    <definedName name="IQ_US_GOV_NONTRANSACTION_ACCOUNTS_FDIC" hidden="1">"c6546"</definedName>
    <definedName name="IQ_US_GOV_OBLIGATIONS_FDIC" hidden="1">"c6299"</definedName>
    <definedName name="IQ_US_GOV_SECURITIES_FDIC" hidden="1">"c6297"</definedName>
    <definedName name="IQ_US_GOV_TOTAL_DEPOSITS_FDIC" hidden="1">"c6472"</definedName>
    <definedName name="IQ_US_GOV_TRANSACTION_ACCOUNTS_FDIC" hidden="1">"c6538"</definedName>
    <definedName name="IQ_US_TREASURY_SECURITIES_FDIC" hidden="1">"c6298"</definedName>
    <definedName name="IQ_UTIL_PPE_NET" hidden="1">"c1620"</definedName>
    <definedName name="IQ_UTIL_REV" hidden="1">"c2091"</definedName>
    <definedName name="IQ_UV_PENSION_LIAB" hidden="1">"c1332"</definedName>
    <definedName name="IQ_VALUATION_ALLOWANCES_FDIC" hidden="1">"c6400"</definedName>
    <definedName name="IQ_VALUE_TRADED" hidden="1">"c1519"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C_REVENUE_FDIC" hidden="1">"c6667"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ATILE_LIABILITIES_FDIC" hidden="1">"c6364"</definedName>
    <definedName name="IQ_VOLUME" hidden="1">"c1333"</definedName>
    <definedName name="IQ_WARRANTS_BEG_OS" hidden="1">"c2698"</definedName>
    <definedName name="IQ_WARRANTS_CANCELLED" hidden="1">"c2701"</definedName>
    <definedName name="IQ_WARRANTS_END_OS" hidden="1">"c2702"</definedName>
    <definedName name="IQ_WARRANTS_EXERCISED" hidden="1">"c2700"</definedName>
    <definedName name="IQ_WARRANTS_ISSUED" hidden="1">"c2699"</definedName>
    <definedName name="IQ_WARRANTS_STRIKE_PRICE_ISSUED" hidden="1">"c2704"</definedName>
    <definedName name="IQ_WARRANTS_STRIKE_PRICE_OS" hidden="1">"c2703"</definedName>
    <definedName name="IQ_WEEK">50000</definedName>
    <definedName name="IQ_WEIGHTED_AVG_PRICE" hidden="1">"c1334"</definedName>
    <definedName name="IQ_WIP_INV" hidden="1">"c1335"</definedName>
    <definedName name="IQ_WORKING_CAP" hidden="1">"c3494"</definedName>
    <definedName name="IQ_WORKMEN_WRITTEN" hidden="1">"c1336"</definedName>
    <definedName name="IQ_WRITTEN_OPTION_CONTRACTS_FDIC" hidden="1">"c6509"</definedName>
    <definedName name="IQ_WRITTEN_OPTION_CONTRACTS_FX_RISK_FDIC" hidden="1">"c6514"</definedName>
    <definedName name="IQ_WRITTEN_OPTION_CONTRACTS_NON_FX_IR_FDIC" hidden="1">"c6519"</definedName>
    <definedName name="IQ_XDIV_DATE" hidden="1">"c2104"</definedName>
    <definedName name="IQ_YEAR_FOUNDED" hidden="1">"c6793"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TD">3000</definedName>
    <definedName name="IQ_YTDMONTH" hidden="1">130000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R_Copy">Macro!$D$7</definedName>
    <definedName name="IsColHidden" hidden="1">FALSE</definedName>
    <definedName name="IsLTMColHidden" hidden="1">FALSE</definedName>
    <definedName name="JANNN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JANNN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JANNN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jasfjasfjalfl" localSheetId="9" hidden="1">#REF!</definedName>
    <definedName name="jasfjasfjalfl" hidden="1">#REF!</definedName>
    <definedName name="jdjdjd" localSheetId="17" hidden="1">{"desglose domestico unidades",#N/A,FALSE,"Margen";"desglose exportacion unidades",#N/A,FALSE,"Margen";"Desglose domestico ventas",#N/A,FALSE,"Margen";"desglose exportacion ventas",#N/A,FALSE,"Margen";"desglose domestico costo",#N/A,FALSE,"Margen";"desglose exportacion costo",#N/A,FALSE,"Margen";"desglose domestico margen",#N/A,FALSE,"Margen";"desglose exportacion margen",#N/A,FALSE,"Margen";"desglose domestico margen %",#N/A,FALSE,"Margen";"desglose exportacion margen %",#N/A,FALSE,"Margen";"Resumen unidades",#N/A,FALSE,"Margen";"resumen ventas",#N/A,FALSE,"Margen";"resumen costo",#N/A,FALSE,"Margen";"resumen margen",#N/A,FALSE,"Margen";"resumen margen %",#N/A,FALSE,"Margen";"desglose domestico precio",#N/A,FALSE,"Margen";"desglose exportacion precio",#N/A,FALSE,"Margen";"desglose dom costo unit",#N/A,FALSE,"Margen";"desglose exp costo unit",#N/A,FALSE,"Margen";"desglose dom precio dlls",#N/A,FALSE,"Margen";"desglose exp precio dlls",#N/A,FALSE,"Margen";"costo dom unit dlls",#N/A,FALSE,"Margen";"costo exp unit dlls",#N/A,FALSE,"Margen"}</definedName>
    <definedName name="jdjdjd" localSheetId="9" hidden="1">{"desglose domestico unidades",#N/A,FALSE,"Margen";"desglose exportacion unidades",#N/A,FALSE,"Margen";"Desglose domestico ventas",#N/A,FALSE,"Margen";"desglose exportacion ventas",#N/A,FALSE,"Margen";"desglose domestico costo",#N/A,FALSE,"Margen";"desglose exportacion costo",#N/A,FALSE,"Margen";"desglose domestico margen",#N/A,FALSE,"Margen";"desglose exportacion margen",#N/A,FALSE,"Margen";"desglose domestico margen %",#N/A,FALSE,"Margen";"desglose exportacion margen %",#N/A,FALSE,"Margen";"Resumen unidades",#N/A,FALSE,"Margen";"resumen ventas",#N/A,FALSE,"Margen";"resumen costo",#N/A,FALSE,"Margen";"resumen margen",#N/A,FALSE,"Margen";"resumen margen %",#N/A,FALSE,"Margen";"desglose domestico precio",#N/A,FALSE,"Margen";"desglose exportacion precio",#N/A,FALSE,"Margen";"desglose dom costo unit",#N/A,FALSE,"Margen";"desglose exp costo unit",#N/A,FALSE,"Margen";"desglose dom precio dlls",#N/A,FALSE,"Margen";"desglose exp precio dlls",#N/A,FALSE,"Margen";"costo dom unit dlls",#N/A,FALSE,"Margen";"costo exp unit dlls",#N/A,FALSE,"Margen"}</definedName>
    <definedName name="jdjdjd" hidden="1">{"desglose domestico unidades",#N/A,FALSE,"Margen";"desglose exportacion unidades",#N/A,FALSE,"Margen";"Desglose domestico ventas",#N/A,FALSE,"Margen";"desglose exportacion ventas",#N/A,FALSE,"Margen";"desglose domestico costo",#N/A,FALSE,"Margen";"desglose exportacion costo",#N/A,FALSE,"Margen";"desglose domestico margen",#N/A,FALSE,"Margen";"desglose exportacion margen",#N/A,FALSE,"Margen";"desglose domestico margen %",#N/A,FALSE,"Margen";"desglose exportacion margen %",#N/A,FALSE,"Margen";"Resumen unidades",#N/A,FALSE,"Margen";"resumen ventas",#N/A,FALSE,"Margen";"resumen costo",#N/A,FALSE,"Margen";"resumen margen",#N/A,FALSE,"Margen";"resumen margen %",#N/A,FALSE,"Margen";"desglose domestico precio",#N/A,FALSE,"Margen";"desglose exportacion precio",#N/A,FALSE,"Margen";"desglose dom costo unit",#N/A,FALSE,"Margen";"desglose exp costo unit",#N/A,FALSE,"Margen";"desglose dom precio dlls",#N/A,FALSE,"Margen";"desglose exp precio dlls",#N/A,FALSE,"Margen";"costo dom unit dlls",#N/A,FALSE,"Margen";"costo exp unit dlls",#N/A,FALSE,"Margen"}</definedName>
    <definedName name="Kd" localSheetId="17">#REF!</definedName>
    <definedName name="Kd">'NPV, TIR e Payback'!$D$66</definedName>
    <definedName name="kdkdkdk" localSheetId="17" hidden="1">{"ERMES",#N/A,FALSE,"RESUMEN";"ERACUM",#N/A,FALSE,"RESUMEN";"BG",#N/A,FALSE,"RESUMEN";"ERMES",#N/A,FALSE,"SABANAS";"ERACUM",#N/A,FALSE,"SABANAS";"BG",#N/A,FALSE,"SABANAS";"fadsa",#N/A,FALSE,"FADSA";"supsa",#N/A,FALSE,"SUPSA";"crolls",#N/A,FALSE,"CROLLS";"vicomsa",#N/A,FALSE,"VICOMSA";"viplasticos",#N/A,FALSE,"VIPLASTICOS";"vitsa",#N/A,FALSE,"VITSA";"elim",#N/A,FALSE,"ELIM"}</definedName>
    <definedName name="kdkdkdk" localSheetId="9" hidden="1">{"ERMES",#N/A,FALSE,"RESUMEN";"ERACUM",#N/A,FALSE,"RESUMEN";"BG",#N/A,FALSE,"RESUMEN";"ERMES",#N/A,FALSE,"SABANAS";"ERACUM",#N/A,FALSE,"SABANAS";"BG",#N/A,FALSE,"SABANAS";"fadsa",#N/A,FALSE,"FADSA";"supsa",#N/A,FALSE,"SUPSA";"crolls",#N/A,FALSE,"CROLLS";"vicomsa",#N/A,FALSE,"VICOMSA";"viplasticos",#N/A,FALSE,"VIPLASTICOS";"vitsa",#N/A,FALSE,"VITSA";"elim",#N/A,FALSE,"ELIM"}</definedName>
    <definedName name="kdkdkdk" hidden="1">{"ERMES",#N/A,FALSE,"RESUMEN";"ERACUM",#N/A,FALSE,"RESUMEN";"BG",#N/A,FALSE,"RESUMEN";"ERMES",#N/A,FALSE,"SABANAS";"ERACUM",#N/A,FALSE,"SABANAS";"BG",#N/A,FALSE,"SABANAS";"fadsa",#N/A,FALSE,"FADSA";"supsa",#N/A,FALSE,"SUPSA";"crolls",#N/A,FALSE,"CROLLS";"vicomsa",#N/A,FALSE,"VICOMSA";"viplasticos",#N/A,FALSE,"VIPLASTICOS";"vitsa",#N/A,FALSE,"VITSA";"elim",#N/A,FALSE,"ELIM"}</definedName>
    <definedName name="kf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kf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kf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kjhkjlnnoj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kjhkjlnnoj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kjhkjlnnoj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kjkhjkh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kjkhjkh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kjkhjkh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kloklk" localSheetId="17" hidden="1">{#N/A,#N/A,TRUE,"Produção";#N/A,#N/A,TRUE,"ETA";#N/A,#N/A,TRUE,"balÁgua";#N/A,#N/A,TRUE,"E.T.E";#N/A,#N/A,TRUE,"balEfluente";#N/A,#N/A,TRUE,"ETE";#N/A,#N/A,TRUE,"Graf_ETE";#N/A,#N/A,TRUE,"Org";#N/A,#N/A,TRUE,"M_ambiente";#N/A,#N/A,TRUE,"Desmi";#N/A,#N/A,TRUE,"SAAC";#N/A,#N/A,TRUE,"Compressor";#N/A,#N/A,TRUE,"Vapor";#N/A,#N/A,TRUE,"Calculo Gcal";#N/A,#N/A,TRUE,"Utilização";#N/A,#N/A,TRUE,"Padrões (2)";#N/A,#N/A,TRUE,"balvapor";#N/A,#N/A,TRUE,"oleo";#N/A,#N/A,TRUE,"ocorrencias";#N/A,#N/A,TRUE,"E.Elétrica";#N/A,#N/A,TRUE,"índices";#N/A,#N/A,TRUE,"balEnergia";#N/A,#N/A,TRUE,"custos";#N/A,#N/A,TRUE,"S.S";#N/A,#N/A,TRUE,"DESCRIC";#N/A,#N/A,TRUE,"horas";#N/A,#N/A,TRUE,"TempoGraf";#N/A,#N/A,TRUE,"R0A"}</definedName>
    <definedName name="kloklk" localSheetId="9" hidden="1">{#N/A,#N/A,TRUE,"Produção";#N/A,#N/A,TRUE,"ETA";#N/A,#N/A,TRUE,"balÁgua";#N/A,#N/A,TRUE,"E.T.E";#N/A,#N/A,TRUE,"balEfluente";#N/A,#N/A,TRUE,"ETE";#N/A,#N/A,TRUE,"Graf_ETE";#N/A,#N/A,TRUE,"Org";#N/A,#N/A,TRUE,"M_ambiente";#N/A,#N/A,TRUE,"Desmi";#N/A,#N/A,TRUE,"SAAC";#N/A,#N/A,TRUE,"Compressor";#N/A,#N/A,TRUE,"Vapor";#N/A,#N/A,TRUE,"Calculo Gcal";#N/A,#N/A,TRUE,"Utilização";#N/A,#N/A,TRUE,"Padrões (2)";#N/A,#N/A,TRUE,"balvapor";#N/A,#N/A,TRUE,"oleo";#N/A,#N/A,TRUE,"ocorrencias";#N/A,#N/A,TRUE,"E.Elétrica";#N/A,#N/A,TRUE,"índices";#N/A,#N/A,TRUE,"balEnergia";#N/A,#N/A,TRUE,"custos";#N/A,#N/A,TRUE,"S.S";#N/A,#N/A,TRUE,"DESCRIC";#N/A,#N/A,TRUE,"horas";#N/A,#N/A,TRUE,"TempoGraf";#N/A,#N/A,TRUE,"R0A"}</definedName>
    <definedName name="kloklk" hidden="1">{#N/A,#N/A,TRUE,"Produção";#N/A,#N/A,TRUE,"ETA";#N/A,#N/A,TRUE,"balÁgua";#N/A,#N/A,TRUE,"E.T.E";#N/A,#N/A,TRUE,"balEfluente";#N/A,#N/A,TRUE,"ETE";#N/A,#N/A,TRUE,"Graf_ETE";#N/A,#N/A,TRUE,"Org";#N/A,#N/A,TRUE,"M_ambiente";#N/A,#N/A,TRUE,"Desmi";#N/A,#N/A,TRUE,"SAAC";#N/A,#N/A,TRUE,"Compressor";#N/A,#N/A,TRUE,"Vapor";#N/A,#N/A,TRUE,"Calculo Gcal";#N/A,#N/A,TRUE,"Utilização";#N/A,#N/A,TRUE,"Padrões (2)";#N/A,#N/A,TRUE,"balvapor";#N/A,#N/A,TRUE,"oleo";#N/A,#N/A,TRUE,"ocorrencias";#N/A,#N/A,TRUE,"E.Elétrica";#N/A,#N/A,TRUE,"índices";#N/A,#N/A,TRUE,"balEnergia";#N/A,#N/A,TRUE,"custos";#N/A,#N/A,TRUE,"S.S";#N/A,#N/A,TRUE,"DESCRIC";#N/A,#N/A,TRUE,"horas";#N/A,#N/A,TRUE,"TempoGraf";#N/A,#N/A,TRUE,"R0A"}</definedName>
    <definedName name="Leste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este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este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imcount" hidden="1">1</definedName>
    <definedName name="ll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1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acro_Precision">Macro!$F$15</definedName>
    <definedName name="Macro_Run">Macro!$F$14</definedName>
    <definedName name="MacroCheck">Macro!$F$12</definedName>
    <definedName name="MAPA" hidden="1">#REF!</definedName>
    <definedName name="Master_Check" localSheetId="17">#REF!</definedName>
    <definedName name="Master_Check">Summary!$D$11</definedName>
    <definedName name="merito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1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rito1" hidden="1">#REF!</definedName>
    <definedName name="Million">SETUP!$E$16</definedName>
    <definedName name="mm" localSheetId="17" hidden="1">{"'CONS'!$A$10:$N$62"}</definedName>
    <definedName name="mm" localSheetId="9" hidden="1">{"'CONS'!$A$10:$N$62"}</definedName>
    <definedName name="mm" hidden="1">{"'CONS'!$A$10:$N$62"}</definedName>
    <definedName name="mmmmm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1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OBILIZAÇÃO" localSheetId="17" hidden="1">{#N/A,#N/A,FALSE,"Cronograma";#N/A,#N/A,FALSE,"Cronogr. 2"}</definedName>
    <definedName name="MOBILIZAÇÃO" localSheetId="9" hidden="1">{#N/A,#N/A,FALSE,"Cronograma";#N/A,#N/A,FALSE,"Cronogr. 2"}</definedName>
    <definedName name="MOBILIZAÇÃO" hidden="1">{#N/A,#N/A,FALSE,"Cronograma";#N/A,#N/A,FALSE,"Cronogr. 2"}</definedName>
    <definedName name="Model_Name">SETUP!$E$5</definedName>
    <definedName name="Model_Start" localSheetId="17">#REF!</definedName>
    <definedName name="Model_Start">Inputs!$E$8</definedName>
    <definedName name="Months_halfyr">SETUP!$E$11</definedName>
    <definedName name="Months_qtr">SETUP!$E$13</definedName>
    <definedName name="Months_yr" localSheetId="17">#REF!</definedName>
    <definedName name="Months_yr">SETUP!$E$10</definedName>
    <definedName name="NEW" localSheetId="17" hidden="1">{"'RATEIO RECEITA BRUTA'!$B$77:$C$106"}</definedName>
    <definedName name="NEW" localSheetId="9" hidden="1">{"'RATEIO RECEITA BRUTA'!$B$77:$C$106"}</definedName>
    <definedName name="NEW" hidden="1">{"'RATEIO RECEITA BRUTA'!$B$77:$C$106"}</definedName>
    <definedName name="nov" localSheetId="17" hidden="1">{#N/A,#N/A,FALSE,"OUT";#N/A,#N/A,FALSE,"NOV"}</definedName>
    <definedName name="nov" localSheetId="9" hidden="1">{#N/A,#N/A,FALSE,"OUT";#N/A,#N/A,FALSE,"NOV"}</definedName>
    <definedName name="nov" hidden="1">{#N/A,#N/A,FALSE,"OUT";#N/A,#N/A,FALSE,"NOV"}</definedName>
    <definedName name="NPV" localSheetId="17">#REF!</definedName>
    <definedName name="NPV">'NPV, TIR e Payback'!#REF!</definedName>
    <definedName name="o" localSheetId="9" hidden="1">#REF!</definedName>
    <definedName name="o" hidden="1">#REF!</definedName>
    <definedName name="OA" localSheetId="1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PEX_Sens" localSheetId="17">#REF!</definedName>
    <definedName name="OPEX_Sens">Sensitivity!$I$15</definedName>
    <definedName name="OPEX_start">Sensitivity!$F$6</definedName>
    <definedName name="origen" localSheetId="1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rigen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rige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p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p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p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papa" hidden="1">#REF!</definedName>
    <definedName name="PE05798REPLAN" localSheetId="17" hidden="1">{#N/A,#N/A,FALSE,"Cronograma";#N/A,#N/A,FALSE,"Cronogr. 2"}</definedName>
    <definedName name="PE05798REPLAN" localSheetId="9" hidden="1">{#N/A,#N/A,FALSE,"Cronograma";#N/A,#N/A,FALSE,"Cronogr. 2"}</definedName>
    <definedName name="PE05798REPLAN" hidden="1">{#N/A,#N/A,FALSE,"Cronograma";#N/A,#N/A,FALSE,"Cronogr. 2"}</definedName>
    <definedName name="plan1" localSheetId="17" hidden="1">{#N/A,#N/A,FALSE,"Cronograma";#N/A,#N/A,FALSE,"Cronogr. 2"}</definedName>
    <definedName name="plan1" localSheetId="9" hidden="1">{#N/A,#N/A,FALSE,"Cronograma";#N/A,#N/A,FALSE,"Cronogr. 2"}</definedName>
    <definedName name="plan1" hidden="1">{#N/A,#N/A,FALSE,"Cronograma";#N/A,#N/A,FALSE,"Cronogr. 2"}</definedName>
    <definedName name="poço" hidden="1">#REF!</definedName>
    <definedName name="poçomisto" localSheetId="9" hidden="1">#REF!</definedName>
    <definedName name="poçomisto" hidden="1">#REF!</definedName>
    <definedName name="ppppp" localSheetId="9" hidden="1">#REF!</definedName>
    <definedName name="ppppp" hidden="1">#REF!</definedName>
    <definedName name="prange">F_INCOME,F_BALANCE,f_free_cash_flow,f_ratios,f_valuation</definedName>
    <definedName name="PRAZO" localSheetId="17">#REF!</definedName>
    <definedName name="PRAZO">#REF!</definedName>
    <definedName name="Preço" localSheetId="17" hidden="1">{#N/A,#N/A,FALSE,"Cronograma";#N/A,#N/A,FALSE,"Cronogr. 2"}</definedName>
    <definedName name="Preço" localSheetId="9" hidden="1">{#N/A,#N/A,FALSE,"Cronograma";#N/A,#N/A,FALSE,"Cronogr. 2"}</definedName>
    <definedName name="Preço" hidden="1">{#N/A,#N/A,FALSE,"Cronograma";#N/A,#N/A,FALSE,"Cronogr. 2"}</definedName>
    <definedName name="Previsao" localSheetId="17" hidden="1">{"'Índice'!$A$1:$K$49"}</definedName>
    <definedName name="Previsao" localSheetId="9" hidden="1">{"'Índice'!$A$1:$K$49"}</definedName>
    <definedName name="Previsao" hidden="1">{"'Índice'!$A$1:$K$49"}</definedName>
    <definedName name="Previsao_1" localSheetId="17" hidden="1">{"'Índice'!$A$1:$K$49"}</definedName>
    <definedName name="Previsao_1" localSheetId="9" hidden="1">{"'Índice'!$A$1:$K$49"}</definedName>
    <definedName name="Previsao_1" hidden="1">{"'Índice'!$A$1:$K$49"}</definedName>
    <definedName name="Previsao_1_1" localSheetId="17" hidden="1">{"'Índice'!$A$1:$K$49"}</definedName>
    <definedName name="Previsao_1_1" localSheetId="9" hidden="1">{"'Índice'!$A$1:$K$49"}</definedName>
    <definedName name="Previsao_1_1" hidden="1">{"'Índice'!$A$1:$K$49"}</definedName>
    <definedName name="Previsao_1_1_1" localSheetId="17" hidden="1">{"'Índice'!$A$1:$K$49"}</definedName>
    <definedName name="Previsao_1_1_1" localSheetId="9" hidden="1">{"'Índice'!$A$1:$K$49"}</definedName>
    <definedName name="Previsao_1_1_1" hidden="1">{"'Índice'!$A$1:$K$49"}</definedName>
    <definedName name="Previsao_1_1_1_1" localSheetId="17" hidden="1">{"'Índice'!$A$1:$K$49"}</definedName>
    <definedName name="Previsao_1_1_1_1" localSheetId="9" hidden="1">{"'Índice'!$A$1:$K$49"}</definedName>
    <definedName name="Previsao_1_1_1_1" hidden="1">{"'Índice'!$A$1:$K$49"}</definedName>
    <definedName name="Previsao_1_1_2" localSheetId="17" hidden="1">{"'Índice'!$A$1:$K$49"}</definedName>
    <definedName name="Previsao_1_1_2" localSheetId="9" hidden="1">{"'Índice'!$A$1:$K$49"}</definedName>
    <definedName name="Previsao_1_1_2" hidden="1">{"'Índice'!$A$1:$K$49"}</definedName>
    <definedName name="Previsao_1_2" localSheetId="17" hidden="1">{"'Índice'!$A$1:$K$49"}</definedName>
    <definedName name="Previsao_1_2" localSheetId="9" hidden="1">{"'Índice'!$A$1:$K$49"}</definedName>
    <definedName name="Previsao_1_2" hidden="1">{"'Índice'!$A$1:$K$49"}</definedName>
    <definedName name="Previsao_1_2_1" localSheetId="17" hidden="1">{"'Índice'!$A$1:$K$49"}</definedName>
    <definedName name="Previsao_1_2_1" localSheetId="9" hidden="1">{"'Índice'!$A$1:$K$49"}</definedName>
    <definedName name="Previsao_1_2_1" hidden="1">{"'Índice'!$A$1:$K$49"}</definedName>
    <definedName name="Previsao_1_3" localSheetId="17" hidden="1">{"'Índice'!$A$1:$K$49"}</definedName>
    <definedName name="Previsao_1_3" localSheetId="9" hidden="1">{"'Índice'!$A$1:$K$49"}</definedName>
    <definedName name="Previsao_1_3" hidden="1">{"'Índice'!$A$1:$K$49"}</definedName>
    <definedName name="Previsao_1_3_1" localSheetId="17" hidden="1">{"'Índice'!$A$1:$K$49"}</definedName>
    <definedName name="Previsao_1_3_1" localSheetId="9" hidden="1">{"'Índice'!$A$1:$K$49"}</definedName>
    <definedName name="Previsao_1_3_1" hidden="1">{"'Índice'!$A$1:$K$49"}</definedName>
    <definedName name="Previsao_2" localSheetId="17" hidden="1">{"'Índice'!$A$1:$K$49"}</definedName>
    <definedName name="Previsao_2" localSheetId="9" hidden="1">{"'Índice'!$A$1:$K$49"}</definedName>
    <definedName name="Previsao_2" hidden="1">{"'Índice'!$A$1:$K$49"}</definedName>
    <definedName name="Previsao_2_1" localSheetId="17" hidden="1">{"'Índice'!$A$1:$K$49"}</definedName>
    <definedName name="Previsao_2_1" localSheetId="9" hidden="1">{"'Índice'!$A$1:$K$49"}</definedName>
    <definedName name="Previsao_2_1" hidden="1">{"'Índice'!$A$1:$K$49"}</definedName>
    <definedName name="Previsao_3" localSheetId="17" hidden="1">{"'Índice'!$A$1:$K$49"}</definedName>
    <definedName name="Previsao_3" localSheetId="9" hidden="1">{"'Índice'!$A$1:$K$49"}</definedName>
    <definedName name="Previsao_3" hidden="1">{"'Índice'!$A$1:$K$49"}</definedName>
    <definedName name="Previsao_4" localSheetId="17" hidden="1">{"'Índice'!$A$1:$K$49"}</definedName>
    <definedName name="Previsao_4" localSheetId="9" hidden="1">{"'Índice'!$A$1:$K$49"}</definedName>
    <definedName name="Previsao_4" hidden="1">{"'Índice'!$A$1:$K$49"}</definedName>
    <definedName name="Previsao_5" localSheetId="17" hidden="1">{"'Índice'!$A$1:$K$49"}</definedName>
    <definedName name="Previsao_5" localSheetId="9" hidden="1">{"'Índice'!$A$1:$K$49"}</definedName>
    <definedName name="Previsao_5" hidden="1">{"'Índice'!$A$1:$K$49"}</definedName>
    <definedName name="Project_IRR" localSheetId="17">#REF!</definedName>
    <definedName name="Project_IRR">'NPV, TIR e Payback'!$D$67</definedName>
    <definedName name="Project_IRR_Paste" localSheetId="17">#REF!</definedName>
    <definedName name="Project_IRR_Paste">Macro!$E$7</definedName>
    <definedName name="Project_NPV" localSheetId="17">#REF!</definedName>
    <definedName name="Project_NPV">'NPV, TIR e Payback'!$D$57</definedName>
    <definedName name="q" localSheetId="9" hidden="1">#REF!</definedName>
    <definedName name="q" hidden="1">#REF!</definedName>
    <definedName name="qa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1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1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1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a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" localSheetId="17" hidden="1">{#N/A,#N/A,FALSE,"cpt"}</definedName>
    <definedName name="qqq" localSheetId="9" hidden="1">{#N/A,#N/A,FALSE,"cpt"}</definedName>
    <definedName name="qqq" hidden="1">{#N/A,#N/A,FALSE,"cpt"}</definedName>
    <definedName name="qqq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1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1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1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q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1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1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1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1_1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1_1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1_1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1_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1_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1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2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2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2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3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3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3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3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3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3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4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4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4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5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5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1_5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2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2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2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3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3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3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3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3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3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4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4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4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5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5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_5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1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1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1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1_1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1_1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1_1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1_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1_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1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2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2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2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3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3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3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3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3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3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4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4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4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5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5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1_5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2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2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2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3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3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3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3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3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3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4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4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4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5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5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_5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q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1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1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1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1_1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1_1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1_1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1_1_1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1_1_1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1_1_1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1_2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1_2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1_2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2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2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2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2_1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2_1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2_1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3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3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3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3_1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3_1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3_1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4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4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4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5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5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1_5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2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2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2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2_1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2_1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2_1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3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3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3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3_1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3_1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3_1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4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4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4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5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5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_5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q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1_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1_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1_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1_2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1_2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1_2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2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2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2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2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2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2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3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3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3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3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3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3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4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4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4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5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5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1_5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2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2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2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2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2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2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3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3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3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3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3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3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4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4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4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5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5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_5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trs_yr">SETUP!$E$12</definedName>
    <definedName name="RangeChange" hidden="1">#N/A</definedName>
    <definedName name="retorno1000.600.sa" localSheetId="17" hidden="1">{#N/A,#N/A,TRUE,"Produção";#N/A,#N/A,TRUE,"ETA";#N/A,#N/A,TRUE,"balÁgua";#N/A,#N/A,TRUE,"E.T.E";#N/A,#N/A,TRUE,"balEfluente";#N/A,#N/A,TRUE,"ETE";#N/A,#N/A,TRUE,"Graf_ETE";#N/A,#N/A,TRUE,"Org";#N/A,#N/A,TRUE,"M_ambiente";#N/A,#N/A,TRUE,"Desmi";#N/A,#N/A,TRUE,"SAAC";#N/A,#N/A,TRUE,"Compressor";#N/A,#N/A,TRUE,"Vapor";#N/A,#N/A,TRUE,"Calculo Gcal";#N/A,#N/A,TRUE,"Utilização";#N/A,#N/A,TRUE,"Padrões (2)";#N/A,#N/A,TRUE,"balvapor";#N/A,#N/A,TRUE,"oleo";#N/A,#N/A,TRUE,"ocorrencias";#N/A,#N/A,TRUE,"E.Elétrica";#N/A,#N/A,TRUE,"índices";#N/A,#N/A,TRUE,"balEnergia";#N/A,#N/A,TRUE,"custos";#N/A,#N/A,TRUE,"S.S";#N/A,#N/A,TRUE,"DESCRIC";#N/A,#N/A,TRUE,"horas";#N/A,#N/A,TRUE,"TempoGraf";#N/A,#N/A,TRUE,"R0A"}</definedName>
    <definedName name="retorno1000.600.sa" localSheetId="9" hidden="1">{#N/A,#N/A,TRUE,"Produção";#N/A,#N/A,TRUE,"ETA";#N/A,#N/A,TRUE,"balÁgua";#N/A,#N/A,TRUE,"E.T.E";#N/A,#N/A,TRUE,"balEfluente";#N/A,#N/A,TRUE,"ETE";#N/A,#N/A,TRUE,"Graf_ETE";#N/A,#N/A,TRUE,"Org";#N/A,#N/A,TRUE,"M_ambiente";#N/A,#N/A,TRUE,"Desmi";#N/A,#N/A,TRUE,"SAAC";#N/A,#N/A,TRUE,"Compressor";#N/A,#N/A,TRUE,"Vapor";#N/A,#N/A,TRUE,"Calculo Gcal";#N/A,#N/A,TRUE,"Utilização";#N/A,#N/A,TRUE,"Padrões (2)";#N/A,#N/A,TRUE,"balvapor";#N/A,#N/A,TRUE,"oleo";#N/A,#N/A,TRUE,"ocorrencias";#N/A,#N/A,TRUE,"E.Elétrica";#N/A,#N/A,TRUE,"índices";#N/A,#N/A,TRUE,"balEnergia";#N/A,#N/A,TRUE,"custos";#N/A,#N/A,TRUE,"S.S";#N/A,#N/A,TRUE,"DESCRIC";#N/A,#N/A,TRUE,"horas";#N/A,#N/A,TRUE,"TempoGraf";#N/A,#N/A,TRUE,"R0A"}</definedName>
    <definedName name="retorno1000.600.sa" hidden="1">{#N/A,#N/A,TRUE,"Produção";#N/A,#N/A,TRUE,"ETA";#N/A,#N/A,TRUE,"balÁgua";#N/A,#N/A,TRUE,"E.T.E";#N/A,#N/A,TRUE,"balEfluente";#N/A,#N/A,TRUE,"ETE";#N/A,#N/A,TRUE,"Graf_ETE";#N/A,#N/A,TRUE,"Org";#N/A,#N/A,TRUE,"M_ambiente";#N/A,#N/A,TRUE,"Desmi";#N/A,#N/A,TRUE,"SAAC";#N/A,#N/A,TRUE,"Compressor";#N/A,#N/A,TRUE,"Vapor";#N/A,#N/A,TRUE,"Calculo Gcal";#N/A,#N/A,TRUE,"Utilização";#N/A,#N/A,TRUE,"Padrões (2)";#N/A,#N/A,TRUE,"balvapor";#N/A,#N/A,TRUE,"oleo";#N/A,#N/A,TRUE,"ocorrencias";#N/A,#N/A,TRUE,"E.Elétrica";#N/A,#N/A,TRUE,"índices";#N/A,#N/A,TRUE,"balEnergia";#N/A,#N/A,TRUE,"custos";#N/A,#N/A,TRUE,"S.S";#N/A,#N/A,TRUE,"DESCRIC";#N/A,#N/A,TRUE,"horas";#N/A,#N/A,TRUE,"TempoGraf";#N/A,#N/A,TRUE,"R0A"}</definedName>
    <definedName name="retorno1600.sa" localSheetId="17" hidden="1">{#N/A,#N/A,FALSE,"DESCRIC";#N/A,#N/A,FALSE,"INDICE";#N/A,#N/A,FALSE,"Calculo Gcal"}</definedName>
    <definedName name="retorno1600.sa" localSheetId="9" hidden="1">{#N/A,#N/A,FALSE,"DESCRIC";#N/A,#N/A,FALSE,"INDICE";#N/A,#N/A,FALSE,"Calculo Gcal"}</definedName>
    <definedName name="retorno1600.sa" hidden="1">{#N/A,#N/A,FALSE,"DESCRIC";#N/A,#N/A,FALSE,"INDICE";#N/A,#N/A,FALSE,"Calculo Gcal"}</definedName>
    <definedName name="RevBalSheet" hidden="1">#REF!</definedName>
    <definedName name="Roçada" localSheetId="9" hidden="1">#REF!</definedName>
    <definedName name="Roçada" hidden="1">#REF!</definedName>
    <definedName name="rrr" localSheetId="9" hidden="1">#REF!</definedName>
    <definedName name="rrr" hidden="1">#REF!</definedName>
    <definedName name="rrrrr" localSheetId="9" hidden="1">#REF!</definedName>
    <definedName name="rrrrr" hidden="1">#REF!</definedName>
    <definedName name="Ruy" localSheetId="17" hidden="1">{#N/A,#N/A,FALSE,"Cronograma";#N/A,#N/A,FALSE,"Cronogr. 2"}</definedName>
    <definedName name="Ruy" localSheetId="9" hidden="1">{#N/A,#N/A,FALSE,"Cronograma";#N/A,#N/A,FALSE,"Cronogr. 2"}</definedName>
    <definedName name="Ruy" hidden="1">{#N/A,#N/A,FALSE,"Cronograma";#N/A,#N/A,FALSE,"Cronogr. 2"}</definedName>
    <definedName name="s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sa">{0;0;0;0;9;#N/A;0.75;0.75;1;1;1;FALSE;FALSE;FALSE;FALSE;FALSE;#N/A;1;100;#N/A;#N/A;"&amp;A";"Page &amp;P"}</definedName>
    <definedName name="SAPBEXdnldView" hidden="1">"43BOD2TPF6FZR6R6WFZTNE3Y4"</definedName>
    <definedName name="SAPBEXrevision" hidden="1">1</definedName>
    <definedName name="SAPBEXsysID" hidden="1">"BP0"</definedName>
    <definedName name="SAPBEXwbID" hidden="1">"3MI3ANKTS0VL6QV17YXDA5KN9"</definedName>
    <definedName name="Scenario_Live">Sensitivity!$G$27:$I$27</definedName>
    <definedName name="Scenario_max">Sensitivity!$F$36</definedName>
    <definedName name="Scenario_Selection">Sensitivity!$E$17</definedName>
    <definedName name="seee" localSheetId="17" hidden="1">{#N/A,#N/A,FALSE,"Cronograma";#N/A,#N/A,FALSE,"Cronogr. 2"}</definedName>
    <definedName name="seee" localSheetId="9" hidden="1">{#N/A,#N/A,FALSE,"Cronograma";#N/A,#N/A,FALSE,"Cronogr. 2"}</definedName>
    <definedName name="seee" hidden="1">{#N/A,#N/A,FALSE,"Cronograma";#N/A,#N/A,FALSE,"Cronogr. 2"}</definedName>
    <definedName name="sencount" hidden="1">1</definedName>
    <definedName name="Sens_OPEX_CAPEX">Sensitivity!$F$7:$L$13</definedName>
    <definedName name="Sens_start">Sensitivity!$F$7</definedName>
    <definedName name="SLEVIN" localSheetId="17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LEVIN" localSheetId="9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LEVIN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mall_num">SETUP!$E$18</definedName>
    <definedName name="solver_adj" localSheetId="9" hidden="1">#REF!,#REF!</definedName>
    <definedName name="solver_adj" hidden="1">#REF!,#REF!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1</definedName>
    <definedName name="solver_nwt" hidden="1">1</definedName>
    <definedName name="solver_opt" hidden="1">#REF!</definedName>
    <definedName name="solver_pre" hidden="1">0.000001</definedName>
    <definedName name="solver_rel1" hidden="1">2</definedName>
    <definedName name="solver_rel16" hidden="1">1</definedName>
    <definedName name="solver_rel17" hidden="1">1</definedName>
    <definedName name="solver_rel18" hidden="1">1</definedName>
    <definedName name="solver_rel19" hidden="1">1</definedName>
    <definedName name="solver_rel2" hidden="1">3</definedName>
    <definedName name="solver_rel20" hidden="1">1</definedName>
    <definedName name="solver_rel21" hidden="1">1</definedName>
    <definedName name="solver_rel22" hidden="1">1</definedName>
    <definedName name="solver_rel23" hidden="1">1</definedName>
    <definedName name="solver_rel24" hidden="1">1</definedName>
    <definedName name="solver_rel25" hidden="1">1</definedName>
    <definedName name="solver_rel26" hidden="1">1</definedName>
    <definedName name="solver_rel27" hidden="1">1</definedName>
    <definedName name="solver_rel28" hidden="1">1</definedName>
    <definedName name="solver_rel29" hidden="1">1</definedName>
    <definedName name="solver_rel30" hidden="1">1</definedName>
    <definedName name="solver_rel31" hidden="1">1</definedName>
    <definedName name="solver_rel32" hidden="1">1</definedName>
    <definedName name="solver_rel33" hidden="1">1</definedName>
    <definedName name="solver_rel34" hidden="1">1</definedName>
    <definedName name="solver_rel35" hidden="1">1</definedName>
    <definedName name="solver_rel36" hidden="1">1</definedName>
    <definedName name="solver_rel37" hidden="1">1</definedName>
    <definedName name="solver_rel38" hidden="1">1</definedName>
    <definedName name="solver_rel39" hidden="1">1</definedName>
    <definedName name="solver_rel40" hidden="1">1</definedName>
    <definedName name="solver_rel41" hidden="1">1</definedName>
    <definedName name="solver_rel42" hidden="1">1</definedName>
    <definedName name="solver_rel43" hidden="1">1</definedName>
    <definedName name="solver_rel44" hidden="1">1</definedName>
    <definedName name="solver_rel45" hidden="1">1</definedName>
    <definedName name="solver_rel46" hidden="1">1</definedName>
    <definedName name="solver_rel47" hidden="1">1</definedName>
    <definedName name="solver_rel48" hidden="1">1</definedName>
    <definedName name="solver_rel49" hidden="1">1</definedName>
    <definedName name="solver_rel50" hidden="1">1</definedName>
    <definedName name="solver_rel51" hidden="1">1</definedName>
    <definedName name="solver_rel52" hidden="1">1</definedName>
    <definedName name="solver_rel53" hidden="1">1</definedName>
    <definedName name="solver_rel54" hidden="1">1</definedName>
    <definedName name="solver_rel55" hidden="1">1</definedName>
    <definedName name="solver_rel56" hidden="1">1</definedName>
    <definedName name="solver_rel57" hidden="1">1</definedName>
    <definedName name="solver_rel58" hidden="1">1</definedName>
    <definedName name="solver_rel9" hidden="1">1</definedName>
    <definedName name="solver_rhs2" hidden="1">0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3</definedName>
    <definedName name="solver_val" hidden="1">106.196</definedName>
    <definedName name="SPWS_WBID">"9E2A1F11-A62F-11D2-9122-444553540000"</definedName>
    <definedName name="ss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1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sssssss" hidden="1">#REF!</definedName>
    <definedName name="SUMMARY" localSheetId="9" hidden="1">#REF!</definedName>
    <definedName name="SUMMARY" hidden="1">#REF!</definedName>
    <definedName name="Tarifa" localSheetId="17">#REF!</definedName>
    <definedName name="Tarifa">Inputs!#REF!</definedName>
    <definedName name="temp" localSheetId="1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temp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temp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TextRefCopyRangeCount" hidden="1">15</definedName>
    <definedName name="Thousand">SETUP!$E$17</definedName>
    <definedName name="Ticker">""</definedName>
    <definedName name="TIR_meta" localSheetId="17">#REF!</definedName>
    <definedName name="TIR_meta">Sensitivity!$E$18</definedName>
    <definedName name="Toto" localSheetId="17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Toto" localSheetId="9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Toto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UJI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1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1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1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JI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nivass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nivass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nivass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USMTeste2" localSheetId="17" hidden="1">{"'RATEIO RECEITA BRUTA'!$B$77:$C$106"}</definedName>
    <definedName name="USMTeste2" localSheetId="9" hidden="1">{"'RATEIO RECEITA BRUTA'!$B$77:$C$106"}</definedName>
    <definedName name="USMTeste2" hidden="1">{"'RATEIO RECEITA BRUTA'!$B$77:$C$106"}</definedName>
    <definedName name="USMTeste3" localSheetId="17" hidden="1">{"'RATEIO RECEITA BRUTA'!$B$77:$C$106"}</definedName>
    <definedName name="USMTeste3" localSheetId="9" hidden="1">{"'RATEIO RECEITA BRUTA'!$B$77:$C$106"}</definedName>
    <definedName name="USMTeste3" hidden="1">{"'RATEIO RECEITA BRUTA'!$B$77:$C$106"}</definedName>
    <definedName name="wq">{0;0;0;0;1;#N/A;0.5;0.5;0.75;0.75;2;TRUE;TRUE;FALSE;FALSE;FALSE;#N/A;1;#N/A;1;1;"&amp;L&amp;7 RAMIBD05\GROUPS\EMG\DESOUSA\BRAZIL\MACHADIB\MODEL\MODEL_12.XLS -- &amp;D, &amp;T -- Page &amp;P of &amp;N
&amp;7";"&amp;L&amp;F&amp;A&amp;RPage&amp;P"}</definedName>
    <definedName name="wrn.Acquisition_matrix." localSheetId="17" hidden="1">{"Acq_matrix",#N/A,FALSE,"Acquisition Matrix"}</definedName>
    <definedName name="wrn.Acquisition_matrix." localSheetId="9" hidden="1">{"Acq_matrix",#N/A,FALSE,"Acquisition Matrix"}</definedName>
    <definedName name="wrn.Acquisition_matrix." hidden="1">{"Acq_matrix",#N/A,FALSE,"Acquisition Matrix"}</definedName>
    <definedName name="wrn.ALAN." localSheetId="17" hidden="1">{"CREDIT STATISTICS",#N/A,FALSE,"STATS";"CF_AND_IS",#N/A,FALSE,"PLAN";"DEBT SCHEDULE",#N/A,FALSE,"PLAN";"SUBSCRIBERS",#N/A,FALSE,"PLAN";"DETAIL_REV",#N/A,FALSE,"PLAN";"DETAIL_EXPENSE",#N/A,FALSE,"PLAN";"SALES_AND EXP_DRIVERS",#N/A,FALSE,"PLAN";"FIXED ASSETS",#N/A,FALSE,"PLAN";"DEPRECIATION SCHEDULE",#N/A,FALSE,"PLAN"}</definedName>
    <definedName name="wrn.ALAN." localSheetId="9" hidden="1">{"CREDIT STATISTICS",#N/A,FALSE,"STATS";"CF_AND_IS",#N/A,FALSE,"PLAN";"DEBT SCHEDULE",#N/A,FALSE,"PLAN";"SUBSCRIBERS",#N/A,FALSE,"PLAN";"DETAIL_REV",#N/A,FALSE,"PLAN";"DETAIL_EXPENSE",#N/A,FALSE,"PLAN";"SALES_AND EXP_DRIVERS",#N/A,FALSE,"PLAN";"FIXED ASSETS",#N/A,FALSE,"PLAN";"DEPRECIATION SCHEDULE",#N/A,FALSE,"PLAN"}</definedName>
    <definedName name="wrn.ALAN." hidden="1">{"CREDIT STATISTICS",#N/A,FALSE,"STATS";"CF_AND_IS",#N/A,FALSE,"PLAN";"DEBT SCHEDULE",#N/A,FALSE,"PLAN";"SUBSCRIBERS",#N/A,FALSE,"PLAN";"DETAIL_REV",#N/A,FALSE,"PLAN";"DETAIL_EXPENSE",#N/A,FALSE,"PLAN";"SALES_AND EXP_DRIVERS",#N/A,FALSE,"PLAN";"FIXED ASSETS",#N/A,FALSE,"PLAN";"DEPRECIATION SCHEDULE",#N/A,FALSE,"PLAN"}</definedName>
    <definedName name="wrn.all." localSheetId="17" hidden="1">{#N/A,#N/A,FALSE,"cpt"}</definedName>
    <definedName name="wrn.all." localSheetId="9" hidden="1">{#N/A,#N/A,FALSE,"cpt"}</definedName>
    <definedName name="wrn.all." hidden="1">{#N/A,#N/A,FALSE,"cpt"}</definedName>
    <definedName name="wrn.AQUIROR._.DCF." localSheetId="17" hidden="1">{"AQUIRORDCF",#N/A,FALSE,"Merger consequences";"Acquirorassns",#N/A,FALSE,"Merger consequences"}</definedName>
    <definedName name="wrn.AQUIROR._.DCF." localSheetId="9" hidden="1">{"AQUIRORDCF",#N/A,FALSE,"Merger consequences";"Acquirorassns",#N/A,FALSE,"Merger consequences"}</definedName>
    <definedName name="wrn.AQUIROR._.DCF." hidden="1">{"AQUIRORDCF",#N/A,FALSE,"Merger consequences";"Acquirorassns",#N/A,FALSE,"Merger consequences"}</definedName>
    <definedName name="wrn.Buildups." localSheetId="17" hidden="1">{"ACQ",#N/A,FALSE,"ACQUISITIONS";"ACQF",#N/A,FALSE,"ACQUISITIONS";"PF",#N/A,FALSE,"PROYECTOVILA";"PV",#N/A,FALSE,"PROYECTOVILA";"Fee Dev",#N/A,FALSE,"DEVELOPMENT GROWTH";"gd",#N/A,FALSE,"DEVELOPMENT GROWTH"}</definedName>
    <definedName name="wrn.Buildups." localSheetId="9" hidden="1">{"ACQ",#N/A,FALSE,"ACQUISITIONS";"ACQF",#N/A,FALSE,"ACQUISITIONS";"PF",#N/A,FALSE,"PROYECTOVILA";"PV",#N/A,FALSE,"PROYECTOVILA";"Fee Dev",#N/A,FALSE,"DEVELOPMENT GROWTH";"gd",#N/A,FALSE,"DEVELOPMENT GROWTH"}</definedName>
    <definedName name="wrn.Buildups." hidden="1">{"ACQ",#N/A,FALSE,"ACQUISITIONS";"ACQF",#N/A,FALSE,"ACQUISITIONS";"PF",#N/A,FALSE,"PROYECTOVILA";"PV",#N/A,FALSE,"PROYECTOVILA";"Fee Dev",#N/A,FALSE,"DEVELOPMENT GROWTH";"gd",#N/A,FALSE,"DEVELOPMENT GROWTH"}</definedName>
    <definedName name="wrn.Caixa._.de._.Ferramentas." localSheetId="17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" localSheetId="9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_.Individuais." localSheetId="17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" localSheetId="9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OMPCO." localSheetId="17" hidden="1">{"Page1",#N/A,FALSE,"CompCo";"Page2",#N/A,FALSE,"CompCo"}</definedName>
    <definedName name="wrn.COMPCO." localSheetId="9" hidden="1">{"Page1",#N/A,FALSE,"CompCo";"Page2",#N/A,FALSE,"CompCo"}</definedName>
    <definedName name="wrn.COMPCO." hidden="1">{"Page1",#N/A,FALSE,"CompCo";"Page2",#N/A,FALSE,"CompCo"}</definedName>
    <definedName name="wrn.continua." localSheetId="17" hidden="1">{#N/A,#N/A,FALSE,"Org";#N/A,#N/A,FALSE,"Graf_org";#N/A,#N/A,FALSE,"Desmi";#N/A,#N/A,FALSE,"SAAC";#N/A,#N/A,FALSE,"Vapor";#N/A,#N/A,FALSE,"Calculo Gcal";#N/A,#N/A,FALSE,"Utilização";#N/A,#N/A,FALSE,"Padrões";#N/A,#N/A,FALSE,"balvapor";#N/A,#N/A,FALSE,"oleo";#N/A,#N/A,FALSE,"ocorrencias";#N/A,#N/A,FALSE,"E.Elétrica";#N/A,#N/A,FALSE,"índices";#N/A,#N/A,FALSE,"balEnergia";#N/A,#N/A,FALSE,"DESCRIC";#N/A,#N/A,FALSE,"horas";#N/A,#N/A,FALSE,"TempoGraf";#N/A,#N/A,FALSE,"R0A"}</definedName>
    <definedName name="wrn.continua." localSheetId="9" hidden="1">{#N/A,#N/A,FALSE,"Org";#N/A,#N/A,FALSE,"Graf_org";#N/A,#N/A,FALSE,"Desmi";#N/A,#N/A,FALSE,"SAAC";#N/A,#N/A,FALSE,"Vapor";#N/A,#N/A,FALSE,"Calculo Gcal";#N/A,#N/A,FALSE,"Utilização";#N/A,#N/A,FALSE,"Padrões";#N/A,#N/A,FALSE,"balvapor";#N/A,#N/A,FALSE,"oleo";#N/A,#N/A,FALSE,"ocorrencias";#N/A,#N/A,FALSE,"E.Elétrica";#N/A,#N/A,FALSE,"índices";#N/A,#N/A,FALSE,"balEnergia";#N/A,#N/A,FALSE,"DESCRIC";#N/A,#N/A,FALSE,"horas";#N/A,#N/A,FALSE,"TempoGraf";#N/A,#N/A,FALSE,"R0A"}</definedName>
    <definedName name="wrn.continua." hidden="1">{#N/A,#N/A,FALSE,"Org";#N/A,#N/A,FALSE,"Graf_org";#N/A,#N/A,FALSE,"Desmi";#N/A,#N/A,FALSE,"SAAC";#N/A,#N/A,FALSE,"Vapor";#N/A,#N/A,FALSE,"Calculo Gcal";#N/A,#N/A,FALSE,"Utilização";#N/A,#N/A,FALSE,"Padrões";#N/A,#N/A,FALSE,"balvapor";#N/A,#N/A,FALSE,"oleo";#N/A,#N/A,FALSE,"ocorrencias";#N/A,#N/A,FALSE,"E.Elétrica";#N/A,#N/A,FALSE,"índices";#N/A,#N/A,FALSE,"balEnergia";#N/A,#N/A,FALSE,"DESCRIC";#N/A,#N/A,FALSE,"horas";#N/A,#N/A,FALSE,"TempoGraf";#N/A,#N/A,FALSE,"R0A"}</definedName>
    <definedName name="wrn.Cronograma." localSheetId="17" hidden="1">{#N/A,#N/A,FALSE,"Cronograma";#N/A,#N/A,FALSE,"Cronogr. 2"}</definedName>
    <definedName name="wrn.Cronograma." localSheetId="9" hidden="1">{#N/A,#N/A,FALSE,"Cronograma";#N/A,#N/A,FALSE,"Cronogr. 2"}</definedName>
    <definedName name="wrn.Cronograma." hidden="1">{#N/A,#N/A,FALSE,"Cronograma";#N/A,#N/A,FALSE,"Cronogr. 2"}</definedName>
    <definedName name="wrn.DCF_Terminal_Value_qchm." localSheetId="17" hidden="1">{"qchm_dcf",#N/A,FALSE,"QCHMDCF2";"qchm_terminal",#N/A,FALSE,"QCHMDCF2"}</definedName>
    <definedName name="wrn.DCF_Terminal_Value_qchm." localSheetId="9" hidden="1">{"qchm_dcf",#N/A,FALSE,"QCHMDCF2";"qchm_terminal",#N/A,FALSE,"QCHMDCF2"}</definedName>
    <definedName name="wrn.DCF_Terminal_Value_qchm." hidden="1">{"qchm_dcf",#N/A,FALSE,"QCHMDCF2";"qchm_terminal",#N/A,FALSE,"QCHMDCF2"}</definedName>
    <definedName name="wrn.DEHAN._.MONEY." localSheetId="17" hidden="1">{"BG",#N/A,FALSE,"SABANAS";"ERACUM",#N/A,FALSE,"SABANAS";"ERMES",#N/A,FALSE,"SABANAS";"BG",#N/A,FALSE,"RESUMEN";"ERACU",#N/A,FALSE,"RESUMEN";"ERMES",#N/A,FALSE,"RESUMEN"}</definedName>
    <definedName name="wrn.DEHAN._.MONEY." localSheetId="9" hidden="1">{"BG",#N/A,FALSE,"SABANAS";"ERACUM",#N/A,FALSE,"SABANAS";"ERMES",#N/A,FALSE,"SABANAS";"BG",#N/A,FALSE,"RESUMEN";"ERACU",#N/A,FALSE,"RESUMEN";"ERMES",#N/A,FALSE,"RESUMEN"}</definedName>
    <definedName name="wrn.DEHAN._.MONEY." hidden="1">{"BG",#N/A,FALSE,"SABANAS";"ERACUM",#N/A,FALSE,"SABANAS";"ERMES",#N/A,FALSE,"SABANAS";"BG",#N/A,FALSE,"RESUMEN";"ERACU",#N/A,FALSE,"RESUMEN";"ERMES",#N/A,FALSE,"RESUMEN"}</definedName>
    <definedName name="wrn.Entire._.Model." localSheetId="17" hidden="1">{#N/A,#N/A,FALSE,"TOC";#N/A,#N/A,FALSE,"ASS";#N/A,#N/A,FALSE,"CF";#N/A,#N/A,FALSE,"Tariff";#N/A,#N/A,FALSE,"Price";#N/A,#N/A,FALSE,"RESERVE";#N/A,#N/A,FALSE,"FUEL&amp;MTC";#N/A,#N/A,FALSE,"DRAW";#N/A,#N/A,FALSE,"IDC";#N/A,#N/A,FALSE,"FIN";#N/A,#N/A,FALSE,"TAXES";#N/A,#N/A,FALSE,"DEPR";#N/A,#N/A,FALSE,"BS";#N/A,#N/A,FALSE,"Perf";#N/A,#N/A,FALSE,"ELOANS";#N/A,#N/A,FALSE,"RETURNS";#N/A,#N/A,FALSE,"ENE";#N/A,#N/A,FALSE,"EINC";#N/A,#N/A,FALSE,"DSCR"}</definedName>
    <definedName name="wrn.Entire._.Model." localSheetId="9" hidden="1">{#N/A,#N/A,FALSE,"TOC";#N/A,#N/A,FALSE,"ASS";#N/A,#N/A,FALSE,"CF";#N/A,#N/A,FALSE,"Tariff";#N/A,#N/A,FALSE,"Price";#N/A,#N/A,FALSE,"RESERVE";#N/A,#N/A,FALSE,"FUEL&amp;MTC";#N/A,#N/A,FALSE,"DRAW";#N/A,#N/A,FALSE,"IDC";#N/A,#N/A,FALSE,"FIN";#N/A,#N/A,FALSE,"TAXES";#N/A,#N/A,FALSE,"DEPR";#N/A,#N/A,FALSE,"BS";#N/A,#N/A,FALSE,"Perf";#N/A,#N/A,FALSE,"ELOANS";#N/A,#N/A,FALSE,"RETURNS";#N/A,#N/A,FALSE,"ENE";#N/A,#N/A,FALSE,"EINC";#N/A,#N/A,FALSE,"DSCR"}</definedName>
    <definedName name="wrn.Entire._.Model." hidden="1">{#N/A,#N/A,FALSE,"TOC";#N/A,#N/A,FALSE,"ASS";#N/A,#N/A,FALSE,"CF";#N/A,#N/A,FALSE,"Tariff";#N/A,#N/A,FALSE,"Price";#N/A,#N/A,FALSE,"RESERVE";#N/A,#N/A,FALSE,"FUEL&amp;MTC";#N/A,#N/A,FALSE,"DRAW";#N/A,#N/A,FALSE,"IDC";#N/A,#N/A,FALSE,"FIN";#N/A,#N/A,FALSE,"TAXES";#N/A,#N/A,FALSE,"DEPR";#N/A,#N/A,FALSE,"BS";#N/A,#N/A,FALSE,"Perf";#N/A,#N/A,FALSE,"ELOANS";#N/A,#N/A,FALSE,"RETURNS";#N/A,#N/A,FALSE,"ENE";#N/A,#N/A,FALSE,"EINC";#N/A,#N/A,FALSE,"DSCR"}</definedName>
    <definedName name="wrn.Especial." localSheetId="17" hidden="1">{"BalanceAnual",#N/A,FALSE,"Balance Anual";"ER_Mensual",#N/A,FALSE,"Edo Res. Mens";"ER_Anual",#N/A,FALSE,"Edo Res. Anual";"Flujo_Mensual",#N/A,FALSE,"Flujo Mens";"Flujo_Anual",#N/A,FALSE,"Flujo Anual";"CtoVtas",#N/A,FALSE,"Otros Datos";"GtsAdmonyVtas",#N/A,FALSE,"Otros Datos";"GtsDistr",#N/A,FALSE,"Otros Datos";"VentasyCostos",#N/A,FALSE,"Otros Datos";"Indices",#N/A,FALSE,"Otros Datos"}</definedName>
    <definedName name="wrn.Especial." localSheetId="9" hidden="1">{"BalanceAnual",#N/A,FALSE,"Balance Anual";"ER_Mensual",#N/A,FALSE,"Edo Res. Mens";"ER_Anual",#N/A,FALSE,"Edo Res. Anual";"Flujo_Mensual",#N/A,FALSE,"Flujo Mens";"Flujo_Anual",#N/A,FALSE,"Flujo Anual";"CtoVtas",#N/A,FALSE,"Otros Datos";"GtsAdmonyVtas",#N/A,FALSE,"Otros Datos";"GtsDistr",#N/A,FALSE,"Otros Datos";"VentasyCostos",#N/A,FALSE,"Otros Datos";"Indices",#N/A,FALSE,"Otros Datos"}</definedName>
    <definedName name="wrn.Especial." hidden="1">{"BalanceAnual",#N/A,FALSE,"Balance Anual";"ER_Mensual",#N/A,FALSE,"Edo Res. Mens";"ER_Anual",#N/A,FALSE,"Edo Res. Anual";"Flujo_Mensual",#N/A,FALSE,"Flujo Mens";"Flujo_Anual",#N/A,FALSE,"Flujo Anual";"CtoVtas",#N/A,FALSE,"Otros Datos";"GtsAdmonyVtas",#N/A,FALSE,"Otros Datos";"GtsDistr",#N/A,FALSE,"Otros Datos";"VentasyCostos",#N/A,FALSE,"Otros Datos";"Indices",#N/A,FALSE,"Otros Datos"}</definedName>
    <definedName name="wrn.Estimation._.TP." localSheetId="17" hidden="1">{#N/A,#N/A,TRUE,"Recap";#N/A,#N/A,TRUE,"Comp taux";#N/A,#N/A,TRUE,"Deplaf";#N/A,#N/A,TRUE,"Siége";#N/A,#N/A,TRUE,"Saint Ouen";#N/A,#N/A,TRUE,"Ivry";#N/A,#N/A,TRUE,"Issy";#N/A,#N/A,TRUE,"VA"}</definedName>
    <definedName name="wrn.Estimation._.TP." localSheetId="9" hidden="1">{#N/A,#N/A,TRUE,"Recap";#N/A,#N/A,TRUE,"Comp taux";#N/A,#N/A,TRUE,"Deplaf";#N/A,#N/A,TRUE,"Siége";#N/A,#N/A,TRUE,"Saint Ouen";#N/A,#N/A,TRUE,"Ivry";#N/A,#N/A,TRUE,"Issy";#N/A,#N/A,TRUE,"VA"}</definedName>
    <definedName name="wrn.Estimation._.TP." hidden="1">{#N/A,#N/A,TRUE,"Recap";#N/A,#N/A,TRUE,"Comp taux";#N/A,#N/A,TRUE,"Deplaf";#N/A,#N/A,TRUE,"Siége";#N/A,#N/A,TRUE,"Saint Ouen";#N/A,#N/A,TRUE,"Ivry";#N/A,#N/A,TRUE,"Issy";#N/A,#N/A,TRUE,"VA"}</definedName>
    <definedName name="wrn.Financials_long." localSheetId="17" hidden="1">{"IS",#N/A,FALSE,"Financials2 (Expanded)";"bsa",#N/A,FALSE,"Financials2 (Expanded)";"BS",#N/A,FALSE,"Financials2 (Expanded)";"CF",#N/A,FALSE,"Financials2 (Expanded)"}</definedName>
    <definedName name="wrn.Financials_long." localSheetId="9" hidden="1">{"IS",#N/A,FALSE,"Financials2 (Expanded)";"bsa",#N/A,FALSE,"Financials2 (Expanded)";"BS",#N/A,FALSE,"Financials2 (Expanded)";"CF",#N/A,FALSE,"Financials2 (Expanded)"}</definedName>
    <definedName name="wrn.Financials_long." hidden="1">{"IS",#N/A,FALSE,"Financials2 (Expanded)";"bsa",#N/A,FALSE,"Financials2 (Expanded)";"BS",#N/A,FALSE,"Financials2 (Expanded)";"CF",#N/A,FALSE,"Financials2 (Expanded)"}</definedName>
    <definedName name="wrn.Full._.Monty." localSheetId="17" hidden="1">{"ROIC",#N/A,FALSE,"ROIC";"Graphs",#N/A,FALSE,"TY analysis";"fcf",#N/A,FALSE,"FCF";"Matrix_2004",#N/A,FALSE,"MATRIX(2004)";"matrix_2008",#N/A,FALSE,"MATRIX(2008)";"FS_Condensed",#N/A,FALSE,"Financial Statements2";"TAXES",#N/A,FALSE,"Taxes";"DEBT_INVEST",#N/A,FALSE,"Debt&amp;Investment Schedule";"Main_menu",#N/A,FALSE,"Main Menu"}</definedName>
    <definedName name="wrn.Full._.Monty." localSheetId="9" hidden="1">{"ROIC",#N/A,FALSE,"ROIC";"Graphs",#N/A,FALSE,"TY analysis";"fcf",#N/A,FALSE,"FCF";"Matrix_2004",#N/A,FALSE,"MATRIX(2004)";"matrix_2008",#N/A,FALSE,"MATRIX(2008)";"FS_Condensed",#N/A,FALSE,"Financial Statements2";"TAXES",#N/A,FALSE,"Taxes";"DEBT_INVEST",#N/A,FALSE,"Debt&amp;Investment Schedule";"Main_menu",#N/A,FALSE,"Main Menu"}</definedName>
    <definedName name="wrn.Full._.Monty." hidden="1">{"ROIC",#N/A,FALSE,"ROIC";"Graphs",#N/A,FALSE,"TY analysis";"fcf",#N/A,FALSE,"FCF";"Matrix_2004",#N/A,FALSE,"MATRIX(2004)";"matrix_2008",#N/A,FALSE,"MATRIX(2008)";"FS_Condensed",#N/A,FALSE,"Financial Statements2";"TAXES",#N/A,FALSE,"Taxes";"DEBT_INVEST",#N/A,FALSE,"Debt&amp;Investment Schedule";"Main_menu",#N/A,FALSE,"Main Menu"}</definedName>
    <definedName name="wrn.full._.report." localSheetId="17" hidden="1">{"summary",#N/A,FALSE,"Summary";"transaction",#N/A,FALSE,"Transaction";"sales",#N/A,FALSE,"Sales";"sales existing",#N/A,FALSE,"Sales";"sales rd1",#N/A,FALSE,"Sales";"sales rd2",#N/A,FALSE,"Sales";"costs",#N/A,FALSE,"Costs";"income statement",#N/A,FALSE,"Financials";"cash flow statement",#N/A,FALSE,"Financials";"balance sheet",#N/A,FALSE,"Financials";"consolidated capitalization",#N/A,FALSE,"Financials";"op co. capitalization",#N/A,FALSE,"Financials";"ebitda",#N/A,FALSE,"EBITDA";"profit imp opps",#N/A,FALSE,"EBITDA";"returns",#N/A,FALSE,"Equity &amp; Sub Valuation"}</definedName>
    <definedName name="wrn.full._.report." localSheetId="9" hidden="1">{"summary",#N/A,FALSE,"Summary";"transaction",#N/A,FALSE,"Transaction";"sales",#N/A,FALSE,"Sales";"sales existing",#N/A,FALSE,"Sales";"sales rd1",#N/A,FALSE,"Sales";"sales rd2",#N/A,FALSE,"Sales";"costs",#N/A,FALSE,"Costs";"income statement",#N/A,FALSE,"Financials";"cash flow statement",#N/A,FALSE,"Financials";"balance sheet",#N/A,FALSE,"Financials";"consolidated capitalization",#N/A,FALSE,"Financials";"op co. capitalization",#N/A,FALSE,"Financials";"ebitda",#N/A,FALSE,"EBITDA";"profit imp opps",#N/A,FALSE,"EBITDA";"returns",#N/A,FALSE,"Equity &amp; Sub Valuation"}</definedName>
    <definedName name="wrn.full._.report." hidden="1">{"summary",#N/A,FALSE,"Summary";"transaction",#N/A,FALSE,"Transaction";"sales",#N/A,FALSE,"Sales";"sales existing",#N/A,FALSE,"Sales";"sales rd1",#N/A,FALSE,"Sales";"sales rd2",#N/A,FALSE,"Sales";"costs",#N/A,FALSE,"Costs";"income statement",#N/A,FALSE,"Financials";"cash flow statement",#N/A,FALSE,"Financials";"balance sheet",#N/A,FALSE,"Financials";"consolidated capitalization",#N/A,FALSE,"Financials";"op co. capitalization",#N/A,FALSE,"Financials";"ebitda",#N/A,FALSE,"EBITDA";"profit imp opps",#N/A,FALSE,"EBITDA";"returns",#N/A,FALSE,"Equity &amp; Sub Valuation"}</definedName>
    <definedName name="wrn.impresión.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1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1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são._.Color." localSheetId="17" hidden="1">{#N/A,#N/A,FALSE,"Custos Variáveis";#N/A,#N/A,FALSE,"TempoGraf";#N/A,#N/A,FALSE,"Custo Fixo";#N/A,#N/A,FALSE,"índices";#N/A,#N/A,FALSE,"balEnergia";#N/A,#N/A,FALSE,"E.Elétrica";#N/A,#N/A,FALSE,"ENERGIA";#N/A,#N/A,FALSE,"balvapor";#N/A,#N/A,FALSE,"Energéticos";#N/A,#N/A,FALSE,"Vapor";#N/A,#N/A,FALSE,"VAPORNOVA";#N/A,#N/A,FALSE,"AR COMP.";#N/A,#N/A,FALSE,"AguaAlimentação";#N/A,#N/A,FALSE,"AguaDesmi";#N/A,#N/A,FALSE,"Org";#N/A,#N/A,FALSE,"ETE";#N/A,#N/A,FALSE,"balEfluente";#N/A,#N/A,FALSE,"Tratamento de Efluentes";#N/A,#N/A,FALSE,"balÁgua";#N/A,#N/A,FALSE,"Tratamento Agua";#N/A,#N/A,FALSE,"Produção"}</definedName>
    <definedName name="wrn.Impressão._.Color." localSheetId="9" hidden="1">{#N/A,#N/A,FALSE,"Custos Variáveis";#N/A,#N/A,FALSE,"TempoGraf";#N/A,#N/A,FALSE,"Custo Fixo";#N/A,#N/A,FALSE,"índices";#N/A,#N/A,FALSE,"balEnergia";#N/A,#N/A,FALSE,"E.Elétrica";#N/A,#N/A,FALSE,"ENERGIA";#N/A,#N/A,FALSE,"balvapor";#N/A,#N/A,FALSE,"Energéticos";#N/A,#N/A,FALSE,"Vapor";#N/A,#N/A,FALSE,"VAPORNOVA";#N/A,#N/A,FALSE,"AR COMP.";#N/A,#N/A,FALSE,"AguaAlimentação";#N/A,#N/A,FALSE,"AguaDesmi";#N/A,#N/A,FALSE,"Org";#N/A,#N/A,FALSE,"ETE";#N/A,#N/A,FALSE,"balEfluente";#N/A,#N/A,FALSE,"Tratamento de Efluentes";#N/A,#N/A,FALSE,"balÁgua";#N/A,#N/A,FALSE,"Tratamento Agua";#N/A,#N/A,FALSE,"Produção"}</definedName>
    <definedName name="wrn.Impressão._.Color." hidden="1">{#N/A,#N/A,FALSE,"Custos Variáveis";#N/A,#N/A,FALSE,"TempoGraf";#N/A,#N/A,FALSE,"Custo Fixo";#N/A,#N/A,FALSE,"índices";#N/A,#N/A,FALSE,"balEnergia";#N/A,#N/A,FALSE,"E.Elétrica";#N/A,#N/A,FALSE,"ENERGIA";#N/A,#N/A,FALSE,"balvapor";#N/A,#N/A,FALSE,"Energéticos";#N/A,#N/A,FALSE,"Vapor";#N/A,#N/A,FALSE,"VAPORNOVA";#N/A,#N/A,FALSE,"AR COMP.";#N/A,#N/A,FALSE,"AguaAlimentação";#N/A,#N/A,FALSE,"AguaDesmi";#N/A,#N/A,FALSE,"Org";#N/A,#N/A,FALSE,"ETE";#N/A,#N/A,FALSE,"balEfluente";#N/A,#N/A,FALSE,"Tratamento de Efluentes";#N/A,#N/A,FALSE,"balÁgua";#N/A,#N/A,FALSE,"Tratamento Agua";#N/A,#N/A,FALSE,"Produção"}</definedName>
    <definedName name="wrn.Impressão._.Fluxo._.JUN._.e._.JUL." localSheetId="17" hidden="1">{#N/A,#N/A,FALSE,"JUN";#N/A,#N/A,FALSE,"JUL"}</definedName>
    <definedName name="wrn.Impressão._.Fluxo._.JUN._.e._.JUL." localSheetId="9" hidden="1">{#N/A,#N/A,FALSE,"JUN";#N/A,#N/A,FALSE,"JUL"}</definedName>
    <definedName name="wrn.Impressão._.Fluxo._.JUN._.e._.JUL." hidden="1">{#N/A,#N/A,FALSE,"JUN";#N/A,#N/A,FALSE,"JUL"}</definedName>
    <definedName name="wrn.Impressão._.Preto." localSheetId="17" hidden="1">{#N/A,#N/A,FALSE,"DESCRIC";#N/A,#N/A,FALSE,"INDICE";#N/A,#N/A,FALSE,"Calculo Gcal"}</definedName>
    <definedName name="wrn.Impressão._.Preto." localSheetId="9" hidden="1">{#N/A,#N/A,FALSE,"DESCRIC";#N/A,#N/A,FALSE,"INDICE";#N/A,#N/A,FALSE,"Calculo Gcal"}</definedName>
    <definedName name="wrn.Impressão._.Preto." hidden="1">{#N/A,#N/A,FALSE,"DESCRIC";#N/A,#N/A,FALSE,"INDICE";#N/A,#N/A,FALSE,"Calculo Gcal"}</definedName>
    <definedName name="wrn.imprime." localSheetId="17" hidden="1">{#N/A,#N/A,TRUE,"Produção";#N/A,#N/A,TRUE,"ETA";#N/A,#N/A,TRUE,"balÁgua";#N/A,#N/A,TRUE,"E.T.E";#N/A,#N/A,TRUE,"balEfluente";#N/A,#N/A,TRUE,"ETE";#N/A,#N/A,TRUE,"Graf_ETE";#N/A,#N/A,TRUE,"Org";#N/A,#N/A,TRUE,"M_ambiente";#N/A,#N/A,TRUE,"Desmi";#N/A,#N/A,TRUE,"SAAC";#N/A,#N/A,TRUE,"Compressor";#N/A,#N/A,TRUE,"Vapor";#N/A,#N/A,TRUE,"Calculo Gcal";#N/A,#N/A,TRUE,"Utilização";#N/A,#N/A,TRUE,"Padrões (2)";#N/A,#N/A,TRUE,"balvapor";#N/A,#N/A,TRUE,"oleo";#N/A,#N/A,TRUE,"ocorrencias";#N/A,#N/A,TRUE,"E.Elétrica";#N/A,#N/A,TRUE,"índices";#N/A,#N/A,TRUE,"balEnergia";#N/A,#N/A,TRUE,"custos";#N/A,#N/A,TRUE,"S.S";#N/A,#N/A,TRUE,"DESCRIC";#N/A,#N/A,TRUE,"horas";#N/A,#N/A,TRUE,"TempoGraf";#N/A,#N/A,TRUE,"R0A"}</definedName>
    <definedName name="wrn.imprime." localSheetId="9" hidden="1">{#N/A,#N/A,TRUE,"Produção";#N/A,#N/A,TRUE,"ETA";#N/A,#N/A,TRUE,"balÁgua";#N/A,#N/A,TRUE,"E.T.E";#N/A,#N/A,TRUE,"balEfluente";#N/A,#N/A,TRUE,"ETE";#N/A,#N/A,TRUE,"Graf_ETE";#N/A,#N/A,TRUE,"Org";#N/A,#N/A,TRUE,"M_ambiente";#N/A,#N/A,TRUE,"Desmi";#N/A,#N/A,TRUE,"SAAC";#N/A,#N/A,TRUE,"Compressor";#N/A,#N/A,TRUE,"Vapor";#N/A,#N/A,TRUE,"Calculo Gcal";#N/A,#N/A,TRUE,"Utilização";#N/A,#N/A,TRUE,"Padrões (2)";#N/A,#N/A,TRUE,"balvapor";#N/A,#N/A,TRUE,"oleo";#N/A,#N/A,TRUE,"ocorrencias";#N/A,#N/A,TRUE,"E.Elétrica";#N/A,#N/A,TRUE,"índices";#N/A,#N/A,TRUE,"balEnergia";#N/A,#N/A,TRUE,"custos";#N/A,#N/A,TRUE,"S.S";#N/A,#N/A,TRUE,"DESCRIC";#N/A,#N/A,TRUE,"horas";#N/A,#N/A,TRUE,"TempoGraf";#N/A,#N/A,TRUE,"R0A"}</definedName>
    <definedName name="wrn.imprime." hidden="1">{#N/A,#N/A,TRUE,"Produção";#N/A,#N/A,TRUE,"ETA";#N/A,#N/A,TRUE,"balÁgua";#N/A,#N/A,TRUE,"E.T.E";#N/A,#N/A,TRUE,"balEfluente";#N/A,#N/A,TRUE,"ETE";#N/A,#N/A,TRUE,"Graf_ETE";#N/A,#N/A,TRUE,"Org";#N/A,#N/A,TRUE,"M_ambiente";#N/A,#N/A,TRUE,"Desmi";#N/A,#N/A,TRUE,"SAAC";#N/A,#N/A,TRUE,"Compressor";#N/A,#N/A,TRUE,"Vapor";#N/A,#N/A,TRUE,"Calculo Gcal";#N/A,#N/A,TRUE,"Utilização";#N/A,#N/A,TRUE,"Padrões (2)";#N/A,#N/A,TRUE,"balvapor";#N/A,#N/A,TRUE,"oleo";#N/A,#N/A,TRUE,"ocorrencias";#N/A,#N/A,TRUE,"E.Elétrica";#N/A,#N/A,TRUE,"índices";#N/A,#N/A,TRUE,"balEnergia";#N/A,#N/A,TRUE,"custos";#N/A,#N/A,TRUE,"S.S";#N/A,#N/A,TRUE,"DESCRIC";#N/A,#N/A,TRUE,"horas";#N/A,#N/A,TRUE,"TempoGraf";#N/A,#N/A,TRUE,"R0A"}</definedName>
    <definedName name="wrn.imprimemensal." localSheetId="17" hidden="1">{#N/A,#N/A,TRUE,"Produção";#N/A,#N/A,TRUE,"ETA";#N/A,#N/A,TRUE,"balÁgua";#N/A,#N/A,TRUE,"E.T.E";#N/A,#N/A,TRUE,"balEfluente";#N/A,#N/A,TRUE,"ETE";#N/A,#N/A,TRUE,"Graf_ETE";#N/A,#N/A,TRUE,"Org";#N/A,#N/A,TRUE,"Graf_org";#N/A,#N/A,TRUE,"Desmi";#N/A,#N/A,TRUE,"SAAC";#N/A,#N/A,TRUE,"Vapor";#N/A,#N/A,TRUE,"Calculo Gcal";#N/A,#N/A,TRUE,"Utilização";#N/A,#N/A,TRUE,"Padrões";#N/A,#N/A,TRUE,"balvapor";#N/A,#N/A,TRUE,"oleo";#N/A,#N/A,TRUE,"ocorrencias";#N/A,#N/A,TRUE,"E.Elétrica";#N/A,#N/A,TRUE,"índices";#N/A,#N/A,TRUE,"balEnergia";#N/A,#N/A,TRUE,"DESCRIC";#N/A,#N/A,TRUE,"horas";#N/A,#N/A,TRUE,"TempoGraf";#N/A,#N/A,TRUE,"R0A"}</definedName>
    <definedName name="wrn.imprimemensal." localSheetId="9" hidden="1">{#N/A,#N/A,TRUE,"Produção";#N/A,#N/A,TRUE,"ETA";#N/A,#N/A,TRUE,"balÁgua";#N/A,#N/A,TRUE,"E.T.E";#N/A,#N/A,TRUE,"balEfluente";#N/A,#N/A,TRUE,"ETE";#N/A,#N/A,TRUE,"Graf_ETE";#N/A,#N/A,TRUE,"Org";#N/A,#N/A,TRUE,"Graf_org";#N/A,#N/A,TRUE,"Desmi";#N/A,#N/A,TRUE,"SAAC";#N/A,#N/A,TRUE,"Vapor";#N/A,#N/A,TRUE,"Calculo Gcal";#N/A,#N/A,TRUE,"Utilização";#N/A,#N/A,TRUE,"Padrões";#N/A,#N/A,TRUE,"balvapor";#N/A,#N/A,TRUE,"oleo";#N/A,#N/A,TRUE,"ocorrencias";#N/A,#N/A,TRUE,"E.Elétrica";#N/A,#N/A,TRUE,"índices";#N/A,#N/A,TRUE,"balEnergia";#N/A,#N/A,TRUE,"DESCRIC";#N/A,#N/A,TRUE,"horas";#N/A,#N/A,TRUE,"TempoGraf";#N/A,#N/A,TRUE,"R0A"}</definedName>
    <definedName name="wrn.imprimemensal." hidden="1">{#N/A,#N/A,TRUE,"Produção";#N/A,#N/A,TRUE,"ETA";#N/A,#N/A,TRUE,"balÁgua";#N/A,#N/A,TRUE,"E.T.E";#N/A,#N/A,TRUE,"balEfluente";#N/A,#N/A,TRUE,"ETE";#N/A,#N/A,TRUE,"Graf_ETE";#N/A,#N/A,TRUE,"Org";#N/A,#N/A,TRUE,"Graf_org";#N/A,#N/A,TRUE,"Desmi";#N/A,#N/A,TRUE,"SAAC";#N/A,#N/A,TRUE,"Vapor";#N/A,#N/A,TRUE,"Calculo Gcal";#N/A,#N/A,TRUE,"Utilização";#N/A,#N/A,TRUE,"Padrões";#N/A,#N/A,TRUE,"balvapor";#N/A,#N/A,TRUE,"oleo";#N/A,#N/A,TRUE,"ocorrencias";#N/A,#N/A,TRUE,"E.Elétrica";#N/A,#N/A,TRUE,"índices";#N/A,#N/A,TRUE,"balEnergia";#N/A,#N/A,TRUE,"DESCRIC";#N/A,#N/A,TRUE,"horas";#N/A,#N/A,TRUE,"TempoGraf";#N/A,#N/A,TRUE,"R0A"}</definedName>
    <definedName name="wrn.Model." localSheetId="1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Model.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Model.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PLANTA._.VS._.1997." localSheetId="17" hidden="1">{#N/A,#N/A,FALSE,"SUP";#N/A,#N/A,FALSE,"ERN";#N/A,#N/A,FALSE,"CRO";#N/A,#N/A,FALSE,"INT";#N/A,#N/A,FALSE,"VIP";#N/A,#N/A,FALSE,"VIC"}</definedName>
    <definedName name="wrn.PLANTA._.VS._.1997." localSheetId="9" hidden="1">{#N/A,#N/A,FALSE,"SUP";#N/A,#N/A,FALSE,"ERN";#N/A,#N/A,FALSE,"CRO";#N/A,#N/A,FALSE,"INT";#N/A,#N/A,FALSE,"VIP";#N/A,#N/A,FALSE,"VIC"}</definedName>
    <definedName name="wrn.PLANTA._.VS._.1997." hidden="1">{#N/A,#N/A,FALSE,"SUP";#N/A,#N/A,FALSE,"ERN";#N/A,#N/A,FALSE,"CRO";#N/A,#N/A,FALSE,"INT";#N/A,#N/A,FALSE,"VIP";#N/A,#N/A,FALSE,"VIC"}</definedName>
    <definedName name="wrn.Print." localSheetId="17" hidden="1">{"vi1",#N/A,FALSE,"Financial Statements";"vi2",#N/A,FALSE,"Financial Statements";#N/A,#N/A,FALSE,"DCF"}</definedName>
    <definedName name="wrn.Print." localSheetId="9" hidden="1">{"vi1",#N/A,FALSE,"Financial Statements";"vi2",#N/A,FALSE,"Financial Statements";#N/A,#N/A,FALSE,"DCF"}</definedName>
    <definedName name="wrn.Print." hidden="1">{"vi1",#N/A,FALSE,"Financial Statements";"vi2",#N/A,FALSE,"Financial Statements";#N/A,#N/A,FALSE,"DCF"}</definedName>
    <definedName name="wrn.Print._.Report." localSheetId="17" hidden="1">{"MPODE 1",#N/A,FALSE,"Scenarios";"CAPEX",#N/A,FALSE,"DEPRECIACIONES";"Trans Costs",#N/A,FALSE,"Transmission";"Trans Revenue",#N/A,FALSE,"Transmission";"Revenues Summary",#N/A,FALSE,"Revenues";"Assumptions General",#N/A,FALSE,"assumptions";"Assumptions Summary",#N/A,FALSE,"assumptions";"Flores 1",#N/A,FALSE,"assumptions";"Tebsa 4",#N/A,FALSE,"assumptions";"Tebsa 7",#N/A,FALSE,"assumptions";"Termoballenas 1",#N/A,FALSE,"assumptions";"Termoballenas 2",#N/A,FALSE,"assumptions";"Termochinu 5",#N/A,FALSE,"assumptions";"Termochinu 6",#N/A,FALSE,"assumptions";"Termochinu 7",#N/A,FALSE,"assumptions";"Termochinu 8",#N/A,FALSE,"assumptions";"Termoguajira 1",#N/A,FALSE,"assumptions";"Termoguajira 2",#N/A,FALSE,"assumptions";"Monetary gain",#N/A,FALSE,"capex &amp; dep";"Income Statement",#N/A,FALSE,"Fin Stmts";"Balance Sheet",#N/A,FALSE,"Fin Stmts";"Cash Flow",#N/A,FALSE,"Fin Stmts";"Labor Personnel\",#N/A,FALSE,"Labor";"TEBSA PPA",#N/A,FALSE,"TEBSA";"Free Cash Flow",#N/A,FALSE,"Valuation";"Valuation",#N/A,FALSE,"Valuation";#N/A,#N/A,FALSE,"Work Cap"}</definedName>
    <definedName name="wrn.Print._.Report." localSheetId="9" hidden="1">{"MPODE 1",#N/A,FALSE,"Scenarios";"CAPEX",#N/A,FALSE,"DEPRECIACIONES";"Trans Costs",#N/A,FALSE,"Transmission";"Trans Revenue",#N/A,FALSE,"Transmission";"Revenues Summary",#N/A,FALSE,"Revenues";"Assumptions General",#N/A,FALSE,"assumptions";"Assumptions Summary",#N/A,FALSE,"assumptions";"Flores 1",#N/A,FALSE,"assumptions";"Tebsa 4",#N/A,FALSE,"assumptions";"Tebsa 7",#N/A,FALSE,"assumptions";"Termoballenas 1",#N/A,FALSE,"assumptions";"Termoballenas 2",#N/A,FALSE,"assumptions";"Termochinu 5",#N/A,FALSE,"assumptions";"Termochinu 6",#N/A,FALSE,"assumptions";"Termochinu 7",#N/A,FALSE,"assumptions";"Termochinu 8",#N/A,FALSE,"assumptions";"Termoguajira 1",#N/A,FALSE,"assumptions";"Termoguajira 2",#N/A,FALSE,"assumptions";"Monetary gain",#N/A,FALSE,"capex &amp; dep";"Income Statement",#N/A,FALSE,"Fin Stmts";"Balance Sheet",#N/A,FALSE,"Fin Stmts";"Cash Flow",#N/A,FALSE,"Fin Stmts";"Labor Personnel\",#N/A,FALSE,"Labor";"TEBSA PPA",#N/A,FALSE,"TEBSA";"Free Cash Flow",#N/A,FALSE,"Valuation";"Valuation",#N/A,FALSE,"Valuation";#N/A,#N/A,FALSE,"Work Cap"}</definedName>
    <definedName name="wrn.Print._.Report." hidden="1">{"MPODE 1",#N/A,FALSE,"Scenarios";"CAPEX",#N/A,FALSE,"DEPRECIACIONES";"Trans Costs",#N/A,FALSE,"Transmission";"Trans Revenue",#N/A,FALSE,"Transmission";"Revenues Summary",#N/A,FALSE,"Revenues";"Assumptions General",#N/A,FALSE,"assumptions";"Assumptions Summary",#N/A,FALSE,"assumptions";"Flores 1",#N/A,FALSE,"assumptions";"Tebsa 4",#N/A,FALSE,"assumptions";"Tebsa 7",#N/A,FALSE,"assumptions";"Termoballenas 1",#N/A,FALSE,"assumptions";"Termoballenas 2",#N/A,FALSE,"assumptions";"Termochinu 5",#N/A,FALSE,"assumptions";"Termochinu 6",#N/A,FALSE,"assumptions";"Termochinu 7",#N/A,FALSE,"assumptions";"Termochinu 8",#N/A,FALSE,"assumptions";"Termoguajira 1",#N/A,FALSE,"assumptions";"Termoguajira 2",#N/A,FALSE,"assumptions";"Monetary gain",#N/A,FALSE,"capex &amp; dep";"Income Statement",#N/A,FALSE,"Fin Stmts";"Balance Sheet",#N/A,FALSE,"Fin Stmts";"Cash Flow",#N/A,FALSE,"Fin Stmts";"Labor Personnel\",#N/A,FALSE,"Labor";"TEBSA PPA",#N/A,FALSE,"TEBSA";"Free Cash Flow",#N/A,FALSE,"Valuation";"Valuation",#N/A,FALSE,"Valuation";#N/A,#N/A,FALSE,"Work Cap"}</definedName>
    <definedName name="wrn.PrintAll." localSheetId="17" hidden="1">{"PA1",#N/A,FALSE,"BORDMW";"pa2",#N/A,FALSE,"BORDMW";"PA3",#N/A,FALSE,"BORDMW";"PA4",#N/A,FALSE,"BORDMW"}</definedName>
    <definedName name="wrn.PrintAll." localSheetId="9" hidden="1">{"PA1",#N/A,FALSE,"BORDMW";"pa2",#N/A,FALSE,"BORDMW";"PA3",#N/A,FALSE,"BORDMW";"PA4",#N/A,FALSE,"BORDMW"}</definedName>
    <definedName name="wrn.PrintAll." hidden="1">{"PA1",#N/A,FALSE,"BORDMW";"pa2",#N/A,FALSE,"BORDMW";"PA3",#N/A,FALSE,"BORDMW";"PA4",#N/A,FALSE,"BORDMW"}</definedName>
    <definedName name="wrn.sales." localSheetId="17" hidden="1">{"sales",#N/A,FALSE,"Sales";"sales existing",#N/A,FALSE,"Sales";"sales rd1",#N/A,FALSE,"Sales";"sales rd2",#N/A,FALSE,"Sales"}</definedName>
    <definedName name="wrn.sales." localSheetId="9" hidden="1">{"sales",#N/A,FALSE,"Sales";"sales existing",#N/A,FALSE,"Sales";"sales rd1",#N/A,FALSE,"Sales";"sales rd2",#N/A,FALSE,"Sales"}</definedName>
    <definedName name="wrn.sales." hidden="1">{"sales",#N/A,FALSE,"Sales";"sales existing",#N/A,FALSE,"Sales";"sales rd1",#N/A,FALSE,"Sales";"sales rd2",#N/A,FALSE,"Sales"}</definedName>
    <definedName name="wrn.SHORT." localSheetId="17" hidden="1">{"CREDIT STATISTICS",#N/A,FALSE,"STATS";"CF_AND_IS",#N/A,FALSE,"PLAN";"BALSHEET",#N/A,FALSE,"BALANCE SHEET"}</definedName>
    <definedName name="wrn.SHORT." localSheetId="9" hidden="1">{"CREDIT STATISTICS",#N/A,FALSE,"STATS";"CF_AND_IS",#N/A,FALSE,"PLAN";"BALSHEET",#N/A,FALSE,"BALANCE SHEET"}</definedName>
    <definedName name="wrn.SHORT." hidden="1">{"CREDIT STATISTICS",#N/A,FALSE,"STATS";"CF_AND_IS",#N/A,FALSE,"PLAN";"BALSHEET",#N/A,FALSE,"BALANCE SHEET"}</definedName>
    <definedName name="wrn.SOCIEDAD." localSheetId="17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SOCIEDAD." localSheetId="9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SOCIEDAD.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SUMMARY." localSheetId="17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SUMMARY." localSheetId="9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SUMMARY.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TARGET._.DCF." localSheetId="17" hidden="1">{"targetdcf",#N/A,FALSE,"Merger consequences";"TARGETASSU",#N/A,FALSE,"Merger consequences";"TERMINAL VALUE",#N/A,FALSE,"Merger consequences"}</definedName>
    <definedName name="wrn.TARGET._.DCF." localSheetId="9" hidden="1">{"targetdcf",#N/A,FALSE,"Merger consequences";"TARGETASSU",#N/A,FALSE,"Merger consequences";"TERMINAL VALUE",#N/A,FALSE,"Merger consequences"}</definedName>
    <definedName name="wrn.TARGET._.DCF." hidden="1">{"targetdcf",#N/A,FALSE,"Merger consequences";"TARGETASSU",#N/A,FALSE,"Merger consequences";"TERMINAL VALUE",#N/A,FALSE,"Merger consequences"}</definedName>
    <definedName name="wrn.todo." localSheetId="17" hidden="1">{"Caja",#N/A,TRUE,"P&amp;G BG";"PyG",#N/A,TRUE,"P&amp;G BG";"Balance",#N/A,TRUE,"P&amp;G BG"}</definedName>
    <definedName name="wrn.todo." localSheetId="9" hidden="1">{"Caja",#N/A,TRUE,"P&amp;G BG";"PyG",#N/A,TRUE,"P&amp;G BG";"Balance",#N/A,TRUE,"P&amp;G BG"}</definedName>
    <definedName name="wrn.todo." hidden="1">{"Caja",#N/A,TRUE,"P&amp;G BG";"PyG",#N/A,TRUE,"P&amp;G BG";"Balance",#N/A,TRUE,"P&amp;G BG"}</definedName>
    <definedName name="wrn.VALDEZ." localSheetId="17" hidden="1">{"ERMES",#N/A,FALSE,"RESUMEN";"ERACUM",#N/A,FALSE,"RESUMEN";"BG",#N/A,FALSE,"RESUMEN";"ERMES",#N/A,FALSE,"SABANAS";"ERACUM",#N/A,FALSE,"SABANAS";"BG",#N/A,FALSE,"SABANAS";"fadsa",#N/A,FALSE,"FADSA";"supsa",#N/A,FALSE,"SUPSA";"crolls",#N/A,FALSE,"CROLLS";"vicomsa",#N/A,FALSE,"VICOMSA";"viplasticos",#N/A,FALSE,"VIPLASTICOS";"vitsa",#N/A,FALSE,"VITSA";"elim",#N/A,FALSE,"ELIM"}</definedName>
    <definedName name="wrn.VALDEZ." localSheetId="9" hidden="1">{"ERMES",#N/A,FALSE,"RESUMEN";"ERACUM",#N/A,FALSE,"RESUMEN";"BG",#N/A,FALSE,"RESUMEN";"ERMES",#N/A,FALSE,"SABANAS";"ERACUM",#N/A,FALSE,"SABANAS";"BG",#N/A,FALSE,"SABANAS";"fadsa",#N/A,FALSE,"FADSA";"supsa",#N/A,FALSE,"SUPSA";"crolls",#N/A,FALSE,"CROLLS";"vicomsa",#N/A,FALSE,"VICOMSA";"viplasticos",#N/A,FALSE,"VIPLASTICOS";"vitsa",#N/A,FALSE,"VITSA";"elim",#N/A,FALSE,"ELIM"}</definedName>
    <definedName name="wrn.VALDEZ." hidden="1">{"ERMES",#N/A,FALSE,"RESUMEN";"ERACUM",#N/A,FALSE,"RESUMEN";"BG",#N/A,FALSE,"RESUMEN";"ERMES",#N/A,FALSE,"SABANAS";"ERACUM",#N/A,FALSE,"SABANAS";"BG",#N/A,FALSE,"SABANAS";"fadsa",#N/A,FALSE,"FADSA";"supsa",#N/A,FALSE,"SUPSA";"crolls",#N/A,FALSE,"CROLLS";"vicomsa",#N/A,FALSE,"VICOMSA";"viplasticos",#N/A,FALSE,"VIPLASTICOS";"vitsa",#N/A,FALSE,"VITSA";"elim",#N/A,FALSE,"ELIM"}</definedName>
    <definedName name="wrn.VENTAS.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1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1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1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1_1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1_1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1_1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1_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1_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1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2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2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2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3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3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3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3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3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3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4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4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4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5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5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1_5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2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2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2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3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3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3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3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3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3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4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4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4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5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5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5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1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1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1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1_1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1_1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1_1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1_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1_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1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2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2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2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3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3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3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3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3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3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4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4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4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5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5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1_5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2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2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2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2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2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3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3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3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3_1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3_1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3_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4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4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4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5" localSheetId="17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5" localSheetId="9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_5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Wacc." localSheetId="17" hidden="1">{"Area1",#N/A,FALSE,"OREWACC";"Area2",#N/A,FALSE,"OREWACC"}</definedName>
    <definedName name="wrn.Wacc." localSheetId="9" hidden="1">{"Area1",#N/A,FALSE,"OREWACC";"Area2",#N/A,FALSE,"OREWACC"}</definedName>
    <definedName name="wrn.Wacc." hidden="1">{"Area1",#N/A,FALSE,"OREWACC";"Area2",#N/A,FALSE,"OREWACC"}</definedName>
    <definedName name="wse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1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1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1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se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va.Print_Todo.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1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1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1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1_1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1_1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1_1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1_1_1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1_1_1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1_1_1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1_2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1_2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1_2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2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2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2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2_1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2_1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2_1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3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3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3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3_1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3_1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3_1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4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4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4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5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5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1_5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2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2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2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2_1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2_1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2_1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3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3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3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3_1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3_1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3_1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4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4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4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5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5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a.Print_Todo._5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1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1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1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1_1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1_1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1_1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1_1_1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1_1_1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1_1_1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1_2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1_2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1_2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2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2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2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2_1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2_1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2_1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3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3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3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3_1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3_1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3_1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4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4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4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5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5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1_5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2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2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2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2_1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2_1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2_1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3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3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3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3_1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3_1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3_1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4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4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4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5" localSheetId="17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5" localSheetId="9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_5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1_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1_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1_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1_2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1_2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1_2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2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2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2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2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2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2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3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3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3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3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3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3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4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4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4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5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5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1_5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2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2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2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2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2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2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3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3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3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3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3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3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4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4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4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5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5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_5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" hidden="1">#REF!</definedName>
    <definedName name="wwww" localSheetId="9" hidden="1">#REF!</definedName>
    <definedName name="wwww" hidden="1">#REF!</definedName>
    <definedName name="wwww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1_1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1_1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1_1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1_2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1_2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1_2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2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2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2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2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2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2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3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3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3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3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3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3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4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4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4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5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5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1_5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2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2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2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2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2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2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3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3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3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3_1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3_1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3_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4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4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4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5" localSheetId="17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5" localSheetId="9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ww_5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x" hidden="1">#REF!</definedName>
    <definedName name="XREF_COLUMN_1" localSheetId="9" hidden="1">#REF!</definedName>
    <definedName name="XREF_COLUMN_1" hidden="1">#REF!</definedName>
    <definedName name="XRefColumnsCount" hidden="1">2</definedName>
    <definedName name="XRefCopy1" localSheetId="9" hidden="1">#REF!</definedName>
    <definedName name="XRefCopy1" hidden="1">#REF!</definedName>
    <definedName name="XRefCopy2" localSheetId="9" hidden="1">#REF!</definedName>
    <definedName name="XRefCopy2" hidden="1">#REF!</definedName>
    <definedName name="XRefCopy3" localSheetId="9" hidden="1">#REF!</definedName>
    <definedName name="XRefCopy3" hidden="1">#REF!</definedName>
    <definedName name="XRefCopy4" localSheetId="9" hidden="1">#REF!</definedName>
    <definedName name="XRefCopy4" hidden="1">#REF!</definedName>
    <definedName name="XRefCopy5" localSheetId="9" hidden="1">#REF!</definedName>
    <definedName name="XRefCopy5" hidden="1">#REF!</definedName>
    <definedName name="XRefCopy6" localSheetId="9" hidden="1">#REF!</definedName>
    <definedName name="XRefCopy6" hidden="1">#REF!</definedName>
    <definedName name="XRefCopyRangeCount" hidden="1">3</definedName>
    <definedName name="XRefPasteRangeCount" hidden="1">7</definedName>
    <definedName name="xx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1_1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1_1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1_1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1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3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3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3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1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1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2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2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2_1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2_1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2_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3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3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3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4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4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5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5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_5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x" localSheetId="17" hidden="1">{TRUE,TRUE,-1.25,-15.5,484.5,278.25,FALSE,FALSE,TRUE,FALSE,0,1,#N/A,551,#N/A,5.92592592592593,22.5714285714286,1,FALSE,FALSE,3,TRUE,1,FALSE,100,"Swvu.AFAC.","ACwvu.AFAC.",#N/A,FALSE,FALSE,0,0,0,0,2,"","",FALSE,FALSE,FALSE,FALSE,1,90,#N/A,#N/A,"=R1C1:R650C11",FALSE,#N/A,#N/A,FALSE,FALSE,FALSE,1,65532,65532,FALSE,FALSE,TRUE,TRUE,TRUE}</definedName>
    <definedName name="xxx" localSheetId="9" hidden="1">{TRUE,TRUE,-1.25,-15.5,484.5,278.25,FALSE,FALSE,TRUE,FALSE,0,1,#N/A,551,#N/A,5.92592592592593,22.5714285714286,1,FALSE,FALSE,3,TRUE,1,FALSE,100,"Swvu.AFAC.","ACwvu.AFAC.",#N/A,FALSE,FALSE,0,0,0,0,2,"","",FALSE,FALSE,FALSE,FALSE,1,90,#N/A,#N/A,"=R1C1:R650C11",FALSE,#N/A,#N/A,FALSE,FALSE,FALSE,1,65532,65532,FALSE,FALSE,TRUE,TRUE,TRUE}</definedName>
    <definedName name="xxx" hidden="1">{TRUE,TRUE,-1.25,-15.5,484.5,278.25,FALSE,FALSE,TRUE,FALSE,0,1,#N/A,551,#N/A,5.92592592592593,22.5714285714286,1,FALSE,FALSE,3,TRUE,1,FALSE,100,"Swvu.AFAC.","ACwvu.AFAC.",#N/A,FALSE,FALSE,0,0,0,0,2,"","",FALSE,FALSE,FALSE,FALSE,1,90,#N/A,#N/A,"=R1C1:R650C11",FALSE,#N/A,#N/A,FALSE,FALSE,FALSE,1,65532,65532,FALSE,FALSE,TRUE,TRUE,TRUE}</definedName>
    <definedName name="xxxx" localSheetId="17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xx" localSheetId="9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xx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YCXGFJDX" localSheetId="9" hidden="1">#REF!</definedName>
    <definedName name="YCXGFJDX" hidden="1">#REF!</definedName>
    <definedName name="Z_2B5320B8_08D6_11D6_961F_004033E113A7_.wvu.Cols" localSheetId="9" hidden="1">#REF!</definedName>
    <definedName name="Z_2B5320B8_08D6_11D6_961F_004033E113A7_.wvu.Cols" hidden="1">#REF!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M42" i="24" l="1"/>
  <c r="E237" i="24" l="1"/>
  <c r="AN186" i="63"/>
  <c r="AM186" i="63"/>
  <c r="AL186" i="63"/>
  <c r="AK186" i="63"/>
  <c r="AJ186" i="63"/>
  <c r="AI186" i="63"/>
  <c r="AH186" i="63"/>
  <c r="AG186" i="63"/>
  <c r="AF186" i="63"/>
  <c r="AE186" i="63"/>
  <c r="AD186" i="63"/>
  <c r="AC186" i="63"/>
  <c r="AB186" i="63"/>
  <c r="AA186" i="63"/>
  <c r="Z186" i="63"/>
  <c r="Y186" i="63"/>
  <c r="X186" i="63"/>
  <c r="W186" i="63"/>
  <c r="H186" i="63"/>
  <c r="G186" i="63"/>
  <c r="AN220" i="63"/>
  <c r="AM220" i="63"/>
  <c r="AL220" i="63"/>
  <c r="AK220" i="63"/>
  <c r="V220" i="63"/>
  <c r="U220" i="63"/>
  <c r="T220" i="63"/>
  <c r="S220" i="63"/>
  <c r="R220" i="63"/>
  <c r="Q220" i="63"/>
  <c r="P220" i="63"/>
  <c r="O220" i="63"/>
  <c r="N220" i="63"/>
  <c r="M220" i="63"/>
  <c r="L220" i="63"/>
  <c r="K220" i="63"/>
  <c r="J220" i="63"/>
  <c r="I220" i="63"/>
  <c r="H220" i="63"/>
  <c r="G220" i="63"/>
  <c r="D197" i="63"/>
  <c r="D196" i="63"/>
  <c r="G37" i="46"/>
  <c r="E29" i="24"/>
  <c r="E26" i="24"/>
  <c r="D24" i="100" l="1"/>
  <c r="D27" i="100" s="1"/>
  <c r="D8" i="100"/>
  <c r="D11" i="100" s="1"/>
  <c r="D16" i="100" s="1"/>
  <c r="D19" i="100" s="1"/>
  <c r="D21" i="100" s="1"/>
  <c r="D327" i="24" s="1"/>
  <c r="D23" i="100" l="1"/>
  <c r="D33" i="100"/>
  <c r="D34" i="100" s="1"/>
  <c r="D328" i="24" s="1"/>
  <c r="D25" i="100"/>
  <c r="D28" i="100" s="1"/>
  <c r="D32" i="100" s="1"/>
  <c r="C1273" i="95" l="1"/>
  <c r="C1272" i="95"/>
  <c r="C1266" i="95"/>
  <c r="C1265" i="95"/>
  <c r="C347" i="95"/>
  <c r="C346" i="95"/>
  <c r="C165" i="95"/>
  <c r="C164" i="95"/>
  <c r="C163" i="95"/>
  <c r="C128" i="95"/>
  <c r="C149" i="95"/>
  <c r="C157" i="95"/>
  <c r="C156" i="95"/>
  <c r="C699" i="95" l="1"/>
  <c r="C696" i="95"/>
  <c r="C693" i="95"/>
  <c r="D693" i="95" s="1"/>
  <c r="C310" i="95"/>
  <c r="C307" i="95"/>
  <c r="C311" i="95"/>
  <c r="C308" i="95"/>
  <c r="C121" i="95"/>
  <c r="C118" i="95"/>
  <c r="U23" i="98"/>
  <c r="E90" i="96"/>
  <c r="E89" i="96"/>
  <c r="E67" i="96"/>
  <c r="E39" i="96"/>
  <c r="E35" i="96"/>
  <c r="E32" i="96"/>
  <c r="E14" i="96"/>
  <c r="E19" i="97"/>
  <c r="H32" i="71"/>
  <c r="E432" i="95" l="1"/>
  <c r="C32" i="95" l="1"/>
  <c r="C61" i="95"/>
  <c r="H150" i="79"/>
  <c r="H148" i="79" s="1"/>
  <c r="D883" i="95"/>
  <c r="E883" i="95" s="1"/>
  <c r="F883" i="95" s="1"/>
  <c r="G883" i="95" s="1"/>
  <c r="H883" i="95" s="1"/>
  <c r="I883" i="95" s="1"/>
  <c r="J883" i="95" s="1"/>
  <c r="K883" i="95" s="1"/>
  <c r="L883" i="95" s="1"/>
  <c r="M883" i="95" s="1"/>
  <c r="N883" i="95" s="1"/>
  <c r="O883" i="95" s="1"/>
  <c r="P883" i="95" s="1"/>
  <c r="Q883" i="95" s="1"/>
  <c r="R883" i="95" s="1"/>
  <c r="S883" i="95" s="1"/>
  <c r="T883" i="95" s="1"/>
  <c r="U883" i="95" s="1"/>
  <c r="V883" i="95" s="1"/>
  <c r="W883" i="95" s="1"/>
  <c r="X883" i="95" s="1"/>
  <c r="Y883" i="95" s="1"/>
  <c r="Z883" i="95" s="1"/>
  <c r="AA883" i="95" s="1"/>
  <c r="AB883" i="95" s="1"/>
  <c r="AC883" i="95" s="1"/>
  <c r="AD883" i="95" s="1"/>
  <c r="AE883" i="95" s="1"/>
  <c r="AF883" i="95" s="1"/>
  <c r="D585" i="95" l="1"/>
  <c r="E585" i="95" s="1"/>
  <c r="F585" i="95" s="1"/>
  <c r="G585" i="95" s="1"/>
  <c r="H585" i="95" s="1"/>
  <c r="I585" i="95" s="1"/>
  <c r="J585" i="95" s="1"/>
  <c r="K585" i="95" s="1"/>
  <c r="L585" i="95" s="1"/>
  <c r="M585" i="95" s="1"/>
  <c r="N585" i="95" s="1"/>
  <c r="O585" i="95" s="1"/>
  <c r="P585" i="95" s="1"/>
  <c r="Q585" i="95" s="1"/>
  <c r="R585" i="95" s="1"/>
  <c r="S585" i="95" s="1"/>
  <c r="T585" i="95" s="1"/>
  <c r="U585" i="95" s="1"/>
  <c r="V585" i="95" s="1"/>
  <c r="W585" i="95" s="1"/>
  <c r="X585" i="95" s="1"/>
  <c r="Y585" i="95" s="1"/>
  <c r="Z585" i="95" s="1"/>
  <c r="AA585" i="95" s="1"/>
  <c r="AB585" i="95" s="1"/>
  <c r="AC585" i="95" s="1"/>
  <c r="AD585" i="95" s="1"/>
  <c r="AE585" i="95" s="1"/>
  <c r="AF585" i="95" s="1"/>
  <c r="D578" i="95"/>
  <c r="E578" i="95" s="1"/>
  <c r="F578" i="95" s="1"/>
  <c r="G578" i="95" s="1"/>
  <c r="H578" i="95" s="1"/>
  <c r="I578" i="95" s="1"/>
  <c r="J578" i="95" s="1"/>
  <c r="K578" i="95" s="1"/>
  <c r="L578" i="95" s="1"/>
  <c r="M578" i="95" s="1"/>
  <c r="N578" i="95" s="1"/>
  <c r="O578" i="95" s="1"/>
  <c r="P578" i="95" s="1"/>
  <c r="Q578" i="95" s="1"/>
  <c r="R578" i="95" s="1"/>
  <c r="S578" i="95" s="1"/>
  <c r="T578" i="95" s="1"/>
  <c r="U578" i="95" s="1"/>
  <c r="V578" i="95" s="1"/>
  <c r="W578" i="95" s="1"/>
  <c r="X578" i="95" s="1"/>
  <c r="Y578" i="95" s="1"/>
  <c r="Z578" i="95" s="1"/>
  <c r="AA578" i="95" s="1"/>
  <c r="AB578" i="95" s="1"/>
  <c r="AC578" i="95" s="1"/>
  <c r="AD578" i="95" s="1"/>
  <c r="AE578" i="95" s="1"/>
  <c r="AF578" i="95" s="1"/>
  <c r="D343" i="95"/>
  <c r="E343" i="95" s="1"/>
  <c r="F343" i="95" s="1"/>
  <c r="G343" i="95" s="1"/>
  <c r="H343" i="95" s="1"/>
  <c r="I343" i="95" s="1"/>
  <c r="J343" i="95" s="1"/>
  <c r="K343" i="95" s="1"/>
  <c r="L343" i="95" s="1"/>
  <c r="M343" i="95" s="1"/>
  <c r="N343" i="95" s="1"/>
  <c r="O343" i="95" s="1"/>
  <c r="P343" i="95" s="1"/>
  <c r="Q343" i="95" s="1"/>
  <c r="R343" i="95" s="1"/>
  <c r="S343" i="95" s="1"/>
  <c r="T343" i="95" s="1"/>
  <c r="U343" i="95" s="1"/>
  <c r="V343" i="95" s="1"/>
  <c r="W343" i="95" s="1"/>
  <c r="X343" i="95" s="1"/>
  <c r="Y343" i="95" s="1"/>
  <c r="Z343" i="95" s="1"/>
  <c r="AA343" i="95" s="1"/>
  <c r="AB343" i="95" s="1"/>
  <c r="AC343" i="95" s="1"/>
  <c r="AD343" i="95" s="1"/>
  <c r="AE343" i="95" s="1"/>
  <c r="AF343" i="95" s="1"/>
  <c r="J1255" i="95"/>
  <c r="K1255" i="95" s="1"/>
  <c r="L1255" i="95" s="1"/>
  <c r="M1255" i="95" s="1"/>
  <c r="N1255" i="95" s="1"/>
  <c r="O1255" i="95" s="1"/>
  <c r="P1255" i="95" s="1"/>
  <c r="Q1255" i="95" s="1"/>
  <c r="R1255" i="95" s="1"/>
  <c r="S1255" i="95" s="1"/>
  <c r="T1255" i="95" s="1"/>
  <c r="U1255" i="95" s="1"/>
  <c r="V1255" i="95" s="1"/>
  <c r="W1255" i="95" s="1"/>
  <c r="X1255" i="95" s="1"/>
  <c r="Y1255" i="95" s="1"/>
  <c r="Z1255" i="95" s="1"/>
  <c r="AA1255" i="95" s="1"/>
  <c r="AB1255" i="95" s="1"/>
  <c r="AC1255" i="95" s="1"/>
  <c r="AD1255" i="95" s="1"/>
  <c r="AE1255" i="95" s="1"/>
  <c r="AF1255" i="95" s="1"/>
  <c r="J1248" i="95"/>
  <c r="K1248" i="95" s="1"/>
  <c r="L1248" i="95" s="1"/>
  <c r="M1248" i="95" s="1"/>
  <c r="N1248" i="95" s="1"/>
  <c r="O1248" i="95" s="1"/>
  <c r="P1248" i="95" s="1"/>
  <c r="Q1248" i="95" s="1"/>
  <c r="R1248" i="95" s="1"/>
  <c r="S1248" i="95" s="1"/>
  <c r="T1248" i="95" s="1"/>
  <c r="U1248" i="95" s="1"/>
  <c r="V1248" i="95" s="1"/>
  <c r="W1248" i="95" s="1"/>
  <c r="X1248" i="95" s="1"/>
  <c r="Y1248" i="95" s="1"/>
  <c r="Z1248" i="95" s="1"/>
  <c r="AA1248" i="95" s="1"/>
  <c r="AB1248" i="95" s="1"/>
  <c r="AC1248" i="95" s="1"/>
  <c r="AD1248" i="95" s="1"/>
  <c r="AE1248" i="95" s="1"/>
  <c r="AF1248" i="95" s="1"/>
  <c r="C70" i="95"/>
  <c r="D100" i="24" l="1"/>
  <c r="D99" i="24"/>
  <c r="D98" i="24"/>
  <c r="D97" i="24"/>
  <c r="C19" i="95" l="1"/>
  <c r="C23" i="95"/>
  <c r="C24" i="95"/>
  <c r="C27" i="95"/>
  <c r="C25" i="95" s="1"/>
  <c r="C90" i="95"/>
  <c r="C35" i="95"/>
  <c r="C81" i="95" s="1"/>
  <c r="C39" i="95"/>
  <c r="C40" i="95"/>
  <c r="C44" i="95"/>
  <c r="C72" i="95" s="1"/>
  <c r="C45" i="95"/>
  <c r="C47" i="95"/>
  <c r="C49" i="95"/>
  <c r="C52" i="95"/>
  <c r="C54" i="95"/>
  <c r="C55" i="95"/>
  <c r="C57" i="95"/>
  <c r="C62" i="95"/>
  <c r="C65" i="95"/>
  <c r="C73" i="95"/>
  <c r="C76" i="95"/>
  <c r="C77" i="95"/>
  <c r="C78" i="95"/>
  <c r="C80" i="95"/>
  <c r="C84" i="95"/>
  <c r="C82" i="95" s="1"/>
  <c r="C91" i="95"/>
  <c r="C92" i="95"/>
  <c r="C105" i="95" s="1"/>
  <c r="C93" i="95"/>
  <c r="C94" i="95"/>
  <c r="C95" i="95"/>
  <c r="C100" i="95"/>
  <c r="C567" i="95" s="1"/>
  <c r="C106" i="95"/>
  <c r="C682" i="95" s="1"/>
  <c r="C113" i="95"/>
  <c r="C117" i="95"/>
  <c r="C120" i="95"/>
  <c r="C126" i="95"/>
  <c r="C127" i="95"/>
  <c r="C133" i="95"/>
  <c r="C134" i="95"/>
  <c r="C135" i="95"/>
  <c r="C140" i="95"/>
  <c r="C141" i="95"/>
  <c r="C142" i="95"/>
  <c r="C147" i="95"/>
  <c r="C148" i="95"/>
  <c r="C154" i="95"/>
  <c r="C155" i="95"/>
  <c r="C161" i="95"/>
  <c r="C162" i="95"/>
  <c r="C168" i="95"/>
  <c r="C169" i="95"/>
  <c r="C170" i="95"/>
  <c r="C180" i="95"/>
  <c r="C181" i="95"/>
  <c r="C182" i="95"/>
  <c r="C186" i="95"/>
  <c r="C187" i="95"/>
  <c r="C188" i="95"/>
  <c r="C192" i="95"/>
  <c r="C193" i="95"/>
  <c r="C194" i="95"/>
  <c r="C198" i="95"/>
  <c r="C199" i="95"/>
  <c r="C200" i="95"/>
  <c r="C204" i="95"/>
  <c r="C205" i="95"/>
  <c r="C206" i="95"/>
  <c r="C210" i="95"/>
  <c r="C211" i="95"/>
  <c r="C212" i="95"/>
  <c r="C216" i="95"/>
  <c r="C217" i="95"/>
  <c r="C218" i="95"/>
  <c r="C224" i="95"/>
  <c r="C227" i="95"/>
  <c r="C230" i="95"/>
  <c r="C233" i="95"/>
  <c r="C236" i="95"/>
  <c r="C239" i="95"/>
  <c r="C242" i="95"/>
  <c r="C249" i="95"/>
  <c r="C256" i="95" s="1"/>
  <c r="C252" i="95"/>
  <c r="C257" i="95"/>
  <c r="C261" i="95"/>
  <c r="C275" i="95" s="1"/>
  <c r="C262" i="95"/>
  <c r="C267" i="95"/>
  <c r="C270" i="95"/>
  <c r="C274" i="95"/>
  <c r="C280" i="95"/>
  <c r="C290" i="95" s="1"/>
  <c r="C284" i="95"/>
  <c r="C285" i="95"/>
  <c r="C286" i="95"/>
  <c r="C291" i="95"/>
  <c r="C297" i="95"/>
  <c r="C298" i="95"/>
  <c r="C303" i="95"/>
  <c r="C316" i="95"/>
  <c r="C317" i="95"/>
  <c r="C318" i="95"/>
  <c r="C323" i="95"/>
  <c r="C324" i="95"/>
  <c r="C325" i="95"/>
  <c r="C330" i="95"/>
  <c r="C331" i="95"/>
  <c r="C332" i="95"/>
  <c r="C337" i="95"/>
  <c r="C338" i="95"/>
  <c r="C339" i="95"/>
  <c r="C344" i="95"/>
  <c r="C345" i="95"/>
  <c r="C351" i="95"/>
  <c r="C352" i="95"/>
  <c r="C353" i="95"/>
  <c r="C363" i="95"/>
  <c r="C401" i="95" s="1"/>
  <c r="C364" i="95"/>
  <c r="C365" i="95"/>
  <c r="C369" i="95"/>
  <c r="C370" i="95"/>
  <c r="C371" i="95"/>
  <c r="C375" i="95"/>
  <c r="C376" i="95"/>
  <c r="C377" i="95"/>
  <c r="C381" i="95"/>
  <c r="C382" i="95"/>
  <c r="C383" i="95"/>
  <c r="C387" i="95"/>
  <c r="C388" i="95"/>
  <c r="C389" i="95"/>
  <c r="C393" i="95"/>
  <c r="C394" i="95"/>
  <c r="C395" i="95"/>
  <c r="C404" i="95"/>
  <c r="C410" i="95"/>
  <c r="C413" i="95"/>
  <c r="C416" i="95"/>
  <c r="C423" i="95"/>
  <c r="C428" i="95"/>
  <c r="C426" i="95" s="1"/>
  <c r="C425" i="95" s="1"/>
  <c r="C438" i="95"/>
  <c r="C439" i="95"/>
  <c r="C441" i="95"/>
  <c r="C445" i="95"/>
  <c r="C446" i="95"/>
  <c r="C451" i="95"/>
  <c r="C452" i="95"/>
  <c r="C455" i="95"/>
  <c r="C456" i="95"/>
  <c r="C457" i="95"/>
  <c r="C461" i="95"/>
  <c r="C473" i="95" s="1"/>
  <c r="C462" i="95"/>
  <c r="C468" i="95"/>
  <c r="C469" i="95"/>
  <c r="C474" i="95"/>
  <c r="C480" i="95"/>
  <c r="C481" i="95"/>
  <c r="C482" i="95"/>
  <c r="C487" i="95"/>
  <c r="C488" i="95"/>
  <c r="C489" i="95"/>
  <c r="C499" i="95"/>
  <c r="C500" i="95"/>
  <c r="C501" i="95"/>
  <c r="C505" i="95"/>
  <c r="C506" i="95"/>
  <c r="C507" i="95"/>
  <c r="C513" i="95"/>
  <c r="C516" i="95"/>
  <c r="C523" i="95"/>
  <c r="C526" i="95"/>
  <c r="C525" i="95" s="1"/>
  <c r="C532" i="95"/>
  <c r="C552" i="95" s="1"/>
  <c r="C538" i="95"/>
  <c r="C541" i="95"/>
  <c r="C545" i="95"/>
  <c r="C561" i="95" s="1"/>
  <c r="C551" i="95"/>
  <c r="C555" i="95"/>
  <c r="C556" i="95"/>
  <c r="C557" i="95"/>
  <c r="C562" i="95"/>
  <c r="C568" i="95"/>
  <c r="C569" i="95"/>
  <c r="C574" i="95"/>
  <c r="C579" i="95"/>
  <c r="C580" i="95"/>
  <c r="C581" i="95"/>
  <c r="C586" i="95"/>
  <c r="C587" i="95"/>
  <c r="C588" i="95"/>
  <c r="C598" i="95"/>
  <c r="C599" i="95"/>
  <c r="C600" i="95"/>
  <c r="C604" i="95"/>
  <c r="C605" i="95"/>
  <c r="C606" i="95"/>
  <c r="C612" i="95"/>
  <c r="C615" i="95"/>
  <c r="C625" i="95"/>
  <c r="C629" i="95"/>
  <c r="C630" i="95"/>
  <c r="C634" i="95"/>
  <c r="C637" i="95"/>
  <c r="C640" i="95"/>
  <c r="C652" i="95" s="1"/>
  <c r="C641" i="95"/>
  <c r="C646" i="95"/>
  <c r="C649" i="95"/>
  <c r="C651" i="95"/>
  <c r="C654" i="95"/>
  <c r="C658" i="95"/>
  <c r="C664" i="95"/>
  <c r="C668" i="95"/>
  <c r="C666" i="95" s="1"/>
  <c r="C674" i="95"/>
  <c r="C675" i="95"/>
  <c r="C676" i="95"/>
  <c r="C677" i="95"/>
  <c r="C683" i="95"/>
  <c r="C684" i="95"/>
  <c r="C689" i="95"/>
  <c r="C694" i="95"/>
  <c r="C697" i="95"/>
  <c r="C700" i="95"/>
  <c r="C702" i="95"/>
  <c r="C706" i="95"/>
  <c r="C704" i="95" s="1"/>
  <c r="C711" i="95"/>
  <c r="C712" i="95"/>
  <c r="C713" i="95"/>
  <c r="C718" i="95"/>
  <c r="C719" i="95"/>
  <c r="C720" i="95"/>
  <c r="C730" i="95"/>
  <c r="C731" i="95"/>
  <c r="C732" i="95"/>
  <c r="C736" i="95"/>
  <c r="C737" i="95"/>
  <c r="C738" i="95"/>
  <c r="C744" i="95"/>
  <c r="C747" i="95"/>
  <c r="C760" i="95"/>
  <c r="C764" i="95"/>
  <c r="C765" i="95"/>
  <c r="C767" i="95"/>
  <c r="C768" i="95"/>
  <c r="C770" i="95"/>
  <c r="C771" i="95"/>
  <c r="C773" i="95"/>
  <c r="C774" i="95"/>
  <c r="C778" i="95"/>
  <c r="C786" i="95" s="1"/>
  <c r="C782" i="95"/>
  <c r="C828" i="95" s="1"/>
  <c r="C783" i="95"/>
  <c r="C791" i="95"/>
  <c r="C792" i="95"/>
  <c r="C793" i="95"/>
  <c r="C794" i="95"/>
  <c r="C796" i="95"/>
  <c r="C799" i="95"/>
  <c r="C802" i="95"/>
  <c r="C969" i="95" s="1"/>
  <c r="C804" i="95"/>
  <c r="C806" i="95"/>
  <c r="C807" i="95"/>
  <c r="C808" i="95"/>
  <c r="C809" i="95"/>
  <c r="C813" i="95"/>
  <c r="C812" i="95" s="1"/>
  <c r="C817" i="95"/>
  <c r="C821" i="95"/>
  <c r="C820" i="95" s="1"/>
  <c r="C827" i="95"/>
  <c r="C831" i="95"/>
  <c r="C832" i="95"/>
  <c r="C833" i="95"/>
  <c r="C837" i="95"/>
  <c r="C838" i="95"/>
  <c r="C842" i="95"/>
  <c r="C843" i="95"/>
  <c r="C1010" i="95" s="1"/>
  <c r="C849" i="95"/>
  <c r="C850" i="95"/>
  <c r="C854" i="95"/>
  <c r="C855" i="95"/>
  <c r="C857" i="95"/>
  <c r="C858" i="95"/>
  <c r="C860" i="95"/>
  <c r="C861" i="95"/>
  <c r="C864" i="95"/>
  <c r="C862" i="95" s="1"/>
  <c r="C866" i="95"/>
  <c r="C867" i="95"/>
  <c r="C869" i="95"/>
  <c r="C873" i="95"/>
  <c r="C871" i="95" s="1"/>
  <c r="C875" i="95"/>
  <c r="C876" i="95"/>
  <c r="C879" i="95"/>
  <c r="C877" i="95" s="1"/>
  <c r="C884" i="95"/>
  <c r="C885" i="95"/>
  <c r="C886" i="95"/>
  <c r="C891" i="95"/>
  <c r="C892" i="95"/>
  <c r="C893" i="95"/>
  <c r="C903" i="95"/>
  <c r="C904" i="95"/>
  <c r="C905" i="95"/>
  <c r="C909" i="95"/>
  <c r="C910" i="95"/>
  <c r="C911" i="95"/>
  <c r="C917" i="95"/>
  <c r="C920" i="95"/>
  <c r="C940" i="95"/>
  <c r="C968" i="95" s="1"/>
  <c r="C941" i="95"/>
  <c r="C945" i="95"/>
  <c r="C953" i="95" s="1"/>
  <c r="C946" i="95"/>
  <c r="C949" i="95"/>
  <c r="C995" i="95" s="1"/>
  <c r="C950" i="95"/>
  <c r="C954" i="95"/>
  <c r="C958" i="95"/>
  <c r="C959" i="95"/>
  <c r="C960" i="95"/>
  <c r="C961" i="95"/>
  <c r="C963" i="95"/>
  <c r="C966" i="95"/>
  <c r="C971" i="95"/>
  <c r="C973" i="95"/>
  <c r="C974" i="95"/>
  <c r="C975" i="95"/>
  <c r="C976" i="95"/>
  <c r="C979" i="95"/>
  <c r="C984" i="95"/>
  <c r="C988" i="95"/>
  <c r="C987" i="95" s="1"/>
  <c r="C994" i="95"/>
  <c r="C998" i="95"/>
  <c r="C999" i="95"/>
  <c r="C1000" i="95"/>
  <c r="C1004" i="95"/>
  <c r="C1016" i="95" s="1"/>
  <c r="C1005" i="95"/>
  <c r="C1009" i="95"/>
  <c r="C1011" i="95"/>
  <c r="C1017" i="95"/>
  <c r="C1022" i="95"/>
  <c r="C1020" i="95" s="1"/>
  <c r="C1025" i="95"/>
  <c r="C1023" i="95" s="1"/>
  <c r="C1027" i="95"/>
  <c r="C1030" i="95"/>
  <c r="C1031" i="95"/>
  <c r="C1033" i="95"/>
  <c r="C1034" i="95"/>
  <c r="C1037" i="95"/>
  <c r="C1035" i="95" s="1"/>
  <c r="C1731" i="95"/>
  <c r="C1730" i="95"/>
  <c r="C1725" i="95"/>
  <c r="C1724" i="95"/>
  <c r="C1720" i="95"/>
  <c r="C1719" i="95"/>
  <c r="C1718" i="95"/>
  <c r="C1713" i="95"/>
  <c r="C1712" i="95"/>
  <c r="C1707" i="95"/>
  <c r="C1706" i="95"/>
  <c r="C1696" i="95"/>
  <c r="C1690" i="95"/>
  <c r="C1626" i="95"/>
  <c r="C1687" i="95"/>
  <c r="C1679" i="95"/>
  <c r="E129" i="96"/>
  <c r="C1676" i="95" s="1"/>
  <c r="C1673" i="95"/>
  <c r="C1663" i="95"/>
  <c r="C1660" i="95"/>
  <c r="C1657" i="95"/>
  <c r="C1654" i="95"/>
  <c r="C1651" i="95"/>
  <c r="C1648" i="95"/>
  <c r="C1645" i="95"/>
  <c r="C1642" i="95"/>
  <c r="D1642" i="95" s="1"/>
  <c r="E1642" i="95" s="1"/>
  <c r="F1642" i="95" s="1"/>
  <c r="G1642" i="95" s="1"/>
  <c r="H1642" i="95" s="1"/>
  <c r="I1642" i="95" s="1"/>
  <c r="J1642" i="95" s="1"/>
  <c r="K1642" i="95" s="1"/>
  <c r="L1642" i="95" s="1"/>
  <c r="M1642" i="95" s="1"/>
  <c r="N1642" i="95" s="1"/>
  <c r="O1642" i="95" s="1"/>
  <c r="P1642" i="95" s="1"/>
  <c r="Q1642" i="95" s="1"/>
  <c r="R1642" i="95" s="1"/>
  <c r="S1642" i="95" s="1"/>
  <c r="T1642" i="95" s="1"/>
  <c r="U1642" i="95" s="1"/>
  <c r="V1642" i="95" s="1"/>
  <c r="W1642" i="95" s="1"/>
  <c r="X1642" i="95" s="1"/>
  <c r="Y1642" i="95" s="1"/>
  <c r="Z1642" i="95" s="1"/>
  <c r="AA1642" i="95" s="1"/>
  <c r="AB1642" i="95" s="1"/>
  <c r="AC1642" i="95" s="1"/>
  <c r="AD1642" i="95" s="1"/>
  <c r="AE1642" i="95" s="1"/>
  <c r="AF1642" i="95" s="1"/>
  <c r="C1639" i="95"/>
  <c r="D1639" i="95" s="1"/>
  <c r="E1639" i="95" s="1"/>
  <c r="F1639" i="95" s="1"/>
  <c r="G1639" i="95" s="1"/>
  <c r="H1639" i="95" s="1"/>
  <c r="I1639" i="95" s="1"/>
  <c r="J1639" i="95" s="1"/>
  <c r="K1639" i="95" s="1"/>
  <c r="L1639" i="95" s="1"/>
  <c r="M1639" i="95" s="1"/>
  <c r="N1639" i="95" s="1"/>
  <c r="O1639" i="95" s="1"/>
  <c r="P1639" i="95" s="1"/>
  <c r="Q1639" i="95" s="1"/>
  <c r="R1639" i="95" s="1"/>
  <c r="S1639" i="95" s="1"/>
  <c r="T1639" i="95" s="1"/>
  <c r="U1639" i="95" s="1"/>
  <c r="V1639" i="95" s="1"/>
  <c r="W1639" i="95" s="1"/>
  <c r="X1639" i="95" s="1"/>
  <c r="Y1639" i="95" s="1"/>
  <c r="Z1639" i="95" s="1"/>
  <c r="AA1639" i="95" s="1"/>
  <c r="AB1639" i="95" s="1"/>
  <c r="AC1639" i="95" s="1"/>
  <c r="AD1639" i="95" s="1"/>
  <c r="AE1639" i="95" s="1"/>
  <c r="AF1639" i="95" s="1"/>
  <c r="C1636" i="95"/>
  <c r="D1636" i="95" s="1"/>
  <c r="E1636" i="95" s="1"/>
  <c r="F1636" i="95" s="1"/>
  <c r="G1636" i="95" s="1"/>
  <c r="H1636" i="95" s="1"/>
  <c r="I1636" i="95" s="1"/>
  <c r="J1636" i="95" s="1"/>
  <c r="K1636" i="95" s="1"/>
  <c r="L1636" i="95" s="1"/>
  <c r="M1636" i="95" s="1"/>
  <c r="N1636" i="95" s="1"/>
  <c r="O1636" i="95" s="1"/>
  <c r="P1636" i="95" s="1"/>
  <c r="Q1636" i="95" s="1"/>
  <c r="R1636" i="95" s="1"/>
  <c r="S1636" i="95" s="1"/>
  <c r="T1636" i="95" s="1"/>
  <c r="U1636" i="95" s="1"/>
  <c r="V1636" i="95" s="1"/>
  <c r="W1636" i="95" s="1"/>
  <c r="X1636" i="95" s="1"/>
  <c r="Y1636" i="95" s="1"/>
  <c r="Z1636" i="95" s="1"/>
  <c r="AA1636" i="95" s="1"/>
  <c r="AB1636" i="95" s="1"/>
  <c r="AC1636" i="95" s="1"/>
  <c r="AD1636" i="95" s="1"/>
  <c r="AE1636" i="95" s="1"/>
  <c r="AF1636" i="95" s="1"/>
  <c r="C1633" i="95"/>
  <c r="D1633" i="95" s="1"/>
  <c r="E1633" i="95" s="1"/>
  <c r="F1633" i="95" s="1"/>
  <c r="G1633" i="95" s="1"/>
  <c r="H1633" i="95" s="1"/>
  <c r="I1633" i="95" s="1"/>
  <c r="J1633" i="95" s="1"/>
  <c r="K1633" i="95" s="1"/>
  <c r="L1633" i="95" s="1"/>
  <c r="M1633" i="95" s="1"/>
  <c r="N1633" i="95" s="1"/>
  <c r="O1633" i="95" s="1"/>
  <c r="P1633" i="95" s="1"/>
  <c r="Q1633" i="95" s="1"/>
  <c r="R1633" i="95" s="1"/>
  <c r="S1633" i="95" s="1"/>
  <c r="T1633" i="95" s="1"/>
  <c r="U1633" i="95" s="1"/>
  <c r="V1633" i="95" s="1"/>
  <c r="W1633" i="95" s="1"/>
  <c r="X1633" i="95" s="1"/>
  <c r="Y1633" i="95" s="1"/>
  <c r="Z1633" i="95" s="1"/>
  <c r="AA1633" i="95" s="1"/>
  <c r="AB1633" i="95" s="1"/>
  <c r="AC1633" i="95" s="1"/>
  <c r="AD1633" i="95" s="1"/>
  <c r="AE1633" i="95" s="1"/>
  <c r="AF1633" i="95" s="1"/>
  <c r="C1630" i="95"/>
  <c r="C1614" i="95"/>
  <c r="C1613" i="95"/>
  <c r="C1608" i="95"/>
  <c r="C1607" i="95"/>
  <c r="D1475" i="95"/>
  <c r="C1475" i="95"/>
  <c r="D1544" i="95"/>
  <c r="C1544" i="95"/>
  <c r="C1600" i="95"/>
  <c r="C1597" i="95"/>
  <c r="E165" i="96"/>
  <c r="C1585" i="95" s="1"/>
  <c r="C1589" i="95"/>
  <c r="C1581" i="95"/>
  <c r="C1577" i="95"/>
  <c r="C1573" i="95"/>
  <c r="C1569" i="95"/>
  <c r="C1565" i="95"/>
  <c r="C1561" i="95"/>
  <c r="C1557" i="95"/>
  <c r="C1553" i="95"/>
  <c r="C1548" i="95"/>
  <c r="C1542" i="95"/>
  <c r="C1539" i="95"/>
  <c r="C1536" i="95"/>
  <c r="C1533" i="95"/>
  <c r="C1530" i="95"/>
  <c r="C1527" i="95"/>
  <c r="C1524" i="95"/>
  <c r="C1521" i="95"/>
  <c r="C1518" i="95"/>
  <c r="C1515" i="95"/>
  <c r="C1512" i="95"/>
  <c r="C1509" i="95"/>
  <c r="C1506" i="95"/>
  <c r="C1503" i="95"/>
  <c r="C1500" i="95"/>
  <c r="C1497" i="95"/>
  <c r="C1494" i="95"/>
  <c r="C1491" i="95"/>
  <c r="D1491" i="95" s="1"/>
  <c r="E1491" i="95" s="1"/>
  <c r="F1491" i="95" s="1"/>
  <c r="G1491" i="95" s="1"/>
  <c r="H1491" i="95" s="1"/>
  <c r="I1491" i="95" s="1"/>
  <c r="J1491" i="95" s="1"/>
  <c r="K1491" i="95" s="1"/>
  <c r="L1491" i="95" s="1"/>
  <c r="M1491" i="95" s="1"/>
  <c r="N1491" i="95" s="1"/>
  <c r="O1491" i="95" s="1"/>
  <c r="P1491" i="95" s="1"/>
  <c r="Q1491" i="95" s="1"/>
  <c r="R1491" i="95" s="1"/>
  <c r="S1491" i="95" s="1"/>
  <c r="T1491" i="95" s="1"/>
  <c r="U1491" i="95" s="1"/>
  <c r="V1491" i="95" s="1"/>
  <c r="W1491" i="95" s="1"/>
  <c r="X1491" i="95" s="1"/>
  <c r="Y1491" i="95" s="1"/>
  <c r="Z1491" i="95" s="1"/>
  <c r="AA1491" i="95" s="1"/>
  <c r="AB1491" i="95" s="1"/>
  <c r="AC1491" i="95" s="1"/>
  <c r="AD1491" i="95" s="1"/>
  <c r="AE1491" i="95" s="1"/>
  <c r="AF1491" i="95" s="1"/>
  <c r="C1488" i="95"/>
  <c r="C1485" i="95"/>
  <c r="C1482" i="95"/>
  <c r="C1479" i="95"/>
  <c r="C1467" i="95"/>
  <c r="C1466" i="95"/>
  <c r="C1462" i="95"/>
  <c r="C1461" i="95"/>
  <c r="C1457" i="95"/>
  <c r="C1456" i="95"/>
  <c r="C1446" i="95"/>
  <c r="C1443" i="95"/>
  <c r="C1439" i="95"/>
  <c r="C1436" i="95"/>
  <c r="C1433" i="95"/>
  <c r="C1430" i="95"/>
  <c r="C1426" i="95"/>
  <c r="C1416" i="95"/>
  <c r="D1412" i="95"/>
  <c r="E1412" i="95"/>
  <c r="F1412" i="95"/>
  <c r="G1412" i="95"/>
  <c r="H1412" i="95"/>
  <c r="I1412" i="95"/>
  <c r="J1412" i="95"/>
  <c r="K1412" i="95"/>
  <c r="L1412" i="95"/>
  <c r="M1412" i="95"/>
  <c r="N1412" i="95"/>
  <c r="O1412" i="95"/>
  <c r="P1412" i="95"/>
  <c r="Q1412" i="95"/>
  <c r="R1412" i="95"/>
  <c r="S1412" i="95"/>
  <c r="T1412" i="95"/>
  <c r="U1412" i="95"/>
  <c r="V1412" i="95"/>
  <c r="W1412" i="95"/>
  <c r="X1412" i="95"/>
  <c r="Y1412" i="95"/>
  <c r="Z1412" i="95"/>
  <c r="AA1412" i="95"/>
  <c r="AB1412" i="95"/>
  <c r="AC1412" i="95"/>
  <c r="AD1412" i="95"/>
  <c r="AE1412" i="95"/>
  <c r="AF1412" i="95"/>
  <c r="C1399" i="95"/>
  <c r="C1397" i="95"/>
  <c r="D1397" i="95" s="1"/>
  <c r="E1397" i="95" s="1"/>
  <c r="F1397" i="95" s="1"/>
  <c r="G1397" i="95" s="1"/>
  <c r="H1397" i="95" s="1"/>
  <c r="I1397" i="95" s="1"/>
  <c r="J1397" i="95" s="1"/>
  <c r="K1397" i="95" s="1"/>
  <c r="L1397" i="95" s="1"/>
  <c r="M1397" i="95" s="1"/>
  <c r="N1397" i="95" s="1"/>
  <c r="O1397" i="95" s="1"/>
  <c r="P1397" i="95" s="1"/>
  <c r="Q1397" i="95" s="1"/>
  <c r="R1397" i="95" s="1"/>
  <c r="S1397" i="95" s="1"/>
  <c r="T1397" i="95" s="1"/>
  <c r="U1397" i="95" s="1"/>
  <c r="V1397" i="95" s="1"/>
  <c r="W1397" i="95" s="1"/>
  <c r="X1397" i="95" s="1"/>
  <c r="Y1397" i="95" s="1"/>
  <c r="Z1397" i="95" s="1"/>
  <c r="AA1397" i="95" s="1"/>
  <c r="AB1397" i="95" s="1"/>
  <c r="AC1397" i="95" s="1"/>
  <c r="AD1397" i="95" s="1"/>
  <c r="AE1397" i="95" s="1"/>
  <c r="AF1397" i="95" s="1"/>
  <c r="C1388" i="95"/>
  <c r="C1345" i="95"/>
  <c r="C1344" i="95"/>
  <c r="C1340" i="95"/>
  <c r="C1339" i="95"/>
  <c r="C1334" i="95"/>
  <c r="C1333" i="95"/>
  <c r="C1328" i="95"/>
  <c r="C1327" i="95"/>
  <c r="C1322" i="95"/>
  <c r="C1321" i="95"/>
  <c r="C1316" i="95"/>
  <c r="C1315" i="95"/>
  <c r="C1310" i="95"/>
  <c r="C1309" i="95"/>
  <c r="C1304" i="95"/>
  <c r="C1303" i="95"/>
  <c r="C1297" i="95"/>
  <c r="C1296" i="95"/>
  <c r="C1290" i="95"/>
  <c r="C1289" i="95"/>
  <c r="C1280" i="95"/>
  <c r="E26" i="97"/>
  <c r="C124" i="95" l="1"/>
  <c r="C709" i="95"/>
  <c r="C314" i="95"/>
  <c r="C766" i="95"/>
  <c r="C38" i="95"/>
  <c r="C716" i="95"/>
  <c r="C688" i="95"/>
  <c r="C687" i="95" s="1"/>
  <c r="C138" i="95"/>
  <c r="C856" i="95"/>
  <c r="C628" i="95"/>
  <c r="C627" i="95" s="1"/>
  <c r="C467" i="95"/>
  <c r="C882" i="95"/>
  <c r="C772" i="95"/>
  <c r="C659" i="95"/>
  <c r="C657" i="95" s="1"/>
  <c r="C656" i="95" s="1"/>
  <c r="C801" i="95"/>
  <c r="C800" i="95" s="1"/>
  <c r="C584" i="95"/>
  <c r="C342" i="95"/>
  <c r="C349" i="95"/>
  <c r="C647" i="95"/>
  <c r="C645" i="95" s="1"/>
  <c r="C874" i="95"/>
  <c r="C665" i="95"/>
  <c r="C663" i="95" s="1"/>
  <c r="C662" i="95" s="1"/>
  <c r="C865" i="95"/>
  <c r="C853" i="95"/>
  <c r="C797" i="95"/>
  <c r="C795" i="95" s="1"/>
  <c r="C282" i="95"/>
  <c r="C116" i="95"/>
  <c r="C972" i="95"/>
  <c r="C889" i="95"/>
  <c r="C577" i="95"/>
  <c r="C255" i="95"/>
  <c r="C254" i="95" s="1"/>
  <c r="C790" i="95"/>
  <c r="C848" i="95"/>
  <c r="C22" i="95"/>
  <c r="C21" i="95" s="1"/>
  <c r="C1029" i="95"/>
  <c r="C939" i="95"/>
  <c r="C938" i="95" s="1"/>
  <c r="C560" i="95"/>
  <c r="C559" i="95" s="1"/>
  <c r="C573" i="95"/>
  <c r="C572" i="95" s="1"/>
  <c r="C472" i="95"/>
  <c r="C1032" i="95"/>
  <c r="C818" i="95"/>
  <c r="C816" i="95" s="1"/>
  <c r="C811" i="95" s="1"/>
  <c r="C478" i="95"/>
  <c r="C296" i="95"/>
  <c r="C1015" i="95"/>
  <c r="C769" i="95"/>
  <c r="C453" i="95"/>
  <c r="C450" i="95" s="1"/>
  <c r="C449" i="95" s="1"/>
  <c r="C957" i="95"/>
  <c r="C829" i="95"/>
  <c r="C826" i="95" s="1"/>
  <c r="C825" i="95" s="1"/>
  <c r="C553" i="95"/>
  <c r="C550" i="95" s="1"/>
  <c r="C549" i="95" s="1"/>
  <c r="C328" i="95"/>
  <c r="C996" i="95"/>
  <c r="C993" i="95" s="1"/>
  <c r="C992" i="95" s="1"/>
  <c r="C964" i="95"/>
  <c r="C962" i="95" s="1"/>
  <c r="C859" i="95"/>
  <c r="C166" i="95"/>
  <c r="C152" i="95"/>
  <c r="C485" i="95"/>
  <c r="C985" i="95"/>
  <c r="C983" i="95" s="1"/>
  <c r="C978" i="95" s="1"/>
  <c r="C805" i="95"/>
  <c r="C53" i="95"/>
  <c r="C302" i="95"/>
  <c r="C301" i="95" s="1"/>
  <c r="C295" i="95"/>
  <c r="C650" i="95"/>
  <c r="C437" i="95"/>
  <c r="C436" i="95" s="1"/>
  <c r="C119" i="95"/>
  <c r="C74" i="95"/>
  <c r="C71" i="95" s="1"/>
  <c r="C289" i="95"/>
  <c r="C288" i="95" s="1"/>
  <c r="C673" i="95"/>
  <c r="C672" i="95" s="1"/>
  <c r="C566" i="95"/>
  <c r="C407" i="95"/>
  <c r="C444" i="95"/>
  <c r="C443" i="95" s="1"/>
  <c r="C273" i="95"/>
  <c r="C272" i="95" s="1"/>
  <c r="C967" i="95"/>
  <c r="C836" i="95"/>
  <c r="C835" i="95" s="1"/>
  <c r="C763" i="95"/>
  <c r="C460" i="95"/>
  <c r="C459" i="95" s="1"/>
  <c r="C89" i="95"/>
  <c r="C88" i="95" s="1"/>
  <c r="C43" i="95"/>
  <c r="C79" i="95"/>
  <c r="C1003" i="95"/>
  <c r="C1002" i="95" s="1"/>
  <c r="C99" i="95"/>
  <c r="C539" i="95"/>
  <c r="C537" i="95" s="1"/>
  <c r="C536" i="95" s="1"/>
  <c r="C281" i="95"/>
  <c r="C268" i="95"/>
  <c r="C266" i="95" s="1"/>
  <c r="C265" i="95" s="1"/>
  <c r="C112" i="95"/>
  <c r="C111" i="95" s="1"/>
  <c r="C546" i="95"/>
  <c r="C544" i="95" s="1"/>
  <c r="C543" i="95" s="1"/>
  <c r="C60" i="95"/>
  <c r="C50" i="95"/>
  <c r="C48" i="95" s="1"/>
  <c r="C66" i="95"/>
  <c r="C64" i="95" s="1"/>
  <c r="C1277" i="95"/>
  <c r="C1271" i="95"/>
  <c r="C1270" i="95"/>
  <c r="C1264" i="95"/>
  <c r="C1263" i="95"/>
  <c r="C1258" i="95"/>
  <c r="C1257" i="95"/>
  <c r="C1256" i="95"/>
  <c r="C1251" i="95"/>
  <c r="C1250" i="95"/>
  <c r="C1249" i="95"/>
  <c r="E25" i="97"/>
  <c r="C1244" i="95"/>
  <c r="C1243" i="95"/>
  <c r="C1242" i="95"/>
  <c r="C1237" i="95"/>
  <c r="C1236" i="95"/>
  <c r="C1235" i="95"/>
  <c r="C1229" i="95"/>
  <c r="C1228" i="95"/>
  <c r="C1227" i="95"/>
  <c r="C1221" i="95"/>
  <c r="C1220" i="95"/>
  <c r="C1219" i="95"/>
  <c r="C1214" i="95"/>
  <c r="C1211" i="95"/>
  <c r="D1211" i="95" s="1"/>
  <c r="C1208" i="95"/>
  <c r="C1205" i="95"/>
  <c r="C1201" i="95"/>
  <c r="D1201" i="95" s="1"/>
  <c r="C1198" i="95"/>
  <c r="D1198" i="95" s="1"/>
  <c r="C1195" i="95"/>
  <c r="D1195" i="95" s="1"/>
  <c r="C1191" i="95"/>
  <c r="C1185" i="95"/>
  <c r="D1185" i="95" s="1"/>
  <c r="E1185" i="95" s="1"/>
  <c r="F1185" i="95" s="1"/>
  <c r="G1185" i="95" s="1"/>
  <c r="H1185" i="95" s="1"/>
  <c r="I1185" i="95" s="1"/>
  <c r="J1185" i="95" s="1"/>
  <c r="K1185" i="95" s="1"/>
  <c r="L1185" i="95" s="1"/>
  <c r="M1185" i="95" s="1"/>
  <c r="N1185" i="95" s="1"/>
  <c r="O1185" i="95" s="1"/>
  <c r="P1185" i="95" s="1"/>
  <c r="Q1185" i="95" s="1"/>
  <c r="R1185" i="95" s="1"/>
  <c r="S1185" i="95" s="1"/>
  <c r="T1185" i="95" s="1"/>
  <c r="U1185" i="95" s="1"/>
  <c r="V1185" i="95" s="1"/>
  <c r="W1185" i="95" s="1"/>
  <c r="X1185" i="95" s="1"/>
  <c r="Y1185" i="95" s="1"/>
  <c r="Z1185" i="95" s="1"/>
  <c r="AA1185" i="95" s="1"/>
  <c r="AB1185" i="95" s="1"/>
  <c r="AC1185" i="95" s="1"/>
  <c r="AD1185" i="95" s="1"/>
  <c r="AE1185" i="95" s="1"/>
  <c r="AF1185" i="95" s="1"/>
  <c r="C1181" i="95"/>
  <c r="C1177" i="95"/>
  <c r="C1171" i="95"/>
  <c r="C1168" i="95"/>
  <c r="C1164" i="95"/>
  <c r="C1159" i="95"/>
  <c r="C1152" i="95"/>
  <c r="C1138" i="95"/>
  <c r="C1132" i="95"/>
  <c r="C1129" i="95"/>
  <c r="D1081" i="95"/>
  <c r="D1078" i="95" s="1"/>
  <c r="C1078" i="95"/>
  <c r="C1069" i="95"/>
  <c r="C1068" i="95"/>
  <c r="C1063" i="95"/>
  <c r="C1062" i="95"/>
  <c r="C1051" i="95"/>
  <c r="C1050" i="95"/>
  <c r="C1049" i="95"/>
  <c r="C1044" i="95"/>
  <c r="C1043" i="95"/>
  <c r="C1042" i="95"/>
  <c r="D1034" i="95"/>
  <c r="D1022" i="95"/>
  <c r="D1030" i="95"/>
  <c r="D1036" i="95"/>
  <c r="D1024" i="95"/>
  <c r="D625" i="95"/>
  <c r="E625" i="95"/>
  <c r="F625" i="95"/>
  <c r="G625" i="95"/>
  <c r="H625" i="95"/>
  <c r="I625" i="95"/>
  <c r="J625" i="95"/>
  <c r="K625" i="95"/>
  <c r="L625" i="95"/>
  <c r="M625" i="95"/>
  <c r="N625" i="95"/>
  <c r="O625" i="95"/>
  <c r="P625" i="95"/>
  <c r="Q625" i="95"/>
  <c r="R625" i="95"/>
  <c r="S625" i="95"/>
  <c r="T625" i="95"/>
  <c r="U625" i="95"/>
  <c r="V625" i="95"/>
  <c r="W625" i="95"/>
  <c r="X625" i="95"/>
  <c r="Y625" i="95"/>
  <c r="Z625" i="95"/>
  <c r="AA625" i="95"/>
  <c r="AB625" i="95"/>
  <c r="AC625" i="95"/>
  <c r="AD625" i="95"/>
  <c r="AE625" i="95"/>
  <c r="AF625" i="95"/>
  <c r="D760" i="95"/>
  <c r="E760" i="95"/>
  <c r="F760" i="95"/>
  <c r="G760" i="95"/>
  <c r="H760" i="95"/>
  <c r="I760" i="95"/>
  <c r="J760" i="95"/>
  <c r="K760" i="95"/>
  <c r="L760" i="95"/>
  <c r="M760" i="95"/>
  <c r="N760" i="95"/>
  <c r="O760" i="95"/>
  <c r="P760" i="95"/>
  <c r="Q760" i="95"/>
  <c r="R760" i="95"/>
  <c r="S760" i="95"/>
  <c r="T760" i="95"/>
  <c r="U760" i="95"/>
  <c r="V760" i="95"/>
  <c r="W760" i="95"/>
  <c r="X760" i="95"/>
  <c r="Y760" i="95"/>
  <c r="Z760" i="95"/>
  <c r="AA760" i="95"/>
  <c r="AB760" i="95"/>
  <c r="AC760" i="95"/>
  <c r="AD760" i="95"/>
  <c r="AE760" i="95"/>
  <c r="AF760" i="95"/>
  <c r="D849" i="95"/>
  <c r="C576" i="95" l="1"/>
  <c r="C708" i="95"/>
  <c r="C881" i="95"/>
  <c r="C789" i="95"/>
  <c r="C762" i="95"/>
  <c r="C69" i="95"/>
  <c r="C279" i="95"/>
  <c r="C278" i="95" s="1"/>
  <c r="C42" i="95"/>
  <c r="C59" i="95"/>
  <c r="C956" i="95"/>
  <c r="C115" i="95"/>
  <c r="C477" i="95"/>
  <c r="C644" i="95"/>
  <c r="E1081" i="95"/>
  <c r="D523" i="95"/>
  <c r="E523" i="95"/>
  <c r="F523" i="95"/>
  <c r="G523" i="95"/>
  <c r="H523" i="95"/>
  <c r="I523" i="95"/>
  <c r="J523" i="95"/>
  <c r="K523" i="95"/>
  <c r="L523" i="95"/>
  <c r="M523" i="95"/>
  <c r="N523" i="95"/>
  <c r="O523" i="95"/>
  <c r="P523" i="95"/>
  <c r="Q523" i="95"/>
  <c r="R523" i="95"/>
  <c r="S523" i="95"/>
  <c r="T523" i="95"/>
  <c r="U523" i="95"/>
  <c r="V523" i="95"/>
  <c r="W523" i="95"/>
  <c r="X523" i="95"/>
  <c r="Y523" i="95"/>
  <c r="Z523" i="95"/>
  <c r="AA523" i="95"/>
  <c r="AB523" i="95"/>
  <c r="AC523" i="95"/>
  <c r="AD523" i="95"/>
  <c r="AE523" i="95"/>
  <c r="AF523" i="95"/>
  <c r="D28" i="97"/>
  <c r="D29" i="97" s="1"/>
  <c r="C1699" i="95" s="1"/>
  <c r="E1078" i="95" l="1"/>
  <c r="F1081" i="95"/>
  <c r="G1081" i="95" l="1"/>
  <c r="F1078" i="95"/>
  <c r="H1081" i="95" l="1"/>
  <c r="G1078" i="95"/>
  <c r="I213" i="79"/>
  <c r="N213" i="79" s="1"/>
  <c r="S213" i="79" s="1"/>
  <c r="X213" i="79" s="1"/>
  <c r="AC213" i="79" s="1"/>
  <c r="J213" i="79"/>
  <c r="O213" i="79" s="1"/>
  <c r="T213" i="79" s="1"/>
  <c r="Y213" i="79" s="1"/>
  <c r="AD213" i="79" s="1"/>
  <c r="K213" i="79"/>
  <c r="P213" i="79" s="1"/>
  <c r="U213" i="79" s="1"/>
  <c r="Z213" i="79" s="1"/>
  <c r="AE213" i="79" s="1"/>
  <c r="L213" i="79"/>
  <c r="Q213" i="79" s="1"/>
  <c r="V213" i="79" s="1"/>
  <c r="AA213" i="79" s="1"/>
  <c r="AF213" i="79" s="1"/>
  <c r="H213" i="79"/>
  <c r="M213" i="79" s="1"/>
  <c r="R213" i="79" s="1"/>
  <c r="W213" i="79" s="1"/>
  <c r="AB213" i="79" s="1"/>
  <c r="C214" i="79"/>
  <c r="D214" i="79" s="1"/>
  <c r="E214" i="79" s="1"/>
  <c r="F214" i="79" s="1"/>
  <c r="G214" i="79" s="1"/>
  <c r="H214" i="79" s="1"/>
  <c r="I214" i="79" s="1"/>
  <c r="J214" i="79" s="1"/>
  <c r="K214" i="79" s="1"/>
  <c r="L214" i="79" s="1"/>
  <c r="M214" i="79" s="1"/>
  <c r="N214" i="79" s="1"/>
  <c r="O214" i="79" s="1"/>
  <c r="P214" i="79" s="1"/>
  <c r="Q214" i="79" s="1"/>
  <c r="R214" i="79" s="1"/>
  <c r="S214" i="79" s="1"/>
  <c r="T214" i="79" s="1"/>
  <c r="U214" i="79" s="1"/>
  <c r="V214" i="79" s="1"/>
  <c r="W214" i="79" s="1"/>
  <c r="X214" i="79" s="1"/>
  <c r="Y214" i="79" s="1"/>
  <c r="Z214" i="79" s="1"/>
  <c r="AA214" i="79" s="1"/>
  <c r="AB214" i="79" s="1"/>
  <c r="AC214" i="79" s="1"/>
  <c r="AD214" i="79" s="1"/>
  <c r="AE214" i="79" s="1"/>
  <c r="AF214" i="79" s="1"/>
  <c r="C209" i="79"/>
  <c r="D209" i="79" s="1"/>
  <c r="E209" i="79" s="1"/>
  <c r="F209" i="79" s="1"/>
  <c r="G209" i="79" s="1"/>
  <c r="H209" i="79" s="1"/>
  <c r="I209" i="79" s="1"/>
  <c r="J209" i="79" s="1"/>
  <c r="K209" i="79" s="1"/>
  <c r="L209" i="79" s="1"/>
  <c r="M209" i="79" s="1"/>
  <c r="N209" i="79" s="1"/>
  <c r="O209" i="79" s="1"/>
  <c r="P209" i="79" s="1"/>
  <c r="Q209" i="79" s="1"/>
  <c r="R209" i="79" s="1"/>
  <c r="S209" i="79" s="1"/>
  <c r="T209" i="79" s="1"/>
  <c r="U209" i="79" s="1"/>
  <c r="V209" i="79" s="1"/>
  <c r="W209" i="79" s="1"/>
  <c r="X209" i="79" s="1"/>
  <c r="Y209" i="79" s="1"/>
  <c r="Z209" i="79" s="1"/>
  <c r="AA209" i="79" s="1"/>
  <c r="AB209" i="79" s="1"/>
  <c r="AC209" i="79" s="1"/>
  <c r="AD209" i="79" s="1"/>
  <c r="AE209" i="79" s="1"/>
  <c r="AF209" i="79" s="1"/>
  <c r="C206" i="79"/>
  <c r="D206" i="79" s="1"/>
  <c r="E206" i="79" s="1"/>
  <c r="F206" i="79" s="1"/>
  <c r="G206" i="79" s="1"/>
  <c r="H206" i="79" s="1"/>
  <c r="I206" i="79" s="1"/>
  <c r="J206" i="79" s="1"/>
  <c r="K206" i="79" s="1"/>
  <c r="L206" i="79" s="1"/>
  <c r="M206" i="79" s="1"/>
  <c r="N206" i="79" s="1"/>
  <c r="O206" i="79" s="1"/>
  <c r="P206" i="79" s="1"/>
  <c r="Q206" i="79" s="1"/>
  <c r="R206" i="79" s="1"/>
  <c r="S206" i="79" s="1"/>
  <c r="T206" i="79" s="1"/>
  <c r="U206" i="79" s="1"/>
  <c r="V206" i="79" s="1"/>
  <c r="W206" i="79" s="1"/>
  <c r="X206" i="79" s="1"/>
  <c r="Y206" i="79" s="1"/>
  <c r="Z206" i="79" s="1"/>
  <c r="AA206" i="79" s="1"/>
  <c r="AB206" i="79" s="1"/>
  <c r="AC206" i="79" s="1"/>
  <c r="AD206" i="79" s="1"/>
  <c r="AE206" i="79" s="1"/>
  <c r="AF206" i="79" s="1"/>
  <c r="C202" i="79"/>
  <c r="D202" i="79" s="1"/>
  <c r="E202" i="79" s="1"/>
  <c r="F202" i="79" s="1"/>
  <c r="G202" i="79" s="1"/>
  <c r="H202" i="79" s="1"/>
  <c r="I202" i="79" s="1"/>
  <c r="J202" i="79" s="1"/>
  <c r="K202" i="79" s="1"/>
  <c r="L202" i="79" s="1"/>
  <c r="M202" i="79" s="1"/>
  <c r="N202" i="79" s="1"/>
  <c r="O202" i="79" s="1"/>
  <c r="P202" i="79" s="1"/>
  <c r="Q202" i="79" s="1"/>
  <c r="R202" i="79" s="1"/>
  <c r="S202" i="79" s="1"/>
  <c r="T202" i="79" s="1"/>
  <c r="U202" i="79" s="1"/>
  <c r="V202" i="79" s="1"/>
  <c r="W202" i="79" s="1"/>
  <c r="X202" i="79" s="1"/>
  <c r="Y202" i="79" s="1"/>
  <c r="Z202" i="79" s="1"/>
  <c r="AA202" i="79" s="1"/>
  <c r="AB202" i="79" s="1"/>
  <c r="AC202" i="79" s="1"/>
  <c r="AD202" i="79" s="1"/>
  <c r="AE202" i="79" s="1"/>
  <c r="AF202" i="79" s="1"/>
  <c r="C196" i="79"/>
  <c r="D196" i="79" s="1"/>
  <c r="E196" i="79" s="1"/>
  <c r="F196" i="79" s="1"/>
  <c r="G196" i="79" s="1"/>
  <c r="H196" i="79" s="1"/>
  <c r="I196" i="79" s="1"/>
  <c r="J196" i="79" s="1"/>
  <c r="K196" i="79" s="1"/>
  <c r="L196" i="79" s="1"/>
  <c r="M196" i="79" s="1"/>
  <c r="N196" i="79" s="1"/>
  <c r="O196" i="79" s="1"/>
  <c r="P196" i="79" s="1"/>
  <c r="Q196" i="79" s="1"/>
  <c r="R196" i="79" s="1"/>
  <c r="S196" i="79" s="1"/>
  <c r="T196" i="79" s="1"/>
  <c r="U196" i="79" s="1"/>
  <c r="V196" i="79" s="1"/>
  <c r="W196" i="79" s="1"/>
  <c r="X196" i="79" s="1"/>
  <c r="Y196" i="79" s="1"/>
  <c r="Z196" i="79" s="1"/>
  <c r="AA196" i="79" s="1"/>
  <c r="AB196" i="79" s="1"/>
  <c r="AC196" i="79" s="1"/>
  <c r="AD196" i="79" s="1"/>
  <c r="AE196" i="79" s="1"/>
  <c r="AF196" i="79" s="1"/>
  <c r="C193" i="79"/>
  <c r="D193" i="79" s="1"/>
  <c r="E193" i="79" s="1"/>
  <c r="F193" i="79" s="1"/>
  <c r="G193" i="79" s="1"/>
  <c r="H193" i="79" s="1"/>
  <c r="I193" i="79" s="1"/>
  <c r="J193" i="79" s="1"/>
  <c r="K193" i="79" s="1"/>
  <c r="L193" i="79" s="1"/>
  <c r="M193" i="79" s="1"/>
  <c r="N193" i="79" s="1"/>
  <c r="O193" i="79" s="1"/>
  <c r="P193" i="79" s="1"/>
  <c r="Q193" i="79" s="1"/>
  <c r="R193" i="79" s="1"/>
  <c r="S193" i="79" s="1"/>
  <c r="T193" i="79" s="1"/>
  <c r="U193" i="79" s="1"/>
  <c r="V193" i="79" s="1"/>
  <c r="W193" i="79" s="1"/>
  <c r="X193" i="79" s="1"/>
  <c r="Y193" i="79" s="1"/>
  <c r="Z193" i="79" s="1"/>
  <c r="AA193" i="79" s="1"/>
  <c r="AB193" i="79" s="1"/>
  <c r="AC193" i="79" s="1"/>
  <c r="AD193" i="79" s="1"/>
  <c r="AE193" i="79" s="1"/>
  <c r="AF193" i="79" s="1"/>
  <c r="C182" i="79"/>
  <c r="C179" i="79"/>
  <c r="C175" i="79"/>
  <c r="D175" i="79" s="1"/>
  <c r="E175" i="79" s="1"/>
  <c r="F175" i="79" s="1"/>
  <c r="G175" i="79" s="1"/>
  <c r="H175" i="79" s="1"/>
  <c r="I175" i="79" s="1"/>
  <c r="J175" i="79" s="1"/>
  <c r="K175" i="79" s="1"/>
  <c r="L175" i="79" s="1"/>
  <c r="M175" i="79" s="1"/>
  <c r="N175" i="79" s="1"/>
  <c r="O175" i="79" s="1"/>
  <c r="P175" i="79" s="1"/>
  <c r="Q175" i="79" s="1"/>
  <c r="R175" i="79" s="1"/>
  <c r="S175" i="79" s="1"/>
  <c r="T175" i="79" s="1"/>
  <c r="U175" i="79" s="1"/>
  <c r="V175" i="79" s="1"/>
  <c r="W175" i="79" s="1"/>
  <c r="X175" i="79" s="1"/>
  <c r="Y175" i="79" s="1"/>
  <c r="Z175" i="79" s="1"/>
  <c r="AA175" i="79" s="1"/>
  <c r="AB175" i="79" s="1"/>
  <c r="AC175" i="79" s="1"/>
  <c r="AD175" i="79" s="1"/>
  <c r="AE175" i="79" s="1"/>
  <c r="AF175" i="79" s="1"/>
  <c r="C171" i="79"/>
  <c r="C168" i="79"/>
  <c r="C164" i="79"/>
  <c r="C160" i="79"/>
  <c r="D160" i="79" s="1"/>
  <c r="E160" i="79" s="1"/>
  <c r="F160" i="79" s="1"/>
  <c r="G160" i="79" s="1"/>
  <c r="H160" i="79" s="1"/>
  <c r="I160" i="79" s="1"/>
  <c r="J160" i="79" s="1"/>
  <c r="K160" i="79" s="1"/>
  <c r="L160" i="79" s="1"/>
  <c r="M160" i="79" s="1"/>
  <c r="N160" i="79" s="1"/>
  <c r="O160" i="79" s="1"/>
  <c r="P160" i="79" s="1"/>
  <c r="Q160" i="79" s="1"/>
  <c r="R160" i="79" s="1"/>
  <c r="S160" i="79" s="1"/>
  <c r="T160" i="79" s="1"/>
  <c r="U160" i="79" s="1"/>
  <c r="V160" i="79" s="1"/>
  <c r="W160" i="79" s="1"/>
  <c r="X160" i="79" s="1"/>
  <c r="Y160" i="79" s="1"/>
  <c r="Z160" i="79" s="1"/>
  <c r="AA160" i="79" s="1"/>
  <c r="AB160" i="79" s="1"/>
  <c r="AC160" i="79" s="1"/>
  <c r="AD160" i="79" s="1"/>
  <c r="AE160" i="79" s="1"/>
  <c r="AF160" i="79" s="1"/>
  <c r="H154" i="79"/>
  <c r="D164" i="79" l="1"/>
  <c r="E164" i="79" s="1"/>
  <c r="F164" i="79" s="1"/>
  <c r="G164" i="79" s="1"/>
  <c r="H164" i="79" s="1"/>
  <c r="I164" i="79" s="1"/>
  <c r="J164" i="79" s="1"/>
  <c r="K164" i="79" s="1"/>
  <c r="L164" i="79" s="1"/>
  <c r="M164" i="79" s="1"/>
  <c r="N164" i="79" s="1"/>
  <c r="O164" i="79" s="1"/>
  <c r="P164" i="79" s="1"/>
  <c r="Q164" i="79" s="1"/>
  <c r="R164" i="79" s="1"/>
  <c r="S164" i="79" s="1"/>
  <c r="T164" i="79" s="1"/>
  <c r="U164" i="79" s="1"/>
  <c r="V164" i="79" s="1"/>
  <c r="W164" i="79" s="1"/>
  <c r="X164" i="79" s="1"/>
  <c r="Y164" i="79" s="1"/>
  <c r="Z164" i="79" s="1"/>
  <c r="AA164" i="79" s="1"/>
  <c r="AB164" i="79" s="1"/>
  <c r="AC164" i="79" s="1"/>
  <c r="AD164" i="79" s="1"/>
  <c r="AE164" i="79" s="1"/>
  <c r="AF164" i="79" s="1"/>
  <c r="C1119" i="95"/>
  <c r="D168" i="79"/>
  <c r="E168" i="79" s="1"/>
  <c r="F168" i="79" s="1"/>
  <c r="G168" i="79" s="1"/>
  <c r="H168" i="79" s="1"/>
  <c r="I168" i="79" s="1"/>
  <c r="J168" i="79" s="1"/>
  <c r="K168" i="79" s="1"/>
  <c r="L168" i="79" s="1"/>
  <c r="M168" i="79" s="1"/>
  <c r="N168" i="79" s="1"/>
  <c r="O168" i="79" s="1"/>
  <c r="P168" i="79" s="1"/>
  <c r="Q168" i="79" s="1"/>
  <c r="R168" i="79" s="1"/>
  <c r="S168" i="79" s="1"/>
  <c r="T168" i="79" s="1"/>
  <c r="U168" i="79" s="1"/>
  <c r="V168" i="79" s="1"/>
  <c r="W168" i="79" s="1"/>
  <c r="X168" i="79" s="1"/>
  <c r="Y168" i="79" s="1"/>
  <c r="Z168" i="79" s="1"/>
  <c r="AA168" i="79" s="1"/>
  <c r="AB168" i="79" s="1"/>
  <c r="AC168" i="79" s="1"/>
  <c r="AD168" i="79" s="1"/>
  <c r="AE168" i="79" s="1"/>
  <c r="AF168" i="79" s="1"/>
  <c r="C1106" i="95"/>
  <c r="D171" i="79"/>
  <c r="E171" i="79" s="1"/>
  <c r="F171" i="79" s="1"/>
  <c r="G171" i="79" s="1"/>
  <c r="H171" i="79" s="1"/>
  <c r="I171" i="79" s="1"/>
  <c r="J171" i="79" s="1"/>
  <c r="K171" i="79" s="1"/>
  <c r="L171" i="79" s="1"/>
  <c r="M171" i="79" s="1"/>
  <c r="N171" i="79" s="1"/>
  <c r="O171" i="79" s="1"/>
  <c r="P171" i="79" s="1"/>
  <c r="Q171" i="79" s="1"/>
  <c r="R171" i="79" s="1"/>
  <c r="S171" i="79" s="1"/>
  <c r="T171" i="79" s="1"/>
  <c r="U171" i="79" s="1"/>
  <c r="V171" i="79" s="1"/>
  <c r="W171" i="79" s="1"/>
  <c r="X171" i="79" s="1"/>
  <c r="Y171" i="79" s="1"/>
  <c r="Z171" i="79" s="1"/>
  <c r="AA171" i="79" s="1"/>
  <c r="AB171" i="79" s="1"/>
  <c r="AC171" i="79" s="1"/>
  <c r="AD171" i="79" s="1"/>
  <c r="AE171" i="79" s="1"/>
  <c r="AF171" i="79" s="1"/>
  <c r="C1109" i="95"/>
  <c r="I1081" i="95"/>
  <c r="H1078" i="95"/>
  <c r="E146" i="79"/>
  <c r="C142" i="79"/>
  <c r="C137" i="79"/>
  <c r="D132" i="79"/>
  <c r="N132" i="79" s="1"/>
  <c r="X132" i="79" s="1"/>
  <c r="C127" i="79"/>
  <c r="C122" i="79"/>
  <c r="C1113" i="95" s="1"/>
  <c r="D117" i="79"/>
  <c r="D112" i="79"/>
  <c r="M142" i="79" l="1"/>
  <c r="W142" i="79" s="1"/>
  <c r="C145" i="79"/>
  <c r="E144" i="79"/>
  <c r="D127" i="79"/>
  <c r="N127" i="79" s="1"/>
  <c r="X127" i="79" s="1"/>
  <c r="C1116" i="95"/>
  <c r="J1081" i="95"/>
  <c r="I1078" i="95"/>
  <c r="E132" i="79"/>
  <c r="O132" i="79" s="1"/>
  <c r="Y132" i="79" s="1"/>
  <c r="M127" i="79"/>
  <c r="W127" i="79" s="1"/>
  <c r="C106" i="79"/>
  <c r="C955" i="95" s="1"/>
  <c r="C952" i="95" s="1"/>
  <c r="C103" i="79"/>
  <c r="C947" i="95" s="1"/>
  <c r="C944" i="95" s="1"/>
  <c r="D98" i="79"/>
  <c r="E98" i="79"/>
  <c r="F98" i="79"/>
  <c r="G98" i="79"/>
  <c r="H98" i="79"/>
  <c r="I98" i="79"/>
  <c r="J98" i="79"/>
  <c r="K98" i="79"/>
  <c r="L98" i="79"/>
  <c r="M98" i="79"/>
  <c r="N98" i="79"/>
  <c r="O98" i="79"/>
  <c r="P98" i="79"/>
  <c r="Q98" i="79"/>
  <c r="R98" i="79"/>
  <c r="S98" i="79"/>
  <c r="T98" i="79"/>
  <c r="U98" i="79"/>
  <c r="V98" i="79"/>
  <c r="W98" i="79"/>
  <c r="X98" i="79"/>
  <c r="Y98" i="79"/>
  <c r="Z98" i="79"/>
  <c r="AA98" i="79"/>
  <c r="AB98" i="79"/>
  <c r="AC98" i="79"/>
  <c r="AD98" i="79"/>
  <c r="AE98" i="79"/>
  <c r="AF98" i="79"/>
  <c r="C98" i="79"/>
  <c r="C96" i="79"/>
  <c r="C99" i="79"/>
  <c r="D99" i="79" s="1"/>
  <c r="E99" i="79" s="1"/>
  <c r="F99" i="79" s="1"/>
  <c r="G99" i="79" s="1"/>
  <c r="H99" i="79" s="1"/>
  <c r="I99" i="79" s="1"/>
  <c r="J99" i="79" s="1"/>
  <c r="K99" i="79" s="1"/>
  <c r="L99" i="79" s="1"/>
  <c r="M99" i="79" s="1"/>
  <c r="N99" i="79" s="1"/>
  <c r="O99" i="79" s="1"/>
  <c r="P99" i="79" s="1"/>
  <c r="Q99" i="79" s="1"/>
  <c r="R99" i="79" s="1"/>
  <c r="S99" i="79" s="1"/>
  <c r="T99" i="79" s="1"/>
  <c r="U99" i="79" s="1"/>
  <c r="V99" i="79" s="1"/>
  <c r="W99" i="79" s="1"/>
  <c r="X99" i="79" s="1"/>
  <c r="Y99" i="79" s="1"/>
  <c r="Z99" i="79" s="1"/>
  <c r="AA99" i="79" s="1"/>
  <c r="AB99" i="79" s="1"/>
  <c r="AC99" i="79" s="1"/>
  <c r="AD99" i="79" s="1"/>
  <c r="AE99" i="79" s="1"/>
  <c r="AF99" i="79" s="1"/>
  <c r="C90" i="79"/>
  <c r="C788" i="95" s="1"/>
  <c r="C785" i="95" s="1"/>
  <c r="C87" i="79"/>
  <c r="C780" i="95" s="1"/>
  <c r="C777" i="95" s="1"/>
  <c r="D82" i="79"/>
  <c r="E82" i="79"/>
  <c r="F82" i="79"/>
  <c r="G82" i="79"/>
  <c r="H82" i="79"/>
  <c r="I82" i="79"/>
  <c r="J82" i="79"/>
  <c r="K82" i="79"/>
  <c r="L82" i="79"/>
  <c r="M82" i="79"/>
  <c r="N82" i="79"/>
  <c r="O82" i="79"/>
  <c r="P82" i="79"/>
  <c r="Q82" i="79"/>
  <c r="R82" i="79"/>
  <c r="S82" i="79"/>
  <c r="T82" i="79"/>
  <c r="U82" i="79"/>
  <c r="V82" i="79"/>
  <c r="W82" i="79"/>
  <c r="X82" i="79"/>
  <c r="Y82" i="79"/>
  <c r="Z82" i="79"/>
  <c r="AA82" i="79"/>
  <c r="AB82" i="79"/>
  <c r="AC82" i="79"/>
  <c r="AD82" i="79"/>
  <c r="AE82" i="79"/>
  <c r="AF82" i="79"/>
  <c r="C82" i="79"/>
  <c r="C83" i="79"/>
  <c r="D83" i="79" s="1"/>
  <c r="E83" i="79" s="1"/>
  <c r="F83" i="79" s="1"/>
  <c r="G83" i="79" s="1"/>
  <c r="H83" i="79" s="1"/>
  <c r="I83" i="79" s="1"/>
  <c r="J83" i="79" s="1"/>
  <c r="K83" i="79" s="1"/>
  <c r="L83" i="79" s="1"/>
  <c r="M83" i="79" s="1"/>
  <c r="N83" i="79" s="1"/>
  <c r="O83" i="79" s="1"/>
  <c r="P83" i="79" s="1"/>
  <c r="Q83" i="79" s="1"/>
  <c r="R83" i="79" s="1"/>
  <c r="S83" i="79" s="1"/>
  <c r="T83" i="79" s="1"/>
  <c r="U83" i="79" s="1"/>
  <c r="V83" i="79" s="1"/>
  <c r="W83" i="79" s="1"/>
  <c r="X83" i="79" s="1"/>
  <c r="Y83" i="79" s="1"/>
  <c r="Z83" i="79" s="1"/>
  <c r="AA83" i="79" s="1"/>
  <c r="AB83" i="79" s="1"/>
  <c r="AC83" i="79" s="1"/>
  <c r="AD83" i="79" s="1"/>
  <c r="AE83" i="79" s="1"/>
  <c r="AF83" i="79" s="1"/>
  <c r="C80" i="79"/>
  <c r="C73" i="79"/>
  <c r="C638" i="95" s="1"/>
  <c r="C636" i="95" s="1"/>
  <c r="C70" i="79"/>
  <c r="C635" i="95" s="1"/>
  <c r="C633" i="95" s="1"/>
  <c r="C66" i="79"/>
  <c r="C60" i="79"/>
  <c r="C57" i="79"/>
  <c r="D50" i="79"/>
  <c r="E50" i="79"/>
  <c r="F50" i="79"/>
  <c r="G50" i="79"/>
  <c r="H50" i="79"/>
  <c r="I50" i="79"/>
  <c r="J50" i="79"/>
  <c r="K50" i="79"/>
  <c r="L50" i="79"/>
  <c r="M50" i="79"/>
  <c r="N50" i="79"/>
  <c r="O50" i="79"/>
  <c r="P50" i="79"/>
  <c r="Q50" i="79"/>
  <c r="R50" i="79"/>
  <c r="S50" i="79"/>
  <c r="T50" i="79"/>
  <c r="U50" i="79"/>
  <c r="V50" i="79"/>
  <c r="W50" i="79"/>
  <c r="X50" i="79"/>
  <c r="Y50" i="79"/>
  <c r="Z50" i="79"/>
  <c r="AA50" i="79"/>
  <c r="AB50" i="79"/>
  <c r="AC50" i="79"/>
  <c r="AD50" i="79"/>
  <c r="AE50" i="79"/>
  <c r="AF50" i="79"/>
  <c r="C50" i="79"/>
  <c r="C534" i="95" l="1"/>
  <c r="C531" i="95" s="1"/>
  <c r="C530" i="95" s="1"/>
  <c r="C570" i="95"/>
  <c r="C565" i="95" s="1"/>
  <c r="C564" i="95" s="1"/>
  <c r="C951" i="95"/>
  <c r="C948" i="95" s="1"/>
  <c r="C943" i="95" s="1"/>
  <c r="C1013" i="95"/>
  <c r="C1008" i="95" s="1"/>
  <c r="C1007" i="95" s="1"/>
  <c r="C685" i="95"/>
  <c r="C680" i="95" s="1"/>
  <c r="C679" i="95" s="1"/>
  <c r="C642" i="95"/>
  <c r="C639" i="95" s="1"/>
  <c r="C632" i="95" s="1"/>
  <c r="C784" i="95"/>
  <c r="C781" i="95" s="1"/>
  <c r="C776" i="95" s="1"/>
  <c r="C846" i="95"/>
  <c r="C841" i="95" s="1"/>
  <c r="C840" i="95" s="1"/>
  <c r="D90" i="79"/>
  <c r="E90" i="79" s="1"/>
  <c r="F90" i="79" s="1"/>
  <c r="G90" i="79" s="1"/>
  <c r="H90" i="79" s="1"/>
  <c r="I90" i="79" s="1"/>
  <c r="J90" i="79" s="1"/>
  <c r="K90" i="79" s="1"/>
  <c r="L90" i="79" s="1"/>
  <c r="M90" i="79" s="1"/>
  <c r="N90" i="79" s="1"/>
  <c r="O90" i="79" s="1"/>
  <c r="P90" i="79" s="1"/>
  <c r="Q90" i="79" s="1"/>
  <c r="R90" i="79" s="1"/>
  <c r="S90" i="79" s="1"/>
  <c r="T90" i="79" s="1"/>
  <c r="U90" i="79" s="1"/>
  <c r="V90" i="79" s="1"/>
  <c r="W90" i="79" s="1"/>
  <c r="X90" i="79" s="1"/>
  <c r="Y90" i="79" s="1"/>
  <c r="Z90" i="79" s="1"/>
  <c r="AA90" i="79" s="1"/>
  <c r="AB90" i="79" s="1"/>
  <c r="AC90" i="79" s="1"/>
  <c r="AD90" i="79" s="1"/>
  <c r="AE90" i="79" s="1"/>
  <c r="AF90" i="79" s="1"/>
  <c r="D106" i="79"/>
  <c r="E106" i="79" s="1"/>
  <c r="E104" i="79" s="1"/>
  <c r="D80" i="79"/>
  <c r="E80" i="79" s="1"/>
  <c r="F80" i="79" s="1"/>
  <c r="G80" i="79" s="1"/>
  <c r="H80" i="79" s="1"/>
  <c r="I80" i="79" s="1"/>
  <c r="J80" i="79" s="1"/>
  <c r="K80" i="79" s="1"/>
  <c r="L80" i="79" s="1"/>
  <c r="M80" i="79" s="1"/>
  <c r="N80" i="79" s="1"/>
  <c r="O80" i="79" s="1"/>
  <c r="P80" i="79" s="1"/>
  <c r="Q80" i="79" s="1"/>
  <c r="R80" i="79" s="1"/>
  <c r="S80" i="79" s="1"/>
  <c r="T80" i="79" s="1"/>
  <c r="U80" i="79" s="1"/>
  <c r="V80" i="79" s="1"/>
  <c r="W80" i="79" s="1"/>
  <c r="X80" i="79" s="1"/>
  <c r="Y80" i="79" s="1"/>
  <c r="Z80" i="79" s="1"/>
  <c r="AA80" i="79" s="1"/>
  <c r="AB80" i="79" s="1"/>
  <c r="AC80" i="79" s="1"/>
  <c r="AD80" i="79" s="1"/>
  <c r="AE80" i="79" s="1"/>
  <c r="AF80" i="79" s="1"/>
  <c r="D87" i="79"/>
  <c r="E87" i="79" s="1"/>
  <c r="F87" i="79" s="1"/>
  <c r="G87" i="79" s="1"/>
  <c r="H87" i="79" s="1"/>
  <c r="I87" i="79" s="1"/>
  <c r="J87" i="79" s="1"/>
  <c r="K87" i="79" s="1"/>
  <c r="L87" i="79" s="1"/>
  <c r="M87" i="79" s="1"/>
  <c r="N87" i="79" s="1"/>
  <c r="O87" i="79" s="1"/>
  <c r="P87" i="79" s="1"/>
  <c r="Q87" i="79" s="1"/>
  <c r="R87" i="79" s="1"/>
  <c r="S87" i="79" s="1"/>
  <c r="T87" i="79" s="1"/>
  <c r="U87" i="79" s="1"/>
  <c r="V87" i="79" s="1"/>
  <c r="W87" i="79" s="1"/>
  <c r="X87" i="79" s="1"/>
  <c r="Y87" i="79" s="1"/>
  <c r="Z87" i="79" s="1"/>
  <c r="AA87" i="79" s="1"/>
  <c r="AB87" i="79" s="1"/>
  <c r="AC87" i="79" s="1"/>
  <c r="AD87" i="79" s="1"/>
  <c r="AE87" i="79" s="1"/>
  <c r="AF87" i="79" s="1"/>
  <c r="D103" i="79"/>
  <c r="E103" i="79" s="1"/>
  <c r="F103" i="79" s="1"/>
  <c r="G103" i="79" s="1"/>
  <c r="H103" i="79" s="1"/>
  <c r="I103" i="79" s="1"/>
  <c r="J103" i="79" s="1"/>
  <c r="K103" i="79" s="1"/>
  <c r="L103" i="79" s="1"/>
  <c r="M103" i="79" s="1"/>
  <c r="N103" i="79" s="1"/>
  <c r="O103" i="79" s="1"/>
  <c r="P103" i="79" s="1"/>
  <c r="Q103" i="79" s="1"/>
  <c r="R103" i="79" s="1"/>
  <c r="S103" i="79" s="1"/>
  <c r="T103" i="79" s="1"/>
  <c r="U103" i="79" s="1"/>
  <c r="V103" i="79" s="1"/>
  <c r="W103" i="79" s="1"/>
  <c r="X103" i="79" s="1"/>
  <c r="Y103" i="79" s="1"/>
  <c r="Z103" i="79" s="1"/>
  <c r="AA103" i="79" s="1"/>
  <c r="AB103" i="79" s="1"/>
  <c r="AC103" i="79" s="1"/>
  <c r="AD103" i="79" s="1"/>
  <c r="AE103" i="79" s="1"/>
  <c r="AF103" i="79" s="1"/>
  <c r="D96" i="79"/>
  <c r="E96" i="79" s="1"/>
  <c r="F96" i="79" s="1"/>
  <c r="G96" i="79" s="1"/>
  <c r="H96" i="79" s="1"/>
  <c r="I96" i="79" s="1"/>
  <c r="J96" i="79" s="1"/>
  <c r="K96" i="79" s="1"/>
  <c r="L96" i="79" s="1"/>
  <c r="M96" i="79" s="1"/>
  <c r="N96" i="79" s="1"/>
  <c r="O96" i="79" s="1"/>
  <c r="P96" i="79" s="1"/>
  <c r="Q96" i="79" s="1"/>
  <c r="R96" i="79" s="1"/>
  <c r="S96" i="79" s="1"/>
  <c r="T96" i="79" s="1"/>
  <c r="U96" i="79" s="1"/>
  <c r="V96" i="79" s="1"/>
  <c r="W96" i="79" s="1"/>
  <c r="X96" i="79" s="1"/>
  <c r="Y96" i="79" s="1"/>
  <c r="Z96" i="79" s="1"/>
  <c r="AA96" i="79" s="1"/>
  <c r="AB96" i="79" s="1"/>
  <c r="AC96" i="79" s="1"/>
  <c r="AD96" i="79" s="1"/>
  <c r="AE96" i="79" s="1"/>
  <c r="AF96" i="79" s="1"/>
  <c r="K1081" i="95"/>
  <c r="J1078" i="95"/>
  <c r="D70" i="79"/>
  <c r="E70" i="79" s="1"/>
  <c r="F70" i="79" s="1"/>
  <c r="G70" i="79" s="1"/>
  <c r="H70" i="79" s="1"/>
  <c r="I70" i="79" s="1"/>
  <c r="J70" i="79" s="1"/>
  <c r="K70" i="79" s="1"/>
  <c r="L70" i="79" s="1"/>
  <c r="M70" i="79" s="1"/>
  <c r="N70" i="79" s="1"/>
  <c r="O70" i="79" s="1"/>
  <c r="P70" i="79" s="1"/>
  <c r="Q70" i="79" s="1"/>
  <c r="R70" i="79" s="1"/>
  <c r="S70" i="79" s="1"/>
  <c r="T70" i="79" s="1"/>
  <c r="U70" i="79" s="1"/>
  <c r="V70" i="79" s="1"/>
  <c r="W70" i="79" s="1"/>
  <c r="X70" i="79" s="1"/>
  <c r="Y70" i="79" s="1"/>
  <c r="Z70" i="79" s="1"/>
  <c r="AA70" i="79" s="1"/>
  <c r="AB70" i="79" s="1"/>
  <c r="AC70" i="79" s="1"/>
  <c r="AD70" i="79" s="1"/>
  <c r="AE70" i="79" s="1"/>
  <c r="AF70" i="79" s="1"/>
  <c r="D73" i="79"/>
  <c r="E73" i="79" s="1"/>
  <c r="F73" i="79" s="1"/>
  <c r="G73" i="79" s="1"/>
  <c r="H73" i="79" s="1"/>
  <c r="I73" i="79" s="1"/>
  <c r="J73" i="79" s="1"/>
  <c r="K73" i="79" s="1"/>
  <c r="L73" i="79" s="1"/>
  <c r="M73" i="79" s="1"/>
  <c r="N73" i="79" s="1"/>
  <c r="O73" i="79" s="1"/>
  <c r="P73" i="79" s="1"/>
  <c r="Q73" i="79" s="1"/>
  <c r="R73" i="79" s="1"/>
  <c r="S73" i="79" s="1"/>
  <c r="T73" i="79" s="1"/>
  <c r="U73" i="79" s="1"/>
  <c r="V73" i="79" s="1"/>
  <c r="W73" i="79" s="1"/>
  <c r="X73" i="79" s="1"/>
  <c r="Y73" i="79" s="1"/>
  <c r="Z73" i="79" s="1"/>
  <c r="AA73" i="79" s="1"/>
  <c r="AB73" i="79" s="1"/>
  <c r="AC73" i="79" s="1"/>
  <c r="AD73" i="79" s="1"/>
  <c r="AE73" i="79" s="1"/>
  <c r="AF73" i="79" s="1"/>
  <c r="D57" i="79"/>
  <c r="E57" i="79" s="1"/>
  <c r="F57" i="79" s="1"/>
  <c r="G57" i="79" s="1"/>
  <c r="H57" i="79" s="1"/>
  <c r="I57" i="79" s="1"/>
  <c r="J57" i="79" s="1"/>
  <c r="K57" i="79" s="1"/>
  <c r="L57" i="79" s="1"/>
  <c r="M57" i="79" s="1"/>
  <c r="N57" i="79" s="1"/>
  <c r="O57" i="79" s="1"/>
  <c r="P57" i="79" s="1"/>
  <c r="Q57" i="79" s="1"/>
  <c r="R57" i="79" s="1"/>
  <c r="S57" i="79" s="1"/>
  <c r="T57" i="79" s="1"/>
  <c r="U57" i="79" s="1"/>
  <c r="V57" i="79" s="1"/>
  <c r="W57" i="79" s="1"/>
  <c r="X57" i="79" s="1"/>
  <c r="Y57" i="79" s="1"/>
  <c r="Z57" i="79" s="1"/>
  <c r="AA57" i="79" s="1"/>
  <c r="AB57" i="79" s="1"/>
  <c r="AC57" i="79" s="1"/>
  <c r="AD57" i="79" s="1"/>
  <c r="AE57" i="79" s="1"/>
  <c r="AF57" i="79" s="1"/>
  <c r="D66" i="79"/>
  <c r="E66" i="79" s="1"/>
  <c r="F66" i="79" s="1"/>
  <c r="G66" i="79" s="1"/>
  <c r="H66" i="79" s="1"/>
  <c r="I66" i="79" s="1"/>
  <c r="J66" i="79" s="1"/>
  <c r="K66" i="79" s="1"/>
  <c r="L66" i="79" s="1"/>
  <c r="M66" i="79" s="1"/>
  <c r="N66" i="79" s="1"/>
  <c r="O66" i="79" s="1"/>
  <c r="P66" i="79" s="1"/>
  <c r="Q66" i="79" s="1"/>
  <c r="R66" i="79" s="1"/>
  <c r="S66" i="79" s="1"/>
  <c r="T66" i="79" s="1"/>
  <c r="U66" i="79" s="1"/>
  <c r="V66" i="79" s="1"/>
  <c r="W66" i="79" s="1"/>
  <c r="X66" i="79" s="1"/>
  <c r="Y66" i="79" s="1"/>
  <c r="Z66" i="79" s="1"/>
  <c r="AA66" i="79" s="1"/>
  <c r="AB66" i="79" s="1"/>
  <c r="AC66" i="79" s="1"/>
  <c r="AD66" i="79" s="1"/>
  <c r="AE66" i="79" s="1"/>
  <c r="AF66" i="79" s="1"/>
  <c r="C51" i="79"/>
  <c r="G45" i="79"/>
  <c r="AA45" i="79"/>
  <c r="C48" i="79"/>
  <c r="D39" i="79"/>
  <c r="E39" i="79"/>
  <c r="F39" i="79"/>
  <c r="G39" i="79"/>
  <c r="H39" i="79"/>
  <c r="I39" i="79"/>
  <c r="J39" i="79"/>
  <c r="K39" i="79"/>
  <c r="L39" i="79"/>
  <c r="M39" i="79"/>
  <c r="N39" i="79"/>
  <c r="O39" i="79"/>
  <c r="P39" i="79"/>
  <c r="Q39" i="79"/>
  <c r="R39" i="79"/>
  <c r="S39" i="79"/>
  <c r="T39" i="79"/>
  <c r="U39" i="79"/>
  <c r="V39" i="79"/>
  <c r="W39" i="79"/>
  <c r="X39" i="79"/>
  <c r="Y39" i="79"/>
  <c r="Z39" i="79"/>
  <c r="AA39" i="79"/>
  <c r="AB39" i="79"/>
  <c r="AC39" i="79"/>
  <c r="AD39" i="79"/>
  <c r="AE39" i="79"/>
  <c r="AF39" i="79"/>
  <c r="C39" i="79"/>
  <c r="C42" i="79"/>
  <c r="D37" i="79"/>
  <c r="E37" i="79"/>
  <c r="C37" i="79"/>
  <c r="C38" i="79"/>
  <c r="D38" i="79" s="1"/>
  <c r="E38" i="79" s="1"/>
  <c r="F38" i="79" s="1"/>
  <c r="G38" i="79" s="1"/>
  <c r="H38" i="79" s="1"/>
  <c r="I38" i="79" s="1"/>
  <c r="J38" i="79" s="1"/>
  <c r="K38" i="79" s="1"/>
  <c r="L38" i="79" s="1"/>
  <c r="M38" i="79" s="1"/>
  <c r="N38" i="79" s="1"/>
  <c r="O38" i="79" s="1"/>
  <c r="P38" i="79" s="1"/>
  <c r="Q38" i="79" s="1"/>
  <c r="R38" i="79" s="1"/>
  <c r="S38" i="79" s="1"/>
  <c r="T38" i="79" s="1"/>
  <c r="U38" i="79" s="1"/>
  <c r="V38" i="79" s="1"/>
  <c r="W38" i="79" s="1"/>
  <c r="X38" i="79" s="1"/>
  <c r="Y38" i="79" s="1"/>
  <c r="Z38" i="79" s="1"/>
  <c r="AA38" i="79" s="1"/>
  <c r="AB38" i="79" s="1"/>
  <c r="AC38" i="79" s="1"/>
  <c r="AD38" i="79" s="1"/>
  <c r="AE38" i="79" s="1"/>
  <c r="AF38" i="79" s="1"/>
  <c r="C35" i="79"/>
  <c r="C29" i="79"/>
  <c r="C25" i="79"/>
  <c r="D25" i="79" s="1"/>
  <c r="E25" i="79" s="1"/>
  <c r="F25" i="79" s="1"/>
  <c r="G25" i="79" s="1"/>
  <c r="H25" i="79" s="1"/>
  <c r="I25" i="79" s="1"/>
  <c r="J25" i="79" s="1"/>
  <c r="K25" i="79" s="1"/>
  <c r="L25" i="79" s="1"/>
  <c r="M25" i="79" s="1"/>
  <c r="N25" i="79" s="1"/>
  <c r="O25" i="79" s="1"/>
  <c r="P25" i="79" s="1"/>
  <c r="Q25" i="79" s="1"/>
  <c r="R25" i="79" s="1"/>
  <c r="S25" i="79" s="1"/>
  <c r="T25" i="79" s="1"/>
  <c r="U25" i="79" s="1"/>
  <c r="V25" i="79" s="1"/>
  <c r="W25" i="79" s="1"/>
  <c r="X25" i="79" s="1"/>
  <c r="Y25" i="79" s="1"/>
  <c r="Z25" i="79" s="1"/>
  <c r="AA25" i="79" s="1"/>
  <c r="AB25" i="79" s="1"/>
  <c r="AC25" i="79" s="1"/>
  <c r="AD25" i="79" s="1"/>
  <c r="AE25" i="79" s="1"/>
  <c r="AF25" i="79" s="1"/>
  <c r="Q26" i="79"/>
  <c r="I22" i="79"/>
  <c r="J22" i="79"/>
  <c r="K22" i="79"/>
  <c r="L22" i="79"/>
  <c r="M22" i="79"/>
  <c r="N22" i="79"/>
  <c r="O22" i="79"/>
  <c r="P22" i="79"/>
  <c r="Q22" i="79"/>
  <c r="R22" i="79"/>
  <c r="S22" i="79"/>
  <c r="T22" i="79"/>
  <c r="U22" i="79"/>
  <c r="V22" i="79"/>
  <c r="W22" i="79"/>
  <c r="X22" i="79"/>
  <c r="Y22" i="79"/>
  <c r="Z22" i="79"/>
  <c r="AA22" i="79"/>
  <c r="AB22" i="79"/>
  <c r="AC22" i="79"/>
  <c r="AD22" i="79"/>
  <c r="AE22" i="79"/>
  <c r="AF22" i="79"/>
  <c r="D22" i="79"/>
  <c r="E22" i="79"/>
  <c r="F22" i="79"/>
  <c r="G22" i="79"/>
  <c r="H22" i="79"/>
  <c r="C22" i="79"/>
  <c r="C23" i="79"/>
  <c r="D23" i="79" s="1"/>
  <c r="E23" i="79" s="1"/>
  <c r="F23" i="79" s="1"/>
  <c r="G23" i="79" s="1"/>
  <c r="H23" i="79" s="1"/>
  <c r="I23" i="79" s="1"/>
  <c r="J23" i="79" s="1"/>
  <c r="K23" i="79" s="1"/>
  <c r="L23" i="79" s="1"/>
  <c r="M23" i="79" s="1"/>
  <c r="N23" i="79" s="1"/>
  <c r="O23" i="79" s="1"/>
  <c r="P23" i="79" s="1"/>
  <c r="Q23" i="79" s="1"/>
  <c r="R23" i="79" s="1"/>
  <c r="S23" i="79" s="1"/>
  <c r="T23" i="79" s="1"/>
  <c r="U23" i="79" s="1"/>
  <c r="V23" i="79" s="1"/>
  <c r="W23" i="79" s="1"/>
  <c r="X23" i="79" s="1"/>
  <c r="Y23" i="79" s="1"/>
  <c r="Z23" i="79" s="1"/>
  <c r="AA23" i="79" s="1"/>
  <c r="AB23" i="79" s="1"/>
  <c r="AC23" i="79" s="1"/>
  <c r="AD23" i="79" s="1"/>
  <c r="AE23" i="79" s="1"/>
  <c r="AF23" i="79" s="1"/>
  <c r="C20" i="79"/>
  <c r="C17" i="79"/>
  <c r="C13" i="79"/>
  <c r="D13" i="79" s="1"/>
  <c r="E13" i="79" s="1"/>
  <c r="F13" i="79" s="1"/>
  <c r="G13" i="79" s="1"/>
  <c r="H13" i="79" s="1"/>
  <c r="I13" i="79" s="1"/>
  <c r="J13" i="79" s="1"/>
  <c r="K13" i="79" s="1"/>
  <c r="L13" i="79" s="1"/>
  <c r="M13" i="79" s="1"/>
  <c r="N13" i="79" s="1"/>
  <c r="O13" i="79" s="1"/>
  <c r="P13" i="79" s="1"/>
  <c r="Q13" i="79" s="1"/>
  <c r="R13" i="79" s="1"/>
  <c r="S13" i="79" s="1"/>
  <c r="T13" i="79" s="1"/>
  <c r="U13" i="79" s="1"/>
  <c r="V13" i="79" s="1"/>
  <c r="W13" i="79" s="1"/>
  <c r="X13" i="79" s="1"/>
  <c r="Y13" i="79" s="1"/>
  <c r="Z13" i="79" s="1"/>
  <c r="AA13" i="79" s="1"/>
  <c r="AB13" i="79" s="1"/>
  <c r="AC13" i="79" s="1"/>
  <c r="AD13" i="79" s="1"/>
  <c r="AE13" i="79" s="1"/>
  <c r="AF13" i="79" s="1"/>
  <c r="B3" i="97"/>
  <c r="B3" i="98" s="1"/>
  <c r="B2" i="97"/>
  <c r="B2" i="98" s="1"/>
  <c r="G44" i="98"/>
  <c r="F44" i="98"/>
  <c r="G43" i="98"/>
  <c r="F43" i="98"/>
  <c r="G42" i="98"/>
  <c r="F42" i="98"/>
  <c r="F41" i="98"/>
  <c r="F40" i="98"/>
  <c r="F39" i="98"/>
  <c r="F38" i="98"/>
  <c r="AA35" i="98"/>
  <c r="I35" i="98"/>
  <c r="G35" i="98"/>
  <c r="F35" i="98"/>
  <c r="AA34" i="98"/>
  <c r="Z34" i="98"/>
  <c r="Y34" i="98"/>
  <c r="X34" i="98"/>
  <c r="W34" i="98"/>
  <c r="V34" i="98"/>
  <c r="U34" i="98"/>
  <c r="T34" i="98"/>
  <c r="S34" i="98"/>
  <c r="R34" i="98"/>
  <c r="Q34" i="98"/>
  <c r="P34" i="98"/>
  <c r="N34" i="98"/>
  <c r="M34" i="98"/>
  <c r="L34" i="98"/>
  <c r="K34" i="98"/>
  <c r="J34" i="98"/>
  <c r="I34" i="98"/>
  <c r="H34" i="98"/>
  <c r="F34" i="98"/>
  <c r="E34" i="98"/>
  <c r="T23" i="98"/>
  <c r="S23" i="98"/>
  <c r="L18" i="98"/>
  <c r="E18" i="98"/>
  <c r="L17" i="98"/>
  <c r="E17" i="98"/>
  <c r="L16" i="98"/>
  <c r="E16" i="98"/>
  <c r="E15" i="98"/>
  <c r="E14" i="98"/>
  <c r="E13" i="98"/>
  <c r="V12" i="98"/>
  <c r="N12" i="98"/>
  <c r="O9" i="98"/>
  <c r="M9" i="98"/>
  <c r="E9" i="98"/>
  <c r="V8" i="98"/>
  <c r="R8" i="98"/>
  <c r="Q8" i="98"/>
  <c r="P8" i="98"/>
  <c r="O8" i="98"/>
  <c r="N8" i="98"/>
  <c r="M8" i="98"/>
  <c r="L8" i="98"/>
  <c r="K8" i="98"/>
  <c r="J8" i="98"/>
  <c r="I8" i="98"/>
  <c r="H8" i="98"/>
  <c r="G8" i="98"/>
  <c r="F8" i="98"/>
  <c r="E8" i="98"/>
  <c r="D70" i="97"/>
  <c r="D63" i="97"/>
  <c r="D51" i="97"/>
  <c r="D73" i="97" s="1"/>
  <c r="E29" i="97"/>
  <c r="E28" i="97"/>
  <c r="E27" i="97"/>
  <c r="D24" i="97"/>
  <c r="E24" i="97" s="1"/>
  <c r="E23" i="97"/>
  <c r="E22" i="97"/>
  <c r="E21" i="97"/>
  <c r="E20" i="97"/>
  <c r="L15" i="97"/>
  <c r="F15" i="97" s="1"/>
  <c r="J26" i="97"/>
  <c r="F245" i="96"/>
  <c r="F244" i="96"/>
  <c r="F243" i="96"/>
  <c r="F242" i="96"/>
  <c r="F241" i="96"/>
  <c r="F240" i="96"/>
  <c r="F239" i="96"/>
  <c r="F238" i="96"/>
  <c r="F237" i="96"/>
  <c r="F236" i="96"/>
  <c r="F235" i="96"/>
  <c r="F234" i="96"/>
  <c r="F233" i="96"/>
  <c r="F232" i="96"/>
  <c r="F231" i="96"/>
  <c r="F230" i="96"/>
  <c r="F229" i="96"/>
  <c r="F228" i="96"/>
  <c r="F223" i="96"/>
  <c r="F222" i="96"/>
  <c r="F221" i="96"/>
  <c r="F220" i="96"/>
  <c r="F219" i="96"/>
  <c r="F218" i="96"/>
  <c r="F217" i="96"/>
  <c r="F216" i="96"/>
  <c r="F214" i="96"/>
  <c r="F213" i="96"/>
  <c r="D212" i="96"/>
  <c r="F212" i="96" s="1"/>
  <c r="F210" i="96"/>
  <c r="F209" i="96"/>
  <c r="F208" i="96"/>
  <c r="F207" i="96"/>
  <c r="F206" i="96"/>
  <c r="E125" i="96"/>
  <c r="C1670" i="95" s="1"/>
  <c r="E124" i="96"/>
  <c r="O34" i="98"/>
  <c r="G34" i="98"/>
  <c r="C703" i="95"/>
  <c r="C701" i="95" s="1"/>
  <c r="C27" i="79"/>
  <c r="E27" i="96"/>
  <c r="D19" i="98" l="1"/>
  <c r="D20" i="98"/>
  <c r="D45" i="98"/>
  <c r="D46" i="98"/>
  <c r="H26" i="97"/>
  <c r="C1693" i="95"/>
  <c r="C1449" i="95"/>
  <c r="C470" i="95"/>
  <c r="C465" i="95" s="1"/>
  <c r="C464" i="95" s="1"/>
  <c r="C434" i="95"/>
  <c r="C431" i="95" s="1"/>
  <c r="C430" i="95" s="1"/>
  <c r="C37" i="95"/>
  <c r="C34" i="95" s="1"/>
  <c r="C109" i="95"/>
  <c r="C104" i="95" s="1"/>
  <c r="C299" i="95"/>
  <c r="C294" i="95" s="1"/>
  <c r="C293" i="95" s="1"/>
  <c r="C263" i="95"/>
  <c r="C260" i="95" s="1"/>
  <c r="C259" i="95" s="1"/>
  <c r="C103" i="95"/>
  <c r="C98" i="95" s="1"/>
  <c r="C33" i="95"/>
  <c r="C30" i="95" s="1"/>
  <c r="C1028" i="95"/>
  <c r="C1026" i="95" s="1"/>
  <c r="C1019" i="95" s="1"/>
  <c r="C870" i="95"/>
  <c r="C868" i="95" s="1"/>
  <c r="C852" i="95" s="1"/>
  <c r="C1667" i="95"/>
  <c r="C1545" i="95"/>
  <c r="F106" i="79"/>
  <c r="G106" i="79" s="1"/>
  <c r="H106" i="79" s="1"/>
  <c r="I106" i="79" s="1"/>
  <c r="J106" i="79" s="1"/>
  <c r="K106" i="79" s="1"/>
  <c r="L106" i="79" s="1"/>
  <c r="M106" i="79" s="1"/>
  <c r="N106" i="79" s="1"/>
  <c r="O106" i="79" s="1"/>
  <c r="P106" i="79" s="1"/>
  <c r="Q106" i="79" s="1"/>
  <c r="R106" i="79" s="1"/>
  <c r="S106" i="79" s="1"/>
  <c r="T106" i="79" s="1"/>
  <c r="U106" i="79" s="1"/>
  <c r="V106" i="79" s="1"/>
  <c r="W106" i="79" s="1"/>
  <c r="X106" i="79" s="1"/>
  <c r="Y106" i="79" s="1"/>
  <c r="Z106" i="79" s="1"/>
  <c r="AA106" i="79" s="1"/>
  <c r="AB106" i="79" s="1"/>
  <c r="AC106" i="79" s="1"/>
  <c r="AD106" i="79" s="1"/>
  <c r="AE106" i="79" s="1"/>
  <c r="AF106" i="79" s="1"/>
  <c r="H25" i="97"/>
  <c r="C1260" i="95" s="1"/>
  <c r="J25" i="97"/>
  <c r="L1081" i="95"/>
  <c r="K1078" i="95"/>
  <c r="D17" i="79"/>
  <c r="E17" i="79" s="1"/>
  <c r="F17" i="79" s="1"/>
  <c r="G17" i="79" s="1"/>
  <c r="H17" i="79" s="1"/>
  <c r="I17" i="79" s="1"/>
  <c r="J17" i="79" s="1"/>
  <c r="K17" i="79" s="1"/>
  <c r="L17" i="79" s="1"/>
  <c r="M17" i="79" s="1"/>
  <c r="N17" i="79" s="1"/>
  <c r="O17" i="79" s="1"/>
  <c r="P17" i="79" s="1"/>
  <c r="Q17" i="79" s="1"/>
  <c r="R17" i="79" s="1"/>
  <c r="S17" i="79" s="1"/>
  <c r="T17" i="79" s="1"/>
  <c r="U17" i="79" s="1"/>
  <c r="V17" i="79" s="1"/>
  <c r="W17" i="79" s="1"/>
  <c r="X17" i="79" s="1"/>
  <c r="Y17" i="79" s="1"/>
  <c r="Z17" i="79" s="1"/>
  <c r="AA17" i="79" s="1"/>
  <c r="AB17" i="79" s="1"/>
  <c r="AC17" i="79" s="1"/>
  <c r="AD17" i="79" s="1"/>
  <c r="AE17" i="79" s="1"/>
  <c r="AF17" i="79" s="1"/>
  <c r="D20" i="79"/>
  <c r="E20" i="79" s="1"/>
  <c r="F20" i="79" s="1"/>
  <c r="G20" i="79" s="1"/>
  <c r="H20" i="79" s="1"/>
  <c r="I20" i="79" s="1"/>
  <c r="J20" i="79" s="1"/>
  <c r="K20" i="79" s="1"/>
  <c r="L20" i="79" s="1"/>
  <c r="M20" i="79" s="1"/>
  <c r="N20" i="79" s="1"/>
  <c r="O20" i="79" s="1"/>
  <c r="P20" i="79" s="1"/>
  <c r="Q20" i="79" s="1"/>
  <c r="R20" i="79" s="1"/>
  <c r="S20" i="79" s="1"/>
  <c r="T20" i="79" s="1"/>
  <c r="U20" i="79" s="1"/>
  <c r="V20" i="79" s="1"/>
  <c r="W20" i="79" s="1"/>
  <c r="X20" i="79" s="1"/>
  <c r="Y20" i="79" s="1"/>
  <c r="Z20" i="79" s="1"/>
  <c r="AA20" i="79" s="1"/>
  <c r="AB20" i="79" s="1"/>
  <c r="AC20" i="79" s="1"/>
  <c r="AD20" i="79" s="1"/>
  <c r="AE20" i="79" s="1"/>
  <c r="AF20" i="79" s="1"/>
  <c r="D48" i="79"/>
  <c r="E48" i="79" s="1"/>
  <c r="F48" i="79" s="1"/>
  <c r="G48" i="79" s="1"/>
  <c r="H48" i="79" s="1"/>
  <c r="I48" i="79" s="1"/>
  <c r="J48" i="79" s="1"/>
  <c r="K48" i="79" s="1"/>
  <c r="L48" i="79" s="1"/>
  <c r="M48" i="79" s="1"/>
  <c r="N48" i="79" s="1"/>
  <c r="O48" i="79" s="1"/>
  <c r="P48" i="79" s="1"/>
  <c r="Q48" i="79" s="1"/>
  <c r="R48" i="79" s="1"/>
  <c r="S48" i="79" s="1"/>
  <c r="T48" i="79" s="1"/>
  <c r="U48" i="79" s="1"/>
  <c r="V48" i="79" s="1"/>
  <c r="W48" i="79" s="1"/>
  <c r="X48" i="79" s="1"/>
  <c r="Y48" i="79" s="1"/>
  <c r="Z48" i="79" s="1"/>
  <c r="AA48" i="79" s="1"/>
  <c r="AB48" i="79" s="1"/>
  <c r="AC48" i="79" s="1"/>
  <c r="AD48" i="79" s="1"/>
  <c r="AE48" i="79" s="1"/>
  <c r="AF48" i="79" s="1"/>
  <c r="H19" i="97"/>
  <c r="C151" i="95" s="1"/>
  <c r="C145" i="95" s="1"/>
  <c r="H20" i="97"/>
  <c r="H21" i="97"/>
  <c r="C1274" i="95" s="1"/>
  <c r="H23" i="97"/>
  <c r="C137" i="95" s="1"/>
  <c r="C131" i="95" s="1"/>
  <c r="J19" i="97"/>
  <c r="J29" i="97"/>
  <c r="C1732" i="95" s="1"/>
  <c r="J28" i="97"/>
  <c r="C40" i="79"/>
  <c r="F211" i="96"/>
  <c r="D56" i="98"/>
  <c r="D48" i="98"/>
  <c r="D44" i="98"/>
  <c r="D47" i="98"/>
  <c r="D41" i="98"/>
  <c r="D37" i="98"/>
  <c r="D35" i="98"/>
  <c r="D55" i="98"/>
  <c r="D42" i="98"/>
  <c r="D51" i="98"/>
  <c r="D39" i="98"/>
  <c r="D50" i="98"/>
  <c r="F246" i="96"/>
  <c r="E136" i="96" s="1"/>
  <c r="C199" i="79" s="1"/>
  <c r="C1593" i="95" s="1"/>
  <c r="D18" i="98"/>
  <c r="J27" i="97"/>
  <c r="D72" i="97"/>
  <c r="D74" i="97" s="1"/>
  <c r="D75" i="97" s="1"/>
  <c r="F11" i="97" s="1"/>
  <c r="D16" i="98"/>
  <c r="D29" i="98"/>
  <c r="C1746" i="95" s="1"/>
  <c r="D52" i="98"/>
  <c r="D12" i="98"/>
  <c r="J31" i="97"/>
  <c r="C1708" i="95" s="1"/>
  <c r="D215" i="96"/>
  <c r="F215" i="96" s="1"/>
  <c r="J23" i="97"/>
  <c r="J24" i="97"/>
  <c r="C906" i="95" s="1"/>
  <c r="C902" i="95" s="1"/>
  <c r="J33" i="97"/>
  <c r="C1615" i="95" s="1"/>
  <c r="J36" i="97"/>
  <c r="C1726" i="95" s="1"/>
  <c r="D13" i="98"/>
  <c r="D24" i="98"/>
  <c r="D28" i="98"/>
  <c r="D40" i="98"/>
  <c r="D43" i="98"/>
  <c r="D53" i="98"/>
  <c r="J22" i="97"/>
  <c r="C739" i="95" s="1"/>
  <c r="C735" i="95" s="1"/>
  <c r="D25" i="98"/>
  <c r="D36" i="98"/>
  <c r="D54" i="98"/>
  <c r="J20" i="97"/>
  <c r="J21" i="97"/>
  <c r="J34" i="97"/>
  <c r="C1714" i="95" s="1"/>
  <c r="D10" i="98"/>
  <c r="D14" i="98"/>
  <c r="D17" i="98"/>
  <c r="D21" i="98"/>
  <c r="J30" i="97"/>
  <c r="J32" i="97"/>
  <c r="C1609" i="95" s="1"/>
  <c r="D11" i="98"/>
  <c r="D22" i="98"/>
  <c r="D26" i="98"/>
  <c r="D9" i="98"/>
  <c r="D15" i="98"/>
  <c r="D23" i="98"/>
  <c r="D27" i="98"/>
  <c r="D38" i="98"/>
  <c r="D49" i="98"/>
  <c r="D1028" i="95" l="1"/>
  <c r="C240" i="95"/>
  <c r="C238" i="95" s="1"/>
  <c r="C327" i="95"/>
  <c r="C321" i="95" s="1"/>
  <c r="C159" i="95"/>
  <c r="C123" i="95" s="1"/>
  <c r="C1323" i="95"/>
  <c r="C1317" i="95"/>
  <c r="C601" i="95"/>
  <c r="C597" i="95" s="1"/>
  <c r="C366" i="95"/>
  <c r="C362" i="95" s="1"/>
  <c r="C372" i="95"/>
  <c r="C368" i="95" s="1"/>
  <c r="C502" i="95"/>
  <c r="C498" i="95" s="1"/>
  <c r="C189" i="95"/>
  <c r="C185" i="95" s="1"/>
  <c r="C183" i="95"/>
  <c r="C179" i="95" s="1"/>
  <c r="C1452" i="95"/>
  <c r="C359" i="95"/>
  <c r="C495" i="95"/>
  <c r="C494" i="95" s="1"/>
  <c r="C493" i="95" s="1"/>
  <c r="C176" i="95"/>
  <c r="C899" i="95"/>
  <c r="C898" i="95" s="1"/>
  <c r="C897" i="95" s="1"/>
  <c r="C1702" i="95"/>
  <c r="C1284" i="95"/>
  <c r="C1603" i="95"/>
  <c r="C594" i="95"/>
  <c r="C593" i="95" s="1"/>
  <c r="C592" i="95" s="1"/>
  <c r="C726" i="95"/>
  <c r="C725" i="95" s="1"/>
  <c r="C724" i="95" s="1"/>
  <c r="C341" i="95"/>
  <c r="C335" i="95" s="1"/>
  <c r="C390" i="95"/>
  <c r="C386" i="95" s="1"/>
  <c r="C213" i="95"/>
  <c r="C209" i="95" s="1"/>
  <c r="C1335" i="95"/>
  <c r="C207" i="95"/>
  <c r="C203" i="95" s="1"/>
  <c r="C1329" i="95"/>
  <c r="C1291" i="95"/>
  <c r="C1311" i="95"/>
  <c r="C384" i="95"/>
  <c r="C380" i="95" s="1"/>
  <c r="C195" i="95"/>
  <c r="C191" i="95" s="1"/>
  <c r="C201" i="95"/>
  <c r="C197" i="95" s="1"/>
  <c r="C1305" i="95"/>
  <c r="C378" i="95"/>
  <c r="C374" i="95" s="1"/>
  <c r="C508" i="95"/>
  <c r="C504" i="95" s="1"/>
  <c r="C607" i="95"/>
  <c r="C603" i="95" s="1"/>
  <c r="C1298" i="95"/>
  <c r="C219" i="95"/>
  <c r="C215" i="95" s="1"/>
  <c r="C396" i="95"/>
  <c r="C392" i="95" s="1"/>
  <c r="C733" i="95"/>
  <c r="C729" i="95" s="1"/>
  <c r="C728" i="95" s="1"/>
  <c r="C912" i="95"/>
  <c r="C908" i="95" s="1"/>
  <c r="C901" i="95" s="1"/>
  <c r="C97" i="95"/>
  <c r="C1366" i="95"/>
  <c r="C748" i="95"/>
  <c r="C746" i="95" s="1"/>
  <c r="C924" i="95"/>
  <c r="C922" i="95" s="1"/>
  <c r="C745" i="95"/>
  <c r="C743" i="95" s="1"/>
  <c r="C1749" i="95"/>
  <c r="C402" i="95"/>
  <c r="C400" i="95" s="1"/>
  <c r="C613" i="95"/>
  <c r="C611" i="95" s="1"/>
  <c r="C225" i="95"/>
  <c r="C223" i="95" s="1"/>
  <c r="C514" i="95"/>
  <c r="C512" i="95" s="1"/>
  <c r="C927" i="95"/>
  <c r="C925" i="95" s="1"/>
  <c r="C414" i="95"/>
  <c r="C412" i="95" s="1"/>
  <c r="C237" i="95"/>
  <c r="C235" i="95" s="1"/>
  <c r="C1076" i="95"/>
  <c r="C918" i="95"/>
  <c r="C916" i="95" s="1"/>
  <c r="C234" i="95"/>
  <c r="C232" i="95" s="1"/>
  <c r="C411" i="95"/>
  <c r="C409" i="95" s="1"/>
  <c r="C243" i="95"/>
  <c r="C241" i="95" s="1"/>
  <c r="C417" i="95"/>
  <c r="C415" i="95" s="1"/>
  <c r="C1743" i="95"/>
  <c r="C1740" i="95"/>
  <c r="C1737" i="95"/>
  <c r="C228" i="95"/>
  <c r="C226" i="95" s="1"/>
  <c r="C405" i="95"/>
  <c r="C403" i="95" s="1"/>
  <c r="C921" i="95"/>
  <c r="C919" i="95" s="1"/>
  <c r="C517" i="95"/>
  <c r="C515" i="95" s="1"/>
  <c r="C231" i="95"/>
  <c r="C229" i="95" s="1"/>
  <c r="C616" i="95"/>
  <c r="C614" i="95" s="1"/>
  <c r="C408" i="95"/>
  <c r="C406" i="95" s="1"/>
  <c r="C29" i="95"/>
  <c r="D199" i="79"/>
  <c r="E199" i="79" s="1"/>
  <c r="F199" i="79" s="1"/>
  <c r="G199" i="79" s="1"/>
  <c r="H199" i="79" s="1"/>
  <c r="I199" i="79" s="1"/>
  <c r="J199" i="79" s="1"/>
  <c r="K199" i="79" s="1"/>
  <c r="L199" i="79" s="1"/>
  <c r="M199" i="79" s="1"/>
  <c r="N199" i="79" s="1"/>
  <c r="O199" i="79" s="1"/>
  <c r="P199" i="79" s="1"/>
  <c r="Q199" i="79" s="1"/>
  <c r="R199" i="79" s="1"/>
  <c r="S199" i="79" s="1"/>
  <c r="T199" i="79" s="1"/>
  <c r="U199" i="79" s="1"/>
  <c r="V199" i="79" s="1"/>
  <c r="W199" i="79" s="1"/>
  <c r="X199" i="79" s="1"/>
  <c r="Y199" i="79" s="1"/>
  <c r="Z199" i="79" s="1"/>
  <c r="AA199" i="79" s="1"/>
  <c r="AB199" i="79" s="1"/>
  <c r="AC199" i="79" s="1"/>
  <c r="AD199" i="79" s="1"/>
  <c r="AE199" i="79" s="1"/>
  <c r="AF199" i="79" s="1"/>
  <c r="C1620" i="95"/>
  <c r="C1623" i="95"/>
  <c r="F104" i="79"/>
  <c r="C1472" i="95"/>
  <c r="C1375" i="95"/>
  <c r="C1372" i="95"/>
  <c r="C1363" i="95"/>
  <c r="C1378" i="95"/>
  <c r="C1356" i="95"/>
  <c r="C1352" i="95"/>
  <c r="C1360" i="95"/>
  <c r="C1369" i="95"/>
  <c r="C1057" i="95"/>
  <c r="C1070" i="95"/>
  <c r="C1064" i="95"/>
  <c r="C1246" i="95"/>
  <c r="C1079" i="95"/>
  <c r="C1082" i="95"/>
  <c r="M1081" i="95"/>
  <c r="L1078" i="95"/>
  <c r="F224" i="96"/>
  <c r="E135" i="96" s="1"/>
  <c r="C217" i="79" s="1"/>
  <c r="C313" i="95" l="1"/>
  <c r="C358" i="95" s="1"/>
  <c r="C357" i="95" s="1"/>
  <c r="C497" i="95"/>
  <c r="C175" i="95"/>
  <c r="C174" i="95" s="1"/>
  <c r="C596" i="95"/>
  <c r="C361" i="95"/>
  <c r="C178" i="95"/>
  <c r="C742" i="95"/>
  <c r="C399" i="95"/>
  <c r="C222" i="95"/>
  <c r="D217" i="79"/>
  <c r="E217" i="79" s="1"/>
  <c r="F217" i="79" s="1"/>
  <c r="G217" i="79" s="1"/>
  <c r="H217" i="79" s="1"/>
  <c r="I217" i="79" s="1"/>
  <c r="J217" i="79" s="1"/>
  <c r="K217" i="79" s="1"/>
  <c r="L217" i="79" s="1"/>
  <c r="M217" i="79" s="1"/>
  <c r="N217" i="79" s="1"/>
  <c r="O217" i="79" s="1"/>
  <c r="P217" i="79" s="1"/>
  <c r="Q217" i="79" s="1"/>
  <c r="R217" i="79" s="1"/>
  <c r="S217" i="79" s="1"/>
  <c r="T217" i="79" s="1"/>
  <c r="U217" i="79" s="1"/>
  <c r="V217" i="79" s="1"/>
  <c r="W217" i="79" s="1"/>
  <c r="X217" i="79" s="1"/>
  <c r="Y217" i="79" s="1"/>
  <c r="Z217" i="79" s="1"/>
  <c r="AA217" i="79" s="1"/>
  <c r="AB217" i="79" s="1"/>
  <c r="AC217" i="79" s="1"/>
  <c r="AD217" i="79" s="1"/>
  <c r="AE217" i="79" s="1"/>
  <c r="AF217" i="79" s="1"/>
  <c r="C1683" i="95"/>
  <c r="C511" i="95"/>
  <c r="C915" i="95"/>
  <c r="C750" i="95" s="1"/>
  <c r="C610" i="95"/>
  <c r="N1081" i="95"/>
  <c r="M1078" i="95"/>
  <c r="O41" i="79"/>
  <c r="O37" i="79" s="1"/>
  <c r="P41" i="79"/>
  <c r="P37" i="79" s="1"/>
  <c r="Q41" i="79"/>
  <c r="Q37" i="79" s="1"/>
  <c r="R41" i="79"/>
  <c r="R37" i="79" s="1"/>
  <c r="S41" i="79"/>
  <c r="S37" i="79" s="1"/>
  <c r="T41" i="79"/>
  <c r="T37" i="79" s="1"/>
  <c r="U41" i="79"/>
  <c r="U37" i="79" s="1"/>
  <c r="V41" i="79"/>
  <c r="V37" i="79" s="1"/>
  <c r="W41" i="79"/>
  <c r="W37" i="79" s="1"/>
  <c r="X41" i="79"/>
  <c r="X37" i="79" s="1"/>
  <c r="Y41" i="79"/>
  <c r="Y37" i="79" s="1"/>
  <c r="Z41" i="79"/>
  <c r="Z37" i="79" s="1"/>
  <c r="AA41" i="79"/>
  <c r="AA37" i="79" s="1"/>
  <c r="AB41" i="79"/>
  <c r="AB37" i="79" s="1"/>
  <c r="AC41" i="79"/>
  <c r="AC37" i="79" s="1"/>
  <c r="AD41" i="79"/>
  <c r="AD37" i="79" s="1"/>
  <c r="AE41" i="79"/>
  <c r="AE37" i="79" s="1"/>
  <c r="AF41" i="79"/>
  <c r="AF37" i="79" s="1"/>
  <c r="G41" i="79"/>
  <c r="G37" i="79" s="1"/>
  <c r="H41" i="79"/>
  <c r="H37" i="79" s="1"/>
  <c r="I41" i="79"/>
  <c r="I37" i="79" s="1"/>
  <c r="J41" i="79"/>
  <c r="J37" i="79" s="1"/>
  <c r="K41" i="79"/>
  <c r="K37" i="79" s="1"/>
  <c r="L41" i="79"/>
  <c r="L37" i="79" s="1"/>
  <c r="M41" i="79"/>
  <c r="M37" i="79" s="1"/>
  <c r="N41" i="79"/>
  <c r="N37" i="79" s="1"/>
  <c r="F41" i="79"/>
  <c r="F37" i="79" s="1"/>
  <c r="C519" i="95" l="1"/>
  <c r="C419" i="95"/>
  <c r="C9" i="95"/>
  <c r="O1081" i="95"/>
  <c r="N1078" i="95"/>
  <c r="D143" i="59"/>
  <c r="D142" i="59"/>
  <c r="D141" i="59"/>
  <c r="D151" i="59"/>
  <c r="C143" i="59"/>
  <c r="C151" i="59" s="1"/>
  <c r="P1081" i="95" l="1"/>
  <c r="O1078" i="95"/>
  <c r="C159" i="59"/>
  <c r="Q1081" i="95" l="1"/>
  <c r="P1078" i="95"/>
  <c r="D159" i="59"/>
  <c r="E192" i="24"/>
  <c r="F192" i="24"/>
  <c r="G192" i="24"/>
  <c r="H192" i="24"/>
  <c r="I192" i="24"/>
  <c r="J192" i="24"/>
  <c r="K192" i="24"/>
  <c r="L192" i="24"/>
  <c r="M192" i="24"/>
  <c r="N192" i="24"/>
  <c r="O192" i="24"/>
  <c r="P192" i="24"/>
  <c r="Q192" i="24"/>
  <c r="R192" i="24"/>
  <c r="S192" i="24"/>
  <c r="T192" i="24"/>
  <c r="U192" i="24"/>
  <c r="V192" i="24"/>
  <c r="W192" i="24"/>
  <c r="X192" i="24"/>
  <c r="Y192" i="24"/>
  <c r="Z192" i="24"/>
  <c r="AA192" i="24"/>
  <c r="AB192" i="24"/>
  <c r="AC192" i="24"/>
  <c r="AD192" i="24"/>
  <c r="AE192" i="24"/>
  <c r="AF192" i="24"/>
  <c r="AG192" i="24"/>
  <c r="D192" i="24"/>
  <c r="R1081" i="95" l="1"/>
  <c r="Q1078" i="95"/>
  <c r="E63" i="66"/>
  <c r="D192" i="59"/>
  <c r="S1081" i="95" l="1"/>
  <c r="R1078" i="95"/>
  <c r="J1269" i="95"/>
  <c r="K1269" i="95" s="1"/>
  <c r="L1269" i="95" s="1"/>
  <c r="M1269" i="95" s="1"/>
  <c r="N1269" i="95" s="1"/>
  <c r="O1269" i="95" s="1"/>
  <c r="P1269" i="95" s="1"/>
  <c r="Q1269" i="95" s="1"/>
  <c r="R1269" i="95" s="1"/>
  <c r="S1269" i="95" s="1"/>
  <c r="T1269" i="95" s="1"/>
  <c r="U1269" i="95" s="1"/>
  <c r="V1269" i="95" s="1"/>
  <c r="W1269" i="95" s="1"/>
  <c r="X1269" i="95" s="1"/>
  <c r="Y1269" i="95" s="1"/>
  <c r="Z1269" i="95" s="1"/>
  <c r="AA1269" i="95" s="1"/>
  <c r="AB1269" i="95" s="1"/>
  <c r="AC1269" i="95" s="1"/>
  <c r="AD1269" i="95" s="1"/>
  <c r="AE1269" i="95" s="1"/>
  <c r="AF1269" i="95" s="1"/>
  <c r="J1241" i="95"/>
  <c r="K1241" i="95" s="1"/>
  <c r="L1241" i="95" s="1"/>
  <c r="M1241" i="95" s="1"/>
  <c r="N1241" i="95" s="1"/>
  <c r="O1241" i="95" s="1"/>
  <c r="P1241" i="95" s="1"/>
  <c r="Q1241" i="95" s="1"/>
  <c r="R1241" i="95" s="1"/>
  <c r="S1241" i="95" s="1"/>
  <c r="T1241" i="95" s="1"/>
  <c r="U1241" i="95" s="1"/>
  <c r="V1241" i="95" s="1"/>
  <c r="W1241" i="95" s="1"/>
  <c r="X1241" i="95" s="1"/>
  <c r="Y1241" i="95" s="1"/>
  <c r="Z1241" i="95" s="1"/>
  <c r="AA1241" i="95" s="1"/>
  <c r="AB1241" i="95" s="1"/>
  <c r="AC1241" i="95" s="1"/>
  <c r="AD1241" i="95" s="1"/>
  <c r="AE1241" i="95" s="1"/>
  <c r="AF1241" i="95" s="1"/>
  <c r="J1148" i="95"/>
  <c r="K1148" i="95" s="1"/>
  <c r="L1148" i="95" s="1"/>
  <c r="M1148" i="95" s="1"/>
  <c r="N1148" i="95" s="1"/>
  <c r="O1148" i="95" s="1"/>
  <c r="P1148" i="95" s="1"/>
  <c r="Q1148" i="95" s="1"/>
  <c r="R1148" i="95" s="1"/>
  <c r="S1148" i="95" s="1"/>
  <c r="T1148" i="95" s="1"/>
  <c r="U1148" i="95" s="1"/>
  <c r="V1148" i="95" s="1"/>
  <c r="W1148" i="95" s="1"/>
  <c r="X1148" i="95" s="1"/>
  <c r="Y1148" i="95" s="1"/>
  <c r="Z1148" i="95" s="1"/>
  <c r="AA1148" i="95" s="1"/>
  <c r="AB1148" i="95" s="1"/>
  <c r="AC1148" i="95" s="1"/>
  <c r="AD1148" i="95" s="1"/>
  <c r="AE1148" i="95" s="1"/>
  <c r="AF1148" i="95" s="1"/>
  <c r="C1143" i="95"/>
  <c r="T1081" i="95" l="1"/>
  <c r="S1078" i="95"/>
  <c r="E1523" i="95"/>
  <c r="F1523" i="95" s="1"/>
  <c r="G1523" i="95" s="1"/>
  <c r="H1523" i="95" s="1"/>
  <c r="I1523" i="95" s="1"/>
  <c r="J1523" i="95" s="1"/>
  <c r="K1523" i="95" s="1"/>
  <c r="L1523" i="95" s="1"/>
  <c r="M1523" i="95" s="1"/>
  <c r="N1523" i="95" s="1"/>
  <c r="O1523" i="95" s="1"/>
  <c r="P1523" i="95" s="1"/>
  <c r="Q1523" i="95" s="1"/>
  <c r="R1523" i="95" s="1"/>
  <c r="S1523" i="95" s="1"/>
  <c r="T1523" i="95" s="1"/>
  <c r="U1523" i="95" s="1"/>
  <c r="V1523" i="95" s="1"/>
  <c r="W1523" i="95" s="1"/>
  <c r="X1523" i="95" s="1"/>
  <c r="Y1523" i="95" s="1"/>
  <c r="Z1523" i="95" s="1"/>
  <c r="AA1523" i="95" s="1"/>
  <c r="AB1523" i="95" s="1"/>
  <c r="AC1523" i="95" s="1"/>
  <c r="AD1523" i="95" s="1"/>
  <c r="AE1523" i="95" s="1"/>
  <c r="AF1523" i="95" s="1"/>
  <c r="J1343" i="95"/>
  <c r="K1343" i="95"/>
  <c r="L1343" i="95"/>
  <c r="M1343" i="95"/>
  <c r="N1343" i="95"/>
  <c r="O1343" i="95"/>
  <c r="P1343" i="95"/>
  <c r="Q1343" i="95"/>
  <c r="R1343" i="95"/>
  <c r="S1343" i="95"/>
  <c r="T1343" i="95"/>
  <c r="U1343" i="95"/>
  <c r="V1343" i="95"/>
  <c r="W1343" i="95"/>
  <c r="X1343" i="95"/>
  <c r="Y1343" i="95"/>
  <c r="Z1343" i="95"/>
  <c r="AA1343" i="95"/>
  <c r="AB1343" i="95"/>
  <c r="AC1343" i="95"/>
  <c r="AD1343" i="95"/>
  <c r="AE1343" i="95"/>
  <c r="AF1343" i="95"/>
  <c r="I1343" i="95"/>
  <c r="B1342" i="95"/>
  <c r="D1346" i="95"/>
  <c r="E1346" i="95" s="1"/>
  <c r="F1346" i="95" s="1"/>
  <c r="G1346" i="95" s="1"/>
  <c r="H1346" i="95" s="1"/>
  <c r="I1346" i="95" s="1"/>
  <c r="J1346" i="95" s="1"/>
  <c r="K1346" i="95" s="1"/>
  <c r="L1346" i="95" s="1"/>
  <c r="M1346" i="95" s="1"/>
  <c r="N1346" i="95" s="1"/>
  <c r="O1346" i="95" s="1"/>
  <c r="P1346" i="95" s="1"/>
  <c r="Q1346" i="95" s="1"/>
  <c r="R1346" i="95" s="1"/>
  <c r="S1346" i="95" s="1"/>
  <c r="T1346" i="95" s="1"/>
  <c r="U1346" i="95" s="1"/>
  <c r="V1346" i="95" s="1"/>
  <c r="W1346" i="95" s="1"/>
  <c r="X1346" i="95" s="1"/>
  <c r="Y1346" i="95" s="1"/>
  <c r="Z1346" i="95" s="1"/>
  <c r="AA1346" i="95" s="1"/>
  <c r="AB1346" i="95" s="1"/>
  <c r="AC1346" i="95" s="1"/>
  <c r="AD1346" i="95" s="1"/>
  <c r="AE1346" i="95" s="1"/>
  <c r="AF1346" i="95" s="1"/>
  <c r="D1345" i="95"/>
  <c r="E1345" i="95" s="1"/>
  <c r="F1345" i="95" s="1"/>
  <c r="G1345" i="95" s="1"/>
  <c r="H1345" i="95" s="1"/>
  <c r="I1345" i="95" s="1"/>
  <c r="J1345" i="95" s="1"/>
  <c r="K1345" i="95" s="1"/>
  <c r="L1345" i="95" s="1"/>
  <c r="M1345" i="95" s="1"/>
  <c r="N1345" i="95" s="1"/>
  <c r="O1345" i="95" s="1"/>
  <c r="P1345" i="95" s="1"/>
  <c r="Q1345" i="95" s="1"/>
  <c r="R1345" i="95" s="1"/>
  <c r="S1345" i="95" s="1"/>
  <c r="T1345" i="95" s="1"/>
  <c r="U1345" i="95" s="1"/>
  <c r="V1345" i="95" s="1"/>
  <c r="W1345" i="95" s="1"/>
  <c r="X1345" i="95" s="1"/>
  <c r="Y1345" i="95" s="1"/>
  <c r="Z1345" i="95" s="1"/>
  <c r="AA1345" i="95" s="1"/>
  <c r="AB1345" i="95" s="1"/>
  <c r="AC1345" i="95" s="1"/>
  <c r="AD1345" i="95" s="1"/>
  <c r="AE1345" i="95" s="1"/>
  <c r="AF1345" i="95" s="1"/>
  <c r="H1343" i="95"/>
  <c r="G1343" i="95"/>
  <c r="F1343" i="95"/>
  <c r="E1343" i="95"/>
  <c r="D1343" i="95"/>
  <c r="C1343" i="95"/>
  <c r="J1234" i="95"/>
  <c r="K1234" i="95" s="1"/>
  <c r="L1234" i="95" s="1"/>
  <c r="M1234" i="95" s="1"/>
  <c r="N1234" i="95" s="1"/>
  <c r="O1234" i="95" s="1"/>
  <c r="P1234" i="95" s="1"/>
  <c r="Q1234" i="95" s="1"/>
  <c r="R1234" i="95" s="1"/>
  <c r="S1234" i="95" s="1"/>
  <c r="T1234" i="95" s="1"/>
  <c r="U1234" i="95" s="1"/>
  <c r="V1234" i="95" s="1"/>
  <c r="W1234" i="95" s="1"/>
  <c r="X1234" i="95" s="1"/>
  <c r="Y1234" i="95" s="1"/>
  <c r="Z1234" i="95" s="1"/>
  <c r="AA1234" i="95" s="1"/>
  <c r="AB1234" i="95" s="1"/>
  <c r="AC1234" i="95" s="1"/>
  <c r="AD1234" i="95" s="1"/>
  <c r="AE1234" i="95" s="1"/>
  <c r="AF1234" i="95" s="1"/>
  <c r="D1208" i="95"/>
  <c r="E1208" i="95" s="1"/>
  <c r="F1208" i="95" s="1"/>
  <c r="G1208" i="95" s="1"/>
  <c r="H1208" i="95" s="1"/>
  <c r="I1208" i="95" s="1"/>
  <c r="J1208" i="95" s="1"/>
  <c r="K1208" i="95" s="1"/>
  <c r="L1208" i="95" s="1"/>
  <c r="M1208" i="95" s="1"/>
  <c r="N1208" i="95" s="1"/>
  <c r="O1208" i="95" s="1"/>
  <c r="P1208" i="95" s="1"/>
  <c r="Q1208" i="95" s="1"/>
  <c r="R1208" i="95" s="1"/>
  <c r="S1208" i="95" s="1"/>
  <c r="T1208" i="95" s="1"/>
  <c r="U1208" i="95" s="1"/>
  <c r="V1208" i="95" s="1"/>
  <c r="W1208" i="95" s="1"/>
  <c r="X1208" i="95" s="1"/>
  <c r="Y1208" i="95" s="1"/>
  <c r="Z1208" i="95" s="1"/>
  <c r="AA1208" i="95" s="1"/>
  <c r="AB1208" i="95" s="1"/>
  <c r="AC1208" i="95" s="1"/>
  <c r="AD1208" i="95" s="1"/>
  <c r="AE1208" i="95" s="1"/>
  <c r="AF1208" i="95" s="1"/>
  <c r="D1656" i="95"/>
  <c r="E1656" i="95" s="1"/>
  <c r="F1656" i="95" s="1"/>
  <c r="G1656" i="95" s="1"/>
  <c r="H1656" i="95" s="1"/>
  <c r="I1656" i="95" s="1"/>
  <c r="J1656" i="95" s="1"/>
  <c r="K1656" i="95" s="1"/>
  <c r="L1656" i="95" s="1"/>
  <c r="M1656" i="95" s="1"/>
  <c r="N1656" i="95" s="1"/>
  <c r="O1656" i="95" s="1"/>
  <c r="P1656" i="95" s="1"/>
  <c r="Q1656" i="95" s="1"/>
  <c r="R1656" i="95" s="1"/>
  <c r="S1656" i="95" s="1"/>
  <c r="T1656" i="95" s="1"/>
  <c r="U1656" i="95" s="1"/>
  <c r="V1656" i="95" s="1"/>
  <c r="W1656" i="95" s="1"/>
  <c r="X1656" i="95" s="1"/>
  <c r="Y1656" i="95" s="1"/>
  <c r="Z1656" i="95" s="1"/>
  <c r="AA1656" i="95" s="1"/>
  <c r="AB1656" i="95" s="1"/>
  <c r="AC1656" i="95" s="1"/>
  <c r="AD1656" i="95" s="1"/>
  <c r="AE1656" i="95" s="1"/>
  <c r="AF1656" i="95" s="1"/>
  <c r="D1205" i="95"/>
  <c r="C1123" i="95"/>
  <c r="C1103" i="95"/>
  <c r="M122" i="79"/>
  <c r="W122" i="79" s="1"/>
  <c r="D179" i="79"/>
  <c r="E179" i="79" s="1"/>
  <c r="F179" i="79" s="1"/>
  <c r="G179" i="79" s="1"/>
  <c r="H179" i="79" s="1"/>
  <c r="I179" i="79" s="1"/>
  <c r="J179" i="79" s="1"/>
  <c r="K179" i="79" s="1"/>
  <c r="L179" i="79" s="1"/>
  <c r="M179" i="79" s="1"/>
  <c r="N179" i="79" s="1"/>
  <c r="O179" i="79" s="1"/>
  <c r="P179" i="79" s="1"/>
  <c r="Q179" i="79" s="1"/>
  <c r="R179" i="79" s="1"/>
  <c r="S179" i="79" s="1"/>
  <c r="T179" i="79" s="1"/>
  <c r="U179" i="79" s="1"/>
  <c r="V179" i="79" s="1"/>
  <c r="W179" i="79" s="1"/>
  <c r="X179" i="79" s="1"/>
  <c r="Y179" i="79" s="1"/>
  <c r="Z179" i="79" s="1"/>
  <c r="AA179" i="79" s="1"/>
  <c r="AB179" i="79" s="1"/>
  <c r="AC179" i="79" s="1"/>
  <c r="AD179" i="79" s="1"/>
  <c r="AE179" i="79" s="1"/>
  <c r="AF179" i="79" s="1"/>
  <c r="U1081" i="95" l="1"/>
  <c r="T1078" i="95"/>
  <c r="D45" i="68"/>
  <c r="I242" i="59"/>
  <c r="J242" i="59" s="1"/>
  <c r="K242" i="59" s="1"/>
  <c r="L242" i="59" s="1"/>
  <c r="M242" i="59" s="1"/>
  <c r="N242" i="59" s="1"/>
  <c r="O242" i="59" s="1"/>
  <c r="P242" i="59" s="1"/>
  <c r="Q242" i="59" s="1"/>
  <c r="R242" i="59" s="1"/>
  <c r="S242" i="59" s="1"/>
  <c r="T242" i="59" s="1"/>
  <c r="U242" i="59" s="1"/>
  <c r="V242" i="59" s="1"/>
  <c r="W242" i="59" s="1"/>
  <c r="X242" i="59" s="1"/>
  <c r="Y242" i="59" s="1"/>
  <c r="Z242" i="59" s="1"/>
  <c r="AA242" i="59" s="1"/>
  <c r="AB242" i="59" s="1"/>
  <c r="AC242" i="59" s="1"/>
  <c r="AD242" i="59" s="1"/>
  <c r="AE242" i="59" s="1"/>
  <c r="AF242" i="59" s="1"/>
  <c r="AG242" i="59" s="1"/>
  <c r="AH242" i="59" s="1"/>
  <c r="AI242" i="59" s="1"/>
  <c r="AJ242" i="59" s="1"/>
  <c r="V1081" i="95" l="1"/>
  <c r="U1078" i="95"/>
  <c r="D29" i="79"/>
  <c r="E29" i="79" s="1"/>
  <c r="F29" i="79" s="1"/>
  <c r="G29" i="79" s="1"/>
  <c r="H29" i="79" s="1"/>
  <c r="I29" i="79" s="1"/>
  <c r="J29" i="79" s="1"/>
  <c r="K29" i="79" s="1"/>
  <c r="L29" i="79" s="1"/>
  <c r="M29" i="79" s="1"/>
  <c r="N29" i="79" s="1"/>
  <c r="O29" i="79" s="1"/>
  <c r="P29" i="79" s="1"/>
  <c r="Q29" i="79" s="1"/>
  <c r="R29" i="79" s="1"/>
  <c r="S29" i="79" s="1"/>
  <c r="T29" i="79" s="1"/>
  <c r="U29" i="79" s="1"/>
  <c r="V29" i="79" s="1"/>
  <c r="W29" i="79" s="1"/>
  <c r="X29" i="79" s="1"/>
  <c r="Y29" i="79" s="1"/>
  <c r="Z29" i="79" s="1"/>
  <c r="AA29" i="79" s="1"/>
  <c r="AB29" i="79" s="1"/>
  <c r="AC29" i="79" s="1"/>
  <c r="AD29" i="79" s="1"/>
  <c r="AE29" i="79" s="1"/>
  <c r="AF29" i="79" s="1"/>
  <c r="D27" i="79"/>
  <c r="E27" i="79" s="1"/>
  <c r="F27" i="79" s="1"/>
  <c r="G27" i="79" s="1"/>
  <c r="H27" i="79" s="1"/>
  <c r="I27" i="79" s="1"/>
  <c r="J27" i="79" s="1"/>
  <c r="AF26" i="79"/>
  <c r="AE26" i="79"/>
  <c r="AD26" i="79"/>
  <c r="AC26" i="79"/>
  <c r="AB26" i="79"/>
  <c r="AA26" i="79"/>
  <c r="Z26" i="79"/>
  <c r="Y26" i="79"/>
  <c r="X26" i="79"/>
  <c r="W26" i="79"/>
  <c r="V26" i="79"/>
  <c r="U26" i="79"/>
  <c r="T26" i="79"/>
  <c r="S26" i="79"/>
  <c r="R26" i="79"/>
  <c r="P26" i="79"/>
  <c r="O26" i="79"/>
  <c r="N26" i="79"/>
  <c r="M26" i="79"/>
  <c r="L26" i="79"/>
  <c r="K26" i="79"/>
  <c r="J26" i="79"/>
  <c r="I26" i="79"/>
  <c r="H26" i="79"/>
  <c r="G26" i="79"/>
  <c r="F26" i="79"/>
  <c r="E26" i="79"/>
  <c r="D26" i="79"/>
  <c r="C26" i="79"/>
  <c r="AF18" i="79"/>
  <c r="AE18" i="79"/>
  <c r="AD18" i="79"/>
  <c r="AC18" i="79"/>
  <c r="AB18" i="79"/>
  <c r="AA18" i="79"/>
  <c r="Z18" i="79"/>
  <c r="Y18" i="79"/>
  <c r="X18" i="79"/>
  <c r="W18" i="79"/>
  <c r="V18" i="79"/>
  <c r="U18" i="79"/>
  <c r="T18" i="79"/>
  <c r="S18" i="79"/>
  <c r="R18" i="79"/>
  <c r="Q18" i="79"/>
  <c r="P18" i="79"/>
  <c r="O18" i="79"/>
  <c r="N18" i="79"/>
  <c r="M18" i="79"/>
  <c r="L18" i="79"/>
  <c r="K18" i="79"/>
  <c r="J18" i="79"/>
  <c r="I18" i="79"/>
  <c r="H18" i="79"/>
  <c r="G18" i="79"/>
  <c r="F18" i="79"/>
  <c r="E18" i="79"/>
  <c r="D18" i="79"/>
  <c r="C18" i="79"/>
  <c r="AF15" i="79"/>
  <c r="AE15" i="79"/>
  <c r="AD15" i="79"/>
  <c r="AC15" i="79"/>
  <c r="AB15" i="79"/>
  <c r="AA15" i="79"/>
  <c r="Z15" i="79"/>
  <c r="Y15" i="79"/>
  <c r="X15" i="79"/>
  <c r="W15" i="79"/>
  <c r="V15" i="79"/>
  <c r="U15" i="79"/>
  <c r="T15" i="79"/>
  <c r="S15" i="79"/>
  <c r="R15" i="79"/>
  <c r="Q15" i="79"/>
  <c r="P15" i="79"/>
  <c r="O15" i="79"/>
  <c r="N15" i="79"/>
  <c r="M15" i="79"/>
  <c r="L15" i="79"/>
  <c r="K15" i="79"/>
  <c r="J15" i="79"/>
  <c r="I15" i="79"/>
  <c r="H15" i="79"/>
  <c r="G15" i="79"/>
  <c r="F15" i="79"/>
  <c r="E15" i="79"/>
  <c r="D15" i="79"/>
  <c r="C15" i="79"/>
  <c r="AF11" i="79"/>
  <c r="AF10" i="79" s="1"/>
  <c r="AE11" i="79"/>
  <c r="AE10" i="79" s="1"/>
  <c r="AD11" i="79"/>
  <c r="AD10" i="79" s="1"/>
  <c r="AC11" i="79"/>
  <c r="AC10" i="79" s="1"/>
  <c r="AB11" i="79"/>
  <c r="AB10" i="79" s="1"/>
  <c r="AA11" i="79"/>
  <c r="AA10" i="79" s="1"/>
  <c r="Z11" i="79"/>
  <c r="Z10" i="79" s="1"/>
  <c r="Y11" i="79"/>
  <c r="Y10" i="79" s="1"/>
  <c r="X11" i="79"/>
  <c r="X10" i="79" s="1"/>
  <c r="W11" i="79"/>
  <c r="W10" i="79" s="1"/>
  <c r="V11" i="79"/>
  <c r="V10" i="79" s="1"/>
  <c r="U11" i="79"/>
  <c r="U10" i="79" s="1"/>
  <c r="T11" i="79"/>
  <c r="T10" i="79" s="1"/>
  <c r="S11" i="79"/>
  <c r="S10" i="79" s="1"/>
  <c r="R11" i="79"/>
  <c r="R10" i="79" s="1"/>
  <c r="Q11" i="79"/>
  <c r="Q10" i="79" s="1"/>
  <c r="P11" i="79"/>
  <c r="P10" i="79" s="1"/>
  <c r="O11" i="79"/>
  <c r="O10" i="79" s="1"/>
  <c r="N11" i="79"/>
  <c r="N10" i="79" s="1"/>
  <c r="M11" i="79"/>
  <c r="M10" i="79" s="1"/>
  <c r="L11" i="79"/>
  <c r="L10" i="79" s="1"/>
  <c r="K11" i="79"/>
  <c r="K10" i="79" s="1"/>
  <c r="J11" i="79"/>
  <c r="J10" i="79" s="1"/>
  <c r="I11" i="79"/>
  <c r="I10" i="79" s="1"/>
  <c r="H11" i="79"/>
  <c r="H10" i="79" s="1"/>
  <c r="G11" i="79"/>
  <c r="G10" i="79" s="1"/>
  <c r="F11" i="79"/>
  <c r="F10" i="79" s="1"/>
  <c r="E11" i="79"/>
  <c r="E10" i="79" s="1"/>
  <c r="D11" i="79"/>
  <c r="D10" i="79" s="1"/>
  <c r="C11" i="79"/>
  <c r="C10" i="79" s="1"/>
  <c r="W1081" i="95" l="1"/>
  <c r="V1078" i="95"/>
  <c r="L14" i="79"/>
  <c r="AB14" i="79"/>
  <c r="E14" i="79"/>
  <c r="M14" i="79"/>
  <c r="AC14" i="79"/>
  <c r="F14" i="79"/>
  <c r="N14" i="79"/>
  <c r="V14" i="79"/>
  <c r="AD14" i="79"/>
  <c r="D14" i="79"/>
  <c r="T14" i="79"/>
  <c r="U14" i="79"/>
  <c r="C14" i="79"/>
  <c r="K14" i="79"/>
  <c r="S14" i="79"/>
  <c r="AA14" i="79"/>
  <c r="G14" i="79"/>
  <c r="O14" i="79"/>
  <c r="W14" i="79"/>
  <c r="AE14" i="79"/>
  <c r="J14" i="79"/>
  <c r="R14" i="79"/>
  <c r="Z14" i="79"/>
  <c r="H14" i="79"/>
  <c r="P14" i="79"/>
  <c r="X14" i="79"/>
  <c r="AF14" i="79"/>
  <c r="I14" i="79"/>
  <c r="Q14" i="79"/>
  <c r="Y14" i="79"/>
  <c r="C21" i="79"/>
  <c r="H21" i="79"/>
  <c r="I21" i="79"/>
  <c r="E21" i="79"/>
  <c r="F21" i="79"/>
  <c r="G21" i="79"/>
  <c r="K27" i="79"/>
  <c r="J21" i="79"/>
  <c r="D21" i="79"/>
  <c r="X1081" i="95" l="1"/>
  <c r="W1078" i="95"/>
  <c r="L27" i="79"/>
  <c r="K21" i="79"/>
  <c r="Y1081" i="95" l="1"/>
  <c r="X1078" i="95"/>
  <c r="M27" i="79"/>
  <c r="L21" i="79"/>
  <c r="Z1081" i="95" l="1"/>
  <c r="Y1078" i="95"/>
  <c r="N27" i="79"/>
  <c r="M21" i="79"/>
  <c r="AA1081" i="95" l="1"/>
  <c r="Z1078" i="95"/>
  <c r="N21" i="79"/>
  <c r="O27" i="79"/>
  <c r="AB1081" i="95" l="1"/>
  <c r="AA1078" i="95"/>
  <c r="O21" i="79"/>
  <c r="P27" i="79"/>
  <c r="AC1081" i="95" l="1"/>
  <c r="AB1078" i="95"/>
  <c r="Q27" i="79"/>
  <c r="P21" i="79"/>
  <c r="AD1081" i="95" l="1"/>
  <c r="AC1078" i="95"/>
  <c r="R27" i="79"/>
  <c r="Q21" i="79"/>
  <c r="AE1081" i="95" l="1"/>
  <c r="AD1078" i="95"/>
  <c r="S27" i="79"/>
  <c r="R21" i="79"/>
  <c r="AF1081" i="95" l="1"/>
  <c r="AF1078" i="95" s="1"/>
  <c r="AE1078" i="95"/>
  <c r="T27" i="79"/>
  <c r="S21" i="79"/>
  <c r="U27" i="79" l="1"/>
  <c r="T21" i="79"/>
  <c r="V27" i="79" l="1"/>
  <c r="U21" i="79"/>
  <c r="W27" i="79" l="1"/>
  <c r="V21" i="79"/>
  <c r="X27" i="79" l="1"/>
  <c r="W21" i="79"/>
  <c r="X21" i="79" l="1"/>
  <c r="Y27" i="79"/>
  <c r="Y21" i="79" l="1"/>
  <c r="Z27" i="79"/>
  <c r="Z21" i="79" l="1"/>
  <c r="AA27" i="79"/>
  <c r="AA21" i="79" l="1"/>
  <c r="AB27" i="79"/>
  <c r="AC27" i="79" l="1"/>
  <c r="AB21" i="79"/>
  <c r="AD27" i="79" l="1"/>
  <c r="AC21" i="79"/>
  <c r="AE27" i="79" l="1"/>
  <c r="AD21" i="79"/>
  <c r="AF27" i="79" l="1"/>
  <c r="AF21" i="79" s="1"/>
  <c r="AE21" i="79"/>
  <c r="D150" i="59" l="1"/>
  <c r="D152" i="59"/>
  <c r="D153" i="59"/>
  <c r="D154" i="59"/>
  <c r="D155" i="59"/>
  <c r="D149" i="59"/>
  <c r="C142" i="59"/>
  <c r="C144" i="59"/>
  <c r="C145" i="59"/>
  <c r="C146" i="59"/>
  <c r="C147" i="59"/>
  <c r="C141" i="59"/>
  <c r="C152" i="59" l="1"/>
  <c r="C160" i="59"/>
  <c r="AF177" i="79"/>
  <c r="AE177" i="79"/>
  <c r="AD177" i="79"/>
  <c r="AC177" i="79"/>
  <c r="AB177" i="79"/>
  <c r="AA177" i="79"/>
  <c r="Z177" i="79"/>
  <c r="Y177" i="79"/>
  <c r="X177" i="79"/>
  <c r="W177" i="79"/>
  <c r="V177" i="79"/>
  <c r="U177" i="79"/>
  <c r="T177" i="79"/>
  <c r="S177" i="79"/>
  <c r="R177" i="79"/>
  <c r="Q177" i="79"/>
  <c r="P177" i="79"/>
  <c r="O177" i="79"/>
  <c r="N177" i="79"/>
  <c r="M177" i="79"/>
  <c r="L177" i="79"/>
  <c r="K177" i="79"/>
  <c r="J177" i="79"/>
  <c r="I177" i="79"/>
  <c r="H177" i="79"/>
  <c r="G177" i="79"/>
  <c r="F177" i="79"/>
  <c r="E177" i="79"/>
  <c r="D177" i="79"/>
  <c r="C177" i="79"/>
  <c r="AF173" i="79"/>
  <c r="AF172" i="79" s="1"/>
  <c r="AE173" i="79"/>
  <c r="AE172" i="79" s="1"/>
  <c r="AD173" i="79"/>
  <c r="AD172" i="79" s="1"/>
  <c r="AC173" i="79"/>
  <c r="AC172" i="79" s="1"/>
  <c r="AB173" i="79"/>
  <c r="AB172" i="79" s="1"/>
  <c r="AA173" i="79"/>
  <c r="AA172" i="79" s="1"/>
  <c r="Z173" i="79"/>
  <c r="Z172" i="79" s="1"/>
  <c r="Y173" i="79"/>
  <c r="Y172" i="79" s="1"/>
  <c r="X173" i="79"/>
  <c r="X172" i="79" s="1"/>
  <c r="W173" i="79"/>
  <c r="W172" i="79" s="1"/>
  <c r="V173" i="79"/>
  <c r="V172" i="79" s="1"/>
  <c r="U173" i="79"/>
  <c r="U172" i="79" s="1"/>
  <c r="T173" i="79"/>
  <c r="T172" i="79" s="1"/>
  <c r="S173" i="79"/>
  <c r="S172" i="79" s="1"/>
  <c r="R173" i="79"/>
  <c r="R172" i="79" s="1"/>
  <c r="Q173" i="79"/>
  <c r="Q172" i="79" s="1"/>
  <c r="P173" i="79"/>
  <c r="P172" i="79" s="1"/>
  <c r="O173" i="79"/>
  <c r="O172" i="79" s="1"/>
  <c r="N173" i="79"/>
  <c r="N172" i="79" s="1"/>
  <c r="M173" i="79"/>
  <c r="M172" i="79" s="1"/>
  <c r="L173" i="79"/>
  <c r="L172" i="79" s="1"/>
  <c r="K173" i="79"/>
  <c r="K172" i="79" s="1"/>
  <c r="J173" i="79"/>
  <c r="J172" i="79" s="1"/>
  <c r="I173" i="79"/>
  <c r="I172" i="79" s="1"/>
  <c r="H173" i="79"/>
  <c r="H172" i="79" s="1"/>
  <c r="G173" i="79"/>
  <c r="G172" i="79" s="1"/>
  <c r="F173" i="79"/>
  <c r="F172" i="79" s="1"/>
  <c r="E173" i="79"/>
  <c r="E172" i="79" s="1"/>
  <c r="D173" i="79"/>
  <c r="D172" i="79" s="1"/>
  <c r="C173" i="79"/>
  <c r="C172" i="79" s="1"/>
  <c r="AF169" i="79"/>
  <c r="AE169" i="79"/>
  <c r="AD169" i="79"/>
  <c r="AC169" i="79"/>
  <c r="AB169" i="79"/>
  <c r="AA169" i="79"/>
  <c r="Z169" i="79"/>
  <c r="Y169" i="79"/>
  <c r="X169" i="79"/>
  <c r="W169" i="79"/>
  <c r="V169" i="79"/>
  <c r="U169" i="79"/>
  <c r="T169" i="79"/>
  <c r="S169" i="79"/>
  <c r="R169" i="79"/>
  <c r="Q169" i="79"/>
  <c r="P169" i="79"/>
  <c r="O169" i="79"/>
  <c r="N169" i="79"/>
  <c r="M169" i="79"/>
  <c r="L169" i="79"/>
  <c r="K169" i="79"/>
  <c r="J169" i="79"/>
  <c r="I169" i="79"/>
  <c r="H169" i="79"/>
  <c r="G169" i="79"/>
  <c r="F169" i="79"/>
  <c r="E169" i="79"/>
  <c r="D169" i="79"/>
  <c r="C169" i="79"/>
  <c r="AF166" i="79"/>
  <c r="AE166" i="79"/>
  <c r="AD166" i="79"/>
  <c r="AC166" i="79"/>
  <c r="AB166" i="79"/>
  <c r="AA166" i="79"/>
  <c r="Z166" i="79"/>
  <c r="Y166" i="79"/>
  <c r="X166" i="79"/>
  <c r="W166" i="79"/>
  <c r="V166" i="79"/>
  <c r="U166" i="79"/>
  <c r="T166" i="79"/>
  <c r="S166" i="79"/>
  <c r="R166" i="79"/>
  <c r="Q166" i="79"/>
  <c r="P166" i="79"/>
  <c r="O166" i="79"/>
  <c r="N166" i="79"/>
  <c r="M166" i="79"/>
  <c r="L166" i="79"/>
  <c r="K166" i="79"/>
  <c r="J166" i="79"/>
  <c r="I166" i="79"/>
  <c r="H166" i="79"/>
  <c r="G166" i="79"/>
  <c r="F166" i="79"/>
  <c r="E166" i="79"/>
  <c r="D166" i="79"/>
  <c r="C166" i="79"/>
  <c r="AF162" i="79"/>
  <c r="AF161" i="79" s="1"/>
  <c r="AE162" i="79"/>
  <c r="AE161" i="79" s="1"/>
  <c r="AD162" i="79"/>
  <c r="AD161" i="79" s="1"/>
  <c r="AC162" i="79"/>
  <c r="AC161" i="79" s="1"/>
  <c r="AB162" i="79"/>
  <c r="AB161" i="79" s="1"/>
  <c r="AA162" i="79"/>
  <c r="AA161" i="79" s="1"/>
  <c r="Z162" i="79"/>
  <c r="Z161" i="79" s="1"/>
  <c r="Y162" i="79"/>
  <c r="Y161" i="79" s="1"/>
  <c r="X162" i="79"/>
  <c r="X161" i="79" s="1"/>
  <c r="W162" i="79"/>
  <c r="W161" i="79" s="1"/>
  <c r="V162" i="79"/>
  <c r="V161" i="79" s="1"/>
  <c r="U162" i="79"/>
  <c r="U161" i="79" s="1"/>
  <c r="T162" i="79"/>
  <c r="T161" i="79" s="1"/>
  <c r="S162" i="79"/>
  <c r="S161" i="79" s="1"/>
  <c r="R162" i="79"/>
  <c r="R161" i="79" s="1"/>
  <c r="Q162" i="79"/>
  <c r="Q161" i="79" s="1"/>
  <c r="P162" i="79"/>
  <c r="P161" i="79" s="1"/>
  <c r="O162" i="79"/>
  <c r="O161" i="79" s="1"/>
  <c r="N162" i="79"/>
  <c r="N161" i="79" s="1"/>
  <c r="M162" i="79"/>
  <c r="M161" i="79" s="1"/>
  <c r="L162" i="79"/>
  <c r="L161" i="79" s="1"/>
  <c r="K162" i="79"/>
  <c r="K161" i="79" s="1"/>
  <c r="J162" i="79"/>
  <c r="J161" i="79" s="1"/>
  <c r="I162" i="79"/>
  <c r="I161" i="79" s="1"/>
  <c r="H162" i="79"/>
  <c r="H161" i="79" s="1"/>
  <c r="G162" i="79"/>
  <c r="G161" i="79" s="1"/>
  <c r="F162" i="79"/>
  <c r="F161" i="79" s="1"/>
  <c r="E162" i="79"/>
  <c r="E161" i="79" s="1"/>
  <c r="D162" i="79"/>
  <c r="D161" i="79" s="1"/>
  <c r="C162" i="79"/>
  <c r="C161" i="79" s="1"/>
  <c r="AF158" i="79"/>
  <c r="AF157" i="79" s="1"/>
  <c r="AE158" i="79"/>
  <c r="AE157" i="79" s="1"/>
  <c r="AD158" i="79"/>
  <c r="AD157" i="79" s="1"/>
  <c r="AC158" i="79"/>
  <c r="AC157" i="79" s="1"/>
  <c r="AB158" i="79"/>
  <c r="AB157" i="79" s="1"/>
  <c r="AA158" i="79"/>
  <c r="AA157" i="79" s="1"/>
  <c r="Z158" i="79"/>
  <c r="Y158" i="79"/>
  <c r="Y157" i="79" s="1"/>
  <c r="X158" i="79"/>
  <c r="X157" i="79" s="1"/>
  <c r="W158" i="79"/>
  <c r="W157" i="79" s="1"/>
  <c r="V158" i="79"/>
  <c r="V157" i="79" s="1"/>
  <c r="U158" i="79"/>
  <c r="U157" i="79" s="1"/>
  <c r="T158" i="79"/>
  <c r="T157" i="79" s="1"/>
  <c r="S158" i="79"/>
  <c r="S157" i="79" s="1"/>
  <c r="R158" i="79"/>
  <c r="R157" i="79" s="1"/>
  <c r="Q158" i="79"/>
  <c r="Q157" i="79" s="1"/>
  <c r="P158" i="79"/>
  <c r="P157" i="79" s="1"/>
  <c r="O158" i="79"/>
  <c r="O157" i="79" s="1"/>
  <c r="N158" i="79"/>
  <c r="N157" i="79" s="1"/>
  <c r="M158" i="79"/>
  <c r="M157" i="79" s="1"/>
  <c r="L158" i="79"/>
  <c r="L157" i="79" s="1"/>
  <c r="K158" i="79"/>
  <c r="K157" i="79" s="1"/>
  <c r="J158" i="79"/>
  <c r="J157" i="79" s="1"/>
  <c r="I158" i="79"/>
  <c r="I157" i="79" s="1"/>
  <c r="H158" i="79"/>
  <c r="H157" i="79" s="1"/>
  <c r="G158" i="79"/>
  <c r="G157" i="79" s="1"/>
  <c r="F158" i="79"/>
  <c r="F157" i="79" s="1"/>
  <c r="E158" i="79"/>
  <c r="E157" i="79" s="1"/>
  <c r="D158" i="79"/>
  <c r="D157" i="79" s="1"/>
  <c r="C158" i="79"/>
  <c r="C157" i="79" s="1"/>
  <c r="Z157" i="79"/>
  <c r="R154" i="79"/>
  <c r="R152" i="79" s="1"/>
  <c r="Q154" i="79"/>
  <c r="AA154" i="79" s="1"/>
  <c r="AF152" i="79"/>
  <c r="AE152" i="79"/>
  <c r="AD152" i="79"/>
  <c r="AC152" i="79"/>
  <c r="Z152" i="79"/>
  <c r="X152" i="79"/>
  <c r="W152" i="79"/>
  <c r="V152" i="79"/>
  <c r="U152" i="79"/>
  <c r="T152" i="79"/>
  <c r="S152" i="79"/>
  <c r="P152" i="79"/>
  <c r="O152" i="79"/>
  <c r="N152" i="79"/>
  <c r="M152" i="79"/>
  <c r="L152" i="79"/>
  <c r="K152" i="79"/>
  <c r="J152" i="79"/>
  <c r="I152" i="79"/>
  <c r="G152" i="79"/>
  <c r="F152" i="79"/>
  <c r="D152" i="79"/>
  <c r="C152" i="79"/>
  <c r="Q150" i="79"/>
  <c r="AA150" i="79" s="1"/>
  <c r="AF148" i="79"/>
  <c r="AE148" i="79"/>
  <c r="AD148" i="79"/>
  <c r="AC148" i="79"/>
  <c r="Z148" i="79"/>
  <c r="Y148" i="79"/>
  <c r="X148" i="79"/>
  <c r="W148" i="79"/>
  <c r="V148" i="79"/>
  <c r="U148" i="79"/>
  <c r="T148" i="79"/>
  <c r="S148" i="79"/>
  <c r="P148" i="79"/>
  <c r="O148" i="79"/>
  <c r="N148" i="79"/>
  <c r="M148" i="79"/>
  <c r="L148" i="79"/>
  <c r="K148" i="79"/>
  <c r="J148" i="79"/>
  <c r="I148" i="79"/>
  <c r="G148" i="79"/>
  <c r="F148" i="79"/>
  <c r="E148" i="79"/>
  <c r="D148" i="79"/>
  <c r="C148" i="79"/>
  <c r="Z147" i="79"/>
  <c r="AF144" i="79"/>
  <c r="AE144" i="79"/>
  <c r="AD144" i="79"/>
  <c r="AC144" i="79"/>
  <c r="AB144" i="79"/>
  <c r="AA144" i="79"/>
  <c r="Z144" i="79"/>
  <c r="Y144" i="79"/>
  <c r="X144" i="79"/>
  <c r="W144" i="79"/>
  <c r="V144" i="79"/>
  <c r="U144" i="79"/>
  <c r="T144" i="79"/>
  <c r="S144" i="79"/>
  <c r="R144" i="79"/>
  <c r="Q144" i="79"/>
  <c r="P144" i="79"/>
  <c r="O144" i="79"/>
  <c r="N144" i="79"/>
  <c r="M144" i="79"/>
  <c r="L144" i="79"/>
  <c r="K144" i="79"/>
  <c r="J144" i="79"/>
  <c r="I144" i="79"/>
  <c r="H144" i="79"/>
  <c r="G144" i="79"/>
  <c r="F144" i="79"/>
  <c r="D144" i="79"/>
  <c r="C144" i="79"/>
  <c r="AF140" i="79"/>
  <c r="AE140" i="79"/>
  <c r="AD140" i="79"/>
  <c r="AC140" i="79"/>
  <c r="AB140" i="79"/>
  <c r="AA140" i="79"/>
  <c r="Z140" i="79"/>
  <c r="Y140" i="79"/>
  <c r="X140" i="79"/>
  <c r="W140" i="79"/>
  <c r="V140" i="79"/>
  <c r="U140" i="79"/>
  <c r="T140" i="79"/>
  <c r="S140" i="79"/>
  <c r="R140" i="79"/>
  <c r="Q140" i="79"/>
  <c r="P140" i="79"/>
  <c r="O140" i="79"/>
  <c r="N140" i="79"/>
  <c r="M140" i="79"/>
  <c r="L140" i="79"/>
  <c r="K140" i="79"/>
  <c r="J140" i="79"/>
  <c r="I140" i="79"/>
  <c r="H140" i="79"/>
  <c r="G140" i="79"/>
  <c r="F140" i="79"/>
  <c r="E140" i="79"/>
  <c r="D140" i="79"/>
  <c r="C140" i="79"/>
  <c r="AF135" i="79"/>
  <c r="AE135" i="79"/>
  <c r="AD135" i="79"/>
  <c r="AC135" i="79"/>
  <c r="AB135" i="79"/>
  <c r="AA135" i="79"/>
  <c r="Z135" i="79"/>
  <c r="Y135" i="79"/>
  <c r="X135" i="79"/>
  <c r="W135" i="79"/>
  <c r="V135" i="79"/>
  <c r="U135" i="79"/>
  <c r="T135" i="79"/>
  <c r="S135" i="79"/>
  <c r="R135" i="79"/>
  <c r="Q135" i="79"/>
  <c r="P135" i="79"/>
  <c r="O135" i="79"/>
  <c r="N135" i="79"/>
  <c r="M135" i="79"/>
  <c r="L135" i="79"/>
  <c r="K135" i="79"/>
  <c r="J135" i="79"/>
  <c r="I135" i="79"/>
  <c r="H135" i="79"/>
  <c r="G135" i="79"/>
  <c r="F135" i="79"/>
  <c r="E135" i="79"/>
  <c r="D135" i="79"/>
  <c r="C135" i="79"/>
  <c r="AF130" i="79"/>
  <c r="AE130" i="79"/>
  <c r="AD130" i="79"/>
  <c r="AC130" i="79"/>
  <c r="AB130" i="79"/>
  <c r="AA130" i="79"/>
  <c r="Z130" i="79"/>
  <c r="Y130" i="79"/>
  <c r="X130" i="79"/>
  <c r="W130" i="79"/>
  <c r="V130" i="79"/>
  <c r="U130" i="79"/>
  <c r="T130" i="79"/>
  <c r="S130" i="79"/>
  <c r="R130" i="79"/>
  <c r="Q130" i="79"/>
  <c r="P130" i="79"/>
  <c r="O130" i="79"/>
  <c r="N130" i="79"/>
  <c r="M130" i="79"/>
  <c r="L130" i="79"/>
  <c r="K130" i="79"/>
  <c r="J130" i="79"/>
  <c r="I130" i="79"/>
  <c r="H130" i="79"/>
  <c r="G130" i="79"/>
  <c r="F130" i="79"/>
  <c r="E130" i="79"/>
  <c r="E109" i="79" s="1"/>
  <c r="D130" i="79"/>
  <c r="C130" i="79"/>
  <c r="AF125" i="79"/>
  <c r="AE125" i="79"/>
  <c r="AD125" i="79"/>
  <c r="AC125" i="79"/>
  <c r="AB125" i="79"/>
  <c r="AA125" i="79"/>
  <c r="Z125" i="79"/>
  <c r="Y125" i="79"/>
  <c r="X125" i="79"/>
  <c r="W125" i="79"/>
  <c r="V125" i="79"/>
  <c r="U125" i="79"/>
  <c r="T125" i="79"/>
  <c r="S125" i="79"/>
  <c r="R125" i="79"/>
  <c r="Q125" i="79"/>
  <c r="P125" i="79"/>
  <c r="O125" i="79"/>
  <c r="N125" i="79"/>
  <c r="M125" i="79"/>
  <c r="L125" i="79"/>
  <c r="K125" i="79"/>
  <c r="J125" i="79"/>
  <c r="I125" i="79"/>
  <c r="H125" i="79"/>
  <c r="G125" i="79"/>
  <c r="F125" i="79"/>
  <c r="E125" i="79"/>
  <c r="D125" i="79"/>
  <c r="C125" i="79"/>
  <c r="AF120" i="79"/>
  <c r="AE120" i="79"/>
  <c r="AD120" i="79"/>
  <c r="AC120" i="79"/>
  <c r="AB120" i="79"/>
  <c r="AA120" i="79"/>
  <c r="Z120" i="79"/>
  <c r="Y120" i="79"/>
  <c r="X120" i="79"/>
  <c r="W120" i="79"/>
  <c r="V120" i="79"/>
  <c r="U120" i="79"/>
  <c r="T120" i="79"/>
  <c r="S120" i="79"/>
  <c r="R120" i="79"/>
  <c r="Q120" i="79"/>
  <c r="P120" i="79"/>
  <c r="O120" i="79"/>
  <c r="N120" i="79"/>
  <c r="M120" i="79"/>
  <c r="L120" i="79"/>
  <c r="K120" i="79"/>
  <c r="J120" i="79"/>
  <c r="I120" i="79"/>
  <c r="H120" i="79"/>
  <c r="G120" i="79"/>
  <c r="F120" i="79"/>
  <c r="E120" i="79"/>
  <c r="D120" i="79"/>
  <c r="C120" i="79"/>
  <c r="AF115" i="79"/>
  <c r="AE115" i="79"/>
  <c r="AD115" i="79"/>
  <c r="AC115" i="79"/>
  <c r="AB115" i="79"/>
  <c r="AA115" i="79"/>
  <c r="Z115" i="79"/>
  <c r="Y115" i="79"/>
  <c r="X115" i="79"/>
  <c r="W115" i="79"/>
  <c r="V115" i="79"/>
  <c r="U115" i="79"/>
  <c r="T115" i="79"/>
  <c r="S115" i="79"/>
  <c r="R115" i="79"/>
  <c r="Q115" i="79"/>
  <c r="P115" i="79"/>
  <c r="O115" i="79"/>
  <c r="N115" i="79"/>
  <c r="M115" i="79"/>
  <c r="L115" i="79"/>
  <c r="K115" i="79"/>
  <c r="J115" i="79"/>
  <c r="I115" i="79"/>
  <c r="H115" i="79"/>
  <c r="G115" i="79"/>
  <c r="F115" i="79"/>
  <c r="E115" i="79"/>
  <c r="D115" i="79"/>
  <c r="C115" i="79"/>
  <c r="N112" i="79"/>
  <c r="N110" i="79" s="1"/>
  <c r="AF110" i="79"/>
  <c r="AE110" i="79"/>
  <c r="AD110" i="79"/>
  <c r="AC110" i="79"/>
  <c r="AB110" i="79"/>
  <c r="AA110" i="79"/>
  <c r="Z110" i="79"/>
  <c r="Y110" i="79"/>
  <c r="W110" i="79"/>
  <c r="V110" i="79"/>
  <c r="U110" i="79"/>
  <c r="T110" i="79"/>
  <c r="S110" i="79"/>
  <c r="R110" i="79"/>
  <c r="Q110" i="79"/>
  <c r="P110" i="79"/>
  <c r="O110" i="79"/>
  <c r="M110" i="79"/>
  <c r="L110" i="79"/>
  <c r="K110" i="79"/>
  <c r="J110" i="79"/>
  <c r="I110" i="79"/>
  <c r="H110" i="79"/>
  <c r="G110" i="79"/>
  <c r="F110" i="79"/>
  <c r="E110" i="79"/>
  <c r="D110" i="79"/>
  <c r="C110" i="79"/>
  <c r="D1720" i="95"/>
  <c r="E1720" i="95" s="1"/>
  <c r="F1720" i="95" s="1"/>
  <c r="G1720" i="95" s="1"/>
  <c r="H1720" i="95" s="1"/>
  <c r="I1720" i="95" s="1"/>
  <c r="J1720" i="95" s="1"/>
  <c r="K1720" i="95" s="1"/>
  <c r="L1720" i="95" s="1"/>
  <c r="M1720" i="95" s="1"/>
  <c r="N1720" i="95" s="1"/>
  <c r="O1720" i="95" s="1"/>
  <c r="P1720" i="95" s="1"/>
  <c r="Q1720" i="95" s="1"/>
  <c r="R1720" i="95" s="1"/>
  <c r="S1720" i="95" s="1"/>
  <c r="T1720" i="95" s="1"/>
  <c r="U1720" i="95" s="1"/>
  <c r="V1720" i="95" s="1"/>
  <c r="W1720" i="95" s="1"/>
  <c r="X1720" i="95" s="1"/>
  <c r="Y1720" i="95" s="1"/>
  <c r="Z1720" i="95" s="1"/>
  <c r="AA1720" i="95" s="1"/>
  <c r="AB1720" i="95" s="1"/>
  <c r="AC1720" i="95" s="1"/>
  <c r="AD1720" i="95" s="1"/>
  <c r="AE1720" i="95" s="1"/>
  <c r="AF1720" i="95" s="1"/>
  <c r="D1609" i="95"/>
  <c r="E1609" i="95" s="1"/>
  <c r="F1609" i="95" s="1"/>
  <c r="G1609" i="95" s="1"/>
  <c r="H1609" i="95" s="1"/>
  <c r="I1609" i="95" s="1"/>
  <c r="J1609" i="95" s="1"/>
  <c r="K1609" i="95" s="1"/>
  <c r="L1609" i="95" s="1"/>
  <c r="M1609" i="95" s="1"/>
  <c r="N1609" i="95" s="1"/>
  <c r="O1609" i="95" s="1"/>
  <c r="P1609" i="95" s="1"/>
  <c r="Q1609" i="95" s="1"/>
  <c r="R1609" i="95" s="1"/>
  <c r="S1609" i="95" s="1"/>
  <c r="T1609" i="95" s="1"/>
  <c r="U1609" i="95" s="1"/>
  <c r="V1609" i="95" s="1"/>
  <c r="W1609" i="95" s="1"/>
  <c r="X1609" i="95" s="1"/>
  <c r="Y1609" i="95" s="1"/>
  <c r="Z1609" i="95" s="1"/>
  <c r="AA1609" i="95" s="1"/>
  <c r="AB1609" i="95" s="1"/>
  <c r="AC1609" i="95" s="1"/>
  <c r="AD1609" i="95" s="1"/>
  <c r="AE1609" i="95" s="1"/>
  <c r="AF1609" i="95" s="1"/>
  <c r="D1726" i="95"/>
  <c r="E1726" i="95" s="1"/>
  <c r="F1726" i="95" s="1"/>
  <c r="G1726" i="95" s="1"/>
  <c r="H1726" i="95" s="1"/>
  <c r="I1726" i="95" s="1"/>
  <c r="J1726" i="95" s="1"/>
  <c r="K1726" i="95" s="1"/>
  <c r="L1726" i="95" s="1"/>
  <c r="M1726" i="95" s="1"/>
  <c r="N1726" i="95" s="1"/>
  <c r="O1726" i="95" s="1"/>
  <c r="P1726" i="95" s="1"/>
  <c r="Q1726" i="95" s="1"/>
  <c r="R1726" i="95" s="1"/>
  <c r="S1726" i="95" s="1"/>
  <c r="T1726" i="95" s="1"/>
  <c r="U1726" i="95" s="1"/>
  <c r="V1726" i="95" s="1"/>
  <c r="W1726" i="95" s="1"/>
  <c r="X1726" i="95" s="1"/>
  <c r="Y1726" i="95" s="1"/>
  <c r="Z1726" i="95" s="1"/>
  <c r="AA1726" i="95" s="1"/>
  <c r="AB1726" i="95" s="1"/>
  <c r="AC1726" i="95" s="1"/>
  <c r="AD1726" i="95" s="1"/>
  <c r="AE1726" i="95" s="1"/>
  <c r="AF1726" i="95" s="1"/>
  <c r="D1323" i="95"/>
  <c r="E1323" i="95" s="1"/>
  <c r="F1323" i="95" s="1"/>
  <c r="G1323" i="95" s="1"/>
  <c r="H1323" i="95" s="1"/>
  <c r="I1323" i="95" s="1"/>
  <c r="J1323" i="95" s="1"/>
  <c r="K1323" i="95" s="1"/>
  <c r="L1323" i="95" s="1"/>
  <c r="M1323" i="95" s="1"/>
  <c r="N1323" i="95" s="1"/>
  <c r="O1323" i="95" s="1"/>
  <c r="P1323" i="95" s="1"/>
  <c r="Q1323" i="95" s="1"/>
  <c r="R1323" i="95" s="1"/>
  <c r="S1323" i="95" s="1"/>
  <c r="T1323" i="95" s="1"/>
  <c r="U1323" i="95" s="1"/>
  <c r="V1323" i="95" s="1"/>
  <c r="W1323" i="95" s="1"/>
  <c r="X1323" i="95" s="1"/>
  <c r="Y1323" i="95" s="1"/>
  <c r="Z1323" i="95" s="1"/>
  <c r="AA1323" i="95" s="1"/>
  <c r="AB1323" i="95" s="1"/>
  <c r="AC1323" i="95" s="1"/>
  <c r="AD1323" i="95" s="1"/>
  <c r="AE1323" i="95" s="1"/>
  <c r="AF1323" i="95" s="1"/>
  <c r="D1317" i="95"/>
  <c r="E1317" i="95" s="1"/>
  <c r="F1317" i="95" s="1"/>
  <c r="G1317" i="95" s="1"/>
  <c r="H1317" i="95" s="1"/>
  <c r="I1317" i="95" s="1"/>
  <c r="J1317" i="95" s="1"/>
  <c r="K1317" i="95" s="1"/>
  <c r="L1317" i="95" s="1"/>
  <c r="M1317" i="95" s="1"/>
  <c r="N1317" i="95" s="1"/>
  <c r="O1317" i="95" s="1"/>
  <c r="P1317" i="95" s="1"/>
  <c r="Q1317" i="95" s="1"/>
  <c r="R1317" i="95" s="1"/>
  <c r="S1317" i="95" s="1"/>
  <c r="T1317" i="95" s="1"/>
  <c r="U1317" i="95" s="1"/>
  <c r="V1317" i="95" s="1"/>
  <c r="W1317" i="95" s="1"/>
  <c r="X1317" i="95" s="1"/>
  <c r="Y1317" i="95" s="1"/>
  <c r="Z1317" i="95" s="1"/>
  <c r="AA1317" i="95" s="1"/>
  <c r="AB1317" i="95" s="1"/>
  <c r="AC1317" i="95" s="1"/>
  <c r="AD1317" i="95" s="1"/>
  <c r="AE1317" i="95" s="1"/>
  <c r="AF1317" i="95" s="1"/>
  <c r="D1291" i="95"/>
  <c r="E1291" i="95" s="1"/>
  <c r="F1291" i="95" s="1"/>
  <c r="G1291" i="95" s="1"/>
  <c r="H1291" i="95" s="1"/>
  <c r="I1291" i="95" s="1"/>
  <c r="J1291" i="95" s="1"/>
  <c r="K1291" i="95" s="1"/>
  <c r="L1291" i="95" s="1"/>
  <c r="M1291" i="95" s="1"/>
  <c r="N1291" i="95" s="1"/>
  <c r="O1291" i="95" s="1"/>
  <c r="P1291" i="95" s="1"/>
  <c r="Q1291" i="95" s="1"/>
  <c r="R1291" i="95" s="1"/>
  <c r="S1291" i="95" s="1"/>
  <c r="T1291" i="95" s="1"/>
  <c r="U1291" i="95" s="1"/>
  <c r="V1291" i="95" s="1"/>
  <c r="W1291" i="95" s="1"/>
  <c r="X1291" i="95" s="1"/>
  <c r="Y1291" i="95" s="1"/>
  <c r="Z1291" i="95" s="1"/>
  <c r="AA1291" i="95" s="1"/>
  <c r="AB1291" i="95" s="1"/>
  <c r="AC1291" i="95" s="1"/>
  <c r="AD1291" i="95" s="1"/>
  <c r="AE1291" i="95" s="1"/>
  <c r="AF1291" i="95" s="1"/>
  <c r="C698" i="95"/>
  <c r="D1753" i="95"/>
  <c r="C1751" i="95"/>
  <c r="D158" i="24" s="1"/>
  <c r="AN1750" i="95"/>
  <c r="C1748" i="95"/>
  <c r="I1745" i="95"/>
  <c r="H1745" i="95"/>
  <c r="G1745" i="95"/>
  <c r="F1745" i="95"/>
  <c r="E1745" i="95"/>
  <c r="D1745" i="95"/>
  <c r="C1745" i="95"/>
  <c r="C1742" i="95"/>
  <c r="C1739" i="95"/>
  <c r="AF1736" i="95"/>
  <c r="AE1736" i="95"/>
  <c r="AD1736" i="95"/>
  <c r="AC1736" i="95"/>
  <c r="AB1736" i="95"/>
  <c r="AA1736" i="95"/>
  <c r="Z1736" i="95"/>
  <c r="Y1736" i="95"/>
  <c r="X1736" i="95"/>
  <c r="W1736" i="95"/>
  <c r="V1736" i="95"/>
  <c r="U1736" i="95"/>
  <c r="T1736" i="95"/>
  <c r="S1736" i="95"/>
  <c r="R1736" i="95"/>
  <c r="Q1736" i="95"/>
  <c r="P1736" i="95"/>
  <c r="O1736" i="95"/>
  <c r="N1736" i="95"/>
  <c r="M1736" i="95"/>
  <c r="L1736" i="95"/>
  <c r="K1736" i="95"/>
  <c r="J1736" i="95"/>
  <c r="I1736" i="95"/>
  <c r="H1736" i="95"/>
  <c r="G1736" i="95"/>
  <c r="F1736" i="95"/>
  <c r="E1736" i="95"/>
  <c r="D1736" i="95"/>
  <c r="C1736" i="95"/>
  <c r="D1733" i="95"/>
  <c r="E1733" i="95" s="1"/>
  <c r="F1733" i="95" s="1"/>
  <c r="G1733" i="95" s="1"/>
  <c r="H1733" i="95" s="1"/>
  <c r="I1733" i="95" s="1"/>
  <c r="J1733" i="95" s="1"/>
  <c r="K1733" i="95" s="1"/>
  <c r="L1733" i="95" s="1"/>
  <c r="M1733" i="95" s="1"/>
  <c r="N1733" i="95" s="1"/>
  <c r="O1733" i="95" s="1"/>
  <c r="P1733" i="95" s="1"/>
  <c r="Q1733" i="95" s="1"/>
  <c r="R1733" i="95" s="1"/>
  <c r="S1733" i="95" s="1"/>
  <c r="T1733" i="95" s="1"/>
  <c r="U1733" i="95" s="1"/>
  <c r="V1733" i="95" s="1"/>
  <c r="W1733" i="95" s="1"/>
  <c r="X1733" i="95" s="1"/>
  <c r="Y1733" i="95" s="1"/>
  <c r="Z1733" i="95" s="1"/>
  <c r="AA1733" i="95" s="1"/>
  <c r="AB1733" i="95" s="1"/>
  <c r="AC1733" i="95" s="1"/>
  <c r="AD1733" i="95" s="1"/>
  <c r="AE1733" i="95" s="1"/>
  <c r="AF1733" i="95" s="1"/>
  <c r="C1729" i="95"/>
  <c r="B1728" i="95"/>
  <c r="B1747" i="95" s="1"/>
  <c r="D1727" i="95"/>
  <c r="E1727" i="95" s="1"/>
  <c r="F1727" i="95" s="1"/>
  <c r="G1727" i="95" s="1"/>
  <c r="H1727" i="95" s="1"/>
  <c r="I1727" i="95" s="1"/>
  <c r="J1727" i="95" s="1"/>
  <c r="K1727" i="95" s="1"/>
  <c r="L1727" i="95" s="1"/>
  <c r="M1727" i="95" s="1"/>
  <c r="N1727" i="95" s="1"/>
  <c r="O1727" i="95" s="1"/>
  <c r="P1727" i="95" s="1"/>
  <c r="Q1727" i="95" s="1"/>
  <c r="R1727" i="95" s="1"/>
  <c r="S1727" i="95" s="1"/>
  <c r="T1727" i="95" s="1"/>
  <c r="U1727" i="95" s="1"/>
  <c r="V1727" i="95" s="1"/>
  <c r="W1727" i="95" s="1"/>
  <c r="X1727" i="95" s="1"/>
  <c r="Y1727" i="95" s="1"/>
  <c r="Z1727" i="95" s="1"/>
  <c r="AA1727" i="95" s="1"/>
  <c r="AB1727" i="95" s="1"/>
  <c r="AC1727" i="95" s="1"/>
  <c r="AD1727" i="95" s="1"/>
  <c r="AE1727" i="95" s="1"/>
  <c r="AF1727" i="95" s="1"/>
  <c r="D1724" i="95"/>
  <c r="E1724" i="95" s="1"/>
  <c r="F1724" i="95" s="1"/>
  <c r="I1723" i="95"/>
  <c r="H1723" i="95"/>
  <c r="G1723" i="95"/>
  <c r="F1723" i="95"/>
  <c r="E1723" i="95"/>
  <c r="D1723" i="95"/>
  <c r="C1723" i="95"/>
  <c r="B1722" i="95"/>
  <c r="B1744" i="95" s="1"/>
  <c r="D1721" i="95"/>
  <c r="E1721" i="95" s="1"/>
  <c r="F1721" i="95" s="1"/>
  <c r="G1721" i="95" s="1"/>
  <c r="H1721" i="95" s="1"/>
  <c r="I1721" i="95" s="1"/>
  <c r="J1721" i="95" s="1"/>
  <c r="K1721" i="95" s="1"/>
  <c r="L1721" i="95" s="1"/>
  <c r="M1721" i="95" s="1"/>
  <c r="N1721" i="95" s="1"/>
  <c r="O1721" i="95" s="1"/>
  <c r="P1721" i="95" s="1"/>
  <c r="Q1721" i="95" s="1"/>
  <c r="R1721" i="95" s="1"/>
  <c r="S1721" i="95" s="1"/>
  <c r="T1721" i="95" s="1"/>
  <c r="U1721" i="95" s="1"/>
  <c r="V1721" i="95" s="1"/>
  <c r="W1721" i="95" s="1"/>
  <c r="X1721" i="95" s="1"/>
  <c r="Y1721" i="95" s="1"/>
  <c r="Z1721" i="95" s="1"/>
  <c r="AA1721" i="95" s="1"/>
  <c r="AB1721" i="95" s="1"/>
  <c r="AC1721" i="95" s="1"/>
  <c r="AD1721" i="95" s="1"/>
  <c r="AE1721" i="95" s="1"/>
  <c r="AF1721" i="95" s="1"/>
  <c r="D1719" i="95"/>
  <c r="E1719" i="95" s="1"/>
  <c r="F1719" i="95" s="1"/>
  <c r="G1719" i="95" s="1"/>
  <c r="H1719" i="95" s="1"/>
  <c r="I1719" i="95" s="1"/>
  <c r="J1719" i="95" s="1"/>
  <c r="K1719" i="95" s="1"/>
  <c r="L1719" i="95" s="1"/>
  <c r="M1719" i="95" s="1"/>
  <c r="N1719" i="95" s="1"/>
  <c r="O1719" i="95" s="1"/>
  <c r="P1719" i="95" s="1"/>
  <c r="Q1719" i="95" s="1"/>
  <c r="R1719" i="95" s="1"/>
  <c r="S1719" i="95" s="1"/>
  <c r="T1719" i="95" s="1"/>
  <c r="U1719" i="95" s="1"/>
  <c r="V1719" i="95" s="1"/>
  <c r="W1719" i="95" s="1"/>
  <c r="X1719" i="95" s="1"/>
  <c r="Y1719" i="95" s="1"/>
  <c r="Z1719" i="95" s="1"/>
  <c r="AA1719" i="95" s="1"/>
  <c r="AB1719" i="95" s="1"/>
  <c r="AC1719" i="95" s="1"/>
  <c r="AD1719" i="95" s="1"/>
  <c r="AE1719" i="95" s="1"/>
  <c r="AF1719" i="95" s="1"/>
  <c r="D1718" i="95"/>
  <c r="E1718" i="95" s="1"/>
  <c r="F1718" i="95" s="1"/>
  <c r="G1718" i="95" s="1"/>
  <c r="H1718" i="95" s="1"/>
  <c r="I1718" i="95" s="1"/>
  <c r="J1718" i="95" s="1"/>
  <c r="K1718" i="95" s="1"/>
  <c r="L1718" i="95" s="1"/>
  <c r="M1718" i="95" s="1"/>
  <c r="N1718" i="95" s="1"/>
  <c r="O1718" i="95" s="1"/>
  <c r="P1718" i="95" s="1"/>
  <c r="Q1718" i="95" s="1"/>
  <c r="R1718" i="95" s="1"/>
  <c r="S1718" i="95" s="1"/>
  <c r="T1718" i="95" s="1"/>
  <c r="U1718" i="95" s="1"/>
  <c r="V1718" i="95" s="1"/>
  <c r="W1718" i="95" s="1"/>
  <c r="X1718" i="95" s="1"/>
  <c r="Y1718" i="95" s="1"/>
  <c r="Z1718" i="95" s="1"/>
  <c r="AA1718" i="95" s="1"/>
  <c r="AB1718" i="95" s="1"/>
  <c r="AC1718" i="95" s="1"/>
  <c r="AD1718" i="95" s="1"/>
  <c r="AE1718" i="95" s="1"/>
  <c r="AF1718" i="95" s="1"/>
  <c r="C1717" i="95"/>
  <c r="B1716" i="95"/>
  <c r="B1741" i="95" s="1"/>
  <c r="D1715" i="95"/>
  <c r="E1715" i="95" s="1"/>
  <c r="F1715" i="95" s="1"/>
  <c r="G1715" i="95" s="1"/>
  <c r="H1715" i="95" s="1"/>
  <c r="I1715" i="95" s="1"/>
  <c r="J1715" i="95" s="1"/>
  <c r="K1715" i="95" s="1"/>
  <c r="L1715" i="95" s="1"/>
  <c r="M1715" i="95" s="1"/>
  <c r="N1715" i="95" s="1"/>
  <c r="O1715" i="95" s="1"/>
  <c r="P1715" i="95" s="1"/>
  <c r="Q1715" i="95" s="1"/>
  <c r="R1715" i="95" s="1"/>
  <c r="S1715" i="95" s="1"/>
  <c r="T1715" i="95" s="1"/>
  <c r="U1715" i="95" s="1"/>
  <c r="V1715" i="95" s="1"/>
  <c r="W1715" i="95" s="1"/>
  <c r="X1715" i="95" s="1"/>
  <c r="Y1715" i="95" s="1"/>
  <c r="Z1715" i="95" s="1"/>
  <c r="AA1715" i="95" s="1"/>
  <c r="AB1715" i="95" s="1"/>
  <c r="AC1715" i="95" s="1"/>
  <c r="AD1715" i="95" s="1"/>
  <c r="AE1715" i="95" s="1"/>
  <c r="AF1715" i="95" s="1"/>
  <c r="D1714" i="95"/>
  <c r="E1714" i="95" s="1"/>
  <c r="F1714" i="95" s="1"/>
  <c r="G1714" i="95" s="1"/>
  <c r="H1714" i="95" s="1"/>
  <c r="I1714" i="95" s="1"/>
  <c r="J1714" i="95" s="1"/>
  <c r="K1714" i="95" s="1"/>
  <c r="L1714" i="95" s="1"/>
  <c r="M1714" i="95" s="1"/>
  <c r="N1714" i="95" s="1"/>
  <c r="O1714" i="95" s="1"/>
  <c r="P1714" i="95" s="1"/>
  <c r="Q1714" i="95" s="1"/>
  <c r="R1714" i="95" s="1"/>
  <c r="S1714" i="95" s="1"/>
  <c r="T1714" i="95" s="1"/>
  <c r="U1714" i="95" s="1"/>
  <c r="V1714" i="95" s="1"/>
  <c r="W1714" i="95" s="1"/>
  <c r="X1714" i="95" s="1"/>
  <c r="Y1714" i="95" s="1"/>
  <c r="Z1714" i="95" s="1"/>
  <c r="AA1714" i="95" s="1"/>
  <c r="AB1714" i="95" s="1"/>
  <c r="AC1714" i="95" s="1"/>
  <c r="AD1714" i="95" s="1"/>
  <c r="AE1714" i="95" s="1"/>
  <c r="AF1714" i="95" s="1"/>
  <c r="D1713" i="95"/>
  <c r="E1713" i="95" s="1"/>
  <c r="F1713" i="95" s="1"/>
  <c r="G1713" i="95" s="1"/>
  <c r="H1713" i="95" s="1"/>
  <c r="I1713" i="95" s="1"/>
  <c r="J1713" i="95" s="1"/>
  <c r="K1713" i="95" s="1"/>
  <c r="L1713" i="95" s="1"/>
  <c r="M1713" i="95" s="1"/>
  <c r="N1713" i="95" s="1"/>
  <c r="O1713" i="95" s="1"/>
  <c r="P1713" i="95" s="1"/>
  <c r="Q1713" i="95" s="1"/>
  <c r="R1713" i="95" s="1"/>
  <c r="S1713" i="95" s="1"/>
  <c r="T1713" i="95" s="1"/>
  <c r="U1713" i="95" s="1"/>
  <c r="V1713" i="95" s="1"/>
  <c r="W1713" i="95" s="1"/>
  <c r="X1713" i="95" s="1"/>
  <c r="Y1713" i="95" s="1"/>
  <c r="Z1713" i="95" s="1"/>
  <c r="AA1713" i="95" s="1"/>
  <c r="AB1713" i="95" s="1"/>
  <c r="AC1713" i="95" s="1"/>
  <c r="AD1713" i="95" s="1"/>
  <c r="AE1713" i="95" s="1"/>
  <c r="AF1713" i="95" s="1"/>
  <c r="D1712" i="95"/>
  <c r="E1712" i="95" s="1"/>
  <c r="F1712" i="95" s="1"/>
  <c r="G1712" i="95" s="1"/>
  <c r="H1712" i="95" s="1"/>
  <c r="I1712" i="95" s="1"/>
  <c r="J1712" i="95" s="1"/>
  <c r="K1712" i="95" s="1"/>
  <c r="L1712" i="95" s="1"/>
  <c r="M1712" i="95" s="1"/>
  <c r="N1712" i="95" s="1"/>
  <c r="O1712" i="95" s="1"/>
  <c r="P1712" i="95" s="1"/>
  <c r="Q1712" i="95" s="1"/>
  <c r="R1712" i="95" s="1"/>
  <c r="S1712" i="95" s="1"/>
  <c r="T1712" i="95" s="1"/>
  <c r="U1712" i="95" s="1"/>
  <c r="V1712" i="95" s="1"/>
  <c r="W1712" i="95" s="1"/>
  <c r="X1712" i="95" s="1"/>
  <c r="Y1712" i="95" s="1"/>
  <c r="Z1712" i="95" s="1"/>
  <c r="AA1712" i="95" s="1"/>
  <c r="AB1712" i="95" s="1"/>
  <c r="AC1712" i="95" s="1"/>
  <c r="AD1712" i="95" s="1"/>
  <c r="AE1712" i="95" s="1"/>
  <c r="AF1712" i="95" s="1"/>
  <c r="C1711" i="95"/>
  <c r="B1710" i="95"/>
  <c r="B1738" i="95" s="1"/>
  <c r="D1709" i="95"/>
  <c r="E1709" i="95" s="1"/>
  <c r="F1709" i="95" s="1"/>
  <c r="G1709" i="95" s="1"/>
  <c r="H1709" i="95" s="1"/>
  <c r="I1709" i="95" s="1"/>
  <c r="J1709" i="95" s="1"/>
  <c r="K1709" i="95" s="1"/>
  <c r="L1709" i="95" s="1"/>
  <c r="M1709" i="95" s="1"/>
  <c r="N1709" i="95" s="1"/>
  <c r="O1709" i="95" s="1"/>
  <c r="P1709" i="95" s="1"/>
  <c r="Q1709" i="95" s="1"/>
  <c r="R1709" i="95" s="1"/>
  <c r="S1709" i="95" s="1"/>
  <c r="T1709" i="95" s="1"/>
  <c r="U1709" i="95" s="1"/>
  <c r="V1709" i="95" s="1"/>
  <c r="W1709" i="95" s="1"/>
  <c r="X1709" i="95" s="1"/>
  <c r="Y1709" i="95" s="1"/>
  <c r="Z1709" i="95" s="1"/>
  <c r="AA1709" i="95" s="1"/>
  <c r="AB1709" i="95" s="1"/>
  <c r="AC1709" i="95" s="1"/>
  <c r="AD1709" i="95" s="1"/>
  <c r="AE1709" i="95" s="1"/>
  <c r="AF1709" i="95" s="1"/>
  <c r="D1707" i="95"/>
  <c r="E1707" i="95" s="1"/>
  <c r="F1707" i="95" s="1"/>
  <c r="D1706" i="95"/>
  <c r="E1706" i="95" s="1"/>
  <c r="F1706" i="95" s="1"/>
  <c r="G1706" i="95" s="1"/>
  <c r="H1706" i="95" s="1"/>
  <c r="I1706" i="95" s="1"/>
  <c r="J1706" i="95" s="1"/>
  <c r="K1706" i="95" s="1"/>
  <c r="AF1705" i="95"/>
  <c r="AE1705" i="95"/>
  <c r="AD1705" i="95"/>
  <c r="AC1705" i="95"/>
  <c r="AB1705" i="95"/>
  <c r="AA1705" i="95"/>
  <c r="Z1705" i="95"/>
  <c r="Y1705" i="95"/>
  <c r="X1705" i="95"/>
  <c r="W1705" i="95"/>
  <c r="V1705" i="95"/>
  <c r="U1705" i="95"/>
  <c r="T1705" i="95"/>
  <c r="S1705" i="95"/>
  <c r="R1705" i="95"/>
  <c r="Q1705" i="95"/>
  <c r="P1705" i="95"/>
  <c r="O1705" i="95"/>
  <c r="N1705" i="95"/>
  <c r="M1705" i="95"/>
  <c r="L1705" i="95"/>
  <c r="K1705" i="95"/>
  <c r="J1705" i="95"/>
  <c r="I1705" i="95"/>
  <c r="H1705" i="95"/>
  <c r="G1705" i="95"/>
  <c r="F1705" i="95"/>
  <c r="E1705" i="95"/>
  <c r="D1705" i="95"/>
  <c r="C1705" i="95"/>
  <c r="B1704" i="95"/>
  <c r="B1735" i="95" s="1"/>
  <c r="AG1703" i="95"/>
  <c r="D1702" i="95"/>
  <c r="E1702" i="95" s="1"/>
  <c r="F1702" i="95" s="1"/>
  <c r="G1702" i="95" s="1"/>
  <c r="H1702" i="95" s="1"/>
  <c r="I1702" i="95" s="1"/>
  <c r="J1702" i="95" s="1"/>
  <c r="K1702" i="95" s="1"/>
  <c r="L1702" i="95" s="1"/>
  <c r="M1702" i="95" s="1"/>
  <c r="N1702" i="95" s="1"/>
  <c r="O1702" i="95" s="1"/>
  <c r="P1702" i="95" s="1"/>
  <c r="Q1702" i="95" s="1"/>
  <c r="R1702" i="95" s="1"/>
  <c r="S1702" i="95" s="1"/>
  <c r="T1702" i="95" s="1"/>
  <c r="U1702" i="95" s="1"/>
  <c r="V1702" i="95" s="1"/>
  <c r="W1702" i="95" s="1"/>
  <c r="X1702" i="95" s="1"/>
  <c r="Y1702" i="95" s="1"/>
  <c r="Z1702" i="95" s="1"/>
  <c r="AA1702" i="95" s="1"/>
  <c r="AB1702" i="95" s="1"/>
  <c r="AC1702" i="95" s="1"/>
  <c r="AD1702" i="95" s="1"/>
  <c r="AE1702" i="95" s="1"/>
  <c r="AF1702" i="95" s="1"/>
  <c r="D1698" i="95"/>
  <c r="J1695" i="95"/>
  <c r="D1692" i="95"/>
  <c r="E1692" i="95" s="1"/>
  <c r="F1692" i="95" s="1"/>
  <c r="D1689" i="95"/>
  <c r="D1687" i="95"/>
  <c r="D1683" i="95"/>
  <c r="E1683" i="95" s="1"/>
  <c r="F1683" i="95" s="1"/>
  <c r="G1683" i="95" s="1"/>
  <c r="H1683" i="95" s="1"/>
  <c r="I1683" i="95" s="1"/>
  <c r="J1683" i="95" s="1"/>
  <c r="K1683" i="95" s="1"/>
  <c r="L1683" i="95" s="1"/>
  <c r="M1683" i="95" s="1"/>
  <c r="N1683" i="95" s="1"/>
  <c r="O1683" i="95" s="1"/>
  <c r="P1683" i="95" s="1"/>
  <c r="Q1683" i="95" s="1"/>
  <c r="R1683" i="95" s="1"/>
  <c r="S1683" i="95" s="1"/>
  <c r="T1683" i="95" s="1"/>
  <c r="U1683" i="95" s="1"/>
  <c r="V1683" i="95" s="1"/>
  <c r="W1683" i="95" s="1"/>
  <c r="X1683" i="95" s="1"/>
  <c r="Y1683" i="95" s="1"/>
  <c r="Z1683" i="95" s="1"/>
  <c r="AA1683" i="95" s="1"/>
  <c r="AB1683" i="95" s="1"/>
  <c r="AC1683" i="95" s="1"/>
  <c r="AD1683" i="95" s="1"/>
  <c r="AE1683" i="95" s="1"/>
  <c r="AF1683" i="95" s="1"/>
  <c r="D1682" i="95"/>
  <c r="E1682" i="95" s="1"/>
  <c r="D1679" i="95"/>
  <c r="E1679" i="95" s="1"/>
  <c r="F1679" i="95" s="1"/>
  <c r="G1679" i="95" s="1"/>
  <c r="H1679" i="95" s="1"/>
  <c r="I1679" i="95" s="1"/>
  <c r="J1679" i="95" s="1"/>
  <c r="K1679" i="95" s="1"/>
  <c r="L1679" i="95" s="1"/>
  <c r="M1679" i="95" s="1"/>
  <c r="N1679" i="95" s="1"/>
  <c r="O1679" i="95" s="1"/>
  <c r="P1679" i="95" s="1"/>
  <c r="Q1679" i="95" s="1"/>
  <c r="R1679" i="95" s="1"/>
  <c r="S1679" i="95" s="1"/>
  <c r="T1679" i="95" s="1"/>
  <c r="U1679" i="95" s="1"/>
  <c r="V1679" i="95" s="1"/>
  <c r="W1679" i="95" s="1"/>
  <c r="X1679" i="95" s="1"/>
  <c r="Y1679" i="95" s="1"/>
  <c r="Z1679" i="95" s="1"/>
  <c r="AA1679" i="95" s="1"/>
  <c r="AB1679" i="95" s="1"/>
  <c r="AC1679" i="95" s="1"/>
  <c r="AD1679" i="95" s="1"/>
  <c r="AE1679" i="95" s="1"/>
  <c r="AF1679" i="95" s="1"/>
  <c r="D1678" i="95"/>
  <c r="C1677" i="95"/>
  <c r="D1676" i="95"/>
  <c r="D1673" i="95"/>
  <c r="D1672" i="95"/>
  <c r="E1672" i="95" s="1"/>
  <c r="F1672" i="95" s="1"/>
  <c r="C1671" i="95"/>
  <c r="D1670" i="95"/>
  <c r="E1670" i="95" s="1"/>
  <c r="F1670" i="95" s="1"/>
  <c r="G1670" i="95" s="1"/>
  <c r="H1670" i="95" s="1"/>
  <c r="I1670" i="95" s="1"/>
  <c r="J1670" i="95" s="1"/>
  <c r="K1670" i="95" s="1"/>
  <c r="L1670" i="95" s="1"/>
  <c r="M1670" i="95" s="1"/>
  <c r="N1670" i="95" s="1"/>
  <c r="O1670" i="95" s="1"/>
  <c r="P1670" i="95" s="1"/>
  <c r="Q1670" i="95" s="1"/>
  <c r="R1670" i="95" s="1"/>
  <c r="S1670" i="95" s="1"/>
  <c r="T1670" i="95" s="1"/>
  <c r="U1670" i="95" s="1"/>
  <c r="V1670" i="95" s="1"/>
  <c r="W1670" i="95" s="1"/>
  <c r="X1670" i="95" s="1"/>
  <c r="Y1670" i="95" s="1"/>
  <c r="Z1670" i="95" s="1"/>
  <c r="AA1670" i="95" s="1"/>
  <c r="AB1670" i="95" s="1"/>
  <c r="AC1670" i="95" s="1"/>
  <c r="AD1670" i="95" s="1"/>
  <c r="AE1670" i="95" s="1"/>
  <c r="AF1670" i="95" s="1"/>
  <c r="D1667" i="95"/>
  <c r="E1667" i="95" s="1"/>
  <c r="F1667" i="95" s="1"/>
  <c r="G1667" i="95" s="1"/>
  <c r="H1667" i="95" s="1"/>
  <c r="I1667" i="95" s="1"/>
  <c r="J1667" i="95" s="1"/>
  <c r="K1667" i="95" s="1"/>
  <c r="L1667" i="95" s="1"/>
  <c r="M1667" i="95" s="1"/>
  <c r="N1667" i="95" s="1"/>
  <c r="O1667" i="95" s="1"/>
  <c r="P1667" i="95" s="1"/>
  <c r="Q1667" i="95" s="1"/>
  <c r="R1667" i="95" s="1"/>
  <c r="S1667" i="95" s="1"/>
  <c r="T1667" i="95" s="1"/>
  <c r="U1667" i="95" s="1"/>
  <c r="V1667" i="95" s="1"/>
  <c r="W1667" i="95" s="1"/>
  <c r="X1667" i="95" s="1"/>
  <c r="Y1667" i="95" s="1"/>
  <c r="Z1667" i="95" s="1"/>
  <c r="AA1667" i="95" s="1"/>
  <c r="AB1667" i="95" s="1"/>
  <c r="AC1667" i="95" s="1"/>
  <c r="AD1667" i="95" s="1"/>
  <c r="AE1667" i="95" s="1"/>
  <c r="AF1667" i="95" s="1"/>
  <c r="D1663" i="95"/>
  <c r="E1663" i="95" s="1"/>
  <c r="F1663" i="95" s="1"/>
  <c r="G1663" i="95" s="1"/>
  <c r="H1663" i="95" s="1"/>
  <c r="I1663" i="95" s="1"/>
  <c r="J1663" i="95" s="1"/>
  <c r="K1663" i="95" s="1"/>
  <c r="L1663" i="95" s="1"/>
  <c r="M1663" i="95" s="1"/>
  <c r="N1663" i="95" s="1"/>
  <c r="O1663" i="95" s="1"/>
  <c r="P1663" i="95" s="1"/>
  <c r="Q1663" i="95" s="1"/>
  <c r="R1663" i="95" s="1"/>
  <c r="S1663" i="95" s="1"/>
  <c r="T1663" i="95" s="1"/>
  <c r="U1663" i="95" s="1"/>
  <c r="V1663" i="95" s="1"/>
  <c r="W1663" i="95" s="1"/>
  <c r="X1663" i="95" s="1"/>
  <c r="Y1663" i="95" s="1"/>
  <c r="Z1663" i="95" s="1"/>
  <c r="AA1663" i="95" s="1"/>
  <c r="AB1663" i="95" s="1"/>
  <c r="AC1663" i="95" s="1"/>
  <c r="AD1663" i="95" s="1"/>
  <c r="AE1663" i="95" s="1"/>
  <c r="AF1663" i="95" s="1"/>
  <c r="D1662" i="95"/>
  <c r="C1661" i="95"/>
  <c r="D1660" i="95"/>
  <c r="E1660" i="95" s="1"/>
  <c r="F1660" i="95" s="1"/>
  <c r="G1660" i="95" s="1"/>
  <c r="H1660" i="95" s="1"/>
  <c r="I1660" i="95" s="1"/>
  <c r="J1660" i="95" s="1"/>
  <c r="K1660" i="95" s="1"/>
  <c r="L1660" i="95" s="1"/>
  <c r="M1660" i="95" s="1"/>
  <c r="N1660" i="95" s="1"/>
  <c r="O1660" i="95" s="1"/>
  <c r="P1660" i="95" s="1"/>
  <c r="Q1660" i="95" s="1"/>
  <c r="R1660" i="95" s="1"/>
  <c r="S1660" i="95" s="1"/>
  <c r="T1660" i="95" s="1"/>
  <c r="U1660" i="95" s="1"/>
  <c r="V1660" i="95" s="1"/>
  <c r="W1660" i="95" s="1"/>
  <c r="X1660" i="95" s="1"/>
  <c r="Y1660" i="95" s="1"/>
  <c r="Z1660" i="95" s="1"/>
  <c r="AA1660" i="95" s="1"/>
  <c r="AB1660" i="95" s="1"/>
  <c r="AC1660" i="95" s="1"/>
  <c r="AD1660" i="95" s="1"/>
  <c r="AE1660" i="95" s="1"/>
  <c r="AF1660" i="95" s="1"/>
  <c r="D1659" i="95"/>
  <c r="C1658" i="95"/>
  <c r="D1657" i="95"/>
  <c r="D1655" i="95" s="1"/>
  <c r="C1655" i="95"/>
  <c r="D1654" i="95"/>
  <c r="E1654" i="95" s="1"/>
  <c r="D1653" i="95"/>
  <c r="E1653" i="95" s="1"/>
  <c r="F1653" i="95" s="1"/>
  <c r="C1652" i="95"/>
  <c r="D1651" i="95"/>
  <c r="E1651" i="95" s="1"/>
  <c r="F1651" i="95" s="1"/>
  <c r="G1651" i="95" s="1"/>
  <c r="H1651" i="95" s="1"/>
  <c r="I1651" i="95" s="1"/>
  <c r="J1651" i="95" s="1"/>
  <c r="K1651" i="95" s="1"/>
  <c r="L1651" i="95" s="1"/>
  <c r="M1651" i="95" s="1"/>
  <c r="N1651" i="95" s="1"/>
  <c r="O1651" i="95" s="1"/>
  <c r="P1651" i="95" s="1"/>
  <c r="Q1651" i="95" s="1"/>
  <c r="R1651" i="95" s="1"/>
  <c r="S1651" i="95" s="1"/>
  <c r="T1651" i="95" s="1"/>
  <c r="U1651" i="95" s="1"/>
  <c r="V1651" i="95" s="1"/>
  <c r="W1651" i="95" s="1"/>
  <c r="X1651" i="95" s="1"/>
  <c r="Y1651" i="95" s="1"/>
  <c r="Z1651" i="95" s="1"/>
  <c r="AA1651" i="95" s="1"/>
  <c r="AB1651" i="95" s="1"/>
  <c r="AC1651" i="95" s="1"/>
  <c r="AD1651" i="95" s="1"/>
  <c r="AE1651" i="95" s="1"/>
  <c r="AF1651" i="95" s="1"/>
  <c r="D1650" i="95"/>
  <c r="E1650" i="95" s="1"/>
  <c r="C1649" i="95"/>
  <c r="D1648" i="95"/>
  <c r="D1647" i="95"/>
  <c r="E1647" i="95" s="1"/>
  <c r="F1647" i="95" s="1"/>
  <c r="C1646" i="95"/>
  <c r="D1645" i="95"/>
  <c r="E1645" i="95" s="1"/>
  <c r="F1645" i="95" s="1"/>
  <c r="G1645" i="95" s="1"/>
  <c r="H1645" i="95" s="1"/>
  <c r="I1645" i="95" s="1"/>
  <c r="J1645" i="95" s="1"/>
  <c r="K1645" i="95" s="1"/>
  <c r="L1645" i="95" s="1"/>
  <c r="M1645" i="95" s="1"/>
  <c r="N1645" i="95" s="1"/>
  <c r="O1645" i="95" s="1"/>
  <c r="P1645" i="95" s="1"/>
  <c r="Q1645" i="95" s="1"/>
  <c r="R1645" i="95" s="1"/>
  <c r="S1645" i="95" s="1"/>
  <c r="T1645" i="95" s="1"/>
  <c r="U1645" i="95" s="1"/>
  <c r="V1645" i="95" s="1"/>
  <c r="W1645" i="95" s="1"/>
  <c r="X1645" i="95" s="1"/>
  <c r="Y1645" i="95" s="1"/>
  <c r="Z1645" i="95" s="1"/>
  <c r="AA1645" i="95" s="1"/>
  <c r="AB1645" i="95" s="1"/>
  <c r="AC1645" i="95" s="1"/>
  <c r="AD1645" i="95" s="1"/>
  <c r="AE1645" i="95" s="1"/>
  <c r="AF1645" i="95" s="1"/>
  <c r="D1644" i="95"/>
  <c r="C1643" i="95"/>
  <c r="D1641" i="95"/>
  <c r="E1641" i="95" s="1"/>
  <c r="F1641" i="95" s="1"/>
  <c r="D1638" i="95"/>
  <c r="C1637" i="95"/>
  <c r="D1635" i="95"/>
  <c r="C1634" i="95"/>
  <c r="D1632" i="95"/>
  <c r="C1631" i="95"/>
  <c r="D1630" i="95"/>
  <c r="E1630" i="95" s="1"/>
  <c r="F1630" i="95" s="1"/>
  <c r="G1630" i="95" s="1"/>
  <c r="H1630" i="95" s="1"/>
  <c r="I1630" i="95" s="1"/>
  <c r="J1630" i="95" s="1"/>
  <c r="K1630" i="95" s="1"/>
  <c r="L1630" i="95" s="1"/>
  <c r="M1630" i="95" s="1"/>
  <c r="N1630" i="95" s="1"/>
  <c r="O1630" i="95" s="1"/>
  <c r="P1630" i="95" s="1"/>
  <c r="Q1630" i="95" s="1"/>
  <c r="R1630" i="95" s="1"/>
  <c r="S1630" i="95" s="1"/>
  <c r="T1630" i="95" s="1"/>
  <c r="U1630" i="95" s="1"/>
  <c r="V1630" i="95" s="1"/>
  <c r="W1630" i="95" s="1"/>
  <c r="X1630" i="95" s="1"/>
  <c r="Y1630" i="95" s="1"/>
  <c r="Z1630" i="95" s="1"/>
  <c r="AA1630" i="95" s="1"/>
  <c r="AB1630" i="95" s="1"/>
  <c r="AC1630" i="95" s="1"/>
  <c r="AD1630" i="95" s="1"/>
  <c r="AE1630" i="95" s="1"/>
  <c r="AF1630" i="95" s="1"/>
  <c r="AG1629" i="95"/>
  <c r="AG1632" i="95" s="1"/>
  <c r="AG1635" i="95" s="1"/>
  <c r="AG1638" i="95" s="1"/>
  <c r="AG1641" i="95" s="1"/>
  <c r="AG1644" i="95" s="1"/>
  <c r="AG1647" i="95" s="1"/>
  <c r="AG1650" i="95" s="1"/>
  <c r="AG1653" i="95" s="1"/>
  <c r="AG1656" i="95" s="1"/>
  <c r="AG1659" i="95" s="1"/>
  <c r="AG1662" i="95" s="1"/>
  <c r="D1629" i="95"/>
  <c r="C1628" i="95"/>
  <c r="D1622" i="95"/>
  <c r="C1622" i="95"/>
  <c r="AF1619" i="95"/>
  <c r="AE1619" i="95"/>
  <c r="AD1619" i="95"/>
  <c r="AC1619" i="95"/>
  <c r="AB1619" i="95"/>
  <c r="AA1619" i="95"/>
  <c r="Z1619" i="95"/>
  <c r="Y1619" i="95"/>
  <c r="X1619" i="95"/>
  <c r="W1619" i="95"/>
  <c r="V1619" i="95"/>
  <c r="U1619" i="95"/>
  <c r="T1619" i="95"/>
  <c r="S1619" i="95"/>
  <c r="R1619" i="95"/>
  <c r="Q1619" i="95"/>
  <c r="P1619" i="95"/>
  <c r="O1619" i="95"/>
  <c r="N1619" i="95"/>
  <c r="M1619" i="95"/>
  <c r="L1619" i="95"/>
  <c r="K1619" i="95"/>
  <c r="J1619" i="95"/>
  <c r="I1619" i="95"/>
  <c r="H1619" i="95"/>
  <c r="G1619" i="95"/>
  <c r="F1619" i="95"/>
  <c r="E1619" i="95"/>
  <c r="D1619" i="95"/>
  <c r="C1619" i="95"/>
  <c r="D1616" i="95"/>
  <c r="E1616" i="95" s="1"/>
  <c r="F1616" i="95" s="1"/>
  <c r="G1616" i="95" s="1"/>
  <c r="H1616" i="95" s="1"/>
  <c r="I1616" i="95" s="1"/>
  <c r="J1616" i="95" s="1"/>
  <c r="K1616" i="95" s="1"/>
  <c r="L1616" i="95" s="1"/>
  <c r="M1616" i="95" s="1"/>
  <c r="N1616" i="95" s="1"/>
  <c r="O1616" i="95" s="1"/>
  <c r="P1616" i="95" s="1"/>
  <c r="Q1616" i="95" s="1"/>
  <c r="R1616" i="95" s="1"/>
  <c r="S1616" i="95" s="1"/>
  <c r="T1616" i="95" s="1"/>
  <c r="U1616" i="95" s="1"/>
  <c r="V1616" i="95" s="1"/>
  <c r="W1616" i="95" s="1"/>
  <c r="X1616" i="95" s="1"/>
  <c r="Y1616" i="95" s="1"/>
  <c r="Z1616" i="95" s="1"/>
  <c r="AA1616" i="95" s="1"/>
  <c r="AB1616" i="95" s="1"/>
  <c r="AC1616" i="95" s="1"/>
  <c r="AD1616" i="95" s="1"/>
  <c r="AE1616" i="95" s="1"/>
  <c r="AF1616" i="95" s="1"/>
  <c r="D1614" i="95"/>
  <c r="E1614" i="95" s="1"/>
  <c r="F1614" i="95" s="1"/>
  <c r="G1614" i="95" s="1"/>
  <c r="H1614" i="95" s="1"/>
  <c r="I1614" i="95" s="1"/>
  <c r="J1614" i="95" s="1"/>
  <c r="K1614" i="95" s="1"/>
  <c r="L1614" i="95" s="1"/>
  <c r="M1614" i="95" s="1"/>
  <c r="N1614" i="95" s="1"/>
  <c r="O1614" i="95" s="1"/>
  <c r="P1614" i="95" s="1"/>
  <c r="Q1614" i="95" s="1"/>
  <c r="R1614" i="95" s="1"/>
  <c r="S1614" i="95" s="1"/>
  <c r="T1614" i="95" s="1"/>
  <c r="U1614" i="95" s="1"/>
  <c r="V1614" i="95" s="1"/>
  <c r="W1614" i="95" s="1"/>
  <c r="X1614" i="95" s="1"/>
  <c r="Y1614" i="95" s="1"/>
  <c r="Z1614" i="95" s="1"/>
  <c r="AA1614" i="95" s="1"/>
  <c r="AB1614" i="95" s="1"/>
  <c r="AC1614" i="95" s="1"/>
  <c r="AD1614" i="95" s="1"/>
  <c r="AE1614" i="95" s="1"/>
  <c r="AF1614" i="95" s="1"/>
  <c r="D1613" i="95"/>
  <c r="D1612" i="95"/>
  <c r="C1612" i="95"/>
  <c r="B1611" i="95"/>
  <c r="B1621" i="95" s="1"/>
  <c r="D1610" i="95"/>
  <c r="E1610" i="95" s="1"/>
  <c r="F1610" i="95" s="1"/>
  <c r="G1610" i="95" s="1"/>
  <c r="H1610" i="95" s="1"/>
  <c r="I1610" i="95" s="1"/>
  <c r="J1610" i="95" s="1"/>
  <c r="K1610" i="95" s="1"/>
  <c r="L1610" i="95" s="1"/>
  <c r="M1610" i="95" s="1"/>
  <c r="N1610" i="95" s="1"/>
  <c r="O1610" i="95" s="1"/>
  <c r="P1610" i="95" s="1"/>
  <c r="Q1610" i="95" s="1"/>
  <c r="R1610" i="95" s="1"/>
  <c r="S1610" i="95" s="1"/>
  <c r="T1610" i="95" s="1"/>
  <c r="U1610" i="95" s="1"/>
  <c r="V1610" i="95" s="1"/>
  <c r="W1610" i="95" s="1"/>
  <c r="X1610" i="95" s="1"/>
  <c r="Y1610" i="95" s="1"/>
  <c r="Z1610" i="95" s="1"/>
  <c r="AA1610" i="95" s="1"/>
  <c r="AB1610" i="95" s="1"/>
  <c r="AC1610" i="95" s="1"/>
  <c r="AD1610" i="95" s="1"/>
  <c r="AE1610" i="95" s="1"/>
  <c r="AF1610" i="95" s="1"/>
  <c r="D1608" i="95"/>
  <c r="E1608" i="95" s="1"/>
  <c r="F1608" i="95" s="1"/>
  <c r="G1608" i="95" s="1"/>
  <c r="H1608" i="95" s="1"/>
  <c r="I1608" i="95" s="1"/>
  <c r="J1608" i="95" s="1"/>
  <c r="K1608" i="95" s="1"/>
  <c r="L1608" i="95" s="1"/>
  <c r="M1608" i="95" s="1"/>
  <c r="N1608" i="95" s="1"/>
  <c r="O1608" i="95" s="1"/>
  <c r="P1608" i="95" s="1"/>
  <c r="Q1608" i="95" s="1"/>
  <c r="R1608" i="95" s="1"/>
  <c r="S1608" i="95" s="1"/>
  <c r="T1608" i="95" s="1"/>
  <c r="U1608" i="95" s="1"/>
  <c r="V1608" i="95" s="1"/>
  <c r="W1608" i="95" s="1"/>
  <c r="X1608" i="95" s="1"/>
  <c r="Y1608" i="95" s="1"/>
  <c r="Z1608" i="95" s="1"/>
  <c r="AA1608" i="95" s="1"/>
  <c r="AB1608" i="95" s="1"/>
  <c r="AC1608" i="95" s="1"/>
  <c r="AD1608" i="95" s="1"/>
  <c r="AE1608" i="95" s="1"/>
  <c r="AF1608" i="95" s="1"/>
  <c r="D1607" i="95"/>
  <c r="AF1606" i="95"/>
  <c r="AE1606" i="95"/>
  <c r="AD1606" i="95"/>
  <c r="AC1606" i="95"/>
  <c r="AB1606" i="95"/>
  <c r="AA1606" i="95"/>
  <c r="Z1606" i="95"/>
  <c r="Y1606" i="95"/>
  <c r="X1606" i="95"/>
  <c r="W1606" i="95"/>
  <c r="V1606" i="95"/>
  <c r="U1606" i="95"/>
  <c r="T1606" i="95"/>
  <c r="S1606" i="95"/>
  <c r="R1606" i="95"/>
  <c r="Q1606" i="95"/>
  <c r="P1606" i="95"/>
  <c r="O1606" i="95"/>
  <c r="N1606" i="95"/>
  <c r="M1606" i="95"/>
  <c r="L1606" i="95"/>
  <c r="K1606" i="95"/>
  <c r="J1606" i="95"/>
  <c r="I1606" i="95"/>
  <c r="H1606" i="95"/>
  <c r="G1606" i="95"/>
  <c r="F1606" i="95"/>
  <c r="E1606" i="95"/>
  <c r="D1606" i="95"/>
  <c r="C1606" i="95"/>
  <c r="B1605" i="95"/>
  <c r="B1618" i="95" s="1"/>
  <c r="D1603" i="95"/>
  <c r="E1603" i="95" s="1"/>
  <c r="F1603" i="95" s="1"/>
  <c r="G1603" i="95" s="1"/>
  <c r="H1603" i="95" s="1"/>
  <c r="I1603" i="95" s="1"/>
  <c r="J1603" i="95" s="1"/>
  <c r="K1603" i="95" s="1"/>
  <c r="L1603" i="95" s="1"/>
  <c r="M1603" i="95" s="1"/>
  <c r="N1603" i="95" s="1"/>
  <c r="O1603" i="95" s="1"/>
  <c r="P1603" i="95" s="1"/>
  <c r="Q1603" i="95" s="1"/>
  <c r="R1603" i="95" s="1"/>
  <c r="S1603" i="95" s="1"/>
  <c r="T1603" i="95" s="1"/>
  <c r="U1603" i="95" s="1"/>
  <c r="V1603" i="95" s="1"/>
  <c r="W1603" i="95" s="1"/>
  <c r="X1603" i="95" s="1"/>
  <c r="Y1603" i="95" s="1"/>
  <c r="Z1603" i="95" s="1"/>
  <c r="AA1603" i="95" s="1"/>
  <c r="AB1603" i="95" s="1"/>
  <c r="AC1603" i="95" s="1"/>
  <c r="AD1603" i="95" s="1"/>
  <c r="AE1603" i="95" s="1"/>
  <c r="AF1603" i="95" s="1"/>
  <c r="E1599" i="95"/>
  <c r="D1593" i="95"/>
  <c r="E1592" i="95"/>
  <c r="D1589" i="95"/>
  <c r="E1589" i="95" s="1"/>
  <c r="F1589" i="95" s="1"/>
  <c r="G1589" i="95" s="1"/>
  <c r="H1589" i="95" s="1"/>
  <c r="I1589" i="95" s="1"/>
  <c r="J1589" i="95" s="1"/>
  <c r="K1589" i="95" s="1"/>
  <c r="L1589" i="95" s="1"/>
  <c r="M1589" i="95" s="1"/>
  <c r="N1589" i="95" s="1"/>
  <c r="O1589" i="95" s="1"/>
  <c r="P1589" i="95" s="1"/>
  <c r="Q1589" i="95" s="1"/>
  <c r="R1589" i="95" s="1"/>
  <c r="S1589" i="95" s="1"/>
  <c r="T1589" i="95" s="1"/>
  <c r="U1589" i="95" s="1"/>
  <c r="V1589" i="95" s="1"/>
  <c r="W1589" i="95" s="1"/>
  <c r="X1589" i="95" s="1"/>
  <c r="Y1589" i="95" s="1"/>
  <c r="Z1589" i="95" s="1"/>
  <c r="AA1589" i="95" s="1"/>
  <c r="AB1589" i="95" s="1"/>
  <c r="AC1589" i="95" s="1"/>
  <c r="AD1589" i="95" s="1"/>
  <c r="AE1589" i="95" s="1"/>
  <c r="AF1589" i="95" s="1"/>
  <c r="E1588" i="95"/>
  <c r="AG1587" i="95"/>
  <c r="AF1587" i="95"/>
  <c r="AE1587" i="95"/>
  <c r="AD1587" i="95"/>
  <c r="AC1587" i="95"/>
  <c r="AB1587" i="95"/>
  <c r="AA1587" i="95"/>
  <c r="Z1587" i="95"/>
  <c r="Y1587" i="95"/>
  <c r="X1587" i="95"/>
  <c r="W1587" i="95"/>
  <c r="V1587" i="95"/>
  <c r="U1587" i="95"/>
  <c r="T1587" i="95"/>
  <c r="S1587" i="95"/>
  <c r="R1587" i="95"/>
  <c r="Q1587" i="95"/>
  <c r="P1587" i="95"/>
  <c r="O1587" i="95"/>
  <c r="N1587" i="95"/>
  <c r="M1587" i="95"/>
  <c r="L1587" i="95"/>
  <c r="K1587" i="95"/>
  <c r="J1587" i="95"/>
  <c r="I1587" i="95"/>
  <c r="H1587" i="95"/>
  <c r="G1587" i="95"/>
  <c r="F1587" i="95"/>
  <c r="E1587" i="95"/>
  <c r="D1587" i="95"/>
  <c r="D1585" i="95"/>
  <c r="E1585" i="95" s="1"/>
  <c r="F1585" i="95" s="1"/>
  <c r="G1585" i="95" s="1"/>
  <c r="H1585" i="95" s="1"/>
  <c r="I1585" i="95" s="1"/>
  <c r="J1585" i="95" s="1"/>
  <c r="K1585" i="95" s="1"/>
  <c r="L1585" i="95" s="1"/>
  <c r="M1585" i="95" s="1"/>
  <c r="N1585" i="95" s="1"/>
  <c r="O1585" i="95" s="1"/>
  <c r="P1585" i="95" s="1"/>
  <c r="Q1585" i="95" s="1"/>
  <c r="R1585" i="95" s="1"/>
  <c r="S1585" i="95" s="1"/>
  <c r="T1585" i="95" s="1"/>
  <c r="U1585" i="95" s="1"/>
  <c r="V1585" i="95" s="1"/>
  <c r="W1585" i="95" s="1"/>
  <c r="X1585" i="95" s="1"/>
  <c r="Y1585" i="95" s="1"/>
  <c r="Z1585" i="95" s="1"/>
  <c r="AA1585" i="95" s="1"/>
  <c r="AB1585" i="95" s="1"/>
  <c r="AC1585" i="95" s="1"/>
  <c r="AD1585" i="95" s="1"/>
  <c r="AE1585" i="95" s="1"/>
  <c r="AF1585" i="95" s="1"/>
  <c r="E1584" i="95"/>
  <c r="F1584" i="95" s="1"/>
  <c r="AG1583" i="95"/>
  <c r="AG1582" i="95" s="1"/>
  <c r="AF1583" i="95"/>
  <c r="AE1583" i="95"/>
  <c r="AD1583" i="95"/>
  <c r="AC1583" i="95"/>
  <c r="AB1583" i="95"/>
  <c r="AA1583" i="95"/>
  <c r="Z1583" i="95"/>
  <c r="Y1583" i="95"/>
  <c r="X1583" i="95"/>
  <c r="W1583" i="95"/>
  <c r="V1583" i="95"/>
  <c r="U1583" i="95"/>
  <c r="T1583" i="95"/>
  <c r="S1583" i="95"/>
  <c r="R1583" i="95"/>
  <c r="Q1583" i="95"/>
  <c r="P1583" i="95"/>
  <c r="O1583" i="95"/>
  <c r="N1583" i="95"/>
  <c r="M1583" i="95"/>
  <c r="L1583" i="95"/>
  <c r="K1583" i="95"/>
  <c r="J1583" i="95"/>
  <c r="I1583" i="95"/>
  <c r="H1583" i="95"/>
  <c r="G1583" i="95"/>
  <c r="F1583" i="95"/>
  <c r="E1583" i="95"/>
  <c r="D1583" i="95"/>
  <c r="D1581" i="95"/>
  <c r="E1581" i="95" s="1"/>
  <c r="F1581" i="95" s="1"/>
  <c r="G1581" i="95" s="1"/>
  <c r="H1581" i="95" s="1"/>
  <c r="I1581" i="95" s="1"/>
  <c r="J1581" i="95" s="1"/>
  <c r="K1581" i="95" s="1"/>
  <c r="L1581" i="95" s="1"/>
  <c r="M1581" i="95" s="1"/>
  <c r="N1581" i="95" s="1"/>
  <c r="O1581" i="95" s="1"/>
  <c r="P1581" i="95" s="1"/>
  <c r="Q1581" i="95" s="1"/>
  <c r="R1581" i="95" s="1"/>
  <c r="S1581" i="95" s="1"/>
  <c r="T1581" i="95" s="1"/>
  <c r="U1581" i="95" s="1"/>
  <c r="V1581" i="95" s="1"/>
  <c r="W1581" i="95" s="1"/>
  <c r="X1581" i="95" s="1"/>
  <c r="Y1581" i="95" s="1"/>
  <c r="Z1581" i="95" s="1"/>
  <c r="AA1581" i="95" s="1"/>
  <c r="AB1581" i="95" s="1"/>
  <c r="AC1581" i="95" s="1"/>
  <c r="AD1581" i="95" s="1"/>
  <c r="AE1581" i="95" s="1"/>
  <c r="AF1581" i="95" s="1"/>
  <c r="E1580" i="95"/>
  <c r="F1580" i="95" s="1"/>
  <c r="G1580" i="95" s="1"/>
  <c r="H1580" i="95" s="1"/>
  <c r="I1580" i="95" s="1"/>
  <c r="AG1579" i="95"/>
  <c r="AG1578" i="95" s="1"/>
  <c r="AF1579" i="95"/>
  <c r="AE1579" i="95"/>
  <c r="AD1579" i="95"/>
  <c r="AC1579" i="95"/>
  <c r="AB1579" i="95"/>
  <c r="AA1579" i="95"/>
  <c r="Z1579" i="95"/>
  <c r="Y1579" i="95"/>
  <c r="X1579" i="95"/>
  <c r="W1579" i="95"/>
  <c r="V1579" i="95"/>
  <c r="U1579" i="95"/>
  <c r="T1579" i="95"/>
  <c r="S1579" i="95"/>
  <c r="R1579" i="95"/>
  <c r="Q1579" i="95"/>
  <c r="P1579" i="95"/>
  <c r="O1579" i="95"/>
  <c r="N1579" i="95"/>
  <c r="M1579" i="95"/>
  <c r="L1579" i="95"/>
  <c r="K1579" i="95"/>
  <c r="J1579" i="95"/>
  <c r="I1579" i="95"/>
  <c r="H1579" i="95"/>
  <c r="G1579" i="95"/>
  <c r="F1579" i="95"/>
  <c r="E1579" i="95"/>
  <c r="D1579" i="95"/>
  <c r="D1577" i="95"/>
  <c r="E1577" i="95" s="1"/>
  <c r="F1577" i="95" s="1"/>
  <c r="G1577" i="95" s="1"/>
  <c r="H1577" i="95" s="1"/>
  <c r="I1577" i="95" s="1"/>
  <c r="J1577" i="95" s="1"/>
  <c r="K1577" i="95" s="1"/>
  <c r="L1577" i="95" s="1"/>
  <c r="M1577" i="95" s="1"/>
  <c r="N1577" i="95" s="1"/>
  <c r="O1577" i="95" s="1"/>
  <c r="P1577" i="95" s="1"/>
  <c r="Q1577" i="95" s="1"/>
  <c r="R1577" i="95" s="1"/>
  <c r="S1577" i="95" s="1"/>
  <c r="T1577" i="95" s="1"/>
  <c r="U1577" i="95" s="1"/>
  <c r="V1577" i="95" s="1"/>
  <c r="W1577" i="95" s="1"/>
  <c r="X1577" i="95" s="1"/>
  <c r="Y1577" i="95" s="1"/>
  <c r="Z1577" i="95" s="1"/>
  <c r="AA1577" i="95" s="1"/>
  <c r="AB1577" i="95" s="1"/>
  <c r="AC1577" i="95" s="1"/>
  <c r="AD1577" i="95" s="1"/>
  <c r="AE1577" i="95" s="1"/>
  <c r="AF1577" i="95" s="1"/>
  <c r="E1576" i="95"/>
  <c r="AG1575" i="95"/>
  <c r="AF1575" i="95"/>
  <c r="AE1575" i="95"/>
  <c r="AD1575" i="95"/>
  <c r="AC1575" i="95"/>
  <c r="AB1575" i="95"/>
  <c r="AA1575" i="95"/>
  <c r="Z1575" i="95"/>
  <c r="Y1575" i="95"/>
  <c r="X1575" i="95"/>
  <c r="W1575" i="95"/>
  <c r="V1575" i="95"/>
  <c r="U1575" i="95"/>
  <c r="T1575" i="95"/>
  <c r="S1575" i="95"/>
  <c r="R1575" i="95"/>
  <c r="Q1575" i="95"/>
  <c r="P1575" i="95"/>
  <c r="O1575" i="95"/>
  <c r="N1575" i="95"/>
  <c r="M1575" i="95"/>
  <c r="L1575" i="95"/>
  <c r="K1575" i="95"/>
  <c r="J1575" i="95"/>
  <c r="I1575" i="95"/>
  <c r="H1575" i="95"/>
  <c r="G1575" i="95"/>
  <c r="F1575" i="95"/>
  <c r="E1575" i="95"/>
  <c r="D1575" i="95"/>
  <c r="D1573" i="95"/>
  <c r="E1573" i="95" s="1"/>
  <c r="F1573" i="95" s="1"/>
  <c r="G1573" i="95" s="1"/>
  <c r="H1573" i="95" s="1"/>
  <c r="I1573" i="95" s="1"/>
  <c r="J1573" i="95" s="1"/>
  <c r="K1573" i="95" s="1"/>
  <c r="L1573" i="95" s="1"/>
  <c r="M1573" i="95" s="1"/>
  <c r="N1573" i="95" s="1"/>
  <c r="O1573" i="95" s="1"/>
  <c r="P1573" i="95" s="1"/>
  <c r="Q1573" i="95" s="1"/>
  <c r="R1573" i="95" s="1"/>
  <c r="S1573" i="95" s="1"/>
  <c r="T1573" i="95" s="1"/>
  <c r="U1573" i="95" s="1"/>
  <c r="V1573" i="95" s="1"/>
  <c r="W1573" i="95" s="1"/>
  <c r="X1573" i="95" s="1"/>
  <c r="Y1573" i="95" s="1"/>
  <c r="Z1573" i="95" s="1"/>
  <c r="AA1573" i="95" s="1"/>
  <c r="AB1573" i="95" s="1"/>
  <c r="AC1573" i="95" s="1"/>
  <c r="AD1573" i="95" s="1"/>
  <c r="AE1573" i="95" s="1"/>
  <c r="AF1573" i="95" s="1"/>
  <c r="E1572" i="95"/>
  <c r="F1572" i="95" s="1"/>
  <c r="G1572" i="95" s="1"/>
  <c r="H1572" i="95" s="1"/>
  <c r="AG1571" i="95"/>
  <c r="AF1571" i="95"/>
  <c r="AE1571" i="95"/>
  <c r="AD1571" i="95"/>
  <c r="AC1571" i="95"/>
  <c r="AB1571" i="95"/>
  <c r="AA1571" i="95"/>
  <c r="Z1571" i="95"/>
  <c r="Y1571" i="95"/>
  <c r="X1571" i="95"/>
  <c r="W1571" i="95"/>
  <c r="V1571" i="95"/>
  <c r="U1571" i="95"/>
  <c r="T1571" i="95"/>
  <c r="S1571" i="95"/>
  <c r="R1571" i="95"/>
  <c r="Q1571" i="95"/>
  <c r="P1571" i="95"/>
  <c r="O1571" i="95"/>
  <c r="N1571" i="95"/>
  <c r="M1571" i="95"/>
  <c r="L1571" i="95"/>
  <c r="K1571" i="95"/>
  <c r="J1571" i="95"/>
  <c r="I1571" i="95"/>
  <c r="H1571" i="95"/>
  <c r="G1571" i="95"/>
  <c r="F1571" i="95"/>
  <c r="E1571" i="95"/>
  <c r="D1571" i="95"/>
  <c r="D1569" i="95"/>
  <c r="E1569" i="95" s="1"/>
  <c r="F1569" i="95" s="1"/>
  <c r="G1569" i="95" s="1"/>
  <c r="H1569" i="95" s="1"/>
  <c r="I1569" i="95" s="1"/>
  <c r="J1569" i="95" s="1"/>
  <c r="K1569" i="95" s="1"/>
  <c r="L1569" i="95" s="1"/>
  <c r="M1569" i="95" s="1"/>
  <c r="N1569" i="95" s="1"/>
  <c r="O1569" i="95" s="1"/>
  <c r="P1569" i="95" s="1"/>
  <c r="Q1569" i="95" s="1"/>
  <c r="R1569" i="95" s="1"/>
  <c r="S1569" i="95" s="1"/>
  <c r="T1569" i="95" s="1"/>
  <c r="U1569" i="95" s="1"/>
  <c r="V1569" i="95" s="1"/>
  <c r="W1569" i="95" s="1"/>
  <c r="X1569" i="95" s="1"/>
  <c r="Y1569" i="95" s="1"/>
  <c r="Z1569" i="95" s="1"/>
  <c r="AA1569" i="95" s="1"/>
  <c r="AB1569" i="95" s="1"/>
  <c r="AC1569" i="95" s="1"/>
  <c r="AD1569" i="95" s="1"/>
  <c r="AE1569" i="95" s="1"/>
  <c r="AF1569" i="95" s="1"/>
  <c r="E1568" i="95"/>
  <c r="F1568" i="95" s="1"/>
  <c r="AG1567" i="95"/>
  <c r="AF1567" i="95"/>
  <c r="AE1567" i="95"/>
  <c r="AD1567" i="95"/>
  <c r="AC1567" i="95"/>
  <c r="AB1567" i="95"/>
  <c r="AA1567" i="95"/>
  <c r="Z1567" i="95"/>
  <c r="Y1567" i="95"/>
  <c r="X1567" i="95"/>
  <c r="W1567" i="95"/>
  <c r="V1567" i="95"/>
  <c r="U1567" i="95"/>
  <c r="T1567" i="95"/>
  <c r="S1567" i="95"/>
  <c r="R1567" i="95"/>
  <c r="Q1567" i="95"/>
  <c r="P1567" i="95"/>
  <c r="O1567" i="95"/>
  <c r="N1567" i="95"/>
  <c r="M1567" i="95"/>
  <c r="L1567" i="95"/>
  <c r="K1567" i="95"/>
  <c r="J1567" i="95"/>
  <c r="I1567" i="95"/>
  <c r="H1567" i="95"/>
  <c r="G1567" i="95"/>
  <c r="F1567" i="95"/>
  <c r="E1567" i="95"/>
  <c r="D1567" i="95"/>
  <c r="D1565" i="95"/>
  <c r="E1564" i="95"/>
  <c r="F1564" i="95" s="1"/>
  <c r="G1564" i="95" s="1"/>
  <c r="H1564" i="95" s="1"/>
  <c r="AG1563" i="95"/>
  <c r="AF1563" i="95"/>
  <c r="AE1563" i="95"/>
  <c r="AD1563" i="95"/>
  <c r="AC1563" i="95"/>
  <c r="AB1563" i="95"/>
  <c r="AA1563" i="95"/>
  <c r="Z1563" i="95"/>
  <c r="Y1563" i="95"/>
  <c r="X1563" i="95"/>
  <c r="W1563" i="95"/>
  <c r="V1563" i="95"/>
  <c r="U1563" i="95"/>
  <c r="T1563" i="95"/>
  <c r="S1563" i="95"/>
  <c r="R1563" i="95"/>
  <c r="Q1563" i="95"/>
  <c r="P1563" i="95"/>
  <c r="O1563" i="95"/>
  <c r="N1563" i="95"/>
  <c r="M1563" i="95"/>
  <c r="L1563" i="95"/>
  <c r="K1563" i="95"/>
  <c r="J1563" i="95"/>
  <c r="I1563" i="95"/>
  <c r="H1563" i="95"/>
  <c r="G1563" i="95"/>
  <c r="F1563" i="95"/>
  <c r="E1563" i="95"/>
  <c r="D1563" i="95"/>
  <c r="D1561" i="95"/>
  <c r="E1561" i="95" s="1"/>
  <c r="F1561" i="95" s="1"/>
  <c r="G1561" i="95" s="1"/>
  <c r="H1561" i="95" s="1"/>
  <c r="I1561" i="95" s="1"/>
  <c r="J1561" i="95" s="1"/>
  <c r="K1561" i="95" s="1"/>
  <c r="L1561" i="95" s="1"/>
  <c r="M1561" i="95" s="1"/>
  <c r="N1561" i="95" s="1"/>
  <c r="O1561" i="95" s="1"/>
  <c r="P1561" i="95" s="1"/>
  <c r="Q1561" i="95" s="1"/>
  <c r="R1561" i="95" s="1"/>
  <c r="S1561" i="95" s="1"/>
  <c r="T1561" i="95" s="1"/>
  <c r="U1561" i="95" s="1"/>
  <c r="V1561" i="95" s="1"/>
  <c r="W1561" i="95" s="1"/>
  <c r="X1561" i="95" s="1"/>
  <c r="Y1561" i="95" s="1"/>
  <c r="Z1561" i="95" s="1"/>
  <c r="AA1561" i="95" s="1"/>
  <c r="AB1561" i="95" s="1"/>
  <c r="AC1561" i="95" s="1"/>
  <c r="AD1561" i="95" s="1"/>
  <c r="AE1561" i="95" s="1"/>
  <c r="AF1561" i="95" s="1"/>
  <c r="E1560" i="95"/>
  <c r="F1560" i="95" s="1"/>
  <c r="G1560" i="95" s="1"/>
  <c r="H1560" i="95" s="1"/>
  <c r="I1560" i="95" s="1"/>
  <c r="J1560" i="95" s="1"/>
  <c r="AG1559" i="95"/>
  <c r="AF1559" i="95"/>
  <c r="AE1559" i="95"/>
  <c r="AD1559" i="95"/>
  <c r="AC1559" i="95"/>
  <c r="AB1559" i="95"/>
  <c r="AA1559" i="95"/>
  <c r="Z1559" i="95"/>
  <c r="Y1559" i="95"/>
  <c r="X1559" i="95"/>
  <c r="W1559" i="95"/>
  <c r="V1559" i="95"/>
  <c r="U1559" i="95"/>
  <c r="T1559" i="95"/>
  <c r="S1559" i="95"/>
  <c r="R1559" i="95"/>
  <c r="Q1559" i="95"/>
  <c r="P1559" i="95"/>
  <c r="O1559" i="95"/>
  <c r="N1559" i="95"/>
  <c r="M1559" i="95"/>
  <c r="L1559" i="95"/>
  <c r="K1559" i="95"/>
  <c r="J1559" i="95"/>
  <c r="I1559" i="95"/>
  <c r="H1559" i="95"/>
  <c r="G1559" i="95"/>
  <c r="F1559" i="95"/>
  <c r="E1559" i="95"/>
  <c r="D1559" i="95"/>
  <c r="D1557" i="95"/>
  <c r="E1557" i="95" s="1"/>
  <c r="F1557" i="95" s="1"/>
  <c r="G1557" i="95" s="1"/>
  <c r="H1557" i="95" s="1"/>
  <c r="I1557" i="95" s="1"/>
  <c r="J1557" i="95" s="1"/>
  <c r="K1557" i="95" s="1"/>
  <c r="L1557" i="95" s="1"/>
  <c r="M1557" i="95" s="1"/>
  <c r="N1557" i="95" s="1"/>
  <c r="O1557" i="95" s="1"/>
  <c r="P1557" i="95" s="1"/>
  <c r="Q1557" i="95" s="1"/>
  <c r="R1557" i="95" s="1"/>
  <c r="S1557" i="95" s="1"/>
  <c r="T1557" i="95" s="1"/>
  <c r="U1557" i="95" s="1"/>
  <c r="V1557" i="95" s="1"/>
  <c r="W1557" i="95" s="1"/>
  <c r="X1557" i="95" s="1"/>
  <c r="Y1557" i="95" s="1"/>
  <c r="Z1557" i="95" s="1"/>
  <c r="AA1557" i="95" s="1"/>
  <c r="AB1557" i="95" s="1"/>
  <c r="AC1557" i="95" s="1"/>
  <c r="AD1557" i="95" s="1"/>
  <c r="AE1557" i="95" s="1"/>
  <c r="AF1557" i="95" s="1"/>
  <c r="E1556" i="95"/>
  <c r="F1556" i="95" s="1"/>
  <c r="G1556" i="95" s="1"/>
  <c r="AG1555" i="95"/>
  <c r="AF1555" i="95"/>
  <c r="AE1555" i="95"/>
  <c r="AD1555" i="95"/>
  <c r="AC1555" i="95"/>
  <c r="AB1555" i="95"/>
  <c r="AA1555" i="95"/>
  <c r="Z1555" i="95"/>
  <c r="Y1555" i="95"/>
  <c r="X1555" i="95"/>
  <c r="W1555" i="95"/>
  <c r="V1555" i="95"/>
  <c r="U1555" i="95"/>
  <c r="T1555" i="95"/>
  <c r="S1555" i="95"/>
  <c r="R1555" i="95"/>
  <c r="Q1555" i="95"/>
  <c r="P1555" i="95"/>
  <c r="O1555" i="95"/>
  <c r="N1555" i="95"/>
  <c r="M1555" i="95"/>
  <c r="L1555" i="95"/>
  <c r="K1555" i="95"/>
  <c r="J1555" i="95"/>
  <c r="I1555" i="95"/>
  <c r="H1555" i="95"/>
  <c r="G1555" i="95"/>
  <c r="F1555" i="95"/>
  <c r="E1555" i="95"/>
  <c r="D1555" i="95"/>
  <c r="D1553" i="95"/>
  <c r="D1550" i="95" s="1"/>
  <c r="E1552" i="95"/>
  <c r="C1551" i="95"/>
  <c r="C1575" i="95" s="1"/>
  <c r="C1574" i="95" s="1"/>
  <c r="D1548" i="95"/>
  <c r="AF1547" i="95"/>
  <c r="AE1547" i="95"/>
  <c r="AD1547" i="95"/>
  <c r="AC1547" i="95"/>
  <c r="AB1547" i="95"/>
  <c r="AA1547" i="95"/>
  <c r="Z1547" i="95"/>
  <c r="Y1547" i="95"/>
  <c r="X1547" i="95"/>
  <c r="W1547" i="95"/>
  <c r="V1547" i="95"/>
  <c r="U1547" i="95"/>
  <c r="T1547" i="95"/>
  <c r="S1547" i="95"/>
  <c r="R1547" i="95"/>
  <c r="Q1547" i="95"/>
  <c r="P1547" i="95"/>
  <c r="O1547" i="95"/>
  <c r="N1547" i="95"/>
  <c r="M1547" i="95"/>
  <c r="L1547" i="95"/>
  <c r="K1547" i="95"/>
  <c r="J1547" i="95"/>
  <c r="I1547" i="95"/>
  <c r="H1547" i="95"/>
  <c r="G1547" i="95"/>
  <c r="F1547" i="95"/>
  <c r="E1547" i="95"/>
  <c r="D1547" i="95"/>
  <c r="D1545" i="95"/>
  <c r="D1542" i="95"/>
  <c r="E1541" i="95"/>
  <c r="F1541" i="95" s="1"/>
  <c r="C1540" i="95"/>
  <c r="D1539" i="95"/>
  <c r="E1538" i="95"/>
  <c r="F1538" i="95" s="1"/>
  <c r="G1538" i="95" s="1"/>
  <c r="C1537" i="95"/>
  <c r="D1536" i="95"/>
  <c r="D1534" i="95" s="1"/>
  <c r="E1535" i="95"/>
  <c r="F1535" i="95" s="1"/>
  <c r="G1535" i="95" s="1"/>
  <c r="H1535" i="95" s="1"/>
  <c r="I1535" i="95" s="1"/>
  <c r="C1534" i="95"/>
  <c r="D1533" i="95"/>
  <c r="AG1532" i="95"/>
  <c r="AG1535" i="95" s="1"/>
  <c r="AG1538" i="95" s="1"/>
  <c r="AG1541" i="95" s="1"/>
  <c r="AG1544" i="95" s="1"/>
  <c r="E1532" i="95"/>
  <c r="F1532" i="95" s="1"/>
  <c r="G1532" i="95" s="1"/>
  <c r="C1531" i="95"/>
  <c r="D1530" i="95"/>
  <c r="E1529" i="95"/>
  <c r="F1529" i="95" s="1"/>
  <c r="C1528" i="95"/>
  <c r="D1527" i="95"/>
  <c r="E1526" i="95"/>
  <c r="C1525" i="95"/>
  <c r="D1524" i="95"/>
  <c r="C1522" i="95"/>
  <c r="D1521" i="95"/>
  <c r="D1519" i="95" s="1"/>
  <c r="E1520" i="95"/>
  <c r="F1520" i="95" s="1"/>
  <c r="G1520" i="95" s="1"/>
  <c r="H1520" i="95" s="1"/>
  <c r="C1519" i="95"/>
  <c r="D1518" i="95"/>
  <c r="E1517" i="95"/>
  <c r="F1517" i="95" s="1"/>
  <c r="G1517" i="95" s="1"/>
  <c r="H1517" i="95" s="1"/>
  <c r="C1516" i="95"/>
  <c r="D1515" i="95"/>
  <c r="E1514" i="95"/>
  <c r="F1514" i="95" s="1"/>
  <c r="G1514" i="95" s="1"/>
  <c r="H1514" i="95" s="1"/>
  <c r="C1513" i="95"/>
  <c r="D1512" i="95"/>
  <c r="D1510" i="95" s="1"/>
  <c r="E1511" i="95"/>
  <c r="F1511" i="95" s="1"/>
  <c r="G1511" i="95" s="1"/>
  <c r="H1511" i="95" s="1"/>
  <c r="I1511" i="95" s="1"/>
  <c r="C1510" i="95"/>
  <c r="D1509" i="95"/>
  <c r="D1507" i="95" s="1"/>
  <c r="E1508" i="95"/>
  <c r="C1507" i="95"/>
  <c r="D1506" i="95"/>
  <c r="E1505" i="95"/>
  <c r="C1504" i="95"/>
  <c r="D1503" i="95"/>
  <c r="E1503" i="95" s="1"/>
  <c r="E1502" i="95"/>
  <c r="F1502" i="95" s="1"/>
  <c r="G1502" i="95" s="1"/>
  <c r="C1501" i="95"/>
  <c r="D1500" i="95"/>
  <c r="E1500" i="95" s="1"/>
  <c r="F1500" i="95" s="1"/>
  <c r="G1500" i="95" s="1"/>
  <c r="H1500" i="95" s="1"/>
  <c r="I1500" i="95" s="1"/>
  <c r="J1500" i="95" s="1"/>
  <c r="K1500" i="95" s="1"/>
  <c r="L1500" i="95" s="1"/>
  <c r="M1500" i="95" s="1"/>
  <c r="N1500" i="95" s="1"/>
  <c r="O1500" i="95" s="1"/>
  <c r="P1500" i="95" s="1"/>
  <c r="Q1500" i="95" s="1"/>
  <c r="R1500" i="95" s="1"/>
  <c r="S1500" i="95" s="1"/>
  <c r="T1500" i="95" s="1"/>
  <c r="U1500" i="95" s="1"/>
  <c r="V1500" i="95" s="1"/>
  <c r="W1500" i="95" s="1"/>
  <c r="X1500" i="95" s="1"/>
  <c r="Y1500" i="95" s="1"/>
  <c r="Z1500" i="95" s="1"/>
  <c r="AA1500" i="95" s="1"/>
  <c r="AB1500" i="95" s="1"/>
  <c r="AC1500" i="95" s="1"/>
  <c r="AD1500" i="95" s="1"/>
  <c r="AE1500" i="95" s="1"/>
  <c r="AF1500" i="95" s="1"/>
  <c r="E1499" i="95"/>
  <c r="C1498" i="95"/>
  <c r="D1497" i="95"/>
  <c r="D1495" i="95" s="1"/>
  <c r="E1496" i="95"/>
  <c r="C1495" i="95"/>
  <c r="D1494" i="95"/>
  <c r="E1493" i="95"/>
  <c r="C1492" i="95"/>
  <c r="E1490" i="95"/>
  <c r="F1490" i="95" s="1"/>
  <c r="D1488" i="95"/>
  <c r="E1487" i="95"/>
  <c r="F1487" i="95" s="1"/>
  <c r="C1486" i="95"/>
  <c r="D1485" i="95"/>
  <c r="E1485" i="95" s="1"/>
  <c r="F1485" i="95" s="1"/>
  <c r="G1485" i="95" s="1"/>
  <c r="H1485" i="95" s="1"/>
  <c r="I1485" i="95" s="1"/>
  <c r="J1485" i="95" s="1"/>
  <c r="K1485" i="95" s="1"/>
  <c r="L1485" i="95" s="1"/>
  <c r="M1485" i="95" s="1"/>
  <c r="N1485" i="95" s="1"/>
  <c r="O1485" i="95" s="1"/>
  <c r="P1485" i="95" s="1"/>
  <c r="Q1485" i="95" s="1"/>
  <c r="R1485" i="95" s="1"/>
  <c r="S1485" i="95" s="1"/>
  <c r="T1485" i="95" s="1"/>
  <c r="U1485" i="95" s="1"/>
  <c r="V1485" i="95" s="1"/>
  <c r="W1485" i="95" s="1"/>
  <c r="X1485" i="95" s="1"/>
  <c r="Y1485" i="95" s="1"/>
  <c r="Z1485" i="95" s="1"/>
  <c r="AA1485" i="95" s="1"/>
  <c r="AB1485" i="95" s="1"/>
  <c r="AC1485" i="95" s="1"/>
  <c r="AD1485" i="95" s="1"/>
  <c r="AE1485" i="95" s="1"/>
  <c r="AF1485" i="95" s="1"/>
  <c r="E1484" i="95"/>
  <c r="F1484" i="95" s="1"/>
  <c r="C1483" i="95"/>
  <c r="D1482" i="95"/>
  <c r="E1481" i="95"/>
  <c r="F1481" i="95" s="1"/>
  <c r="C1480" i="95"/>
  <c r="D1479" i="95"/>
  <c r="D1477" i="95" s="1"/>
  <c r="AG1478" i="95"/>
  <c r="AG1481" i="95" s="1"/>
  <c r="AG1484" i="95" s="1"/>
  <c r="AG1487" i="95" s="1"/>
  <c r="AG1490" i="95" s="1"/>
  <c r="AG1493" i="95" s="1"/>
  <c r="AG1496" i="95" s="1"/>
  <c r="AG1499" i="95" s="1"/>
  <c r="AG1502" i="95" s="1"/>
  <c r="AG1505" i="95" s="1"/>
  <c r="AG1508" i="95" s="1"/>
  <c r="AG1511" i="95" s="1"/>
  <c r="AG1514" i="95" s="1"/>
  <c r="AG1517" i="95" s="1"/>
  <c r="AG1520" i="95" s="1"/>
  <c r="AG1523" i="95" s="1"/>
  <c r="AG1526" i="95" s="1"/>
  <c r="AG1529" i="95" s="1"/>
  <c r="E1478" i="95"/>
  <c r="F1478" i="95" s="1"/>
  <c r="C1477" i="95"/>
  <c r="D1489" i="95"/>
  <c r="C1489" i="95"/>
  <c r="D1468" i="95"/>
  <c r="E1468" i="95" s="1"/>
  <c r="F1468" i="95" s="1"/>
  <c r="G1468" i="95" s="1"/>
  <c r="H1468" i="95" s="1"/>
  <c r="I1468" i="95" s="1"/>
  <c r="J1468" i="95" s="1"/>
  <c r="K1468" i="95" s="1"/>
  <c r="L1468" i="95" s="1"/>
  <c r="M1468" i="95" s="1"/>
  <c r="N1468" i="95" s="1"/>
  <c r="O1468" i="95" s="1"/>
  <c r="P1468" i="95" s="1"/>
  <c r="Q1468" i="95" s="1"/>
  <c r="R1468" i="95" s="1"/>
  <c r="S1468" i="95" s="1"/>
  <c r="T1468" i="95" s="1"/>
  <c r="U1468" i="95" s="1"/>
  <c r="V1468" i="95" s="1"/>
  <c r="W1468" i="95" s="1"/>
  <c r="X1468" i="95" s="1"/>
  <c r="Y1468" i="95" s="1"/>
  <c r="Z1468" i="95" s="1"/>
  <c r="AA1468" i="95" s="1"/>
  <c r="AB1468" i="95" s="1"/>
  <c r="AC1468" i="95" s="1"/>
  <c r="AD1468" i="95" s="1"/>
  <c r="AE1468" i="95" s="1"/>
  <c r="AF1468" i="95" s="1"/>
  <c r="D1467" i="95"/>
  <c r="E1467" i="95" s="1"/>
  <c r="F1467" i="95" s="1"/>
  <c r="G1467" i="95" s="1"/>
  <c r="H1467" i="95" s="1"/>
  <c r="I1467" i="95" s="1"/>
  <c r="J1467" i="95" s="1"/>
  <c r="K1467" i="95" s="1"/>
  <c r="L1467" i="95" s="1"/>
  <c r="M1467" i="95" s="1"/>
  <c r="N1467" i="95" s="1"/>
  <c r="O1467" i="95" s="1"/>
  <c r="P1467" i="95" s="1"/>
  <c r="Q1467" i="95" s="1"/>
  <c r="R1467" i="95" s="1"/>
  <c r="S1467" i="95" s="1"/>
  <c r="T1467" i="95" s="1"/>
  <c r="U1467" i="95" s="1"/>
  <c r="V1467" i="95" s="1"/>
  <c r="W1467" i="95" s="1"/>
  <c r="X1467" i="95" s="1"/>
  <c r="Y1467" i="95" s="1"/>
  <c r="Z1467" i="95" s="1"/>
  <c r="AA1467" i="95" s="1"/>
  <c r="AB1467" i="95" s="1"/>
  <c r="AC1467" i="95" s="1"/>
  <c r="AD1467" i="95" s="1"/>
  <c r="AE1467" i="95" s="1"/>
  <c r="AF1467" i="95" s="1"/>
  <c r="AF1465" i="95"/>
  <c r="AE1465" i="95"/>
  <c r="AD1465" i="95"/>
  <c r="AC1465" i="95"/>
  <c r="AB1465" i="95"/>
  <c r="AA1465" i="95"/>
  <c r="Z1465" i="95"/>
  <c r="Y1465" i="95"/>
  <c r="X1465" i="95"/>
  <c r="W1465" i="95"/>
  <c r="V1465" i="95"/>
  <c r="U1465" i="95"/>
  <c r="T1465" i="95"/>
  <c r="S1465" i="95"/>
  <c r="R1465" i="95"/>
  <c r="Q1465" i="95"/>
  <c r="P1465" i="95"/>
  <c r="O1465" i="95"/>
  <c r="N1465" i="95"/>
  <c r="M1465" i="95"/>
  <c r="L1465" i="95"/>
  <c r="K1465" i="95"/>
  <c r="J1465" i="95"/>
  <c r="I1465" i="95"/>
  <c r="H1465" i="95"/>
  <c r="G1465" i="95"/>
  <c r="F1465" i="95"/>
  <c r="E1465" i="95"/>
  <c r="D1465" i="95"/>
  <c r="C1465" i="95"/>
  <c r="D1463" i="95"/>
  <c r="E1463" i="95" s="1"/>
  <c r="F1463" i="95" s="1"/>
  <c r="G1463" i="95" s="1"/>
  <c r="H1463" i="95" s="1"/>
  <c r="I1463" i="95" s="1"/>
  <c r="J1463" i="95" s="1"/>
  <c r="K1463" i="95" s="1"/>
  <c r="L1463" i="95" s="1"/>
  <c r="M1463" i="95" s="1"/>
  <c r="N1463" i="95" s="1"/>
  <c r="O1463" i="95" s="1"/>
  <c r="P1463" i="95" s="1"/>
  <c r="Q1463" i="95" s="1"/>
  <c r="R1463" i="95" s="1"/>
  <c r="S1463" i="95" s="1"/>
  <c r="T1463" i="95" s="1"/>
  <c r="U1463" i="95" s="1"/>
  <c r="V1463" i="95" s="1"/>
  <c r="W1463" i="95" s="1"/>
  <c r="X1463" i="95" s="1"/>
  <c r="Y1463" i="95" s="1"/>
  <c r="Z1463" i="95" s="1"/>
  <c r="AA1463" i="95" s="1"/>
  <c r="AB1463" i="95" s="1"/>
  <c r="AC1463" i="95" s="1"/>
  <c r="AD1463" i="95" s="1"/>
  <c r="AE1463" i="95" s="1"/>
  <c r="AF1463" i="95" s="1"/>
  <c r="D1462" i="95"/>
  <c r="E1462" i="95" s="1"/>
  <c r="F1462" i="95" s="1"/>
  <c r="G1462" i="95" s="1"/>
  <c r="H1462" i="95" s="1"/>
  <c r="I1462" i="95" s="1"/>
  <c r="J1462" i="95" s="1"/>
  <c r="K1462" i="95" s="1"/>
  <c r="L1462" i="95" s="1"/>
  <c r="M1462" i="95" s="1"/>
  <c r="N1462" i="95" s="1"/>
  <c r="O1462" i="95" s="1"/>
  <c r="P1462" i="95" s="1"/>
  <c r="Q1462" i="95" s="1"/>
  <c r="R1462" i="95" s="1"/>
  <c r="S1462" i="95" s="1"/>
  <c r="T1462" i="95" s="1"/>
  <c r="U1462" i="95" s="1"/>
  <c r="V1462" i="95" s="1"/>
  <c r="W1462" i="95" s="1"/>
  <c r="X1462" i="95" s="1"/>
  <c r="Y1462" i="95" s="1"/>
  <c r="Z1462" i="95" s="1"/>
  <c r="AA1462" i="95" s="1"/>
  <c r="AB1462" i="95" s="1"/>
  <c r="AC1462" i="95" s="1"/>
  <c r="AD1462" i="95" s="1"/>
  <c r="AE1462" i="95" s="1"/>
  <c r="AF1462" i="95" s="1"/>
  <c r="D1461" i="95"/>
  <c r="AF1460" i="95"/>
  <c r="AE1460" i="95"/>
  <c r="AD1460" i="95"/>
  <c r="AC1460" i="95"/>
  <c r="AB1460" i="95"/>
  <c r="AA1460" i="95"/>
  <c r="Z1460" i="95"/>
  <c r="Y1460" i="95"/>
  <c r="X1460" i="95"/>
  <c r="W1460" i="95"/>
  <c r="V1460" i="95"/>
  <c r="U1460" i="95"/>
  <c r="T1460" i="95"/>
  <c r="S1460" i="95"/>
  <c r="R1460" i="95"/>
  <c r="Q1460" i="95"/>
  <c r="P1460" i="95"/>
  <c r="O1460" i="95"/>
  <c r="N1460" i="95"/>
  <c r="M1460" i="95"/>
  <c r="L1460" i="95"/>
  <c r="K1460" i="95"/>
  <c r="J1460" i="95"/>
  <c r="I1460" i="95"/>
  <c r="H1460" i="95"/>
  <c r="G1460" i="95"/>
  <c r="F1460" i="95"/>
  <c r="E1460" i="95"/>
  <c r="D1460" i="95"/>
  <c r="C1460" i="95"/>
  <c r="D1458" i="95"/>
  <c r="E1458" i="95" s="1"/>
  <c r="F1458" i="95" s="1"/>
  <c r="G1458" i="95" s="1"/>
  <c r="H1458" i="95" s="1"/>
  <c r="I1458" i="95" s="1"/>
  <c r="J1458" i="95" s="1"/>
  <c r="K1458" i="95" s="1"/>
  <c r="L1458" i="95" s="1"/>
  <c r="M1458" i="95" s="1"/>
  <c r="N1458" i="95" s="1"/>
  <c r="O1458" i="95" s="1"/>
  <c r="P1458" i="95" s="1"/>
  <c r="Q1458" i="95" s="1"/>
  <c r="R1458" i="95" s="1"/>
  <c r="S1458" i="95" s="1"/>
  <c r="T1458" i="95" s="1"/>
  <c r="U1458" i="95" s="1"/>
  <c r="V1458" i="95" s="1"/>
  <c r="W1458" i="95" s="1"/>
  <c r="X1458" i="95" s="1"/>
  <c r="Y1458" i="95" s="1"/>
  <c r="Z1458" i="95" s="1"/>
  <c r="AA1458" i="95" s="1"/>
  <c r="AB1458" i="95" s="1"/>
  <c r="AC1458" i="95" s="1"/>
  <c r="AD1458" i="95" s="1"/>
  <c r="AE1458" i="95" s="1"/>
  <c r="AF1458" i="95" s="1"/>
  <c r="D1457" i="95"/>
  <c r="E1457" i="95" s="1"/>
  <c r="F1457" i="95" s="1"/>
  <c r="G1457" i="95" s="1"/>
  <c r="H1457" i="95" s="1"/>
  <c r="I1457" i="95" s="1"/>
  <c r="J1457" i="95" s="1"/>
  <c r="K1457" i="95" s="1"/>
  <c r="L1457" i="95" s="1"/>
  <c r="M1457" i="95" s="1"/>
  <c r="N1457" i="95" s="1"/>
  <c r="O1457" i="95" s="1"/>
  <c r="P1457" i="95" s="1"/>
  <c r="Q1457" i="95" s="1"/>
  <c r="R1457" i="95" s="1"/>
  <c r="S1457" i="95" s="1"/>
  <c r="T1457" i="95" s="1"/>
  <c r="U1457" i="95" s="1"/>
  <c r="V1457" i="95" s="1"/>
  <c r="W1457" i="95" s="1"/>
  <c r="X1457" i="95" s="1"/>
  <c r="Y1457" i="95" s="1"/>
  <c r="Z1457" i="95" s="1"/>
  <c r="AA1457" i="95" s="1"/>
  <c r="AB1457" i="95" s="1"/>
  <c r="AC1457" i="95" s="1"/>
  <c r="AD1457" i="95" s="1"/>
  <c r="AE1457" i="95" s="1"/>
  <c r="AF1457" i="95" s="1"/>
  <c r="AF1455" i="95"/>
  <c r="AE1455" i="95"/>
  <c r="AD1455" i="95"/>
  <c r="AC1455" i="95"/>
  <c r="AB1455" i="95"/>
  <c r="AA1455" i="95"/>
  <c r="Z1455" i="95"/>
  <c r="Y1455" i="95"/>
  <c r="X1455" i="95"/>
  <c r="W1455" i="95"/>
  <c r="V1455" i="95"/>
  <c r="U1455" i="95"/>
  <c r="T1455" i="95"/>
  <c r="S1455" i="95"/>
  <c r="R1455" i="95"/>
  <c r="Q1455" i="95"/>
  <c r="P1455" i="95"/>
  <c r="O1455" i="95"/>
  <c r="N1455" i="95"/>
  <c r="M1455" i="95"/>
  <c r="L1455" i="95"/>
  <c r="K1455" i="95"/>
  <c r="J1455" i="95"/>
  <c r="I1455" i="95"/>
  <c r="H1455" i="95"/>
  <c r="G1455" i="95"/>
  <c r="F1455" i="95"/>
  <c r="E1455" i="95"/>
  <c r="D1455" i="95"/>
  <c r="C1455" i="95"/>
  <c r="D1452" i="95"/>
  <c r="E1452" i="95" s="1"/>
  <c r="F1452" i="95" s="1"/>
  <c r="G1452" i="95" s="1"/>
  <c r="H1452" i="95" s="1"/>
  <c r="I1452" i="95" s="1"/>
  <c r="J1452" i="95" s="1"/>
  <c r="K1452" i="95" s="1"/>
  <c r="L1452" i="95" s="1"/>
  <c r="M1452" i="95" s="1"/>
  <c r="N1452" i="95" s="1"/>
  <c r="O1452" i="95" s="1"/>
  <c r="P1452" i="95" s="1"/>
  <c r="Q1452" i="95" s="1"/>
  <c r="R1452" i="95" s="1"/>
  <c r="S1452" i="95" s="1"/>
  <c r="T1452" i="95" s="1"/>
  <c r="U1452" i="95" s="1"/>
  <c r="V1452" i="95" s="1"/>
  <c r="W1452" i="95" s="1"/>
  <c r="X1452" i="95" s="1"/>
  <c r="Y1452" i="95" s="1"/>
  <c r="Z1452" i="95" s="1"/>
  <c r="AA1452" i="95" s="1"/>
  <c r="AB1452" i="95" s="1"/>
  <c r="AC1452" i="95" s="1"/>
  <c r="AD1452" i="95" s="1"/>
  <c r="AE1452" i="95" s="1"/>
  <c r="AF1452" i="95" s="1"/>
  <c r="C1447" i="95"/>
  <c r="D1446" i="95"/>
  <c r="D1443" i="95"/>
  <c r="D1439" i="95"/>
  <c r="D1438" i="95"/>
  <c r="E1438" i="95" s="1"/>
  <c r="F1438" i="95" s="1"/>
  <c r="G1438" i="95" s="1"/>
  <c r="C1437" i="95"/>
  <c r="D1436" i="95"/>
  <c r="E1436" i="95" s="1"/>
  <c r="F1436" i="95" s="1"/>
  <c r="G1436" i="95" s="1"/>
  <c r="H1436" i="95" s="1"/>
  <c r="I1436" i="95" s="1"/>
  <c r="J1436" i="95" s="1"/>
  <c r="K1436" i="95" s="1"/>
  <c r="L1436" i="95" s="1"/>
  <c r="M1436" i="95" s="1"/>
  <c r="N1436" i="95" s="1"/>
  <c r="O1436" i="95" s="1"/>
  <c r="P1436" i="95" s="1"/>
  <c r="Q1436" i="95" s="1"/>
  <c r="R1436" i="95" s="1"/>
  <c r="S1436" i="95" s="1"/>
  <c r="T1436" i="95" s="1"/>
  <c r="U1436" i="95" s="1"/>
  <c r="V1436" i="95" s="1"/>
  <c r="W1436" i="95" s="1"/>
  <c r="X1436" i="95" s="1"/>
  <c r="Y1436" i="95" s="1"/>
  <c r="Z1436" i="95" s="1"/>
  <c r="AA1436" i="95" s="1"/>
  <c r="AB1436" i="95" s="1"/>
  <c r="AC1436" i="95" s="1"/>
  <c r="AD1436" i="95" s="1"/>
  <c r="AE1436" i="95" s="1"/>
  <c r="AF1436" i="95" s="1"/>
  <c r="D1435" i="95"/>
  <c r="C1434" i="95"/>
  <c r="D1433" i="95"/>
  <c r="E1433" i="95" s="1"/>
  <c r="F1433" i="95" s="1"/>
  <c r="D1432" i="95"/>
  <c r="E1432" i="95" s="1"/>
  <c r="F1432" i="95" s="1"/>
  <c r="G1432" i="95" s="1"/>
  <c r="H1432" i="95" s="1"/>
  <c r="C1431" i="95"/>
  <c r="D1430" i="95"/>
  <c r="E1430" i="95" s="1"/>
  <c r="F1430" i="95" s="1"/>
  <c r="G1430" i="95" s="1"/>
  <c r="H1430" i="95" s="1"/>
  <c r="I1430" i="95" s="1"/>
  <c r="J1430" i="95" s="1"/>
  <c r="K1430" i="95" s="1"/>
  <c r="L1430" i="95" s="1"/>
  <c r="M1430" i="95" s="1"/>
  <c r="N1430" i="95" s="1"/>
  <c r="O1430" i="95" s="1"/>
  <c r="P1430" i="95" s="1"/>
  <c r="Q1430" i="95" s="1"/>
  <c r="R1430" i="95" s="1"/>
  <c r="S1430" i="95" s="1"/>
  <c r="T1430" i="95" s="1"/>
  <c r="U1430" i="95" s="1"/>
  <c r="V1430" i="95" s="1"/>
  <c r="W1430" i="95" s="1"/>
  <c r="X1430" i="95" s="1"/>
  <c r="Y1430" i="95" s="1"/>
  <c r="Z1430" i="95" s="1"/>
  <c r="AA1430" i="95" s="1"/>
  <c r="AB1430" i="95" s="1"/>
  <c r="AC1430" i="95" s="1"/>
  <c r="AD1430" i="95" s="1"/>
  <c r="AE1430" i="95" s="1"/>
  <c r="AF1430" i="95" s="1"/>
  <c r="D1429" i="95"/>
  <c r="C1428" i="95"/>
  <c r="D1426" i="95"/>
  <c r="E1426" i="95" s="1"/>
  <c r="F1426" i="95" s="1"/>
  <c r="G1426" i="95" s="1"/>
  <c r="H1426" i="95" s="1"/>
  <c r="I1426" i="95" s="1"/>
  <c r="J1426" i="95" s="1"/>
  <c r="K1426" i="95" s="1"/>
  <c r="L1426" i="95" s="1"/>
  <c r="M1426" i="95" s="1"/>
  <c r="N1426" i="95" s="1"/>
  <c r="O1426" i="95" s="1"/>
  <c r="P1426" i="95" s="1"/>
  <c r="Q1426" i="95" s="1"/>
  <c r="R1426" i="95" s="1"/>
  <c r="S1426" i="95" s="1"/>
  <c r="T1426" i="95" s="1"/>
  <c r="U1426" i="95" s="1"/>
  <c r="V1426" i="95" s="1"/>
  <c r="W1426" i="95" s="1"/>
  <c r="X1426" i="95" s="1"/>
  <c r="Y1426" i="95" s="1"/>
  <c r="Z1426" i="95" s="1"/>
  <c r="AA1426" i="95" s="1"/>
  <c r="AB1426" i="95" s="1"/>
  <c r="AC1426" i="95" s="1"/>
  <c r="AD1426" i="95" s="1"/>
  <c r="AE1426" i="95" s="1"/>
  <c r="AF1426" i="95" s="1"/>
  <c r="C1425" i="95"/>
  <c r="D1419" i="95"/>
  <c r="D1416" i="95"/>
  <c r="C1412" i="95"/>
  <c r="C1411" i="95"/>
  <c r="D1409" i="95"/>
  <c r="C1406" i="95"/>
  <c r="D1399" i="95"/>
  <c r="E1399" i="95" s="1"/>
  <c r="F1399" i="95" s="1"/>
  <c r="G1399" i="95" s="1"/>
  <c r="H1399" i="95" s="1"/>
  <c r="I1399" i="95" s="1"/>
  <c r="J1399" i="95" s="1"/>
  <c r="K1399" i="95" s="1"/>
  <c r="L1399" i="95" s="1"/>
  <c r="M1399" i="95" s="1"/>
  <c r="N1399" i="95" s="1"/>
  <c r="O1399" i="95" s="1"/>
  <c r="P1399" i="95" s="1"/>
  <c r="Q1399" i="95" s="1"/>
  <c r="R1399" i="95" s="1"/>
  <c r="S1399" i="95" s="1"/>
  <c r="T1399" i="95" s="1"/>
  <c r="U1399" i="95" s="1"/>
  <c r="V1399" i="95" s="1"/>
  <c r="W1399" i="95" s="1"/>
  <c r="X1399" i="95" s="1"/>
  <c r="Y1399" i="95" s="1"/>
  <c r="Z1399" i="95" s="1"/>
  <c r="AA1399" i="95" s="1"/>
  <c r="AB1399" i="95" s="1"/>
  <c r="AC1399" i="95" s="1"/>
  <c r="AD1399" i="95" s="1"/>
  <c r="AE1399" i="95" s="1"/>
  <c r="AF1399" i="95" s="1"/>
  <c r="D1398" i="95"/>
  <c r="E1398" i="95" s="1"/>
  <c r="F1398" i="95" s="1"/>
  <c r="G1398" i="95" s="1"/>
  <c r="H1398" i="95" s="1"/>
  <c r="I1398" i="95" s="1"/>
  <c r="J1398" i="95" s="1"/>
  <c r="K1398" i="95" s="1"/>
  <c r="L1398" i="95" s="1"/>
  <c r="M1398" i="95" s="1"/>
  <c r="N1398" i="95" s="1"/>
  <c r="O1398" i="95" s="1"/>
  <c r="P1398" i="95" s="1"/>
  <c r="Q1398" i="95" s="1"/>
  <c r="R1398" i="95" s="1"/>
  <c r="S1398" i="95" s="1"/>
  <c r="T1398" i="95" s="1"/>
  <c r="U1398" i="95" s="1"/>
  <c r="V1398" i="95" s="1"/>
  <c r="W1398" i="95" s="1"/>
  <c r="X1398" i="95" s="1"/>
  <c r="Y1398" i="95" s="1"/>
  <c r="Z1398" i="95" s="1"/>
  <c r="AA1398" i="95" s="1"/>
  <c r="AB1398" i="95" s="1"/>
  <c r="AC1398" i="95" s="1"/>
  <c r="AD1398" i="95" s="1"/>
  <c r="AE1398" i="95" s="1"/>
  <c r="AF1398" i="95" s="1"/>
  <c r="C1396" i="95"/>
  <c r="D1393" i="95"/>
  <c r="E1393" i="95" s="1"/>
  <c r="F1393" i="95" s="1"/>
  <c r="G1393" i="95" s="1"/>
  <c r="H1393" i="95" s="1"/>
  <c r="I1393" i="95" s="1"/>
  <c r="J1393" i="95" s="1"/>
  <c r="K1393" i="95" s="1"/>
  <c r="L1393" i="95" s="1"/>
  <c r="M1393" i="95" s="1"/>
  <c r="N1393" i="95" s="1"/>
  <c r="O1393" i="95" s="1"/>
  <c r="P1393" i="95" s="1"/>
  <c r="Q1393" i="95" s="1"/>
  <c r="R1393" i="95" s="1"/>
  <c r="S1393" i="95" s="1"/>
  <c r="T1393" i="95" s="1"/>
  <c r="U1393" i="95" s="1"/>
  <c r="V1393" i="95" s="1"/>
  <c r="W1393" i="95" s="1"/>
  <c r="X1393" i="95" s="1"/>
  <c r="Y1393" i="95" s="1"/>
  <c r="Z1393" i="95" s="1"/>
  <c r="AA1393" i="95" s="1"/>
  <c r="AB1393" i="95" s="1"/>
  <c r="AC1393" i="95" s="1"/>
  <c r="AD1393" i="95" s="1"/>
  <c r="AE1393" i="95" s="1"/>
  <c r="AF1393" i="95" s="1"/>
  <c r="D1392" i="95"/>
  <c r="C1390" i="95"/>
  <c r="C1389" i="95" s="1"/>
  <c r="D1388" i="95"/>
  <c r="E1388" i="95" s="1"/>
  <c r="F1388" i="95" s="1"/>
  <c r="G1388" i="95" s="1"/>
  <c r="H1388" i="95" s="1"/>
  <c r="I1388" i="95" s="1"/>
  <c r="J1388" i="95" s="1"/>
  <c r="K1388" i="95" s="1"/>
  <c r="L1388" i="95" s="1"/>
  <c r="M1388" i="95" s="1"/>
  <c r="N1388" i="95" s="1"/>
  <c r="O1388" i="95" s="1"/>
  <c r="P1388" i="95" s="1"/>
  <c r="Q1388" i="95" s="1"/>
  <c r="R1388" i="95" s="1"/>
  <c r="S1388" i="95" s="1"/>
  <c r="T1388" i="95" s="1"/>
  <c r="U1388" i="95" s="1"/>
  <c r="V1388" i="95" s="1"/>
  <c r="W1388" i="95" s="1"/>
  <c r="X1388" i="95" s="1"/>
  <c r="Y1388" i="95" s="1"/>
  <c r="Z1388" i="95" s="1"/>
  <c r="AA1388" i="95" s="1"/>
  <c r="AB1388" i="95" s="1"/>
  <c r="AC1388" i="95" s="1"/>
  <c r="AD1388" i="95" s="1"/>
  <c r="AE1388" i="95" s="1"/>
  <c r="AF1388" i="95" s="1"/>
  <c r="AG1387" i="95"/>
  <c r="C1387" i="95"/>
  <c r="AF1384" i="95"/>
  <c r="AE1384" i="95"/>
  <c r="AD1384" i="95"/>
  <c r="AC1384" i="95"/>
  <c r="AB1384" i="95"/>
  <c r="AA1384" i="95"/>
  <c r="Z1384" i="95"/>
  <c r="Y1384" i="95"/>
  <c r="X1384" i="95"/>
  <c r="W1384" i="95"/>
  <c r="V1384" i="95"/>
  <c r="U1384" i="95"/>
  <c r="T1384" i="95"/>
  <c r="S1384" i="95"/>
  <c r="R1384" i="95"/>
  <c r="Q1384" i="95"/>
  <c r="P1384" i="95"/>
  <c r="O1384" i="95"/>
  <c r="N1384" i="95"/>
  <c r="M1384" i="95"/>
  <c r="L1384" i="95"/>
  <c r="K1384" i="95"/>
  <c r="J1384" i="95"/>
  <c r="I1384" i="95"/>
  <c r="H1384" i="95"/>
  <c r="G1384" i="95"/>
  <c r="F1384" i="95"/>
  <c r="E1384" i="95"/>
  <c r="D1384" i="95"/>
  <c r="C1384" i="95"/>
  <c r="D1383" i="95"/>
  <c r="D1396" i="95" s="1"/>
  <c r="AF1368" i="95"/>
  <c r="AE1368" i="95"/>
  <c r="AD1368" i="95"/>
  <c r="AC1368" i="95"/>
  <c r="AB1368" i="95"/>
  <c r="AA1368" i="95"/>
  <c r="Z1368" i="95"/>
  <c r="Y1368" i="95"/>
  <c r="X1368" i="95"/>
  <c r="W1368" i="95"/>
  <c r="V1368" i="95"/>
  <c r="U1368" i="95"/>
  <c r="T1368" i="95"/>
  <c r="S1368" i="95"/>
  <c r="R1368" i="95"/>
  <c r="Q1368" i="95"/>
  <c r="P1368" i="95"/>
  <c r="O1368" i="95"/>
  <c r="N1368" i="95"/>
  <c r="M1368" i="95"/>
  <c r="L1368" i="95"/>
  <c r="K1368" i="95"/>
  <c r="J1368" i="95"/>
  <c r="I1368" i="95"/>
  <c r="H1368" i="95"/>
  <c r="G1368" i="95"/>
  <c r="F1368" i="95"/>
  <c r="E1368" i="95"/>
  <c r="D1368" i="95"/>
  <c r="C1368" i="95"/>
  <c r="B1367" i="95"/>
  <c r="AF1365" i="95"/>
  <c r="AE1365" i="95"/>
  <c r="AD1365" i="95"/>
  <c r="AC1365" i="95"/>
  <c r="AB1365" i="95"/>
  <c r="AA1365" i="95"/>
  <c r="Z1365" i="95"/>
  <c r="Y1365" i="95"/>
  <c r="X1365" i="95"/>
  <c r="W1365" i="95"/>
  <c r="V1365" i="95"/>
  <c r="U1365" i="95"/>
  <c r="T1365" i="95"/>
  <c r="S1365" i="95"/>
  <c r="R1365" i="95"/>
  <c r="Q1365" i="95"/>
  <c r="P1365" i="95"/>
  <c r="O1365" i="95"/>
  <c r="N1365" i="95"/>
  <c r="M1365" i="95"/>
  <c r="L1365" i="95"/>
  <c r="K1365" i="95"/>
  <c r="J1365" i="95"/>
  <c r="I1365" i="95"/>
  <c r="H1365" i="95"/>
  <c r="G1365" i="95"/>
  <c r="F1365" i="95"/>
  <c r="E1365" i="95"/>
  <c r="D1365" i="95"/>
  <c r="C1365" i="95"/>
  <c r="B1364" i="95"/>
  <c r="B1361" i="95"/>
  <c r="B1358" i="95"/>
  <c r="D1341" i="95"/>
  <c r="E1341" i="95" s="1"/>
  <c r="F1341" i="95" s="1"/>
  <c r="G1341" i="95" s="1"/>
  <c r="H1341" i="95" s="1"/>
  <c r="I1341" i="95" s="1"/>
  <c r="J1341" i="95" s="1"/>
  <c r="K1341" i="95" s="1"/>
  <c r="L1341" i="95" s="1"/>
  <c r="M1341" i="95" s="1"/>
  <c r="N1341" i="95" s="1"/>
  <c r="O1341" i="95" s="1"/>
  <c r="P1341" i="95" s="1"/>
  <c r="Q1341" i="95" s="1"/>
  <c r="R1341" i="95" s="1"/>
  <c r="S1341" i="95" s="1"/>
  <c r="T1341" i="95" s="1"/>
  <c r="U1341" i="95" s="1"/>
  <c r="V1341" i="95" s="1"/>
  <c r="W1341" i="95" s="1"/>
  <c r="X1341" i="95" s="1"/>
  <c r="Y1341" i="95" s="1"/>
  <c r="Z1341" i="95" s="1"/>
  <c r="AA1341" i="95" s="1"/>
  <c r="AB1341" i="95" s="1"/>
  <c r="AC1341" i="95" s="1"/>
  <c r="AD1341" i="95" s="1"/>
  <c r="AE1341" i="95" s="1"/>
  <c r="AF1341" i="95" s="1"/>
  <c r="D1340" i="95"/>
  <c r="E1340" i="95" s="1"/>
  <c r="F1340" i="95" s="1"/>
  <c r="G1340" i="95" s="1"/>
  <c r="H1340" i="95" s="1"/>
  <c r="I1340" i="95" s="1"/>
  <c r="J1340" i="95" s="1"/>
  <c r="K1340" i="95" s="1"/>
  <c r="L1340" i="95" s="1"/>
  <c r="M1340" i="95" s="1"/>
  <c r="N1340" i="95" s="1"/>
  <c r="O1340" i="95" s="1"/>
  <c r="P1340" i="95" s="1"/>
  <c r="Q1340" i="95" s="1"/>
  <c r="R1340" i="95" s="1"/>
  <c r="S1340" i="95" s="1"/>
  <c r="T1340" i="95" s="1"/>
  <c r="U1340" i="95" s="1"/>
  <c r="V1340" i="95" s="1"/>
  <c r="W1340" i="95" s="1"/>
  <c r="X1340" i="95" s="1"/>
  <c r="Y1340" i="95" s="1"/>
  <c r="Z1340" i="95" s="1"/>
  <c r="AA1340" i="95" s="1"/>
  <c r="AB1340" i="95" s="1"/>
  <c r="AC1340" i="95" s="1"/>
  <c r="AD1340" i="95" s="1"/>
  <c r="AE1340" i="95" s="1"/>
  <c r="AF1340" i="95" s="1"/>
  <c r="D1339" i="95"/>
  <c r="E1339" i="95" s="1"/>
  <c r="AF1338" i="95"/>
  <c r="AE1338" i="95"/>
  <c r="AE1377" i="95" s="1"/>
  <c r="AD1338" i="95"/>
  <c r="AD1377" i="95" s="1"/>
  <c r="AC1338" i="95"/>
  <c r="AC1377" i="95" s="1"/>
  <c r="AB1338" i="95"/>
  <c r="AA1338" i="95"/>
  <c r="Z1338" i="95"/>
  <c r="Z1377" i="95" s="1"/>
  <c r="Y1338" i="95"/>
  <c r="Y1377" i="95" s="1"/>
  <c r="X1338" i="95"/>
  <c r="X1377" i="95" s="1"/>
  <c r="W1338" i="95"/>
  <c r="V1338" i="95"/>
  <c r="U1338" i="95"/>
  <c r="T1338" i="95"/>
  <c r="T1377" i="95" s="1"/>
  <c r="S1338" i="95"/>
  <c r="S1377" i="95" s="1"/>
  <c r="R1338" i="95"/>
  <c r="R1377" i="95" s="1"/>
  <c r="Q1338" i="95"/>
  <c r="Q1377" i="95" s="1"/>
  <c r="P1338" i="95"/>
  <c r="O1338" i="95"/>
  <c r="N1338" i="95"/>
  <c r="M1338" i="95"/>
  <c r="M1377" i="95" s="1"/>
  <c r="L1338" i="95"/>
  <c r="L1377" i="95" s="1"/>
  <c r="K1338" i="95"/>
  <c r="J1338" i="95"/>
  <c r="I1338" i="95"/>
  <c r="H1338" i="95"/>
  <c r="G1338" i="95"/>
  <c r="G1377" i="95" s="1"/>
  <c r="F1338" i="95"/>
  <c r="F1377" i="95" s="1"/>
  <c r="E1338" i="95"/>
  <c r="E1377" i="95" s="1"/>
  <c r="D1338" i="95"/>
  <c r="C1338" i="95"/>
  <c r="D1336" i="95"/>
  <c r="E1336" i="95" s="1"/>
  <c r="F1336" i="95" s="1"/>
  <c r="G1336" i="95" s="1"/>
  <c r="H1336" i="95" s="1"/>
  <c r="I1336" i="95" s="1"/>
  <c r="J1336" i="95" s="1"/>
  <c r="K1336" i="95" s="1"/>
  <c r="L1336" i="95" s="1"/>
  <c r="M1336" i="95" s="1"/>
  <c r="N1336" i="95" s="1"/>
  <c r="O1336" i="95" s="1"/>
  <c r="P1336" i="95" s="1"/>
  <c r="Q1336" i="95" s="1"/>
  <c r="R1336" i="95" s="1"/>
  <c r="S1336" i="95" s="1"/>
  <c r="T1336" i="95" s="1"/>
  <c r="U1336" i="95" s="1"/>
  <c r="V1336" i="95" s="1"/>
  <c r="W1336" i="95" s="1"/>
  <c r="X1336" i="95" s="1"/>
  <c r="Y1336" i="95" s="1"/>
  <c r="Z1336" i="95" s="1"/>
  <c r="AA1336" i="95" s="1"/>
  <c r="AB1336" i="95" s="1"/>
  <c r="AC1336" i="95" s="1"/>
  <c r="AD1336" i="95" s="1"/>
  <c r="AE1336" i="95" s="1"/>
  <c r="AF1336" i="95" s="1"/>
  <c r="D1334" i="95"/>
  <c r="E1334" i="95" s="1"/>
  <c r="F1334" i="95" s="1"/>
  <c r="G1334" i="95" s="1"/>
  <c r="H1334" i="95" s="1"/>
  <c r="I1334" i="95" s="1"/>
  <c r="J1334" i="95" s="1"/>
  <c r="K1334" i="95" s="1"/>
  <c r="L1334" i="95" s="1"/>
  <c r="M1334" i="95" s="1"/>
  <c r="N1334" i="95" s="1"/>
  <c r="O1334" i="95" s="1"/>
  <c r="P1334" i="95" s="1"/>
  <c r="Q1334" i="95" s="1"/>
  <c r="R1334" i="95" s="1"/>
  <c r="S1334" i="95" s="1"/>
  <c r="T1334" i="95" s="1"/>
  <c r="U1334" i="95" s="1"/>
  <c r="V1334" i="95" s="1"/>
  <c r="W1334" i="95" s="1"/>
  <c r="X1334" i="95" s="1"/>
  <c r="Y1334" i="95" s="1"/>
  <c r="Z1334" i="95" s="1"/>
  <c r="AA1334" i="95" s="1"/>
  <c r="AB1334" i="95" s="1"/>
  <c r="AC1334" i="95" s="1"/>
  <c r="AD1334" i="95" s="1"/>
  <c r="AE1334" i="95" s="1"/>
  <c r="AF1334" i="95" s="1"/>
  <c r="D1333" i="95"/>
  <c r="E1333" i="95" s="1"/>
  <c r="AF1332" i="95"/>
  <c r="AE1332" i="95"/>
  <c r="AD1332" i="95"/>
  <c r="AC1332" i="95"/>
  <c r="AC1374" i="95" s="1"/>
  <c r="AB1332" i="95"/>
  <c r="AB1374" i="95" s="1"/>
  <c r="AA1332" i="95"/>
  <c r="Z1332" i="95"/>
  <c r="Z1374" i="95" s="1"/>
  <c r="Y1332" i="95"/>
  <c r="X1332" i="95"/>
  <c r="X1374" i="95" s="1"/>
  <c r="W1332" i="95"/>
  <c r="W1374" i="95" s="1"/>
  <c r="V1332" i="95"/>
  <c r="U1332" i="95"/>
  <c r="T1332" i="95"/>
  <c r="S1332" i="95"/>
  <c r="R1332" i="95"/>
  <c r="Q1332" i="95"/>
  <c r="Q1374" i="95" s="1"/>
  <c r="P1332" i="95"/>
  <c r="P1374" i="95" s="1"/>
  <c r="O1332" i="95"/>
  <c r="O1374" i="95" s="1"/>
  <c r="N1332" i="95"/>
  <c r="N1374" i="95" s="1"/>
  <c r="M1332" i="95"/>
  <c r="M1374" i="95" s="1"/>
  <c r="L1332" i="95"/>
  <c r="L1374" i="95" s="1"/>
  <c r="K1332" i="95"/>
  <c r="K1374" i="95" s="1"/>
  <c r="J1332" i="95"/>
  <c r="J1374" i="95" s="1"/>
  <c r="I1332" i="95"/>
  <c r="H1332" i="95"/>
  <c r="H1374" i="95" s="1"/>
  <c r="G1332" i="95"/>
  <c r="G1374" i="95" s="1"/>
  <c r="F1332" i="95"/>
  <c r="E1332" i="95"/>
  <c r="E1374" i="95" s="1"/>
  <c r="D1332" i="95"/>
  <c r="C1332" i="95"/>
  <c r="D1330" i="95"/>
  <c r="E1330" i="95" s="1"/>
  <c r="F1330" i="95" s="1"/>
  <c r="G1330" i="95" s="1"/>
  <c r="H1330" i="95" s="1"/>
  <c r="I1330" i="95" s="1"/>
  <c r="J1330" i="95" s="1"/>
  <c r="K1330" i="95" s="1"/>
  <c r="L1330" i="95" s="1"/>
  <c r="M1330" i="95" s="1"/>
  <c r="N1330" i="95" s="1"/>
  <c r="O1330" i="95" s="1"/>
  <c r="P1330" i="95" s="1"/>
  <c r="Q1330" i="95" s="1"/>
  <c r="R1330" i="95" s="1"/>
  <c r="S1330" i="95" s="1"/>
  <c r="T1330" i="95" s="1"/>
  <c r="U1330" i="95" s="1"/>
  <c r="V1330" i="95" s="1"/>
  <c r="W1330" i="95" s="1"/>
  <c r="X1330" i="95" s="1"/>
  <c r="Y1330" i="95" s="1"/>
  <c r="Z1330" i="95" s="1"/>
  <c r="AA1330" i="95" s="1"/>
  <c r="AB1330" i="95" s="1"/>
  <c r="AC1330" i="95" s="1"/>
  <c r="AD1330" i="95" s="1"/>
  <c r="AE1330" i="95" s="1"/>
  <c r="AF1330" i="95" s="1"/>
  <c r="D1328" i="95"/>
  <c r="E1328" i="95" s="1"/>
  <c r="F1328" i="95" s="1"/>
  <c r="G1328" i="95" s="1"/>
  <c r="H1328" i="95" s="1"/>
  <c r="I1328" i="95" s="1"/>
  <c r="J1328" i="95" s="1"/>
  <c r="K1328" i="95" s="1"/>
  <c r="L1328" i="95" s="1"/>
  <c r="M1328" i="95" s="1"/>
  <c r="N1328" i="95" s="1"/>
  <c r="O1328" i="95" s="1"/>
  <c r="P1328" i="95" s="1"/>
  <c r="Q1328" i="95" s="1"/>
  <c r="R1328" i="95" s="1"/>
  <c r="S1328" i="95" s="1"/>
  <c r="T1328" i="95" s="1"/>
  <c r="U1328" i="95" s="1"/>
  <c r="V1328" i="95" s="1"/>
  <c r="W1328" i="95" s="1"/>
  <c r="X1328" i="95" s="1"/>
  <c r="Y1328" i="95" s="1"/>
  <c r="Z1328" i="95" s="1"/>
  <c r="AA1328" i="95" s="1"/>
  <c r="AB1328" i="95" s="1"/>
  <c r="AC1328" i="95" s="1"/>
  <c r="AD1328" i="95" s="1"/>
  <c r="AE1328" i="95" s="1"/>
  <c r="AF1328" i="95" s="1"/>
  <c r="D1327" i="95"/>
  <c r="AF1326" i="95"/>
  <c r="AE1326" i="95"/>
  <c r="AE1371" i="95" s="1"/>
  <c r="AD1326" i="95"/>
  <c r="AD1371" i="95" s="1"/>
  <c r="AC1326" i="95"/>
  <c r="AB1326" i="95"/>
  <c r="AB1371" i="95" s="1"/>
  <c r="AA1326" i="95"/>
  <c r="AA1371" i="95" s="1"/>
  <c r="Z1326" i="95"/>
  <c r="Z1371" i="95" s="1"/>
  <c r="Y1326" i="95"/>
  <c r="X1326" i="95"/>
  <c r="W1326" i="95"/>
  <c r="V1326" i="95"/>
  <c r="U1326" i="95"/>
  <c r="T1326" i="95"/>
  <c r="S1326" i="95"/>
  <c r="S1371" i="95" s="1"/>
  <c r="R1326" i="95"/>
  <c r="R1371" i="95" s="1"/>
  <c r="Q1326" i="95"/>
  <c r="Q1371" i="95" s="1"/>
  <c r="P1326" i="95"/>
  <c r="P1371" i="95" s="1"/>
  <c r="O1326" i="95"/>
  <c r="O1371" i="95" s="1"/>
  <c r="N1326" i="95"/>
  <c r="N1371" i="95" s="1"/>
  <c r="M1326" i="95"/>
  <c r="L1326" i="95"/>
  <c r="K1326" i="95"/>
  <c r="K1371" i="95" s="1"/>
  <c r="J1326" i="95"/>
  <c r="J1371" i="95" s="1"/>
  <c r="I1326" i="95"/>
  <c r="H1326" i="95"/>
  <c r="H1371" i="95" s="1"/>
  <c r="G1326" i="95"/>
  <c r="G1371" i="95" s="1"/>
  <c r="F1326" i="95"/>
  <c r="E1326" i="95"/>
  <c r="D1326" i="95"/>
  <c r="D1371" i="95" s="1"/>
  <c r="C1326" i="95"/>
  <c r="C1371" i="95" s="1"/>
  <c r="D1324" i="95"/>
  <c r="E1324" i="95" s="1"/>
  <c r="F1324" i="95" s="1"/>
  <c r="G1324" i="95" s="1"/>
  <c r="H1324" i="95" s="1"/>
  <c r="I1324" i="95" s="1"/>
  <c r="J1324" i="95" s="1"/>
  <c r="K1324" i="95" s="1"/>
  <c r="L1324" i="95" s="1"/>
  <c r="M1324" i="95" s="1"/>
  <c r="N1324" i="95" s="1"/>
  <c r="O1324" i="95" s="1"/>
  <c r="P1324" i="95" s="1"/>
  <c r="Q1324" i="95" s="1"/>
  <c r="R1324" i="95" s="1"/>
  <c r="S1324" i="95" s="1"/>
  <c r="T1324" i="95" s="1"/>
  <c r="U1324" i="95" s="1"/>
  <c r="V1324" i="95" s="1"/>
  <c r="W1324" i="95" s="1"/>
  <c r="X1324" i="95" s="1"/>
  <c r="Y1324" i="95" s="1"/>
  <c r="Z1324" i="95" s="1"/>
  <c r="AA1324" i="95" s="1"/>
  <c r="AB1324" i="95" s="1"/>
  <c r="AC1324" i="95" s="1"/>
  <c r="AD1324" i="95" s="1"/>
  <c r="AE1324" i="95" s="1"/>
  <c r="AF1324" i="95" s="1"/>
  <c r="D1322" i="95"/>
  <c r="E1322" i="95" s="1"/>
  <c r="F1322" i="95" s="1"/>
  <c r="G1322" i="95" s="1"/>
  <c r="H1322" i="95" s="1"/>
  <c r="I1322" i="95" s="1"/>
  <c r="J1322" i="95" s="1"/>
  <c r="K1322" i="95" s="1"/>
  <c r="L1322" i="95" s="1"/>
  <c r="M1322" i="95" s="1"/>
  <c r="N1322" i="95" s="1"/>
  <c r="O1322" i="95" s="1"/>
  <c r="P1322" i="95" s="1"/>
  <c r="Q1322" i="95" s="1"/>
  <c r="R1322" i="95" s="1"/>
  <c r="S1322" i="95" s="1"/>
  <c r="T1322" i="95" s="1"/>
  <c r="U1322" i="95" s="1"/>
  <c r="V1322" i="95" s="1"/>
  <c r="W1322" i="95" s="1"/>
  <c r="X1322" i="95" s="1"/>
  <c r="Y1322" i="95" s="1"/>
  <c r="Z1322" i="95" s="1"/>
  <c r="AA1322" i="95" s="1"/>
  <c r="AB1322" i="95" s="1"/>
  <c r="AC1322" i="95" s="1"/>
  <c r="AD1322" i="95" s="1"/>
  <c r="AE1322" i="95" s="1"/>
  <c r="AF1322" i="95" s="1"/>
  <c r="AF1320" i="95"/>
  <c r="AE1320" i="95"/>
  <c r="AD1320" i="95"/>
  <c r="AC1320" i="95"/>
  <c r="AB1320" i="95"/>
  <c r="AA1320" i="95"/>
  <c r="Z1320" i="95"/>
  <c r="Y1320" i="95"/>
  <c r="X1320" i="95"/>
  <c r="W1320" i="95"/>
  <c r="V1320" i="95"/>
  <c r="U1320" i="95"/>
  <c r="T1320" i="95"/>
  <c r="S1320" i="95"/>
  <c r="R1320" i="95"/>
  <c r="Q1320" i="95"/>
  <c r="P1320" i="95"/>
  <c r="O1320" i="95"/>
  <c r="N1320" i="95"/>
  <c r="M1320" i="95"/>
  <c r="L1320" i="95"/>
  <c r="K1320" i="95"/>
  <c r="J1320" i="95"/>
  <c r="I1320" i="95"/>
  <c r="H1320" i="95"/>
  <c r="G1320" i="95"/>
  <c r="F1320" i="95"/>
  <c r="E1320" i="95"/>
  <c r="D1320" i="95"/>
  <c r="C1320" i="95"/>
  <c r="B1319" i="95"/>
  <c r="D1318" i="95"/>
  <c r="E1318" i="95" s="1"/>
  <c r="F1318" i="95" s="1"/>
  <c r="G1318" i="95" s="1"/>
  <c r="H1318" i="95" s="1"/>
  <c r="I1318" i="95" s="1"/>
  <c r="J1318" i="95" s="1"/>
  <c r="K1318" i="95" s="1"/>
  <c r="L1318" i="95" s="1"/>
  <c r="M1318" i="95" s="1"/>
  <c r="N1318" i="95" s="1"/>
  <c r="O1318" i="95" s="1"/>
  <c r="P1318" i="95" s="1"/>
  <c r="Q1318" i="95" s="1"/>
  <c r="R1318" i="95" s="1"/>
  <c r="S1318" i="95" s="1"/>
  <c r="T1318" i="95" s="1"/>
  <c r="U1318" i="95" s="1"/>
  <c r="V1318" i="95" s="1"/>
  <c r="W1318" i="95" s="1"/>
  <c r="X1318" i="95" s="1"/>
  <c r="Y1318" i="95" s="1"/>
  <c r="Z1318" i="95" s="1"/>
  <c r="AA1318" i="95" s="1"/>
  <c r="AB1318" i="95" s="1"/>
  <c r="AC1318" i="95" s="1"/>
  <c r="AD1318" i="95" s="1"/>
  <c r="AE1318" i="95" s="1"/>
  <c r="AF1318" i="95" s="1"/>
  <c r="D1316" i="95"/>
  <c r="E1316" i="95" s="1"/>
  <c r="F1316" i="95" s="1"/>
  <c r="G1316" i="95" s="1"/>
  <c r="H1316" i="95" s="1"/>
  <c r="I1316" i="95" s="1"/>
  <c r="J1316" i="95" s="1"/>
  <c r="K1316" i="95" s="1"/>
  <c r="L1316" i="95" s="1"/>
  <c r="M1316" i="95" s="1"/>
  <c r="N1316" i="95" s="1"/>
  <c r="O1316" i="95" s="1"/>
  <c r="P1316" i="95" s="1"/>
  <c r="Q1316" i="95" s="1"/>
  <c r="R1316" i="95" s="1"/>
  <c r="S1316" i="95" s="1"/>
  <c r="T1316" i="95" s="1"/>
  <c r="U1316" i="95" s="1"/>
  <c r="V1316" i="95" s="1"/>
  <c r="W1316" i="95" s="1"/>
  <c r="X1316" i="95" s="1"/>
  <c r="Y1316" i="95" s="1"/>
  <c r="Z1316" i="95" s="1"/>
  <c r="AA1316" i="95" s="1"/>
  <c r="AB1316" i="95" s="1"/>
  <c r="AC1316" i="95" s="1"/>
  <c r="AD1316" i="95" s="1"/>
  <c r="AE1316" i="95" s="1"/>
  <c r="AF1316" i="95" s="1"/>
  <c r="AF1314" i="95"/>
  <c r="AE1314" i="95"/>
  <c r="AD1314" i="95"/>
  <c r="AC1314" i="95"/>
  <c r="AB1314" i="95"/>
  <c r="AA1314" i="95"/>
  <c r="Z1314" i="95"/>
  <c r="Y1314" i="95"/>
  <c r="X1314" i="95"/>
  <c r="W1314" i="95"/>
  <c r="V1314" i="95"/>
  <c r="U1314" i="95"/>
  <c r="T1314" i="95"/>
  <c r="S1314" i="95"/>
  <c r="R1314" i="95"/>
  <c r="Q1314" i="95"/>
  <c r="P1314" i="95"/>
  <c r="O1314" i="95"/>
  <c r="N1314" i="95"/>
  <c r="M1314" i="95"/>
  <c r="L1314" i="95"/>
  <c r="K1314" i="95"/>
  <c r="J1314" i="95"/>
  <c r="I1314" i="95"/>
  <c r="H1314" i="95"/>
  <c r="G1314" i="95"/>
  <c r="F1314" i="95"/>
  <c r="E1314" i="95"/>
  <c r="D1314" i="95"/>
  <c r="C1314" i="95"/>
  <c r="B1313" i="95"/>
  <c r="D1312" i="95"/>
  <c r="E1312" i="95" s="1"/>
  <c r="F1312" i="95" s="1"/>
  <c r="G1312" i="95" s="1"/>
  <c r="H1312" i="95" s="1"/>
  <c r="I1312" i="95" s="1"/>
  <c r="J1312" i="95" s="1"/>
  <c r="K1312" i="95" s="1"/>
  <c r="L1312" i="95" s="1"/>
  <c r="M1312" i="95" s="1"/>
  <c r="N1312" i="95" s="1"/>
  <c r="O1312" i="95" s="1"/>
  <c r="P1312" i="95" s="1"/>
  <c r="Q1312" i="95" s="1"/>
  <c r="R1312" i="95" s="1"/>
  <c r="S1312" i="95" s="1"/>
  <c r="T1312" i="95" s="1"/>
  <c r="U1312" i="95" s="1"/>
  <c r="V1312" i="95" s="1"/>
  <c r="W1312" i="95" s="1"/>
  <c r="X1312" i="95" s="1"/>
  <c r="Y1312" i="95" s="1"/>
  <c r="Z1312" i="95" s="1"/>
  <c r="AA1312" i="95" s="1"/>
  <c r="AB1312" i="95" s="1"/>
  <c r="AC1312" i="95" s="1"/>
  <c r="AD1312" i="95" s="1"/>
  <c r="AE1312" i="95" s="1"/>
  <c r="AF1312" i="95" s="1"/>
  <c r="D1310" i="95"/>
  <c r="E1310" i="95" s="1"/>
  <c r="F1310" i="95" s="1"/>
  <c r="G1310" i="95" s="1"/>
  <c r="H1310" i="95" s="1"/>
  <c r="I1310" i="95" s="1"/>
  <c r="J1310" i="95" s="1"/>
  <c r="K1310" i="95" s="1"/>
  <c r="L1310" i="95" s="1"/>
  <c r="M1310" i="95" s="1"/>
  <c r="N1310" i="95" s="1"/>
  <c r="O1310" i="95" s="1"/>
  <c r="P1310" i="95" s="1"/>
  <c r="Q1310" i="95" s="1"/>
  <c r="R1310" i="95" s="1"/>
  <c r="S1310" i="95" s="1"/>
  <c r="T1310" i="95" s="1"/>
  <c r="U1310" i="95" s="1"/>
  <c r="V1310" i="95" s="1"/>
  <c r="W1310" i="95" s="1"/>
  <c r="X1310" i="95" s="1"/>
  <c r="Y1310" i="95" s="1"/>
  <c r="Z1310" i="95" s="1"/>
  <c r="AA1310" i="95" s="1"/>
  <c r="AB1310" i="95" s="1"/>
  <c r="AC1310" i="95" s="1"/>
  <c r="AD1310" i="95" s="1"/>
  <c r="AE1310" i="95" s="1"/>
  <c r="AF1310" i="95" s="1"/>
  <c r="D1309" i="95"/>
  <c r="E1309" i="95" s="1"/>
  <c r="AF1308" i="95"/>
  <c r="AE1308" i="95"/>
  <c r="AD1308" i="95"/>
  <c r="AD1362" i="95" s="1"/>
  <c r="AC1308" i="95"/>
  <c r="AC1362" i="95" s="1"/>
  <c r="AB1308" i="95"/>
  <c r="AB1362" i="95" s="1"/>
  <c r="AA1308" i="95"/>
  <c r="Z1308" i="95"/>
  <c r="Z1362" i="95" s="1"/>
  <c r="Y1308" i="95"/>
  <c r="Y1362" i="95" s="1"/>
  <c r="X1308" i="95"/>
  <c r="W1308" i="95"/>
  <c r="W1362" i="95" s="1"/>
  <c r="V1308" i="95"/>
  <c r="U1308" i="95"/>
  <c r="U1362" i="95" s="1"/>
  <c r="T1308" i="95"/>
  <c r="T1362" i="95" s="1"/>
  <c r="S1308" i="95"/>
  <c r="S1362" i="95" s="1"/>
  <c r="R1308" i="95"/>
  <c r="R1362" i="95" s="1"/>
  <c r="Q1308" i="95"/>
  <c r="Q1362" i="95" s="1"/>
  <c r="P1308" i="95"/>
  <c r="O1308" i="95"/>
  <c r="N1308" i="95"/>
  <c r="N1362" i="95" s="1"/>
  <c r="M1308" i="95"/>
  <c r="M1362" i="95" s="1"/>
  <c r="L1308" i="95"/>
  <c r="K1308" i="95"/>
  <c r="J1308" i="95"/>
  <c r="J1362" i="95" s="1"/>
  <c r="I1308" i="95"/>
  <c r="I1362" i="95" s="1"/>
  <c r="H1308" i="95"/>
  <c r="H1362" i="95" s="1"/>
  <c r="G1308" i="95"/>
  <c r="G1362" i="95" s="1"/>
  <c r="F1308" i="95"/>
  <c r="F1362" i="95" s="1"/>
  <c r="E1308" i="95"/>
  <c r="E1362" i="95" s="1"/>
  <c r="D1308" i="95"/>
  <c r="C1308" i="95"/>
  <c r="B1307" i="95"/>
  <c r="D1306" i="95"/>
  <c r="E1306" i="95" s="1"/>
  <c r="F1306" i="95" s="1"/>
  <c r="G1306" i="95" s="1"/>
  <c r="H1306" i="95" s="1"/>
  <c r="I1306" i="95" s="1"/>
  <c r="J1306" i="95" s="1"/>
  <c r="K1306" i="95" s="1"/>
  <c r="L1306" i="95" s="1"/>
  <c r="M1306" i="95" s="1"/>
  <c r="N1306" i="95" s="1"/>
  <c r="O1306" i="95" s="1"/>
  <c r="P1306" i="95" s="1"/>
  <c r="Q1306" i="95" s="1"/>
  <c r="R1306" i="95" s="1"/>
  <c r="S1306" i="95" s="1"/>
  <c r="T1306" i="95" s="1"/>
  <c r="U1306" i="95" s="1"/>
  <c r="V1306" i="95" s="1"/>
  <c r="W1306" i="95" s="1"/>
  <c r="X1306" i="95" s="1"/>
  <c r="Y1306" i="95" s="1"/>
  <c r="Z1306" i="95" s="1"/>
  <c r="AA1306" i="95" s="1"/>
  <c r="AB1306" i="95" s="1"/>
  <c r="AC1306" i="95" s="1"/>
  <c r="AD1306" i="95" s="1"/>
  <c r="AE1306" i="95" s="1"/>
  <c r="AF1306" i="95" s="1"/>
  <c r="D1304" i="95"/>
  <c r="E1304" i="95" s="1"/>
  <c r="F1304" i="95" s="1"/>
  <c r="G1304" i="95" s="1"/>
  <c r="H1304" i="95" s="1"/>
  <c r="I1304" i="95" s="1"/>
  <c r="J1304" i="95" s="1"/>
  <c r="K1304" i="95" s="1"/>
  <c r="L1304" i="95" s="1"/>
  <c r="M1304" i="95" s="1"/>
  <c r="N1304" i="95" s="1"/>
  <c r="O1304" i="95" s="1"/>
  <c r="P1304" i="95" s="1"/>
  <c r="Q1304" i="95" s="1"/>
  <c r="R1304" i="95" s="1"/>
  <c r="S1304" i="95" s="1"/>
  <c r="T1304" i="95" s="1"/>
  <c r="U1304" i="95" s="1"/>
  <c r="V1304" i="95" s="1"/>
  <c r="W1304" i="95" s="1"/>
  <c r="X1304" i="95" s="1"/>
  <c r="Y1304" i="95" s="1"/>
  <c r="Z1304" i="95" s="1"/>
  <c r="AA1304" i="95" s="1"/>
  <c r="AB1304" i="95" s="1"/>
  <c r="AC1304" i="95" s="1"/>
  <c r="AD1304" i="95" s="1"/>
  <c r="AE1304" i="95" s="1"/>
  <c r="AF1304" i="95" s="1"/>
  <c r="AF1302" i="95"/>
  <c r="AF1359" i="95" s="1"/>
  <c r="AE1302" i="95"/>
  <c r="AE1359" i="95" s="1"/>
  <c r="AD1302" i="95"/>
  <c r="AD1359" i="95" s="1"/>
  <c r="AC1302" i="95"/>
  <c r="AB1302" i="95"/>
  <c r="AB1359" i="95" s="1"/>
  <c r="AA1302" i="95"/>
  <c r="AA1359" i="95" s="1"/>
  <c r="Z1302" i="95"/>
  <c r="Y1302" i="95"/>
  <c r="X1302" i="95"/>
  <c r="W1302" i="95"/>
  <c r="W1359" i="95" s="1"/>
  <c r="V1302" i="95"/>
  <c r="V1359" i="95" s="1"/>
  <c r="U1302" i="95"/>
  <c r="T1302" i="95"/>
  <c r="S1302" i="95"/>
  <c r="S1359" i="95" s="1"/>
  <c r="R1302" i="95"/>
  <c r="R1359" i="95" s="1"/>
  <c r="Q1302" i="95"/>
  <c r="P1302" i="95"/>
  <c r="P1359" i="95" s="1"/>
  <c r="O1302" i="95"/>
  <c r="O1359" i="95" s="1"/>
  <c r="N1302" i="95"/>
  <c r="N1359" i="95" s="1"/>
  <c r="M1302" i="95"/>
  <c r="L1302" i="95"/>
  <c r="K1302" i="95"/>
  <c r="K1359" i="95" s="1"/>
  <c r="J1302" i="95"/>
  <c r="J1359" i="95" s="1"/>
  <c r="I1302" i="95"/>
  <c r="H1302" i="95"/>
  <c r="G1302" i="95"/>
  <c r="G1359" i="95" s="1"/>
  <c r="F1302" i="95"/>
  <c r="F1359" i="95" s="1"/>
  <c r="E1302" i="95"/>
  <c r="E1359" i="95" s="1"/>
  <c r="D1302" i="95"/>
  <c r="D1359" i="95" s="1"/>
  <c r="C1302" i="95"/>
  <c r="C1359" i="95" s="1"/>
  <c r="B1301" i="95"/>
  <c r="D1299" i="95"/>
  <c r="E1299" i="95" s="1"/>
  <c r="F1299" i="95" s="1"/>
  <c r="G1299" i="95" s="1"/>
  <c r="H1299" i="95" s="1"/>
  <c r="I1299" i="95" s="1"/>
  <c r="J1299" i="95" s="1"/>
  <c r="K1299" i="95" s="1"/>
  <c r="L1299" i="95" s="1"/>
  <c r="M1299" i="95" s="1"/>
  <c r="N1299" i="95" s="1"/>
  <c r="O1299" i="95" s="1"/>
  <c r="P1299" i="95" s="1"/>
  <c r="Q1299" i="95" s="1"/>
  <c r="R1299" i="95" s="1"/>
  <c r="S1299" i="95" s="1"/>
  <c r="T1299" i="95" s="1"/>
  <c r="U1299" i="95" s="1"/>
  <c r="V1299" i="95" s="1"/>
  <c r="W1299" i="95" s="1"/>
  <c r="X1299" i="95" s="1"/>
  <c r="Y1299" i="95" s="1"/>
  <c r="Z1299" i="95" s="1"/>
  <c r="AA1299" i="95" s="1"/>
  <c r="AB1299" i="95" s="1"/>
  <c r="AC1299" i="95" s="1"/>
  <c r="AD1299" i="95" s="1"/>
  <c r="AE1299" i="95" s="1"/>
  <c r="AF1299" i="95" s="1"/>
  <c r="D1297" i="95"/>
  <c r="E1297" i="95" s="1"/>
  <c r="F1297" i="95" s="1"/>
  <c r="D1296" i="95"/>
  <c r="E1296" i="95" s="1"/>
  <c r="F1296" i="95" s="1"/>
  <c r="G1296" i="95" s="1"/>
  <c r="H1296" i="95" s="1"/>
  <c r="I1296" i="95" s="1"/>
  <c r="AF1295" i="95"/>
  <c r="AE1295" i="95"/>
  <c r="AD1295" i="95"/>
  <c r="AD1355" i="95" s="1"/>
  <c r="AC1295" i="95"/>
  <c r="AC1355" i="95" s="1"/>
  <c r="AB1295" i="95"/>
  <c r="AA1295" i="95"/>
  <c r="Z1295" i="95"/>
  <c r="Z1355" i="95" s="1"/>
  <c r="Y1295" i="95"/>
  <c r="Y1355" i="95" s="1"/>
  <c r="X1295" i="95"/>
  <c r="W1295" i="95"/>
  <c r="W1355" i="95" s="1"/>
  <c r="V1295" i="95"/>
  <c r="V1355" i="95" s="1"/>
  <c r="U1295" i="95"/>
  <c r="T1295" i="95"/>
  <c r="T1355" i="95" s="1"/>
  <c r="S1295" i="95"/>
  <c r="R1295" i="95"/>
  <c r="R1355" i="95" s="1"/>
  <c r="Q1295" i="95"/>
  <c r="Q1355" i="95" s="1"/>
  <c r="P1295" i="95"/>
  <c r="P1355" i="95" s="1"/>
  <c r="O1295" i="95"/>
  <c r="O1355" i="95" s="1"/>
  <c r="N1295" i="95"/>
  <c r="N1355" i="95" s="1"/>
  <c r="M1295" i="95"/>
  <c r="M1355" i="95" s="1"/>
  <c r="L1295" i="95"/>
  <c r="L1355" i="95" s="1"/>
  <c r="K1295" i="95"/>
  <c r="K1355" i="95" s="1"/>
  <c r="J1295" i="95"/>
  <c r="J1355" i="95" s="1"/>
  <c r="I1295" i="95"/>
  <c r="I1355" i="95" s="1"/>
  <c r="H1295" i="95"/>
  <c r="G1295" i="95"/>
  <c r="F1295" i="95"/>
  <c r="F1355" i="95" s="1"/>
  <c r="E1295" i="95"/>
  <c r="E1355" i="95" s="1"/>
  <c r="D1295" i="95"/>
  <c r="C1295" i="95"/>
  <c r="D1292" i="95"/>
  <c r="E1292" i="95" s="1"/>
  <c r="F1292" i="95" s="1"/>
  <c r="G1292" i="95" s="1"/>
  <c r="H1292" i="95" s="1"/>
  <c r="I1292" i="95" s="1"/>
  <c r="J1292" i="95" s="1"/>
  <c r="K1292" i="95" s="1"/>
  <c r="L1292" i="95" s="1"/>
  <c r="M1292" i="95" s="1"/>
  <c r="N1292" i="95" s="1"/>
  <c r="O1292" i="95" s="1"/>
  <c r="P1292" i="95" s="1"/>
  <c r="Q1292" i="95" s="1"/>
  <c r="R1292" i="95" s="1"/>
  <c r="S1292" i="95" s="1"/>
  <c r="T1292" i="95" s="1"/>
  <c r="U1292" i="95" s="1"/>
  <c r="V1292" i="95" s="1"/>
  <c r="W1292" i="95" s="1"/>
  <c r="X1292" i="95" s="1"/>
  <c r="Y1292" i="95" s="1"/>
  <c r="Z1292" i="95" s="1"/>
  <c r="AA1292" i="95" s="1"/>
  <c r="AB1292" i="95" s="1"/>
  <c r="AC1292" i="95" s="1"/>
  <c r="AD1292" i="95" s="1"/>
  <c r="AE1292" i="95" s="1"/>
  <c r="AF1292" i="95" s="1"/>
  <c r="D1290" i="95"/>
  <c r="E1290" i="95" s="1"/>
  <c r="F1290" i="95" s="1"/>
  <c r="G1290" i="95" s="1"/>
  <c r="H1290" i="95" s="1"/>
  <c r="I1290" i="95" s="1"/>
  <c r="J1290" i="95" s="1"/>
  <c r="K1290" i="95" s="1"/>
  <c r="L1290" i="95" s="1"/>
  <c r="M1290" i="95" s="1"/>
  <c r="N1290" i="95" s="1"/>
  <c r="O1290" i="95" s="1"/>
  <c r="P1290" i="95" s="1"/>
  <c r="Q1290" i="95" s="1"/>
  <c r="R1290" i="95" s="1"/>
  <c r="S1290" i="95" s="1"/>
  <c r="T1290" i="95" s="1"/>
  <c r="U1290" i="95" s="1"/>
  <c r="V1290" i="95" s="1"/>
  <c r="W1290" i="95" s="1"/>
  <c r="X1290" i="95" s="1"/>
  <c r="Y1290" i="95" s="1"/>
  <c r="Z1290" i="95" s="1"/>
  <c r="AA1290" i="95" s="1"/>
  <c r="AB1290" i="95" s="1"/>
  <c r="AC1290" i="95" s="1"/>
  <c r="AD1290" i="95" s="1"/>
  <c r="AE1290" i="95" s="1"/>
  <c r="AF1290" i="95" s="1"/>
  <c r="D1289" i="95"/>
  <c r="E1289" i="95" s="1"/>
  <c r="AF1288" i="95"/>
  <c r="AF1351" i="95" s="1"/>
  <c r="AE1288" i="95"/>
  <c r="AE1351" i="95" s="1"/>
  <c r="AD1288" i="95"/>
  <c r="AD1351" i="95" s="1"/>
  <c r="AC1288" i="95"/>
  <c r="AB1288" i="95"/>
  <c r="AA1288" i="95"/>
  <c r="AA1351" i="95" s="1"/>
  <c r="Z1288" i="95"/>
  <c r="Y1288" i="95"/>
  <c r="X1288" i="95"/>
  <c r="X1351" i="95" s="1"/>
  <c r="W1288" i="95"/>
  <c r="W1351" i="95" s="1"/>
  <c r="V1288" i="95"/>
  <c r="V1351" i="95" s="1"/>
  <c r="U1288" i="95"/>
  <c r="U1351" i="95" s="1"/>
  <c r="T1288" i="95"/>
  <c r="T1351" i="95" s="1"/>
  <c r="S1288" i="95"/>
  <c r="S1351" i="95" s="1"/>
  <c r="R1288" i="95"/>
  <c r="R1351" i="95" s="1"/>
  <c r="Q1288" i="95"/>
  <c r="Q1351" i="95" s="1"/>
  <c r="P1288" i="95"/>
  <c r="O1288" i="95"/>
  <c r="N1288" i="95"/>
  <c r="M1288" i="95"/>
  <c r="L1288" i="95"/>
  <c r="L1351" i="95" s="1"/>
  <c r="K1288" i="95"/>
  <c r="K1351" i="95" s="1"/>
  <c r="J1288" i="95"/>
  <c r="I1288" i="95"/>
  <c r="H1288" i="95"/>
  <c r="H1351" i="95" s="1"/>
  <c r="G1288" i="95"/>
  <c r="G1351" i="95" s="1"/>
  <c r="F1288" i="95"/>
  <c r="F1351" i="95" s="1"/>
  <c r="E1288" i="95"/>
  <c r="D1288" i="95"/>
  <c r="D1351" i="95" s="1"/>
  <c r="C1288" i="95"/>
  <c r="AG1285" i="95"/>
  <c r="D1284" i="95"/>
  <c r="E1284" i="95" s="1"/>
  <c r="F1284" i="95" s="1"/>
  <c r="G1284" i="95" s="1"/>
  <c r="H1284" i="95" s="1"/>
  <c r="I1284" i="95" s="1"/>
  <c r="J1284" i="95" s="1"/>
  <c r="K1284" i="95" s="1"/>
  <c r="L1284" i="95" s="1"/>
  <c r="M1284" i="95" s="1"/>
  <c r="N1284" i="95" s="1"/>
  <c r="O1284" i="95" s="1"/>
  <c r="P1284" i="95" s="1"/>
  <c r="Q1284" i="95" s="1"/>
  <c r="R1284" i="95" s="1"/>
  <c r="S1284" i="95" s="1"/>
  <c r="T1284" i="95" s="1"/>
  <c r="U1284" i="95" s="1"/>
  <c r="V1284" i="95" s="1"/>
  <c r="W1284" i="95" s="1"/>
  <c r="X1284" i="95" s="1"/>
  <c r="Y1284" i="95" s="1"/>
  <c r="Z1284" i="95" s="1"/>
  <c r="AA1284" i="95" s="1"/>
  <c r="AB1284" i="95" s="1"/>
  <c r="AC1284" i="95" s="1"/>
  <c r="AD1284" i="95" s="1"/>
  <c r="AE1284" i="95" s="1"/>
  <c r="AF1284" i="95" s="1"/>
  <c r="D1277" i="95"/>
  <c r="D1275" i="95" s="1"/>
  <c r="D1273" i="95"/>
  <c r="E1273" i="95" s="1"/>
  <c r="F1273" i="95" s="1"/>
  <c r="G1273" i="95" s="1"/>
  <c r="H1273" i="95" s="1"/>
  <c r="I1273" i="95" s="1"/>
  <c r="J1273" i="95" s="1"/>
  <c r="K1273" i="95" s="1"/>
  <c r="L1273" i="95" s="1"/>
  <c r="M1273" i="95" s="1"/>
  <c r="N1273" i="95" s="1"/>
  <c r="O1273" i="95" s="1"/>
  <c r="P1273" i="95" s="1"/>
  <c r="Q1273" i="95" s="1"/>
  <c r="R1273" i="95" s="1"/>
  <c r="S1273" i="95" s="1"/>
  <c r="T1273" i="95" s="1"/>
  <c r="U1273" i="95" s="1"/>
  <c r="V1273" i="95" s="1"/>
  <c r="W1273" i="95" s="1"/>
  <c r="X1273" i="95" s="1"/>
  <c r="Y1273" i="95" s="1"/>
  <c r="Z1273" i="95" s="1"/>
  <c r="AA1273" i="95" s="1"/>
  <c r="AB1273" i="95" s="1"/>
  <c r="AC1273" i="95" s="1"/>
  <c r="AD1273" i="95" s="1"/>
  <c r="AE1273" i="95" s="1"/>
  <c r="AF1273" i="95" s="1"/>
  <c r="D1270" i="95"/>
  <c r="E1270" i="95" s="1"/>
  <c r="D1267" i="95"/>
  <c r="E1267" i="95" s="1"/>
  <c r="F1267" i="95" s="1"/>
  <c r="G1267" i="95" s="1"/>
  <c r="H1267" i="95" s="1"/>
  <c r="I1267" i="95" s="1"/>
  <c r="J1267" i="95" s="1"/>
  <c r="K1267" i="95" s="1"/>
  <c r="L1267" i="95" s="1"/>
  <c r="M1267" i="95" s="1"/>
  <c r="N1267" i="95" s="1"/>
  <c r="O1267" i="95" s="1"/>
  <c r="P1267" i="95" s="1"/>
  <c r="Q1267" i="95" s="1"/>
  <c r="R1267" i="95" s="1"/>
  <c r="S1267" i="95" s="1"/>
  <c r="T1267" i="95" s="1"/>
  <c r="U1267" i="95" s="1"/>
  <c r="V1267" i="95" s="1"/>
  <c r="W1267" i="95" s="1"/>
  <c r="X1267" i="95" s="1"/>
  <c r="Y1267" i="95" s="1"/>
  <c r="Z1267" i="95" s="1"/>
  <c r="AA1267" i="95" s="1"/>
  <c r="AB1267" i="95" s="1"/>
  <c r="AC1267" i="95" s="1"/>
  <c r="AD1267" i="95" s="1"/>
  <c r="AE1267" i="95" s="1"/>
  <c r="AF1267" i="95" s="1"/>
  <c r="D1266" i="95"/>
  <c r="E1266" i="95" s="1"/>
  <c r="F1266" i="95" s="1"/>
  <c r="G1266" i="95" s="1"/>
  <c r="H1266" i="95" s="1"/>
  <c r="I1266" i="95" s="1"/>
  <c r="J1266" i="95" s="1"/>
  <c r="K1266" i="95" s="1"/>
  <c r="L1266" i="95" s="1"/>
  <c r="M1266" i="95" s="1"/>
  <c r="N1266" i="95" s="1"/>
  <c r="O1266" i="95" s="1"/>
  <c r="P1266" i="95" s="1"/>
  <c r="Q1266" i="95" s="1"/>
  <c r="R1266" i="95" s="1"/>
  <c r="S1266" i="95" s="1"/>
  <c r="T1266" i="95" s="1"/>
  <c r="U1266" i="95" s="1"/>
  <c r="V1266" i="95" s="1"/>
  <c r="W1266" i="95" s="1"/>
  <c r="X1266" i="95" s="1"/>
  <c r="Y1266" i="95" s="1"/>
  <c r="Z1266" i="95" s="1"/>
  <c r="AA1266" i="95" s="1"/>
  <c r="AB1266" i="95" s="1"/>
  <c r="AC1266" i="95" s="1"/>
  <c r="AD1266" i="95" s="1"/>
  <c r="AE1266" i="95" s="1"/>
  <c r="AF1266" i="95" s="1"/>
  <c r="D1264" i="95"/>
  <c r="E1264" i="95" s="1"/>
  <c r="F1264" i="95" s="1"/>
  <c r="G1264" i="95" s="1"/>
  <c r="H1264" i="95" s="1"/>
  <c r="I1264" i="95" s="1"/>
  <c r="J1264" i="95" s="1"/>
  <c r="K1264" i="95" s="1"/>
  <c r="L1264" i="95" s="1"/>
  <c r="M1264" i="95" s="1"/>
  <c r="N1264" i="95" s="1"/>
  <c r="O1264" i="95" s="1"/>
  <c r="P1264" i="95" s="1"/>
  <c r="Q1264" i="95" s="1"/>
  <c r="R1264" i="95" s="1"/>
  <c r="S1264" i="95" s="1"/>
  <c r="T1264" i="95" s="1"/>
  <c r="U1264" i="95" s="1"/>
  <c r="V1264" i="95" s="1"/>
  <c r="W1264" i="95" s="1"/>
  <c r="X1264" i="95" s="1"/>
  <c r="Y1264" i="95" s="1"/>
  <c r="Z1264" i="95" s="1"/>
  <c r="AA1264" i="95" s="1"/>
  <c r="AB1264" i="95" s="1"/>
  <c r="AC1264" i="95" s="1"/>
  <c r="AD1264" i="95" s="1"/>
  <c r="AE1264" i="95" s="1"/>
  <c r="AF1264" i="95" s="1"/>
  <c r="D1259" i="95"/>
  <c r="E1259" i="95" s="1"/>
  <c r="F1259" i="95" s="1"/>
  <c r="G1259" i="95" s="1"/>
  <c r="H1259" i="95" s="1"/>
  <c r="I1259" i="95" s="1"/>
  <c r="J1259" i="95" s="1"/>
  <c r="K1259" i="95" s="1"/>
  <c r="L1259" i="95" s="1"/>
  <c r="M1259" i="95" s="1"/>
  <c r="N1259" i="95" s="1"/>
  <c r="O1259" i="95" s="1"/>
  <c r="P1259" i="95" s="1"/>
  <c r="Q1259" i="95" s="1"/>
  <c r="R1259" i="95" s="1"/>
  <c r="S1259" i="95" s="1"/>
  <c r="T1259" i="95" s="1"/>
  <c r="U1259" i="95" s="1"/>
  <c r="V1259" i="95" s="1"/>
  <c r="W1259" i="95" s="1"/>
  <c r="X1259" i="95" s="1"/>
  <c r="Y1259" i="95" s="1"/>
  <c r="Z1259" i="95" s="1"/>
  <c r="AA1259" i="95" s="1"/>
  <c r="AB1259" i="95" s="1"/>
  <c r="AC1259" i="95" s="1"/>
  <c r="AD1259" i="95" s="1"/>
  <c r="AE1259" i="95" s="1"/>
  <c r="AF1259" i="95" s="1"/>
  <c r="D1253" i="95"/>
  <c r="E1253" i="95" s="1"/>
  <c r="F1253" i="95" s="1"/>
  <c r="G1253" i="95" s="1"/>
  <c r="H1253" i="95" s="1"/>
  <c r="I1253" i="95" s="1"/>
  <c r="J1253" i="95" s="1"/>
  <c r="K1253" i="95" s="1"/>
  <c r="L1253" i="95" s="1"/>
  <c r="M1253" i="95" s="1"/>
  <c r="N1253" i="95" s="1"/>
  <c r="O1253" i="95" s="1"/>
  <c r="P1253" i="95" s="1"/>
  <c r="Q1253" i="95" s="1"/>
  <c r="R1253" i="95" s="1"/>
  <c r="S1253" i="95" s="1"/>
  <c r="T1253" i="95" s="1"/>
  <c r="U1253" i="95" s="1"/>
  <c r="V1253" i="95" s="1"/>
  <c r="W1253" i="95" s="1"/>
  <c r="X1253" i="95" s="1"/>
  <c r="Y1253" i="95" s="1"/>
  <c r="Z1253" i="95" s="1"/>
  <c r="AA1253" i="95" s="1"/>
  <c r="AB1253" i="95" s="1"/>
  <c r="AC1253" i="95" s="1"/>
  <c r="AD1253" i="95" s="1"/>
  <c r="AE1253" i="95" s="1"/>
  <c r="AF1253" i="95" s="1"/>
  <c r="D1252" i="95"/>
  <c r="E1252" i="95" s="1"/>
  <c r="F1252" i="95" s="1"/>
  <c r="G1252" i="95" s="1"/>
  <c r="H1252" i="95" s="1"/>
  <c r="I1252" i="95" s="1"/>
  <c r="J1252" i="95" s="1"/>
  <c r="K1252" i="95" s="1"/>
  <c r="L1252" i="95" s="1"/>
  <c r="M1252" i="95" s="1"/>
  <c r="N1252" i="95" s="1"/>
  <c r="O1252" i="95" s="1"/>
  <c r="P1252" i="95" s="1"/>
  <c r="Q1252" i="95" s="1"/>
  <c r="R1252" i="95" s="1"/>
  <c r="S1252" i="95" s="1"/>
  <c r="T1252" i="95" s="1"/>
  <c r="U1252" i="95" s="1"/>
  <c r="V1252" i="95" s="1"/>
  <c r="W1252" i="95" s="1"/>
  <c r="X1252" i="95" s="1"/>
  <c r="Y1252" i="95" s="1"/>
  <c r="Z1252" i="95" s="1"/>
  <c r="AA1252" i="95" s="1"/>
  <c r="AB1252" i="95" s="1"/>
  <c r="AC1252" i="95" s="1"/>
  <c r="AD1252" i="95" s="1"/>
  <c r="AE1252" i="95" s="1"/>
  <c r="AF1252" i="95" s="1"/>
  <c r="D1249" i="95"/>
  <c r="D1245" i="95"/>
  <c r="E1245" i="95" s="1"/>
  <c r="F1245" i="95" s="1"/>
  <c r="G1245" i="95" s="1"/>
  <c r="H1245" i="95" s="1"/>
  <c r="I1245" i="95" s="1"/>
  <c r="J1245" i="95" s="1"/>
  <c r="K1245" i="95" s="1"/>
  <c r="L1245" i="95" s="1"/>
  <c r="M1245" i="95" s="1"/>
  <c r="N1245" i="95" s="1"/>
  <c r="O1245" i="95" s="1"/>
  <c r="P1245" i="95" s="1"/>
  <c r="Q1245" i="95" s="1"/>
  <c r="R1245" i="95" s="1"/>
  <c r="S1245" i="95" s="1"/>
  <c r="T1245" i="95" s="1"/>
  <c r="U1245" i="95" s="1"/>
  <c r="V1245" i="95" s="1"/>
  <c r="W1245" i="95" s="1"/>
  <c r="X1245" i="95" s="1"/>
  <c r="Y1245" i="95" s="1"/>
  <c r="Z1245" i="95" s="1"/>
  <c r="AA1245" i="95" s="1"/>
  <c r="AB1245" i="95" s="1"/>
  <c r="AC1245" i="95" s="1"/>
  <c r="AD1245" i="95" s="1"/>
  <c r="AE1245" i="95" s="1"/>
  <c r="AF1245" i="95" s="1"/>
  <c r="D1244" i="95"/>
  <c r="E1244" i="95" s="1"/>
  <c r="D1242" i="95"/>
  <c r="E1242" i="95" s="1"/>
  <c r="F1242" i="95" s="1"/>
  <c r="D1239" i="95"/>
  <c r="E1239" i="95" s="1"/>
  <c r="F1239" i="95" s="1"/>
  <c r="G1239" i="95" s="1"/>
  <c r="H1239" i="95" s="1"/>
  <c r="I1239" i="95" s="1"/>
  <c r="J1239" i="95" s="1"/>
  <c r="K1239" i="95" s="1"/>
  <c r="L1239" i="95" s="1"/>
  <c r="M1239" i="95" s="1"/>
  <c r="N1239" i="95" s="1"/>
  <c r="O1239" i="95" s="1"/>
  <c r="P1239" i="95" s="1"/>
  <c r="Q1239" i="95" s="1"/>
  <c r="R1239" i="95" s="1"/>
  <c r="S1239" i="95" s="1"/>
  <c r="T1239" i="95" s="1"/>
  <c r="U1239" i="95" s="1"/>
  <c r="V1239" i="95" s="1"/>
  <c r="W1239" i="95" s="1"/>
  <c r="X1239" i="95" s="1"/>
  <c r="Y1239" i="95" s="1"/>
  <c r="Z1239" i="95" s="1"/>
  <c r="AA1239" i="95" s="1"/>
  <c r="AB1239" i="95" s="1"/>
  <c r="AC1239" i="95" s="1"/>
  <c r="AD1239" i="95" s="1"/>
  <c r="AE1239" i="95" s="1"/>
  <c r="AF1239" i="95" s="1"/>
  <c r="D1238" i="95"/>
  <c r="E1238" i="95" s="1"/>
  <c r="F1238" i="95" s="1"/>
  <c r="G1238" i="95" s="1"/>
  <c r="H1238" i="95" s="1"/>
  <c r="I1238" i="95" s="1"/>
  <c r="J1238" i="95" s="1"/>
  <c r="K1238" i="95" s="1"/>
  <c r="L1238" i="95" s="1"/>
  <c r="M1238" i="95" s="1"/>
  <c r="N1238" i="95" s="1"/>
  <c r="O1238" i="95" s="1"/>
  <c r="P1238" i="95" s="1"/>
  <c r="Q1238" i="95" s="1"/>
  <c r="R1238" i="95" s="1"/>
  <c r="S1238" i="95" s="1"/>
  <c r="T1238" i="95" s="1"/>
  <c r="U1238" i="95" s="1"/>
  <c r="V1238" i="95" s="1"/>
  <c r="W1238" i="95" s="1"/>
  <c r="X1238" i="95" s="1"/>
  <c r="Y1238" i="95" s="1"/>
  <c r="Z1238" i="95" s="1"/>
  <c r="AA1238" i="95" s="1"/>
  <c r="AB1238" i="95" s="1"/>
  <c r="AC1238" i="95" s="1"/>
  <c r="AD1238" i="95" s="1"/>
  <c r="AE1238" i="95" s="1"/>
  <c r="AF1238" i="95" s="1"/>
  <c r="D1236" i="95"/>
  <c r="E1236" i="95" s="1"/>
  <c r="F1236" i="95" s="1"/>
  <c r="G1236" i="95" s="1"/>
  <c r="H1236" i="95" s="1"/>
  <c r="I1236" i="95" s="1"/>
  <c r="J1236" i="95" s="1"/>
  <c r="K1236" i="95" s="1"/>
  <c r="L1236" i="95" s="1"/>
  <c r="M1236" i="95" s="1"/>
  <c r="N1236" i="95" s="1"/>
  <c r="O1236" i="95" s="1"/>
  <c r="P1236" i="95" s="1"/>
  <c r="Q1236" i="95" s="1"/>
  <c r="R1236" i="95" s="1"/>
  <c r="S1236" i="95" s="1"/>
  <c r="T1236" i="95" s="1"/>
  <c r="U1236" i="95" s="1"/>
  <c r="V1236" i="95" s="1"/>
  <c r="W1236" i="95" s="1"/>
  <c r="X1236" i="95" s="1"/>
  <c r="Y1236" i="95" s="1"/>
  <c r="Z1236" i="95" s="1"/>
  <c r="AA1236" i="95" s="1"/>
  <c r="AB1236" i="95" s="1"/>
  <c r="AC1236" i="95" s="1"/>
  <c r="AD1236" i="95" s="1"/>
  <c r="AE1236" i="95" s="1"/>
  <c r="AF1236" i="95" s="1"/>
  <c r="D1231" i="95"/>
  <c r="E1231" i="95" s="1"/>
  <c r="F1231" i="95" s="1"/>
  <c r="G1231" i="95" s="1"/>
  <c r="H1231" i="95" s="1"/>
  <c r="I1231" i="95" s="1"/>
  <c r="J1231" i="95" s="1"/>
  <c r="K1231" i="95" s="1"/>
  <c r="L1231" i="95" s="1"/>
  <c r="M1231" i="95" s="1"/>
  <c r="N1231" i="95" s="1"/>
  <c r="O1231" i="95" s="1"/>
  <c r="P1231" i="95" s="1"/>
  <c r="Q1231" i="95" s="1"/>
  <c r="R1231" i="95" s="1"/>
  <c r="S1231" i="95" s="1"/>
  <c r="T1231" i="95" s="1"/>
  <c r="U1231" i="95" s="1"/>
  <c r="V1231" i="95" s="1"/>
  <c r="W1231" i="95" s="1"/>
  <c r="X1231" i="95" s="1"/>
  <c r="Y1231" i="95" s="1"/>
  <c r="Z1231" i="95" s="1"/>
  <c r="AA1231" i="95" s="1"/>
  <c r="AB1231" i="95" s="1"/>
  <c r="AC1231" i="95" s="1"/>
  <c r="AD1231" i="95" s="1"/>
  <c r="AE1231" i="95" s="1"/>
  <c r="AF1231" i="95" s="1"/>
  <c r="D1230" i="95"/>
  <c r="E1230" i="95" s="1"/>
  <c r="F1230" i="95" s="1"/>
  <c r="G1230" i="95" s="1"/>
  <c r="H1230" i="95" s="1"/>
  <c r="I1230" i="95" s="1"/>
  <c r="J1230" i="95" s="1"/>
  <c r="K1230" i="95" s="1"/>
  <c r="L1230" i="95" s="1"/>
  <c r="M1230" i="95" s="1"/>
  <c r="N1230" i="95" s="1"/>
  <c r="O1230" i="95" s="1"/>
  <c r="P1230" i="95" s="1"/>
  <c r="Q1230" i="95" s="1"/>
  <c r="R1230" i="95" s="1"/>
  <c r="S1230" i="95" s="1"/>
  <c r="T1230" i="95" s="1"/>
  <c r="U1230" i="95" s="1"/>
  <c r="V1230" i="95" s="1"/>
  <c r="W1230" i="95" s="1"/>
  <c r="X1230" i="95" s="1"/>
  <c r="Y1230" i="95" s="1"/>
  <c r="Z1230" i="95" s="1"/>
  <c r="AA1230" i="95" s="1"/>
  <c r="AB1230" i="95" s="1"/>
  <c r="AC1230" i="95" s="1"/>
  <c r="AD1230" i="95" s="1"/>
  <c r="AE1230" i="95" s="1"/>
  <c r="AF1230" i="95" s="1"/>
  <c r="D1227" i="95"/>
  <c r="E1227" i="95" s="1"/>
  <c r="D1223" i="95"/>
  <c r="E1223" i="95" s="1"/>
  <c r="F1223" i="95" s="1"/>
  <c r="G1223" i="95" s="1"/>
  <c r="H1223" i="95" s="1"/>
  <c r="I1223" i="95" s="1"/>
  <c r="J1223" i="95" s="1"/>
  <c r="K1223" i="95" s="1"/>
  <c r="L1223" i="95" s="1"/>
  <c r="M1223" i="95" s="1"/>
  <c r="N1223" i="95" s="1"/>
  <c r="O1223" i="95" s="1"/>
  <c r="P1223" i="95" s="1"/>
  <c r="Q1223" i="95" s="1"/>
  <c r="R1223" i="95" s="1"/>
  <c r="S1223" i="95" s="1"/>
  <c r="T1223" i="95" s="1"/>
  <c r="U1223" i="95" s="1"/>
  <c r="V1223" i="95" s="1"/>
  <c r="W1223" i="95" s="1"/>
  <c r="X1223" i="95" s="1"/>
  <c r="Y1223" i="95" s="1"/>
  <c r="Z1223" i="95" s="1"/>
  <c r="AA1223" i="95" s="1"/>
  <c r="AB1223" i="95" s="1"/>
  <c r="AC1223" i="95" s="1"/>
  <c r="AD1223" i="95" s="1"/>
  <c r="AE1223" i="95" s="1"/>
  <c r="AF1223" i="95" s="1"/>
  <c r="D1222" i="95"/>
  <c r="E1222" i="95" s="1"/>
  <c r="F1222" i="95" s="1"/>
  <c r="G1222" i="95" s="1"/>
  <c r="H1222" i="95" s="1"/>
  <c r="I1222" i="95" s="1"/>
  <c r="J1222" i="95" s="1"/>
  <c r="K1222" i="95" s="1"/>
  <c r="L1222" i="95" s="1"/>
  <c r="M1222" i="95" s="1"/>
  <c r="N1222" i="95" s="1"/>
  <c r="O1222" i="95" s="1"/>
  <c r="P1222" i="95" s="1"/>
  <c r="Q1222" i="95" s="1"/>
  <c r="R1222" i="95" s="1"/>
  <c r="S1222" i="95" s="1"/>
  <c r="T1222" i="95" s="1"/>
  <c r="U1222" i="95" s="1"/>
  <c r="V1222" i="95" s="1"/>
  <c r="W1222" i="95" s="1"/>
  <c r="X1222" i="95" s="1"/>
  <c r="Y1222" i="95" s="1"/>
  <c r="Z1222" i="95" s="1"/>
  <c r="AA1222" i="95" s="1"/>
  <c r="AB1222" i="95" s="1"/>
  <c r="AC1222" i="95" s="1"/>
  <c r="AD1222" i="95" s="1"/>
  <c r="AE1222" i="95" s="1"/>
  <c r="AF1222" i="95" s="1"/>
  <c r="D1219" i="95"/>
  <c r="E1219" i="95" s="1"/>
  <c r="F1219" i="95" s="1"/>
  <c r="AG1215" i="95"/>
  <c r="D1214" i="95"/>
  <c r="F1213" i="95"/>
  <c r="C1212" i="95"/>
  <c r="J1210" i="95"/>
  <c r="F1210" i="95"/>
  <c r="G1210" i="95" s="1"/>
  <c r="D1206" i="95"/>
  <c r="C1206" i="95"/>
  <c r="J1207" i="95"/>
  <c r="D1203" i="95"/>
  <c r="C1203" i="95"/>
  <c r="J1204" i="95"/>
  <c r="K1204" i="95" s="1"/>
  <c r="L1204" i="95" s="1"/>
  <c r="F1204" i="95"/>
  <c r="G1204" i="95" s="1"/>
  <c r="F1200" i="95"/>
  <c r="G1200" i="95" s="1"/>
  <c r="H1200" i="95" s="1"/>
  <c r="I1200" i="95" s="1"/>
  <c r="J1200" i="95" s="1"/>
  <c r="D1196" i="95"/>
  <c r="C1196" i="95"/>
  <c r="E1197" i="95"/>
  <c r="F1197" i="95" s="1"/>
  <c r="G1197" i="95" s="1"/>
  <c r="H1197" i="95" s="1"/>
  <c r="C1193" i="95"/>
  <c r="F1194" i="95"/>
  <c r="G1194" i="95" s="1"/>
  <c r="H1194" i="95" s="1"/>
  <c r="D1191" i="95"/>
  <c r="D1189" i="95" s="1"/>
  <c r="D1188" i="95" s="1"/>
  <c r="C1184" i="95"/>
  <c r="C1183" i="95" s="1"/>
  <c r="D1181" i="95"/>
  <c r="C1180" i="95"/>
  <c r="C1179" i="95" s="1"/>
  <c r="AF1178" i="95"/>
  <c r="AE1178" i="95"/>
  <c r="AD1178" i="95"/>
  <c r="AC1178" i="95"/>
  <c r="AB1178" i="95"/>
  <c r="AA1178" i="95"/>
  <c r="Z1178" i="95"/>
  <c r="Y1178" i="95"/>
  <c r="X1178" i="95"/>
  <c r="W1178" i="95"/>
  <c r="V1178" i="95"/>
  <c r="U1178" i="95"/>
  <c r="T1178" i="95"/>
  <c r="S1178" i="95"/>
  <c r="R1178" i="95"/>
  <c r="Q1178" i="95"/>
  <c r="P1178" i="95"/>
  <c r="O1178" i="95"/>
  <c r="N1178" i="95"/>
  <c r="M1178" i="95"/>
  <c r="L1178" i="95"/>
  <c r="K1178" i="95"/>
  <c r="J1178" i="95"/>
  <c r="I1178" i="95"/>
  <c r="H1178" i="95"/>
  <c r="G1178" i="95"/>
  <c r="F1178" i="95"/>
  <c r="E1178" i="95"/>
  <c r="D1178" i="95"/>
  <c r="C1178" i="95"/>
  <c r="D1177" i="95"/>
  <c r="D1171" i="95"/>
  <c r="E1171" i="95" s="1"/>
  <c r="F1171" i="95" s="1"/>
  <c r="C1169" i="95"/>
  <c r="D1168" i="95"/>
  <c r="E1168" i="95" s="1"/>
  <c r="F1168" i="95" s="1"/>
  <c r="F1166" i="95" s="1"/>
  <c r="C1166" i="95"/>
  <c r="D1164" i="95"/>
  <c r="H1163" i="95"/>
  <c r="F1163" i="95"/>
  <c r="C1162" i="95"/>
  <c r="C1161" i="95" s="1"/>
  <c r="AG1160" i="95"/>
  <c r="AF1158" i="95"/>
  <c r="AE1158" i="95"/>
  <c r="AD1158" i="95"/>
  <c r="AC1158" i="95"/>
  <c r="AB1158" i="95"/>
  <c r="AA1158" i="95"/>
  <c r="Z1158" i="95"/>
  <c r="Y1158" i="95"/>
  <c r="X1158" i="95"/>
  <c r="W1158" i="95"/>
  <c r="V1158" i="95"/>
  <c r="U1158" i="95"/>
  <c r="T1158" i="95"/>
  <c r="S1158" i="95"/>
  <c r="R1158" i="95"/>
  <c r="Q1158" i="95"/>
  <c r="P1158" i="95"/>
  <c r="O1158" i="95"/>
  <c r="N1158" i="95"/>
  <c r="M1158" i="95"/>
  <c r="L1158" i="95"/>
  <c r="K1158" i="95"/>
  <c r="J1158" i="95"/>
  <c r="I1158" i="95"/>
  <c r="H1158" i="95"/>
  <c r="G1158" i="95"/>
  <c r="F1158" i="95"/>
  <c r="E1158" i="95"/>
  <c r="D1158" i="95"/>
  <c r="C1158" i="95"/>
  <c r="D1154" i="95"/>
  <c r="E1154" i="95" s="1"/>
  <c r="F1154" i="95" s="1"/>
  <c r="G1154" i="95" s="1"/>
  <c r="H1154" i="95" s="1"/>
  <c r="I1154" i="95" s="1"/>
  <c r="J1154" i="95" s="1"/>
  <c r="K1154" i="95" s="1"/>
  <c r="L1154" i="95" s="1"/>
  <c r="M1154" i="95" s="1"/>
  <c r="N1154" i="95" s="1"/>
  <c r="O1154" i="95" s="1"/>
  <c r="P1154" i="95" s="1"/>
  <c r="Q1154" i="95" s="1"/>
  <c r="R1154" i="95" s="1"/>
  <c r="S1154" i="95" s="1"/>
  <c r="T1154" i="95" s="1"/>
  <c r="U1154" i="95" s="1"/>
  <c r="V1154" i="95" s="1"/>
  <c r="W1154" i="95" s="1"/>
  <c r="X1154" i="95" s="1"/>
  <c r="Y1154" i="95" s="1"/>
  <c r="Z1154" i="95" s="1"/>
  <c r="AA1154" i="95" s="1"/>
  <c r="AB1154" i="95" s="1"/>
  <c r="AC1154" i="95" s="1"/>
  <c r="AD1154" i="95" s="1"/>
  <c r="AE1154" i="95" s="1"/>
  <c r="AF1154" i="95" s="1"/>
  <c r="D1152" i="95"/>
  <c r="E1152" i="95" s="1"/>
  <c r="F1152" i="95" s="1"/>
  <c r="G1152" i="95" s="1"/>
  <c r="H1152" i="95" s="1"/>
  <c r="I1152" i="95" s="1"/>
  <c r="J1152" i="95" s="1"/>
  <c r="K1152" i="95" s="1"/>
  <c r="L1152" i="95" s="1"/>
  <c r="M1152" i="95" s="1"/>
  <c r="N1152" i="95" s="1"/>
  <c r="O1152" i="95" s="1"/>
  <c r="P1152" i="95" s="1"/>
  <c r="Q1152" i="95" s="1"/>
  <c r="R1152" i="95" s="1"/>
  <c r="S1152" i="95" s="1"/>
  <c r="T1152" i="95" s="1"/>
  <c r="U1152" i="95" s="1"/>
  <c r="V1152" i="95" s="1"/>
  <c r="W1152" i="95" s="1"/>
  <c r="X1152" i="95" s="1"/>
  <c r="Y1152" i="95" s="1"/>
  <c r="Z1152" i="95" s="1"/>
  <c r="AA1152" i="95" s="1"/>
  <c r="AB1152" i="95" s="1"/>
  <c r="AC1152" i="95" s="1"/>
  <c r="AD1152" i="95" s="1"/>
  <c r="AE1152" i="95" s="1"/>
  <c r="AF1152" i="95" s="1"/>
  <c r="D1151" i="95"/>
  <c r="D1144" i="95"/>
  <c r="E1144" i="95" s="1"/>
  <c r="F1144" i="95" s="1"/>
  <c r="G1144" i="95" s="1"/>
  <c r="H1144" i="95" s="1"/>
  <c r="I1144" i="95" s="1"/>
  <c r="J1144" i="95" s="1"/>
  <c r="K1144" i="95" s="1"/>
  <c r="L1144" i="95" s="1"/>
  <c r="M1144" i="95" s="1"/>
  <c r="N1144" i="95" s="1"/>
  <c r="O1144" i="95" s="1"/>
  <c r="P1144" i="95" s="1"/>
  <c r="Q1144" i="95" s="1"/>
  <c r="R1144" i="95" s="1"/>
  <c r="S1144" i="95" s="1"/>
  <c r="T1144" i="95" s="1"/>
  <c r="U1144" i="95" s="1"/>
  <c r="V1144" i="95" s="1"/>
  <c r="W1144" i="95" s="1"/>
  <c r="X1144" i="95" s="1"/>
  <c r="Y1144" i="95" s="1"/>
  <c r="Z1144" i="95" s="1"/>
  <c r="AA1144" i="95" s="1"/>
  <c r="AB1144" i="95" s="1"/>
  <c r="AC1144" i="95" s="1"/>
  <c r="AD1144" i="95" s="1"/>
  <c r="AE1144" i="95" s="1"/>
  <c r="AF1144" i="95" s="1"/>
  <c r="D1138" i="95"/>
  <c r="E1138" i="95" s="1"/>
  <c r="F1138" i="95" s="1"/>
  <c r="G1138" i="95" s="1"/>
  <c r="H1138" i="95" s="1"/>
  <c r="I1138" i="95" s="1"/>
  <c r="J1138" i="95" s="1"/>
  <c r="K1138" i="95" s="1"/>
  <c r="L1138" i="95" s="1"/>
  <c r="M1138" i="95" s="1"/>
  <c r="N1138" i="95" s="1"/>
  <c r="O1138" i="95" s="1"/>
  <c r="P1138" i="95" s="1"/>
  <c r="Q1138" i="95" s="1"/>
  <c r="R1138" i="95" s="1"/>
  <c r="S1138" i="95" s="1"/>
  <c r="T1138" i="95" s="1"/>
  <c r="U1138" i="95" s="1"/>
  <c r="V1138" i="95" s="1"/>
  <c r="W1138" i="95" s="1"/>
  <c r="X1138" i="95" s="1"/>
  <c r="Y1138" i="95" s="1"/>
  <c r="Z1138" i="95" s="1"/>
  <c r="AA1138" i="95" s="1"/>
  <c r="AB1138" i="95" s="1"/>
  <c r="AC1138" i="95" s="1"/>
  <c r="AD1138" i="95" s="1"/>
  <c r="AE1138" i="95" s="1"/>
  <c r="AF1138" i="95" s="1"/>
  <c r="D1136" i="95"/>
  <c r="AF1135" i="95"/>
  <c r="AE1135" i="95"/>
  <c r="AD1135" i="95"/>
  <c r="AC1135" i="95"/>
  <c r="AB1135" i="95"/>
  <c r="AA1135" i="95"/>
  <c r="Z1135" i="95"/>
  <c r="Y1135" i="95"/>
  <c r="X1135" i="95"/>
  <c r="W1135" i="95"/>
  <c r="V1135" i="95"/>
  <c r="U1135" i="95"/>
  <c r="T1135" i="95"/>
  <c r="S1135" i="95"/>
  <c r="R1135" i="95"/>
  <c r="Q1135" i="95"/>
  <c r="P1135" i="95"/>
  <c r="O1135" i="95"/>
  <c r="N1135" i="95"/>
  <c r="M1135" i="95"/>
  <c r="L1135" i="95"/>
  <c r="K1135" i="95"/>
  <c r="J1135" i="95"/>
  <c r="I1135" i="95"/>
  <c r="G1135" i="95"/>
  <c r="F1135" i="95"/>
  <c r="E1135" i="95"/>
  <c r="D1135" i="95"/>
  <c r="C1135" i="95"/>
  <c r="D1132" i="95"/>
  <c r="D1130" i="95" s="1"/>
  <c r="J1131" i="95"/>
  <c r="K1131" i="95" s="1"/>
  <c r="AG1130" i="95"/>
  <c r="C1130" i="95"/>
  <c r="D1129" i="95"/>
  <c r="J1128" i="95"/>
  <c r="K1128" i="95" s="1"/>
  <c r="AG1127" i="95"/>
  <c r="C1127" i="95"/>
  <c r="AG1124" i="95"/>
  <c r="C1121" i="95"/>
  <c r="AG1121" i="95"/>
  <c r="D1119" i="95"/>
  <c r="E1119" i="95" s="1"/>
  <c r="F1119" i="95" s="1"/>
  <c r="G1119" i="95" s="1"/>
  <c r="H1119" i="95" s="1"/>
  <c r="I1119" i="95" s="1"/>
  <c r="J1119" i="95" s="1"/>
  <c r="K1119" i="95" s="1"/>
  <c r="L1119" i="95" s="1"/>
  <c r="M1119" i="95" s="1"/>
  <c r="N1119" i="95" s="1"/>
  <c r="O1119" i="95" s="1"/>
  <c r="P1119" i="95" s="1"/>
  <c r="Q1119" i="95" s="1"/>
  <c r="R1119" i="95" s="1"/>
  <c r="S1119" i="95" s="1"/>
  <c r="T1119" i="95" s="1"/>
  <c r="U1119" i="95" s="1"/>
  <c r="V1119" i="95" s="1"/>
  <c r="W1119" i="95" s="1"/>
  <c r="X1119" i="95" s="1"/>
  <c r="Y1119" i="95" s="1"/>
  <c r="Z1119" i="95" s="1"/>
  <c r="AA1119" i="95" s="1"/>
  <c r="AB1119" i="95" s="1"/>
  <c r="AC1119" i="95" s="1"/>
  <c r="AD1119" i="95" s="1"/>
  <c r="AE1119" i="95" s="1"/>
  <c r="AF1119" i="95" s="1"/>
  <c r="D1118" i="95"/>
  <c r="C1118" i="95"/>
  <c r="AG1117" i="95"/>
  <c r="F1115" i="95"/>
  <c r="G1115" i="95" s="1"/>
  <c r="H1115" i="95" s="1"/>
  <c r="AG1114" i="95"/>
  <c r="D1113" i="95"/>
  <c r="AG1111" i="95"/>
  <c r="D1109" i="95"/>
  <c r="E1109" i="95" s="1"/>
  <c r="F1109" i="95" s="1"/>
  <c r="AF1108" i="95"/>
  <c r="AE1108" i="95"/>
  <c r="AD1108" i="95"/>
  <c r="AC1108" i="95"/>
  <c r="AB1108" i="95"/>
  <c r="AA1108" i="95"/>
  <c r="Z1108" i="95"/>
  <c r="Y1108" i="95"/>
  <c r="X1108" i="95"/>
  <c r="W1108" i="95"/>
  <c r="V1108" i="95"/>
  <c r="U1108" i="95"/>
  <c r="T1108" i="95"/>
  <c r="S1108" i="95"/>
  <c r="R1108" i="95"/>
  <c r="Q1108" i="95"/>
  <c r="P1108" i="95"/>
  <c r="O1108" i="95"/>
  <c r="N1108" i="95"/>
  <c r="M1108" i="95"/>
  <c r="L1108" i="95"/>
  <c r="K1108" i="95"/>
  <c r="J1108" i="95"/>
  <c r="I1108" i="95"/>
  <c r="H1108" i="95"/>
  <c r="G1108" i="95"/>
  <c r="F1108" i="95"/>
  <c r="E1108" i="95"/>
  <c r="D1108" i="95"/>
  <c r="C1108" i="95"/>
  <c r="AG1107" i="95"/>
  <c r="E1105" i="95"/>
  <c r="D1105" i="95"/>
  <c r="C1105" i="95"/>
  <c r="AG1104" i="95"/>
  <c r="C1101" i="95"/>
  <c r="AG1101" i="95"/>
  <c r="D1099" i="95"/>
  <c r="F1098" i="95"/>
  <c r="G1098" i="95" s="1"/>
  <c r="H1098" i="95" s="1"/>
  <c r="C1097" i="95"/>
  <c r="C1096" i="95" s="1"/>
  <c r="AG1095" i="95"/>
  <c r="AF1093" i="95"/>
  <c r="AE1093" i="95"/>
  <c r="AD1093" i="95"/>
  <c r="AC1093" i="95"/>
  <c r="AB1093" i="95"/>
  <c r="AA1093" i="95"/>
  <c r="Z1093" i="95"/>
  <c r="Y1093" i="95"/>
  <c r="X1093" i="95"/>
  <c r="W1093" i="95"/>
  <c r="V1093" i="95"/>
  <c r="U1093" i="95"/>
  <c r="T1093" i="95"/>
  <c r="S1093" i="95"/>
  <c r="R1093" i="95"/>
  <c r="Q1093" i="95"/>
  <c r="P1093" i="95"/>
  <c r="O1093" i="95"/>
  <c r="N1093" i="95"/>
  <c r="M1093" i="95"/>
  <c r="L1093" i="95"/>
  <c r="K1093" i="95"/>
  <c r="J1093" i="95"/>
  <c r="I1093" i="95"/>
  <c r="H1093" i="95"/>
  <c r="G1093" i="95"/>
  <c r="F1093" i="95"/>
  <c r="E1093" i="95"/>
  <c r="D1093" i="95"/>
  <c r="C1093" i="95"/>
  <c r="E1092" i="95"/>
  <c r="F1092" i="95" s="1"/>
  <c r="F1089" i="95"/>
  <c r="D1071" i="95"/>
  <c r="E1071" i="95" s="1"/>
  <c r="F1071" i="95" s="1"/>
  <c r="G1071" i="95" s="1"/>
  <c r="H1071" i="95" s="1"/>
  <c r="I1071" i="95" s="1"/>
  <c r="J1071" i="95" s="1"/>
  <c r="K1071" i="95" s="1"/>
  <c r="L1071" i="95" s="1"/>
  <c r="M1071" i="95" s="1"/>
  <c r="N1071" i="95" s="1"/>
  <c r="O1071" i="95" s="1"/>
  <c r="P1071" i="95" s="1"/>
  <c r="Q1071" i="95" s="1"/>
  <c r="R1071" i="95" s="1"/>
  <c r="S1071" i="95" s="1"/>
  <c r="T1071" i="95" s="1"/>
  <c r="U1071" i="95" s="1"/>
  <c r="V1071" i="95" s="1"/>
  <c r="W1071" i="95" s="1"/>
  <c r="X1071" i="95" s="1"/>
  <c r="Y1071" i="95" s="1"/>
  <c r="Z1071" i="95" s="1"/>
  <c r="AA1071" i="95" s="1"/>
  <c r="AB1071" i="95" s="1"/>
  <c r="AC1071" i="95" s="1"/>
  <c r="AD1071" i="95" s="1"/>
  <c r="AE1071" i="95" s="1"/>
  <c r="AF1071" i="95" s="1"/>
  <c r="D1069" i="95"/>
  <c r="E1069" i="95" s="1"/>
  <c r="F1069" i="95" s="1"/>
  <c r="G1069" i="95" s="1"/>
  <c r="H1069" i="95" s="1"/>
  <c r="I1069" i="95" s="1"/>
  <c r="D1068" i="95"/>
  <c r="E1068" i="95" s="1"/>
  <c r="F1068" i="95" s="1"/>
  <c r="G1068" i="95" s="1"/>
  <c r="H1068" i="95" s="1"/>
  <c r="I1068" i="95" s="1"/>
  <c r="J1068" i="95" s="1"/>
  <c r="K1068" i="95" s="1"/>
  <c r="AF1067" i="95"/>
  <c r="AE1067" i="95"/>
  <c r="AD1067" i="95"/>
  <c r="AC1067" i="95"/>
  <c r="AB1067" i="95"/>
  <c r="AA1067" i="95"/>
  <c r="Z1067" i="95"/>
  <c r="Y1067" i="95"/>
  <c r="X1067" i="95"/>
  <c r="W1067" i="95"/>
  <c r="V1067" i="95"/>
  <c r="U1067" i="95"/>
  <c r="T1067" i="95"/>
  <c r="S1067" i="95"/>
  <c r="R1067" i="95"/>
  <c r="Q1067" i="95"/>
  <c r="P1067" i="95"/>
  <c r="O1067" i="95"/>
  <c r="N1067" i="95"/>
  <c r="M1067" i="95"/>
  <c r="L1067" i="95"/>
  <c r="K1067" i="95"/>
  <c r="J1067" i="95"/>
  <c r="I1067" i="95"/>
  <c r="H1067" i="95"/>
  <c r="G1067" i="95"/>
  <c r="F1067" i="95"/>
  <c r="E1067" i="95"/>
  <c r="D1067" i="95"/>
  <c r="C1067" i="95"/>
  <c r="D1065" i="95"/>
  <c r="E1065" i="95" s="1"/>
  <c r="F1065" i="95" s="1"/>
  <c r="G1065" i="95" s="1"/>
  <c r="H1065" i="95" s="1"/>
  <c r="I1065" i="95" s="1"/>
  <c r="J1065" i="95" s="1"/>
  <c r="K1065" i="95" s="1"/>
  <c r="L1065" i="95" s="1"/>
  <c r="M1065" i="95" s="1"/>
  <c r="N1065" i="95" s="1"/>
  <c r="O1065" i="95" s="1"/>
  <c r="P1065" i="95" s="1"/>
  <c r="Q1065" i="95" s="1"/>
  <c r="R1065" i="95" s="1"/>
  <c r="S1065" i="95" s="1"/>
  <c r="T1065" i="95" s="1"/>
  <c r="U1065" i="95" s="1"/>
  <c r="V1065" i="95" s="1"/>
  <c r="W1065" i="95" s="1"/>
  <c r="X1065" i="95" s="1"/>
  <c r="Y1065" i="95" s="1"/>
  <c r="Z1065" i="95" s="1"/>
  <c r="AA1065" i="95" s="1"/>
  <c r="AB1065" i="95" s="1"/>
  <c r="AC1065" i="95" s="1"/>
  <c r="AD1065" i="95" s="1"/>
  <c r="AE1065" i="95" s="1"/>
  <c r="AF1065" i="95" s="1"/>
  <c r="D1063" i="95"/>
  <c r="E1063" i="95" s="1"/>
  <c r="F1063" i="95" s="1"/>
  <c r="G1063" i="95" s="1"/>
  <c r="H1063" i="95" s="1"/>
  <c r="I1063" i="95" s="1"/>
  <c r="J1063" i="95" s="1"/>
  <c r="K1063" i="95" s="1"/>
  <c r="L1063" i="95" s="1"/>
  <c r="M1063" i="95" s="1"/>
  <c r="N1063" i="95" s="1"/>
  <c r="O1063" i="95" s="1"/>
  <c r="P1063" i="95" s="1"/>
  <c r="Q1063" i="95" s="1"/>
  <c r="R1063" i="95" s="1"/>
  <c r="S1063" i="95" s="1"/>
  <c r="T1063" i="95" s="1"/>
  <c r="U1063" i="95" s="1"/>
  <c r="V1063" i="95" s="1"/>
  <c r="W1063" i="95" s="1"/>
  <c r="X1063" i="95" s="1"/>
  <c r="Y1063" i="95" s="1"/>
  <c r="Z1063" i="95" s="1"/>
  <c r="AA1063" i="95" s="1"/>
  <c r="AB1063" i="95" s="1"/>
  <c r="AC1063" i="95" s="1"/>
  <c r="AD1063" i="95" s="1"/>
  <c r="AE1063" i="95" s="1"/>
  <c r="AF1063" i="95" s="1"/>
  <c r="D1062" i="95"/>
  <c r="E1062" i="95" s="1"/>
  <c r="F1062" i="95" s="1"/>
  <c r="G1062" i="95" s="1"/>
  <c r="H1062" i="95" s="1"/>
  <c r="I1062" i="95" s="1"/>
  <c r="J1062" i="95" s="1"/>
  <c r="K1062" i="95" s="1"/>
  <c r="L1062" i="95" s="1"/>
  <c r="M1062" i="95" s="1"/>
  <c r="N1062" i="95" s="1"/>
  <c r="O1062" i="95" s="1"/>
  <c r="P1062" i="95" s="1"/>
  <c r="Q1062" i="95" s="1"/>
  <c r="R1062" i="95" s="1"/>
  <c r="S1062" i="95" s="1"/>
  <c r="T1062" i="95" s="1"/>
  <c r="U1062" i="95" s="1"/>
  <c r="V1062" i="95" s="1"/>
  <c r="W1062" i="95" s="1"/>
  <c r="X1062" i="95" s="1"/>
  <c r="Y1062" i="95" s="1"/>
  <c r="Z1062" i="95" s="1"/>
  <c r="AA1062" i="95" s="1"/>
  <c r="AB1062" i="95" s="1"/>
  <c r="AC1062" i="95" s="1"/>
  <c r="AD1062" i="95" s="1"/>
  <c r="AE1062" i="95" s="1"/>
  <c r="AF1062" i="95" s="1"/>
  <c r="D1057" i="95"/>
  <c r="E1057" i="95" s="1"/>
  <c r="F1057" i="95" s="1"/>
  <c r="G1057" i="95" s="1"/>
  <c r="H1057" i="95" s="1"/>
  <c r="I1057" i="95" s="1"/>
  <c r="J1057" i="95" s="1"/>
  <c r="K1057" i="95" s="1"/>
  <c r="L1057" i="95" s="1"/>
  <c r="M1057" i="95" s="1"/>
  <c r="N1057" i="95" s="1"/>
  <c r="O1057" i="95" s="1"/>
  <c r="P1057" i="95" s="1"/>
  <c r="Q1057" i="95" s="1"/>
  <c r="R1057" i="95" s="1"/>
  <c r="S1057" i="95" s="1"/>
  <c r="T1057" i="95" s="1"/>
  <c r="U1057" i="95" s="1"/>
  <c r="V1057" i="95" s="1"/>
  <c r="W1057" i="95" s="1"/>
  <c r="X1057" i="95" s="1"/>
  <c r="Y1057" i="95" s="1"/>
  <c r="Z1057" i="95" s="1"/>
  <c r="AA1057" i="95" s="1"/>
  <c r="AB1057" i="95" s="1"/>
  <c r="AC1057" i="95" s="1"/>
  <c r="AD1057" i="95" s="1"/>
  <c r="AE1057" i="95" s="1"/>
  <c r="AF1057" i="95" s="1"/>
  <c r="D1053" i="95"/>
  <c r="E1053" i="95" s="1"/>
  <c r="F1053" i="95" s="1"/>
  <c r="G1053" i="95" s="1"/>
  <c r="H1053" i="95" s="1"/>
  <c r="I1053" i="95" s="1"/>
  <c r="J1053" i="95" s="1"/>
  <c r="K1053" i="95" s="1"/>
  <c r="L1053" i="95" s="1"/>
  <c r="M1053" i="95" s="1"/>
  <c r="N1053" i="95" s="1"/>
  <c r="O1053" i="95" s="1"/>
  <c r="P1053" i="95" s="1"/>
  <c r="Q1053" i="95" s="1"/>
  <c r="R1053" i="95" s="1"/>
  <c r="S1053" i="95" s="1"/>
  <c r="T1053" i="95" s="1"/>
  <c r="U1053" i="95" s="1"/>
  <c r="V1053" i="95" s="1"/>
  <c r="W1053" i="95" s="1"/>
  <c r="X1053" i="95" s="1"/>
  <c r="Y1053" i="95" s="1"/>
  <c r="Z1053" i="95" s="1"/>
  <c r="AA1053" i="95" s="1"/>
  <c r="AB1053" i="95" s="1"/>
  <c r="AC1053" i="95" s="1"/>
  <c r="AD1053" i="95" s="1"/>
  <c r="AE1053" i="95" s="1"/>
  <c r="AF1053" i="95" s="1"/>
  <c r="D1052" i="95"/>
  <c r="E1052" i="95" s="1"/>
  <c r="F1052" i="95" s="1"/>
  <c r="G1052" i="95" s="1"/>
  <c r="H1052" i="95" s="1"/>
  <c r="I1052" i="95" s="1"/>
  <c r="J1052" i="95" s="1"/>
  <c r="K1052" i="95" s="1"/>
  <c r="L1052" i="95" s="1"/>
  <c r="M1052" i="95" s="1"/>
  <c r="N1052" i="95" s="1"/>
  <c r="O1052" i="95" s="1"/>
  <c r="P1052" i="95" s="1"/>
  <c r="Q1052" i="95" s="1"/>
  <c r="R1052" i="95" s="1"/>
  <c r="S1052" i="95" s="1"/>
  <c r="T1052" i="95" s="1"/>
  <c r="U1052" i="95" s="1"/>
  <c r="V1052" i="95" s="1"/>
  <c r="W1052" i="95" s="1"/>
  <c r="X1052" i="95" s="1"/>
  <c r="Y1052" i="95" s="1"/>
  <c r="Z1052" i="95" s="1"/>
  <c r="AA1052" i="95" s="1"/>
  <c r="AB1052" i="95" s="1"/>
  <c r="AC1052" i="95" s="1"/>
  <c r="AD1052" i="95" s="1"/>
  <c r="AE1052" i="95" s="1"/>
  <c r="AF1052" i="95" s="1"/>
  <c r="D1051" i="95"/>
  <c r="E1051" i="95" s="1"/>
  <c r="F1051" i="95" s="1"/>
  <c r="G1051" i="95" s="1"/>
  <c r="H1051" i="95" s="1"/>
  <c r="I1051" i="95" s="1"/>
  <c r="J1051" i="95" s="1"/>
  <c r="K1051" i="95" s="1"/>
  <c r="L1051" i="95" s="1"/>
  <c r="M1051" i="95" s="1"/>
  <c r="N1051" i="95" s="1"/>
  <c r="O1051" i="95" s="1"/>
  <c r="P1051" i="95" s="1"/>
  <c r="Q1051" i="95" s="1"/>
  <c r="R1051" i="95" s="1"/>
  <c r="S1051" i="95" s="1"/>
  <c r="T1051" i="95" s="1"/>
  <c r="U1051" i="95" s="1"/>
  <c r="V1051" i="95" s="1"/>
  <c r="W1051" i="95" s="1"/>
  <c r="X1051" i="95" s="1"/>
  <c r="Y1051" i="95" s="1"/>
  <c r="Z1051" i="95" s="1"/>
  <c r="AA1051" i="95" s="1"/>
  <c r="AB1051" i="95" s="1"/>
  <c r="AC1051" i="95" s="1"/>
  <c r="AD1051" i="95" s="1"/>
  <c r="AE1051" i="95" s="1"/>
  <c r="AF1051" i="95" s="1"/>
  <c r="D1046" i="95"/>
  <c r="E1046" i="95" s="1"/>
  <c r="F1046" i="95" s="1"/>
  <c r="G1046" i="95" s="1"/>
  <c r="H1046" i="95" s="1"/>
  <c r="I1046" i="95" s="1"/>
  <c r="J1046" i="95" s="1"/>
  <c r="K1046" i="95" s="1"/>
  <c r="L1046" i="95" s="1"/>
  <c r="M1046" i="95" s="1"/>
  <c r="N1046" i="95" s="1"/>
  <c r="O1046" i="95" s="1"/>
  <c r="P1046" i="95" s="1"/>
  <c r="Q1046" i="95" s="1"/>
  <c r="R1046" i="95" s="1"/>
  <c r="S1046" i="95" s="1"/>
  <c r="T1046" i="95" s="1"/>
  <c r="U1046" i="95" s="1"/>
  <c r="V1046" i="95" s="1"/>
  <c r="W1046" i="95" s="1"/>
  <c r="X1046" i="95" s="1"/>
  <c r="Y1046" i="95" s="1"/>
  <c r="Z1046" i="95" s="1"/>
  <c r="AA1046" i="95" s="1"/>
  <c r="AB1046" i="95" s="1"/>
  <c r="AC1046" i="95" s="1"/>
  <c r="AD1046" i="95" s="1"/>
  <c r="AE1046" i="95" s="1"/>
  <c r="AF1046" i="95" s="1"/>
  <c r="D1045" i="95"/>
  <c r="E1045" i="95" s="1"/>
  <c r="F1045" i="95" s="1"/>
  <c r="G1045" i="95" s="1"/>
  <c r="H1045" i="95" s="1"/>
  <c r="I1045" i="95" s="1"/>
  <c r="J1045" i="95" s="1"/>
  <c r="K1045" i="95" s="1"/>
  <c r="L1045" i="95" s="1"/>
  <c r="M1045" i="95" s="1"/>
  <c r="N1045" i="95" s="1"/>
  <c r="O1045" i="95" s="1"/>
  <c r="P1045" i="95" s="1"/>
  <c r="Q1045" i="95" s="1"/>
  <c r="R1045" i="95" s="1"/>
  <c r="S1045" i="95" s="1"/>
  <c r="T1045" i="95" s="1"/>
  <c r="U1045" i="95" s="1"/>
  <c r="V1045" i="95" s="1"/>
  <c r="W1045" i="95" s="1"/>
  <c r="X1045" i="95" s="1"/>
  <c r="Y1045" i="95" s="1"/>
  <c r="Z1045" i="95" s="1"/>
  <c r="AA1045" i="95" s="1"/>
  <c r="AB1045" i="95" s="1"/>
  <c r="AC1045" i="95" s="1"/>
  <c r="AD1045" i="95" s="1"/>
  <c r="AE1045" i="95" s="1"/>
  <c r="AF1045" i="95" s="1"/>
  <c r="D1043" i="95"/>
  <c r="E1043" i="95" s="1"/>
  <c r="F1043" i="95" s="1"/>
  <c r="G1043" i="95" s="1"/>
  <c r="H1043" i="95" s="1"/>
  <c r="I1043" i="95" s="1"/>
  <c r="J1043" i="95" s="1"/>
  <c r="K1043" i="95" s="1"/>
  <c r="L1043" i="95" s="1"/>
  <c r="M1043" i="95" s="1"/>
  <c r="N1043" i="95" s="1"/>
  <c r="O1043" i="95" s="1"/>
  <c r="P1043" i="95" s="1"/>
  <c r="Q1043" i="95" s="1"/>
  <c r="R1043" i="95" s="1"/>
  <c r="S1043" i="95" s="1"/>
  <c r="T1043" i="95" s="1"/>
  <c r="U1043" i="95" s="1"/>
  <c r="V1043" i="95" s="1"/>
  <c r="W1043" i="95" s="1"/>
  <c r="X1043" i="95" s="1"/>
  <c r="Y1043" i="95" s="1"/>
  <c r="Z1043" i="95" s="1"/>
  <c r="AA1043" i="95" s="1"/>
  <c r="AB1043" i="95" s="1"/>
  <c r="AC1043" i="95" s="1"/>
  <c r="AD1043" i="95" s="1"/>
  <c r="AE1043" i="95" s="1"/>
  <c r="AF1043" i="95" s="1"/>
  <c r="D1042" i="95"/>
  <c r="E1042" i="95" s="1"/>
  <c r="F1042" i="95" s="1"/>
  <c r="G1042" i="95" s="1"/>
  <c r="H1042" i="95" s="1"/>
  <c r="I1042" i="95" s="1"/>
  <c r="J1042" i="95" s="1"/>
  <c r="K1042" i="95" s="1"/>
  <c r="L1042" i="95" s="1"/>
  <c r="M1042" i="95" s="1"/>
  <c r="N1042" i="95" s="1"/>
  <c r="O1042" i="95" s="1"/>
  <c r="P1042" i="95" s="1"/>
  <c r="Q1042" i="95" s="1"/>
  <c r="R1042" i="95" s="1"/>
  <c r="S1042" i="95" s="1"/>
  <c r="T1042" i="95" s="1"/>
  <c r="U1042" i="95" s="1"/>
  <c r="V1042" i="95" s="1"/>
  <c r="W1042" i="95" s="1"/>
  <c r="X1042" i="95" s="1"/>
  <c r="Y1042" i="95" s="1"/>
  <c r="Z1042" i="95" s="1"/>
  <c r="AA1042" i="95" s="1"/>
  <c r="AB1042" i="95" s="1"/>
  <c r="AC1042" i="95" s="1"/>
  <c r="AD1042" i="95" s="1"/>
  <c r="AE1042" i="95" s="1"/>
  <c r="AF1042" i="95" s="1"/>
  <c r="E1034" i="95"/>
  <c r="F1034" i="95" s="1"/>
  <c r="G1034" i="95" s="1"/>
  <c r="H1034" i="95" s="1"/>
  <c r="I1034" i="95" s="1"/>
  <c r="J1034" i="95" s="1"/>
  <c r="K1034" i="95" s="1"/>
  <c r="L1034" i="95" s="1"/>
  <c r="M1034" i="95" s="1"/>
  <c r="N1034" i="95" s="1"/>
  <c r="O1034" i="95" s="1"/>
  <c r="P1034" i="95" s="1"/>
  <c r="Q1034" i="95" s="1"/>
  <c r="R1034" i="95" s="1"/>
  <c r="S1034" i="95" s="1"/>
  <c r="T1034" i="95" s="1"/>
  <c r="U1034" i="95" s="1"/>
  <c r="V1034" i="95" s="1"/>
  <c r="W1034" i="95" s="1"/>
  <c r="X1034" i="95" s="1"/>
  <c r="Y1034" i="95" s="1"/>
  <c r="Z1034" i="95" s="1"/>
  <c r="AA1034" i="95" s="1"/>
  <c r="AB1034" i="95" s="1"/>
  <c r="AC1034" i="95" s="1"/>
  <c r="AD1034" i="95" s="1"/>
  <c r="AE1034" i="95" s="1"/>
  <c r="AF1034" i="95" s="1"/>
  <c r="E1028" i="95"/>
  <c r="F1028" i="95" s="1"/>
  <c r="G1028" i="95" s="1"/>
  <c r="H1028" i="95" s="1"/>
  <c r="I1028" i="95" s="1"/>
  <c r="J1028" i="95" s="1"/>
  <c r="K1028" i="95" s="1"/>
  <c r="L1028" i="95" s="1"/>
  <c r="M1028" i="95" s="1"/>
  <c r="N1028" i="95" s="1"/>
  <c r="O1028" i="95" s="1"/>
  <c r="P1028" i="95" s="1"/>
  <c r="Q1028" i="95" s="1"/>
  <c r="R1028" i="95" s="1"/>
  <c r="S1028" i="95" s="1"/>
  <c r="T1028" i="95" s="1"/>
  <c r="U1028" i="95" s="1"/>
  <c r="V1028" i="95" s="1"/>
  <c r="W1028" i="95" s="1"/>
  <c r="X1028" i="95" s="1"/>
  <c r="Y1028" i="95" s="1"/>
  <c r="Z1028" i="95" s="1"/>
  <c r="AA1028" i="95" s="1"/>
  <c r="AB1028" i="95" s="1"/>
  <c r="AC1028" i="95" s="1"/>
  <c r="AD1028" i="95" s="1"/>
  <c r="AE1028" i="95" s="1"/>
  <c r="AF1028" i="95" s="1"/>
  <c r="B1008" i="95"/>
  <c r="D1004" i="95"/>
  <c r="D1016" i="95" s="1"/>
  <c r="D1000" i="95"/>
  <c r="E1000" i="95" s="1"/>
  <c r="F1000" i="95" s="1"/>
  <c r="G1000" i="95" s="1"/>
  <c r="H1000" i="95" s="1"/>
  <c r="I1000" i="95" s="1"/>
  <c r="J1000" i="95" s="1"/>
  <c r="K1000" i="95" s="1"/>
  <c r="L1000" i="95" s="1"/>
  <c r="M1000" i="95" s="1"/>
  <c r="N1000" i="95" s="1"/>
  <c r="O1000" i="95" s="1"/>
  <c r="P1000" i="95" s="1"/>
  <c r="Q1000" i="95" s="1"/>
  <c r="R1000" i="95" s="1"/>
  <c r="S1000" i="95" s="1"/>
  <c r="T1000" i="95" s="1"/>
  <c r="U1000" i="95" s="1"/>
  <c r="V1000" i="95" s="1"/>
  <c r="W1000" i="95" s="1"/>
  <c r="X1000" i="95" s="1"/>
  <c r="Y1000" i="95" s="1"/>
  <c r="Z1000" i="95" s="1"/>
  <c r="AA1000" i="95" s="1"/>
  <c r="AB1000" i="95" s="1"/>
  <c r="AC1000" i="95" s="1"/>
  <c r="AD1000" i="95" s="1"/>
  <c r="AE1000" i="95" s="1"/>
  <c r="AF1000" i="95" s="1"/>
  <c r="D998" i="95"/>
  <c r="E998" i="95" s="1"/>
  <c r="F998" i="95" s="1"/>
  <c r="G998" i="95" s="1"/>
  <c r="H998" i="95" s="1"/>
  <c r="I998" i="95" s="1"/>
  <c r="J998" i="95" s="1"/>
  <c r="K998" i="95" s="1"/>
  <c r="L998" i="95" s="1"/>
  <c r="M998" i="95" s="1"/>
  <c r="N998" i="95" s="1"/>
  <c r="O998" i="95" s="1"/>
  <c r="P998" i="95" s="1"/>
  <c r="Q998" i="95" s="1"/>
  <c r="R998" i="95" s="1"/>
  <c r="S998" i="95" s="1"/>
  <c r="T998" i="95" s="1"/>
  <c r="U998" i="95" s="1"/>
  <c r="V998" i="95" s="1"/>
  <c r="W998" i="95" s="1"/>
  <c r="X998" i="95" s="1"/>
  <c r="Y998" i="95" s="1"/>
  <c r="Z998" i="95" s="1"/>
  <c r="AA998" i="95" s="1"/>
  <c r="AB998" i="95" s="1"/>
  <c r="AC998" i="95" s="1"/>
  <c r="AD998" i="95" s="1"/>
  <c r="AE998" i="95" s="1"/>
  <c r="AF998" i="95" s="1"/>
  <c r="D994" i="95"/>
  <c r="B993" i="95"/>
  <c r="AF988" i="95"/>
  <c r="AE988" i="95"/>
  <c r="AD988" i="95"/>
  <c r="AC988" i="95"/>
  <c r="AB988" i="95"/>
  <c r="AA988" i="95"/>
  <c r="Z988" i="95"/>
  <c r="Y988" i="95"/>
  <c r="X988" i="95"/>
  <c r="W988" i="95"/>
  <c r="V988" i="95"/>
  <c r="U988" i="95"/>
  <c r="T988" i="95"/>
  <c r="S988" i="95"/>
  <c r="R988" i="95"/>
  <c r="Q988" i="95"/>
  <c r="P988" i="95"/>
  <c r="O988" i="95"/>
  <c r="N988" i="95"/>
  <c r="M988" i="95"/>
  <c r="L988" i="95"/>
  <c r="K988" i="95"/>
  <c r="J988" i="95"/>
  <c r="I988" i="95"/>
  <c r="H988" i="95"/>
  <c r="G988" i="95"/>
  <c r="F988" i="95"/>
  <c r="E988" i="95"/>
  <c r="D988" i="95"/>
  <c r="D984" i="95"/>
  <c r="B983" i="95"/>
  <c r="AF973" i="95"/>
  <c r="AE973" i="95"/>
  <c r="AD973" i="95"/>
  <c r="AC973" i="95"/>
  <c r="AB973" i="95"/>
  <c r="AA973" i="95"/>
  <c r="Z973" i="95"/>
  <c r="Y973" i="95"/>
  <c r="X973" i="95"/>
  <c r="W973" i="95"/>
  <c r="V973" i="95"/>
  <c r="U973" i="95"/>
  <c r="T973" i="95"/>
  <c r="S973" i="95"/>
  <c r="R973" i="95"/>
  <c r="Q973" i="95"/>
  <c r="P973" i="95"/>
  <c r="O973" i="95"/>
  <c r="N973" i="95"/>
  <c r="M973" i="95"/>
  <c r="L973" i="95"/>
  <c r="K973" i="95"/>
  <c r="J973" i="95"/>
  <c r="I973" i="95"/>
  <c r="H973" i="95"/>
  <c r="G973" i="95"/>
  <c r="F973" i="95"/>
  <c r="E973" i="95"/>
  <c r="D973" i="95"/>
  <c r="D963" i="95"/>
  <c r="B962" i="95"/>
  <c r="AF958" i="95"/>
  <c r="AE958" i="95"/>
  <c r="AD958" i="95"/>
  <c r="AC958" i="95"/>
  <c r="AB958" i="95"/>
  <c r="AA958" i="95"/>
  <c r="Z958" i="95"/>
  <c r="Y958" i="95"/>
  <c r="X958" i="95"/>
  <c r="W958" i="95"/>
  <c r="V958" i="95"/>
  <c r="U958" i="95"/>
  <c r="T958" i="95"/>
  <c r="S958" i="95"/>
  <c r="R958" i="95"/>
  <c r="Q958" i="95"/>
  <c r="P958" i="95"/>
  <c r="O958" i="95"/>
  <c r="N958" i="95"/>
  <c r="M958" i="95"/>
  <c r="L958" i="95"/>
  <c r="K958" i="95"/>
  <c r="J958" i="95"/>
  <c r="I958" i="95"/>
  <c r="H958" i="95"/>
  <c r="G958" i="95"/>
  <c r="F958" i="95"/>
  <c r="E958" i="95"/>
  <c r="D958" i="95"/>
  <c r="D954" i="95"/>
  <c r="D950" i="95"/>
  <c r="B948" i="95"/>
  <c r="AF946" i="95"/>
  <c r="AE946" i="95"/>
  <c r="AD946" i="95"/>
  <c r="AC946" i="95"/>
  <c r="AB946" i="95"/>
  <c r="AA946" i="95"/>
  <c r="Z946" i="95"/>
  <c r="Y946" i="95"/>
  <c r="X946" i="95"/>
  <c r="W946" i="95"/>
  <c r="V946" i="95"/>
  <c r="U946" i="95"/>
  <c r="T946" i="95"/>
  <c r="S946" i="95"/>
  <c r="R946" i="95"/>
  <c r="Q946" i="95"/>
  <c r="P946" i="95"/>
  <c r="O946" i="95"/>
  <c r="N946" i="95"/>
  <c r="M946" i="95"/>
  <c r="L946" i="95"/>
  <c r="K946" i="95"/>
  <c r="J946" i="95"/>
  <c r="I946" i="95"/>
  <c r="H946" i="95"/>
  <c r="G946" i="95"/>
  <c r="F946" i="95"/>
  <c r="E946" i="95"/>
  <c r="D946" i="95"/>
  <c r="AG944" i="95"/>
  <c r="E933" i="95"/>
  <c r="E950" i="95" s="1"/>
  <c r="AF917" i="95"/>
  <c r="AE917" i="95"/>
  <c r="AD917" i="95"/>
  <c r="AC917" i="95"/>
  <c r="AB917" i="95"/>
  <c r="AA917" i="95"/>
  <c r="Z917" i="95"/>
  <c r="Y917" i="95"/>
  <c r="X917" i="95"/>
  <c r="W917" i="95"/>
  <c r="V917" i="95"/>
  <c r="U917" i="95"/>
  <c r="T917" i="95"/>
  <c r="S917" i="95"/>
  <c r="R917" i="95"/>
  <c r="Q917" i="95"/>
  <c r="P917" i="95"/>
  <c r="O917" i="95"/>
  <c r="N917" i="95"/>
  <c r="M917" i="95"/>
  <c r="L917" i="95"/>
  <c r="K917" i="95"/>
  <c r="J917" i="95"/>
  <c r="I917" i="95"/>
  <c r="H917" i="95"/>
  <c r="G917" i="95"/>
  <c r="F917" i="95"/>
  <c r="E917" i="95"/>
  <c r="D917" i="95"/>
  <c r="AF909" i="95"/>
  <c r="AE909" i="95"/>
  <c r="AD909" i="95"/>
  <c r="AC909" i="95"/>
  <c r="AB909" i="95"/>
  <c r="AA909" i="95"/>
  <c r="Z909" i="95"/>
  <c r="Y909" i="95"/>
  <c r="X909" i="95"/>
  <c r="W909" i="95"/>
  <c r="V909" i="95"/>
  <c r="U909" i="95"/>
  <c r="T909" i="95"/>
  <c r="S909" i="95"/>
  <c r="R909" i="95"/>
  <c r="Q909" i="95"/>
  <c r="P909" i="95"/>
  <c r="O909" i="95"/>
  <c r="N909" i="95"/>
  <c r="M909" i="95"/>
  <c r="L909" i="95"/>
  <c r="K909" i="95"/>
  <c r="J909" i="95"/>
  <c r="I909" i="95"/>
  <c r="H909" i="95"/>
  <c r="G909" i="95"/>
  <c r="F909" i="95"/>
  <c r="E909" i="95"/>
  <c r="D909" i="95"/>
  <c r="AF903" i="95"/>
  <c r="AE903" i="95"/>
  <c r="AD903" i="95"/>
  <c r="AC903" i="95"/>
  <c r="AB903" i="95"/>
  <c r="AA903" i="95"/>
  <c r="Z903" i="95"/>
  <c r="Y903" i="95"/>
  <c r="X903" i="95"/>
  <c r="W903" i="95"/>
  <c r="V903" i="95"/>
  <c r="U903" i="95"/>
  <c r="T903" i="95"/>
  <c r="S903" i="95"/>
  <c r="R903" i="95"/>
  <c r="Q903" i="95"/>
  <c r="P903" i="95"/>
  <c r="O903" i="95"/>
  <c r="N903" i="95"/>
  <c r="M903" i="95"/>
  <c r="L903" i="95"/>
  <c r="K903" i="95"/>
  <c r="J903" i="95"/>
  <c r="I903" i="95"/>
  <c r="H903" i="95"/>
  <c r="G903" i="95"/>
  <c r="F903" i="95"/>
  <c r="E903" i="95"/>
  <c r="D903" i="95"/>
  <c r="D1012" i="95"/>
  <c r="E1012" i="95" s="1"/>
  <c r="F1012" i="95" s="1"/>
  <c r="G1012" i="95" s="1"/>
  <c r="H1012" i="95" s="1"/>
  <c r="I1012" i="95" s="1"/>
  <c r="J1012" i="95" s="1"/>
  <c r="K1012" i="95" s="1"/>
  <c r="L1012" i="95" s="1"/>
  <c r="M1012" i="95" s="1"/>
  <c r="N1012" i="95" s="1"/>
  <c r="O1012" i="95" s="1"/>
  <c r="P1012" i="95" s="1"/>
  <c r="Q1012" i="95" s="1"/>
  <c r="R1012" i="95" s="1"/>
  <c r="S1012" i="95" s="1"/>
  <c r="T1012" i="95" s="1"/>
  <c r="U1012" i="95" s="1"/>
  <c r="V1012" i="95" s="1"/>
  <c r="W1012" i="95" s="1"/>
  <c r="X1012" i="95" s="1"/>
  <c r="Y1012" i="95" s="1"/>
  <c r="Z1012" i="95" s="1"/>
  <c r="AA1012" i="95" s="1"/>
  <c r="AB1012" i="95" s="1"/>
  <c r="AC1012" i="95" s="1"/>
  <c r="AD1012" i="95" s="1"/>
  <c r="AE1012" i="95" s="1"/>
  <c r="AF1012" i="95" s="1"/>
  <c r="B841" i="95"/>
  <c r="D837" i="95"/>
  <c r="D827" i="95"/>
  <c r="B826" i="95"/>
  <c r="D817" i="95"/>
  <c r="B816" i="95"/>
  <c r="AF806" i="95"/>
  <c r="AE806" i="95"/>
  <c r="AD806" i="95"/>
  <c r="AC806" i="95"/>
  <c r="AB806" i="95"/>
  <c r="AA806" i="95"/>
  <c r="Z806" i="95"/>
  <c r="Y806" i="95"/>
  <c r="X806" i="95"/>
  <c r="W806" i="95"/>
  <c r="V806" i="95"/>
  <c r="U806" i="95"/>
  <c r="T806" i="95"/>
  <c r="S806" i="95"/>
  <c r="R806" i="95"/>
  <c r="Q806" i="95"/>
  <c r="P806" i="95"/>
  <c r="O806" i="95"/>
  <c r="N806" i="95"/>
  <c r="M806" i="95"/>
  <c r="L806" i="95"/>
  <c r="K806" i="95"/>
  <c r="J806" i="95"/>
  <c r="I806" i="95"/>
  <c r="H806" i="95"/>
  <c r="G806" i="95"/>
  <c r="F806" i="95"/>
  <c r="E806" i="95"/>
  <c r="D806" i="95"/>
  <c r="D796" i="95"/>
  <c r="B795" i="95"/>
  <c r="AF791" i="95"/>
  <c r="AE791" i="95"/>
  <c r="AD791" i="95"/>
  <c r="AC791" i="95"/>
  <c r="AB791" i="95"/>
  <c r="AA791" i="95"/>
  <c r="Z791" i="95"/>
  <c r="Y791" i="95"/>
  <c r="X791" i="95"/>
  <c r="W791" i="95"/>
  <c r="V791" i="95"/>
  <c r="U791" i="95"/>
  <c r="T791" i="95"/>
  <c r="S791" i="95"/>
  <c r="R791" i="95"/>
  <c r="Q791" i="95"/>
  <c r="P791" i="95"/>
  <c r="O791" i="95"/>
  <c r="N791" i="95"/>
  <c r="M791" i="95"/>
  <c r="L791" i="95"/>
  <c r="K791" i="95"/>
  <c r="J791" i="95"/>
  <c r="I791" i="95"/>
  <c r="H791" i="95"/>
  <c r="G791" i="95"/>
  <c r="F791" i="95"/>
  <c r="E791" i="95"/>
  <c r="D791" i="95"/>
  <c r="D783" i="95"/>
  <c r="B781" i="95"/>
  <c r="AG777" i="95"/>
  <c r="D770" i="95"/>
  <c r="D767" i="95"/>
  <c r="D764" i="95"/>
  <c r="E757" i="95"/>
  <c r="E755" i="95"/>
  <c r="E754" i="95"/>
  <c r="E767" i="95" s="1"/>
  <c r="E753" i="95"/>
  <c r="E764" i="95" s="1"/>
  <c r="AF747" i="95"/>
  <c r="AE747" i="95"/>
  <c r="AD747" i="95"/>
  <c r="AC747" i="95"/>
  <c r="AB747" i="95"/>
  <c r="AA747" i="95"/>
  <c r="Z747" i="95"/>
  <c r="Y747" i="95"/>
  <c r="X747" i="95"/>
  <c r="W747" i="95"/>
  <c r="V747" i="95"/>
  <c r="U747" i="95"/>
  <c r="T747" i="95"/>
  <c r="S747" i="95"/>
  <c r="R747" i="95"/>
  <c r="Q747" i="95"/>
  <c r="P747" i="95"/>
  <c r="O747" i="95"/>
  <c r="N747" i="95"/>
  <c r="M747" i="95"/>
  <c r="L747" i="95"/>
  <c r="K747" i="95"/>
  <c r="J747" i="95"/>
  <c r="I747" i="95"/>
  <c r="H747" i="95"/>
  <c r="G747" i="95"/>
  <c r="F747" i="95"/>
  <c r="E747" i="95"/>
  <c r="D747" i="95"/>
  <c r="AF744" i="95"/>
  <c r="AE744" i="95"/>
  <c r="AD744" i="95"/>
  <c r="AC744" i="95"/>
  <c r="AB744" i="95"/>
  <c r="AA744" i="95"/>
  <c r="Z744" i="95"/>
  <c r="Y744" i="95"/>
  <c r="X744" i="95"/>
  <c r="W744" i="95"/>
  <c r="V744" i="95"/>
  <c r="U744" i="95"/>
  <c r="T744" i="95"/>
  <c r="S744" i="95"/>
  <c r="R744" i="95"/>
  <c r="Q744" i="95"/>
  <c r="P744" i="95"/>
  <c r="O744" i="95"/>
  <c r="N744" i="95"/>
  <c r="M744" i="95"/>
  <c r="L744" i="95"/>
  <c r="K744" i="95"/>
  <c r="J744" i="95"/>
  <c r="I744" i="95"/>
  <c r="H744" i="95"/>
  <c r="G744" i="95"/>
  <c r="F744" i="95"/>
  <c r="E744" i="95"/>
  <c r="D744" i="95"/>
  <c r="AF736" i="95"/>
  <c r="AE736" i="95"/>
  <c r="AD736" i="95"/>
  <c r="AC736" i="95"/>
  <c r="AB736" i="95"/>
  <c r="AA736" i="95"/>
  <c r="Z736" i="95"/>
  <c r="Y736" i="95"/>
  <c r="X736" i="95"/>
  <c r="W736" i="95"/>
  <c r="V736" i="95"/>
  <c r="U736" i="95"/>
  <c r="T736" i="95"/>
  <c r="S736" i="95"/>
  <c r="R736" i="95"/>
  <c r="Q736" i="95"/>
  <c r="P736" i="95"/>
  <c r="O736" i="95"/>
  <c r="N736" i="95"/>
  <c r="M736" i="95"/>
  <c r="L736" i="95"/>
  <c r="K736" i="95"/>
  <c r="J736" i="95"/>
  <c r="I736" i="95"/>
  <c r="H736" i="95"/>
  <c r="G736" i="95"/>
  <c r="F736" i="95"/>
  <c r="E736" i="95"/>
  <c r="D736" i="95"/>
  <c r="AF730" i="95"/>
  <c r="AE730" i="95"/>
  <c r="AD730" i="95"/>
  <c r="AC730" i="95"/>
  <c r="AB730" i="95"/>
  <c r="AA730" i="95"/>
  <c r="Z730" i="95"/>
  <c r="Y730" i="95"/>
  <c r="X730" i="95"/>
  <c r="W730" i="95"/>
  <c r="V730" i="95"/>
  <c r="U730" i="95"/>
  <c r="T730" i="95"/>
  <c r="S730" i="95"/>
  <c r="R730" i="95"/>
  <c r="Q730" i="95"/>
  <c r="P730" i="95"/>
  <c r="O730" i="95"/>
  <c r="N730" i="95"/>
  <c r="M730" i="95"/>
  <c r="L730" i="95"/>
  <c r="K730" i="95"/>
  <c r="J730" i="95"/>
  <c r="I730" i="95"/>
  <c r="H730" i="95"/>
  <c r="G730" i="95"/>
  <c r="F730" i="95"/>
  <c r="E730" i="95"/>
  <c r="D730" i="95"/>
  <c r="G702" i="95"/>
  <c r="H702" i="95" s="1"/>
  <c r="F702" i="95"/>
  <c r="E702" i="95"/>
  <c r="D702" i="95"/>
  <c r="AF676" i="95"/>
  <c r="AE676" i="95"/>
  <c r="AD676" i="95"/>
  <c r="AC676" i="95"/>
  <c r="AB676" i="95"/>
  <c r="AA676" i="95"/>
  <c r="Z676" i="95"/>
  <c r="Y676" i="95"/>
  <c r="X676" i="95"/>
  <c r="W676" i="95"/>
  <c r="V676" i="95"/>
  <c r="U676" i="95"/>
  <c r="T676" i="95"/>
  <c r="S676" i="95"/>
  <c r="R676" i="95"/>
  <c r="Q676" i="95"/>
  <c r="P676" i="95"/>
  <c r="O676" i="95"/>
  <c r="N676" i="95"/>
  <c r="M676" i="95"/>
  <c r="L676" i="95"/>
  <c r="K676" i="95"/>
  <c r="J676" i="95"/>
  <c r="I676" i="95"/>
  <c r="H676" i="95"/>
  <c r="G676" i="95"/>
  <c r="F676" i="95"/>
  <c r="E676" i="95"/>
  <c r="D676" i="95"/>
  <c r="AF651" i="95"/>
  <c r="AE651" i="95"/>
  <c r="AD651" i="95"/>
  <c r="AC651" i="95"/>
  <c r="AB651" i="95"/>
  <c r="AA651" i="95"/>
  <c r="Z651" i="95"/>
  <c r="Y651" i="95"/>
  <c r="X651" i="95"/>
  <c r="W651" i="95"/>
  <c r="V651" i="95"/>
  <c r="U651" i="95"/>
  <c r="T651" i="95"/>
  <c r="S651" i="95"/>
  <c r="R651" i="95"/>
  <c r="Q651" i="95"/>
  <c r="P651" i="95"/>
  <c r="O651" i="95"/>
  <c r="N651" i="95"/>
  <c r="M651" i="95"/>
  <c r="L651" i="95"/>
  <c r="K651" i="95"/>
  <c r="J651" i="95"/>
  <c r="I651" i="95"/>
  <c r="H651" i="95"/>
  <c r="G651" i="95"/>
  <c r="F651" i="95"/>
  <c r="E651" i="95"/>
  <c r="D651" i="95"/>
  <c r="AF637" i="95"/>
  <c r="AE637" i="95"/>
  <c r="AD637" i="95"/>
  <c r="AC637" i="95"/>
  <c r="AB637" i="95"/>
  <c r="AA637" i="95"/>
  <c r="Z637" i="95"/>
  <c r="Y637" i="95"/>
  <c r="X637" i="95"/>
  <c r="W637" i="95"/>
  <c r="V637" i="95"/>
  <c r="U637" i="95"/>
  <c r="T637" i="95"/>
  <c r="S637" i="95"/>
  <c r="R637" i="95"/>
  <c r="Q637" i="95"/>
  <c r="P637" i="95"/>
  <c r="O637" i="95"/>
  <c r="N637" i="95"/>
  <c r="M637" i="95"/>
  <c r="L637" i="95"/>
  <c r="K637" i="95"/>
  <c r="J637" i="95"/>
  <c r="I637" i="95"/>
  <c r="H637" i="95"/>
  <c r="G637" i="95"/>
  <c r="F637" i="95"/>
  <c r="E637" i="95"/>
  <c r="D637" i="95"/>
  <c r="AF634" i="95"/>
  <c r="AE634" i="95"/>
  <c r="AD634" i="95"/>
  <c r="AC634" i="95"/>
  <c r="AB634" i="95"/>
  <c r="AA634" i="95"/>
  <c r="Z634" i="95"/>
  <c r="Y634" i="95"/>
  <c r="X634" i="95"/>
  <c r="W634" i="95"/>
  <c r="V634" i="95"/>
  <c r="U634" i="95"/>
  <c r="T634" i="95"/>
  <c r="S634" i="95"/>
  <c r="R634" i="95"/>
  <c r="Q634" i="95"/>
  <c r="P634" i="95"/>
  <c r="O634" i="95"/>
  <c r="N634" i="95"/>
  <c r="M634" i="95"/>
  <c r="L634" i="95"/>
  <c r="K634" i="95"/>
  <c r="J634" i="95"/>
  <c r="I634" i="95"/>
  <c r="H634" i="95"/>
  <c r="G634" i="95"/>
  <c r="F634" i="95"/>
  <c r="E634" i="95"/>
  <c r="D634" i="95"/>
  <c r="AF629" i="95"/>
  <c r="AE629" i="95"/>
  <c r="AD629" i="95"/>
  <c r="AC629" i="95"/>
  <c r="AB629" i="95"/>
  <c r="AA629" i="95"/>
  <c r="Z629" i="95"/>
  <c r="Y629" i="95"/>
  <c r="X629" i="95"/>
  <c r="W629" i="95"/>
  <c r="V629" i="95"/>
  <c r="U629" i="95"/>
  <c r="T629" i="95"/>
  <c r="S629" i="95"/>
  <c r="R629" i="95"/>
  <c r="Q629" i="95"/>
  <c r="P629" i="95"/>
  <c r="O629" i="95"/>
  <c r="N629" i="95"/>
  <c r="M629" i="95"/>
  <c r="L629" i="95"/>
  <c r="K629" i="95"/>
  <c r="J629" i="95"/>
  <c r="I629" i="95"/>
  <c r="H629" i="95"/>
  <c r="G629" i="95"/>
  <c r="F629" i="95"/>
  <c r="E629" i="95"/>
  <c r="D629" i="95"/>
  <c r="AF615" i="95"/>
  <c r="AE615" i="95"/>
  <c r="AD615" i="95"/>
  <c r="AC615" i="95"/>
  <c r="AB615" i="95"/>
  <c r="AA615" i="95"/>
  <c r="Z615" i="95"/>
  <c r="Y615" i="95"/>
  <c r="X615" i="95"/>
  <c r="W615" i="95"/>
  <c r="V615" i="95"/>
  <c r="U615" i="95"/>
  <c r="T615" i="95"/>
  <c r="S615" i="95"/>
  <c r="R615" i="95"/>
  <c r="Q615" i="95"/>
  <c r="P615" i="95"/>
  <c r="O615" i="95"/>
  <c r="N615" i="95"/>
  <c r="M615" i="95"/>
  <c r="L615" i="95"/>
  <c r="K615" i="95"/>
  <c r="J615" i="95"/>
  <c r="I615" i="95"/>
  <c r="H615" i="95"/>
  <c r="G615" i="95"/>
  <c r="F615" i="95"/>
  <c r="E615" i="95"/>
  <c r="D615" i="95"/>
  <c r="AF612" i="95"/>
  <c r="AE612" i="95"/>
  <c r="AD612" i="95"/>
  <c r="AC612" i="95"/>
  <c r="AB612" i="95"/>
  <c r="AA612" i="95"/>
  <c r="Z612" i="95"/>
  <c r="Y612" i="95"/>
  <c r="X612" i="95"/>
  <c r="W612" i="95"/>
  <c r="V612" i="95"/>
  <c r="U612" i="95"/>
  <c r="T612" i="95"/>
  <c r="S612" i="95"/>
  <c r="R612" i="95"/>
  <c r="Q612" i="95"/>
  <c r="P612" i="95"/>
  <c r="O612" i="95"/>
  <c r="N612" i="95"/>
  <c r="M612" i="95"/>
  <c r="L612" i="95"/>
  <c r="K612" i="95"/>
  <c r="J612" i="95"/>
  <c r="I612" i="95"/>
  <c r="H612" i="95"/>
  <c r="G612" i="95"/>
  <c r="F612" i="95"/>
  <c r="E612" i="95"/>
  <c r="D612" i="95"/>
  <c r="AF604" i="95"/>
  <c r="AE604" i="95"/>
  <c r="AD604" i="95"/>
  <c r="AC604" i="95"/>
  <c r="AB604" i="95"/>
  <c r="AA604" i="95"/>
  <c r="Z604" i="95"/>
  <c r="Y604" i="95"/>
  <c r="X604" i="95"/>
  <c r="W604" i="95"/>
  <c r="V604" i="95"/>
  <c r="U604" i="95"/>
  <c r="T604" i="95"/>
  <c r="S604" i="95"/>
  <c r="R604" i="95"/>
  <c r="Q604" i="95"/>
  <c r="P604" i="95"/>
  <c r="O604" i="95"/>
  <c r="N604" i="95"/>
  <c r="M604" i="95"/>
  <c r="L604" i="95"/>
  <c r="K604" i="95"/>
  <c r="J604" i="95"/>
  <c r="I604" i="95"/>
  <c r="H604" i="95"/>
  <c r="G604" i="95"/>
  <c r="F604" i="95"/>
  <c r="E604" i="95"/>
  <c r="D604" i="95"/>
  <c r="AF598" i="95"/>
  <c r="AE598" i="95"/>
  <c r="AD598" i="95"/>
  <c r="AC598" i="95"/>
  <c r="AB598" i="95"/>
  <c r="AA598" i="95"/>
  <c r="Z598" i="95"/>
  <c r="Y598" i="95"/>
  <c r="X598" i="95"/>
  <c r="W598" i="95"/>
  <c r="V598" i="95"/>
  <c r="U598" i="95"/>
  <c r="T598" i="95"/>
  <c r="S598" i="95"/>
  <c r="R598" i="95"/>
  <c r="Q598" i="95"/>
  <c r="P598" i="95"/>
  <c r="O598" i="95"/>
  <c r="N598" i="95"/>
  <c r="M598" i="95"/>
  <c r="L598" i="95"/>
  <c r="K598" i="95"/>
  <c r="J598" i="95"/>
  <c r="I598" i="95"/>
  <c r="H598" i="95"/>
  <c r="G598" i="95"/>
  <c r="F598" i="95"/>
  <c r="E598" i="95"/>
  <c r="D598" i="95"/>
  <c r="B565" i="95"/>
  <c r="AF551" i="95"/>
  <c r="AE551" i="95"/>
  <c r="AD551" i="95"/>
  <c r="AC551" i="95"/>
  <c r="AB551" i="95"/>
  <c r="AA551" i="95"/>
  <c r="Z551" i="95"/>
  <c r="Y551" i="95"/>
  <c r="X551" i="95"/>
  <c r="W551" i="95"/>
  <c r="V551" i="95"/>
  <c r="U551" i="95"/>
  <c r="T551" i="95"/>
  <c r="S551" i="95"/>
  <c r="R551" i="95"/>
  <c r="Q551" i="95"/>
  <c r="P551" i="95"/>
  <c r="O551" i="95"/>
  <c r="N551" i="95"/>
  <c r="M551" i="95"/>
  <c r="L551" i="95"/>
  <c r="K551" i="95"/>
  <c r="J551" i="95"/>
  <c r="I551" i="95"/>
  <c r="H551" i="95"/>
  <c r="G551" i="95"/>
  <c r="F551" i="95"/>
  <c r="E551" i="95"/>
  <c r="D551" i="95"/>
  <c r="B550" i="95"/>
  <c r="AF545" i="95"/>
  <c r="AF561" i="95" s="1"/>
  <c r="AF573" i="95" s="1"/>
  <c r="AE545" i="95"/>
  <c r="AE561" i="95" s="1"/>
  <c r="AE573" i="95" s="1"/>
  <c r="AD545" i="95"/>
  <c r="AD561" i="95" s="1"/>
  <c r="AD573" i="95" s="1"/>
  <c r="AC545" i="95"/>
  <c r="AC561" i="95" s="1"/>
  <c r="AC573" i="95" s="1"/>
  <c r="AB545" i="95"/>
  <c r="AB561" i="95" s="1"/>
  <c r="AB573" i="95" s="1"/>
  <c r="AA545" i="95"/>
  <c r="AA561" i="95" s="1"/>
  <c r="AA573" i="95" s="1"/>
  <c r="Z545" i="95"/>
  <c r="Z561" i="95" s="1"/>
  <c r="Z573" i="95" s="1"/>
  <c r="Y545" i="95"/>
  <c r="Y561" i="95" s="1"/>
  <c r="Y573" i="95" s="1"/>
  <c r="X545" i="95"/>
  <c r="X561" i="95" s="1"/>
  <c r="X573" i="95" s="1"/>
  <c r="W545" i="95"/>
  <c r="W561" i="95" s="1"/>
  <c r="W573" i="95" s="1"/>
  <c r="V545" i="95"/>
  <c r="V561" i="95" s="1"/>
  <c r="V573" i="95" s="1"/>
  <c r="U545" i="95"/>
  <c r="U561" i="95" s="1"/>
  <c r="U573" i="95" s="1"/>
  <c r="T545" i="95"/>
  <c r="T561" i="95" s="1"/>
  <c r="T573" i="95" s="1"/>
  <c r="S545" i="95"/>
  <c r="S561" i="95" s="1"/>
  <c r="S573" i="95" s="1"/>
  <c r="R545" i="95"/>
  <c r="R561" i="95" s="1"/>
  <c r="R573" i="95" s="1"/>
  <c r="Q545" i="95"/>
  <c r="Q561" i="95" s="1"/>
  <c r="Q573" i="95" s="1"/>
  <c r="P545" i="95"/>
  <c r="P561" i="95" s="1"/>
  <c r="P573" i="95" s="1"/>
  <c r="O545" i="95"/>
  <c r="O561" i="95" s="1"/>
  <c r="O573" i="95" s="1"/>
  <c r="N545" i="95"/>
  <c r="N561" i="95" s="1"/>
  <c r="N573" i="95" s="1"/>
  <c r="M545" i="95"/>
  <c r="M561" i="95" s="1"/>
  <c r="M573" i="95" s="1"/>
  <c r="L545" i="95"/>
  <c r="L561" i="95" s="1"/>
  <c r="L573" i="95" s="1"/>
  <c r="K545" i="95"/>
  <c r="K561" i="95" s="1"/>
  <c r="K573" i="95" s="1"/>
  <c r="J545" i="95"/>
  <c r="J561" i="95" s="1"/>
  <c r="J573" i="95" s="1"/>
  <c r="I545" i="95"/>
  <c r="I561" i="95" s="1"/>
  <c r="I573" i="95" s="1"/>
  <c r="H545" i="95"/>
  <c r="H561" i="95" s="1"/>
  <c r="H573" i="95" s="1"/>
  <c r="G545" i="95"/>
  <c r="G561" i="95" s="1"/>
  <c r="G573" i="95" s="1"/>
  <c r="F545" i="95"/>
  <c r="F561" i="95" s="1"/>
  <c r="F573" i="95" s="1"/>
  <c r="E545" i="95"/>
  <c r="E561" i="95" s="1"/>
  <c r="E573" i="95" s="1"/>
  <c r="D545" i="95"/>
  <c r="D561" i="95" s="1"/>
  <c r="D573" i="95" s="1"/>
  <c r="AF538" i="95"/>
  <c r="AE538" i="95"/>
  <c r="AD538" i="95"/>
  <c r="AC538" i="95"/>
  <c r="AB538" i="95"/>
  <c r="AA538" i="95"/>
  <c r="Z538" i="95"/>
  <c r="Y538" i="95"/>
  <c r="X538" i="95"/>
  <c r="W538" i="95"/>
  <c r="V538" i="95"/>
  <c r="U538" i="95"/>
  <c r="T538" i="95"/>
  <c r="S538" i="95"/>
  <c r="R538" i="95"/>
  <c r="Q538" i="95"/>
  <c r="P538" i="95"/>
  <c r="O538" i="95"/>
  <c r="N538" i="95"/>
  <c r="M538" i="95"/>
  <c r="L538" i="95"/>
  <c r="K538" i="95"/>
  <c r="J538" i="95"/>
  <c r="I538" i="95"/>
  <c r="H538" i="95"/>
  <c r="G538" i="95"/>
  <c r="F538" i="95"/>
  <c r="E538" i="95"/>
  <c r="D538" i="95"/>
  <c r="AG531" i="95"/>
  <c r="B531" i="95"/>
  <c r="B537" i="95" s="1"/>
  <c r="B544" i="95" s="1"/>
  <c r="AF516" i="95"/>
  <c r="AE516" i="95"/>
  <c r="AD516" i="95"/>
  <c r="AC516" i="95"/>
  <c r="AB516" i="95"/>
  <c r="AA516" i="95"/>
  <c r="Z516" i="95"/>
  <c r="Y516" i="95"/>
  <c r="X516" i="95"/>
  <c r="W516" i="95"/>
  <c r="V516" i="95"/>
  <c r="U516" i="95"/>
  <c r="T516" i="95"/>
  <c r="S516" i="95"/>
  <c r="R516" i="95"/>
  <c r="Q516" i="95"/>
  <c r="P516" i="95"/>
  <c r="O516" i="95"/>
  <c r="N516" i="95"/>
  <c r="M516" i="95"/>
  <c r="L516" i="95"/>
  <c r="K516" i="95"/>
  <c r="J516" i="95"/>
  <c r="I516" i="95"/>
  <c r="H516" i="95"/>
  <c r="G516" i="95"/>
  <c r="F516" i="95"/>
  <c r="E516" i="95"/>
  <c r="D516" i="95"/>
  <c r="AF513" i="95"/>
  <c r="AE513" i="95"/>
  <c r="AD513" i="95"/>
  <c r="AC513" i="95"/>
  <c r="AB513" i="95"/>
  <c r="AA513" i="95"/>
  <c r="Z513" i="95"/>
  <c r="Y513" i="95"/>
  <c r="X513" i="95"/>
  <c r="W513" i="95"/>
  <c r="V513" i="95"/>
  <c r="U513" i="95"/>
  <c r="T513" i="95"/>
  <c r="S513" i="95"/>
  <c r="R513" i="95"/>
  <c r="Q513" i="95"/>
  <c r="P513" i="95"/>
  <c r="O513" i="95"/>
  <c r="N513" i="95"/>
  <c r="M513" i="95"/>
  <c r="L513" i="95"/>
  <c r="K513" i="95"/>
  <c r="J513" i="95"/>
  <c r="I513" i="95"/>
  <c r="H513" i="95"/>
  <c r="G513" i="95"/>
  <c r="F513" i="95"/>
  <c r="E513" i="95"/>
  <c r="D513" i="95"/>
  <c r="AF505" i="95"/>
  <c r="AE505" i="95"/>
  <c r="AD505" i="95"/>
  <c r="AC505" i="95"/>
  <c r="AB505" i="95"/>
  <c r="AA505" i="95"/>
  <c r="Z505" i="95"/>
  <c r="Y505" i="95"/>
  <c r="X505" i="95"/>
  <c r="W505" i="95"/>
  <c r="V505" i="95"/>
  <c r="U505" i="95"/>
  <c r="T505" i="95"/>
  <c r="S505" i="95"/>
  <c r="R505" i="95"/>
  <c r="Q505" i="95"/>
  <c r="P505" i="95"/>
  <c r="O505" i="95"/>
  <c r="N505" i="95"/>
  <c r="M505" i="95"/>
  <c r="L505" i="95"/>
  <c r="K505" i="95"/>
  <c r="J505" i="95"/>
  <c r="I505" i="95"/>
  <c r="H505" i="95"/>
  <c r="G505" i="95"/>
  <c r="F505" i="95"/>
  <c r="E505" i="95"/>
  <c r="D505" i="95"/>
  <c r="AF499" i="95"/>
  <c r="AE499" i="95"/>
  <c r="AD499" i="95"/>
  <c r="AC499" i="95"/>
  <c r="AB499" i="95"/>
  <c r="AA499" i="95"/>
  <c r="Z499" i="95"/>
  <c r="Y499" i="95"/>
  <c r="X499" i="95"/>
  <c r="W499" i="95"/>
  <c r="V499" i="95"/>
  <c r="U499" i="95"/>
  <c r="T499" i="95"/>
  <c r="S499" i="95"/>
  <c r="R499" i="95"/>
  <c r="Q499" i="95"/>
  <c r="P499" i="95"/>
  <c r="O499" i="95"/>
  <c r="N499" i="95"/>
  <c r="M499" i="95"/>
  <c r="L499" i="95"/>
  <c r="K499" i="95"/>
  <c r="J499" i="95"/>
  <c r="I499" i="95"/>
  <c r="H499" i="95"/>
  <c r="G499" i="95"/>
  <c r="F499" i="95"/>
  <c r="E499" i="95"/>
  <c r="D499" i="95"/>
  <c r="D461" i="95"/>
  <c r="D473" i="95" s="1"/>
  <c r="AG460" i="95"/>
  <c r="D452" i="95"/>
  <c r="AF451" i="95"/>
  <c r="AF461" i="95" s="1"/>
  <c r="AF473" i="95" s="1"/>
  <c r="AE451" i="95"/>
  <c r="AE461" i="95" s="1"/>
  <c r="AD451" i="95"/>
  <c r="AD461" i="95" s="1"/>
  <c r="AC451" i="95"/>
  <c r="AC461" i="95" s="1"/>
  <c r="AB451" i="95"/>
  <c r="AB461" i="95" s="1"/>
  <c r="AA451" i="95"/>
  <c r="AA461" i="95" s="1"/>
  <c r="Z451" i="95"/>
  <c r="Z461" i="95" s="1"/>
  <c r="Z473" i="95" s="1"/>
  <c r="Y451" i="95"/>
  <c r="Y461" i="95" s="1"/>
  <c r="Y473" i="95" s="1"/>
  <c r="X451" i="95"/>
  <c r="X461" i="95" s="1"/>
  <c r="X473" i="95" s="1"/>
  <c r="W451" i="95"/>
  <c r="W461" i="95" s="1"/>
  <c r="W473" i="95" s="1"/>
  <c r="V451" i="95"/>
  <c r="V461" i="95" s="1"/>
  <c r="V473" i="95" s="1"/>
  <c r="U451" i="95"/>
  <c r="U461" i="95" s="1"/>
  <c r="U473" i="95" s="1"/>
  <c r="T451" i="95"/>
  <c r="T461" i="95" s="1"/>
  <c r="T473" i="95" s="1"/>
  <c r="S451" i="95"/>
  <c r="S461" i="95" s="1"/>
  <c r="R451" i="95"/>
  <c r="R461" i="95" s="1"/>
  <c r="Q451" i="95"/>
  <c r="Q461" i="95" s="1"/>
  <c r="P451" i="95"/>
  <c r="P461" i="95" s="1"/>
  <c r="P473" i="95" s="1"/>
  <c r="O451" i="95"/>
  <c r="O461" i="95" s="1"/>
  <c r="N451" i="95"/>
  <c r="N461" i="95" s="1"/>
  <c r="M451" i="95"/>
  <c r="M461" i="95" s="1"/>
  <c r="L451" i="95"/>
  <c r="L461" i="95" s="1"/>
  <c r="L473" i="95" s="1"/>
  <c r="K451" i="95"/>
  <c r="K461" i="95" s="1"/>
  <c r="K473" i="95" s="1"/>
  <c r="J451" i="95"/>
  <c r="J461" i="95" s="1"/>
  <c r="I451" i="95"/>
  <c r="I461" i="95" s="1"/>
  <c r="I473" i="95" s="1"/>
  <c r="H451" i="95"/>
  <c r="H461" i="95" s="1"/>
  <c r="H473" i="95" s="1"/>
  <c r="G451" i="95"/>
  <c r="G461" i="95" s="1"/>
  <c r="F451" i="95"/>
  <c r="F461" i="95" s="1"/>
  <c r="E451" i="95"/>
  <c r="E461" i="95" s="1"/>
  <c r="D451" i="95"/>
  <c r="D446" i="95"/>
  <c r="D445" i="95"/>
  <c r="D439" i="95"/>
  <c r="AF438" i="95"/>
  <c r="AE438" i="95"/>
  <c r="AD438" i="95"/>
  <c r="AC438" i="95"/>
  <c r="AB438" i="95"/>
  <c r="AA438" i="95"/>
  <c r="Z438" i="95"/>
  <c r="Y438" i="95"/>
  <c r="X438" i="95"/>
  <c r="W438" i="95"/>
  <c r="V438" i="95"/>
  <c r="U438" i="95"/>
  <c r="T438" i="95"/>
  <c r="S438" i="95"/>
  <c r="R438" i="95"/>
  <c r="Q438" i="95"/>
  <c r="P438" i="95"/>
  <c r="O438" i="95"/>
  <c r="N438" i="95"/>
  <c r="M438" i="95"/>
  <c r="L438" i="95"/>
  <c r="K438" i="95"/>
  <c r="J438" i="95"/>
  <c r="I438" i="95"/>
  <c r="H438" i="95"/>
  <c r="G438" i="95"/>
  <c r="F438" i="95"/>
  <c r="E438" i="95"/>
  <c r="D438" i="95"/>
  <c r="E452" i="95"/>
  <c r="AF423" i="95"/>
  <c r="AE423" i="95"/>
  <c r="AD423" i="95"/>
  <c r="AC423" i="95"/>
  <c r="AB423" i="95"/>
  <c r="AA423" i="95"/>
  <c r="Z423" i="95"/>
  <c r="Y423" i="95"/>
  <c r="X423" i="95"/>
  <c r="W423" i="95"/>
  <c r="V423" i="95"/>
  <c r="U423" i="95"/>
  <c r="T423" i="95"/>
  <c r="S423" i="95"/>
  <c r="R423" i="95"/>
  <c r="Q423" i="95"/>
  <c r="P423" i="95"/>
  <c r="O423" i="95"/>
  <c r="N423" i="95"/>
  <c r="M423" i="95"/>
  <c r="L423" i="95"/>
  <c r="K423" i="95"/>
  <c r="J423" i="95"/>
  <c r="I423" i="95"/>
  <c r="H423" i="95"/>
  <c r="G423" i="95"/>
  <c r="F423" i="95"/>
  <c r="E423" i="95"/>
  <c r="D423" i="95"/>
  <c r="D416" i="95"/>
  <c r="AF413" i="95"/>
  <c r="AE413" i="95"/>
  <c r="AD413" i="95"/>
  <c r="AC413" i="95"/>
  <c r="AB413" i="95"/>
  <c r="AA413" i="95"/>
  <c r="Z413" i="95"/>
  <c r="Y413" i="95"/>
  <c r="X413" i="95"/>
  <c r="W413" i="95"/>
  <c r="V413" i="95"/>
  <c r="U413" i="95"/>
  <c r="T413" i="95"/>
  <c r="S413" i="95"/>
  <c r="R413" i="95"/>
  <c r="Q413" i="95"/>
  <c r="P413" i="95"/>
  <c r="O413" i="95"/>
  <c r="N413" i="95"/>
  <c r="M413" i="95"/>
  <c r="L413" i="95"/>
  <c r="K413" i="95"/>
  <c r="J413" i="95"/>
  <c r="I413" i="95"/>
  <c r="H413" i="95"/>
  <c r="G413" i="95"/>
  <c r="F413" i="95"/>
  <c r="E413" i="95"/>
  <c r="D413" i="95"/>
  <c r="AF410" i="95"/>
  <c r="AE410" i="95"/>
  <c r="AD410" i="95"/>
  <c r="AC410" i="95"/>
  <c r="AB410" i="95"/>
  <c r="AA410" i="95"/>
  <c r="Z410" i="95"/>
  <c r="Y410" i="95"/>
  <c r="X410" i="95"/>
  <c r="W410" i="95"/>
  <c r="V410" i="95"/>
  <c r="U410" i="95"/>
  <c r="T410" i="95"/>
  <c r="S410" i="95"/>
  <c r="R410" i="95"/>
  <c r="Q410" i="95"/>
  <c r="P410" i="95"/>
  <c r="O410" i="95"/>
  <c r="N410" i="95"/>
  <c r="M410" i="95"/>
  <c r="L410" i="95"/>
  <c r="K410" i="95"/>
  <c r="J410" i="95"/>
  <c r="I410" i="95"/>
  <c r="H410" i="95"/>
  <c r="G410" i="95"/>
  <c r="F410" i="95"/>
  <c r="E410" i="95"/>
  <c r="D410" i="95"/>
  <c r="AF404" i="95"/>
  <c r="AE404" i="95"/>
  <c r="AD404" i="95"/>
  <c r="AC404" i="95"/>
  <c r="AB404" i="95"/>
  <c r="AA404" i="95"/>
  <c r="Z404" i="95"/>
  <c r="Y404" i="95"/>
  <c r="X404" i="95"/>
  <c r="W404" i="95"/>
  <c r="V404" i="95"/>
  <c r="U404" i="95"/>
  <c r="T404" i="95"/>
  <c r="S404" i="95"/>
  <c r="R404" i="95"/>
  <c r="Q404" i="95"/>
  <c r="P404" i="95"/>
  <c r="O404" i="95"/>
  <c r="N404" i="95"/>
  <c r="M404" i="95"/>
  <c r="L404" i="95"/>
  <c r="K404" i="95"/>
  <c r="J404" i="95"/>
  <c r="I404" i="95"/>
  <c r="H404" i="95"/>
  <c r="G404" i="95"/>
  <c r="F404" i="95"/>
  <c r="E404" i="95"/>
  <c r="D404" i="95"/>
  <c r="D393" i="95"/>
  <c r="AF387" i="95"/>
  <c r="AE387" i="95"/>
  <c r="AD387" i="95"/>
  <c r="AC387" i="95"/>
  <c r="AB387" i="95"/>
  <c r="AA387" i="95"/>
  <c r="Z387" i="95"/>
  <c r="Y387" i="95"/>
  <c r="X387" i="95"/>
  <c r="W387" i="95"/>
  <c r="V387" i="95"/>
  <c r="U387" i="95"/>
  <c r="T387" i="95"/>
  <c r="S387" i="95"/>
  <c r="R387" i="95"/>
  <c r="Q387" i="95"/>
  <c r="P387" i="95"/>
  <c r="O387" i="95"/>
  <c r="N387" i="95"/>
  <c r="M387" i="95"/>
  <c r="L387" i="95"/>
  <c r="K387" i="95"/>
  <c r="J387" i="95"/>
  <c r="I387" i="95"/>
  <c r="H387" i="95"/>
  <c r="G387" i="95"/>
  <c r="F387" i="95"/>
  <c r="E387" i="95"/>
  <c r="D387" i="95"/>
  <c r="AF381" i="95"/>
  <c r="AE381" i="95"/>
  <c r="AD381" i="95"/>
  <c r="AC381" i="95"/>
  <c r="AB381" i="95"/>
  <c r="AA381" i="95"/>
  <c r="Z381" i="95"/>
  <c r="Y381" i="95"/>
  <c r="X381" i="95"/>
  <c r="W381" i="95"/>
  <c r="V381" i="95"/>
  <c r="U381" i="95"/>
  <c r="T381" i="95"/>
  <c r="S381" i="95"/>
  <c r="R381" i="95"/>
  <c r="Q381" i="95"/>
  <c r="P381" i="95"/>
  <c r="O381" i="95"/>
  <c r="N381" i="95"/>
  <c r="M381" i="95"/>
  <c r="L381" i="95"/>
  <c r="K381" i="95"/>
  <c r="J381" i="95"/>
  <c r="I381" i="95"/>
  <c r="H381" i="95"/>
  <c r="G381" i="95"/>
  <c r="F381" i="95"/>
  <c r="E381" i="95"/>
  <c r="D381" i="95"/>
  <c r="AF375" i="95"/>
  <c r="AF407" i="95" s="1"/>
  <c r="AE375" i="95"/>
  <c r="AE407" i="95" s="1"/>
  <c r="AD375" i="95"/>
  <c r="AD407" i="95" s="1"/>
  <c r="AC375" i="95"/>
  <c r="AC407" i="95" s="1"/>
  <c r="AB375" i="95"/>
  <c r="AB407" i="95" s="1"/>
  <c r="AA375" i="95"/>
  <c r="Z375" i="95"/>
  <c r="Y375" i="95"/>
  <c r="X375" i="95"/>
  <c r="X407" i="95" s="1"/>
  <c r="W375" i="95"/>
  <c r="W407" i="95" s="1"/>
  <c r="V375" i="95"/>
  <c r="V407" i="95" s="1"/>
  <c r="U375" i="95"/>
  <c r="U407" i="95" s="1"/>
  <c r="T375" i="95"/>
  <c r="T407" i="95" s="1"/>
  <c r="S375" i="95"/>
  <c r="S407" i="95" s="1"/>
  <c r="R375" i="95"/>
  <c r="Q375" i="95"/>
  <c r="P375" i="95"/>
  <c r="P407" i="95" s="1"/>
  <c r="O375" i="95"/>
  <c r="N375" i="95"/>
  <c r="M375" i="95"/>
  <c r="L375" i="95"/>
  <c r="L407" i="95" s="1"/>
  <c r="K375" i="95"/>
  <c r="K407" i="95" s="1"/>
  <c r="J375" i="95"/>
  <c r="J407" i="95" s="1"/>
  <c r="I375" i="95"/>
  <c r="I407" i="95" s="1"/>
  <c r="H375" i="95"/>
  <c r="H407" i="95" s="1"/>
  <c r="G375" i="95"/>
  <c r="G407" i="95" s="1"/>
  <c r="F375" i="95"/>
  <c r="F407" i="95" s="1"/>
  <c r="E375" i="95"/>
  <c r="E407" i="95" s="1"/>
  <c r="D375" i="95"/>
  <c r="AF369" i="95"/>
  <c r="AE369" i="95"/>
  <c r="AD369" i="95"/>
  <c r="AC369" i="95"/>
  <c r="AB369" i="95"/>
  <c r="AA369" i="95"/>
  <c r="Z369" i="95"/>
  <c r="Y369" i="95"/>
  <c r="X369" i="95"/>
  <c r="W369" i="95"/>
  <c r="V369" i="95"/>
  <c r="U369" i="95"/>
  <c r="T369" i="95"/>
  <c r="S369" i="95"/>
  <c r="R369" i="95"/>
  <c r="Q369" i="95"/>
  <c r="P369" i="95"/>
  <c r="O369" i="95"/>
  <c r="N369" i="95"/>
  <c r="M369" i="95"/>
  <c r="L369" i="95"/>
  <c r="K369" i="95"/>
  <c r="J369" i="95"/>
  <c r="I369" i="95"/>
  <c r="H369" i="95"/>
  <c r="G369" i="95"/>
  <c r="F369" i="95"/>
  <c r="E369" i="95"/>
  <c r="D369" i="95"/>
  <c r="AF363" i="95"/>
  <c r="AE363" i="95"/>
  <c r="AE401" i="95" s="1"/>
  <c r="AD363" i="95"/>
  <c r="AC363" i="95"/>
  <c r="AB363" i="95"/>
  <c r="AB401" i="95" s="1"/>
  <c r="AA363" i="95"/>
  <c r="AA401" i="95" s="1"/>
  <c r="Z363" i="95"/>
  <c r="Y363" i="95"/>
  <c r="Y401" i="95" s="1"/>
  <c r="X363" i="95"/>
  <c r="X401" i="95" s="1"/>
  <c r="W363" i="95"/>
  <c r="W401" i="95" s="1"/>
  <c r="V363" i="95"/>
  <c r="V401" i="95" s="1"/>
  <c r="U363" i="95"/>
  <c r="U401" i="95" s="1"/>
  <c r="T363" i="95"/>
  <c r="T401" i="95" s="1"/>
  <c r="S363" i="95"/>
  <c r="S401" i="95" s="1"/>
  <c r="R363" i="95"/>
  <c r="Q363" i="95"/>
  <c r="P363" i="95"/>
  <c r="P401" i="95" s="1"/>
  <c r="O363" i="95"/>
  <c r="O401" i="95" s="1"/>
  <c r="N363" i="95"/>
  <c r="M363" i="95"/>
  <c r="L363" i="95"/>
  <c r="L401" i="95" s="1"/>
  <c r="K363" i="95"/>
  <c r="K401" i="95" s="1"/>
  <c r="J363" i="95"/>
  <c r="J401" i="95" s="1"/>
  <c r="I363" i="95"/>
  <c r="I401" i="95" s="1"/>
  <c r="H363" i="95"/>
  <c r="G363" i="95"/>
  <c r="G401" i="95" s="1"/>
  <c r="F363" i="95"/>
  <c r="E363" i="95"/>
  <c r="D363" i="95"/>
  <c r="D401" i="95" s="1"/>
  <c r="E350" i="95"/>
  <c r="E416" i="95" s="1"/>
  <c r="D252" i="95"/>
  <c r="AF249" i="95"/>
  <c r="AF256" i="95" s="1"/>
  <c r="AE249" i="95"/>
  <c r="AE256" i="95" s="1"/>
  <c r="AD249" i="95"/>
  <c r="AD256" i="95" s="1"/>
  <c r="AC249" i="95"/>
  <c r="AC256" i="95" s="1"/>
  <c r="AB249" i="95"/>
  <c r="AB256" i="95" s="1"/>
  <c r="AA249" i="95"/>
  <c r="AA256" i="95" s="1"/>
  <c r="Z249" i="95"/>
  <c r="Z256" i="95" s="1"/>
  <c r="Y249" i="95"/>
  <c r="Y256" i="95" s="1"/>
  <c r="X249" i="95"/>
  <c r="X256" i="95" s="1"/>
  <c r="W249" i="95"/>
  <c r="W256" i="95" s="1"/>
  <c r="V249" i="95"/>
  <c r="V256" i="95" s="1"/>
  <c r="U249" i="95"/>
  <c r="U256" i="95" s="1"/>
  <c r="T249" i="95"/>
  <c r="T256" i="95" s="1"/>
  <c r="S249" i="95"/>
  <c r="S256" i="95" s="1"/>
  <c r="R249" i="95"/>
  <c r="R256" i="95" s="1"/>
  <c r="Q249" i="95"/>
  <c r="Q256" i="95" s="1"/>
  <c r="P249" i="95"/>
  <c r="P256" i="95" s="1"/>
  <c r="O249" i="95"/>
  <c r="O256" i="95" s="1"/>
  <c r="N249" i="95"/>
  <c r="N256" i="95" s="1"/>
  <c r="M249" i="95"/>
  <c r="M256" i="95" s="1"/>
  <c r="L249" i="95"/>
  <c r="L256" i="95" s="1"/>
  <c r="K249" i="95"/>
  <c r="K256" i="95" s="1"/>
  <c r="J249" i="95"/>
  <c r="J256" i="95" s="1"/>
  <c r="I249" i="95"/>
  <c r="I256" i="95" s="1"/>
  <c r="H249" i="95"/>
  <c r="H256" i="95" s="1"/>
  <c r="G249" i="95"/>
  <c r="G256" i="95" s="1"/>
  <c r="F249" i="95"/>
  <c r="F256" i="95" s="1"/>
  <c r="E249" i="95"/>
  <c r="E256" i="95" s="1"/>
  <c r="D249" i="95"/>
  <c r="D256" i="95" s="1"/>
  <c r="AF242" i="95"/>
  <c r="AE242" i="95"/>
  <c r="AD242" i="95"/>
  <c r="AC242" i="95"/>
  <c r="AB242" i="95"/>
  <c r="AA242" i="95"/>
  <c r="Z242" i="95"/>
  <c r="Y242" i="95"/>
  <c r="X242" i="95"/>
  <c r="W242" i="95"/>
  <c r="V242" i="95"/>
  <c r="U242" i="95"/>
  <c r="T242" i="95"/>
  <c r="S242" i="95"/>
  <c r="R242" i="95"/>
  <c r="Q242" i="95"/>
  <c r="P242" i="95"/>
  <c r="O242" i="95"/>
  <c r="N242" i="95"/>
  <c r="M242" i="95"/>
  <c r="L242" i="95"/>
  <c r="K242" i="95"/>
  <c r="J242" i="95"/>
  <c r="I242" i="95"/>
  <c r="H242" i="95"/>
  <c r="G242" i="95"/>
  <c r="F242" i="95"/>
  <c r="E242" i="95"/>
  <c r="D242" i="95"/>
  <c r="AF239" i="95"/>
  <c r="AE239" i="95"/>
  <c r="AD239" i="95"/>
  <c r="AC239" i="95"/>
  <c r="AB239" i="95"/>
  <c r="AA239" i="95"/>
  <c r="Z239" i="95"/>
  <c r="Y239" i="95"/>
  <c r="X239" i="95"/>
  <c r="W239" i="95"/>
  <c r="V239" i="95"/>
  <c r="U239" i="95"/>
  <c r="T239" i="95"/>
  <c r="S239" i="95"/>
  <c r="R239" i="95"/>
  <c r="Q239" i="95"/>
  <c r="P239" i="95"/>
  <c r="O239" i="95"/>
  <c r="N239" i="95"/>
  <c r="M239" i="95"/>
  <c r="L239" i="95"/>
  <c r="K239" i="95"/>
  <c r="J239" i="95"/>
  <c r="I239" i="95"/>
  <c r="H239" i="95"/>
  <c r="G239" i="95"/>
  <c r="F239" i="95"/>
  <c r="E239" i="95"/>
  <c r="D239" i="95"/>
  <c r="AF236" i="95"/>
  <c r="AE236" i="95"/>
  <c r="AD236" i="95"/>
  <c r="AC236" i="95"/>
  <c r="AB236" i="95"/>
  <c r="AA236" i="95"/>
  <c r="Z236" i="95"/>
  <c r="Y236" i="95"/>
  <c r="X236" i="95"/>
  <c r="W236" i="95"/>
  <c r="V236" i="95"/>
  <c r="U236" i="95"/>
  <c r="T236" i="95"/>
  <c r="S236" i="95"/>
  <c r="R236" i="95"/>
  <c r="Q236" i="95"/>
  <c r="P236" i="95"/>
  <c r="O236" i="95"/>
  <c r="N236" i="95"/>
  <c r="M236" i="95"/>
  <c r="L236" i="95"/>
  <c r="K236" i="95"/>
  <c r="J236" i="95"/>
  <c r="I236" i="95"/>
  <c r="H236" i="95"/>
  <c r="G236" i="95"/>
  <c r="F236" i="95"/>
  <c r="E236" i="95"/>
  <c r="D236" i="95"/>
  <c r="AF233" i="95"/>
  <c r="AE233" i="95"/>
  <c r="AD233" i="95"/>
  <c r="AC233" i="95"/>
  <c r="AB233" i="95"/>
  <c r="AA233" i="95"/>
  <c r="Z233" i="95"/>
  <c r="Y233" i="95"/>
  <c r="X233" i="95"/>
  <c r="W233" i="95"/>
  <c r="V233" i="95"/>
  <c r="U233" i="95"/>
  <c r="T233" i="95"/>
  <c r="S233" i="95"/>
  <c r="R233" i="95"/>
  <c r="Q233" i="95"/>
  <c r="P233" i="95"/>
  <c r="O233" i="95"/>
  <c r="N233" i="95"/>
  <c r="M233" i="95"/>
  <c r="L233" i="95"/>
  <c r="K233" i="95"/>
  <c r="J233" i="95"/>
  <c r="I233" i="95"/>
  <c r="H233" i="95"/>
  <c r="G233" i="95"/>
  <c r="F233" i="95"/>
  <c r="E233" i="95"/>
  <c r="D233" i="95"/>
  <c r="AF230" i="95"/>
  <c r="AE230" i="95"/>
  <c r="AD230" i="95"/>
  <c r="AC230" i="95"/>
  <c r="AB230" i="95"/>
  <c r="AA230" i="95"/>
  <c r="Z230" i="95"/>
  <c r="Y230" i="95"/>
  <c r="X230" i="95"/>
  <c r="W230" i="95"/>
  <c r="V230" i="95"/>
  <c r="U230" i="95"/>
  <c r="T230" i="95"/>
  <c r="S230" i="95"/>
  <c r="R230" i="95"/>
  <c r="Q230" i="95"/>
  <c r="P230" i="95"/>
  <c r="O230" i="95"/>
  <c r="N230" i="95"/>
  <c r="M230" i="95"/>
  <c r="L230" i="95"/>
  <c r="K230" i="95"/>
  <c r="J230" i="95"/>
  <c r="I230" i="95"/>
  <c r="H230" i="95"/>
  <c r="G230" i="95"/>
  <c r="F230" i="95"/>
  <c r="E230" i="95"/>
  <c r="D230" i="95"/>
  <c r="AF227" i="95"/>
  <c r="AE227" i="95"/>
  <c r="AD227" i="95"/>
  <c r="AC227" i="95"/>
  <c r="AB227" i="95"/>
  <c r="AA227" i="95"/>
  <c r="Z227" i="95"/>
  <c r="Y227" i="95"/>
  <c r="X227" i="95"/>
  <c r="W227" i="95"/>
  <c r="V227" i="95"/>
  <c r="U227" i="95"/>
  <c r="T227" i="95"/>
  <c r="S227" i="95"/>
  <c r="R227" i="95"/>
  <c r="Q227" i="95"/>
  <c r="P227" i="95"/>
  <c r="O227" i="95"/>
  <c r="N227" i="95"/>
  <c r="M227" i="95"/>
  <c r="L227" i="95"/>
  <c r="K227" i="95"/>
  <c r="J227" i="95"/>
  <c r="I227" i="95"/>
  <c r="H227" i="95"/>
  <c r="G227" i="95"/>
  <c r="F227" i="95"/>
  <c r="E227" i="95"/>
  <c r="D227" i="95"/>
  <c r="AF224" i="95"/>
  <c r="AE224" i="95"/>
  <c r="AD224" i="95"/>
  <c r="AC224" i="95"/>
  <c r="AB224" i="95"/>
  <c r="AA224" i="95"/>
  <c r="Z224" i="95"/>
  <c r="Y224" i="95"/>
  <c r="X224" i="95"/>
  <c r="W224" i="95"/>
  <c r="V224" i="95"/>
  <c r="U224" i="95"/>
  <c r="T224" i="95"/>
  <c r="S224" i="95"/>
  <c r="R224" i="95"/>
  <c r="Q224" i="95"/>
  <c r="P224" i="95"/>
  <c r="O224" i="95"/>
  <c r="N224" i="95"/>
  <c r="M224" i="95"/>
  <c r="L224" i="95"/>
  <c r="K224" i="95"/>
  <c r="J224" i="95"/>
  <c r="I224" i="95"/>
  <c r="H224" i="95"/>
  <c r="G224" i="95"/>
  <c r="F224" i="95"/>
  <c r="E224" i="95"/>
  <c r="D224" i="95"/>
  <c r="AF216" i="95"/>
  <c r="AE216" i="95"/>
  <c r="AD216" i="95"/>
  <c r="AC216" i="95"/>
  <c r="AB216" i="95"/>
  <c r="AA216" i="95"/>
  <c r="Z216" i="95"/>
  <c r="Y216" i="95"/>
  <c r="X216" i="95"/>
  <c r="W216" i="95"/>
  <c r="V216" i="95"/>
  <c r="U216" i="95"/>
  <c r="T216" i="95"/>
  <c r="S216" i="95"/>
  <c r="R216" i="95"/>
  <c r="Q216" i="95"/>
  <c r="P216" i="95"/>
  <c r="O216" i="95"/>
  <c r="N216" i="95"/>
  <c r="M216" i="95"/>
  <c r="L216" i="95"/>
  <c r="K216" i="95"/>
  <c r="J216" i="95"/>
  <c r="I216" i="95"/>
  <c r="H216" i="95"/>
  <c r="G216" i="95"/>
  <c r="F216" i="95"/>
  <c r="E216" i="95"/>
  <c r="D216" i="95"/>
  <c r="AF210" i="95"/>
  <c r="AE210" i="95"/>
  <c r="AD210" i="95"/>
  <c r="AC210" i="95"/>
  <c r="AB210" i="95"/>
  <c r="AA210" i="95"/>
  <c r="Z210" i="95"/>
  <c r="Y210" i="95"/>
  <c r="X210" i="95"/>
  <c r="W210" i="95"/>
  <c r="V210" i="95"/>
  <c r="U210" i="95"/>
  <c r="T210" i="95"/>
  <c r="S210" i="95"/>
  <c r="R210" i="95"/>
  <c r="Q210" i="95"/>
  <c r="P210" i="95"/>
  <c r="O210" i="95"/>
  <c r="N210" i="95"/>
  <c r="M210" i="95"/>
  <c r="L210" i="95"/>
  <c r="K210" i="95"/>
  <c r="J210" i="95"/>
  <c r="I210" i="95"/>
  <c r="H210" i="95"/>
  <c r="G210" i="95"/>
  <c r="F210" i="95"/>
  <c r="E210" i="95"/>
  <c r="D210" i="95"/>
  <c r="AF204" i="95"/>
  <c r="AE204" i="95"/>
  <c r="AD204" i="95"/>
  <c r="AC204" i="95"/>
  <c r="AB204" i="95"/>
  <c r="AA204" i="95"/>
  <c r="Z204" i="95"/>
  <c r="Y204" i="95"/>
  <c r="X204" i="95"/>
  <c r="W204" i="95"/>
  <c r="V204" i="95"/>
  <c r="U204" i="95"/>
  <c r="T204" i="95"/>
  <c r="S204" i="95"/>
  <c r="R204" i="95"/>
  <c r="Q204" i="95"/>
  <c r="P204" i="95"/>
  <c r="O204" i="95"/>
  <c r="N204" i="95"/>
  <c r="M204" i="95"/>
  <c r="L204" i="95"/>
  <c r="K204" i="95"/>
  <c r="J204" i="95"/>
  <c r="I204" i="95"/>
  <c r="H204" i="95"/>
  <c r="G204" i="95"/>
  <c r="F204" i="95"/>
  <c r="E204" i="95"/>
  <c r="D204" i="95"/>
  <c r="AF198" i="95"/>
  <c r="AE198" i="95"/>
  <c r="AD198" i="95"/>
  <c r="AC198" i="95"/>
  <c r="AB198" i="95"/>
  <c r="AA198" i="95"/>
  <c r="Z198" i="95"/>
  <c r="Y198" i="95"/>
  <c r="X198" i="95"/>
  <c r="W198" i="95"/>
  <c r="V198" i="95"/>
  <c r="U198" i="95"/>
  <c r="T198" i="95"/>
  <c r="S198" i="95"/>
  <c r="R198" i="95"/>
  <c r="Q198" i="95"/>
  <c r="P198" i="95"/>
  <c r="O198" i="95"/>
  <c r="N198" i="95"/>
  <c r="M198" i="95"/>
  <c r="L198" i="95"/>
  <c r="K198" i="95"/>
  <c r="J198" i="95"/>
  <c r="I198" i="95"/>
  <c r="H198" i="95"/>
  <c r="G198" i="95"/>
  <c r="F198" i="95"/>
  <c r="E198" i="95"/>
  <c r="D198" i="95"/>
  <c r="AF192" i="95"/>
  <c r="AE192" i="95"/>
  <c r="AD192" i="95"/>
  <c r="AC192" i="95"/>
  <c r="AB192" i="95"/>
  <c r="AA192" i="95"/>
  <c r="Z192" i="95"/>
  <c r="Y192" i="95"/>
  <c r="X192" i="95"/>
  <c r="W192" i="95"/>
  <c r="V192" i="95"/>
  <c r="U192" i="95"/>
  <c r="T192" i="95"/>
  <c r="S192" i="95"/>
  <c r="R192" i="95"/>
  <c r="Q192" i="95"/>
  <c r="P192" i="95"/>
  <c r="O192" i="95"/>
  <c r="N192" i="95"/>
  <c r="M192" i="95"/>
  <c r="L192" i="95"/>
  <c r="K192" i="95"/>
  <c r="J192" i="95"/>
  <c r="I192" i="95"/>
  <c r="H192" i="95"/>
  <c r="G192" i="95"/>
  <c r="F192" i="95"/>
  <c r="E192" i="95"/>
  <c r="D192" i="95"/>
  <c r="AF186" i="95"/>
  <c r="AE186" i="95"/>
  <c r="AD186" i="95"/>
  <c r="AC186" i="95"/>
  <c r="AB186" i="95"/>
  <c r="AA186" i="95"/>
  <c r="Z186" i="95"/>
  <c r="Y186" i="95"/>
  <c r="X186" i="95"/>
  <c r="W186" i="95"/>
  <c r="V186" i="95"/>
  <c r="U186" i="95"/>
  <c r="T186" i="95"/>
  <c r="S186" i="95"/>
  <c r="R186" i="95"/>
  <c r="Q186" i="95"/>
  <c r="P186" i="95"/>
  <c r="O186" i="95"/>
  <c r="N186" i="95"/>
  <c r="M186" i="95"/>
  <c r="L186" i="95"/>
  <c r="K186" i="95"/>
  <c r="J186" i="95"/>
  <c r="I186" i="95"/>
  <c r="H186" i="95"/>
  <c r="G186" i="95"/>
  <c r="F186" i="95"/>
  <c r="E186" i="95"/>
  <c r="D186" i="95"/>
  <c r="AF180" i="95"/>
  <c r="AE180" i="95"/>
  <c r="AD180" i="95"/>
  <c r="AC180" i="95"/>
  <c r="AB180" i="95"/>
  <c r="AA180" i="95"/>
  <c r="Z180" i="95"/>
  <c r="Y180" i="95"/>
  <c r="X180" i="95"/>
  <c r="W180" i="95"/>
  <c r="V180" i="95"/>
  <c r="U180" i="95"/>
  <c r="T180" i="95"/>
  <c r="S180" i="95"/>
  <c r="R180" i="95"/>
  <c r="Q180" i="95"/>
  <c r="P180" i="95"/>
  <c r="O180" i="95"/>
  <c r="N180" i="95"/>
  <c r="M180" i="95"/>
  <c r="L180" i="95"/>
  <c r="K180" i="95"/>
  <c r="J180" i="95"/>
  <c r="I180" i="95"/>
  <c r="H180" i="95"/>
  <c r="G180" i="95"/>
  <c r="F180" i="95"/>
  <c r="E180" i="95"/>
  <c r="D180" i="95"/>
  <c r="AF94" i="95"/>
  <c r="AE94" i="95"/>
  <c r="AD94" i="95"/>
  <c r="AC94" i="95"/>
  <c r="AB94" i="95"/>
  <c r="AA94" i="95"/>
  <c r="Z94" i="95"/>
  <c r="Y94" i="95"/>
  <c r="X94" i="95"/>
  <c r="W94" i="95"/>
  <c r="V94" i="95"/>
  <c r="U94" i="95"/>
  <c r="T94" i="95"/>
  <c r="S94" i="95"/>
  <c r="R94" i="95"/>
  <c r="Q94" i="95"/>
  <c r="P94" i="95"/>
  <c r="O94" i="95"/>
  <c r="N94" i="95"/>
  <c r="M94" i="95"/>
  <c r="L94" i="95"/>
  <c r="K94" i="95"/>
  <c r="J94" i="95"/>
  <c r="I94" i="95"/>
  <c r="H94" i="95"/>
  <c r="G94" i="95"/>
  <c r="F94" i="95"/>
  <c r="E94" i="95"/>
  <c r="D94" i="95"/>
  <c r="AF92" i="95"/>
  <c r="AF105" i="95" s="1"/>
  <c r="AF36" i="95" s="1"/>
  <c r="AE92" i="95"/>
  <c r="AE105" i="95" s="1"/>
  <c r="AE36" i="95" s="1"/>
  <c r="AD92" i="95"/>
  <c r="AD105" i="95" s="1"/>
  <c r="AD36" i="95" s="1"/>
  <c r="AC92" i="95"/>
  <c r="AC105" i="95" s="1"/>
  <c r="AC36" i="95" s="1"/>
  <c r="AB92" i="95"/>
  <c r="AB105" i="95" s="1"/>
  <c r="AB36" i="95" s="1"/>
  <c r="AA92" i="95"/>
  <c r="AA105" i="95" s="1"/>
  <c r="AA36" i="95" s="1"/>
  <c r="Z92" i="95"/>
  <c r="Z105" i="95" s="1"/>
  <c r="Z36" i="95" s="1"/>
  <c r="Y92" i="95"/>
  <c r="Y105" i="95" s="1"/>
  <c r="X92" i="95"/>
  <c r="X105" i="95" s="1"/>
  <c r="X36" i="95" s="1"/>
  <c r="W92" i="95"/>
  <c r="W105" i="95" s="1"/>
  <c r="W36" i="95" s="1"/>
  <c r="V92" i="95"/>
  <c r="V105" i="95" s="1"/>
  <c r="U92" i="95"/>
  <c r="U105" i="95" s="1"/>
  <c r="U36" i="95" s="1"/>
  <c r="T92" i="95"/>
  <c r="T105" i="95" s="1"/>
  <c r="T36" i="95" s="1"/>
  <c r="S92" i="95"/>
  <c r="S105" i="95" s="1"/>
  <c r="S36" i="95" s="1"/>
  <c r="R92" i="95"/>
  <c r="R105" i="95" s="1"/>
  <c r="Q92" i="95"/>
  <c r="Q105" i="95" s="1"/>
  <c r="P92" i="95"/>
  <c r="P105" i="95" s="1"/>
  <c r="O92" i="95"/>
  <c r="O105" i="95" s="1"/>
  <c r="N92" i="95"/>
  <c r="N105" i="95" s="1"/>
  <c r="N36" i="95" s="1"/>
  <c r="M92" i="95"/>
  <c r="M105" i="95" s="1"/>
  <c r="L92" i="95"/>
  <c r="L105" i="95" s="1"/>
  <c r="K92" i="95"/>
  <c r="K105" i="95" s="1"/>
  <c r="K36" i="95" s="1"/>
  <c r="J92" i="95"/>
  <c r="J105" i="95" s="1"/>
  <c r="I92" i="95"/>
  <c r="I105" i="95" s="1"/>
  <c r="I36" i="95" s="1"/>
  <c r="H92" i="95"/>
  <c r="H105" i="95" s="1"/>
  <c r="H36" i="95" s="1"/>
  <c r="G92" i="95"/>
  <c r="G105" i="95" s="1"/>
  <c r="G36" i="95" s="1"/>
  <c r="F92" i="95"/>
  <c r="F105" i="95" s="1"/>
  <c r="F36" i="95" s="1"/>
  <c r="E92" i="95"/>
  <c r="E105" i="95" s="1"/>
  <c r="E36" i="95" s="1"/>
  <c r="D92" i="95"/>
  <c r="D105" i="95" s="1"/>
  <c r="D36" i="95" s="1"/>
  <c r="AF80" i="95"/>
  <c r="AE80" i="95"/>
  <c r="AD80" i="95"/>
  <c r="AC80" i="95"/>
  <c r="AB80" i="95"/>
  <c r="AA80" i="95"/>
  <c r="Z80" i="95"/>
  <c r="Y80" i="95"/>
  <c r="X80" i="95"/>
  <c r="W80" i="95"/>
  <c r="V80" i="95"/>
  <c r="U80" i="95"/>
  <c r="T80" i="95"/>
  <c r="S80" i="95"/>
  <c r="R80" i="95"/>
  <c r="Q80" i="95"/>
  <c r="P80" i="95"/>
  <c r="O80" i="95"/>
  <c r="N80" i="95"/>
  <c r="M80" i="95"/>
  <c r="L80" i="95"/>
  <c r="K80" i="95"/>
  <c r="J80" i="95"/>
  <c r="I80" i="95"/>
  <c r="H80" i="95"/>
  <c r="G80" i="95"/>
  <c r="F80" i="95"/>
  <c r="E80" i="95"/>
  <c r="D80" i="95"/>
  <c r="AF65" i="95"/>
  <c r="AE65" i="95"/>
  <c r="AD65" i="95"/>
  <c r="AC65" i="95"/>
  <c r="AB65" i="95"/>
  <c r="AA65" i="95"/>
  <c r="Z65" i="95"/>
  <c r="Y65" i="95"/>
  <c r="X65" i="95"/>
  <c r="W65" i="95"/>
  <c r="V65" i="95"/>
  <c r="U65" i="95"/>
  <c r="T65" i="95"/>
  <c r="S65" i="95"/>
  <c r="R65" i="95"/>
  <c r="Q65" i="95"/>
  <c r="P65" i="95"/>
  <c r="O65" i="95"/>
  <c r="N65" i="95"/>
  <c r="M65" i="95"/>
  <c r="L65" i="95"/>
  <c r="K65" i="95"/>
  <c r="J65" i="95"/>
  <c r="I65" i="95"/>
  <c r="H65" i="95"/>
  <c r="G65" i="95"/>
  <c r="F65" i="95"/>
  <c r="E65" i="95"/>
  <c r="D65" i="95"/>
  <c r="AF55" i="95"/>
  <c r="AE55" i="95"/>
  <c r="AD55" i="95"/>
  <c r="AC55" i="95"/>
  <c r="AB55" i="95"/>
  <c r="AA55" i="95"/>
  <c r="Z55" i="95"/>
  <c r="Y55" i="95"/>
  <c r="X55" i="95"/>
  <c r="W55" i="95"/>
  <c r="V55" i="95"/>
  <c r="U55" i="95"/>
  <c r="T55" i="95"/>
  <c r="S55" i="95"/>
  <c r="R55" i="95"/>
  <c r="Q55" i="95"/>
  <c r="P55" i="95"/>
  <c r="O55" i="95"/>
  <c r="N55" i="95"/>
  <c r="M55" i="95"/>
  <c r="L55" i="95"/>
  <c r="K55" i="95"/>
  <c r="J55" i="95"/>
  <c r="I55" i="95"/>
  <c r="H55" i="95"/>
  <c r="G55" i="95"/>
  <c r="F55" i="95"/>
  <c r="E55" i="95"/>
  <c r="D55" i="95"/>
  <c r="AF54" i="95"/>
  <c r="AE54" i="95"/>
  <c r="AD54" i="95"/>
  <c r="AC54" i="95"/>
  <c r="AB54" i="95"/>
  <c r="AA54" i="95"/>
  <c r="Z54" i="95"/>
  <c r="Y54" i="95"/>
  <c r="X54" i="95"/>
  <c r="W54" i="95"/>
  <c r="V54" i="95"/>
  <c r="U54" i="95"/>
  <c r="T54" i="95"/>
  <c r="S54" i="95"/>
  <c r="R54" i="95"/>
  <c r="Q54" i="95"/>
  <c r="P54" i="95"/>
  <c r="O54" i="95"/>
  <c r="N54" i="95"/>
  <c r="M54" i="95"/>
  <c r="L54" i="95"/>
  <c r="K54" i="95"/>
  <c r="J54" i="95"/>
  <c r="I54" i="95"/>
  <c r="H54" i="95"/>
  <c r="G54" i="95"/>
  <c r="F54" i="95"/>
  <c r="E54" i="95"/>
  <c r="D54" i="95"/>
  <c r="AF49" i="95"/>
  <c r="AE49" i="95"/>
  <c r="AD49" i="95"/>
  <c r="AC49" i="95"/>
  <c r="AB49" i="95"/>
  <c r="AA49" i="95"/>
  <c r="Z49" i="95"/>
  <c r="Y49" i="95"/>
  <c r="X49" i="95"/>
  <c r="W49" i="95"/>
  <c r="V49" i="95"/>
  <c r="U49" i="95"/>
  <c r="T49" i="95"/>
  <c r="S49" i="95"/>
  <c r="R49" i="95"/>
  <c r="Q49" i="95"/>
  <c r="P49" i="95"/>
  <c r="O49" i="95"/>
  <c r="N49" i="95"/>
  <c r="M49" i="95"/>
  <c r="L49" i="95"/>
  <c r="K49" i="95"/>
  <c r="J49" i="95"/>
  <c r="I49" i="95"/>
  <c r="H49" i="95"/>
  <c r="G49" i="95"/>
  <c r="F49" i="95"/>
  <c r="E49" i="95"/>
  <c r="D49" i="95"/>
  <c r="F39" i="95"/>
  <c r="E39" i="95"/>
  <c r="D39" i="95"/>
  <c r="AF23" i="95"/>
  <c r="AE23" i="95"/>
  <c r="AD23" i="95"/>
  <c r="AC23" i="95"/>
  <c r="AB23" i="95"/>
  <c r="AA23" i="95"/>
  <c r="Z23" i="95"/>
  <c r="Y23" i="95"/>
  <c r="X23" i="95"/>
  <c r="W23" i="95"/>
  <c r="V23" i="95"/>
  <c r="U23" i="95"/>
  <c r="T23" i="95"/>
  <c r="S23" i="95"/>
  <c r="R23" i="95"/>
  <c r="Q23" i="95"/>
  <c r="P23" i="95"/>
  <c r="O23" i="95"/>
  <c r="N23" i="95"/>
  <c r="M23" i="95"/>
  <c r="L23" i="95"/>
  <c r="K23" i="95"/>
  <c r="J23" i="95"/>
  <c r="I23" i="95"/>
  <c r="H23" i="95"/>
  <c r="G23" i="95"/>
  <c r="F23" i="95"/>
  <c r="E23" i="95"/>
  <c r="D23" i="95"/>
  <c r="AF19" i="95"/>
  <c r="AE19" i="95"/>
  <c r="AD19" i="95"/>
  <c r="AC19" i="95"/>
  <c r="AB19" i="95"/>
  <c r="AA19" i="95"/>
  <c r="Z19" i="95"/>
  <c r="Y19" i="95"/>
  <c r="X19" i="95"/>
  <c r="W19" i="95"/>
  <c r="V19" i="95"/>
  <c r="U19" i="95"/>
  <c r="T19" i="95"/>
  <c r="S19" i="95"/>
  <c r="R19" i="95"/>
  <c r="Q19" i="95"/>
  <c r="P19" i="95"/>
  <c r="O19" i="95"/>
  <c r="N19" i="95"/>
  <c r="M19" i="95"/>
  <c r="L19" i="95"/>
  <c r="K19" i="95"/>
  <c r="J19" i="95"/>
  <c r="I19" i="95"/>
  <c r="H19" i="95"/>
  <c r="G19" i="95"/>
  <c r="F19" i="95"/>
  <c r="E19" i="95"/>
  <c r="D19" i="95"/>
  <c r="G16" i="95"/>
  <c r="G39" i="95" s="1"/>
  <c r="D5" i="95"/>
  <c r="E5" i="95" s="1"/>
  <c r="F5" i="95" s="1"/>
  <c r="G5" i="95" s="1"/>
  <c r="H5" i="95" s="1"/>
  <c r="I5" i="95" s="1"/>
  <c r="J5" i="95" s="1"/>
  <c r="K5" i="95" s="1"/>
  <c r="L5" i="95" s="1"/>
  <c r="M5" i="95" s="1"/>
  <c r="N5" i="95" s="1"/>
  <c r="O5" i="95" s="1"/>
  <c r="P5" i="95" s="1"/>
  <c r="Q5" i="95" s="1"/>
  <c r="R5" i="95" s="1"/>
  <c r="S5" i="95" s="1"/>
  <c r="T5" i="95" s="1"/>
  <c r="U5" i="95" s="1"/>
  <c r="V5" i="95" s="1"/>
  <c r="W5" i="95" s="1"/>
  <c r="X5" i="95" s="1"/>
  <c r="Y5" i="95" s="1"/>
  <c r="Z5" i="95" s="1"/>
  <c r="AA5" i="95" s="1"/>
  <c r="AB5" i="95" s="1"/>
  <c r="AC5" i="95" s="1"/>
  <c r="AD5" i="95" s="1"/>
  <c r="AE5" i="95" s="1"/>
  <c r="AF5" i="95" s="1"/>
  <c r="C141" i="79" l="1"/>
  <c r="E1351" i="95"/>
  <c r="E1287" i="95"/>
  <c r="E1286" i="95" s="1"/>
  <c r="C306" i="95"/>
  <c r="C309" i="95"/>
  <c r="D1711" i="95"/>
  <c r="D1710" i="95" s="1"/>
  <c r="D1626" i="95"/>
  <c r="D1666" i="95" s="1"/>
  <c r="D1665" i="95" s="1"/>
  <c r="E1544" i="95"/>
  <c r="E1475" i="95"/>
  <c r="C1427" i="95"/>
  <c r="E1409" i="95"/>
  <c r="D1411" i="95"/>
  <c r="E796" i="95"/>
  <c r="E849" i="95"/>
  <c r="D1298" i="95"/>
  <c r="E1298" i="95" s="1"/>
  <c r="F1298" i="95" s="1"/>
  <c r="G1298" i="95" s="1"/>
  <c r="H1298" i="95" s="1"/>
  <c r="I1298" i="95" s="1"/>
  <c r="J1298" i="95" s="1"/>
  <c r="K1298" i="95" s="1"/>
  <c r="L1298" i="95" s="1"/>
  <c r="M1298" i="95" s="1"/>
  <c r="N1298" i="95" s="1"/>
  <c r="O1298" i="95" s="1"/>
  <c r="P1298" i="95" s="1"/>
  <c r="Q1298" i="95" s="1"/>
  <c r="R1298" i="95" s="1"/>
  <c r="S1298" i="95" s="1"/>
  <c r="T1298" i="95" s="1"/>
  <c r="U1298" i="95" s="1"/>
  <c r="V1298" i="95" s="1"/>
  <c r="W1298" i="95" s="1"/>
  <c r="X1298" i="95" s="1"/>
  <c r="Y1298" i="95" s="1"/>
  <c r="Z1298" i="95" s="1"/>
  <c r="AA1298" i="95" s="1"/>
  <c r="AB1298" i="95" s="1"/>
  <c r="AC1298" i="95" s="1"/>
  <c r="AD1298" i="95" s="1"/>
  <c r="AE1298" i="95" s="1"/>
  <c r="AF1298" i="95" s="1"/>
  <c r="D1600" i="95"/>
  <c r="D1044" i="95"/>
  <c r="E1044" i="95" s="1"/>
  <c r="F1044" i="95" s="1"/>
  <c r="G1044" i="95" s="1"/>
  <c r="H1044" i="95" s="1"/>
  <c r="I1044" i="95" s="1"/>
  <c r="J1044" i="95" s="1"/>
  <c r="K1044" i="95" s="1"/>
  <c r="L1044" i="95" s="1"/>
  <c r="M1044" i="95" s="1"/>
  <c r="N1044" i="95" s="1"/>
  <c r="O1044" i="95" s="1"/>
  <c r="P1044" i="95" s="1"/>
  <c r="Q1044" i="95" s="1"/>
  <c r="R1044" i="95" s="1"/>
  <c r="S1044" i="95" s="1"/>
  <c r="T1044" i="95" s="1"/>
  <c r="U1044" i="95" s="1"/>
  <c r="V1044" i="95" s="1"/>
  <c r="W1044" i="95" s="1"/>
  <c r="X1044" i="95" s="1"/>
  <c r="Y1044" i="95" s="1"/>
  <c r="Z1044" i="95" s="1"/>
  <c r="AA1044" i="95" s="1"/>
  <c r="AB1044" i="95" s="1"/>
  <c r="AC1044" i="95" s="1"/>
  <c r="AD1044" i="95" s="1"/>
  <c r="AE1044" i="95" s="1"/>
  <c r="AF1044" i="95" s="1"/>
  <c r="C1546" i="95"/>
  <c r="F432" i="95"/>
  <c r="F446" i="95" s="1"/>
  <c r="E446" i="95"/>
  <c r="E439" i="95"/>
  <c r="D1391" i="95"/>
  <c r="D1395" i="95" s="1"/>
  <c r="D1394" i="95" s="1"/>
  <c r="C1674" i="95"/>
  <c r="C180" i="79"/>
  <c r="C176" i="79" s="1"/>
  <c r="C1126" i="95"/>
  <c r="C1124" i="95" s="1"/>
  <c r="C1120" i="95" s="1"/>
  <c r="C1441" i="95"/>
  <c r="E1553" i="95"/>
  <c r="F1553" i="95" s="1"/>
  <c r="G1553" i="95" s="1"/>
  <c r="H1553" i="95" s="1"/>
  <c r="I1553" i="95" s="1"/>
  <c r="J1553" i="95" s="1"/>
  <c r="K1553" i="95" s="1"/>
  <c r="L1553" i="95" s="1"/>
  <c r="M1553" i="95" s="1"/>
  <c r="N1553" i="95" s="1"/>
  <c r="O1553" i="95" s="1"/>
  <c r="P1553" i="95" s="1"/>
  <c r="Q1553" i="95" s="1"/>
  <c r="R1553" i="95" s="1"/>
  <c r="S1553" i="95" s="1"/>
  <c r="T1553" i="95" s="1"/>
  <c r="U1553" i="95" s="1"/>
  <c r="V1553" i="95" s="1"/>
  <c r="W1553" i="95" s="1"/>
  <c r="X1553" i="95" s="1"/>
  <c r="Y1553" i="95" s="1"/>
  <c r="Z1553" i="95" s="1"/>
  <c r="AA1553" i="95" s="1"/>
  <c r="AB1553" i="95" s="1"/>
  <c r="AC1553" i="95" s="1"/>
  <c r="AD1553" i="95" s="1"/>
  <c r="AE1553" i="95" s="1"/>
  <c r="AF1553" i="95" s="1"/>
  <c r="C1174" i="95"/>
  <c r="C1173" i="95" s="1"/>
  <c r="C1172" i="95" s="1"/>
  <c r="D1243" i="95"/>
  <c r="E1243" i="95" s="1"/>
  <c r="F1243" i="95" s="1"/>
  <c r="G1243" i="95" s="1"/>
  <c r="H1243" i="95" s="1"/>
  <c r="I1243" i="95" s="1"/>
  <c r="J1243" i="95" s="1"/>
  <c r="K1243" i="95" s="1"/>
  <c r="L1243" i="95" s="1"/>
  <c r="M1243" i="95" s="1"/>
  <c r="N1243" i="95" s="1"/>
  <c r="O1243" i="95" s="1"/>
  <c r="P1243" i="95" s="1"/>
  <c r="Q1243" i="95" s="1"/>
  <c r="R1243" i="95" s="1"/>
  <c r="S1243" i="95" s="1"/>
  <c r="T1243" i="95" s="1"/>
  <c r="U1243" i="95" s="1"/>
  <c r="V1243" i="95" s="1"/>
  <c r="W1243" i="95" s="1"/>
  <c r="X1243" i="95" s="1"/>
  <c r="Y1243" i="95" s="1"/>
  <c r="Z1243" i="95" s="1"/>
  <c r="AA1243" i="95" s="1"/>
  <c r="AB1243" i="95" s="1"/>
  <c r="AC1243" i="95" s="1"/>
  <c r="AD1243" i="95" s="1"/>
  <c r="AE1243" i="95" s="1"/>
  <c r="AF1243" i="95" s="1"/>
  <c r="D1246" i="95"/>
  <c r="E1246" i="95" s="1"/>
  <c r="F1246" i="95" s="1"/>
  <c r="G1246" i="95" s="1"/>
  <c r="H1246" i="95" s="1"/>
  <c r="I1246" i="95" s="1"/>
  <c r="J1246" i="95" s="1"/>
  <c r="K1246" i="95" s="1"/>
  <c r="L1246" i="95" s="1"/>
  <c r="M1246" i="95" s="1"/>
  <c r="N1246" i="95" s="1"/>
  <c r="O1246" i="95" s="1"/>
  <c r="P1246" i="95" s="1"/>
  <c r="Q1246" i="95" s="1"/>
  <c r="R1246" i="95" s="1"/>
  <c r="S1246" i="95" s="1"/>
  <c r="T1246" i="95" s="1"/>
  <c r="U1246" i="95" s="1"/>
  <c r="V1246" i="95" s="1"/>
  <c r="W1246" i="95" s="1"/>
  <c r="X1246" i="95" s="1"/>
  <c r="Y1246" i="95" s="1"/>
  <c r="Z1246" i="95" s="1"/>
  <c r="AA1246" i="95" s="1"/>
  <c r="AB1246" i="95" s="1"/>
  <c r="AC1246" i="95" s="1"/>
  <c r="AD1246" i="95" s="1"/>
  <c r="AE1246" i="95" s="1"/>
  <c r="AF1246" i="95" s="1"/>
  <c r="D1344" i="95"/>
  <c r="C1342" i="95"/>
  <c r="D1628" i="95"/>
  <c r="C1550" i="95"/>
  <c r="D1498" i="95"/>
  <c r="F933" i="95"/>
  <c r="F963" i="95" s="1"/>
  <c r="D1566" i="95"/>
  <c r="C1471" i="95"/>
  <c r="C1165" i="95"/>
  <c r="C1160" i="95" s="1"/>
  <c r="F1431" i="95"/>
  <c r="C1543" i="95"/>
  <c r="E1479" i="95"/>
  <c r="F1479" i="95" s="1"/>
  <c r="G1479" i="95" s="1"/>
  <c r="H1479" i="95" s="1"/>
  <c r="I1479" i="95" s="1"/>
  <c r="J1479" i="95" s="1"/>
  <c r="K1479" i="95" s="1"/>
  <c r="L1479" i="95" s="1"/>
  <c r="M1479" i="95" s="1"/>
  <c r="N1479" i="95" s="1"/>
  <c r="O1479" i="95" s="1"/>
  <c r="P1479" i="95" s="1"/>
  <c r="Q1479" i="95" s="1"/>
  <c r="R1479" i="95" s="1"/>
  <c r="S1479" i="95" s="1"/>
  <c r="T1479" i="95" s="1"/>
  <c r="U1479" i="95" s="1"/>
  <c r="V1479" i="95" s="1"/>
  <c r="W1479" i="95" s="1"/>
  <c r="X1479" i="95" s="1"/>
  <c r="Y1479" i="95" s="1"/>
  <c r="Z1479" i="95" s="1"/>
  <c r="AA1479" i="95" s="1"/>
  <c r="AB1479" i="95" s="1"/>
  <c r="AC1479" i="95" s="1"/>
  <c r="AD1479" i="95" s="1"/>
  <c r="AE1479" i="95" s="1"/>
  <c r="AF1479" i="95" s="1"/>
  <c r="V1471" i="95"/>
  <c r="E1132" i="95"/>
  <c r="F1132" i="95" s="1"/>
  <c r="D1431" i="95"/>
  <c r="D1449" i="95"/>
  <c r="D1447" i="95" s="1"/>
  <c r="D1582" i="95"/>
  <c r="C1685" i="95"/>
  <c r="E1498" i="95"/>
  <c r="D1274" i="95"/>
  <c r="E1274" i="95" s="1"/>
  <c r="F1274" i="95" s="1"/>
  <c r="G1274" i="95" s="1"/>
  <c r="H1274" i="95" s="1"/>
  <c r="I1274" i="95" s="1"/>
  <c r="J1274" i="95" s="1"/>
  <c r="K1274" i="95" s="1"/>
  <c r="L1274" i="95" s="1"/>
  <c r="M1274" i="95" s="1"/>
  <c r="N1274" i="95" s="1"/>
  <c r="O1274" i="95" s="1"/>
  <c r="P1274" i="95" s="1"/>
  <c r="Q1274" i="95" s="1"/>
  <c r="R1274" i="95" s="1"/>
  <c r="S1274" i="95" s="1"/>
  <c r="T1274" i="95" s="1"/>
  <c r="U1274" i="95" s="1"/>
  <c r="V1274" i="95" s="1"/>
  <c r="W1274" i="95" s="1"/>
  <c r="X1274" i="95" s="1"/>
  <c r="Y1274" i="95" s="1"/>
  <c r="Z1274" i="95" s="1"/>
  <c r="AA1274" i="95" s="1"/>
  <c r="AB1274" i="95" s="1"/>
  <c r="AC1274" i="95" s="1"/>
  <c r="AD1274" i="95" s="1"/>
  <c r="AE1274" i="95" s="1"/>
  <c r="AF1274" i="95" s="1"/>
  <c r="C1459" i="95"/>
  <c r="D1649" i="95"/>
  <c r="F1107" i="95"/>
  <c r="W1471" i="95"/>
  <c r="AE1471" i="95"/>
  <c r="D1643" i="95"/>
  <c r="D1335" i="95"/>
  <c r="E1335" i="95" s="1"/>
  <c r="F1335" i="95" s="1"/>
  <c r="G1335" i="95" s="1"/>
  <c r="H1335" i="95" s="1"/>
  <c r="I1335" i="95" s="1"/>
  <c r="J1335" i="95" s="1"/>
  <c r="K1335" i="95" s="1"/>
  <c r="L1335" i="95" s="1"/>
  <c r="M1335" i="95" s="1"/>
  <c r="N1335" i="95" s="1"/>
  <c r="O1335" i="95" s="1"/>
  <c r="P1335" i="95" s="1"/>
  <c r="Q1335" i="95" s="1"/>
  <c r="R1335" i="95" s="1"/>
  <c r="S1335" i="95" s="1"/>
  <c r="T1335" i="95" s="1"/>
  <c r="U1335" i="95" s="1"/>
  <c r="V1335" i="95" s="1"/>
  <c r="W1335" i="95" s="1"/>
  <c r="X1335" i="95" s="1"/>
  <c r="Y1335" i="95" s="1"/>
  <c r="Z1335" i="95" s="1"/>
  <c r="AA1335" i="95" s="1"/>
  <c r="AB1335" i="95" s="1"/>
  <c r="AC1335" i="95" s="1"/>
  <c r="AD1335" i="95" s="1"/>
  <c r="AE1335" i="95" s="1"/>
  <c r="AF1335" i="95" s="1"/>
  <c r="C1555" i="95"/>
  <c r="C1554" i="95" s="1"/>
  <c r="E1497" i="95"/>
  <c r="F1497" i="95" s="1"/>
  <c r="G1497" i="95" s="1"/>
  <c r="H1497" i="95" s="1"/>
  <c r="I1497" i="95" s="1"/>
  <c r="J1497" i="95" s="1"/>
  <c r="K1497" i="95" s="1"/>
  <c r="L1497" i="95" s="1"/>
  <c r="M1497" i="95" s="1"/>
  <c r="N1497" i="95" s="1"/>
  <c r="O1497" i="95" s="1"/>
  <c r="P1497" i="95" s="1"/>
  <c r="Q1497" i="95" s="1"/>
  <c r="R1497" i="95" s="1"/>
  <c r="S1497" i="95" s="1"/>
  <c r="T1497" i="95" s="1"/>
  <c r="U1497" i="95" s="1"/>
  <c r="V1497" i="95" s="1"/>
  <c r="W1497" i="95" s="1"/>
  <c r="X1497" i="95" s="1"/>
  <c r="Y1497" i="95" s="1"/>
  <c r="Z1497" i="95" s="1"/>
  <c r="AA1497" i="95" s="1"/>
  <c r="AB1497" i="95" s="1"/>
  <c r="AC1497" i="95" s="1"/>
  <c r="AD1497" i="95" s="1"/>
  <c r="AE1497" i="95" s="1"/>
  <c r="AF1497" i="95" s="1"/>
  <c r="E1509" i="95"/>
  <c r="F1509" i="95" s="1"/>
  <c r="G1509" i="95" s="1"/>
  <c r="H1509" i="95" s="1"/>
  <c r="I1509" i="95" s="1"/>
  <c r="J1509" i="95" s="1"/>
  <c r="K1509" i="95" s="1"/>
  <c r="L1509" i="95" s="1"/>
  <c r="M1509" i="95" s="1"/>
  <c r="N1509" i="95" s="1"/>
  <c r="O1509" i="95" s="1"/>
  <c r="P1509" i="95" s="1"/>
  <c r="Q1509" i="95" s="1"/>
  <c r="R1509" i="95" s="1"/>
  <c r="S1509" i="95" s="1"/>
  <c r="T1509" i="95" s="1"/>
  <c r="U1509" i="95" s="1"/>
  <c r="V1509" i="95" s="1"/>
  <c r="W1509" i="95" s="1"/>
  <c r="X1509" i="95" s="1"/>
  <c r="Y1509" i="95" s="1"/>
  <c r="Z1509" i="95" s="1"/>
  <c r="AA1509" i="95" s="1"/>
  <c r="AB1509" i="95" s="1"/>
  <c r="AC1509" i="95" s="1"/>
  <c r="AD1509" i="95" s="1"/>
  <c r="AE1509" i="95" s="1"/>
  <c r="AF1509" i="95" s="1"/>
  <c r="D1554" i="95"/>
  <c r="C1567" i="95"/>
  <c r="C1566" i="95" s="1"/>
  <c r="D1652" i="95"/>
  <c r="E1118" i="95"/>
  <c r="E1117" i="95" s="1"/>
  <c r="C165" i="79"/>
  <c r="O165" i="79"/>
  <c r="AA165" i="79"/>
  <c r="Y165" i="79"/>
  <c r="C1111" i="95"/>
  <c r="C1117" i="95"/>
  <c r="N165" i="79"/>
  <c r="Z165" i="79"/>
  <c r="F754" i="95"/>
  <c r="F767" i="95" s="1"/>
  <c r="D1501" i="95"/>
  <c r="D1329" i="95"/>
  <c r="E1329" i="95" s="1"/>
  <c r="F1329" i="95" s="1"/>
  <c r="G1329" i="95" s="1"/>
  <c r="H1329" i="95" s="1"/>
  <c r="I1329" i="95" s="1"/>
  <c r="J1329" i="95" s="1"/>
  <c r="K1329" i="95" s="1"/>
  <c r="L1329" i="95" s="1"/>
  <c r="M1329" i="95" s="1"/>
  <c r="N1329" i="95" s="1"/>
  <c r="O1329" i="95" s="1"/>
  <c r="P1329" i="95" s="1"/>
  <c r="Q1329" i="95" s="1"/>
  <c r="R1329" i="95" s="1"/>
  <c r="S1329" i="95" s="1"/>
  <c r="T1329" i="95" s="1"/>
  <c r="U1329" i="95" s="1"/>
  <c r="V1329" i="95" s="1"/>
  <c r="W1329" i="95" s="1"/>
  <c r="X1329" i="95" s="1"/>
  <c r="Y1329" i="95" s="1"/>
  <c r="Z1329" i="95" s="1"/>
  <c r="AA1329" i="95" s="1"/>
  <c r="AB1329" i="95" s="1"/>
  <c r="AC1329" i="95" s="1"/>
  <c r="AD1329" i="95" s="1"/>
  <c r="AE1329" i="95" s="1"/>
  <c r="AF1329" i="95" s="1"/>
  <c r="C1189" i="95"/>
  <c r="C1188" i="95" s="1"/>
  <c r="D1483" i="95"/>
  <c r="E1570" i="95"/>
  <c r="E1644" i="95"/>
  <c r="F1644" i="95" s="1"/>
  <c r="F1643" i="95" s="1"/>
  <c r="E1536" i="95"/>
  <c r="E1534" i="95" s="1"/>
  <c r="G1578" i="95"/>
  <c r="S1471" i="95"/>
  <c r="F1499" i="95"/>
  <c r="G1499" i="95" s="1"/>
  <c r="H1499" i="95" s="1"/>
  <c r="AF1471" i="95"/>
  <c r="F1578" i="95"/>
  <c r="C1559" i="95"/>
  <c r="C1558" i="95" s="1"/>
  <c r="F753" i="95"/>
  <c r="F764" i="95" s="1"/>
  <c r="L1471" i="95"/>
  <c r="H1570" i="95"/>
  <c r="E1113" i="95"/>
  <c r="E1111" i="95" s="1"/>
  <c r="D1111" i="95"/>
  <c r="D1591" i="95"/>
  <c r="D1590" i="95" s="1"/>
  <c r="E1593" i="95"/>
  <c r="F1593" i="95" s="1"/>
  <c r="G1593" i="95" s="1"/>
  <c r="H1593" i="95" s="1"/>
  <c r="I1593" i="95" s="1"/>
  <c r="J1593" i="95" s="1"/>
  <c r="K1593" i="95" s="1"/>
  <c r="L1593" i="95" s="1"/>
  <c r="M1593" i="95" s="1"/>
  <c r="N1593" i="95" s="1"/>
  <c r="O1593" i="95" s="1"/>
  <c r="P1593" i="95" s="1"/>
  <c r="Q1593" i="95" s="1"/>
  <c r="R1593" i="95" s="1"/>
  <c r="S1593" i="95" s="1"/>
  <c r="T1593" i="95" s="1"/>
  <c r="U1593" i="95" s="1"/>
  <c r="V1593" i="95" s="1"/>
  <c r="W1593" i="95" s="1"/>
  <c r="X1593" i="95" s="1"/>
  <c r="Y1593" i="95" s="1"/>
  <c r="Z1593" i="95" s="1"/>
  <c r="AA1593" i="95" s="1"/>
  <c r="AB1593" i="95" s="1"/>
  <c r="AC1593" i="95" s="1"/>
  <c r="AD1593" i="95" s="1"/>
  <c r="AE1593" i="95" s="1"/>
  <c r="AF1593" i="95" s="1"/>
  <c r="C1591" i="95"/>
  <c r="C1590" i="95" s="1"/>
  <c r="C1681" i="95"/>
  <c r="C1680" i="95" s="1"/>
  <c r="C1107" i="95"/>
  <c r="C1418" i="95"/>
  <c r="C1417" i="95" s="1"/>
  <c r="E1107" i="95"/>
  <c r="D1103" i="95"/>
  <c r="E1676" i="95"/>
  <c r="D1674" i="95"/>
  <c r="E1687" i="95"/>
  <c r="F1687" i="95" s="1"/>
  <c r="D1685" i="95"/>
  <c r="F350" i="95"/>
  <c r="G350" i="95" s="1"/>
  <c r="F1169" i="95"/>
  <c r="F1165" i="95" s="1"/>
  <c r="G1171" i="95"/>
  <c r="D1212" i="95"/>
  <c r="E1214" i="95"/>
  <c r="E1212" i="95" s="1"/>
  <c r="E1512" i="95"/>
  <c r="F1512" i="95" s="1"/>
  <c r="E1195" i="95"/>
  <c r="D1193" i="95"/>
  <c r="D1406" i="95"/>
  <c r="E1392" i="95"/>
  <c r="F1392" i="95" s="1"/>
  <c r="H16" i="95"/>
  <c r="E1506" i="95"/>
  <c r="F1506" i="95" s="1"/>
  <c r="G1506" i="95" s="1"/>
  <c r="H1506" i="95" s="1"/>
  <c r="I1506" i="95" s="1"/>
  <c r="J1506" i="95" s="1"/>
  <c r="K1506" i="95" s="1"/>
  <c r="L1506" i="95" s="1"/>
  <c r="M1506" i="95" s="1"/>
  <c r="N1506" i="95" s="1"/>
  <c r="O1506" i="95" s="1"/>
  <c r="P1506" i="95" s="1"/>
  <c r="Q1506" i="95" s="1"/>
  <c r="R1506" i="95" s="1"/>
  <c r="S1506" i="95" s="1"/>
  <c r="T1506" i="95" s="1"/>
  <c r="U1506" i="95" s="1"/>
  <c r="V1506" i="95" s="1"/>
  <c r="W1506" i="95" s="1"/>
  <c r="X1506" i="95" s="1"/>
  <c r="Y1506" i="95" s="1"/>
  <c r="Z1506" i="95" s="1"/>
  <c r="AA1506" i="95" s="1"/>
  <c r="AB1506" i="95" s="1"/>
  <c r="AC1506" i="95" s="1"/>
  <c r="AD1506" i="95" s="1"/>
  <c r="AE1506" i="95" s="1"/>
  <c r="AF1506" i="95" s="1"/>
  <c r="D1504" i="95"/>
  <c r="D1699" i="95"/>
  <c r="D1010" i="95"/>
  <c r="E1010" i="95" s="1"/>
  <c r="F1010" i="95" s="1"/>
  <c r="G1010" i="95" s="1"/>
  <c r="H1010" i="95" s="1"/>
  <c r="I1010" i="95" s="1"/>
  <c r="J1010" i="95" s="1"/>
  <c r="K1010" i="95" s="1"/>
  <c r="L1010" i="95" s="1"/>
  <c r="M1010" i="95" s="1"/>
  <c r="N1010" i="95" s="1"/>
  <c r="O1010" i="95" s="1"/>
  <c r="P1010" i="95" s="1"/>
  <c r="Q1010" i="95" s="1"/>
  <c r="R1010" i="95" s="1"/>
  <c r="S1010" i="95" s="1"/>
  <c r="T1010" i="95" s="1"/>
  <c r="U1010" i="95" s="1"/>
  <c r="V1010" i="95" s="1"/>
  <c r="W1010" i="95" s="1"/>
  <c r="X1010" i="95" s="1"/>
  <c r="Y1010" i="95" s="1"/>
  <c r="Z1010" i="95" s="1"/>
  <c r="AA1010" i="95" s="1"/>
  <c r="AB1010" i="95" s="1"/>
  <c r="AC1010" i="95" s="1"/>
  <c r="AD1010" i="95" s="1"/>
  <c r="AE1010" i="95" s="1"/>
  <c r="AF1010" i="95" s="1"/>
  <c r="D1209" i="95"/>
  <c r="E1211" i="95"/>
  <c r="E1209" i="95" s="1"/>
  <c r="E1036" i="95"/>
  <c r="D1597" i="95"/>
  <c r="E1597" i="95" s="1"/>
  <c r="C1595" i="95"/>
  <c r="K1471" i="95"/>
  <c r="D1271" i="95"/>
  <c r="E1271" i="95" s="1"/>
  <c r="F1271" i="95" s="1"/>
  <c r="G1271" i="95" s="1"/>
  <c r="H1271" i="95" s="1"/>
  <c r="I1271" i="95" s="1"/>
  <c r="J1271" i="95" s="1"/>
  <c r="K1271" i="95" s="1"/>
  <c r="L1271" i="95" s="1"/>
  <c r="M1271" i="95" s="1"/>
  <c r="N1271" i="95" s="1"/>
  <c r="O1271" i="95" s="1"/>
  <c r="P1271" i="95" s="1"/>
  <c r="Q1271" i="95" s="1"/>
  <c r="R1271" i="95" s="1"/>
  <c r="S1271" i="95" s="1"/>
  <c r="T1271" i="95" s="1"/>
  <c r="U1271" i="95" s="1"/>
  <c r="V1271" i="95" s="1"/>
  <c r="W1271" i="95" s="1"/>
  <c r="X1271" i="95" s="1"/>
  <c r="Y1271" i="95" s="1"/>
  <c r="Z1271" i="95" s="1"/>
  <c r="AA1271" i="95" s="1"/>
  <c r="AB1271" i="95" s="1"/>
  <c r="AC1271" i="95" s="1"/>
  <c r="AD1271" i="95" s="1"/>
  <c r="AE1271" i="95" s="1"/>
  <c r="AF1271" i="95" s="1"/>
  <c r="E1638" i="95"/>
  <c r="F1638" i="95" s="1"/>
  <c r="D1637" i="95"/>
  <c r="D1693" i="95"/>
  <c r="E1693" i="95" s="1"/>
  <c r="F1693" i="95" s="1"/>
  <c r="G1693" i="95" s="1"/>
  <c r="H1693" i="95" s="1"/>
  <c r="I1693" i="95" s="1"/>
  <c r="J1693" i="95" s="1"/>
  <c r="K1693" i="95" s="1"/>
  <c r="L1693" i="95" s="1"/>
  <c r="M1693" i="95" s="1"/>
  <c r="N1693" i="95" s="1"/>
  <c r="O1693" i="95" s="1"/>
  <c r="P1693" i="95" s="1"/>
  <c r="Q1693" i="95" s="1"/>
  <c r="R1693" i="95" s="1"/>
  <c r="S1693" i="95" s="1"/>
  <c r="T1693" i="95" s="1"/>
  <c r="U1693" i="95" s="1"/>
  <c r="V1693" i="95" s="1"/>
  <c r="W1693" i="95" s="1"/>
  <c r="X1693" i="95" s="1"/>
  <c r="Y1693" i="95" s="1"/>
  <c r="Z1693" i="95" s="1"/>
  <c r="AA1693" i="95" s="1"/>
  <c r="AB1693" i="95" s="1"/>
  <c r="AC1693" i="95" s="1"/>
  <c r="AD1693" i="95" s="1"/>
  <c r="AE1693" i="95" s="1"/>
  <c r="AF1693" i="95" s="1"/>
  <c r="C1691" i="95"/>
  <c r="D1374" i="95"/>
  <c r="D1748" i="95"/>
  <c r="E1698" i="95"/>
  <c r="E1748" i="95" s="1"/>
  <c r="D1729" i="95"/>
  <c r="J1471" i="95"/>
  <c r="E963" i="95"/>
  <c r="E1004" i="95"/>
  <c r="E1016" i="95" s="1"/>
  <c r="E984" i="95"/>
  <c r="E994" i="95"/>
  <c r="D1257" i="95"/>
  <c r="E1257" i="95" s="1"/>
  <c r="F1257" i="95" s="1"/>
  <c r="G1257" i="95" s="1"/>
  <c r="H1257" i="95" s="1"/>
  <c r="I1257" i="95" s="1"/>
  <c r="J1257" i="95" s="1"/>
  <c r="K1257" i="95" s="1"/>
  <c r="L1257" i="95" s="1"/>
  <c r="M1257" i="95" s="1"/>
  <c r="N1257" i="95" s="1"/>
  <c r="O1257" i="95" s="1"/>
  <c r="P1257" i="95" s="1"/>
  <c r="Q1257" i="95" s="1"/>
  <c r="R1257" i="95" s="1"/>
  <c r="S1257" i="95" s="1"/>
  <c r="T1257" i="95" s="1"/>
  <c r="U1257" i="95" s="1"/>
  <c r="V1257" i="95" s="1"/>
  <c r="W1257" i="95" s="1"/>
  <c r="X1257" i="95" s="1"/>
  <c r="Y1257" i="95" s="1"/>
  <c r="Z1257" i="95" s="1"/>
  <c r="AA1257" i="95" s="1"/>
  <c r="AB1257" i="95" s="1"/>
  <c r="AC1257" i="95" s="1"/>
  <c r="AD1257" i="95" s="1"/>
  <c r="AE1257" i="95" s="1"/>
  <c r="AF1257" i="95" s="1"/>
  <c r="D1258" i="95"/>
  <c r="E1258" i="95" s="1"/>
  <c r="F1258" i="95" s="1"/>
  <c r="G1258" i="95" s="1"/>
  <c r="H1258" i="95" s="1"/>
  <c r="I1258" i="95" s="1"/>
  <c r="J1258" i="95" s="1"/>
  <c r="K1258" i="95" s="1"/>
  <c r="L1258" i="95" s="1"/>
  <c r="M1258" i="95" s="1"/>
  <c r="N1258" i="95" s="1"/>
  <c r="O1258" i="95" s="1"/>
  <c r="P1258" i="95" s="1"/>
  <c r="Q1258" i="95" s="1"/>
  <c r="R1258" i="95" s="1"/>
  <c r="S1258" i="95" s="1"/>
  <c r="T1258" i="95" s="1"/>
  <c r="U1258" i="95" s="1"/>
  <c r="V1258" i="95" s="1"/>
  <c r="W1258" i="95" s="1"/>
  <c r="X1258" i="95" s="1"/>
  <c r="Y1258" i="95" s="1"/>
  <c r="Z1258" i="95" s="1"/>
  <c r="AA1258" i="95" s="1"/>
  <c r="AB1258" i="95" s="1"/>
  <c r="AC1258" i="95" s="1"/>
  <c r="AD1258" i="95" s="1"/>
  <c r="AE1258" i="95" s="1"/>
  <c r="AF1258" i="95" s="1"/>
  <c r="E1574" i="95"/>
  <c r="F1576" i="95"/>
  <c r="G1576" i="95" s="1"/>
  <c r="H1576" i="95" s="1"/>
  <c r="I1576" i="95" s="1"/>
  <c r="J1576" i="95" s="1"/>
  <c r="K1576" i="95" s="1"/>
  <c r="L1576" i="95" s="1"/>
  <c r="M1576" i="95" s="1"/>
  <c r="E1612" i="95"/>
  <c r="E1489" i="95"/>
  <c r="C1209" i="95"/>
  <c r="C1202" i="95" s="1"/>
  <c r="E1022" i="95"/>
  <c r="F1022" i="95" s="1"/>
  <c r="G1022" i="95" s="1"/>
  <c r="H1022" i="95" s="1"/>
  <c r="I1022" i="95" s="1"/>
  <c r="J1022" i="95" s="1"/>
  <c r="K1022" i="95" s="1"/>
  <c r="L1022" i="95" s="1"/>
  <c r="M1022" i="95" s="1"/>
  <c r="N1022" i="95" s="1"/>
  <c r="O1022" i="95" s="1"/>
  <c r="P1022" i="95" s="1"/>
  <c r="Q1022" i="95" s="1"/>
  <c r="R1022" i="95" s="1"/>
  <c r="S1022" i="95" s="1"/>
  <c r="T1022" i="95" s="1"/>
  <c r="U1022" i="95" s="1"/>
  <c r="V1022" i="95" s="1"/>
  <c r="W1022" i="95" s="1"/>
  <c r="X1022" i="95" s="1"/>
  <c r="Y1022" i="95" s="1"/>
  <c r="Z1022" i="95" s="1"/>
  <c r="AA1022" i="95" s="1"/>
  <c r="AB1022" i="95" s="1"/>
  <c r="AC1022" i="95" s="1"/>
  <c r="AD1022" i="95" s="1"/>
  <c r="AE1022" i="95" s="1"/>
  <c r="AF1022" i="95" s="1"/>
  <c r="D1199" i="95"/>
  <c r="E1181" i="95"/>
  <c r="D1180" i="95"/>
  <c r="D1179" i="95" s="1"/>
  <c r="P1471" i="95"/>
  <c r="E1482" i="95"/>
  <c r="F1482" i="95" s="1"/>
  <c r="G1482" i="95" s="1"/>
  <c r="H1482" i="95" s="1"/>
  <c r="I1482" i="95" s="1"/>
  <c r="J1482" i="95" s="1"/>
  <c r="K1482" i="95" s="1"/>
  <c r="L1482" i="95" s="1"/>
  <c r="M1482" i="95" s="1"/>
  <c r="N1482" i="95" s="1"/>
  <c r="O1482" i="95" s="1"/>
  <c r="P1482" i="95" s="1"/>
  <c r="Q1482" i="95" s="1"/>
  <c r="R1482" i="95" s="1"/>
  <c r="S1482" i="95" s="1"/>
  <c r="T1482" i="95" s="1"/>
  <c r="U1482" i="95" s="1"/>
  <c r="V1482" i="95" s="1"/>
  <c r="W1482" i="95" s="1"/>
  <c r="X1482" i="95" s="1"/>
  <c r="Y1482" i="95" s="1"/>
  <c r="Z1482" i="95" s="1"/>
  <c r="AA1482" i="95" s="1"/>
  <c r="AB1482" i="95" s="1"/>
  <c r="AC1482" i="95" s="1"/>
  <c r="AD1482" i="95" s="1"/>
  <c r="AE1482" i="95" s="1"/>
  <c r="AF1482" i="95" s="1"/>
  <c r="D1480" i="95"/>
  <c r="E783" i="95"/>
  <c r="G1109" i="95"/>
  <c r="D1127" i="95"/>
  <c r="E1129" i="95"/>
  <c r="E1127" i="95" s="1"/>
  <c r="E1524" i="95"/>
  <c r="D1522" i="95"/>
  <c r="H1538" i="95"/>
  <c r="I1538" i="95" s="1"/>
  <c r="D1570" i="95"/>
  <c r="D1169" i="95"/>
  <c r="D1265" i="95"/>
  <c r="E1265" i="95" s="1"/>
  <c r="F1265" i="95" s="1"/>
  <c r="G1265" i="95" s="1"/>
  <c r="H1265" i="95" s="1"/>
  <c r="I1265" i="95" s="1"/>
  <c r="J1265" i="95" s="1"/>
  <c r="K1265" i="95" s="1"/>
  <c r="L1265" i="95" s="1"/>
  <c r="M1265" i="95" s="1"/>
  <c r="N1265" i="95" s="1"/>
  <c r="O1265" i="95" s="1"/>
  <c r="P1265" i="95" s="1"/>
  <c r="Q1265" i="95" s="1"/>
  <c r="R1265" i="95" s="1"/>
  <c r="S1265" i="95" s="1"/>
  <c r="T1265" i="95" s="1"/>
  <c r="U1265" i="95" s="1"/>
  <c r="V1265" i="95" s="1"/>
  <c r="W1265" i="95" s="1"/>
  <c r="X1265" i="95" s="1"/>
  <c r="Y1265" i="95" s="1"/>
  <c r="Z1265" i="95" s="1"/>
  <c r="AA1265" i="95" s="1"/>
  <c r="AB1265" i="95" s="1"/>
  <c r="AC1265" i="95" s="1"/>
  <c r="AD1265" i="95" s="1"/>
  <c r="AE1265" i="95" s="1"/>
  <c r="AF1265" i="95" s="1"/>
  <c r="C1362" i="95"/>
  <c r="C1444" i="95"/>
  <c r="D1513" i="95"/>
  <c r="E1515" i="95"/>
  <c r="E1513" i="95" s="1"/>
  <c r="C1611" i="95"/>
  <c r="E837" i="95"/>
  <c r="D1107" i="95"/>
  <c r="E1169" i="95"/>
  <c r="C1275" i="95"/>
  <c r="E1429" i="95"/>
  <c r="F1429" i="95" s="1"/>
  <c r="G1429" i="95" s="1"/>
  <c r="D1428" i="95"/>
  <c r="E1483" i="95"/>
  <c r="E1539" i="95"/>
  <c r="F1539" i="95" s="1"/>
  <c r="D1537" i="95"/>
  <c r="G1092" i="95"/>
  <c r="G1118" i="95" s="1"/>
  <c r="G1117" i="95" s="1"/>
  <c r="F1118" i="95"/>
  <c r="F1117" i="95" s="1"/>
  <c r="D1466" i="95"/>
  <c r="E1466" i="95" s="1"/>
  <c r="C1464" i="95"/>
  <c r="G1484" i="95"/>
  <c r="H1484" i="95" s="1"/>
  <c r="I1484" i="95" s="1"/>
  <c r="J1484" i="95" s="1"/>
  <c r="F1483" i="95"/>
  <c r="E1527" i="95"/>
  <c r="F1527" i="95" s="1"/>
  <c r="G1527" i="95" s="1"/>
  <c r="H1527" i="95" s="1"/>
  <c r="I1527" i="95" s="1"/>
  <c r="J1527" i="95" s="1"/>
  <c r="K1527" i="95" s="1"/>
  <c r="L1527" i="95" s="1"/>
  <c r="M1527" i="95" s="1"/>
  <c r="N1527" i="95" s="1"/>
  <c r="O1527" i="95" s="1"/>
  <c r="P1527" i="95" s="1"/>
  <c r="Q1527" i="95" s="1"/>
  <c r="R1527" i="95" s="1"/>
  <c r="S1527" i="95" s="1"/>
  <c r="T1527" i="95" s="1"/>
  <c r="U1527" i="95" s="1"/>
  <c r="V1527" i="95" s="1"/>
  <c r="W1527" i="95" s="1"/>
  <c r="X1527" i="95" s="1"/>
  <c r="Y1527" i="95" s="1"/>
  <c r="Z1527" i="95" s="1"/>
  <c r="AA1527" i="95" s="1"/>
  <c r="AB1527" i="95" s="1"/>
  <c r="AC1527" i="95" s="1"/>
  <c r="AD1527" i="95" s="1"/>
  <c r="AE1527" i="95" s="1"/>
  <c r="AF1527" i="95" s="1"/>
  <c r="D1525" i="95"/>
  <c r="E1566" i="95"/>
  <c r="D1235" i="95"/>
  <c r="E1235" i="95" s="1"/>
  <c r="F1235" i="95" s="1"/>
  <c r="G1235" i="95" s="1"/>
  <c r="H1235" i="95" s="1"/>
  <c r="D1049" i="95"/>
  <c r="D1047" i="95" s="1"/>
  <c r="C1199" i="95"/>
  <c r="C1192" i="95" s="1"/>
  <c r="E1277" i="95"/>
  <c r="F1277" i="95" s="1"/>
  <c r="I1471" i="95"/>
  <c r="C1583" i="95"/>
  <c r="C1582" i="95" s="1"/>
  <c r="E1205" i="95"/>
  <c r="F1205" i="95" s="1"/>
  <c r="H1471" i="95"/>
  <c r="T1471" i="95"/>
  <c r="E1558" i="95"/>
  <c r="C1579" i="95"/>
  <c r="C1578" i="95" s="1"/>
  <c r="D1658" i="95"/>
  <c r="C1710" i="95"/>
  <c r="C1716" i="95"/>
  <c r="C1424" i="95"/>
  <c r="C1571" i="95"/>
  <c r="C1570" i="95" s="1"/>
  <c r="F1570" i="95"/>
  <c r="E1586" i="95"/>
  <c r="D1050" i="95"/>
  <c r="E1050" i="95" s="1"/>
  <c r="F1050" i="95" s="1"/>
  <c r="G1050" i="95" s="1"/>
  <c r="H1050" i="95" s="1"/>
  <c r="I1050" i="95" s="1"/>
  <c r="J1050" i="95" s="1"/>
  <c r="K1050" i="95" s="1"/>
  <c r="L1050" i="95" s="1"/>
  <c r="M1050" i="95" s="1"/>
  <c r="N1050" i="95" s="1"/>
  <c r="O1050" i="95" s="1"/>
  <c r="P1050" i="95" s="1"/>
  <c r="Q1050" i="95" s="1"/>
  <c r="R1050" i="95" s="1"/>
  <c r="S1050" i="95" s="1"/>
  <c r="T1050" i="95" s="1"/>
  <c r="U1050" i="95" s="1"/>
  <c r="V1050" i="95" s="1"/>
  <c r="W1050" i="95" s="1"/>
  <c r="X1050" i="95" s="1"/>
  <c r="Y1050" i="95" s="1"/>
  <c r="Z1050" i="95" s="1"/>
  <c r="AA1050" i="95" s="1"/>
  <c r="AB1050" i="95" s="1"/>
  <c r="AC1050" i="95" s="1"/>
  <c r="AD1050" i="95" s="1"/>
  <c r="AE1050" i="95" s="1"/>
  <c r="AF1050" i="95" s="1"/>
  <c r="E1521" i="95"/>
  <c r="F1521" i="95" s="1"/>
  <c r="D1574" i="95"/>
  <c r="F1588" i="95"/>
  <c r="G1588" i="95" s="1"/>
  <c r="H1588" i="95" s="1"/>
  <c r="I1588" i="95" s="1"/>
  <c r="J1588" i="95" s="1"/>
  <c r="E1629" i="95"/>
  <c r="E1628" i="95" s="1"/>
  <c r="D1681" i="95"/>
  <c r="D1680" i="95" s="1"/>
  <c r="I109" i="79"/>
  <c r="L109" i="79"/>
  <c r="M109" i="79"/>
  <c r="K165" i="79"/>
  <c r="W165" i="79"/>
  <c r="E165" i="79"/>
  <c r="Q165" i="79"/>
  <c r="AC165" i="79"/>
  <c r="Q148" i="79"/>
  <c r="D109" i="79"/>
  <c r="AD109" i="79"/>
  <c r="K109" i="79"/>
  <c r="W109" i="79"/>
  <c r="F165" i="79"/>
  <c r="R165" i="79"/>
  <c r="AD165" i="79"/>
  <c r="L165" i="79"/>
  <c r="X165" i="79"/>
  <c r="AE109" i="79"/>
  <c r="G165" i="79"/>
  <c r="S165" i="79"/>
  <c r="AE165" i="79"/>
  <c r="M165" i="79"/>
  <c r="F109" i="79"/>
  <c r="S109" i="79"/>
  <c r="AF109" i="79"/>
  <c r="H165" i="79"/>
  <c r="T165" i="79"/>
  <c r="AF165" i="79"/>
  <c r="G109" i="79"/>
  <c r="T109" i="79"/>
  <c r="I165" i="79"/>
  <c r="U165" i="79"/>
  <c r="Q152" i="79"/>
  <c r="J165" i="79"/>
  <c r="V165" i="79"/>
  <c r="D165" i="79"/>
  <c r="P165" i="79"/>
  <c r="AB165" i="79"/>
  <c r="C116" i="79"/>
  <c r="Y109" i="79"/>
  <c r="N109" i="79"/>
  <c r="Z109" i="79"/>
  <c r="O109" i="79"/>
  <c r="C126" i="79"/>
  <c r="U109" i="79"/>
  <c r="C131" i="79"/>
  <c r="C136" i="79"/>
  <c r="J109" i="79"/>
  <c r="V109" i="79"/>
  <c r="M147" i="79"/>
  <c r="AF129" i="79"/>
  <c r="T129" i="79"/>
  <c r="H129" i="79"/>
  <c r="P129" i="79"/>
  <c r="AE129" i="79"/>
  <c r="S129" i="79"/>
  <c r="G129" i="79"/>
  <c r="C121" i="79"/>
  <c r="AC129" i="79"/>
  <c r="E129" i="79"/>
  <c r="AD129" i="79"/>
  <c r="R129" i="79"/>
  <c r="F129" i="79"/>
  <c r="Q129" i="79"/>
  <c r="AB129" i="79"/>
  <c r="D129" i="79"/>
  <c r="X129" i="79"/>
  <c r="C129" i="79"/>
  <c r="N147" i="79"/>
  <c r="I129" i="79"/>
  <c r="Z129" i="79"/>
  <c r="O147" i="79"/>
  <c r="Y129" i="79"/>
  <c r="J129" i="79"/>
  <c r="AA129" i="79"/>
  <c r="P147" i="79"/>
  <c r="D182" i="79"/>
  <c r="K129" i="79"/>
  <c r="V147" i="79"/>
  <c r="N129" i="79"/>
  <c r="C147" i="79"/>
  <c r="Y147" i="79"/>
  <c r="C109" i="79"/>
  <c r="O129" i="79"/>
  <c r="D147" i="79"/>
  <c r="AB154" i="79"/>
  <c r="C153" i="79" s="1"/>
  <c r="H155" i="79" s="1"/>
  <c r="L129" i="79"/>
  <c r="C151" i="79"/>
  <c r="U147" i="79"/>
  <c r="I147" i="79"/>
  <c r="AF147" i="79"/>
  <c r="T147" i="79"/>
  <c r="H147" i="79"/>
  <c r="AD147" i="79"/>
  <c r="F147" i="79"/>
  <c r="AE147" i="79"/>
  <c r="S147" i="79"/>
  <c r="G147" i="79"/>
  <c r="R147" i="79"/>
  <c r="AC147" i="79"/>
  <c r="Q147" i="79"/>
  <c r="AB150" i="79"/>
  <c r="R150" i="79"/>
  <c r="E147" i="79"/>
  <c r="U129" i="79"/>
  <c r="J147" i="79"/>
  <c r="AA147" i="79"/>
  <c r="C155" i="79"/>
  <c r="W147" i="79"/>
  <c r="M129" i="79"/>
  <c r="X147" i="79"/>
  <c r="AA148" i="79"/>
  <c r="V129" i="79"/>
  <c r="K147" i="79"/>
  <c r="AB147" i="79"/>
  <c r="AA152" i="79"/>
  <c r="P109" i="79"/>
  <c r="AC109" i="79"/>
  <c r="W129" i="79"/>
  <c r="L147" i="79"/>
  <c r="H152" i="79"/>
  <c r="X112" i="79"/>
  <c r="X110" i="79" s="1"/>
  <c r="X109" i="79" s="1"/>
  <c r="AC473" i="95"/>
  <c r="I1197" i="95"/>
  <c r="I1564" i="95"/>
  <c r="J1564" i="95" s="1"/>
  <c r="K1564" i="95" s="1"/>
  <c r="L1564" i="95" s="1"/>
  <c r="Y1351" i="95"/>
  <c r="E1416" i="95"/>
  <c r="AF401" i="95"/>
  <c r="E473" i="95"/>
  <c r="L1128" i="95"/>
  <c r="M1204" i="95"/>
  <c r="Y36" i="95"/>
  <c r="F473" i="95"/>
  <c r="R473" i="95"/>
  <c r="J473" i="95"/>
  <c r="D1228" i="95"/>
  <c r="E1228" i="95" s="1"/>
  <c r="F1228" i="95" s="1"/>
  <c r="G1228" i="95" s="1"/>
  <c r="H1228" i="95" s="1"/>
  <c r="I1228" i="95" s="1"/>
  <c r="J1228" i="95" s="1"/>
  <c r="K1228" i="95" s="1"/>
  <c r="L1228" i="95" s="1"/>
  <c r="M1228" i="95" s="1"/>
  <c r="N1228" i="95" s="1"/>
  <c r="O1228" i="95" s="1"/>
  <c r="P1228" i="95" s="1"/>
  <c r="Q1228" i="95" s="1"/>
  <c r="R1228" i="95" s="1"/>
  <c r="S1228" i="95" s="1"/>
  <c r="T1228" i="95" s="1"/>
  <c r="U1228" i="95" s="1"/>
  <c r="V1228" i="95" s="1"/>
  <c r="W1228" i="95" s="1"/>
  <c r="X1228" i="95" s="1"/>
  <c r="Y1228" i="95" s="1"/>
  <c r="Z1228" i="95" s="1"/>
  <c r="AA1228" i="95" s="1"/>
  <c r="AB1228" i="95" s="1"/>
  <c r="AC1228" i="95" s="1"/>
  <c r="AD1228" i="95" s="1"/>
  <c r="AE1228" i="95" s="1"/>
  <c r="AF1228" i="95" s="1"/>
  <c r="G473" i="95"/>
  <c r="S473" i="95"/>
  <c r="AE473" i="95"/>
  <c r="I1098" i="95"/>
  <c r="E1249" i="95"/>
  <c r="O36" i="95"/>
  <c r="K1200" i="95"/>
  <c r="F1270" i="95"/>
  <c r="J36" i="95"/>
  <c r="V36" i="95"/>
  <c r="AA473" i="95"/>
  <c r="M36" i="95"/>
  <c r="AD473" i="95"/>
  <c r="D1064" i="95"/>
  <c r="E1064" i="95" s="1"/>
  <c r="F1064" i="95" s="1"/>
  <c r="G1064" i="95" s="1"/>
  <c r="H1064" i="95" s="1"/>
  <c r="I1064" i="95" s="1"/>
  <c r="J1064" i="95" s="1"/>
  <c r="K1064" i="95" s="1"/>
  <c r="L1064" i="95" s="1"/>
  <c r="M1064" i="95" s="1"/>
  <c r="N1064" i="95" s="1"/>
  <c r="O1064" i="95" s="1"/>
  <c r="P1064" i="95" s="1"/>
  <c r="Q1064" i="95" s="1"/>
  <c r="R1064" i="95" s="1"/>
  <c r="S1064" i="95" s="1"/>
  <c r="T1064" i="95" s="1"/>
  <c r="U1064" i="95" s="1"/>
  <c r="V1064" i="95" s="1"/>
  <c r="W1064" i="95" s="1"/>
  <c r="X1064" i="95" s="1"/>
  <c r="Y1064" i="95" s="1"/>
  <c r="Z1064" i="95" s="1"/>
  <c r="AA1064" i="95" s="1"/>
  <c r="AB1064" i="95" s="1"/>
  <c r="AC1064" i="95" s="1"/>
  <c r="AD1064" i="95" s="1"/>
  <c r="AE1064" i="95" s="1"/>
  <c r="AF1064" i="95" s="1"/>
  <c r="E466" i="95"/>
  <c r="I702" i="95"/>
  <c r="J1069" i="95"/>
  <c r="K1069" i="95" s="1"/>
  <c r="L1069" i="95" s="1"/>
  <c r="M1069" i="95" s="1"/>
  <c r="N1069" i="95" s="1"/>
  <c r="O1069" i="95" s="1"/>
  <c r="P1069" i="95" s="1"/>
  <c r="Q1069" i="95" s="1"/>
  <c r="R1069" i="95" s="1"/>
  <c r="S1069" i="95" s="1"/>
  <c r="T1069" i="95" s="1"/>
  <c r="U1069" i="95" s="1"/>
  <c r="V1069" i="95" s="1"/>
  <c r="W1069" i="95" s="1"/>
  <c r="X1069" i="95" s="1"/>
  <c r="Y1069" i="95" s="1"/>
  <c r="Z1069" i="95" s="1"/>
  <c r="AA1069" i="95" s="1"/>
  <c r="AB1069" i="95" s="1"/>
  <c r="AC1069" i="95" s="1"/>
  <c r="AD1069" i="95" s="1"/>
  <c r="AE1069" i="95" s="1"/>
  <c r="AF1069" i="95" s="1"/>
  <c r="C1337" i="95"/>
  <c r="C1377" i="95"/>
  <c r="O1377" i="95"/>
  <c r="AA1377" i="95"/>
  <c r="M1351" i="95"/>
  <c r="H401" i="95"/>
  <c r="Q473" i="95"/>
  <c r="AB473" i="95"/>
  <c r="D1492" i="95"/>
  <c r="E1494" i="95"/>
  <c r="I1578" i="95"/>
  <c r="J1580" i="95"/>
  <c r="H1578" i="95"/>
  <c r="Q36" i="95"/>
  <c r="D1337" i="95"/>
  <c r="D1377" i="95"/>
  <c r="P1377" i="95"/>
  <c r="AB1377" i="95"/>
  <c r="K1560" i="95"/>
  <c r="J1558" i="95"/>
  <c r="F1552" i="95"/>
  <c r="U1359" i="95"/>
  <c r="H1377" i="95"/>
  <c r="F1503" i="95"/>
  <c r="E1501" i="95"/>
  <c r="P36" i="95"/>
  <c r="I1115" i="95"/>
  <c r="E1136" i="95"/>
  <c r="E1177" i="95"/>
  <c r="D1174" i="95"/>
  <c r="D1173" i="95" s="1"/>
  <c r="D1184" i="95"/>
  <c r="D1183" i="95" s="1"/>
  <c r="E1648" i="95"/>
  <c r="D1646" i="95"/>
  <c r="H1532" i="95"/>
  <c r="D1250" i="95"/>
  <c r="E1250" i="95" s="1"/>
  <c r="F1250" i="95" s="1"/>
  <c r="G1250" i="95" s="1"/>
  <c r="H1250" i="95" s="1"/>
  <c r="I1250" i="95" s="1"/>
  <c r="J1250" i="95" s="1"/>
  <c r="K1250" i="95" s="1"/>
  <c r="L1250" i="95" s="1"/>
  <c r="M1250" i="95" s="1"/>
  <c r="N1250" i="95" s="1"/>
  <c r="O1250" i="95" s="1"/>
  <c r="P1250" i="95" s="1"/>
  <c r="Q1250" i="95" s="1"/>
  <c r="R1250" i="95" s="1"/>
  <c r="S1250" i="95" s="1"/>
  <c r="T1250" i="95" s="1"/>
  <c r="U1250" i="95" s="1"/>
  <c r="V1250" i="95" s="1"/>
  <c r="W1250" i="95" s="1"/>
  <c r="X1250" i="95" s="1"/>
  <c r="Y1250" i="95" s="1"/>
  <c r="Z1250" i="95" s="1"/>
  <c r="AA1250" i="95" s="1"/>
  <c r="AB1250" i="95" s="1"/>
  <c r="AC1250" i="95" s="1"/>
  <c r="AD1250" i="95" s="1"/>
  <c r="AE1250" i="95" s="1"/>
  <c r="AF1250" i="95" s="1"/>
  <c r="D1251" i="95"/>
  <c r="O1351" i="95"/>
  <c r="E954" i="95"/>
  <c r="G1297" i="95"/>
  <c r="H1297" i="95" s="1"/>
  <c r="I1297" i="95" s="1"/>
  <c r="J1297" i="95" s="1"/>
  <c r="K1297" i="95" s="1"/>
  <c r="L1297" i="95" s="1"/>
  <c r="M1297" i="95" s="1"/>
  <c r="N1297" i="95" s="1"/>
  <c r="O1297" i="95" s="1"/>
  <c r="P1297" i="95" s="1"/>
  <c r="Q1297" i="95" s="1"/>
  <c r="R1297" i="95" s="1"/>
  <c r="S1297" i="95" s="1"/>
  <c r="T1297" i="95" s="1"/>
  <c r="U1297" i="95" s="1"/>
  <c r="V1297" i="95" s="1"/>
  <c r="W1297" i="95" s="1"/>
  <c r="X1297" i="95" s="1"/>
  <c r="Y1297" i="95" s="1"/>
  <c r="Z1297" i="95" s="1"/>
  <c r="AA1297" i="95" s="1"/>
  <c r="AB1297" i="95" s="1"/>
  <c r="AC1297" i="95" s="1"/>
  <c r="AD1297" i="95" s="1"/>
  <c r="AE1297" i="95" s="1"/>
  <c r="AF1297" i="95" s="1"/>
  <c r="D1434" i="95"/>
  <c r="E1435" i="95"/>
  <c r="N1351" i="95"/>
  <c r="I1359" i="95"/>
  <c r="D1303" i="95"/>
  <c r="AF1377" i="95"/>
  <c r="C1351" i="95"/>
  <c r="C1287" i="95"/>
  <c r="C1286" i="95" s="1"/>
  <c r="Z1351" i="95"/>
  <c r="R36" i="95"/>
  <c r="F1227" i="95"/>
  <c r="Q1471" i="95"/>
  <c r="D1116" i="95"/>
  <c r="C1114" i="95"/>
  <c r="D1287" i="95"/>
  <c r="D1286" i="95" s="1"/>
  <c r="P1351" i="95"/>
  <c r="AB1351" i="95"/>
  <c r="G1487" i="95"/>
  <c r="N407" i="95"/>
  <c r="Z407" i="95"/>
  <c r="D1106" i="95"/>
  <c r="C1104" i="95"/>
  <c r="C1134" i="95"/>
  <c r="C1133" i="95" s="1"/>
  <c r="D1137" i="95"/>
  <c r="E1137" i="95" s="1"/>
  <c r="F1137" i="95" s="1"/>
  <c r="G1137" i="95" s="1"/>
  <c r="H1137" i="95" s="1"/>
  <c r="I1137" i="95" s="1"/>
  <c r="J1137" i="95" s="1"/>
  <c r="K1137" i="95" s="1"/>
  <c r="L1137" i="95" s="1"/>
  <c r="M1137" i="95" s="1"/>
  <c r="N1137" i="95" s="1"/>
  <c r="O1137" i="95" s="1"/>
  <c r="P1137" i="95" s="1"/>
  <c r="Q1137" i="95" s="1"/>
  <c r="R1137" i="95" s="1"/>
  <c r="S1137" i="95" s="1"/>
  <c r="T1137" i="95" s="1"/>
  <c r="U1137" i="95" s="1"/>
  <c r="V1137" i="95" s="1"/>
  <c r="W1137" i="95" s="1"/>
  <c r="X1137" i="95" s="1"/>
  <c r="Y1137" i="95" s="1"/>
  <c r="Z1137" i="95" s="1"/>
  <c r="AA1137" i="95" s="1"/>
  <c r="AB1137" i="95" s="1"/>
  <c r="AC1137" i="95" s="1"/>
  <c r="AD1137" i="95" s="1"/>
  <c r="AE1137" i="95" s="1"/>
  <c r="AF1137" i="95" s="1"/>
  <c r="E1198" i="95"/>
  <c r="S1374" i="95"/>
  <c r="AE1374" i="95"/>
  <c r="Q401" i="95"/>
  <c r="AC401" i="95"/>
  <c r="AA407" i="95"/>
  <c r="O407" i="95"/>
  <c r="M473" i="95"/>
  <c r="F1244" i="95"/>
  <c r="G1244" i="95" s="1"/>
  <c r="H1244" i="95" s="1"/>
  <c r="I1244" i="95" s="1"/>
  <c r="J1244" i="95" s="1"/>
  <c r="K1244" i="95" s="1"/>
  <c r="L1244" i="95" s="1"/>
  <c r="M1244" i="95" s="1"/>
  <c r="N1244" i="95" s="1"/>
  <c r="O1244" i="95" s="1"/>
  <c r="P1244" i="95" s="1"/>
  <c r="Q1244" i="95" s="1"/>
  <c r="R1244" i="95" s="1"/>
  <c r="S1244" i="95" s="1"/>
  <c r="T1244" i="95" s="1"/>
  <c r="U1244" i="95" s="1"/>
  <c r="V1244" i="95" s="1"/>
  <c r="W1244" i="95" s="1"/>
  <c r="X1244" i="95" s="1"/>
  <c r="Y1244" i="95" s="1"/>
  <c r="Z1244" i="95" s="1"/>
  <c r="AA1244" i="95" s="1"/>
  <c r="AB1244" i="95" s="1"/>
  <c r="AC1244" i="95" s="1"/>
  <c r="AD1244" i="95" s="1"/>
  <c r="AE1244" i="95" s="1"/>
  <c r="AF1244" i="95" s="1"/>
  <c r="L1359" i="95"/>
  <c r="X1359" i="95"/>
  <c r="E1371" i="95"/>
  <c r="AC1371" i="95"/>
  <c r="T1374" i="95"/>
  <c r="AF1374" i="95"/>
  <c r="F401" i="95"/>
  <c r="R401" i="95"/>
  <c r="AD401" i="95"/>
  <c r="G1242" i="95"/>
  <c r="D1441" i="95"/>
  <c r="E1443" i="95"/>
  <c r="G1724" i="95"/>
  <c r="H1724" i="95" s="1"/>
  <c r="E401" i="95"/>
  <c r="D1280" i="95"/>
  <c r="C1278" i="95"/>
  <c r="M1471" i="95"/>
  <c r="F1508" i="95"/>
  <c r="F1105" i="95"/>
  <c r="G1089" i="95"/>
  <c r="C1157" i="95"/>
  <c r="C1156" i="95" s="1"/>
  <c r="D1159" i="95"/>
  <c r="F1374" i="95"/>
  <c r="R1374" i="95"/>
  <c r="AD1374" i="95"/>
  <c r="F1471" i="95"/>
  <c r="R1471" i="95"/>
  <c r="AD1471" i="95"/>
  <c r="J1511" i="95"/>
  <c r="I1520" i="95"/>
  <c r="D407" i="95"/>
  <c r="N473" i="95"/>
  <c r="E770" i="95"/>
  <c r="F755" i="95"/>
  <c r="L1131" i="95"/>
  <c r="D1220" i="95"/>
  <c r="E1220" i="95" s="1"/>
  <c r="F1220" i="95" s="1"/>
  <c r="G1220" i="95" s="1"/>
  <c r="H1220" i="95" s="1"/>
  <c r="I1220" i="95" s="1"/>
  <c r="J1220" i="95" s="1"/>
  <c r="K1220" i="95" s="1"/>
  <c r="L1220" i="95" s="1"/>
  <c r="M1220" i="95" s="1"/>
  <c r="N1220" i="95" s="1"/>
  <c r="O1220" i="95" s="1"/>
  <c r="P1220" i="95" s="1"/>
  <c r="Q1220" i="95" s="1"/>
  <c r="R1220" i="95" s="1"/>
  <c r="S1220" i="95" s="1"/>
  <c r="T1220" i="95" s="1"/>
  <c r="U1220" i="95" s="1"/>
  <c r="V1220" i="95" s="1"/>
  <c r="W1220" i="95" s="1"/>
  <c r="X1220" i="95" s="1"/>
  <c r="Y1220" i="95" s="1"/>
  <c r="Z1220" i="95" s="1"/>
  <c r="AA1220" i="95" s="1"/>
  <c r="AB1220" i="95" s="1"/>
  <c r="AC1220" i="95" s="1"/>
  <c r="AD1220" i="95" s="1"/>
  <c r="AE1220" i="95" s="1"/>
  <c r="AF1220" i="95" s="1"/>
  <c r="M1359" i="95"/>
  <c r="Y1359" i="95"/>
  <c r="L1371" i="95"/>
  <c r="X1371" i="95"/>
  <c r="I1374" i="95"/>
  <c r="U1374" i="95"/>
  <c r="F1333" i="95"/>
  <c r="G1333" i="95" s="1"/>
  <c r="E1439" i="95"/>
  <c r="D1437" i="95"/>
  <c r="E1518" i="95"/>
  <c r="D1516" i="95"/>
  <c r="O473" i="95"/>
  <c r="Z1359" i="95"/>
  <c r="D1315" i="95"/>
  <c r="C1313" i="95"/>
  <c r="M1371" i="95"/>
  <c r="Y1371" i="95"/>
  <c r="G1490" i="95"/>
  <c r="L1068" i="95"/>
  <c r="M1068" i="95" s="1"/>
  <c r="E1099" i="95"/>
  <c r="D1097" i="95"/>
  <c r="D1096" i="95" s="1"/>
  <c r="K1207" i="95"/>
  <c r="G1355" i="95"/>
  <c r="S1355" i="95"/>
  <c r="AE1355" i="95"/>
  <c r="H1359" i="95"/>
  <c r="T1359" i="95"/>
  <c r="I1377" i="95"/>
  <c r="U1377" i="95"/>
  <c r="F1339" i="95"/>
  <c r="G1339" i="95" s="1"/>
  <c r="E1337" i="95"/>
  <c r="U1471" i="95"/>
  <c r="D1456" i="95"/>
  <c r="E1456" i="95" s="1"/>
  <c r="F1456" i="95" s="1"/>
  <c r="C1454" i="95"/>
  <c r="N1471" i="95"/>
  <c r="G1529" i="95"/>
  <c r="Q407" i="95"/>
  <c r="J1351" i="95"/>
  <c r="F1289" i="95"/>
  <c r="E1548" i="95"/>
  <c r="F1548" i="95" s="1"/>
  <c r="G1548" i="95" s="1"/>
  <c r="H1548" i="95" s="1"/>
  <c r="I1548" i="95" s="1"/>
  <c r="J1548" i="95" s="1"/>
  <c r="D1546" i="95"/>
  <c r="E1607" i="95"/>
  <c r="F1607" i="95" s="1"/>
  <c r="D1605" i="95"/>
  <c r="E1632" i="95"/>
  <c r="D1631" i="95"/>
  <c r="E252" i="95"/>
  <c r="E393" i="95"/>
  <c r="Z401" i="95"/>
  <c r="R407" i="95"/>
  <c r="N401" i="95"/>
  <c r="G1219" i="95"/>
  <c r="F1309" i="95"/>
  <c r="I1432" i="95"/>
  <c r="V1362" i="95"/>
  <c r="K1377" i="95"/>
  <c r="W1377" i="95"/>
  <c r="D1162" i="95"/>
  <c r="D1161" i="95" s="1"/>
  <c r="E1164" i="95"/>
  <c r="G1168" i="95"/>
  <c r="K1362" i="95"/>
  <c r="G1433" i="95"/>
  <c r="H1433" i="95" s="1"/>
  <c r="I1433" i="95" s="1"/>
  <c r="J1433" i="95" s="1"/>
  <c r="K1433" i="95" s="1"/>
  <c r="L1433" i="95" s="1"/>
  <c r="M1433" i="95" s="1"/>
  <c r="N1433" i="95" s="1"/>
  <c r="O1433" i="95" s="1"/>
  <c r="P1433" i="95" s="1"/>
  <c r="Q1433" i="95" s="1"/>
  <c r="R1433" i="95" s="1"/>
  <c r="S1433" i="95" s="1"/>
  <c r="T1433" i="95" s="1"/>
  <c r="U1433" i="95" s="1"/>
  <c r="V1433" i="95" s="1"/>
  <c r="W1433" i="95" s="1"/>
  <c r="X1433" i="95" s="1"/>
  <c r="Y1433" i="95" s="1"/>
  <c r="Z1433" i="95" s="1"/>
  <c r="AA1433" i="95" s="1"/>
  <c r="AB1433" i="95" s="1"/>
  <c r="AC1433" i="95" s="1"/>
  <c r="AD1433" i="95" s="1"/>
  <c r="AE1433" i="95" s="1"/>
  <c r="AF1433" i="95" s="1"/>
  <c r="Y1471" i="95"/>
  <c r="D1540" i="95"/>
  <c r="E1542" i="95"/>
  <c r="F1542" i="95" s="1"/>
  <c r="E1545" i="95"/>
  <c r="F1545" i="95" s="1"/>
  <c r="G1545" i="95" s="1"/>
  <c r="H1545" i="95" s="1"/>
  <c r="I1545" i="95" s="1"/>
  <c r="J1545" i="95" s="1"/>
  <c r="K1545" i="95" s="1"/>
  <c r="L1545" i="95" s="1"/>
  <c r="M1545" i="95" s="1"/>
  <c r="N1545" i="95" s="1"/>
  <c r="O1545" i="95" s="1"/>
  <c r="P1545" i="95" s="1"/>
  <c r="Q1545" i="95" s="1"/>
  <c r="R1545" i="95" s="1"/>
  <c r="S1545" i="95" s="1"/>
  <c r="T1545" i="95" s="1"/>
  <c r="U1545" i="95" s="1"/>
  <c r="V1545" i="95" s="1"/>
  <c r="W1545" i="95" s="1"/>
  <c r="X1545" i="95" s="1"/>
  <c r="Y1545" i="95" s="1"/>
  <c r="Z1545" i="95" s="1"/>
  <c r="AA1545" i="95" s="1"/>
  <c r="AB1545" i="95" s="1"/>
  <c r="AC1545" i="95" s="1"/>
  <c r="AD1545" i="95" s="1"/>
  <c r="AE1545" i="95" s="1"/>
  <c r="AF1545" i="95" s="1"/>
  <c r="D1543" i="95"/>
  <c r="E1151" i="95"/>
  <c r="E1166" i="95"/>
  <c r="V1371" i="95"/>
  <c r="Y1374" i="95"/>
  <c r="D1471" i="95"/>
  <c r="AB1471" i="95"/>
  <c r="I1514" i="95"/>
  <c r="F1582" i="95"/>
  <c r="E1613" i="95"/>
  <c r="F1613" i="95" s="1"/>
  <c r="G1613" i="95" s="1"/>
  <c r="H1613" i="95" s="1"/>
  <c r="I1613" i="95" s="1"/>
  <c r="J1613" i="95" s="1"/>
  <c r="K1613" i="95" s="1"/>
  <c r="L1613" i="95" s="1"/>
  <c r="M1613" i="95" s="1"/>
  <c r="N1613" i="95" s="1"/>
  <c r="O1613" i="95" s="1"/>
  <c r="P1613" i="95" s="1"/>
  <c r="Q1613" i="95" s="1"/>
  <c r="R1613" i="95" s="1"/>
  <c r="S1613" i="95" s="1"/>
  <c r="T1613" i="95" s="1"/>
  <c r="U1613" i="95" s="1"/>
  <c r="V1613" i="95" s="1"/>
  <c r="W1613" i="95" s="1"/>
  <c r="X1613" i="95" s="1"/>
  <c r="Y1613" i="95" s="1"/>
  <c r="Z1613" i="95" s="1"/>
  <c r="AA1613" i="95" s="1"/>
  <c r="AB1613" i="95" s="1"/>
  <c r="AC1613" i="95" s="1"/>
  <c r="AD1613" i="95" s="1"/>
  <c r="AE1613" i="95" s="1"/>
  <c r="AF1613" i="95" s="1"/>
  <c r="E1662" i="95"/>
  <c r="D1661" i="95"/>
  <c r="J1377" i="95"/>
  <c r="V1377" i="95"/>
  <c r="D1418" i="95"/>
  <c r="D1417" i="95" s="1"/>
  <c r="D1725" i="95"/>
  <c r="E1725" i="95" s="1"/>
  <c r="F1725" i="95" s="1"/>
  <c r="G1725" i="95" s="1"/>
  <c r="H1725" i="95" s="1"/>
  <c r="I1725" i="95" s="1"/>
  <c r="J1725" i="95" s="1"/>
  <c r="K1725" i="95" s="1"/>
  <c r="L1725" i="95" s="1"/>
  <c r="M1725" i="95" s="1"/>
  <c r="N1725" i="95" s="1"/>
  <c r="O1725" i="95" s="1"/>
  <c r="P1725" i="95" s="1"/>
  <c r="Q1725" i="95" s="1"/>
  <c r="R1725" i="95" s="1"/>
  <c r="S1725" i="95" s="1"/>
  <c r="T1725" i="95" s="1"/>
  <c r="U1725" i="95" s="1"/>
  <c r="V1725" i="95" s="1"/>
  <c r="W1725" i="95" s="1"/>
  <c r="X1725" i="95" s="1"/>
  <c r="Y1725" i="95" s="1"/>
  <c r="Z1725" i="95" s="1"/>
  <c r="AA1725" i="95" s="1"/>
  <c r="AB1725" i="95" s="1"/>
  <c r="AC1725" i="95" s="1"/>
  <c r="AD1725" i="95" s="1"/>
  <c r="AE1725" i="95" s="1"/>
  <c r="AF1725" i="95" s="1"/>
  <c r="C1722" i="95"/>
  <c r="E1419" i="95"/>
  <c r="E1446" i="95"/>
  <c r="D1444" i="95"/>
  <c r="H1502" i="95"/>
  <c r="D1166" i="95"/>
  <c r="L36" i="95"/>
  <c r="K1210" i="95"/>
  <c r="D1355" i="95"/>
  <c r="AB1355" i="95"/>
  <c r="C1319" i="95"/>
  <c r="D1321" i="95"/>
  <c r="W1371" i="95"/>
  <c r="E1327" i="95"/>
  <c r="F1327" i="95" s="1"/>
  <c r="G1327" i="95" s="1"/>
  <c r="N1377" i="95"/>
  <c r="E1471" i="95"/>
  <c r="AC1471" i="95"/>
  <c r="F1493" i="95"/>
  <c r="G1584" i="95"/>
  <c r="E1659" i="95"/>
  <c r="E827" i="95"/>
  <c r="E817" i="95"/>
  <c r="F757" i="95"/>
  <c r="C1149" i="95"/>
  <c r="C1141" i="95"/>
  <c r="C1140" i="95" s="1"/>
  <c r="I1163" i="95"/>
  <c r="AC1351" i="95"/>
  <c r="X1355" i="95"/>
  <c r="L1362" i="95"/>
  <c r="X1362" i="95"/>
  <c r="T1371" i="95"/>
  <c r="AF1371" i="95"/>
  <c r="D1415" i="95"/>
  <c r="D1414" i="95" s="1"/>
  <c r="D1413" i="95" s="1"/>
  <c r="E1383" i="95"/>
  <c r="D1425" i="95"/>
  <c r="D1424" i="95" s="1"/>
  <c r="C1415" i="95"/>
  <c r="C1414" i="95" s="1"/>
  <c r="C1413" i="95" s="1"/>
  <c r="C1386" i="95"/>
  <c r="C1385" i="95" s="1"/>
  <c r="F1505" i="95"/>
  <c r="F1592" i="95"/>
  <c r="M407" i="95"/>
  <c r="Y407" i="95"/>
  <c r="M401" i="95"/>
  <c r="D1117" i="95"/>
  <c r="D1123" i="95"/>
  <c r="D1143" i="95"/>
  <c r="D1263" i="95"/>
  <c r="D1272" i="95"/>
  <c r="E1272" i="95" s="1"/>
  <c r="J1296" i="95"/>
  <c r="I1371" i="95"/>
  <c r="U1371" i="95"/>
  <c r="C1374" i="95"/>
  <c r="AA1374" i="95"/>
  <c r="D1387" i="95"/>
  <c r="D1386" i="95" s="1"/>
  <c r="D1385" i="95" s="1"/>
  <c r="H1438" i="95"/>
  <c r="G1568" i="95"/>
  <c r="F1566" i="95"/>
  <c r="I1572" i="95"/>
  <c r="Q1359" i="95"/>
  <c r="AC1359" i="95"/>
  <c r="O1362" i="95"/>
  <c r="AA1362" i="95"/>
  <c r="F1496" i="95"/>
  <c r="F1558" i="95"/>
  <c r="D1731" i="95"/>
  <c r="E1731" i="95" s="1"/>
  <c r="F1731" i="95" s="1"/>
  <c r="G1731" i="95" s="1"/>
  <c r="H1731" i="95" s="1"/>
  <c r="I1731" i="95" s="1"/>
  <c r="J1731" i="95" s="1"/>
  <c r="K1731" i="95" s="1"/>
  <c r="L1731" i="95" s="1"/>
  <c r="M1731" i="95" s="1"/>
  <c r="N1731" i="95" s="1"/>
  <c r="O1731" i="95" s="1"/>
  <c r="P1731" i="95" s="1"/>
  <c r="Q1731" i="95" s="1"/>
  <c r="R1731" i="95" s="1"/>
  <c r="S1731" i="95" s="1"/>
  <c r="T1731" i="95" s="1"/>
  <c r="U1731" i="95" s="1"/>
  <c r="V1731" i="95" s="1"/>
  <c r="W1731" i="95" s="1"/>
  <c r="X1731" i="95" s="1"/>
  <c r="Y1731" i="95" s="1"/>
  <c r="Z1731" i="95" s="1"/>
  <c r="AA1731" i="95" s="1"/>
  <c r="AB1731" i="95" s="1"/>
  <c r="AC1731" i="95" s="1"/>
  <c r="AD1731" i="95" s="1"/>
  <c r="AE1731" i="95" s="1"/>
  <c r="AF1731" i="95" s="1"/>
  <c r="C1150" i="95"/>
  <c r="D1153" i="95"/>
  <c r="E1153" i="95" s="1"/>
  <c r="F1153" i="95" s="1"/>
  <c r="G1153" i="95" s="1"/>
  <c r="H1153" i="95" s="1"/>
  <c r="I1153" i="95" s="1"/>
  <c r="J1153" i="95" s="1"/>
  <c r="K1153" i="95" s="1"/>
  <c r="L1153" i="95" s="1"/>
  <c r="M1153" i="95" s="1"/>
  <c r="N1153" i="95" s="1"/>
  <c r="O1153" i="95" s="1"/>
  <c r="P1153" i="95" s="1"/>
  <c r="Q1153" i="95" s="1"/>
  <c r="R1153" i="95" s="1"/>
  <c r="S1153" i="95" s="1"/>
  <c r="T1153" i="95" s="1"/>
  <c r="U1153" i="95" s="1"/>
  <c r="V1153" i="95" s="1"/>
  <c r="W1153" i="95" s="1"/>
  <c r="X1153" i="95" s="1"/>
  <c r="Y1153" i="95" s="1"/>
  <c r="Z1153" i="95" s="1"/>
  <c r="AA1153" i="95" s="1"/>
  <c r="AB1153" i="95" s="1"/>
  <c r="AC1153" i="95" s="1"/>
  <c r="AD1153" i="95" s="1"/>
  <c r="AE1153" i="95" s="1"/>
  <c r="AF1153" i="95" s="1"/>
  <c r="I1194" i="95"/>
  <c r="I1351" i="95"/>
  <c r="C1355" i="95"/>
  <c r="AA1355" i="95"/>
  <c r="D1362" i="95"/>
  <c r="P1362" i="95"/>
  <c r="E1461" i="95"/>
  <c r="F1461" i="95" s="1"/>
  <c r="G1461" i="95" s="1"/>
  <c r="H1461" i="95" s="1"/>
  <c r="D1459" i="95"/>
  <c r="G1481" i="95"/>
  <c r="E1488" i="95"/>
  <c r="D1486" i="95"/>
  <c r="F1526" i="95"/>
  <c r="E1554" i="95"/>
  <c r="G1558" i="95"/>
  <c r="E1431" i="95"/>
  <c r="Z1471" i="95"/>
  <c r="G1478" i="95"/>
  <c r="H1558" i="95"/>
  <c r="D1562" i="95"/>
  <c r="E1565" i="95"/>
  <c r="F1565" i="95" s="1"/>
  <c r="G1565" i="95" s="1"/>
  <c r="H1565" i="95" s="1"/>
  <c r="G1653" i="95"/>
  <c r="AE1362" i="95"/>
  <c r="C1407" i="95"/>
  <c r="C1395" i="95"/>
  <c r="D1531" i="95"/>
  <c r="E1533" i="95"/>
  <c r="J1535" i="95"/>
  <c r="G1541" i="95"/>
  <c r="G1554" i="95"/>
  <c r="H1556" i="95"/>
  <c r="D1677" i="95"/>
  <c r="E1678" i="95"/>
  <c r="F1742" i="95"/>
  <c r="G1692" i="95"/>
  <c r="F1717" i="95"/>
  <c r="F1716" i="95" s="1"/>
  <c r="J1213" i="95"/>
  <c r="H1355" i="95"/>
  <c r="AF1362" i="95"/>
  <c r="F1371" i="95"/>
  <c r="F1599" i="95"/>
  <c r="E1622" i="95"/>
  <c r="E1191" i="95"/>
  <c r="U1355" i="95"/>
  <c r="AF1355" i="95"/>
  <c r="X1471" i="95"/>
  <c r="E1578" i="95"/>
  <c r="C1666" i="95"/>
  <c r="C1665" i="95" s="1"/>
  <c r="D1690" i="95"/>
  <c r="E1690" i="95" s="1"/>
  <c r="F1690" i="95" s="1"/>
  <c r="G1690" i="95" s="1"/>
  <c r="H1690" i="95" s="1"/>
  <c r="I1690" i="95" s="1"/>
  <c r="J1690" i="95" s="1"/>
  <c r="K1690" i="95" s="1"/>
  <c r="L1690" i="95" s="1"/>
  <c r="M1690" i="95" s="1"/>
  <c r="N1690" i="95" s="1"/>
  <c r="O1690" i="95" s="1"/>
  <c r="P1690" i="95" s="1"/>
  <c r="Q1690" i="95" s="1"/>
  <c r="R1690" i="95" s="1"/>
  <c r="S1690" i="95" s="1"/>
  <c r="T1690" i="95" s="1"/>
  <c r="U1690" i="95" s="1"/>
  <c r="V1690" i="95" s="1"/>
  <c r="W1690" i="95" s="1"/>
  <c r="X1690" i="95" s="1"/>
  <c r="Y1690" i="95" s="1"/>
  <c r="Z1690" i="95" s="1"/>
  <c r="AA1690" i="95" s="1"/>
  <c r="AB1690" i="95" s="1"/>
  <c r="AC1690" i="95" s="1"/>
  <c r="AD1690" i="95" s="1"/>
  <c r="AE1690" i="95" s="1"/>
  <c r="AF1690" i="95" s="1"/>
  <c r="C1688" i="95"/>
  <c r="V1374" i="95"/>
  <c r="G1471" i="95"/>
  <c r="F1554" i="95"/>
  <c r="G1570" i="95"/>
  <c r="I1517" i="95"/>
  <c r="L1706" i="95"/>
  <c r="E1530" i="95"/>
  <c r="F1530" i="95" s="1"/>
  <c r="D1528" i="95"/>
  <c r="O1471" i="95"/>
  <c r="AA1471" i="95"/>
  <c r="D1586" i="95"/>
  <c r="E1652" i="95"/>
  <c r="F1654" i="95"/>
  <c r="G1654" i="95" s="1"/>
  <c r="H1654" i="95" s="1"/>
  <c r="I1654" i="95" s="1"/>
  <c r="J1654" i="95" s="1"/>
  <c r="K1654" i="95" s="1"/>
  <c r="L1654" i="95" s="1"/>
  <c r="M1654" i="95" s="1"/>
  <c r="N1654" i="95" s="1"/>
  <c r="O1654" i="95" s="1"/>
  <c r="P1654" i="95" s="1"/>
  <c r="Q1654" i="95" s="1"/>
  <c r="R1654" i="95" s="1"/>
  <c r="S1654" i="95" s="1"/>
  <c r="T1654" i="95" s="1"/>
  <c r="U1654" i="95" s="1"/>
  <c r="V1654" i="95" s="1"/>
  <c r="W1654" i="95" s="1"/>
  <c r="X1654" i="95" s="1"/>
  <c r="Y1654" i="95" s="1"/>
  <c r="Z1654" i="95" s="1"/>
  <c r="AA1654" i="95" s="1"/>
  <c r="AB1654" i="95" s="1"/>
  <c r="AC1654" i="95" s="1"/>
  <c r="AD1654" i="95" s="1"/>
  <c r="AE1654" i="95" s="1"/>
  <c r="AF1654" i="95" s="1"/>
  <c r="I1558" i="95"/>
  <c r="E1582" i="95"/>
  <c r="E1673" i="95"/>
  <c r="D1671" i="95"/>
  <c r="D1578" i="95"/>
  <c r="G1707" i="95"/>
  <c r="H1707" i="95" s="1"/>
  <c r="C1587" i="95"/>
  <c r="C1586" i="95" s="1"/>
  <c r="C1563" i="95"/>
  <c r="C1562" i="95" s="1"/>
  <c r="D1558" i="95"/>
  <c r="D1634" i="95"/>
  <c r="E1635" i="95"/>
  <c r="C1605" i="95"/>
  <c r="E1681" i="95"/>
  <c r="E1680" i="95" s="1"/>
  <c r="F1682" i="95"/>
  <c r="C1694" i="95"/>
  <c r="D1696" i="95"/>
  <c r="G1672" i="95"/>
  <c r="E1717" i="95"/>
  <c r="E1716" i="95" s="1"/>
  <c r="E1742" i="95"/>
  <c r="J1745" i="95"/>
  <c r="K1695" i="95"/>
  <c r="J1723" i="95"/>
  <c r="G1647" i="95"/>
  <c r="D1739" i="95"/>
  <c r="E1689" i="95"/>
  <c r="G1641" i="95"/>
  <c r="E1649" i="95"/>
  <c r="D1708" i="95"/>
  <c r="D1615" i="95"/>
  <c r="E1615" i="95" s="1"/>
  <c r="F1615" i="95" s="1"/>
  <c r="G1615" i="95" s="1"/>
  <c r="H1615" i="95" s="1"/>
  <c r="I1615" i="95" s="1"/>
  <c r="J1615" i="95" s="1"/>
  <c r="K1615" i="95" s="1"/>
  <c r="L1615" i="95" s="1"/>
  <c r="M1615" i="95" s="1"/>
  <c r="N1615" i="95" s="1"/>
  <c r="O1615" i="95" s="1"/>
  <c r="P1615" i="95" s="1"/>
  <c r="Q1615" i="95" s="1"/>
  <c r="R1615" i="95" s="1"/>
  <c r="S1615" i="95" s="1"/>
  <c r="T1615" i="95" s="1"/>
  <c r="U1615" i="95" s="1"/>
  <c r="V1615" i="95" s="1"/>
  <c r="W1615" i="95" s="1"/>
  <c r="X1615" i="95" s="1"/>
  <c r="Y1615" i="95" s="1"/>
  <c r="Z1615" i="95" s="1"/>
  <c r="AA1615" i="95" s="1"/>
  <c r="AB1615" i="95" s="1"/>
  <c r="AC1615" i="95" s="1"/>
  <c r="AD1615" i="95" s="1"/>
  <c r="AE1615" i="95" s="1"/>
  <c r="AF1615" i="95" s="1"/>
  <c r="F1650" i="95"/>
  <c r="E1657" i="95"/>
  <c r="E1753" i="95"/>
  <c r="D1751" i="95"/>
  <c r="E158" i="24" s="1"/>
  <c r="D1742" i="95"/>
  <c r="D1717" i="95"/>
  <c r="D1716" i="95" s="1"/>
  <c r="D1172" i="95" l="1"/>
  <c r="D1294" i="95"/>
  <c r="D1293" i="95" s="1"/>
  <c r="E1626" i="95"/>
  <c r="E1666" i="95" s="1"/>
  <c r="E1665" i="95" s="1"/>
  <c r="C305" i="95"/>
  <c r="C245" i="95" s="1"/>
  <c r="C1604" i="95"/>
  <c r="C1476" i="95"/>
  <c r="F1544" i="95"/>
  <c r="F1543" i="95" s="1"/>
  <c r="F1475" i="95"/>
  <c r="D1549" i="95"/>
  <c r="C1549" i="95"/>
  <c r="D1476" i="95"/>
  <c r="D1427" i="95"/>
  <c r="F1409" i="95"/>
  <c r="E1411" i="95"/>
  <c r="C1110" i="95"/>
  <c r="F849" i="95"/>
  <c r="C1294" i="95"/>
  <c r="C1293" i="95" s="1"/>
  <c r="F1294" i="95"/>
  <c r="F1293" i="95" s="1"/>
  <c r="E1294" i="95"/>
  <c r="E1293" i="95" s="1"/>
  <c r="D1126" i="95"/>
  <c r="D1124" i="95" s="1"/>
  <c r="F439" i="95"/>
  <c r="F452" i="95"/>
  <c r="C1598" i="95"/>
  <c r="C1594" i="95" s="1"/>
  <c r="H1483" i="95"/>
  <c r="C1440" i="95"/>
  <c r="C1451" i="95" s="1"/>
  <c r="C1450" i="95" s="1"/>
  <c r="G432" i="95"/>
  <c r="G446" i="95" s="1"/>
  <c r="E1510" i="95"/>
  <c r="D1240" i="95"/>
  <c r="F950" i="95"/>
  <c r="D1390" i="95"/>
  <c r="D1389" i="95" s="1"/>
  <c r="D1407" i="95"/>
  <c r="E1550" i="95"/>
  <c r="E1391" i="95"/>
  <c r="C1240" i="95"/>
  <c r="C1331" i="95"/>
  <c r="D1740" i="95"/>
  <c r="E1740" i="95" s="1"/>
  <c r="F1740" i="95" s="1"/>
  <c r="G1740" i="95" s="1"/>
  <c r="H1740" i="95" s="1"/>
  <c r="I1740" i="95" s="1"/>
  <c r="J1740" i="95" s="1"/>
  <c r="K1740" i="95" s="1"/>
  <c r="L1740" i="95" s="1"/>
  <c r="M1740" i="95" s="1"/>
  <c r="N1740" i="95" s="1"/>
  <c r="O1740" i="95" s="1"/>
  <c r="P1740" i="95" s="1"/>
  <c r="Q1740" i="95" s="1"/>
  <c r="R1740" i="95" s="1"/>
  <c r="S1740" i="95" s="1"/>
  <c r="T1740" i="95" s="1"/>
  <c r="U1740" i="95" s="1"/>
  <c r="V1740" i="95" s="1"/>
  <c r="W1740" i="95" s="1"/>
  <c r="X1740" i="95" s="1"/>
  <c r="Y1740" i="95" s="1"/>
  <c r="Z1740" i="95" s="1"/>
  <c r="AA1740" i="95" s="1"/>
  <c r="AB1740" i="95" s="1"/>
  <c r="AC1740" i="95" s="1"/>
  <c r="AD1740" i="95" s="1"/>
  <c r="AE1740" i="95" s="1"/>
  <c r="AF1740" i="95" s="1"/>
  <c r="E1240" i="95"/>
  <c r="E1449" i="95"/>
  <c r="E1447" i="95" s="1"/>
  <c r="F994" i="95"/>
  <c r="E1406" i="95"/>
  <c r="G933" i="95"/>
  <c r="C156" i="79"/>
  <c r="F1477" i="95"/>
  <c r="E1477" i="95"/>
  <c r="E1130" i="95"/>
  <c r="G1586" i="95"/>
  <c r="I1586" i="95"/>
  <c r="C1268" i="95"/>
  <c r="E1344" i="95"/>
  <c r="D1342" i="95"/>
  <c r="F984" i="95"/>
  <c r="G754" i="95"/>
  <c r="G767" i="95" s="1"/>
  <c r="F1004" i="95"/>
  <c r="F1016" i="95" s="1"/>
  <c r="G1644" i="95"/>
  <c r="G1643" i="95" s="1"/>
  <c r="F1515" i="95"/>
  <c r="F1513" i="95" s="1"/>
  <c r="F1480" i="95"/>
  <c r="E1495" i="95"/>
  <c r="F1629" i="95"/>
  <c r="F1628" i="95" s="1"/>
  <c r="E1331" i="95"/>
  <c r="D1331" i="95"/>
  <c r="F1574" i="95"/>
  <c r="E1507" i="95"/>
  <c r="E1691" i="95"/>
  <c r="F1546" i="95"/>
  <c r="E1637" i="95"/>
  <c r="D1202" i="95"/>
  <c r="F1129" i="95"/>
  <c r="G1129" i="95" s="1"/>
  <c r="F393" i="95"/>
  <c r="D1401" i="95"/>
  <c r="D1400" i="95" s="1"/>
  <c r="E1275" i="95"/>
  <c r="E1203" i="95"/>
  <c r="F1428" i="95"/>
  <c r="I1483" i="95"/>
  <c r="E1428" i="95"/>
  <c r="G1483" i="95"/>
  <c r="E1591" i="95"/>
  <c r="E1590" i="95" s="1"/>
  <c r="E1528" i="95"/>
  <c r="G753" i="95"/>
  <c r="H753" i="95" s="1"/>
  <c r="D1454" i="95"/>
  <c r="E1643" i="95"/>
  <c r="E1537" i="95"/>
  <c r="D1464" i="95"/>
  <c r="C1697" i="95"/>
  <c r="E1454" i="95"/>
  <c r="D1165" i="95"/>
  <c r="D1160" i="95" s="1"/>
  <c r="C1261" i="95"/>
  <c r="G1498" i="95"/>
  <c r="E1685" i="95"/>
  <c r="H1546" i="95"/>
  <c r="E1729" i="95"/>
  <c r="F1698" i="95"/>
  <c r="F1729" i="95" s="1"/>
  <c r="F1211" i="95"/>
  <c r="G1211" i="95" s="1"/>
  <c r="H1211" i="95" s="1"/>
  <c r="F1240" i="95"/>
  <c r="E1546" i="95"/>
  <c r="E1504" i="95"/>
  <c r="E1165" i="95"/>
  <c r="F1036" i="95"/>
  <c r="F1536" i="95"/>
  <c r="F1534" i="95" s="1"/>
  <c r="F1113" i="95"/>
  <c r="G1113" i="95" s="1"/>
  <c r="C1100" i="95"/>
  <c r="C149" i="79"/>
  <c r="H151" i="79" s="1"/>
  <c r="Q109" i="79"/>
  <c r="E1519" i="95"/>
  <c r="D1192" i="95"/>
  <c r="E1722" i="95"/>
  <c r="I1574" i="95"/>
  <c r="H1294" i="95"/>
  <c r="H1293" i="95" s="1"/>
  <c r="D1595" i="95"/>
  <c r="F1498" i="95"/>
  <c r="D1691" i="95"/>
  <c r="D1749" i="95"/>
  <c r="E1749" i="95" s="1"/>
  <c r="F1749" i="95" s="1"/>
  <c r="G1749" i="95" s="1"/>
  <c r="H1749" i="95" s="1"/>
  <c r="I1749" i="95" s="1"/>
  <c r="J1749" i="95" s="1"/>
  <c r="K1749" i="95" s="1"/>
  <c r="L1749" i="95" s="1"/>
  <c r="M1749" i="95" s="1"/>
  <c r="N1749" i="95" s="1"/>
  <c r="O1749" i="95" s="1"/>
  <c r="P1749" i="95" s="1"/>
  <c r="Q1749" i="95" s="1"/>
  <c r="R1749" i="95" s="1"/>
  <c r="S1749" i="95" s="1"/>
  <c r="T1749" i="95" s="1"/>
  <c r="U1749" i="95" s="1"/>
  <c r="V1749" i="95" s="1"/>
  <c r="W1749" i="95" s="1"/>
  <c r="X1749" i="95" s="1"/>
  <c r="Y1749" i="95" s="1"/>
  <c r="Z1749" i="95" s="1"/>
  <c r="AA1749" i="95" s="1"/>
  <c r="AB1749" i="95" s="1"/>
  <c r="AC1749" i="95" s="1"/>
  <c r="AD1749" i="95" s="1"/>
  <c r="AE1749" i="95" s="1"/>
  <c r="AF1749" i="95" s="1"/>
  <c r="E1605" i="95"/>
  <c r="G1431" i="95"/>
  <c r="C1325" i="95"/>
  <c r="F1214" i="95"/>
  <c r="F1212" i="95" s="1"/>
  <c r="C1453" i="95"/>
  <c r="E1201" i="95"/>
  <c r="F1201" i="95" s="1"/>
  <c r="D1268" i="95"/>
  <c r="L1574" i="95"/>
  <c r="G1574" i="95"/>
  <c r="E1049" i="95"/>
  <c r="F1049" i="95" s="1"/>
  <c r="H1574" i="95"/>
  <c r="C1704" i="95"/>
  <c r="H1431" i="95"/>
  <c r="H1092" i="95"/>
  <c r="I1092" i="95" s="1"/>
  <c r="D1722" i="95"/>
  <c r="E1480" i="95"/>
  <c r="F1691" i="95"/>
  <c r="I1294" i="95"/>
  <c r="I1293" i="95" s="1"/>
  <c r="D1325" i="95"/>
  <c r="F1331" i="95"/>
  <c r="F1586" i="95"/>
  <c r="D1101" i="95"/>
  <c r="E1103" i="95"/>
  <c r="F1652" i="95"/>
  <c r="D1150" i="95"/>
  <c r="H1109" i="95"/>
  <c r="G1107" i="95"/>
  <c r="F416" i="95"/>
  <c r="F252" i="95"/>
  <c r="F1722" i="95"/>
  <c r="K1588" i="95"/>
  <c r="J1586" i="95"/>
  <c r="F1337" i="95"/>
  <c r="F1181" i="95"/>
  <c r="E1180" i="95"/>
  <c r="E1179" i="95" s="1"/>
  <c r="H1586" i="95"/>
  <c r="E1562" i="95"/>
  <c r="H39" i="95"/>
  <c r="I16" i="95"/>
  <c r="E1193" i="95"/>
  <c r="F1195" i="95"/>
  <c r="D1737" i="95"/>
  <c r="J1574" i="95"/>
  <c r="E1674" i="95"/>
  <c r="F1676" i="95"/>
  <c r="D1743" i="95"/>
  <c r="G1539" i="95"/>
  <c r="F1537" i="95"/>
  <c r="F1325" i="95"/>
  <c r="K1574" i="95"/>
  <c r="C1047" i="95"/>
  <c r="E1525" i="95"/>
  <c r="F1524" i="95"/>
  <c r="E1522" i="95"/>
  <c r="G1169" i="95"/>
  <c r="H1171" i="95"/>
  <c r="D1611" i="95"/>
  <c r="D1604" i="95" s="1"/>
  <c r="G1722" i="95"/>
  <c r="E1543" i="95"/>
  <c r="E1600" i="95"/>
  <c r="D1598" i="95"/>
  <c r="AA109" i="79"/>
  <c r="C111" i="79"/>
  <c r="H109" i="79"/>
  <c r="W155" i="79"/>
  <c r="K155" i="79"/>
  <c r="AE155" i="79"/>
  <c r="V155" i="79"/>
  <c r="J155" i="79"/>
  <c r="AF155" i="79"/>
  <c r="T155" i="79"/>
  <c r="U155" i="79"/>
  <c r="I155" i="79"/>
  <c r="S155" i="79"/>
  <c r="Z155" i="79"/>
  <c r="Y155" i="79"/>
  <c r="Q155" i="79"/>
  <c r="P155" i="79"/>
  <c r="X155" i="79"/>
  <c r="O155" i="79"/>
  <c r="N155" i="79"/>
  <c r="AC155" i="79"/>
  <c r="AD155" i="79"/>
  <c r="M155" i="79"/>
  <c r="L155" i="79"/>
  <c r="AB152" i="79"/>
  <c r="AB155" i="79"/>
  <c r="AA155" i="79"/>
  <c r="G155" i="79"/>
  <c r="E155" i="79"/>
  <c r="D155" i="79"/>
  <c r="G151" i="79"/>
  <c r="F151" i="79"/>
  <c r="E151" i="79"/>
  <c r="D151" i="79"/>
  <c r="F155" i="79"/>
  <c r="R148" i="79"/>
  <c r="R109" i="79" s="1"/>
  <c r="D180" i="79"/>
  <c r="D176" i="79" s="1"/>
  <c r="D156" i="79" s="1"/>
  <c r="E182" i="79"/>
  <c r="AB148" i="79"/>
  <c r="R155" i="79"/>
  <c r="D1352" i="95"/>
  <c r="E1711" i="95"/>
  <c r="E1710" i="95" s="1"/>
  <c r="E1688" i="95"/>
  <c r="E1739" i="95"/>
  <c r="F1689" i="95"/>
  <c r="H1459" i="95"/>
  <c r="I1461" i="95"/>
  <c r="D1260" i="95"/>
  <c r="E1260" i="95" s="1"/>
  <c r="F1260" i="95" s="1"/>
  <c r="G1260" i="95" s="1"/>
  <c r="H1260" i="95" s="1"/>
  <c r="I1260" i="95" s="1"/>
  <c r="J1260" i="95" s="1"/>
  <c r="K1260" i="95" s="1"/>
  <c r="L1260" i="95" s="1"/>
  <c r="M1260" i="95" s="1"/>
  <c r="N1260" i="95" s="1"/>
  <c r="O1260" i="95" s="1"/>
  <c r="P1260" i="95" s="1"/>
  <c r="Q1260" i="95" s="1"/>
  <c r="R1260" i="95" s="1"/>
  <c r="S1260" i="95" s="1"/>
  <c r="T1260" i="95" s="1"/>
  <c r="U1260" i="95" s="1"/>
  <c r="V1260" i="95" s="1"/>
  <c r="W1260" i="95" s="1"/>
  <c r="X1260" i="95" s="1"/>
  <c r="Y1260" i="95" s="1"/>
  <c r="Z1260" i="95" s="1"/>
  <c r="AA1260" i="95" s="1"/>
  <c r="AB1260" i="95" s="1"/>
  <c r="AC1260" i="95" s="1"/>
  <c r="AD1260" i="95" s="1"/>
  <c r="AE1260" i="95" s="1"/>
  <c r="AF1260" i="95" s="1"/>
  <c r="D1256" i="95"/>
  <c r="H1327" i="95"/>
  <c r="G1325" i="95"/>
  <c r="H1490" i="95"/>
  <c r="L1560" i="95"/>
  <c r="K1558" i="95"/>
  <c r="C1394" i="95"/>
  <c r="C1401" i="95"/>
  <c r="C1400" i="95" s="1"/>
  <c r="E1206" i="95"/>
  <c r="E1150" i="95"/>
  <c r="F1151" i="95"/>
  <c r="E1325" i="95"/>
  <c r="G1503" i="95"/>
  <c r="F1501" i="95"/>
  <c r="D1623" i="95"/>
  <c r="C1621" i="95"/>
  <c r="H1641" i="95"/>
  <c r="G1599" i="95"/>
  <c r="F1622" i="95"/>
  <c r="F1489" i="95"/>
  <c r="F1612" i="95"/>
  <c r="F1611" i="95" s="1"/>
  <c r="H1541" i="95"/>
  <c r="G1459" i="95"/>
  <c r="F1504" i="95"/>
  <c r="G1505" i="95"/>
  <c r="F1416" i="95"/>
  <c r="F1495" i="95"/>
  <c r="G1496" i="95"/>
  <c r="I1438" i="95"/>
  <c r="D1278" i="95"/>
  <c r="E1280" i="95"/>
  <c r="G1392" i="95"/>
  <c r="F1406" i="95"/>
  <c r="F1649" i="95"/>
  <c r="G1650" i="95"/>
  <c r="D1620" i="95"/>
  <c r="C1618" i="95"/>
  <c r="F1533" i="95"/>
  <c r="E1531" i="95"/>
  <c r="G1652" i="95"/>
  <c r="H1653" i="95"/>
  <c r="F827" i="95"/>
  <c r="F817" i="95"/>
  <c r="G757" i="95"/>
  <c r="F796" i="95"/>
  <c r="F783" i="95"/>
  <c r="F837" i="95"/>
  <c r="G1493" i="95"/>
  <c r="F1419" i="95"/>
  <c r="E1418" i="95"/>
  <c r="E1417" i="95" s="1"/>
  <c r="E1251" i="95"/>
  <c r="F1251" i="95" s="1"/>
  <c r="G1251" i="95" s="1"/>
  <c r="H1251" i="95" s="1"/>
  <c r="I1251" i="95" s="1"/>
  <c r="J1251" i="95" s="1"/>
  <c r="K1251" i="95" s="1"/>
  <c r="L1251" i="95" s="1"/>
  <c r="M1251" i="95" s="1"/>
  <c r="N1251" i="95" s="1"/>
  <c r="O1251" i="95" s="1"/>
  <c r="P1251" i="95" s="1"/>
  <c r="Q1251" i="95" s="1"/>
  <c r="R1251" i="95" s="1"/>
  <c r="S1251" i="95" s="1"/>
  <c r="T1251" i="95" s="1"/>
  <c r="U1251" i="95" s="1"/>
  <c r="V1251" i="95" s="1"/>
  <c r="W1251" i="95" s="1"/>
  <c r="X1251" i="95" s="1"/>
  <c r="Y1251" i="95" s="1"/>
  <c r="Z1251" i="95" s="1"/>
  <c r="AA1251" i="95" s="1"/>
  <c r="AB1251" i="95" s="1"/>
  <c r="AC1251" i="95" s="1"/>
  <c r="AD1251" i="95" s="1"/>
  <c r="AE1251" i="95" s="1"/>
  <c r="AF1251" i="95" s="1"/>
  <c r="D1247" i="95"/>
  <c r="E1174" i="95"/>
  <c r="E1173" i="95" s="1"/>
  <c r="F1177" i="95"/>
  <c r="E1184" i="95"/>
  <c r="E1183" i="95" s="1"/>
  <c r="J1098" i="95"/>
  <c r="I1570" i="95"/>
  <c r="J1572" i="95"/>
  <c r="G1542" i="95"/>
  <c r="H1542" i="95" s="1"/>
  <c r="I1542" i="95" s="1"/>
  <c r="J1542" i="95" s="1"/>
  <c r="K1542" i="95" s="1"/>
  <c r="L1542" i="95" s="1"/>
  <c r="M1542" i="95" s="1"/>
  <c r="N1542" i="95" s="1"/>
  <c r="O1542" i="95" s="1"/>
  <c r="P1542" i="95" s="1"/>
  <c r="Q1542" i="95" s="1"/>
  <c r="R1542" i="95" s="1"/>
  <c r="S1542" i="95" s="1"/>
  <c r="T1542" i="95" s="1"/>
  <c r="U1542" i="95" s="1"/>
  <c r="V1542" i="95" s="1"/>
  <c r="W1542" i="95" s="1"/>
  <c r="X1542" i="95" s="1"/>
  <c r="Y1542" i="95" s="1"/>
  <c r="Z1542" i="95" s="1"/>
  <c r="AA1542" i="95" s="1"/>
  <c r="AB1542" i="95" s="1"/>
  <c r="AC1542" i="95" s="1"/>
  <c r="AD1542" i="95" s="1"/>
  <c r="AE1542" i="95" s="1"/>
  <c r="AF1542" i="95" s="1"/>
  <c r="F1540" i="95"/>
  <c r="G1456" i="95"/>
  <c r="F1454" i="95"/>
  <c r="E1315" i="95"/>
  <c r="D1313" i="95"/>
  <c r="E1134" i="95"/>
  <c r="E1133" i="95" s="1"/>
  <c r="F1136" i="95"/>
  <c r="H1672" i="95"/>
  <c r="E1540" i="95"/>
  <c r="I1556" i="95"/>
  <c r="H1554" i="95"/>
  <c r="E1611" i="95"/>
  <c r="G1526" i="95"/>
  <c r="F1525" i="95"/>
  <c r="F1459" i="95"/>
  <c r="E1464" i="95"/>
  <c r="F1466" i="95"/>
  <c r="G1562" i="95"/>
  <c r="E1159" i="95"/>
  <c r="D1157" i="95"/>
  <c r="D1156" i="95" s="1"/>
  <c r="D1134" i="95"/>
  <c r="D1133" i="95" s="1"/>
  <c r="N1204" i="95"/>
  <c r="D1472" i="95"/>
  <c r="E1472" i="95" s="1"/>
  <c r="F1472" i="95" s="1"/>
  <c r="G1472" i="95" s="1"/>
  <c r="H1472" i="95" s="1"/>
  <c r="C1470" i="95"/>
  <c r="C1469" i="95" s="1"/>
  <c r="D1730" i="95"/>
  <c r="F1287" i="95"/>
  <c r="F1286" i="95" s="1"/>
  <c r="G1289" i="95"/>
  <c r="I1707" i="95"/>
  <c r="E1321" i="95"/>
  <c r="D1319" i="95"/>
  <c r="H1219" i="95"/>
  <c r="C1640" i="95"/>
  <c r="C1627" i="95" s="1"/>
  <c r="J1517" i="95"/>
  <c r="D1237" i="95"/>
  <c r="C1233" i="95"/>
  <c r="F1272" i="95"/>
  <c r="G1272" i="95" s="1"/>
  <c r="H1272" i="95" s="1"/>
  <c r="I1272" i="95" s="1"/>
  <c r="J1272" i="95" s="1"/>
  <c r="K1272" i="95" s="1"/>
  <c r="L1272" i="95" s="1"/>
  <c r="M1272" i="95" s="1"/>
  <c r="N1272" i="95" s="1"/>
  <c r="O1272" i="95" s="1"/>
  <c r="P1272" i="95" s="1"/>
  <c r="Q1272" i="95" s="1"/>
  <c r="R1272" i="95" s="1"/>
  <c r="S1272" i="95" s="1"/>
  <c r="T1272" i="95" s="1"/>
  <c r="U1272" i="95" s="1"/>
  <c r="V1272" i="95" s="1"/>
  <c r="W1272" i="95" s="1"/>
  <c r="X1272" i="95" s="1"/>
  <c r="Y1272" i="95" s="1"/>
  <c r="Z1272" i="95" s="1"/>
  <c r="AA1272" i="95" s="1"/>
  <c r="AB1272" i="95" s="1"/>
  <c r="AC1272" i="95" s="1"/>
  <c r="AD1272" i="95" s="1"/>
  <c r="AE1272" i="95" s="1"/>
  <c r="AF1272" i="95" s="1"/>
  <c r="E1268" i="95"/>
  <c r="G1582" i="95"/>
  <c r="H1584" i="95"/>
  <c r="F1562" i="95"/>
  <c r="J1514" i="95"/>
  <c r="G1166" i="95"/>
  <c r="H1168" i="95"/>
  <c r="F1632" i="95"/>
  <c r="E1631" i="95"/>
  <c r="H1333" i="95"/>
  <c r="G1331" i="95"/>
  <c r="D1221" i="95"/>
  <c r="C1217" i="95"/>
  <c r="C1216" i="95" s="1"/>
  <c r="I1532" i="95"/>
  <c r="G1205" i="95"/>
  <c r="F1203" i="95"/>
  <c r="F1753" i="95"/>
  <c r="E1751" i="95"/>
  <c r="F158" i="24" s="1"/>
  <c r="G393" i="95"/>
  <c r="G416" i="95"/>
  <c r="H350" i="95"/>
  <c r="G252" i="95"/>
  <c r="J1546" i="95"/>
  <c r="K1548" i="95"/>
  <c r="G1742" i="95"/>
  <c r="H1692" i="95"/>
  <c r="G1691" i="95"/>
  <c r="G1717" i="95"/>
  <c r="G1716" i="95" s="1"/>
  <c r="I1565" i="95"/>
  <c r="H1562" i="95"/>
  <c r="G1687" i="95"/>
  <c r="F1685" i="95"/>
  <c r="F1591" i="95"/>
  <c r="F1590" i="95" s="1"/>
  <c r="G1592" i="95"/>
  <c r="F1681" i="95"/>
  <c r="F1680" i="95" s="1"/>
  <c r="G1682" i="95"/>
  <c r="D1375" i="95"/>
  <c r="D1697" i="95"/>
  <c r="E1699" i="95"/>
  <c r="G1530" i="95"/>
  <c r="H1530" i="95" s="1"/>
  <c r="I1530" i="95" s="1"/>
  <c r="J1530" i="95" s="1"/>
  <c r="K1530" i="95" s="1"/>
  <c r="L1530" i="95" s="1"/>
  <c r="M1530" i="95" s="1"/>
  <c r="N1530" i="95" s="1"/>
  <c r="O1530" i="95" s="1"/>
  <c r="P1530" i="95" s="1"/>
  <c r="Q1530" i="95" s="1"/>
  <c r="R1530" i="95" s="1"/>
  <c r="S1530" i="95" s="1"/>
  <c r="T1530" i="95" s="1"/>
  <c r="U1530" i="95" s="1"/>
  <c r="V1530" i="95" s="1"/>
  <c r="W1530" i="95" s="1"/>
  <c r="X1530" i="95" s="1"/>
  <c r="Y1530" i="95" s="1"/>
  <c r="Z1530" i="95" s="1"/>
  <c r="AA1530" i="95" s="1"/>
  <c r="AB1530" i="95" s="1"/>
  <c r="AC1530" i="95" s="1"/>
  <c r="AD1530" i="95" s="1"/>
  <c r="AE1530" i="95" s="1"/>
  <c r="AF1530" i="95" s="1"/>
  <c r="F1528" i="95"/>
  <c r="E1595" i="95"/>
  <c r="F1597" i="95"/>
  <c r="F1488" i="95"/>
  <c r="E1486" i="95"/>
  <c r="G1566" i="95"/>
  <c r="H1568" i="95"/>
  <c r="I1502" i="95"/>
  <c r="J1538" i="95"/>
  <c r="I1431" i="95"/>
  <c r="J1432" i="95"/>
  <c r="C1187" i="95"/>
  <c r="F1519" i="95"/>
  <c r="G1521" i="95"/>
  <c r="E1434" i="95"/>
  <c r="F1435" i="95"/>
  <c r="J1163" i="95"/>
  <c r="H1647" i="95"/>
  <c r="N1068" i="95"/>
  <c r="K1296" i="95"/>
  <c r="J1294" i="95"/>
  <c r="J1293" i="95" s="1"/>
  <c r="K1723" i="95"/>
  <c r="K1745" i="95"/>
  <c r="L1695" i="95"/>
  <c r="K1213" i="95"/>
  <c r="H1481" i="95"/>
  <c r="G1480" i="95"/>
  <c r="E1263" i="95"/>
  <c r="D1261" i="95"/>
  <c r="G1607" i="95"/>
  <c r="F1605" i="95"/>
  <c r="G755" i="95"/>
  <c r="F770" i="95"/>
  <c r="G1508" i="95"/>
  <c r="F1507" i="95"/>
  <c r="H1487" i="95"/>
  <c r="F1648" i="95"/>
  <c r="E1646" i="95"/>
  <c r="F1494" i="95"/>
  <c r="G1494" i="95" s="1"/>
  <c r="H1494" i="95" s="1"/>
  <c r="I1494" i="95" s="1"/>
  <c r="J1494" i="95" s="1"/>
  <c r="K1494" i="95" s="1"/>
  <c r="L1494" i="95" s="1"/>
  <c r="M1494" i="95" s="1"/>
  <c r="N1494" i="95" s="1"/>
  <c r="O1494" i="95" s="1"/>
  <c r="P1494" i="95" s="1"/>
  <c r="Q1494" i="95" s="1"/>
  <c r="R1494" i="95" s="1"/>
  <c r="S1494" i="95" s="1"/>
  <c r="T1494" i="95" s="1"/>
  <c r="U1494" i="95" s="1"/>
  <c r="V1494" i="95" s="1"/>
  <c r="W1494" i="95" s="1"/>
  <c r="X1494" i="95" s="1"/>
  <c r="Y1494" i="95" s="1"/>
  <c r="Z1494" i="95" s="1"/>
  <c r="AA1494" i="95" s="1"/>
  <c r="AB1494" i="95" s="1"/>
  <c r="AC1494" i="95" s="1"/>
  <c r="AD1494" i="95" s="1"/>
  <c r="AE1494" i="95" s="1"/>
  <c r="AF1494" i="95" s="1"/>
  <c r="E1492" i="95"/>
  <c r="G1512" i="95"/>
  <c r="F1510" i="95"/>
  <c r="F954" i="95"/>
  <c r="G1477" i="95"/>
  <c r="H1478" i="95"/>
  <c r="E1655" i="95"/>
  <c r="F1657" i="95"/>
  <c r="K1535" i="95"/>
  <c r="I1546" i="95"/>
  <c r="F1637" i="95"/>
  <c r="G1638" i="95"/>
  <c r="D1149" i="95"/>
  <c r="C1147" i="95"/>
  <c r="C1146" i="95" s="1"/>
  <c r="D1694" i="95"/>
  <c r="E1696" i="95"/>
  <c r="E1671" i="95"/>
  <c r="F1673" i="95"/>
  <c r="E1708" i="95"/>
  <c r="D1704" i="95"/>
  <c r="D1688" i="95"/>
  <c r="M1706" i="95"/>
  <c r="F1275" i="95"/>
  <c r="G1277" i="95"/>
  <c r="G1546" i="95"/>
  <c r="C1247" i="95"/>
  <c r="L1210" i="95"/>
  <c r="F1662" i="95"/>
  <c r="E1661" i="95"/>
  <c r="I1499" i="95"/>
  <c r="H1498" i="95"/>
  <c r="F1518" i="95"/>
  <c r="E1516" i="95"/>
  <c r="H1722" i="95"/>
  <c r="I1724" i="95"/>
  <c r="E1459" i="95"/>
  <c r="C1225" i="95"/>
  <c r="C1224" i="95" s="1"/>
  <c r="D1229" i="95"/>
  <c r="K1511" i="95"/>
  <c r="I1235" i="95"/>
  <c r="F1198" i="95"/>
  <c r="E1196" i="95"/>
  <c r="E1116" i="95"/>
  <c r="D1114" i="95"/>
  <c r="D1110" i="95" s="1"/>
  <c r="J702" i="95"/>
  <c r="M1128" i="95"/>
  <c r="J1197" i="95"/>
  <c r="F1678" i="95"/>
  <c r="E1677" i="95"/>
  <c r="J1194" i="95"/>
  <c r="D1141" i="95"/>
  <c r="D1140" i="95" s="1"/>
  <c r="E1143" i="95"/>
  <c r="E1658" i="95"/>
  <c r="F1659" i="95"/>
  <c r="H1429" i="95"/>
  <c r="G1428" i="95"/>
  <c r="F1446" i="95"/>
  <c r="E1444" i="95"/>
  <c r="E1162" i="95"/>
  <c r="E1161" i="95" s="1"/>
  <c r="F1164" i="95"/>
  <c r="H1339" i="95"/>
  <c r="G1337" i="95"/>
  <c r="M1131" i="95"/>
  <c r="E1106" i="95"/>
  <c r="D1104" i="95"/>
  <c r="E1303" i="95"/>
  <c r="H1529" i="95"/>
  <c r="F1439" i="95"/>
  <c r="E1437" i="95"/>
  <c r="H1089" i="95"/>
  <c r="G1105" i="95"/>
  <c r="K1484" i="95"/>
  <c r="J1483" i="95"/>
  <c r="E1441" i="95"/>
  <c r="F1443" i="95"/>
  <c r="G1227" i="95"/>
  <c r="G1132" i="95"/>
  <c r="F1130" i="95"/>
  <c r="F466" i="95"/>
  <c r="F1635" i="95"/>
  <c r="E1634" i="95"/>
  <c r="F1191" i="95"/>
  <c r="E1189" i="95"/>
  <c r="E1188" i="95" s="1"/>
  <c r="D1121" i="95"/>
  <c r="E1123" i="95"/>
  <c r="E1425" i="95"/>
  <c r="E1424" i="95" s="1"/>
  <c r="E1387" i="95"/>
  <c r="E1386" i="95" s="1"/>
  <c r="E1385" i="95" s="1"/>
  <c r="F1383" i="95"/>
  <c r="E1415" i="95"/>
  <c r="E1414" i="95" s="1"/>
  <c r="E1413" i="95" s="1"/>
  <c r="E1396" i="95"/>
  <c r="G1309" i="95"/>
  <c r="G1294" i="95"/>
  <c r="G1293" i="95" s="1"/>
  <c r="N1576" i="95"/>
  <c r="M1574" i="95"/>
  <c r="D1440" i="95"/>
  <c r="J1115" i="95"/>
  <c r="G1270" i="95"/>
  <c r="L1207" i="95"/>
  <c r="F1099" i="95"/>
  <c r="E1097" i="95"/>
  <c r="E1096" i="95" s="1"/>
  <c r="L1200" i="95"/>
  <c r="F1249" i="95"/>
  <c r="J1520" i="95"/>
  <c r="H1242" i="95"/>
  <c r="G1240" i="95"/>
  <c r="F1550" i="95"/>
  <c r="G1552" i="95"/>
  <c r="K1580" i="95"/>
  <c r="J1578" i="95"/>
  <c r="M1564" i="95"/>
  <c r="F1626" i="95" l="1"/>
  <c r="F1666" i="95" s="1"/>
  <c r="F1665" i="95" s="1"/>
  <c r="C1684" i="95"/>
  <c r="C1701" i="95" s="1"/>
  <c r="C1700" i="95" s="1"/>
  <c r="D1684" i="95"/>
  <c r="D1701" i="95" s="1"/>
  <c r="D1700" i="95" s="1"/>
  <c r="C1617" i="95"/>
  <c r="F1604" i="95"/>
  <c r="E1604" i="95"/>
  <c r="C1602" i="95"/>
  <c r="C1601" i="95" s="1"/>
  <c r="D1594" i="95"/>
  <c r="D1602" i="95" s="1"/>
  <c r="D1601" i="95" s="1"/>
  <c r="G1544" i="95"/>
  <c r="G1543" i="95" s="1"/>
  <c r="G1475" i="95"/>
  <c r="E1549" i="95"/>
  <c r="F1549" i="95"/>
  <c r="E1476" i="95"/>
  <c r="E1427" i="95"/>
  <c r="F1411" i="95"/>
  <c r="G1409" i="95"/>
  <c r="C1080" i="95"/>
  <c r="D1082" i="95"/>
  <c r="G849" i="95"/>
  <c r="E1126" i="95"/>
  <c r="F1126" i="95" s="1"/>
  <c r="C1738" i="95"/>
  <c r="G1036" i="95"/>
  <c r="H1036" i="95" s="1"/>
  <c r="E1407" i="95"/>
  <c r="G452" i="95"/>
  <c r="G439" i="95"/>
  <c r="H432" i="95"/>
  <c r="H439" i="95" s="1"/>
  <c r="F1391" i="95"/>
  <c r="F1407" i="95" s="1"/>
  <c r="E1390" i="95"/>
  <c r="E1389" i="95" s="1"/>
  <c r="G764" i="95"/>
  <c r="C1735" i="95"/>
  <c r="D1187" i="95"/>
  <c r="G1629" i="95"/>
  <c r="H1629" i="95" s="1"/>
  <c r="F1209" i="95"/>
  <c r="D1378" i="95"/>
  <c r="E1378" i="95" s="1"/>
  <c r="E1376" i="95" s="1"/>
  <c r="F1449" i="95"/>
  <c r="G963" i="95"/>
  <c r="G984" i="95"/>
  <c r="G1004" i="95"/>
  <c r="G1016" i="95" s="1"/>
  <c r="G994" i="95"/>
  <c r="H933" i="95"/>
  <c r="G950" i="95"/>
  <c r="H754" i="95"/>
  <c r="E1202" i="95"/>
  <c r="AA151" i="79"/>
  <c r="D1453" i="95"/>
  <c r="F1127" i="95"/>
  <c r="G1698" i="95"/>
  <c r="G1748" i="95" s="1"/>
  <c r="G1747" i="95" s="1"/>
  <c r="E1160" i="95"/>
  <c r="F1111" i="95"/>
  <c r="AF151" i="79"/>
  <c r="P151" i="79"/>
  <c r="Q151" i="79"/>
  <c r="R151" i="79"/>
  <c r="V151" i="79"/>
  <c r="AD151" i="79"/>
  <c r="K151" i="79"/>
  <c r="W151" i="79"/>
  <c r="AE151" i="79"/>
  <c r="S151" i="79"/>
  <c r="J151" i="79"/>
  <c r="T151" i="79"/>
  <c r="I151" i="79"/>
  <c r="M151" i="79"/>
  <c r="AB151" i="79"/>
  <c r="U151" i="79"/>
  <c r="N151" i="79"/>
  <c r="G1515" i="95"/>
  <c r="H1515" i="95" s="1"/>
  <c r="C1350" i="95"/>
  <c r="C1349" i="95" s="1"/>
  <c r="G1214" i="95"/>
  <c r="G1212" i="95" s="1"/>
  <c r="H1644" i="95"/>
  <c r="H1643" i="95" s="1"/>
  <c r="F1344" i="95"/>
  <c r="E1342" i="95"/>
  <c r="G1209" i="95"/>
  <c r="C1095" i="95"/>
  <c r="Y151" i="79"/>
  <c r="X151" i="79"/>
  <c r="L151" i="79"/>
  <c r="O151" i="79"/>
  <c r="E1047" i="95"/>
  <c r="C1741" i="95"/>
  <c r="E1247" i="95"/>
  <c r="AC151" i="79"/>
  <c r="Z151" i="79"/>
  <c r="E1199" i="95"/>
  <c r="E1192" i="95" s="1"/>
  <c r="C1747" i="95"/>
  <c r="E1453" i="95"/>
  <c r="G1536" i="95"/>
  <c r="G1534" i="95" s="1"/>
  <c r="H1118" i="95"/>
  <c r="H1117" i="95" s="1"/>
  <c r="F1748" i="95"/>
  <c r="F1747" i="95" s="1"/>
  <c r="D1747" i="95"/>
  <c r="F1470" i="95"/>
  <c r="F1469" i="95" s="1"/>
  <c r="E1747" i="95"/>
  <c r="G1470" i="95"/>
  <c r="G1469" i="95" s="1"/>
  <c r="C1254" i="95"/>
  <c r="C1232" i="95" s="1"/>
  <c r="C1215" i="95" s="1"/>
  <c r="C1283" i="95" s="1"/>
  <c r="G1540" i="95"/>
  <c r="D1100" i="95"/>
  <c r="D1470" i="95"/>
  <c r="D1469" i="95" s="1"/>
  <c r="E1470" i="95"/>
  <c r="E1469" i="95" s="1"/>
  <c r="G1528" i="95"/>
  <c r="C1373" i="95"/>
  <c r="F1103" i="95"/>
  <c r="E1101" i="95"/>
  <c r="H1539" i="95"/>
  <c r="G1537" i="95"/>
  <c r="D1311" i="95"/>
  <c r="C1307" i="95"/>
  <c r="K1586" i="95"/>
  <c r="L1588" i="95"/>
  <c r="H1169" i="95"/>
  <c r="I1171" i="95"/>
  <c r="G1181" i="95"/>
  <c r="F1180" i="95"/>
  <c r="F1179" i="95" s="1"/>
  <c r="D1070" i="95"/>
  <c r="C1066" i="95"/>
  <c r="G1676" i="95"/>
  <c r="F1674" i="95"/>
  <c r="I39" i="95"/>
  <c r="J16" i="95"/>
  <c r="D1305" i="95"/>
  <c r="C1301" i="95"/>
  <c r="G1165" i="95"/>
  <c r="E1172" i="95"/>
  <c r="F1268" i="95"/>
  <c r="F1492" i="95"/>
  <c r="I1109" i="95"/>
  <c r="H1107" i="95"/>
  <c r="D1120" i="95"/>
  <c r="G1524" i="95"/>
  <c r="F1522" i="95"/>
  <c r="F1193" i="95"/>
  <c r="G1195" i="95"/>
  <c r="F1600" i="95"/>
  <c r="E1598" i="95"/>
  <c r="E1594" i="95" s="1"/>
  <c r="AB109" i="79"/>
  <c r="E180" i="79"/>
  <c r="E176" i="79" s="1"/>
  <c r="E156" i="79" s="1"/>
  <c r="E108" i="79" s="1"/>
  <c r="F182" i="79"/>
  <c r="H1132" i="95"/>
  <c r="G1130" i="95"/>
  <c r="E1730" i="95"/>
  <c r="E1278" i="95"/>
  <c r="F1280" i="95"/>
  <c r="E1114" i="95"/>
  <c r="E1110" i="95" s="1"/>
  <c r="F1116" i="95"/>
  <c r="I1647" i="95"/>
  <c r="G1488" i="95"/>
  <c r="F1486" i="95"/>
  <c r="H1650" i="95"/>
  <c r="G1649" i="95"/>
  <c r="F1303" i="95"/>
  <c r="G1446" i="95"/>
  <c r="F1444" i="95"/>
  <c r="N1706" i="95"/>
  <c r="J1431" i="95"/>
  <c r="K1432" i="95"/>
  <c r="K1538" i="95"/>
  <c r="G1597" i="95"/>
  <c r="F1595" i="95"/>
  <c r="C1364" i="95"/>
  <c r="D1366" i="95"/>
  <c r="H1309" i="95"/>
  <c r="L1511" i="95"/>
  <c r="I1487" i="95"/>
  <c r="G1466" i="95"/>
  <c r="F1464" i="95"/>
  <c r="F1453" i="95" s="1"/>
  <c r="K1098" i="95"/>
  <c r="I1089" i="95"/>
  <c r="H1105" i="95"/>
  <c r="J1461" i="95"/>
  <c r="I1459" i="95"/>
  <c r="K702" i="95"/>
  <c r="I1481" i="95"/>
  <c r="H1480" i="95"/>
  <c r="H1652" i="95"/>
  <c r="I1653" i="95"/>
  <c r="E1743" i="95"/>
  <c r="D1741" i="95"/>
  <c r="G1201" i="95"/>
  <c r="F1199" i="95"/>
  <c r="G1099" i="95"/>
  <c r="F1097" i="95"/>
  <c r="F1096" i="95" s="1"/>
  <c r="H1428" i="95"/>
  <c r="I1429" i="95"/>
  <c r="F1047" i="95"/>
  <c r="G1049" i="95"/>
  <c r="E1149" i="95"/>
  <c r="D1147" i="95"/>
  <c r="D1146" i="95" s="1"/>
  <c r="I1568" i="95"/>
  <c r="H1566" i="95"/>
  <c r="F1321" i="95"/>
  <c r="E1319" i="95"/>
  <c r="F1184" i="95"/>
  <c r="F1183" i="95" s="1"/>
  <c r="F1174" i="95"/>
  <c r="F1173" i="95" s="1"/>
  <c r="G1177" i="95"/>
  <c r="G1406" i="95"/>
  <c r="H1392" i="95"/>
  <c r="G1287" i="95"/>
  <c r="G1286" i="95" s="1"/>
  <c r="H1289" i="95"/>
  <c r="F1106" i="95"/>
  <c r="E1104" i="95"/>
  <c r="D1372" i="95"/>
  <c r="C1370" i="95"/>
  <c r="G1439" i="95"/>
  <c r="F1437" i="95"/>
  <c r="F1425" i="95"/>
  <c r="F1424" i="95" s="1"/>
  <c r="F1387" i="95"/>
  <c r="F1386" i="95" s="1"/>
  <c r="F1385" i="95" s="1"/>
  <c r="G1383" i="95"/>
  <c r="F1415" i="95"/>
  <c r="F1414" i="95" s="1"/>
  <c r="F1413" i="95" s="1"/>
  <c r="F1396" i="95"/>
  <c r="E1261" i="95"/>
  <c r="F1263" i="95"/>
  <c r="G1685" i="95"/>
  <c r="H1687" i="95"/>
  <c r="D1356" i="95"/>
  <c r="C1354" i="95"/>
  <c r="C1353" i="95" s="1"/>
  <c r="G1268" i="95"/>
  <c r="H1270" i="95"/>
  <c r="J1502" i="95"/>
  <c r="I1584" i="95"/>
  <c r="H1582" i="95"/>
  <c r="E1313" i="95"/>
  <c r="F1315" i="95"/>
  <c r="J1438" i="95"/>
  <c r="I1118" i="95"/>
  <c r="I1117" i="95" s="1"/>
  <c r="J1092" i="95"/>
  <c r="G1605" i="95"/>
  <c r="H1607" i="95"/>
  <c r="L1548" i="95"/>
  <c r="K1546" i="95"/>
  <c r="E1221" i="95"/>
  <c r="D1217" i="95"/>
  <c r="D1216" i="95" s="1"/>
  <c r="I1219" i="95"/>
  <c r="K1572" i="95"/>
  <c r="J1570" i="95"/>
  <c r="I1541" i="95"/>
  <c r="H1540" i="95"/>
  <c r="D1451" i="95"/>
  <c r="D1450" i="95" s="1"/>
  <c r="G1164" i="95"/>
  <c r="F1162" i="95"/>
  <c r="F1161" i="95" s="1"/>
  <c r="F1160" i="95" s="1"/>
  <c r="I1168" i="95"/>
  <c r="H1166" i="95"/>
  <c r="H1503" i="95"/>
  <c r="G1501" i="95"/>
  <c r="D1669" i="95"/>
  <c r="D1668" i="95" s="1"/>
  <c r="D1664" i="95" s="1"/>
  <c r="J1724" i="95"/>
  <c r="I1722" i="95"/>
  <c r="F1696" i="95"/>
  <c r="E1694" i="95"/>
  <c r="F1418" i="95"/>
  <c r="F1417" i="95" s="1"/>
  <c r="G1419" i="95"/>
  <c r="M1210" i="95"/>
  <c r="G1637" i="95"/>
  <c r="H1638" i="95"/>
  <c r="H1521" i="95"/>
  <c r="G1519" i="95"/>
  <c r="H1496" i="95"/>
  <c r="G1495" i="95"/>
  <c r="D1254" i="95"/>
  <c r="E1256" i="95"/>
  <c r="E1352" i="95"/>
  <c r="D1350" i="95"/>
  <c r="D1349" i="95" s="1"/>
  <c r="K1520" i="95"/>
  <c r="E1395" i="95"/>
  <c r="G466" i="95"/>
  <c r="N1131" i="95"/>
  <c r="F1658" i="95"/>
  <c r="G1659" i="95"/>
  <c r="K1194" i="95"/>
  <c r="K1197" i="95"/>
  <c r="G1198" i="95"/>
  <c r="F1196" i="95"/>
  <c r="H1508" i="95"/>
  <c r="G1507" i="95"/>
  <c r="H1129" i="95"/>
  <c r="G1127" i="95"/>
  <c r="H416" i="95"/>
  <c r="H393" i="95"/>
  <c r="I350" i="95"/>
  <c r="H252" i="95"/>
  <c r="I1333" i="95"/>
  <c r="H1331" i="95"/>
  <c r="I1472" i="95"/>
  <c r="H1470" i="95"/>
  <c r="H1469" i="95" s="1"/>
  <c r="I1672" i="95"/>
  <c r="G1136" i="95"/>
  <c r="F1134" i="95"/>
  <c r="F1133" i="95" s="1"/>
  <c r="H1456" i="95"/>
  <c r="G1454" i="95"/>
  <c r="M1560" i="95"/>
  <c r="L1558" i="95"/>
  <c r="D1363" i="95"/>
  <c r="C1361" i="95"/>
  <c r="H1682" i="95"/>
  <c r="G1681" i="95"/>
  <c r="G1680" i="95" s="1"/>
  <c r="O1204" i="95"/>
  <c r="H1526" i="95"/>
  <c r="G1525" i="95"/>
  <c r="G1622" i="95"/>
  <c r="G1612" i="95"/>
  <c r="G1611" i="95" s="1"/>
  <c r="H1599" i="95"/>
  <c r="G1489" i="95"/>
  <c r="G1151" i="95"/>
  <c r="F1150" i="95"/>
  <c r="F1441" i="95"/>
  <c r="G1443" i="95"/>
  <c r="I1339" i="95"/>
  <c r="H1337" i="95"/>
  <c r="J1235" i="95"/>
  <c r="G1662" i="95"/>
  <c r="F1661" i="95"/>
  <c r="L1535" i="95"/>
  <c r="D1746" i="95"/>
  <c r="C1744" i="95"/>
  <c r="J1707" i="95"/>
  <c r="H1493" i="95"/>
  <c r="G1492" i="95"/>
  <c r="G1533" i="95"/>
  <c r="F1531" i="95"/>
  <c r="G1504" i="95"/>
  <c r="H1505" i="95"/>
  <c r="I1641" i="95"/>
  <c r="N1564" i="95"/>
  <c r="M1207" i="95"/>
  <c r="E1440" i="95"/>
  <c r="E1451" i="95" s="1"/>
  <c r="E1450" i="95" s="1"/>
  <c r="H1528" i="95"/>
  <c r="I1529" i="95"/>
  <c r="I1211" i="95"/>
  <c r="H1209" i="95"/>
  <c r="C1358" i="95"/>
  <c r="D1360" i="95"/>
  <c r="O1068" i="95"/>
  <c r="H1592" i="95"/>
  <c r="G1591" i="95"/>
  <c r="G1590" i="95" s="1"/>
  <c r="J1565" i="95"/>
  <c r="I1562" i="95"/>
  <c r="H1205" i="95"/>
  <c r="G1203" i="95"/>
  <c r="E1237" i="95"/>
  <c r="D1233" i="95"/>
  <c r="D1640" i="95"/>
  <c r="D1627" i="95" s="1"/>
  <c r="G1416" i="95"/>
  <c r="I1327" i="95"/>
  <c r="H1325" i="95"/>
  <c r="I1242" i="95"/>
  <c r="H1240" i="95"/>
  <c r="F1189" i="95"/>
  <c r="F1188" i="95" s="1"/>
  <c r="G1191" i="95"/>
  <c r="H1227" i="95"/>
  <c r="G1518" i="95"/>
  <c r="F1516" i="95"/>
  <c r="F1708" i="95"/>
  <c r="E1704" i="95"/>
  <c r="D1738" i="95"/>
  <c r="D1079" i="95"/>
  <c r="C1077" i="95"/>
  <c r="G1753" i="95"/>
  <c r="F1751" i="95"/>
  <c r="G158" i="24" s="1"/>
  <c r="K1514" i="95"/>
  <c r="J1556" i="95"/>
  <c r="I1554" i="95"/>
  <c r="D1076" i="95"/>
  <c r="F1739" i="95"/>
  <c r="F1738" i="95" s="1"/>
  <c r="F1688" i="95"/>
  <c r="G1689" i="95"/>
  <c r="F1711" i="95"/>
  <c r="F1710" i="95" s="1"/>
  <c r="H1477" i="95"/>
  <c r="I1478" i="95"/>
  <c r="G770" i="95"/>
  <c r="H755" i="95"/>
  <c r="L1213" i="95"/>
  <c r="H1552" i="95"/>
  <c r="G1550" i="95"/>
  <c r="G1549" i="95" s="1"/>
  <c r="D1369" i="95"/>
  <c r="C1367" i="95"/>
  <c r="F1143" i="95"/>
  <c r="E1141" i="95"/>
  <c r="E1140" i="95" s="1"/>
  <c r="H1512" i="95"/>
  <c r="G1510" i="95"/>
  <c r="F1655" i="95"/>
  <c r="G1657" i="95"/>
  <c r="L1580" i="95"/>
  <c r="K1578" i="95"/>
  <c r="M1200" i="95"/>
  <c r="K1483" i="95"/>
  <c r="L1484" i="95"/>
  <c r="J1532" i="95"/>
  <c r="K1517" i="95"/>
  <c r="F1159" i="95"/>
  <c r="E1157" i="95"/>
  <c r="E1156" i="95" s="1"/>
  <c r="E1737" i="95"/>
  <c r="D1735" i="95"/>
  <c r="E1620" i="95"/>
  <c r="D1618" i="95"/>
  <c r="E1623" i="95"/>
  <c r="D1621" i="95"/>
  <c r="F1206" i="95"/>
  <c r="I1490" i="95"/>
  <c r="E1738" i="95"/>
  <c r="G1249" i="95"/>
  <c r="F1247" i="95"/>
  <c r="G1678" i="95"/>
  <c r="F1677" i="95"/>
  <c r="K1115" i="95"/>
  <c r="O1576" i="95"/>
  <c r="N1574" i="95"/>
  <c r="I753" i="95"/>
  <c r="H764" i="95"/>
  <c r="E1121" i="95"/>
  <c r="F1123" i="95"/>
  <c r="G1635" i="95"/>
  <c r="F1634" i="95"/>
  <c r="N1128" i="95"/>
  <c r="E1229" i="95"/>
  <c r="D1225" i="95"/>
  <c r="D1224" i="95" s="1"/>
  <c r="J1499" i="95"/>
  <c r="I1498" i="95"/>
  <c r="G1275" i="95"/>
  <c r="H1277" i="95"/>
  <c r="G1673" i="95"/>
  <c r="F1671" i="95"/>
  <c r="G954" i="95"/>
  <c r="G1648" i="95"/>
  <c r="F1646" i="95"/>
  <c r="L1745" i="95"/>
  <c r="L1723" i="95"/>
  <c r="M1695" i="95"/>
  <c r="L1296" i="95"/>
  <c r="K1294" i="95"/>
  <c r="K1293" i="95" s="1"/>
  <c r="K1163" i="95"/>
  <c r="G1435" i="95"/>
  <c r="F1434" i="95"/>
  <c r="H1113" i="95"/>
  <c r="G1111" i="95"/>
  <c r="F1699" i="95"/>
  <c r="E1697" i="95"/>
  <c r="E1375" i="95"/>
  <c r="D1373" i="95"/>
  <c r="H1717" i="95"/>
  <c r="H1716" i="95" s="1"/>
  <c r="H1742" i="95"/>
  <c r="H1691" i="95"/>
  <c r="I1692" i="95"/>
  <c r="F1631" i="95"/>
  <c r="G1632" i="95"/>
  <c r="G796" i="95"/>
  <c r="G837" i="95"/>
  <c r="G783" i="95"/>
  <c r="H757" i="95"/>
  <c r="G827" i="95"/>
  <c r="G817" i="95"/>
  <c r="C1734" i="95" l="1"/>
  <c r="G1626" i="95"/>
  <c r="G1666" i="95" s="1"/>
  <c r="G1665" i="95" s="1"/>
  <c r="E1684" i="95"/>
  <c r="E1701" i="95" s="1"/>
  <c r="E1700" i="95" s="1"/>
  <c r="D1617" i="95"/>
  <c r="G1604" i="95"/>
  <c r="H1475" i="95"/>
  <c r="H1544" i="95"/>
  <c r="H1543" i="95" s="1"/>
  <c r="F1476" i="95"/>
  <c r="F1427" i="95"/>
  <c r="G1411" i="95"/>
  <c r="H1409" i="95"/>
  <c r="D1080" i="95"/>
  <c r="E1082" i="95"/>
  <c r="H849" i="95"/>
  <c r="E1124" i="95"/>
  <c r="E1120" i="95" s="1"/>
  <c r="E1187" i="95"/>
  <c r="G1391" i="95"/>
  <c r="F1390" i="95"/>
  <c r="F1389" i="95" s="1"/>
  <c r="F1395" i="95"/>
  <c r="I432" i="95"/>
  <c r="I439" i="95" s="1"/>
  <c r="H446" i="95"/>
  <c r="H452" i="95"/>
  <c r="F1378" i="95"/>
  <c r="G1378" i="95" s="1"/>
  <c r="G1628" i="95"/>
  <c r="G1513" i="95"/>
  <c r="H1536" i="95"/>
  <c r="H1534" i="95" s="1"/>
  <c r="F1202" i="95"/>
  <c r="G1729" i="95"/>
  <c r="H1698" i="95"/>
  <c r="H1748" i="95" s="1"/>
  <c r="H1747" i="95" s="1"/>
  <c r="D1376" i="95"/>
  <c r="H1004" i="95"/>
  <c r="H1016" i="95" s="1"/>
  <c r="H963" i="95"/>
  <c r="H994" i="95"/>
  <c r="H950" i="95"/>
  <c r="H984" i="95"/>
  <c r="I933" i="95"/>
  <c r="H767" i="95"/>
  <c r="I754" i="95"/>
  <c r="G1449" i="95"/>
  <c r="F1447" i="95"/>
  <c r="F1440" i="95" s="1"/>
  <c r="F1451" i="95" s="1"/>
  <c r="F1450" i="95" s="1"/>
  <c r="C1376" i="95"/>
  <c r="C1357" i="95" s="1"/>
  <c r="C1348" i="95" s="1"/>
  <c r="H1214" i="95"/>
  <c r="I1214" i="95" s="1"/>
  <c r="D1232" i="95"/>
  <c r="D1215" i="95" s="1"/>
  <c r="I1644" i="95"/>
  <c r="G1344" i="95"/>
  <c r="F1342" i="95"/>
  <c r="C1300" i="95"/>
  <c r="C1285" i="95" s="1"/>
  <c r="H1165" i="95"/>
  <c r="D1095" i="95"/>
  <c r="E1602" i="95"/>
  <c r="E1601" i="95" s="1"/>
  <c r="E1100" i="95"/>
  <c r="F1101" i="95"/>
  <c r="G1103" i="95"/>
  <c r="G1193" i="95"/>
  <c r="H1195" i="95"/>
  <c r="E1305" i="95"/>
  <c r="D1301" i="95"/>
  <c r="G1522" i="95"/>
  <c r="H1524" i="95"/>
  <c r="D1732" i="95"/>
  <c r="C1728" i="95"/>
  <c r="C1703" i="95" s="1"/>
  <c r="E1070" i="95"/>
  <c r="D1066" i="95"/>
  <c r="I1539" i="95"/>
  <c r="H1537" i="95"/>
  <c r="E1311" i="95"/>
  <c r="D1307" i="95"/>
  <c r="J39" i="95"/>
  <c r="K16" i="95"/>
  <c r="M1588" i="95"/>
  <c r="L1586" i="95"/>
  <c r="I1169" i="95"/>
  <c r="J1171" i="95"/>
  <c r="G1600" i="95"/>
  <c r="F1598" i="95"/>
  <c r="F1594" i="95" s="1"/>
  <c r="J1109" i="95"/>
  <c r="I1107" i="95"/>
  <c r="H1676" i="95"/>
  <c r="G1674" i="95"/>
  <c r="G1180" i="95"/>
  <c r="G1179" i="95" s="1"/>
  <c r="H1181" i="95"/>
  <c r="G182" i="79"/>
  <c r="F180" i="79"/>
  <c r="F176" i="79" s="1"/>
  <c r="F156" i="79" s="1"/>
  <c r="I1496" i="95"/>
  <c r="H1495" i="95"/>
  <c r="D1370" i="95"/>
  <c r="E1372" i="95"/>
  <c r="I1552" i="95"/>
  <c r="H1550" i="95"/>
  <c r="H1549" i="95" s="1"/>
  <c r="H1416" i="95"/>
  <c r="I1205" i="95"/>
  <c r="H1203" i="95"/>
  <c r="J1242" i="95"/>
  <c r="I1240" i="95"/>
  <c r="K1235" i="95"/>
  <c r="F1352" i="95"/>
  <c r="E1350" i="95"/>
  <c r="E1349" i="95" s="1"/>
  <c r="K1499" i="95"/>
  <c r="J1498" i="95"/>
  <c r="D1744" i="95"/>
  <c r="D1734" i="95" s="1"/>
  <c r="E1746" i="95"/>
  <c r="I393" i="95"/>
  <c r="I416" i="95"/>
  <c r="I252" i="95"/>
  <c r="J350" i="95"/>
  <c r="H1648" i="95"/>
  <c r="G1646" i="95"/>
  <c r="M1558" i="95"/>
  <c r="N1560" i="95"/>
  <c r="H1518" i="95"/>
  <c r="G1516" i="95"/>
  <c r="J1211" i="95"/>
  <c r="I1209" i="95"/>
  <c r="I1682" i="95"/>
  <c r="H1681" i="95"/>
  <c r="H1680" i="95" s="1"/>
  <c r="I1428" i="95"/>
  <c r="J1429" i="95"/>
  <c r="I1477" i="95"/>
  <c r="J1478" i="95"/>
  <c r="K1707" i="95"/>
  <c r="L1483" i="95"/>
  <c r="M1484" i="95"/>
  <c r="H1628" i="95"/>
  <c r="I1629" i="95"/>
  <c r="G1199" i="95"/>
  <c r="H1201" i="95"/>
  <c r="E1366" i="95"/>
  <c r="D1364" i="95"/>
  <c r="G1444" i="95"/>
  <c r="H1446" i="95"/>
  <c r="F1229" i="95"/>
  <c r="E1225" i="95"/>
  <c r="E1224" i="95" s="1"/>
  <c r="P1576" i="95"/>
  <c r="O1574" i="95"/>
  <c r="G1126" i="95"/>
  <c r="F1124" i="95"/>
  <c r="L1514" i="95"/>
  <c r="H1419" i="95"/>
  <c r="G1418" i="95"/>
  <c r="G1417" i="95" s="1"/>
  <c r="F1319" i="95"/>
  <c r="G1321" i="95"/>
  <c r="L1163" i="95"/>
  <c r="H954" i="95"/>
  <c r="M1580" i="95"/>
  <c r="L1578" i="95"/>
  <c r="E1079" i="95"/>
  <c r="D1077" i="95"/>
  <c r="G1189" i="95"/>
  <c r="G1188" i="95" s="1"/>
  <c r="H1191" i="95"/>
  <c r="L1197" i="95"/>
  <c r="J1459" i="95"/>
  <c r="K1461" i="95"/>
  <c r="G1303" i="95"/>
  <c r="H1635" i="95"/>
  <c r="G1634" i="95"/>
  <c r="K1556" i="95"/>
  <c r="J1554" i="95"/>
  <c r="H1753" i="95"/>
  <c r="G1751" i="95"/>
  <c r="H158" i="24" s="1"/>
  <c r="J1641" i="95"/>
  <c r="I1493" i="95"/>
  <c r="H1492" i="95"/>
  <c r="L1194" i="95"/>
  <c r="F1694" i="95"/>
  <c r="G1696" i="95"/>
  <c r="J1584" i="95"/>
  <c r="I1582" i="95"/>
  <c r="J1487" i="95"/>
  <c r="E1024" i="95"/>
  <c r="N1207" i="95"/>
  <c r="H1268" i="95"/>
  <c r="I1270" i="95"/>
  <c r="I1392" i="95"/>
  <c r="H1406" i="95"/>
  <c r="J1089" i="95"/>
  <c r="I1105" i="95"/>
  <c r="O1128" i="95"/>
  <c r="F1623" i="95"/>
  <c r="E1621" i="95"/>
  <c r="E1369" i="95"/>
  <c r="D1367" i="95"/>
  <c r="J1327" i="95"/>
  <c r="I1325" i="95"/>
  <c r="I1592" i="95"/>
  <c r="H1591" i="95"/>
  <c r="H1590" i="95" s="1"/>
  <c r="I1528" i="95"/>
  <c r="J1529" i="95"/>
  <c r="I1505" i="95"/>
  <c r="H1504" i="95"/>
  <c r="J1339" i="95"/>
  <c r="I1337" i="95"/>
  <c r="G1150" i="95"/>
  <c r="H1151" i="95"/>
  <c r="I1526" i="95"/>
  <c r="H1525" i="95"/>
  <c r="E1363" i="95"/>
  <c r="D1361" i="95"/>
  <c r="H1136" i="95"/>
  <c r="G1134" i="95"/>
  <c r="G1133" i="95" s="1"/>
  <c r="G1658" i="95"/>
  <c r="H1659" i="95"/>
  <c r="L1520" i="95"/>
  <c r="I1521" i="95"/>
  <c r="H1519" i="95"/>
  <c r="K1724" i="95"/>
  <c r="J1722" i="95"/>
  <c r="J1219" i="95"/>
  <c r="J1568" i="95"/>
  <c r="I1566" i="95"/>
  <c r="H1597" i="95"/>
  <c r="G1595" i="95"/>
  <c r="O1706" i="95"/>
  <c r="I1650" i="95"/>
  <c r="H1649" i="95"/>
  <c r="G1415" i="95"/>
  <c r="G1414" i="95" s="1"/>
  <c r="G1413" i="95" s="1"/>
  <c r="G1387" i="95"/>
  <c r="G1386" i="95" s="1"/>
  <c r="G1385" i="95" s="1"/>
  <c r="H1383" i="95"/>
  <c r="G1425" i="95"/>
  <c r="G1424" i="95" s="1"/>
  <c r="G1396" i="95"/>
  <c r="F1114" i="95"/>
  <c r="F1110" i="95" s="1"/>
  <c r="G1116" i="95"/>
  <c r="G1206" i="95"/>
  <c r="G1202" i="95" s="1"/>
  <c r="I1540" i="95"/>
  <c r="J1541" i="95"/>
  <c r="G1677" i="95"/>
  <c r="H1678" i="95"/>
  <c r="H1605" i="95"/>
  <c r="I1607" i="95"/>
  <c r="G1106" i="95"/>
  <c r="F1104" i="95"/>
  <c r="P1204" i="95"/>
  <c r="N1210" i="95"/>
  <c r="G1184" i="95"/>
  <c r="G1183" i="95" s="1"/>
  <c r="G1174" i="95"/>
  <c r="G1173" i="95" s="1"/>
  <c r="H1177" i="95"/>
  <c r="L702" i="95"/>
  <c r="G1263" i="95"/>
  <c r="F1261" i="95"/>
  <c r="K1565" i="95"/>
  <c r="J1562" i="95"/>
  <c r="I1503" i="95"/>
  <c r="H1501" i="95"/>
  <c r="L1572" i="95"/>
  <c r="K1570" i="95"/>
  <c r="G1280" i="95"/>
  <c r="F1278" i="95"/>
  <c r="H1249" i="95"/>
  <c r="G1247" i="95"/>
  <c r="N1695" i="95"/>
  <c r="M1723" i="95"/>
  <c r="M1745" i="95"/>
  <c r="K1532" i="95"/>
  <c r="G1655" i="95"/>
  <c r="H1657" i="95"/>
  <c r="G1739" i="95"/>
  <c r="G1738" i="95" s="1"/>
  <c r="G1711" i="95"/>
  <c r="G1710" i="95" s="1"/>
  <c r="G1688" i="95"/>
  <c r="H1689" i="95"/>
  <c r="E1076" i="95"/>
  <c r="I1515" i="95"/>
  <c r="H1513" i="95"/>
  <c r="H837" i="95"/>
  <c r="H783" i="95"/>
  <c r="H817" i="95"/>
  <c r="I757" i="95"/>
  <c r="H796" i="95"/>
  <c r="H827" i="95"/>
  <c r="H1673" i="95"/>
  <c r="G1671" i="95"/>
  <c r="I764" i="95"/>
  <c r="J753" i="95"/>
  <c r="F1737" i="95"/>
  <c r="E1735" i="95"/>
  <c r="C1474" i="95"/>
  <c r="D156" i="24" s="1"/>
  <c r="P1068" i="95"/>
  <c r="M1535" i="95"/>
  <c r="J1333" i="95"/>
  <c r="I1331" i="95"/>
  <c r="O1131" i="95"/>
  <c r="F1221" i="95"/>
  <c r="E1217" i="95"/>
  <c r="E1216" i="95" s="1"/>
  <c r="K1438" i="95"/>
  <c r="F1172" i="95"/>
  <c r="E1147" i="95"/>
  <c r="E1146" i="95" s="1"/>
  <c r="F1149" i="95"/>
  <c r="M1511" i="95"/>
  <c r="I1309" i="95"/>
  <c r="L1538" i="95"/>
  <c r="H1488" i="95"/>
  <c r="G1486" i="95"/>
  <c r="J1118" i="95"/>
  <c r="J1117" i="95" s="1"/>
  <c r="K1092" i="95"/>
  <c r="J1472" i="95"/>
  <c r="I1470" i="95"/>
  <c r="I1469" i="95" s="1"/>
  <c r="F1375" i="95"/>
  <c r="E1373" i="95"/>
  <c r="M1296" i="95"/>
  <c r="L1294" i="95"/>
  <c r="L1293" i="95" s="1"/>
  <c r="G1123" i="95"/>
  <c r="F1121" i="95"/>
  <c r="I1113" i="95"/>
  <c r="H1111" i="95"/>
  <c r="E1640" i="95"/>
  <c r="E1627" i="95" s="1"/>
  <c r="H1443" i="95"/>
  <c r="G1441" i="95"/>
  <c r="I1599" i="95"/>
  <c r="H1612" i="95"/>
  <c r="H1611" i="95" s="1"/>
  <c r="H1489" i="95"/>
  <c r="H1622" i="95"/>
  <c r="J1672" i="95"/>
  <c r="I1508" i="95"/>
  <c r="H1507" i="95"/>
  <c r="F1192" i="95"/>
  <c r="L1098" i="95"/>
  <c r="K1431" i="95"/>
  <c r="L1432" i="95"/>
  <c r="H1632" i="95"/>
  <c r="G1631" i="95"/>
  <c r="G1159" i="95"/>
  <c r="F1157" i="95"/>
  <c r="F1156" i="95" s="1"/>
  <c r="N1200" i="95"/>
  <c r="I1512" i="95"/>
  <c r="H1510" i="95"/>
  <c r="M1213" i="95"/>
  <c r="E1360" i="95"/>
  <c r="D1358" i="95"/>
  <c r="O1564" i="95"/>
  <c r="H1198" i="95"/>
  <c r="G1196" i="95"/>
  <c r="L1546" i="95"/>
  <c r="M1548" i="95"/>
  <c r="K1502" i="95"/>
  <c r="H1287" i="95"/>
  <c r="H1286" i="95" s="1"/>
  <c r="I1289" i="95"/>
  <c r="H1049" i="95"/>
  <c r="G1047" i="95"/>
  <c r="F1743" i="95"/>
  <c r="E1741" i="95"/>
  <c r="J1481" i="95"/>
  <c r="I1480" i="95"/>
  <c r="G1143" i="95"/>
  <c r="F1141" i="95"/>
  <c r="F1140" i="95" s="1"/>
  <c r="H1533" i="95"/>
  <c r="G1531" i="95"/>
  <c r="I1456" i="95"/>
  <c r="H1454" i="95"/>
  <c r="H1164" i="95"/>
  <c r="G1162" i="95"/>
  <c r="G1161" i="95" s="1"/>
  <c r="G1160" i="95" s="1"/>
  <c r="E1254" i="95"/>
  <c r="F1256" i="95"/>
  <c r="I1638" i="95"/>
  <c r="H1637" i="95"/>
  <c r="L1115" i="95"/>
  <c r="E1394" i="95"/>
  <c r="E1401" i="95"/>
  <c r="E1400" i="95" s="1"/>
  <c r="G1699" i="95"/>
  <c r="F1697" i="95"/>
  <c r="L1517" i="95"/>
  <c r="E1669" i="95"/>
  <c r="E1668" i="95" s="1"/>
  <c r="E1664" i="95" s="1"/>
  <c r="I1742" i="95"/>
  <c r="J1692" i="95"/>
  <c r="I1717" i="95"/>
  <c r="I1716" i="95" s="1"/>
  <c r="I1691" i="95"/>
  <c r="I1277" i="95"/>
  <c r="H1275" i="95"/>
  <c r="I1036" i="95"/>
  <c r="I1227" i="95"/>
  <c r="H1439" i="95"/>
  <c r="G1437" i="95"/>
  <c r="H1130" i="95"/>
  <c r="I1132" i="95"/>
  <c r="G1434" i="95"/>
  <c r="H1435" i="95"/>
  <c r="J1490" i="95"/>
  <c r="E1618" i="95"/>
  <c r="F1620" i="95"/>
  <c r="H770" i="95"/>
  <c r="I755" i="95"/>
  <c r="G1708" i="95"/>
  <c r="F1704" i="95"/>
  <c r="F1237" i="95"/>
  <c r="E1233" i="95"/>
  <c r="H1662" i="95"/>
  <c r="G1661" i="95"/>
  <c r="I1129" i="95"/>
  <c r="H1127" i="95"/>
  <c r="H466" i="95"/>
  <c r="I1166" i="95"/>
  <c r="J1168" i="95"/>
  <c r="F1313" i="95"/>
  <c r="G1315" i="95"/>
  <c r="E1356" i="95"/>
  <c r="D1354" i="95"/>
  <c r="D1353" i="95" s="1"/>
  <c r="H1685" i="95"/>
  <c r="I1687" i="95"/>
  <c r="H1099" i="95"/>
  <c r="G1097" i="95"/>
  <c r="G1096" i="95" s="1"/>
  <c r="I1652" i="95"/>
  <c r="J1653" i="95"/>
  <c r="H1466" i="95"/>
  <c r="G1464" i="95"/>
  <c r="G1453" i="95" s="1"/>
  <c r="J1647" i="95"/>
  <c r="F1730" i="95"/>
  <c r="H1626" i="95" l="1"/>
  <c r="H1666" i="95" s="1"/>
  <c r="H1665" i="95" s="1"/>
  <c r="F1684" i="95"/>
  <c r="E1617" i="95"/>
  <c r="H1604" i="95"/>
  <c r="I1544" i="95"/>
  <c r="I1475" i="95"/>
  <c r="G1476" i="95"/>
  <c r="G1427" i="95"/>
  <c r="H1411" i="95"/>
  <c r="I1409" i="95"/>
  <c r="F1082" i="95"/>
  <c r="E1080" i="95"/>
  <c r="I849" i="95"/>
  <c r="I446" i="95"/>
  <c r="H1391" i="95"/>
  <c r="I1391" i="95" s="1"/>
  <c r="G1390" i="95"/>
  <c r="G1389" i="95" s="1"/>
  <c r="G1407" i="95"/>
  <c r="F1376" i="95"/>
  <c r="J432" i="95"/>
  <c r="K432" i="95" s="1"/>
  <c r="I452" i="95"/>
  <c r="F1187" i="95"/>
  <c r="H1729" i="95"/>
  <c r="I1536" i="95"/>
  <c r="J1536" i="95" s="1"/>
  <c r="I1698" i="95"/>
  <c r="J1698" i="95" s="1"/>
  <c r="H1212" i="95"/>
  <c r="G1447" i="95"/>
  <c r="G1440" i="95" s="1"/>
  <c r="G1451" i="95" s="1"/>
  <c r="G1450" i="95" s="1"/>
  <c r="H1449" i="95"/>
  <c r="I767" i="95"/>
  <c r="J754" i="95"/>
  <c r="I984" i="95"/>
  <c r="I1004" i="95"/>
  <c r="I1016" i="95" s="1"/>
  <c r="J933" i="95"/>
  <c r="I994" i="95"/>
  <c r="I950" i="95"/>
  <c r="I963" i="95"/>
  <c r="I1165" i="95"/>
  <c r="H1344" i="95"/>
  <c r="G1342" i="95"/>
  <c r="E1232" i="95"/>
  <c r="E1215" i="95" s="1"/>
  <c r="D1300" i="95"/>
  <c r="D1285" i="95" s="1"/>
  <c r="I1643" i="95"/>
  <c r="J1644" i="95"/>
  <c r="G1395" i="95"/>
  <c r="G1394" i="95" s="1"/>
  <c r="G1192" i="95"/>
  <c r="G1187" i="95" s="1"/>
  <c r="E1095" i="95"/>
  <c r="G1172" i="95"/>
  <c r="F1100" i="95"/>
  <c r="G1101" i="95"/>
  <c r="H1103" i="95"/>
  <c r="K39" i="95"/>
  <c r="L16" i="95"/>
  <c r="H1600" i="95"/>
  <c r="G1598" i="95"/>
  <c r="G1594" i="95" s="1"/>
  <c r="F1070" i="95"/>
  <c r="E1066" i="95"/>
  <c r="F1602" i="95"/>
  <c r="F1601" i="95" s="1"/>
  <c r="I1676" i="95"/>
  <c r="H1674" i="95"/>
  <c r="F1305" i="95"/>
  <c r="E1301" i="95"/>
  <c r="D1474" i="95"/>
  <c r="E156" i="24" s="1"/>
  <c r="E1732" i="95"/>
  <c r="D1728" i="95"/>
  <c r="D1703" i="95" s="1"/>
  <c r="J1169" i="95"/>
  <c r="K1171" i="95"/>
  <c r="F1311" i="95"/>
  <c r="E1307" i="95"/>
  <c r="I1195" i="95"/>
  <c r="H1193" i="95"/>
  <c r="H1180" i="95"/>
  <c r="H1179" i="95" s="1"/>
  <c r="I1181" i="95"/>
  <c r="K1109" i="95"/>
  <c r="J1107" i="95"/>
  <c r="N1588" i="95"/>
  <c r="M1586" i="95"/>
  <c r="J1539" i="95"/>
  <c r="I1537" i="95"/>
  <c r="H1522" i="95"/>
  <c r="I1524" i="95"/>
  <c r="H182" i="79"/>
  <c r="G180" i="79"/>
  <c r="G176" i="79" s="1"/>
  <c r="G156" i="79" s="1"/>
  <c r="D1283" i="95"/>
  <c r="D1282" i="95" s="1"/>
  <c r="J1166" i="95"/>
  <c r="K1168" i="95"/>
  <c r="K1481" i="95"/>
  <c r="J1480" i="95"/>
  <c r="I466" i="95"/>
  <c r="J1277" i="95"/>
  <c r="I1275" i="95"/>
  <c r="M1517" i="95"/>
  <c r="F1254" i="95"/>
  <c r="G1256" i="95"/>
  <c r="I1164" i="95"/>
  <c r="H1162" i="95"/>
  <c r="H1161" i="95" s="1"/>
  <c r="H1160" i="95" s="1"/>
  <c r="N1548" i="95"/>
  <c r="M1546" i="95"/>
  <c r="F1640" i="95"/>
  <c r="F1627" i="95" s="1"/>
  <c r="L1438" i="95"/>
  <c r="I827" i="95"/>
  <c r="I837" i="95"/>
  <c r="I783" i="95"/>
  <c r="I817" i="95"/>
  <c r="I796" i="95"/>
  <c r="J757" i="95"/>
  <c r="K1541" i="95"/>
  <c r="J1540" i="95"/>
  <c r="I1136" i="95"/>
  <c r="H1134" i="95"/>
  <c r="H1133" i="95" s="1"/>
  <c r="I1504" i="95"/>
  <c r="J1505" i="95"/>
  <c r="J1493" i="95"/>
  <c r="I1492" i="95"/>
  <c r="N1580" i="95"/>
  <c r="M1578" i="95"/>
  <c r="G1730" i="95"/>
  <c r="J1227" i="95"/>
  <c r="G1743" i="95"/>
  <c r="F1741" i="95"/>
  <c r="N1213" i="95"/>
  <c r="L1431" i="95"/>
  <c r="M1432" i="95"/>
  <c r="I1111" i="95"/>
  <c r="J1113" i="95"/>
  <c r="P1131" i="95"/>
  <c r="N1535" i="95"/>
  <c r="I1678" i="95"/>
  <c r="H1677" i="95"/>
  <c r="H1425" i="95"/>
  <c r="H1424" i="95" s="1"/>
  <c r="H1387" i="95"/>
  <c r="H1386" i="95" s="1"/>
  <c r="H1385" i="95" s="1"/>
  <c r="H1415" i="95"/>
  <c r="H1414" i="95" s="1"/>
  <c r="H1413" i="95" s="1"/>
  <c r="H1396" i="95"/>
  <c r="I1383" i="95"/>
  <c r="J1521" i="95"/>
  <c r="I1519" i="95"/>
  <c r="J1528" i="95"/>
  <c r="K1529" i="95"/>
  <c r="J1105" i="95"/>
  <c r="K1089" i="95"/>
  <c r="O1207" i="95"/>
  <c r="M1194" i="95"/>
  <c r="K1641" i="95"/>
  <c r="F1366" i="95"/>
  <c r="E1364" i="95"/>
  <c r="J1428" i="95"/>
  <c r="K1429" i="95"/>
  <c r="I1681" i="95"/>
  <c r="I1680" i="95" s="1"/>
  <c r="J1682" i="95"/>
  <c r="K1242" i="95"/>
  <c r="J1240" i="95"/>
  <c r="J1205" i="95"/>
  <c r="I1203" i="95"/>
  <c r="I1416" i="95"/>
  <c r="K1653" i="95"/>
  <c r="J1652" i="95"/>
  <c r="J1638" i="95"/>
  <c r="I1637" i="95"/>
  <c r="K753" i="95"/>
  <c r="J764" i="95"/>
  <c r="I1648" i="95"/>
  <c r="H1646" i="95"/>
  <c r="L1235" i="95"/>
  <c r="I1099" i="95"/>
  <c r="H1097" i="95"/>
  <c r="H1096" i="95" s="1"/>
  <c r="F1394" i="95"/>
  <c r="F1401" i="95"/>
  <c r="F1400" i="95" s="1"/>
  <c r="J1132" i="95"/>
  <c r="I1130" i="95"/>
  <c r="E1030" i="95"/>
  <c r="G1623" i="95"/>
  <c r="F1621" i="95"/>
  <c r="I1673" i="95"/>
  <c r="H1671" i="95"/>
  <c r="N1723" i="95"/>
  <c r="O1695" i="95"/>
  <c r="N1745" i="95"/>
  <c r="M1572" i="95"/>
  <c r="L1570" i="95"/>
  <c r="I1177" i="95"/>
  <c r="H1184" i="95"/>
  <c r="H1183" i="95" s="1"/>
  <c r="H1174" i="95"/>
  <c r="H1173" i="95" s="1"/>
  <c r="O1210" i="95"/>
  <c r="K1568" i="95"/>
  <c r="J1566" i="95"/>
  <c r="J1526" i="95"/>
  <c r="I1525" i="95"/>
  <c r="I1268" i="95"/>
  <c r="J1270" i="95"/>
  <c r="K1487" i="95"/>
  <c r="K1459" i="95"/>
  <c r="L1461" i="95"/>
  <c r="Q1576" i="95"/>
  <c r="P1574" i="95"/>
  <c r="L1707" i="95"/>
  <c r="J1214" i="95"/>
  <c r="I1212" i="95"/>
  <c r="I1518" i="95"/>
  <c r="H1516" i="95"/>
  <c r="O1560" i="95"/>
  <c r="N1558" i="95"/>
  <c r="K350" i="95"/>
  <c r="J393" i="95"/>
  <c r="J252" i="95"/>
  <c r="J416" i="95"/>
  <c r="J1289" i="95"/>
  <c r="I1287" i="95"/>
  <c r="I1286" i="95" s="1"/>
  <c r="O1200" i="95"/>
  <c r="K1219" i="95"/>
  <c r="H1150" i="95"/>
  <c r="I1151" i="95"/>
  <c r="J1592" i="95"/>
  <c r="I1591" i="95"/>
  <c r="I1590" i="95" s="1"/>
  <c r="H1189" i="95"/>
  <c r="H1188" i="95" s="1"/>
  <c r="I1191" i="95"/>
  <c r="C1282" i="95"/>
  <c r="C1083" i="95" s="1"/>
  <c r="D154" i="24" s="1"/>
  <c r="I1466" i="95"/>
  <c r="H1464" i="95"/>
  <c r="H1453" i="95" s="1"/>
  <c r="K1490" i="95"/>
  <c r="I1533" i="95"/>
  <c r="H1531" i="95"/>
  <c r="D1357" i="95"/>
  <c r="D1348" i="95" s="1"/>
  <c r="M1098" i="95"/>
  <c r="F1120" i="95"/>
  <c r="F1735" i="95"/>
  <c r="G1737" i="95"/>
  <c r="I1249" i="95"/>
  <c r="H1247" i="95"/>
  <c r="J1503" i="95"/>
  <c r="I1501" i="95"/>
  <c r="P1128" i="95"/>
  <c r="H1378" i="95"/>
  <c r="G1376" i="95"/>
  <c r="I1635" i="95"/>
  <c r="H1634" i="95"/>
  <c r="G1229" i="95"/>
  <c r="F1225" i="95"/>
  <c r="F1224" i="95" s="1"/>
  <c r="I1201" i="95"/>
  <c r="H1199" i="95"/>
  <c r="K1498" i="95"/>
  <c r="L1499" i="95"/>
  <c r="I1495" i="95"/>
  <c r="J1496" i="95"/>
  <c r="K1672" i="95"/>
  <c r="M702" i="95"/>
  <c r="P1564" i="95"/>
  <c r="F1363" i="95"/>
  <c r="E1361" i="95"/>
  <c r="F1024" i="95"/>
  <c r="J1512" i="95"/>
  <c r="I1510" i="95"/>
  <c r="H1699" i="95"/>
  <c r="G1697" i="95"/>
  <c r="F1147" i="95"/>
  <c r="F1146" i="95" s="1"/>
  <c r="G1149" i="95"/>
  <c r="M1520" i="95"/>
  <c r="J1607" i="95"/>
  <c r="I1605" i="95"/>
  <c r="P1706" i="95"/>
  <c r="F1356" i="95"/>
  <c r="E1354" i="95"/>
  <c r="E1353" i="95" s="1"/>
  <c r="H1708" i="95"/>
  <c r="G1704" i="95"/>
  <c r="F1360" i="95"/>
  <c r="E1358" i="95"/>
  <c r="J1508" i="95"/>
  <c r="I1507" i="95"/>
  <c r="H1123" i="95"/>
  <c r="G1121" i="95"/>
  <c r="L1092" i="95"/>
  <c r="K1118" i="95"/>
  <c r="K1117" i="95" s="1"/>
  <c r="M1538" i="95"/>
  <c r="F1076" i="95"/>
  <c r="H1595" i="95"/>
  <c r="I1597" i="95"/>
  <c r="L1724" i="95"/>
  <c r="K1722" i="95"/>
  <c r="I1659" i="95"/>
  <c r="H1658" i="95"/>
  <c r="K1327" i="95"/>
  <c r="J1325" i="95"/>
  <c r="I954" i="95"/>
  <c r="H1126" i="95"/>
  <c r="G1124" i="95"/>
  <c r="G1237" i="95"/>
  <c r="F1233" i="95"/>
  <c r="G1375" i="95"/>
  <c r="F1373" i="95"/>
  <c r="M1514" i="95"/>
  <c r="I1685" i="95"/>
  <c r="J1687" i="95"/>
  <c r="J1129" i="95"/>
  <c r="I1127" i="95"/>
  <c r="J1691" i="95"/>
  <c r="J1717" i="95"/>
  <c r="J1716" i="95" s="1"/>
  <c r="K1692" i="95"/>
  <c r="J1742" i="95"/>
  <c r="H1047" i="95"/>
  <c r="I1049" i="95"/>
  <c r="K1647" i="95"/>
  <c r="H1315" i="95"/>
  <c r="G1313" i="95"/>
  <c r="I1439" i="95"/>
  <c r="H1437" i="95"/>
  <c r="M1115" i="95"/>
  <c r="H1143" i="95"/>
  <c r="G1141" i="95"/>
  <c r="G1140" i="95" s="1"/>
  <c r="I1632" i="95"/>
  <c r="H1631" i="95"/>
  <c r="J1599" i="95"/>
  <c r="I1622" i="95"/>
  <c r="I1489" i="95"/>
  <c r="I1543" i="95"/>
  <c r="I1612" i="95"/>
  <c r="I1611" i="95" s="1"/>
  <c r="K1333" i="95"/>
  <c r="J1331" i="95"/>
  <c r="Q1068" i="95"/>
  <c r="H1739" i="95"/>
  <c r="H1738" i="95" s="1"/>
  <c r="H1688" i="95"/>
  <c r="H1711" i="95"/>
  <c r="H1710" i="95" s="1"/>
  <c r="I1689" i="95"/>
  <c r="L1565" i="95"/>
  <c r="K1562" i="95"/>
  <c r="G1261" i="95"/>
  <c r="H1263" i="95"/>
  <c r="H1206" i="95"/>
  <c r="K1339" i="95"/>
  <c r="J1337" i="95"/>
  <c r="G1694" i="95"/>
  <c r="H1696" i="95"/>
  <c r="M1197" i="95"/>
  <c r="F1079" i="95"/>
  <c r="E1077" i="95"/>
  <c r="N1511" i="95"/>
  <c r="H1280" i="95"/>
  <c r="G1278" i="95"/>
  <c r="L1556" i="95"/>
  <c r="K1554" i="95"/>
  <c r="H1303" i="95"/>
  <c r="Q1204" i="95"/>
  <c r="I1649" i="95"/>
  <c r="J1650" i="95"/>
  <c r="K1584" i="95"/>
  <c r="J1582" i="95"/>
  <c r="G1319" i="95"/>
  <c r="H1321" i="95"/>
  <c r="I1628" i="95"/>
  <c r="J1629" i="95"/>
  <c r="K1211" i="95"/>
  <c r="J1209" i="95"/>
  <c r="J1036" i="95"/>
  <c r="J1456" i="95"/>
  <c r="I1454" i="95"/>
  <c r="H1106" i="95"/>
  <c r="G1104" i="95"/>
  <c r="I1198" i="95"/>
  <c r="H1196" i="95"/>
  <c r="I1662" i="95"/>
  <c r="H1661" i="95"/>
  <c r="H1434" i="95"/>
  <c r="I1435" i="95"/>
  <c r="H1159" i="95"/>
  <c r="G1157" i="95"/>
  <c r="G1156" i="95" s="1"/>
  <c r="M1294" i="95"/>
  <c r="M1293" i="95" s="1"/>
  <c r="N1296" i="95"/>
  <c r="K1472" i="95"/>
  <c r="J1470" i="95"/>
  <c r="J1469" i="95" s="1"/>
  <c r="J1309" i="95"/>
  <c r="L1532" i="95"/>
  <c r="H1116" i="95"/>
  <c r="G1114" i="95"/>
  <c r="G1110" i="95" s="1"/>
  <c r="E1367" i="95"/>
  <c r="F1369" i="95"/>
  <c r="H1751" i="95"/>
  <c r="I158" i="24" s="1"/>
  <c r="I1753" i="95"/>
  <c r="I1419" i="95"/>
  <c r="H1418" i="95"/>
  <c r="H1417" i="95" s="1"/>
  <c r="J1477" i="95"/>
  <c r="K1478" i="95"/>
  <c r="I1550" i="95"/>
  <c r="I1549" i="95" s="1"/>
  <c r="J1552" i="95"/>
  <c r="J1515" i="95"/>
  <c r="I1513" i="95"/>
  <c r="J1392" i="95"/>
  <c r="I1406" i="95"/>
  <c r="I770" i="95"/>
  <c r="J755" i="95"/>
  <c r="G1221" i="95"/>
  <c r="F1217" i="95"/>
  <c r="F1216" i="95" s="1"/>
  <c r="H1655" i="95"/>
  <c r="I1657" i="95"/>
  <c r="G1620" i="95"/>
  <c r="F1618" i="95"/>
  <c r="I1488" i="95"/>
  <c r="H1486" i="95"/>
  <c r="L1502" i="95"/>
  <c r="H1441" i="95"/>
  <c r="I1443" i="95"/>
  <c r="F1669" i="95"/>
  <c r="F1668" i="95" s="1"/>
  <c r="F1664" i="95" s="1"/>
  <c r="M1163" i="95"/>
  <c r="H1444" i="95"/>
  <c r="I1446" i="95"/>
  <c r="M1483" i="95"/>
  <c r="N1484" i="95"/>
  <c r="E1744" i="95"/>
  <c r="E1734" i="95" s="1"/>
  <c r="F1746" i="95"/>
  <c r="G1352" i="95"/>
  <c r="F1350" i="95"/>
  <c r="F1349" i="95" s="1"/>
  <c r="F1372" i="95"/>
  <c r="E1370" i="95"/>
  <c r="E1283" i="95" l="1"/>
  <c r="E1282" i="95" s="1"/>
  <c r="I1626" i="95"/>
  <c r="I1666" i="95" s="1"/>
  <c r="I1665" i="95" s="1"/>
  <c r="G1684" i="95"/>
  <c r="G1701" i="95" s="1"/>
  <c r="G1700" i="95" s="1"/>
  <c r="F1617" i="95"/>
  <c r="I1604" i="95"/>
  <c r="J1544" i="95"/>
  <c r="J1543" i="95" s="1"/>
  <c r="J1475" i="95"/>
  <c r="H1476" i="95"/>
  <c r="H1427" i="95"/>
  <c r="I1411" i="95"/>
  <c r="J1409" i="95"/>
  <c r="F1080" i="95"/>
  <c r="G1082" i="95"/>
  <c r="J849" i="95"/>
  <c r="J446" i="95"/>
  <c r="H1407" i="95"/>
  <c r="H1395" i="95"/>
  <c r="H1394" i="95" s="1"/>
  <c r="H1390" i="95"/>
  <c r="H1389" i="95" s="1"/>
  <c r="J439" i="95"/>
  <c r="J452" i="95"/>
  <c r="G1401" i="95"/>
  <c r="G1400" i="95" s="1"/>
  <c r="I1748" i="95"/>
  <c r="I1747" i="95" s="1"/>
  <c r="I1729" i="95"/>
  <c r="H1202" i="95"/>
  <c r="I1534" i="95"/>
  <c r="F1232" i="95"/>
  <c r="F1215" i="95" s="1"/>
  <c r="J984" i="95"/>
  <c r="J950" i="95"/>
  <c r="K933" i="95"/>
  <c r="J963" i="95"/>
  <c r="J1004" i="95"/>
  <c r="J1016" i="95" s="1"/>
  <c r="J994" i="95"/>
  <c r="J767" i="95"/>
  <c r="K754" i="95"/>
  <c r="H1447" i="95"/>
  <c r="H1440" i="95" s="1"/>
  <c r="H1451" i="95" s="1"/>
  <c r="H1450" i="95" s="1"/>
  <c r="I1449" i="95"/>
  <c r="K1644" i="95"/>
  <c r="J1643" i="95"/>
  <c r="G1100" i="95"/>
  <c r="I1344" i="95"/>
  <c r="H1342" i="95"/>
  <c r="D1625" i="95"/>
  <c r="E157" i="24" s="1"/>
  <c r="E1300" i="95"/>
  <c r="H1172" i="95"/>
  <c r="F1095" i="95"/>
  <c r="G1602" i="95"/>
  <c r="G1601" i="95" s="1"/>
  <c r="K452" i="95"/>
  <c r="L432" i="95"/>
  <c r="K446" i="95"/>
  <c r="K439" i="95"/>
  <c r="I1103" i="95"/>
  <c r="H1101" i="95"/>
  <c r="K1539" i="95"/>
  <c r="J1537" i="95"/>
  <c r="J1676" i="95"/>
  <c r="I1674" i="95"/>
  <c r="L1109" i="95"/>
  <c r="K1107" i="95"/>
  <c r="J1195" i="95"/>
  <c r="I1193" i="95"/>
  <c r="J1181" i="95"/>
  <c r="I1180" i="95"/>
  <c r="I1179" i="95" s="1"/>
  <c r="G1070" i="95"/>
  <c r="F1066" i="95"/>
  <c r="I1522" i="95"/>
  <c r="J1524" i="95"/>
  <c r="J1165" i="95"/>
  <c r="G1311" i="95"/>
  <c r="F1307" i="95"/>
  <c r="G1305" i="95"/>
  <c r="F1301" i="95"/>
  <c r="I1600" i="95"/>
  <c r="H1598" i="95"/>
  <c r="H1594" i="95" s="1"/>
  <c r="O1588" i="95"/>
  <c r="N1586" i="95"/>
  <c r="M16" i="95"/>
  <c r="L39" i="95"/>
  <c r="L1171" i="95"/>
  <c r="K1169" i="95"/>
  <c r="G1120" i="95"/>
  <c r="D1083" i="95"/>
  <c r="E154" i="24" s="1"/>
  <c r="F1732" i="95"/>
  <c r="E1728" i="95"/>
  <c r="E1703" i="95" s="1"/>
  <c r="K1536" i="95"/>
  <c r="J1534" i="95"/>
  <c r="I182" i="79"/>
  <c r="J182" i="79" s="1"/>
  <c r="H180" i="79"/>
  <c r="H176" i="79" s="1"/>
  <c r="H156" i="79" s="1"/>
  <c r="H1124" i="95"/>
  <c r="I1126" i="95"/>
  <c r="J1659" i="95"/>
  <c r="I1658" i="95"/>
  <c r="Q1128" i="95"/>
  <c r="L350" i="95"/>
  <c r="K393" i="95"/>
  <c r="K252" i="95"/>
  <c r="K416" i="95"/>
  <c r="M1461" i="95"/>
  <c r="L1459" i="95"/>
  <c r="J1492" i="95"/>
  <c r="K1493" i="95"/>
  <c r="G1669" i="95"/>
  <c r="G1668" i="95" s="1"/>
  <c r="G1664" i="95" s="1"/>
  <c r="N1483" i="95"/>
  <c r="O1484" i="95"/>
  <c r="L1472" i="95"/>
  <c r="K1470" i="95"/>
  <c r="K1469" i="95" s="1"/>
  <c r="I1661" i="95"/>
  <c r="J1662" i="95"/>
  <c r="L1211" i="95"/>
  <c r="K1209" i="95"/>
  <c r="I1315" i="95"/>
  <c r="H1313" i="95"/>
  <c r="K1607" i="95"/>
  <c r="J1605" i="95"/>
  <c r="H1149" i="95"/>
  <c r="G1147" i="95"/>
  <c r="G1146" i="95" s="1"/>
  <c r="G1024" i="95"/>
  <c r="K1289" i="95"/>
  <c r="J1287" i="95"/>
  <c r="J1286" i="95" s="1"/>
  <c r="K1214" i="95"/>
  <c r="J1212" i="95"/>
  <c r="K1205" i="95"/>
  <c r="J1203" i="95"/>
  <c r="K1105" i="95"/>
  <c r="L1089" i="95"/>
  <c r="N1115" i="95"/>
  <c r="Q1564" i="95"/>
  <c r="J1466" i="95"/>
  <c r="I1464" i="95"/>
  <c r="I1453" i="95" s="1"/>
  <c r="J1637" i="95"/>
  <c r="K1638" i="95"/>
  <c r="J817" i="95"/>
  <c r="J796" i="95"/>
  <c r="K757" i="95"/>
  <c r="J837" i="95"/>
  <c r="J827" i="95"/>
  <c r="J783" i="95"/>
  <c r="M1438" i="95"/>
  <c r="I1390" i="95"/>
  <c r="I1389" i="95" s="1"/>
  <c r="I1407" i="95"/>
  <c r="J1391" i="95"/>
  <c r="M1556" i="95"/>
  <c r="L1554" i="95"/>
  <c r="K1129" i="95"/>
  <c r="J1127" i="95"/>
  <c r="J1597" i="95"/>
  <c r="I1595" i="95"/>
  <c r="E1357" i="95"/>
  <c r="E1348" i="95" s="1"/>
  <c r="I1708" i="95"/>
  <c r="H1704" i="95"/>
  <c r="L1498" i="95"/>
  <c r="M1499" i="95"/>
  <c r="J1673" i="95"/>
  <c r="I1671" i="95"/>
  <c r="J1504" i="95"/>
  <c r="K1505" i="95"/>
  <c r="I1106" i="95"/>
  <c r="H1104" i="95"/>
  <c r="R1204" i="95"/>
  <c r="L1647" i="95"/>
  <c r="K1687" i="95"/>
  <c r="J1685" i="95"/>
  <c r="G1076" i="95"/>
  <c r="G1360" i="95"/>
  <c r="F1358" i="95"/>
  <c r="L1672" i="95"/>
  <c r="J1099" i="95"/>
  <c r="I1097" i="95"/>
  <c r="I1096" i="95" s="1"/>
  <c r="N1432" i="95"/>
  <c r="M1431" i="95"/>
  <c r="H1743" i="95"/>
  <c r="G1741" i="95"/>
  <c r="G1640" i="95"/>
  <c r="G1627" i="95" s="1"/>
  <c r="I1444" i="95"/>
  <c r="J1446" i="95"/>
  <c r="I1280" i="95"/>
  <c r="H1278" i="95"/>
  <c r="G1079" i="95"/>
  <c r="F1077" i="95"/>
  <c r="I1696" i="95"/>
  <c r="H1694" i="95"/>
  <c r="G1363" i="95"/>
  <c r="F1361" i="95"/>
  <c r="G1366" i="95"/>
  <c r="F1364" i="95"/>
  <c r="N1194" i="95"/>
  <c r="L1529" i="95"/>
  <c r="K1528" i="95"/>
  <c r="J1678" i="95"/>
  <c r="I1677" i="95"/>
  <c r="J1164" i="95"/>
  <c r="I1162" i="95"/>
  <c r="I1161" i="95" s="1"/>
  <c r="I1160" i="95" s="1"/>
  <c r="N1197" i="95"/>
  <c r="J1632" i="95"/>
  <c r="I1631" i="95"/>
  <c r="J1439" i="95"/>
  <c r="I1437" i="95"/>
  <c r="I1047" i="95"/>
  <c r="J1049" i="95"/>
  <c r="I1123" i="95"/>
  <c r="H1121" i="95"/>
  <c r="H1229" i="95"/>
  <c r="G1225" i="95"/>
  <c r="G1224" i="95" s="1"/>
  <c r="I1634" i="95"/>
  <c r="J1635" i="95"/>
  <c r="K1503" i="95"/>
  <c r="J1501" i="95"/>
  <c r="J1191" i="95"/>
  <c r="I1189" i="95"/>
  <c r="I1188" i="95" s="1"/>
  <c r="J1151" i="95"/>
  <c r="I1150" i="95"/>
  <c r="Q1574" i="95"/>
  <c r="R1576" i="95"/>
  <c r="L1487" i="95"/>
  <c r="F1030" i="95"/>
  <c r="K1227" i="95"/>
  <c r="J1136" i="95"/>
  <c r="I1134" i="95"/>
  <c r="I1133" i="95" s="1"/>
  <c r="G1254" i="95"/>
  <c r="H1256" i="95"/>
  <c r="H1352" i="95"/>
  <c r="G1350" i="95"/>
  <c r="G1349" i="95" s="1"/>
  <c r="J1657" i="95"/>
  <c r="I1655" i="95"/>
  <c r="H1192" i="95"/>
  <c r="K1456" i="95"/>
  <c r="J1454" i="95"/>
  <c r="O1511" i="95"/>
  <c r="H1375" i="95"/>
  <c r="G1373" i="95"/>
  <c r="G1356" i="95"/>
  <c r="F1354" i="95"/>
  <c r="F1353" i="95" s="1"/>
  <c r="K1496" i="95"/>
  <c r="J1495" i="95"/>
  <c r="J1177" i="95"/>
  <c r="I1174" i="95"/>
  <c r="I1173" i="95" s="1"/>
  <c r="I1184" i="95"/>
  <c r="I1183" i="95" s="1"/>
  <c r="O1535" i="95"/>
  <c r="H1730" i="95"/>
  <c r="J466" i="95"/>
  <c r="L1584" i="95"/>
  <c r="K1582" i="95"/>
  <c r="K1428" i="95"/>
  <c r="L1429" i="95"/>
  <c r="J1550" i="95"/>
  <c r="J1549" i="95" s="1"/>
  <c r="K1552" i="95"/>
  <c r="H1620" i="95"/>
  <c r="G1618" i="95"/>
  <c r="K1629" i="95"/>
  <c r="J1628" i="95"/>
  <c r="J1533" i="95"/>
  <c r="I1531" i="95"/>
  <c r="M1707" i="95"/>
  <c r="I1116" i="95"/>
  <c r="H1114" i="95"/>
  <c r="H1110" i="95" s="1"/>
  <c r="L1339" i="95"/>
  <c r="K1337" i="95"/>
  <c r="J1591" i="95"/>
  <c r="J1590" i="95" s="1"/>
  <c r="K1592" i="95"/>
  <c r="J770" i="95"/>
  <c r="K755" i="95"/>
  <c r="J1198" i="95"/>
  <c r="I1196" i="95"/>
  <c r="I1303" i="95"/>
  <c r="J954" i="95"/>
  <c r="J1507" i="95"/>
  <c r="K1508" i="95"/>
  <c r="I1699" i="95"/>
  <c r="H1697" i="95"/>
  <c r="J1249" i="95"/>
  <c r="I1247" i="95"/>
  <c r="N1098" i="95"/>
  <c r="K1270" i="95"/>
  <c r="J1268" i="95"/>
  <c r="M1235" i="95"/>
  <c r="L1653" i="95"/>
  <c r="K1652" i="95"/>
  <c r="K1521" i="95"/>
  <c r="J1519" i="95"/>
  <c r="O1213" i="95"/>
  <c r="N1517" i="95"/>
  <c r="M1565" i="95"/>
  <c r="L1562" i="95"/>
  <c r="K1650" i="95"/>
  <c r="J1649" i="95"/>
  <c r="M1092" i="95"/>
  <c r="L1118" i="95"/>
  <c r="L1117" i="95" s="1"/>
  <c r="M1724" i="95"/>
  <c r="L1722" i="95"/>
  <c r="E1474" i="95"/>
  <c r="F156" i="24" s="1"/>
  <c r="G1372" i="95"/>
  <c r="F1370" i="95"/>
  <c r="I1441" i="95"/>
  <c r="J1443" i="95"/>
  <c r="J1419" i="95"/>
  <c r="I1418" i="95"/>
  <c r="I1417" i="95" s="1"/>
  <c r="O1296" i="95"/>
  <c r="N1294" i="95"/>
  <c r="N1293" i="95" s="1"/>
  <c r="I1739" i="95"/>
  <c r="I1738" i="95" s="1"/>
  <c r="I1688" i="95"/>
  <c r="J1689" i="95"/>
  <c r="J1626" i="95" s="1"/>
  <c r="I1711" i="95"/>
  <c r="I1710" i="95" s="1"/>
  <c r="J1201" i="95"/>
  <c r="I1199" i="95"/>
  <c r="H1623" i="95"/>
  <c r="G1621" i="95"/>
  <c r="G1746" i="95"/>
  <c r="F1744" i="95"/>
  <c r="F1734" i="95" s="1"/>
  <c r="G1369" i="95"/>
  <c r="F1367" i="95"/>
  <c r="J1435" i="95"/>
  <c r="I1434" i="95"/>
  <c r="M1502" i="95"/>
  <c r="K1036" i="95"/>
  <c r="I1263" i="95"/>
  <c r="H1261" i="95"/>
  <c r="N1520" i="95"/>
  <c r="H1737" i="95"/>
  <c r="G1735" i="95"/>
  <c r="P1200" i="95"/>
  <c r="P1560" i="95"/>
  <c r="O1558" i="95"/>
  <c r="N1572" i="95"/>
  <c r="M1570" i="95"/>
  <c r="K1132" i="95"/>
  <c r="J1130" i="95"/>
  <c r="L753" i="95"/>
  <c r="K764" i="95"/>
  <c r="P1207" i="95"/>
  <c r="O1580" i="95"/>
  <c r="N1578" i="95"/>
  <c r="L1481" i="95"/>
  <c r="K1480" i="95"/>
  <c r="J1488" i="95"/>
  <c r="I1486" i="95"/>
  <c r="L1168" i="95"/>
  <c r="K1166" i="95"/>
  <c r="L1333" i="95"/>
  <c r="K1331" i="95"/>
  <c r="L1641" i="95"/>
  <c r="J1406" i="95"/>
  <c r="K1392" i="95"/>
  <c r="J1748" i="95"/>
  <c r="J1747" i="95" s="1"/>
  <c r="J1729" i="95"/>
  <c r="K1698" i="95"/>
  <c r="L1242" i="95"/>
  <c r="K1240" i="95"/>
  <c r="P1210" i="95"/>
  <c r="K1515" i="95"/>
  <c r="J1513" i="95"/>
  <c r="I1751" i="95"/>
  <c r="J158" i="24" s="1"/>
  <c r="J1753" i="95"/>
  <c r="H1221" i="95"/>
  <c r="G1217" i="95"/>
  <c r="G1216" i="95" s="1"/>
  <c r="K1309" i="95"/>
  <c r="N1514" i="95"/>
  <c r="H1237" i="95"/>
  <c r="G1233" i="95"/>
  <c r="L1327" i="95"/>
  <c r="K1325" i="95"/>
  <c r="Q1706" i="95"/>
  <c r="K1512" i="95"/>
  <c r="J1510" i="95"/>
  <c r="I1378" i="95"/>
  <c r="H1376" i="95"/>
  <c r="L1490" i="95"/>
  <c r="J1648" i="95"/>
  <c r="I1646" i="95"/>
  <c r="J1416" i="95"/>
  <c r="K1682" i="95"/>
  <c r="J1681" i="95"/>
  <c r="J1680" i="95" s="1"/>
  <c r="Q1131" i="95"/>
  <c r="J1111" i="95"/>
  <c r="K1113" i="95"/>
  <c r="L1541" i="95"/>
  <c r="K1540" i="95"/>
  <c r="L1478" i="95"/>
  <c r="K1477" i="95"/>
  <c r="K1526" i="95"/>
  <c r="J1525" i="95"/>
  <c r="L1568" i="95"/>
  <c r="K1566" i="95"/>
  <c r="M1532" i="95"/>
  <c r="I1321" i="95"/>
  <c r="H1319" i="95"/>
  <c r="N1163" i="95"/>
  <c r="F1701" i="95"/>
  <c r="F1700" i="95" s="1"/>
  <c r="I1159" i="95"/>
  <c r="H1157" i="95"/>
  <c r="H1156" i="95" s="1"/>
  <c r="I1206" i="95"/>
  <c r="I1202" i="95" s="1"/>
  <c r="R1068" i="95"/>
  <c r="J1622" i="95"/>
  <c r="J1612" i="95"/>
  <c r="J1611" i="95" s="1"/>
  <c r="K1599" i="95"/>
  <c r="J1489" i="95"/>
  <c r="H1141" i="95"/>
  <c r="H1140" i="95" s="1"/>
  <c r="I1143" i="95"/>
  <c r="K1717" i="95"/>
  <c r="K1716" i="95" s="1"/>
  <c r="K1742" i="95"/>
  <c r="K1691" i="95"/>
  <c r="L1692" i="95"/>
  <c r="N1538" i="95"/>
  <c r="N702" i="95"/>
  <c r="L1219" i="95"/>
  <c r="J1518" i="95"/>
  <c r="I1516" i="95"/>
  <c r="O1745" i="95"/>
  <c r="O1723" i="95"/>
  <c r="P1695" i="95"/>
  <c r="I1396" i="95"/>
  <c r="I1415" i="95"/>
  <c r="I1414" i="95" s="1"/>
  <c r="I1413" i="95" s="1"/>
  <c r="I1387" i="95"/>
  <c r="I1386" i="95" s="1"/>
  <c r="I1385" i="95" s="1"/>
  <c r="J1383" i="95"/>
  <c r="I1425" i="95"/>
  <c r="I1424" i="95" s="1"/>
  <c r="O1548" i="95"/>
  <c r="N1546" i="95"/>
  <c r="J1275" i="95"/>
  <c r="K1277" i="95"/>
  <c r="E1285" i="95" l="1"/>
  <c r="E1083" i="95" s="1"/>
  <c r="F154" i="24" s="1"/>
  <c r="H1684" i="95"/>
  <c r="H1701" i="95" s="1"/>
  <c r="H1700" i="95" s="1"/>
  <c r="G1617" i="95"/>
  <c r="J1604" i="95"/>
  <c r="K1475" i="95"/>
  <c r="K1544" i="95"/>
  <c r="K1543" i="95" s="1"/>
  <c r="I1427" i="95"/>
  <c r="I1476" i="95"/>
  <c r="J1411" i="95"/>
  <c r="K1409" i="95"/>
  <c r="H1082" i="95"/>
  <c r="G1080" i="95"/>
  <c r="K849" i="95"/>
  <c r="H1187" i="95"/>
  <c r="H1401" i="95"/>
  <c r="H1400" i="95" s="1"/>
  <c r="K182" i="79"/>
  <c r="J180" i="79"/>
  <c r="J176" i="79" s="1"/>
  <c r="J156" i="79" s="1"/>
  <c r="G1095" i="95"/>
  <c r="J1449" i="95"/>
  <c r="I1447" i="95"/>
  <c r="I1440" i="95" s="1"/>
  <c r="I1451" i="95" s="1"/>
  <c r="I1450" i="95" s="1"/>
  <c r="K767" i="95"/>
  <c r="L754" i="95"/>
  <c r="E1625" i="95"/>
  <c r="F157" i="24" s="1"/>
  <c r="G1232" i="95"/>
  <c r="G1215" i="95" s="1"/>
  <c r="K994" i="95"/>
  <c r="K950" i="95"/>
  <c r="K963" i="95"/>
  <c r="L933" i="95"/>
  <c r="K984" i="95"/>
  <c r="K1004" i="95"/>
  <c r="K1016" i="95" s="1"/>
  <c r="I1342" i="95"/>
  <c r="J1344" i="95"/>
  <c r="L1644" i="95"/>
  <c r="K1643" i="95"/>
  <c r="F1300" i="95"/>
  <c r="F1285" i="95" s="1"/>
  <c r="H1100" i="95"/>
  <c r="H1120" i="95"/>
  <c r="L446" i="95"/>
  <c r="L439" i="95"/>
  <c r="M432" i="95"/>
  <c r="L452" i="95"/>
  <c r="H1602" i="95"/>
  <c r="H1601" i="95" s="1"/>
  <c r="I1101" i="95"/>
  <c r="J1103" i="95"/>
  <c r="G1732" i="95"/>
  <c r="F1728" i="95"/>
  <c r="F1703" i="95" s="1"/>
  <c r="K1676" i="95"/>
  <c r="J1674" i="95"/>
  <c r="M1171" i="95"/>
  <c r="L1169" i="95"/>
  <c r="K1165" i="95"/>
  <c r="N16" i="95"/>
  <c r="M39" i="95"/>
  <c r="H1311" i="95"/>
  <c r="G1307" i="95"/>
  <c r="H1070" i="95"/>
  <c r="G1066" i="95"/>
  <c r="K1195" i="95"/>
  <c r="J1193" i="95"/>
  <c r="L1536" i="95"/>
  <c r="K1534" i="95"/>
  <c r="L1539" i="95"/>
  <c r="K1537" i="95"/>
  <c r="H1305" i="95"/>
  <c r="G1301" i="95"/>
  <c r="O1586" i="95"/>
  <c r="P1588" i="95"/>
  <c r="J1522" i="95"/>
  <c r="K1524" i="95"/>
  <c r="I1395" i="95"/>
  <c r="I1394" i="95" s="1"/>
  <c r="F1474" i="95"/>
  <c r="G156" i="24" s="1"/>
  <c r="M1109" i="95"/>
  <c r="L1107" i="95"/>
  <c r="J1600" i="95"/>
  <c r="I1598" i="95"/>
  <c r="I1594" i="95" s="1"/>
  <c r="J1180" i="95"/>
  <c r="J1179" i="95" s="1"/>
  <c r="K1181" i="95"/>
  <c r="I180" i="79"/>
  <c r="I176" i="79" s="1"/>
  <c r="I156" i="79" s="1"/>
  <c r="L1309" i="95"/>
  <c r="M1339" i="95"/>
  <c r="L1337" i="95"/>
  <c r="M1219" i="95"/>
  <c r="K954" i="95"/>
  <c r="K1657" i="95"/>
  <c r="J1655" i="95"/>
  <c r="K1151" i="95"/>
  <c r="J1150" i="95"/>
  <c r="G1364" i="95"/>
  <c r="H1366" i="95"/>
  <c r="H1079" i="95"/>
  <c r="G1077" i="95"/>
  <c r="J1595" i="95"/>
  <c r="K1597" i="95"/>
  <c r="K1287" i="95"/>
  <c r="K1286" i="95" s="1"/>
  <c r="L1289" i="95"/>
  <c r="J1396" i="95"/>
  <c r="K1383" i="95"/>
  <c r="J1425" i="95"/>
  <c r="J1424" i="95" s="1"/>
  <c r="J1387" i="95"/>
  <c r="J1386" i="95" s="1"/>
  <c r="J1385" i="95" s="1"/>
  <c r="J1415" i="95"/>
  <c r="J1414" i="95" s="1"/>
  <c r="J1413" i="95" s="1"/>
  <c r="L1742" i="95"/>
  <c r="L1691" i="95"/>
  <c r="L1717" i="95"/>
  <c r="L1716" i="95" s="1"/>
  <c r="M1692" i="95"/>
  <c r="J1159" i="95"/>
  <c r="I1157" i="95"/>
  <c r="I1156" i="95" s="1"/>
  <c r="M1541" i="95"/>
  <c r="L1540" i="95"/>
  <c r="M1327" i="95"/>
  <c r="L1325" i="95"/>
  <c r="L1036" i="95"/>
  <c r="J1434" i="95"/>
  <c r="K1435" i="95"/>
  <c r="I1623" i="95"/>
  <c r="H1621" i="95"/>
  <c r="L1650" i="95"/>
  <c r="K1649" i="95"/>
  <c r="P1213" i="95"/>
  <c r="K1632" i="95"/>
  <c r="J1631" i="95"/>
  <c r="J1106" i="95"/>
  <c r="I1104" i="95"/>
  <c r="J1315" i="95"/>
  <c r="I1313" i="95"/>
  <c r="K1275" i="95"/>
  <c r="L1277" i="95"/>
  <c r="J1321" i="95"/>
  <c r="I1319" i="95"/>
  <c r="K1525" i="95"/>
  <c r="L1526" i="95"/>
  <c r="J1378" i="95"/>
  <c r="I1376" i="95"/>
  <c r="I1221" i="95"/>
  <c r="H1217" i="95"/>
  <c r="H1216" i="95" s="1"/>
  <c r="I1737" i="95"/>
  <c r="H1735" i="95"/>
  <c r="N1502" i="95"/>
  <c r="J1699" i="95"/>
  <c r="I1697" i="95"/>
  <c r="K1628" i="95"/>
  <c r="L1629" i="95"/>
  <c r="I1172" i="95"/>
  <c r="I1375" i="95"/>
  <c r="H1373" i="95"/>
  <c r="K1191" i="95"/>
  <c r="J1189" i="95"/>
  <c r="J1188" i="95" s="1"/>
  <c r="I1229" i="95"/>
  <c r="H1225" i="95"/>
  <c r="H1224" i="95" s="1"/>
  <c r="J1123" i="95"/>
  <c r="I1121" i="95"/>
  <c r="H1363" i="95"/>
  <c r="G1361" i="95"/>
  <c r="J1280" i="95"/>
  <c r="I1278" i="95"/>
  <c r="L1105" i="95"/>
  <c r="M1089" i="95"/>
  <c r="K1612" i="95"/>
  <c r="K1611" i="95" s="1"/>
  <c r="L1599" i="95"/>
  <c r="K1622" i="95"/>
  <c r="K1489" i="95"/>
  <c r="N1724" i="95"/>
  <c r="M1722" i="95"/>
  <c r="L1652" i="95"/>
  <c r="M1653" i="95"/>
  <c r="K770" i="95"/>
  <c r="L755" i="95"/>
  <c r="N1707" i="95"/>
  <c r="J1634" i="95"/>
  <c r="K1635" i="95"/>
  <c r="K1439" i="95"/>
  <c r="J1437" i="95"/>
  <c r="J1390" i="95"/>
  <c r="J1389" i="95" s="1"/>
  <c r="J1407" i="95"/>
  <c r="K1391" i="95"/>
  <c r="K1637" i="95"/>
  <c r="L1638" i="95"/>
  <c r="H1669" i="95"/>
  <c r="H1668" i="95" s="1"/>
  <c r="H1664" i="95" s="1"/>
  <c r="M1568" i="95"/>
  <c r="L1566" i="95"/>
  <c r="L1240" i="95"/>
  <c r="M1242" i="95"/>
  <c r="L764" i="95"/>
  <c r="M753" i="95"/>
  <c r="Q1200" i="95"/>
  <c r="L1512" i="95"/>
  <c r="K1510" i="95"/>
  <c r="H1369" i="95"/>
  <c r="G1367" i="95"/>
  <c r="K1201" i="95"/>
  <c r="J1199" i="95"/>
  <c r="N1235" i="95"/>
  <c r="L1508" i="95"/>
  <c r="K1507" i="95"/>
  <c r="J1116" i="95"/>
  <c r="I1114" i="95"/>
  <c r="I1110" i="95" s="1"/>
  <c r="L1552" i="95"/>
  <c r="K1550" i="95"/>
  <c r="K1549" i="95" s="1"/>
  <c r="K1177" i="95"/>
  <c r="J1174" i="95"/>
  <c r="J1173" i="95" s="1"/>
  <c r="J1184" i="95"/>
  <c r="J1183" i="95" s="1"/>
  <c r="O1197" i="95"/>
  <c r="L1687" i="95"/>
  <c r="K1685" i="95"/>
  <c r="N1438" i="95"/>
  <c r="R1564" i="95"/>
  <c r="O1483" i="95"/>
  <c r="P1484" i="95"/>
  <c r="K1492" i="95"/>
  <c r="L1493" i="95"/>
  <c r="M350" i="95"/>
  <c r="L252" i="95"/>
  <c r="L416" i="95"/>
  <c r="L393" i="95"/>
  <c r="K1729" i="95"/>
  <c r="K1748" i="95"/>
  <c r="K1747" i="95" s="1"/>
  <c r="L1698" i="95"/>
  <c r="L1392" i="95"/>
  <c r="K1406" i="95"/>
  <c r="K1488" i="95"/>
  <c r="J1486" i="95"/>
  <c r="K1591" i="95"/>
  <c r="K1590" i="95" s="1"/>
  <c r="L1592" i="95"/>
  <c r="I1730" i="95"/>
  <c r="G1030" i="95"/>
  <c r="K1673" i="95"/>
  <c r="J1671" i="95"/>
  <c r="M1498" i="95"/>
  <c r="N1499" i="95"/>
  <c r="L1129" i="95"/>
  <c r="K1127" i="95"/>
  <c r="O1163" i="95"/>
  <c r="L1132" i="95"/>
  <c r="K1130" i="95"/>
  <c r="O1098" i="95"/>
  <c r="M1584" i="95"/>
  <c r="L1582" i="95"/>
  <c r="K1136" i="95"/>
  <c r="J1134" i="95"/>
  <c r="J1133" i="95" s="1"/>
  <c r="M1647" i="95"/>
  <c r="H1024" i="95"/>
  <c r="M1211" i="95"/>
  <c r="L1209" i="95"/>
  <c r="O1514" i="95"/>
  <c r="N1565" i="95"/>
  <c r="M1562" i="95"/>
  <c r="L1270" i="95"/>
  <c r="K1268" i="95"/>
  <c r="I1620" i="95"/>
  <c r="H1618" i="95"/>
  <c r="M1487" i="95"/>
  <c r="K1678" i="95"/>
  <c r="J1677" i="95"/>
  <c r="J1444" i="95"/>
  <c r="K1446" i="95"/>
  <c r="I1743" i="95"/>
  <c r="H1741" i="95"/>
  <c r="M1672" i="95"/>
  <c r="L1205" i="95"/>
  <c r="K1203" i="95"/>
  <c r="K1662" i="95"/>
  <c r="J1661" i="95"/>
  <c r="K1659" i="95"/>
  <c r="J1658" i="95"/>
  <c r="J1206" i="95"/>
  <c r="J1202" i="95" s="1"/>
  <c r="L1113" i="95"/>
  <c r="K1111" i="95"/>
  <c r="L1515" i="95"/>
  <c r="K1513" i="95"/>
  <c r="M1481" i="95"/>
  <c r="L1480" i="95"/>
  <c r="H1746" i="95"/>
  <c r="G1744" i="95"/>
  <c r="G1734" i="95" s="1"/>
  <c r="L1521" i="95"/>
  <c r="K1519" i="95"/>
  <c r="K1533" i="95"/>
  <c r="J1531" i="95"/>
  <c r="L1428" i="95"/>
  <c r="M1429" i="95"/>
  <c r="P1535" i="95"/>
  <c r="P1511" i="95"/>
  <c r="L1227" i="95"/>
  <c r="L1503" i="95"/>
  <c r="K1501" i="95"/>
  <c r="K1049" i="95"/>
  <c r="J1047" i="95"/>
  <c r="F1357" i="95"/>
  <c r="F1348" i="95" s="1"/>
  <c r="K817" i="95"/>
  <c r="L757" i="95"/>
  <c r="K837" i="95"/>
  <c r="K783" i="95"/>
  <c r="K796" i="95"/>
  <c r="K827" i="95"/>
  <c r="I1149" i="95"/>
  <c r="H1147" i="95"/>
  <c r="H1146" i="95" s="1"/>
  <c r="J1143" i="95"/>
  <c r="I1141" i="95"/>
  <c r="I1140" i="95" s="1"/>
  <c r="M1478" i="95"/>
  <c r="L1477" i="95"/>
  <c r="K1648" i="95"/>
  <c r="J1646" i="95"/>
  <c r="R1706" i="95"/>
  <c r="L1331" i="95"/>
  <c r="M1333" i="95"/>
  <c r="O1572" i="95"/>
  <c r="N1570" i="95"/>
  <c r="J1739" i="95"/>
  <c r="J1738" i="95" s="1"/>
  <c r="K1689" i="95"/>
  <c r="K1626" i="95" s="1"/>
  <c r="J1711" i="95"/>
  <c r="J1710" i="95" s="1"/>
  <c r="J1666" i="95"/>
  <c r="J1665" i="95" s="1"/>
  <c r="J1688" i="95"/>
  <c r="J1303" i="95"/>
  <c r="S1576" i="95"/>
  <c r="R1574" i="95"/>
  <c r="M1529" i="95"/>
  <c r="L1528" i="95"/>
  <c r="O1432" i="95"/>
  <c r="N1431" i="95"/>
  <c r="H1360" i="95"/>
  <c r="G1358" i="95"/>
  <c r="O1115" i="95"/>
  <c r="L1166" i="95"/>
  <c r="M1168" i="95"/>
  <c r="F1283" i="95"/>
  <c r="F1282" i="95" s="1"/>
  <c r="K1419" i="95"/>
  <c r="J1418" i="95"/>
  <c r="J1417" i="95" s="1"/>
  <c r="L1456" i="95"/>
  <c r="K1454" i="95"/>
  <c r="S1204" i="95"/>
  <c r="K1443" i="95"/>
  <c r="J1441" i="95"/>
  <c r="H1372" i="95"/>
  <c r="G1370" i="95"/>
  <c r="L1505" i="95"/>
  <c r="K1504" i="95"/>
  <c r="P1548" i="95"/>
  <c r="O1546" i="95"/>
  <c r="S1068" i="95"/>
  <c r="O1520" i="95"/>
  <c r="K1099" i="95"/>
  <c r="J1097" i="95"/>
  <c r="J1096" i="95" s="1"/>
  <c r="K1249" i="95"/>
  <c r="J1247" i="95"/>
  <c r="K1518" i="95"/>
  <c r="J1516" i="95"/>
  <c r="O1538" i="95"/>
  <c r="M1641" i="95"/>
  <c r="I1261" i="95"/>
  <c r="J1263" i="95"/>
  <c r="M1118" i="95"/>
  <c r="M1117" i="95" s="1"/>
  <c r="N1092" i="95"/>
  <c r="I1192" i="95"/>
  <c r="I1187" i="95" s="1"/>
  <c r="K466" i="95"/>
  <c r="H1356" i="95"/>
  <c r="G1354" i="95"/>
  <c r="G1353" i="95" s="1"/>
  <c r="I1352" i="95"/>
  <c r="H1350" i="95"/>
  <c r="H1349" i="95" s="1"/>
  <c r="J1708" i="95"/>
  <c r="I1704" i="95"/>
  <c r="N1556" i="95"/>
  <c r="M1554" i="95"/>
  <c r="J1464" i="95"/>
  <c r="J1453" i="95" s="1"/>
  <c r="K1466" i="95"/>
  <c r="K1605" i="95"/>
  <c r="L1607" i="95"/>
  <c r="M1472" i="95"/>
  <c r="L1470" i="95"/>
  <c r="L1469" i="95" s="1"/>
  <c r="I1124" i="95"/>
  <c r="J1126" i="95"/>
  <c r="H1640" i="95"/>
  <c r="H1627" i="95" s="1"/>
  <c r="O702" i="95"/>
  <c r="P1296" i="95"/>
  <c r="O1294" i="95"/>
  <c r="O1293" i="95" s="1"/>
  <c r="L1682" i="95"/>
  <c r="K1681" i="95"/>
  <c r="K1680" i="95" s="1"/>
  <c r="P1745" i="95"/>
  <c r="Q1695" i="95"/>
  <c r="P1723" i="95"/>
  <c r="K1416" i="95"/>
  <c r="M1490" i="95"/>
  <c r="K1753" i="95"/>
  <c r="J1751" i="95"/>
  <c r="K158" i="24" s="1"/>
  <c r="I1237" i="95"/>
  <c r="H1233" i="95"/>
  <c r="N1532" i="95"/>
  <c r="R1131" i="95"/>
  <c r="Q1210" i="95"/>
  <c r="P1580" i="95"/>
  <c r="O1578" i="95"/>
  <c r="Q1207" i="95"/>
  <c r="Q1560" i="95"/>
  <c r="P1558" i="95"/>
  <c r="O1517" i="95"/>
  <c r="K1198" i="95"/>
  <c r="J1196" i="95"/>
  <c r="K1495" i="95"/>
  <c r="L1496" i="95"/>
  <c r="H1254" i="95"/>
  <c r="I1256" i="95"/>
  <c r="K1164" i="95"/>
  <c r="J1162" i="95"/>
  <c r="J1161" i="95" s="1"/>
  <c r="J1160" i="95" s="1"/>
  <c r="O1194" i="95"/>
  <c r="J1696" i="95"/>
  <c r="I1694" i="95"/>
  <c r="H1076" i="95"/>
  <c r="L1214" i="95"/>
  <c r="K1212" i="95"/>
  <c r="N1461" i="95"/>
  <c r="M1459" i="95"/>
  <c r="R1128" i="95"/>
  <c r="I1684" i="95" l="1"/>
  <c r="I1701" i="95" s="1"/>
  <c r="I1700" i="95" s="1"/>
  <c r="H1617" i="95"/>
  <c r="K1604" i="95"/>
  <c r="L1475" i="95"/>
  <c r="L1544" i="95"/>
  <c r="L1543" i="95" s="1"/>
  <c r="J1476" i="95"/>
  <c r="J1427" i="95"/>
  <c r="K1411" i="95"/>
  <c r="L1409" i="95"/>
  <c r="I1082" i="95"/>
  <c r="H1080" i="95"/>
  <c r="L849" i="95"/>
  <c r="L182" i="79"/>
  <c r="K180" i="79"/>
  <c r="K176" i="79" s="1"/>
  <c r="K156" i="79" s="1"/>
  <c r="L963" i="95"/>
  <c r="L1004" i="95"/>
  <c r="L1016" i="95" s="1"/>
  <c r="M933" i="95"/>
  <c r="L984" i="95"/>
  <c r="L994" i="95"/>
  <c r="L950" i="95"/>
  <c r="L767" i="95"/>
  <c r="M754" i="95"/>
  <c r="K1449" i="95"/>
  <c r="J1447" i="95"/>
  <c r="J1440" i="95" s="1"/>
  <c r="J1451" i="95" s="1"/>
  <c r="J1450" i="95" s="1"/>
  <c r="F1625" i="95"/>
  <c r="G157" i="24" s="1"/>
  <c r="M1644" i="95"/>
  <c r="L1643" i="95"/>
  <c r="H1232" i="95"/>
  <c r="H1215" i="95" s="1"/>
  <c r="H1283" i="95" s="1"/>
  <c r="H1282" i="95" s="1"/>
  <c r="J1342" i="95"/>
  <c r="K1344" i="95"/>
  <c r="G1300" i="95"/>
  <c r="G1285" i="95" s="1"/>
  <c r="H1095" i="95"/>
  <c r="I1401" i="95"/>
  <c r="I1400" i="95" s="1"/>
  <c r="L1165" i="95"/>
  <c r="J1192" i="95"/>
  <c r="J1187" i="95" s="1"/>
  <c r="I1100" i="95"/>
  <c r="M439" i="95"/>
  <c r="N432" i="95"/>
  <c r="M446" i="95"/>
  <c r="M452" i="95"/>
  <c r="I1602" i="95"/>
  <c r="I1601" i="95" s="1"/>
  <c r="K1103" i="95"/>
  <c r="J1101" i="95"/>
  <c r="M1169" i="95"/>
  <c r="N1171" i="95"/>
  <c r="K1522" i="95"/>
  <c r="L1524" i="95"/>
  <c r="P1586" i="95"/>
  <c r="Q1588" i="95"/>
  <c r="N1109" i="95"/>
  <c r="M1107" i="95"/>
  <c r="L1676" i="95"/>
  <c r="K1674" i="95"/>
  <c r="I1305" i="95"/>
  <c r="H1301" i="95"/>
  <c r="M1539" i="95"/>
  <c r="L1537" i="95"/>
  <c r="K1180" i="95"/>
  <c r="K1179" i="95" s="1"/>
  <c r="L1181" i="95"/>
  <c r="I1311" i="95"/>
  <c r="H1307" i="95"/>
  <c r="L1195" i="95"/>
  <c r="K1193" i="95"/>
  <c r="N39" i="95"/>
  <c r="O16" i="95"/>
  <c r="H1732" i="95"/>
  <c r="G1728" i="95"/>
  <c r="G1703" i="95" s="1"/>
  <c r="I1070" i="95"/>
  <c r="H1066" i="95"/>
  <c r="J1395" i="95"/>
  <c r="J1401" i="95" s="1"/>
  <c r="J1400" i="95" s="1"/>
  <c r="K1600" i="95"/>
  <c r="J1598" i="95"/>
  <c r="J1594" i="95" s="1"/>
  <c r="M1536" i="95"/>
  <c r="L1534" i="95"/>
  <c r="G1283" i="95"/>
  <c r="G1282" i="95" s="1"/>
  <c r="P1517" i="95"/>
  <c r="M1477" i="95"/>
  <c r="N1478" i="95"/>
  <c r="M755" i="95"/>
  <c r="L770" i="95"/>
  <c r="M1105" i="95"/>
  <c r="N1089" i="95"/>
  <c r="K1699" i="95"/>
  <c r="J1697" i="95"/>
  <c r="L1383" i="95"/>
  <c r="K1425" i="95"/>
  <c r="K1424" i="95" s="1"/>
  <c r="K1415" i="95"/>
  <c r="K1414" i="95" s="1"/>
  <c r="K1413" i="95" s="1"/>
  <c r="K1387" i="95"/>
  <c r="K1386" i="95" s="1"/>
  <c r="K1385" i="95" s="1"/>
  <c r="K1396" i="95"/>
  <c r="K1595" i="95"/>
  <c r="L1597" i="95"/>
  <c r="O1461" i="95"/>
  <c r="N1459" i="95"/>
  <c r="J1352" i="95"/>
  <c r="I1350" i="95"/>
  <c r="I1349" i="95" s="1"/>
  <c r="Q1511" i="95"/>
  <c r="L1406" i="95"/>
  <c r="M1392" i="95"/>
  <c r="K1634" i="95"/>
  <c r="L1635" i="95"/>
  <c r="K1159" i="95"/>
  <c r="J1157" i="95"/>
  <c r="J1156" i="95" s="1"/>
  <c r="O1532" i="95"/>
  <c r="M1456" i="95"/>
  <c r="L1454" i="95"/>
  <c r="N1529" i="95"/>
  <c r="M1528" i="95"/>
  <c r="N1333" i="95"/>
  <c r="M1331" i="95"/>
  <c r="L783" i="95"/>
  <c r="L827" i="95"/>
  <c r="L817" i="95"/>
  <c r="M757" i="95"/>
  <c r="L837" i="95"/>
  <c r="L796" i="95"/>
  <c r="P1163" i="95"/>
  <c r="M1742" i="95"/>
  <c r="M1717" i="95"/>
  <c r="M1716" i="95" s="1"/>
  <c r="M1691" i="95"/>
  <c r="N1692" i="95"/>
  <c r="J1256" i="95"/>
  <c r="I1254" i="95"/>
  <c r="Q1580" i="95"/>
  <c r="P1578" i="95"/>
  <c r="J1237" i="95"/>
  <c r="I1233" i="95"/>
  <c r="K1751" i="95"/>
  <c r="L158" i="24" s="1"/>
  <c r="L1753" i="95"/>
  <c r="P702" i="95"/>
  <c r="N1118" i="95"/>
  <c r="N1117" i="95" s="1"/>
  <c r="O1092" i="95"/>
  <c r="G1357" i="95"/>
  <c r="G1348" i="95" s="1"/>
  <c r="L1111" i="95"/>
  <c r="M1113" i="95"/>
  <c r="L1729" i="95"/>
  <c r="L1748" i="95"/>
  <c r="L1747" i="95" s="1"/>
  <c r="M1698" i="95"/>
  <c r="J1278" i="95"/>
  <c r="K1280" i="95"/>
  <c r="J1623" i="95"/>
  <c r="I1621" i="95"/>
  <c r="Q1296" i="95"/>
  <c r="P1294" i="95"/>
  <c r="P1293" i="95" s="1"/>
  <c r="I1360" i="95"/>
  <c r="H1358" i="95"/>
  <c r="L1049" i="95"/>
  <c r="K1047" i="95"/>
  <c r="N1584" i="95"/>
  <c r="M1582" i="95"/>
  <c r="P1098" i="95"/>
  <c r="H1030" i="95"/>
  <c r="N1653" i="95"/>
  <c r="M1652" i="95"/>
  <c r="M1629" i="95"/>
  <c r="L1628" i="95"/>
  <c r="O1502" i="95"/>
  <c r="K1434" i="95"/>
  <c r="L1435" i="95"/>
  <c r="M1214" i="95"/>
  <c r="L1212" i="95"/>
  <c r="O1556" i="95"/>
  <c r="N1554" i="95"/>
  <c r="M1521" i="95"/>
  <c r="L1519" i="95"/>
  <c r="M1205" i="95"/>
  <c r="L1203" i="95"/>
  <c r="L1685" i="95"/>
  <c r="M1687" i="95"/>
  <c r="R1200" i="95"/>
  <c r="M1638" i="95"/>
  <c r="L1637" i="95"/>
  <c r="L1612" i="95"/>
  <c r="L1611" i="95" s="1"/>
  <c r="M1599" i="95"/>
  <c r="L1489" i="95"/>
  <c r="L1622" i="95"/>
  <c r="I1363" i="95"/>
  <c r="H1361" i="95"/>
  <c r="L1275" i="95"/>
  <c r="M1277" i="95"/>
  <c r="K1106" i="95"/>
  <c r="J1104" i="95"/>
  <c r="K1696" i="95"/>
  <c r="J1694" i="95"/>
  <c r="S1131" i="95"/>
  <c r="P1520" i="95"/>
  <c r="K1303" i="95"/>
  <c r="K1143" i="95"/>
  <c r="J1141" i="95"/>
  <c r="J1140" i="95" s="1"/>
  <c r="N1647" i="95"/>
  <c r="M1129" i="95"/>
  <c r="L1127" i="95"/>
  <c r="J1172" i="95"/>
  <c r="M1566" i="95"/>
  <c r="N1568" i="95"/>
  <c r="J1221" i="95"/>
  <c r="I1217" i="95"/>
  <c r="I1216" i="95" s="1"/>
  <c r="M1036" i="95"/>
  <c r="R1210" i="95"/>
  <c r="K1708" i="95"/>
  <c r="J1704" i="95"/>
  <c r="L466" i="95"/>
  <c r="P1538" i="95"/>
  <c r="Q1548" i="95"/>
  <c r="P1546" i="95"/>
  <c r="L1443" i="95"/>
  <c r="K1441" i="95"/>
  <c r="I1669" i="95"/>
  <c r="I1668" i="95" s="1"/>
  <c r="I1664" i="95" s="1"/>
  <c r="P1432" i="95"/>
  <c r="O1431" i="95"/>
  <c r="K1711" i="95"/>
  <c r="K1710" i="95" s="1"/>
  <c r="K1739" i="95"/>
  <c r="K1738" i="95" s="1"/>
  <c r="L1689" i="95"/>
  <c r="L1626" i="95" s="1"/>
  <c r="K1688" i="95"/>
  <c r="K1666" i="95"/>
  <c r="K1665" i="95" s="1"/>
  <c r="S1706" i="95"/>
  <c r="I1147" i="95"/>
  <c r="I1146" i="95" s="1"/>
  <c r="J1149" i="95"/>
  <c r="Q1535" i="95"/>
  <c r="M1515" i="95"/>
  <c r="L1513" i="95"/>
  <c r="G1474" i="95"/>
  <c r="H156" i="24" s="1"/>
  <c r="N1498" i="95"/>
  <c r="O1499" i="95"/>
  <c r="K1184" i="95"/>
  <c r="K1183" i="95" s="1"/>
  <c r="K1174" i="95"/>
  <c r="K1173" i="95" s="1"/>
  <c r="L1177" i="95"/>
  <c r="M764" i="95"/>
  <c r="N753" i="95"/>
  <c r="J1375" i="95"/>
  <c r="I1373" i="95"/>
  <c r="I1735" i="95"/>
  <c r="J1737" i="95"/>
  <c r="N1327" i="95"/>
  <c r="M1325" i="95"/>
  <c r="L1151" i="95"/>
  <c r="K1150" i="95"/>
  <c r="M1337" i="95"/>
  <c r="N1339" i="95"/>
  <c r="R1207" i="95"/>
  <c r="H1367" i="95"/>
  <c r="I1369" i="95"/>
  <c r="L1525" i="95"/>
  <c r="M1526" i="95"/>
  <c r="M1132" i="95"/>
  <c r="L1130" i="95"/>
  <c r="J1620" i="95"/>
  <c r="I1618" i="95"/>
  <c r="O1235" i="95"/>
  <c r="N1219" i="95"/>
  <c r="T1576" i="95"/>
  <c r="S1574" i="95"/>
  <c r="M1496" i="95"/>
  <c r="L1495" i="95"/>
  <c r="L1249" i="95"/>
  <c r="K1247" i="95"/>
  <c r="N1429" i="95"/>
  <c r="M1428" i="95"/>
  <c r="J1730" i="95"/>
  <c r="I1120" i="95"/>
  <c r="K1321" i="95"/>
  <c r="J1319" i="95"/>
  <c r="Q1213" i="95"/>
  <c r="O1565" i="95"/>
  <c r="N1562" i="95"/>
  <c r="P1197" i="95"/>
  <c r="N1472" i="95"/>
  <c r="M1470" i="95"/>
  <c r="M1469" i="95" s="1"/>
  <c r="M1503" i="95"/>
  <c r="L1501" i="95"/>
  <c r="N1487" i="95"/>
  <c r="P1514" i="95"/>
  <c r="N1211" i="95"/>
  <c r="M1209" i="95"/>
  <c r="P1194" i="95"/>
  <c r="L1198" i="95"/>
  <c r="K1196" i="95"/>
  <c r="N1490" i="95"/>
  <c r="Q1745" i="95"/>
  <c r="R1695" i="95"/>
  <c r="Q1723" i="95"/>
  <c r="L1681" i="95"/>
  <c r="L1680" i="95" s="1"/>
  <c r="M1682" i="95"/>
  <c r="M1607" i="95"/>
  <c r="L1605" i="95"/>
  <c r="K1263" i="95"/>
  <c r="J1261" i="95"/>
  <c r="M1505" i="95"/>
  <c r="L1504" i="95"/>
  <c r="P1115" i="95"/>
  <c r="N1481" i="95"/>
  <c r="M1480" i="95"/>
  <c r="J1743" i="95"/>
  <c r="I1741" i="95"/>
  <c r="I1024" i="95"/>
  <c r="L1591" i="95"/>
  <c r="L1590" i="95" s="1"/>
  <c r="M1592" i="95"/>
  <c r="S1564" i="95"/>
  <c r="M1552" i="95"/>
  <c r="L1550" i="95"/>
  <c r="L1549" i="95" s="1"/>
  <c r="J1121" i="95"/>
  <c r="K1123" i="95"/>
  <c r="L954" i="95"/>
  <c r="M1309" i="95"/>
  <c r="L1164" i="95"/>
  <c r="K1162" i="95"/>
  <c r="K1161" i="95" s="1"/>
  <c r="K1160" i="95" s="1"/>
  <c r="M1240" i="95"/>
  <c r="N1242" i="95"/>
  <c r="L1191" i="95"/>
  <c r="K1189" i="95"/>
  <c r="K1188" i="95" s="1"/>
  <c r="O1438" i="95"/>
  <c r="K1661" i="95"/>
  <c r="L1662" i="95"/>
  <c r="J1124" i="95"/>
  <c r="K1126" i="95"/>
  <c r="I1356" i="95"/>
  <c r="H1354" i="95"/>
  <c r="H1353" i="95" s="1"/>
  <c r="N1641" i="95"/>
  <c r="T1068" i="95"/>
  <c r="L1518" i="95"/>
  <c r="K1516" i="95"/>
  <c r="T1204" i="95"/>
  <c r="M1227" i="95"/>
  <c r="M1270" i="95"/>
  <c r="L1268" i="95"/>
  <c r="L1136" i="95"/>
  <c r="K1134" i="95"/>
  <c r="K1133" i="95" s="1"/>
  <c r="L1673" i="95"/>
  <c r="K1671" i="95"/>
  <c r="M252" i="95"/>
  <c r="M416" i="95"/>
  <c r="M393" i="95"/>
  <c r="N350" i="95"/>
  <c r="M1512" i="95"/>
  <c r="L1510" i="95"/>
  <c r="K1378" i="95"/>
  <c r="J1376" i="95"/>
  <c r="P1572" i="95"/>
  <c r="O1570" i="95"/>
  <c r="L1439" i="95"/>
  <c r="K1437" i="95"/>
  <c r="I1366" i="95"/>
  <c r="H1364" i="95"/>
  <c r="I1076" i="95"/>
  <c r="I1372" i="95"/>
  <c r="H1370" i="95"/>
  <c r="I1746" i="95"/>
  <c r="H1744" i="95"/>
  <c r="H1734" i="95" s="1"/>
  <c r="K1677" i="95"/>
  <c r="L1678" i="95"/>
  <c r="Q1484" i="95"/>
  <c r="P1483" i="95"/>
  <c r="M1508" i="95"/>
  <c r="L1507" i="95"/>
  <c r="N1168" i="95"/>
  <c r="M1166" i="95"/>
  <c r="L1099" i="95"/>
  <c r="K1097" i="95"/>
  <c r="K1096" i="95" s="1"/>
  <c r="N1672" i="95"/>
  <c r="F1083" i="95"/>
  <c r="G154" i="24" s="1"/>
  <c r="I1640" i="95"/>
  <c r="I1627" i="95" s="1"/>
  <c r="L1648" i="95"/>
  <c r="K1646" i="95"/>
  <c r="K1206" i="95"/>
  <c r="K1202" i="95" s="1"/>
  <c r="K1444" i="95"/>
  <c r="L1446" i="95"/>
  <c r="L1201" i="95"/>
  <c r="K1199" i="95"/>
  <c r="K1390" i="95"/>
  <c r="K1389" i="95" s="1"/>
  <c r="K1407" i="95"/>
  <c r="L1391" i="95"/>
  <c r="O1707" i="95"/>
  <c r="M1289" i="95"/>
  <c r="L1287" i="95"/>
  <c r="L1286" i="95" s="1"/>
  <c r="S1128" i="95"/>
  <c r="R1560" i="95"/>
  <c r="Q1558" i="95"/>
  <c r="L1416" i="95"/>
  <c r="K1464" i="95"/>
  <c r="K1453" i="95" s="1"/>
  <c r="L1466" i="95"/>
  <c r="L1419" i="95"/>
  <c r="K1418" i="95"/>
  <c r="K1417" i="95" s="1"/>
  <c r="L1533" i="95"/>
  <c r="K1531" i="95"/>
  <c r="K1658" i="95"/>
  <c r="L1659" i="95"/>
  <c r="L1488" i="95"/>
  <c r="K1486" i="95"/>
  <c r="L1492" i="95"/>
  <c r="M1493" i="95"/>
  <c r="K1116" i="95"/>
  <c r="J1114" i="95"/>
  <c r="J1110" i="95" s="1"/>
  <c r="O1724" i="95"/>
  <c r="N1722" i="95"/>
  <c r="J1229" i="95"/>
  <c r="I1225" i="95"/>
  <c r="I1224" i="95" s="1"/>
  <c r="K1315" i="95"/>
  <c r="J1313" i="95"/>
  <c r="K1631" i="95"/>
  <c r="L1632" i="95"/>
  <c r="M1650" i="95"/>
  <c r="L1649" i="95"/>
  <c r="M1540" i="95"/>
  <c r="N1541" i="95"/>
  <c r="I1079" i="95"/>
  <c r="H1077" i="95"/>
  <c r="L1657" i="95"/>
  <c r="K1655" i="95"/>
  <c r="I1617" i="95" l="1"/>
  <c r="J1684" i="95"/>
  <c r="J1701" i="95" s="1"/>
  <c r="J1700" i="95" s="1"/>
  <c r="L1604" i="95"/>
  <c r="K1476" i="95"/>
  <c r="M1544" i="95"/>
  <c r="M1475" i="95"/>
  <c r="K1427" i="95"/>
  <c r="L1411" i="95"/>
  <c r="M1409" i="95"/>
  <c r="I1080" i="95"/>
  <c r="J1082" i="95"/>
  <c r="M849" i="95"/>
  <c r="M182" i="79"/>
  <c r="L180" i="79"/>
  <c r="L176" i="79" s="1"/>
  <c r="L156" i="79" s="1"/>
  <c r="L1449" i="95"/>
  <c r="K1447" i="95"/>
  <c r="K1440" i="95" s="1"/>
  <c r="K1451" i="95" s="1"/>
  <c r="K1450" i="95" s="1"/>
  <c r="N754" i="95"/>
  <c r="M767" i="95"/>
  <c r="M984" i="95"/>
  <c r="M963" i="95"/>
  <c r="M950" i="95"/>
  <c r="M994" i="95"/>
  <c r="M1004" i="95"/>
  <c r="M1016" i="95" s="1"/>
  <c r="N933" i="95"/>
  <c r="I1232" i="95"/>
  <c r="I1215" i="95" s="1"/>
  <c r="I1283" i="95" s="1"/>
  <c r="I1282" i="95" s="1"/>
  <c r="L1344" i="95"/>
  <c r="K1342" i="95"/>
  <c r="H1474" i="95"/>
  <c r="I156" i="24" s="1"/>
  <c r="M1643" i="95"/>
  <c r="N1644" i="95"/>
  <c r="G1625" i="95"/>
  <c r="H157" i="24" s="1"/>
  <c r="H1300" i="95"/>
  <c r="H1285" i="95" s="1"/>
  <c r="J1100" i="95"/>
  <c r="I1095" i="95"/>
  <c r="K1172" i="95"/>
  <c r="M1165" i="95"/>
  <c r="N452" i="95"/>
  <c r="O432" i="95"/>
  <c r="N446" i="95"/>
  <c r="N439" i="95"/>
  <c r="K1395" i="95"/>
  <c r="K1394" i="95" s="1"/>
  <c r="L1103" i="95"/>
  <c r="K1101" i="95"/>
  <c r="J1602" i="95"/>
  <c r="J1601" i="95" s="1"/>
  <c r="L1600" i="95"/>
  <c r="K1598" i="95"/>
  <c r="K1594" i="95" s="1"/>
  <c r="N1539" i="95"/>
  <c r="M1537" i="95"/>
  <c r="N1536" i="95"/>
  <c r="M1534" i="95"/>
  <c r="J1394" i="95"/>
  <c r="J1070" i="95"/>
  <c r="I1066" i="95"/>
  <c r="O1109" i="95"/>
  <c r="N1107" i="95"/>
  <c r="M1195" i="95"/>
  <c r="L1193" i="95"/>
  <c r="J1311" i="95"/>
  <c r="I1307" i="95"/>
  <c r="K1192" i="95"/>
  <c r="K1187" i="95" s="1"/>
  <c r="J1305" i="95"/>
  <c r="I1301" i="95"/>
  <c r="R1588" i="95"/>
  <c r="Q1586" i="95"/>
  <c r="M1524" i="95"/>
  <c r="L1522" i="95"/>
  <c r="G1083" i="95"/>
  <c r="H154" i="24" s="1"/>
  <c r="I1732" i="95"/>
  <c r="H1728" i="95"/>
  <c r="H1703" i="95" s="1"/>
  <c r="O39" i="95"/>
  <c r="P16" i="95"/>
  <c r="M1181" i="95"/>
  <c r="L1180" i="95"/>
  <c r="L1179" i="95" s="1"/>
  <c r="O1171" i="95"/>
  <c r="N1169" i="95"/>
  <c r="L1674" i="95"/>
  <c r="M1676" i="95"/>
  <c r="R1213" i="95"/>
  <c r="P1431" i="95"/>
  <c r="Q1432" i="95"/>
  <c r="O1219" i="95"/>
  <c r="N1566" i="95"/>
  <c r="O1568" i="95"/>
  <c r="S1207" i="95"/>
  <c r="K1623" i="95"/>
  <c r="J1621" i="95"/>
  <c r="J1640" i="95"/>
  <c r="J1627" i="95" s="1"/>
  <c r="L1711" i="95"/>
  <c r="L1710" i="95" s="1"/>
  <c r="L1739" i="95"/>
  <c r="L1738" i="95" s="1"/>
  <c r="M1689" i="95"/>
  <c r="M1626" i="95" s="1"/>
  <c r="L1666" i="95"/>
  <c r="L1665" i="95" s="1"/>
  <c r="L1688" i="95"/>
  <c r="M1439" i="95"/>
  <c r="L1437" i="95"/>
  <c r="O1242" i="95"/>
  <c r="N1240" i="95"/>
  <c r="M1632" i="95"/>
  <c r="L1631" i="95"/>
  <c r="N1036" i="95"/>
  <c r="L1106" i="95"/>
  <c r="K1104" i="95"/>
  <c r="M1685" i="95"/>
  <c r="N1687" i="95"/>
  <c r="J1360" i="95"/>
  <c r="I1358" i="95"/>
  <c r="R1580" i="95"/>
  <c r="Q1578" i="95"/>
  <c r="O1333" i="95"/>
  <c r="N1331" i="95"/>
  <c r="M1099" i="95"/>
  <c r="L1097" i="95"/>
  <c r="L1096" i="95" s="1"/>
  <c r="M1249" i="95"/>
  <c r="L1247" i="95"/>
  <c r="N1526" i="95"/>
  <c r="M1525" i="95"/>
  <c r="M1151" i="95"/>
  <c r="L1150" i="95"/>
  <c r="N1277" i="95"/>
  <c r="M1275" i="95"/>
  <c r="N1205" i="95"/>
  <c r="M1203" i="95"/>
  <c r="N1629" i="95"/>
  <c r="M1628" i="95"/>
  <c r="O1584" i="95"/>
  <c r="N1582" i="95"/>
  <c r="K1278" i="95"/>
  <c r="L1280" i="95"/>
  <c r="P1461" i="95"/>
  <c r="O1459" i="95"/>
  <c r="P1707" i="95"/>
  <c r="K1124" i="95"/>
  <c r="L1126" i="95"/>
  <c r="N1607" i="95"/>
  <c r="M1605" i="95"/>
  <c r="O1211" i="95"/>
  <c r="N1209" i="95"/>
  <c r="Q1197" i="95"/>
  <c r="M796" i="95"/>
  <c r="M827" i="95"/>
  <c r="N757" i="95"/>
  <c r="M817" i="95"/>
  <c r="M837" i="95"/>
  <c r="M783" i="95"/>
  <c r="U1576" i="95"/>
  <c r="T1574" i="95"/>
  <c r="T1706" i="95"/>
  <c r="M466" i="95"/>
  <c r="Q1520" i="95"/>
  <c r="M1454" i="95"/>
  <c r="N1456" i="95"/>
  <c r="K1352" i="95"/>
  <c r="J1350" i="95"/>
  <c r="J1349" i="95" s="1"/>
  <c r="O1541" i="95"/>
  <c r="N1540" i="95"/>
  <c r="S1560" i="95"/>
  <c r="R1558" i="95"/>
  <c r="U1204" i="95"/>
  <c r="M1681" i="95"/>
  <c r="M1680" i="95" s="1"/>
  <c r="N1682" i="95"/>
  <c r="Q1514" i="95"/>
  <c r="P1565" i="95"/>
  <c r="O1562" i="95"/>
  <c r="O1429" i="95"/>
  <c r="N1428" i="95"/>
  <c r="M1753" i="95"/>
  <c r="L1751" i="95"/>
  <c r="M158" i="24" s="1"/>
  <c r="L1699" i="95"/>
  <c r="K1697" i="95"/>
  <c r="M1673" i="95"/>
  <c r="L1671" i="95"/>
  <c r="L1184" i="95"/>
  <c r="L1183" i="95" s="1"/>
  <c r="L1174" i="95"/>
  <c r="L1173" i="95" s="1"/>
  <c r="M1177" i="95"/>
  <c r="K1141" i="95"/>
  <c r="K1140" i="95" s="1"/>
  <c r="L1143" i="95"/>
  <c r="N1521" i="95"/>
  <c r="M1519" i="95"/>
  <c r="P1532" i="95"/>
  <c r="R1511" i="95"/>
  <c r="N1105" i="95"/>
  <c r="O1089" i="95"/>
  <c r="M1492" i="95"/>
  <c r="N1493" i="95"/>
  <c r="M1191" i="95"/>
  <c r="L1189" i="95"/>
  <c r="L1188" i="95" s="1"/>
  <c r="M1164" i="95"/>
  <c r="L1162" i="95"/>
  <c r="L1161" i="95" s="1"/>
  <c r="L1160" i="95" s="1"/>
  <c r="N1132" i="95"/>
  <c r="M1130" i="95"/>
  <c r="J1363" i="95"/>
  <c r="I1361" i="95"/>
  <c r="M1637" i="95"/>
  <c r="N1638" i="95"/>
  <c r="N1392" i="95"/>
  <c r="M1406" i="95"/>
  <c r="L1396" i="95"/>
  <c r="M1383" i="95"/>
  <c r="L1415" i="95"/>
  <c r="L1414" i="95" s="1"/>
  <c r="L1413" i="95" s="1"/>
  <c r="L1387" i="95"/>
  <c r="L1386" i="95" s="1"/>
  <c r="L1385" i="95" s="1"/>
  <c r="L1425" i="95"/>
  <c r="L1424" i="95" s="1"/>
  <c r="M1649" i="95"/>
  <c r="N1650" i="95"/>
  <c r="L1444" i="95"/>
  <c r="M1446" i="95"/>
  <c r="M1648" i="95"/>
  <c r="L1646" i="95"/>
  <c r="R1484" i="95"/>
  <c r="Q1483" i="95"/>
  <c r="O1487" i="95"/>
  <c r="O1339" i="95"/>
  <c r="N1337" i="95"/>
  <c r="K1221" i="95"/>
  <c r="J1217" i="95"/>
  <c r="J1216" i="95" s="1"/>
  <c r="S1200" i="95"/>
  <c r="P1502" i="95"/>
  <c r="Q1098" i="95"/>
  <c r="M1729" i="95"/>
  <c r="N1698" i="95"/>
  <c r="M1748" i="95"/>
  <c r="M1747" i="95" s="1"/>
  <c r="N1113" i="95"/>
  <c r="M1111" i="95"/>
  <c r="P1092" i="95"/>
  <c r="O1118" i="95"/>
  <c r="O1117" i="95" s="1"/>
  <c r="K1237" i="95"/>
  <c r="J1233" i="95"/>
  <c r="M1466" i="95"/>
  <c r="L1464" i="95"/>
  <c r="L1453" i="95" s="1"/>
  <c r="M1201" i="95"/>
  <c r="L1199" i="95"/>
  <c r="M1518" i="95"/>
  <c r="L1516" i="95"/>
  <c r="N1309" i="95"/>
  <c r="K1121" i="95"/>
  <c r="L1123" i="95"/>
  <c r="J1024" i="95"/>
  <c r="K1261" i="95"/>
  <c r="L1263" i="95"/>
  <c r="R1745" i="95"/>
  <c r="S1695" i="95"/>
  <c r="R1723" i="95"/>
  <c r="Q1194" i="95"/>
  <c r="L1696" i="95"/>
  <c r="K1694" i="95"/>
  <c r="H1357" i="95"/>
  <c r="H1348" i="95" s="1"/>
  <c r="N755" i="95"/>
  <c r="M770" i="95"/>
  <c r="P1724" i="95"/>
  <c r="O1722" i="95"/>
  <c r="M1488" i="95"/>
  <c r="L1486" i="95"/>
  <c r="T1128" i="95"/>
  <c r="N1512" i="95"/>
  <c r="M1510" i="95"/>
  <c r="L1134" i="95"/>
  <c r="L1133" i="95" s="1"/>
  <c r="M1136" i="95"/>
  <c r="U1068" i="95"/>
  <c r="M954" i="95"/>
  <c r="J1120" i="95"/>
  <c r="N1496" i="95"/>
  <c r="M1495" i="95"/>
  <c r="P1235" i="95"/>
  <c r="J1735" i="95"/>
  <c r="K1737" i="95"/>
  <c r="Q1538" i="95"/>
  <c r="P1556" i="95"/>
  <c r="O1554" i="95"/>
  <c r="Q1163" i="95"/>
  <c r="L1206" i="95"/>
  <c r="L1202" i="95" s="1"/>
  <c r="L1677" i="95"/>
  <c r="M1678" i="95"/>
  <c r="P1438" i="95"/>
  <c r="K1743" i="95"/>
  <c r="J1741" i="95"/>
  <c r="L1315" i="95"/>
  <c r="K1313" i="95"/>
  <c r="M1659" i="95"/>
  <c r="L1658" i="95"/>
  <c r="J1076" i="95"/>
  <c r="N416" i="95"/>
  <c r="N393" i="95"/>
  <c r="O350" i="95"/>
  <c r="N252" i="95"/>
  <c r="N1270" i="95"/>
  <c r="M1268" i="95"/>
  <c r="O1641" i="95"/>
  <c r="O1490" i="95"/>
  <c r="O1472" i="95"/>
  <c r="N1470" i="95"/>
  <c r="N1469" i="95" s="1"/>
  <c r="K1620" i="95"/>
  <c r="J1618" i="95"/>
  <c r="P1499" i="95"/>
  <c r="O1498" i="95"/>
  <c r="J1147" i="95"/>
  <c r="J1146" i="95" s="1"/>
  <c r="K1149" i="95"/>
  <c r="N1742" i="95"/>
  <c r="N1717" i="95"/>
  <c r="N1716" i="95" s="1"/>
  <c r="N1691" i="95"/>
  <c r="O1692" i="95"/>
  <c r="M1591" i="95"/>
  <c r="M1590" i="95" s="1"/>
  <c r="N1592" i="95"/>
  <c r="N1503" i="95"/>
  <c r="M1501" i="95"/>
  <c r="M1443" i="95"/>
  <c r="L1441" i="95"/>
  <c r="M1049" i="95"/>
  <c r="L1047" i="95"/>
  <c r="L1407" i="95"/>
  <c r="M1391" i="95"/>
  <c r="L1390" i="95"/>
  <c r="L1389" i="95" s="1"/>
  <c r="M1533" i="95"/>
  <c r="L1531" i="95"/>
  <c r="M1507" i="95"/>
  <c r="N1508" i="95"/>
  <c r="L1708" i="95"/>
  <c r="K1704" i="95"/>
  <c r="J1372" i="95"/>
  <c r="I1370" i="95"/>
  <c r="O1672" i="95"/>
  <c r="T1564" i="95"/>
  <c r="R1535" i="95"/>
  <c r="Q1517" i="95"/>
  <c r="N1289" i="95"/>
  <c r="M1287" i="95"/>
  <c r="M1286" i="95" s="1"/>
  <c r="L1321" i="95"/>
  <c r="K1319" i="95"/>
  <c r="K1730" i="95"/>
  <c r="K1375" i="95"/>
  <c r="J1373" i="95"/>
  <c r="N1129" i="95"/>
  <c r="M1127" i="95"/>
  <c r="J1669" i="95"/>
  <c r="J1668" i="95" s="1"/>
  <c r="J1664" i="95" s="1"/>
  <c r="M1612" i="95"/>
  <c r="M1611" i="95" s="1"/>
  <c r="M1543" i="95"/>
  <c r="M1489" i="95"/>
  <c r="N1599" i="95"/>
  <c r="M1622" i="95"/>
  <c r="L1434" i="95"/>
  <c r="M1435" i="95"/>
  <c r="L1634" i="95"/>
  <c r="M1635" i="95"/>
  <c r="L1595" i="95"/>
  <c r="M1597" i="95"/>
  <c r="N1505" i="95"/>
  <c r="M1504" i="95"/>
  <c r="O1327" i="95"/>
  <c r="N1325" i="95"/>
  <c r="I1077" i="95"/>
  <c r="J1079" i="95"/>
  <c r="L1116" i="95"/>
  <c r="K1114" i="95"/>
  <c r="K1110" i="95" s="1"/>
  <c r="N1515" i="95"/>
  <c r="M1513" i="95"/>
  <c r="K1229" i="95"/>
  <c r="J1225" i="95"/>
  <c r="J1224" i="95" s="1"/>
  <c r="N1480" i="95"/>
  <c r="O1481" i="95"/>
  <c r="O1647" i="95"/>
  <c r="N1214" i="95"/>
  <c r="M1212" i="95"/>
  <c r="L1661" i="95"/>
  <c r="M1662" i="95"/>
  <c r="N1166" i="95"/>
  <c r="O1168" i="95"/>
  <c r="M1198" i="95"/>
  <c r="L1196" i="95"/>
  <c r="J1369" i="95"/>
  <c r="I1367" i="95"/>
  <c r="R1548" i="95"/>
  <c r="Q1546" i="95"/>
  <c r="L1303" i="95"/>
  <c r="O1478" i="95"/>
  <c r="N1477" i="95"/>
  <c r="Q1115" i="95"/>
  <c r="N1227" i="95"/>
  <c r="M1657" i="95"/>
  <c r="L1655" i="95"/>
  <c r="L1418" i="95"/>
  <c r="L1417" i="95" s="1"/>
  <c r="M1419" i="95"/>
  <c r="M1416" i="95"/>
  <c r="J1746" i="95"/>
  <c r="I1744" i="95"/>
  <c r="I1734" i="95" s="1"/>
  <c r="J1366" i="95"/>
  <c r="I1364" i="95"/>
  <c r="Q1572" i="95"/>
  <c r="P1570" i="95"/>
  <c r="L1378" i="95"/>
  <c r="K1376" i="95"/>
  <c r="J1356" i="95"/>
  <c r="I1354" i="95"/>
  <c r="I1353" i="95" s="1"/>
  <c r="M1550" i="95"/>
  <c r="M1549" i="95" s="1"/>
  <c r="N1552" i="95"/>
  <c r="N764" i="95"/>
  <c r="O753" i="95"/>
  <c r="S1210" i="95"/>
  <c r="T1131" i="95"/>
  <c r="O1653" i="95"/>
  <c r="N1652" i="95"/>
  <c r="I1030" i="95"/>
  <c r="R1296" i="95"/>
  <c r="Q1294" i="95"/>
  <c r="Q1293" i="95" s="1"/>
  <c r="Q702" i="95"/>
  <c r="K1256" i="95"/>
  <c r="J1254" i="95"/>
  <c r="N1528" i="95"/>
  <c r="O1529" i="95"/>
  <c r="L1159" i="95"/>
  <c r="K1157" i="95"/>
  <c r="K1156" i="95" s="1"/>
  <c r="L1427" i="95" l="1"/>
  <c r="K1684" i="95"/>
  <c r="K1701" i="95" s="1"/>
  <c r="K1700" i="95" s="1"/>
  <c r="J1617" i="95"/>
  <c r="M1604" i="95"/>
  <c r="N1544" i="95"/>
  <c r="N1543" i="95" s="1"/>
  <c r="N1475" i="95"/>
  <c r="L1476" i="95"/>
  <c r="M1411" i="95"/>
  <c r="N1409" i="95"/>
  <c r="J1080" i="95"/>
  <c r="K1082" i="95"/>
  <c r="N849" i="95"/>
  <c r="K1401" i="95"/>
  <c r="K1400" i="95" s="1"/>
  <c r="N182" i="79"/>
  <c r="M180" i="79"/>
  <c r="M176" i="79" s="1"/>
  <c r="M156" i="79" s="1"/>
  <c r="I1300" i="95"/>
  <c r="I1285" i="95" s="1"/>
  <c r="O933" i="95"/>
  <c r="N950" i="95"/>
  <c r="N963" i="95"/>
  <c r="N994" i="95"/>
  <c r="N984" i="95"/>
  <c r="N1004" i="95"/>
  <c r="N1016" i="95" s="1"/>
  <c r="O754" i="95"/>
  <c r="N767" i="95"/>
  <c r="M1449" i="95"/>
  <c r="L1447" i="95"/>
  <c r="L1440" i="95" s="1"/>
  <c r="L1451" i="95" s="1"/>
  <c r="L1450" i="95" s="1"/>
  <c r="J1095" i="95"/>
  <c r="N1643" i="95"/>
  <c r="O1644" i="95"/>
  <c r="J1232" i="95"/>
  <c r="J1215" i="95" s="1"/>
  <c r="M1344" i="95"/>
  <c r="L1342" i="95"/>
  <c r="H1625" i="95"/>
  <c r="I157" i="24" s="1"/>
  <c r="P432" i="95"/>
  <c r="O452" i="95"/>
  <c r="O439" i="95"/>
  <c r="O446" i="95"/>
  <c r="N1165" i="95"/>
  <c r="L1395" i="95"/>
  <c r="L1394" i="95" s="1"/>
  <c r="H1083" i="95"/>
  <c r="I154" i="24" s="1"/>
  <c r="K1100" i="95"/>
  <c r="M1103" i="95"/>
  <c r="L1101" i="95"/>
  <c r="L1192" i="95"/>
  <c r="L1187" i="95" s="1"/>
  <c r="P1109" i="95"/>
  <c r="O1107" i="95"/>
  <c r="N1181" i="95"/>
  <c r="M1180" i="95"/>
  <c r="M1179" i="95" s="1"/>
  <c r="O1536" i="95"/>
  <c r="N1534" i="95"/>
  <c r="P39" i="95"/>
  <c r="Q16" i="95"/>
  <c r="O1539" i="95"/>
  <c r="N1537" i="95"/>
  <c r="J1732" i="95"/>
  <c r="I1728" i="95"/>
  <c r="I1703" i="95" s="1"/>
  <c r="N1676" i="95"/>
  <c r="M1674" i="95"/>
  <c r="N1524" i="95"/>
  <c r="M1522" i="95"/>
  <c r="K1602" i="95"/>
  <c r="K1601" i="95" s="1"/>
  <c r="S1588" i="95"/>
  <c r="R1586" i="95"/>
  <c r="N1195" i="95"/>
  <c r="M1193" i="95"/>
  <c r="P1171" i="95"/>
  <c r="O1169" i="95"/>
  <c r="K1311" i="95"/>
  <c r="J1307" i="95"/>
  <c r="K1070" i="95"/>
  <c r="J1066" i="95"/>
  <c r="M1600" i="95"/>
  <c r="L1598" i="95"/>
  <c r="L1594" i="95" s="1"/>
  <c r="L1172" i="95"/>
  <c r="K1305" i="95"/>
  <c r="J1301" i="95"/>
  <c r="N1466" i="95"/>
  <c r="M1464" i="95"/>
  <c r="M1453" i="95" s="1"/>
  <c r="L1221" i="95"/>
  <c r="K1217" i="95"/>
  <c r="K1216" i="95" s="1"/>
  <c r="Q1707" i="95"/>
  <c r="K1669" i="95"/>
  <c r="K1668" i="95" s="1"/>
  <c r="K1664" i="95" s="1"/>
  <c r="M1247" i="95"/>
  <c r="N1249" i="95"/>
  <c r="P1333" i="95"/>
  <c r="O1331" i="95"/>
  <c r="P1327" i="95"/>
  <c r="O1325" i="95"/>
  <c r="S1535" i="95"/>
  <c r="M1263" i="95"/>
  <c r="L1261" i="95"/>
  <c r="P1089" i="95"/>
  <c r="O1105" i="95"/>
  <c r="R1514" i="95"/>
  <c r="O1036" i="95"/>
  <c r="S1296" i="95"/>
  <c r="R1294" i="95"/>
  <c r="R1293" i="95" s="1"/>
  <c r="N1198" i="95"/>
  <c r="M1196" i="95"/>
  <c r="M1661" i="95"/>
  <c r="N1662" i="95"/>
  <c r="L1375" i="95"/>
  <c r="K1373" i="95"/>
  <c r="M1047" i="95"/>
  <c r="N1049" i="95"/>
  <c r="P1498" i="95"/>
  <c r="Q1499" i="95"/>
  <c r="S1580" i="95"/>
  <c r="R1578" i="95"/>
  <c r="N1632" i="95"/>
  <c r="M1631" i="95"/>
  <c r="M1739" i="95"/>
  <c r="M1738" i="95" s="1"/>
  <c r="M1711" i="95"/>
  <c r="M1710" i="95" s="1"/>
  <c r="M1666" i="95"/>
  <c r="M1665" i="95" s="1"/>
  <c r="N1689" i="95"/>
  <c r="N1626" i="95" s="1"/>
  <c r="M1688" i="95"/>
  <c r="J1030" i="95"/>
  <c r="N1659" i="95"/>
  <c r="M1658" i="95"/>
  <c r="R1163" i="95"/>
  <c r="M1699" i="95"/>
  <c r="L1697" i="95"/>
  <c r="O1682" i="95"/>
  <c r="N1681" i="95"/>
  <c r="N1680" i="95" s="1"/>
  <c r="O1456" i="95"/>
  <c r="N1454" i="95"/>
  <c r="I1357" i="95"/>
  <c r="I1348" i="95" s="1"/>
  <c r="K1640" i="95"/>
  <c r="K1627" i="95" s="1"/>
  <c r="L1730" i="95"/>
  <c r="K1024" i="95"/>
  <c r="Q1502" i="95"/>
  <c r="S1511" i="95"/>
  <c r="O1277" i="95"/>
  <c r="N1275" i="95"/>
  <c r="K1360" i="95"/>
  <c r="J1358" i="95"/>
  <c r="O1227" i="95"/>
  <c r="N1507" i="95"/>
  <c r="O1508" i="95"/>
  <c r="U1128" i="95"/>
  <c r="M1123" i="95"/>
  <c r="L1121" i="95"/>
  <c r="Q1092" i="95"/>
  <c r="P1118" i="95"/>
  <c r="P1117" i="95" s="1"/>
  <c r="N1649" i="95"/>
  <c r="O1650" i="95"/>
  <c r="P1541" i="95"/>
  <c r="O1540" i="95"/>
  <c r="R1520" i="95"/>
  <c r="O1607" i="95"/>
  <c r="N1605" i="95"/>
  <c r="L1278" i="95"/>
  <c r="M1280" i="95"/>
  <c r="L1623" i="95"/>
  <c r="K1621" i="95"/>
  <c r="P1653" i="95"/>
  <c r="O1652" i="95"/>
  <c r="O1166" i="95"/>
  <c r="P1168" i="95"/>
  <c r="P1647" i="95"/>
  <c r="L1319" i="95"/>
  <c r="M1321" i="95"/>
  <c r="K1372" i="95"/>
  <c r="J1370" i="95"/>
  <c r="L1620" i="95"/>
  <c r="K1618" i="95"/>
  <c r="P350" i="95"/>
  <c r="O416" i="95"/>
  <c r="O252" i="95"/>
  <c r="O393" i="95"/>
  <c r="M1315" i="95"/>
  <c r="L1313" i="95"/>
  <c r="N1136" i="95"/>
  <c r="M1134" i="95"/>
  <c r="M1133" i="95" s="1"/>
  <c r="M1696" i="95"/>
  <c r="L1694" i="95"/>
  <c r="K1120" i="95"/>
  <c r="P1339" i="95"/>
  <c r="O1337" i="95"/>
  <c r="P1429" i="95"/>
  <c r="O1428" i="95"/>
  <c r="N783" i="95"/>
  <c r="N796" i="95"/>
  <c r="O757" i="95"/>
  <c r="N817" i="95"/>
  <c r="N837" i="95"/>
  <c r="N827" i="95"/>
  <c r="N1151" i="95"/>
  <c r="M1150" i="95"/>
  <c r="Q1431" i="95"/>
  <c r="R1432" i="95"/>
  <c r="N1416" i="95"/>
  <c r="M1303" i="95"/>
  <c r="U1564" i="95"/>
  <c r="P1490" i="95"/>
  <c r="Q1438" i="95"/>
  <c r="Q1235" i="95"/>
  <c r="O1113" i="95"/>
  <c r="N1111" i="95"/>
  <c r="O1132" i="95"/>
  <c r="N1130" i="95"/>
  <c r="M1174" i="95"/>
  <c r="M1173" i="95" s="1"/>
  <c r="M1184" i="95"/>
  <c r="M1183" i="95" s="1"/>
  <c r="N1177" i="95"/>
  <c r="M1751" i="95"/>
  <c r="N158" i="24" s="1"/>
  <c r="N1753" i="95"/>
  <c r="V1576" i="95"/>
  <c r="U1574" i="95"/>
  <c r="L1124" i="95"/>
  <c r="M1126" i="95"/>
  <c r="O1687" i="95"/>
  <c r="N1685" i="95"/>
  <c r="O1240" i="95"/>
  <c r="P1242" i="95"/>
  <c r="O1289" i="95"/>
  <c r="N1287" i="95"/>
  <c r="N1286" i="95" s="1"/>
  <c r="K1076" i="95"/>
  <c r="K1366" i="95"/>
  <c r="J1364" i="95"/>
  <c r="S1213" i="95"/>
  <c r="O1214" i="95"/>
  <c r="N1212" i="95"/>
  <c r="L1743" i="95"/>
  <c r="K1741" i="95"/>
  <c r="O1521" i="95"/>
  <c r="N1519" i="95"/>
  <c r="N1419" i="95"/>
  <c r="M1418" i="95"/>
  <c r="M1417" i="95" s="1"/>
  <c r="N1622" i="95"/>
  <c r="O1599" i="95"/>
  <c r="N1612" i="95"/>
  <c r="N1611" i="95" s="1"/>
  <c r="N1489" i="95"/>
  <c r="N1443" i="95"/>
  <c r="M1441" i="95"/>
  <c r="Q1556" i="95"/>
  <c r="P1554" i="95"/>
  <c r="O1309" i="95"/>
  <c r="T1200" i="95"/>
  <c r="S1484" i="95"/>
  <c r="R1483" i="95"/>
  <c r="L1352" i="95"/>
  <c r="K1350" i="95"/>
  <c r="K1349" i="95" s="1"/>
  <c r="P1459" i="95"/>
  <c r="Q1461" i="95"/>
  <c r="P1584" i="95"/>
  <c r="O1582" i="95"/>
  <c r="M1634" i="95"/>
  <c r="N1635" i="95"/>
  <c r="N1435" i="95"/>
  <c r="M1434" i="95"/>
  <c r="P1641" i="95"/>
  <c r="K1746" i="95"/>
  <c r="J1744" i="95"/>
  <c r="J1734" i="95" s="1"/>
  <c r="O1505" i="95"/>
  <c r="N1504" i="95"/>
  <c r="O1270" i="95"/>
  <c r="N1268" i="95"/>
  <c r="L1737" i="95"/>
  <c r="K1735" i="95"/>
  <c r="L1237" i="95"/>
  <c r="K1233" i="95"/>
  <c r="K1356" i="95"/>
  <c r="J1354" i="95"/>
  <c r="J1353" i="95" s="1"/>
  <c r="N1406" i="95"/>
  <c r="O1392" i="95"/>
  <c r="N1488" i="95"/>
  <c r="M1486" i="95"/>
  <c r="R1194" i="95"/>
  <c r="L1256" i="95"/>
  <c r="K1254" i="95"/>
  <c r="M1378" i="95"/>
  <c r="L1376" i="95"/>
  <c r="S1548" i="95"/>
  <c r="R1546" i="95"/>
  <c r="O1515" i="95"/>
  <c r="N1513" i="95"/>
  <c r="M1116" i="95"/>
  <c r="L1114" i="95"/>
  <c r="L1110" i="95" s="1"/>
  <c r="M1595" i="95"/>
  <c r="N1597" i="95"/>
  <c r="R1517" i="95"/>
  <c r="O1496" i="95"/>
  <c r="N1495" i="95"/>
  <c r="N954" i="95"/>
  <c r="O1512" i="95"/>
  <c r="N1510" i="95"/>
  <c r="Q1532" i="95"/>
  <c r="N1673" i="95"/>
  <c r="M1671" i="95"/>
  <c r="N466" i="95"/>
  <c r="O1526" i="95"/>
  <c r="N1525" i="95"/>
  <c r="P1568" i="95"/>
  <c r="O1566" i="95"/>
  <c r="O1480" i="95"/>
  <c r="P1481" i="95"/>
  <c r="O755" i="95"/>
  <c r="N770" i="95"/>
  <c r="N1637" i="95"/>
  <c r="O1638" i="95"/>
  <c r="U1706" i="95"/>
  <c r="T1210" i="95"/>
  <c r="O1477" i="95"/>
  <c r="P1478" i="95"/>
  <c r="N1191" i="95"/>
  <c r="M1189" i="95"/>
  <c r="M1188" i="95" s="1"/>
  <c r="P1211" i="95"/>
  <c r="O1209" i="95"/>
  <c r="P1472" i="95"/>
  <c r="O1470" i="95"/>
  <c r="O1469" i="95" s="1"/>
  <c r="N1518" i="95"/>
  <c r="M1516" i="95"/>
  <c r="P1219" i="95"/>
  <c r="L1229" i="95"/>
  <c r="K1225" i="95"/>
  <c r="K1224" i="95" s="1"/>
  <c r="R1538" i="95"/>
  <c r="K1363" i="95"/>
  <c r="J1361" i="95"/>
  <c r="T1560" i="95"/>
  <c r="S1558" i="95"/>
  <c r="O764" i="95"/>
  <c r="P753" i="95"/>
  <c r="K1079" i="95"/>
  <c r="J1077" i="95"/>
  <c r="O1129" i="95"/>
  <c r="N1127" i="95"/>
  <c r="M1708" i="95"/>
  <c r="L1704" i="95"/>
  <c r="N1533" i="95"/>
  <c r="M1531" i="95"/>
  <c r="O1503" i="95"/>
  <c r="N1501" i="95"/>
  <c r="Q1724" i="95"/>
  <c r="P1722" i="95"/>
  <c r="N1201" i="95"/>
  <c r="M1199" i="95"/>
  <c r="N1648" i="95"/>
  <c r="M1646" i="95"/>
  <c r="L1141" i="95"/>
  <c r="L1140" i="95" s="1"/>
  <c r="M1143" i="95"/>
  <c r="Q1565" i="95"/>
  <c r="P1562" i="95"/>
  <c r="V1204" i="95"/>
  <c r="O1629" i="95"/>
  <c r="N1628" i="95"/>
  <c r="I1474" i="95"/>
  <c r="J156" i="24" s="1"/>
  <c r="N1099" i="95"/>
  <c r="M1097" i="95"/>
  <c r="M1096" i="95" s="1"/>
  <c r="M1106" i="95"/>
  <c r="L1104" i="95"/>
  <c r="M1655" i="95"/>
  <c r="N1657" i="95"/>
  <c r="P1487" i="95"/>
  <c r="O1205" i="95"/>
  <c r="N1203" i="95"/>
  <c r="P1529" i="95"/>
  <c r="O1528" i="95"/>
  <c r="R1098" i="95"/>
  <c r="T1207" i="95"/>
  <c r="M1206" i="95"/>
  <c r="M1202" i="95" s="1"/>
  <c r="V1068" i="95"/>
  <c r="O1552" i="95"/>
  <c r="N1550" i="95"/>
  <c r="N1549" i="95" s="1"/>
  <c r="R1115" i="95"/>
  <c r="K1369" i="95"/>
  <c r="J1367" i="95"/>
  <c r="P1692" i="95"/>
  <c r="O1691" i="95"/>
  <c r="O1717" i="95"/>
  <c r="O1716" i="95" s="1"/>
  <c r="O1742" i="95"/>
  <c r="T1695" i="95"/>
  <c r="S1723" i="95"/>
  <c r="S1745" i="95"/>
  <c r="N1748" i="95"/>
  <c r="N1747" i="95" s="1"/>
  <c r="O1698" i="95"/>
  <c r="N1729" i="95"/>
  <c r="M1159" i="95"/>
  <c r="L1157" i="95"/>
  <c r="L1156" i="95" s="1"/>
  <c r="R702" i="95"/>
  <c r="U1131" i="95"/>
  <c r="R1572" i="95"/>
  <c r="Q1570" i="95"/>
  <c r="P1672" i="95"/>
  <c r="N1391" i="95"/>
  <c r="M1407" i="95"/>
  <c r="M1390" i="95"/>
  <c r="M1389" i="95" s="1"/>
  <c r="O1592" i="95"/>
  <c r="N1591" i="95"/>
  <c r="N1590" i="95" s="1"/>
  <c r="K1147" i="95"/>
  <c r="K1146" i="95" s="1"/>
  <c r="L1149" i="95"/>
  <c r="N1678" i="95"/>
  <c r="M1677" i="95"/>
  <c r="N1446" i="95"/>
  <c r="M1444" i="95"/>
  <c r="M1396" i="95"/>
  <c r="M1425" i="95"/>
  <c r="M1424" i="95" s="1"/>
  <c r="M1415" i="95"/>
  <c r="M1414" i="95" s="1"/>
  <c r="M1413" i="95" s="1"/>
  <c r="N1383" i="95"/>
  <c r="M1387" i="95"/>
  <c r="M1386" i="95" s="1"/>
  <c r="M1385" i="95" s="1"/>
  <c r="N1164" i="95"/>
  <c r="M1162" i="95"/>
  <c r="M1161" i="95" s="1"/>
  <c r="M1160" i="95" s="1"/>
  <c r="O1493" i="95"/>
  <c r="N1492" i="95"/>
  <c r="R1197" i="95"/>
  <c r="N1439" i="95"/>
  <c r="M1437" i="95"/>
  <c r="L1684" i="95" l="1"/>
  <c r="L1701" i="95" s="1"/>
  <c r="L1700" i="95" s="1"/>
  <c r="K1617" i="95"/>
  <c r="N1604" i="95"/>
  <c r="O1544" i="95"/>
  <c r="O1543" i="95" s="1"/>
  <c r="O1475" i="95"/>
  <c r="M1476" i="95"/>
  <c r="M1427" i="95"/>
  <c r="N1411" i="95"/>
  <c r="O1409" i="95"/>
  <c r="K1080" i="95"/>
  <c r="L1082" i="95"/>
  <c r="O849" i="95"/>
  <c r="O182" i="79"/>
  <c r="N180" i="79"/>
  <c r="N176" i="79" s="1"/>
  <c r="N156" i="79" s="1"/>
  <c r="L1401" i="95"/>
  <c r="L1400" i="95" s="1"/>
  <c r="M1447" i="95"/>
  <c r="M1440" i="95" s="1"/>
  <c r="M1451" i="95" s="1"/>
  <c r="M1450" i="95" s="1"/>
  <c r="N1449" i="95"/>
  <c r="O767" i="95"/>
  <c r="P754" i="95"/>
  <c r="O984" i="95"/>
  <c r="O1004" i="95"/>
  <c r="O1016" i="95" s="1"/>
  <c r="P933" i="95"/>
  <c r="O950" i="95"/>
  <c r="O963" i="95"/>
  <c r="O994" i="95"/>
  <c r="J1300" i="95"/>
  <c r="J1285" i="95" s="1"/>
  <c r="K1232" i="95"/>
  <c r="K1215" i="95" s="1"/>
  <c r="K1283" i="95" s="1"/>
  <c r="K1282" i="95" s="1"/>
  <c r="N1344" i="95"/>
  <c r="M1342" i="95"/>
  <c r="P1644" i="95"/>
  <c r="O1643" i="95"/>
  <c r="I1625" i="95"/>
  <c r="J157" i="24" s="1"/>
  <c r="L1100" i="95"/>
  <c r="O1165" i="95"/>
  <c r="K1095" i="95"/>
  <c r="L1120" i="95"/>
  <c r="M1192" i="95"/>
  <c r="M1187" i="95" s="1"/>
  <c r="J1474" i="95"/>
  <c r="K156" i="24" s="1"/>
  <c r="L1602" i="95"/>
  <c r="L1601" i="95" s="1"/>
  <c r="Q432" i="95"/>
  <c r="P439" i="95"/>
  <c r="P452" i="95"/>
  <c r="P446" i="95"/>
  <c r="N1103" i="95"/>
  <c r="M1101" i="95"/>
  <c r="I1083" i="95"/>
  <c r="J154" i="24" s="1"/>
  <c r="N1600" i="95"/>
  <c r="M1598" i="95"/>
  <c r="M1594" i="95" s="1"/>
  <c r="O1195" i="95"/>
  <c r="N1193" i="95"/>
  <c r="P1536" i="95"/>
  <c r="O1534" i="95"/>
  <c r="L1070" i="95"/>
  <c r="K1066" i="95"/>
  <c r="T1588" i="95"/>
  <c r="S1586" i="95"/>
  <c r="N1180" i="95"/>
  <c r="N1179" i="95" s="1"/>
  <c r="O1181" i="95"/>
  <c r="L1305" i="95"/>
  <c r="K1301" i="95"/>
  <c r="Q1171" i="95"/>
  <c r="P1169" i="95"/>
  <c r="L1311" i="95"/>
  <c r="K1307" i="95"/>
  <c r="P1107" i="95"/>
  <c r="Q1109" i="95"/>
  <c r="R16" i="95"/>
  <c r="Q39" i="95"/>
  <c r="N1522" i="95"/>
  <c r="O1524" i="95"/>
  <c r="J1357" i="95"/>
  <c r="J1348" i="95" s="1"/>
  <c r="K1732" i="95"/>
  <c r="J1728" i="95"/>
  <c r="J1703" i="95" s="1"/>
  <c r="M1395" i="95"/>
  <c r="M1394" i="95" s="1"/>
  <c r="O1676" i="95"/>
  <c r="N1674" i="95"/>
  <c r="P1539" i="95"/>
  <c r="O1537" i="95"/>
  <c r="O1416" i="95"/>
  <c r="O1466" i="95"/>
  <c r="N1464" i="95"/>
  <c r="N1453" i="95" s="1"/>
  <c r="Q1219" i="95"/>
  <c r="O1637" i="95"/>
  <c r="P1638" i="95"/>
  <c r="O1525" i="95"/>
  <c r="P1526" i="95"/>
  <c r="N1378" i="95"/>
  <c r="M1376" i="95"/>
  <c r="O1406" i="95"/>
  <c r="P1392" i="95"/>
  <c r="P1505" i="95"/>
  <c r="O1504" i="95"/>
  <c r="O1435" i="95"/>
  <c r="N1434" i="95"/>
  <c r="L1669" i="95"/>
  <c r="L1668" i="95" s="1"/>
  <c r="L1664" i="95" s="1"/>
  <c r="M1352" i="95"/>
  <c r="L1350" i="95"/>
  <c r="L1349" i="95" s="1"/>
  <c r="M1172" i="95"/>
  <c r="O1151" i="95"/>
  <c r="N1150" i="95"/>
  <c r="P1607" i="95"/>
  <c r="O1605" i="95"/>
  <c r="R1092" i="95"/>
  <c r="Q1118" i="95"/>
  <c r="Q1117" i="95" s="1"/>
  <c r="P1682" i="95"/>
  <c r="O1681" i="95"/>
  <c r="O1680" i="95" s="1"/>
  <c r="K1030" i="95"/>
  <c r="L1147" i="95"/>
  <c r="L1146" i="95" s="1"/>
  <c r="M1149" i="95"/>
  <c r="S702" i="95"/>
  <c r="W1068" i="95"/>
  <c r="S1098" i="95"/>
  <c r="P1629" i="95"/>
  <c r="O1628" i="95"/>
  <c r="W1204" i="95"/>
  <c r="O954" i="95"/>
  <c r="P1515" i="95"/>
  <c r="O1513" i="95"/>
  <c r="P1309" i="95"/>
  <c r="Q1339" i="95"/>
  <c r="P1337" i="95"/>
  <c r="N1661" i="95"/>
  <c r="O1662" i="95"/>
  <c r="Q1089" i="95"/>
  <c r="P1105" i="95"/>
  <c r="P1493" i="95"/>
  <c r="O1492" i="95"/>
  <c r="Q1211" i="95"/>
  <c r="P1209" i="95"/>
  <c r="Q1568" i="95"/>
  <c r="P1566" i="95"/>
  <c r="S1517" i="95"/>
  <c r="N1634" i="95"/>
  <c r="O1635" i="95"/>
  <c r="O1622" i="95"/>
  <c r="O1612" i="95"/>
  <c r="O1611" i="95" s="1"/>
  <c r="O1489" i="95"/>
  <c r="P1599" i="95"/>
  <c r="N1418" i="95"/>
  <c r="N1417" i="95" s="1"/>
  <c r="O1419" i="95"/>
  <c r="R1235" i="95"/>
  <c r="N1315" i="95"/>
  <c r="M1313" i="95"/>
  <c r="M1623" i="95"/>
  <c r="L1621" i="95"/>
  <c r="N1699" i="95"/>
  <c r="M1697" i="95"/>
  <c r="N1708" i="95"/>
  <c r="M1704" i="95"/>
  <c r="U1200" i="95"/>
  <c r="P1428" i="95"/>
  <c r="Q1429" i="95"/>
  <c r="O1446" i="95"/>
  <c r="N1444" i="95"/>
  <c r="P1129" i="95"/>
  <c r="O1127" i="95"/>
  <c r="T1548" i="95"/>
  <c r="S1546" i="95"/>
  <c r="L1076" i="95"/>
  <c r="W1576" i="95"/>
  <c r="V1574" i="95"/>
  <c r="O1164" i="95"/>
  <c r="N1162" i="95"/>
  <c r="N1161" i="95" s="1"/>
  <c r="N1160" i="95" s="1"/>
  <c r="M1141" i="95"/>
  <c r="M1140" i="95" s="1"/>
  <c r="N1143" i="95"/>
  <c r="P1496" i="95"/>
  <c r="O1495" i="95"/>
  <c r="Q1487" i="95"/>
  <c r="L1360" i="95"/>
  <c r="K1358" i="95"/>
  <c r="N1106" i="95"/>
  <c r="M1104" i="95"/>
  <c r="M1237" i="95"/>
  <c r="L1233" i="95"/>
  <c r="P1687" i="95"/>
  <c r="O1685" i="95"/>
  <c r="Q1168" i="95"/>
  <c r="P1166" i="95"/>
  <c r="S1520" i="95"/>
  <c r="O1649" i="95"/>
  <c r="P1650" i="95"/>
  <c r="N1047" i="95"/>
  <c r="O1049" i="95"/>
  <c r="O1391" i="95"/>
  <c r="N1407" i="95"/>
  <c r="N1390" i="95"/>
  <c r="N1389" i="95" s="1"/>
  <c r="S1115" i="95"/>
  <c r="P1205" i="95"/>
  <c r="O1203" i="95"/>
  <c r="O1099" i="95"/>
  <c r="N1097" i="95"/>
  <c r="N1096" i="95" s="1"/>
  <c r="R1724" i="95"/>
  <c r="Q1722" i="95"/>
  <c r="O1518" i="95"/>
  <c r="N1516" i="95"/>
  <c r="O1673" i="95"/>
  <c r="N1671" i="95"/>
  <c r="N1595" i="95"/>
  <c r="O1597" i="95"/>
  <c r="M1737" i="95"/>
  <c r="L1735" i="95"/>
  <c r="K1364" i="95"/>
  <c r="L1366" i="95"/>
  <c r="R1438" i="95"/>
  <c r="V1564" i="95"/>
  <c r="S1432" i="95"/>
  <c r="R1431" i="95"/>
  <c r="N1696" i="95"/>
  <c r="M1694" i="95"/>
  <c r="L1372" i="95"/>
  <c r="K1370" i="95"/>
  <c r="T1535" i="95"/>
  <c r="N1159" i="95"/>
  <c r="M1157" i="95"/>
  <c r="M1156" i="95" s="1"/>
  <c r="R1565" i="95"/>
  <c r="Q1562" i="95"/>
  <c r="P755" i="95"/>
  <c r="O770" i="95"/>
  <c r="S1194" i="95"/>
  <c r="P1240" i="95"/>
  <c r="Q1242" i="95"/>
  <c r="P1113" i="95"/>
  <c r="O1111" i="95"/>
  <c r="Q1584" i="95"/>
  <c r="P1582" i="95"/>
  <c r="P764" i="95"/>
  <c r="Q753" i="95"/>
  <c r="O1191" i="95"/>
  <c r="N1189" i="95"/>
  <c r="N1188" i="95" s="1"/>
  <c r="P1480" i="95"/>
  <c r="Q1481" i="95"/>
  <c r="L1254" i="95"/>
  <c r="M1256" i="95"/>
  <c r="S1538" i="95"/>
  <c r="Q350" i="95"/>
  <c r="P416" i="95"/>
  <c r="P252" i="95"/>
  <c r="P393" i="95"/>
  <c r="S1572" i="95"/>
  <c r="R1570" i="95"/>
  <c r="O1533" i="95"/>
  <c r="N1531" i="95"/>
  <c r="T1484" i="95"/>
  <c r="S1483" i="95"/>
  <c r="M1124" i="95"/>
  <c r="N1126" i="95"/>
  <c r="N1303" i="95"/>
  <c r="M1620" i="95"/>
  <c r="L1618" i="95"/>
  <c r="M1278" i="95"/>
  <c r="N1280" i="95"/>
  <c r="P1540" i="95"/>
  <c r="Q1541" i="95"/>
  <c r="P1227" i="95"/>
  <c r="P1277" i="95"/>
  <c r="O1275" i="95"/>
  <c r="S1163" i="95"/>
  <c r="N1631" i="95"/>
  <c r="O1632" i="95"/>
  <c r="S1514" i="95"/>
  <c r="M1221" i="95"/>
  <c r="L1217" i="95"/>
  <c r="L1216" i="95" s="1"/>
  <c r="N1116" i="95"/>
  <c r="M1114" i="95"/>
  <c r="M1110" i="95" s="1"/>
  <c r="P1521" i="95"/>
  <c r="O1519" i="95"/>
  <c r="P1132" i="95"/>
  <c r="O1130" i="95"/>
  <c r="Q1490" i="95"/>
  <c r="T1511" i="95"/>
  <c r="O1659" i="95"/>
  <c r="N1658" i="95"/>
  <c r="T1580" i="95"/>
  <c r="S1578" i="95"/>
  <c r="N1263" i="95"/>
  <c r="M1261" i="95"/>
  <c r="Q1327" i="95"/>
  <c r="P1325" i="95"/>
  <c r="P1717" i="95"/>
  <c r="P1716" i="95" s="1"/>
  <c r="Q1692" i="95"/>
  <c r="P1691" i="95"/>
  <c r="P1742" i="95"/>
  <c r="P1512" i="95"/>
  <c r="O1510" i="95"/>
  <c r="T1745" i="95"/>
  <c r="T1723" i="95"/>
  <c r="U1695" i="95"/>
  <c r="N1206" i="95"/>
  <c r="N1202" i="95" s="1"/>
  <c r="N1655" i="95"/>
  <c r="O1657" i="95"/>
  <c r="O1201" i="95"/>
  <c r="N1199" i="95"/>
  <c r="M1743" i="95"/>
  <c r="L1741" i="95"/>
  <c r="O1507" i="95"/>
  <c r="P1508" i="95"/>
  <c r="P1036" i="95"/>
  <c r="R1707" i="95"/>
  <c r="J1283" i="95"/>
  <c r="J1282" i="95" s="1"/>
  <c r="O1591" i="95"/>
  <c r="O1590" i="95" s="1"/>
  <c r="P1592" i="95"/>
  <c r="P1552" i="95"/>
  <c r="O1550" i="95"/>
  <c r="O1549" i="95" s="1"/>
  <c r="U1207" i="95"/>
  <c r="U1560" i="95"/>
  <c r="T1558" i="95"/>
  <c r="L1356" i="95"/>
  <c r="K1354" i="95"/>
  <c r="K1353" i="95" s="1"/>
  <c r="N1123" i="95"/>
  <c r="M1121" i="95"/>
  <c r="N1711" i="95"/>
  <c r="N1710" i="95" s="1"/>
  <c r="O1689" i="95"/>
  <c r="O1626" i="95" s="1"/>
  <c r="N1666" i="95"/>
  <c r="N1665" i="95" s="1"/>
  <c r="N1688" i="95"/>
  <c r="N1739" i="95"/>
  <c r="N1738" i="95" s="1"/>
  <c r="O1198" i="95"/>
  <c r="N1196" i="95"/>
  <c r="Q1333" i="95"/>
  <c r="P1331" i="95"/>
  <c r="L1079" i="95"/>
  <c r="K1077" i="95"/>
  <c r="M1229" i="95"/>
  <c r="L1225" i="95"/>
  <c r="L1224" i="95" s="1"/>
  <c r="P1289" i="95"/>
  <c r="O1287" i="95"/>
  <c r="O1286" i="95" s="1"/>
  <c r="Q1647" i="95"/>
  <c r="R1502" i="95"/>
  <c r="M1730" i="95"/>
  <c r="L1640" i="95"/>
  <c r="L1627" i="95" s="1"/>
  <c r="Q1498" i="95"/>
  <c r="R1499" i="95"/>
  <c r="N1247" i="95"/>
  <c r="O1249" i="95"/>
  <c r="S1197" i="95"/>
  <c r="Q1529" i="95"/>
  <c r="P1528" i="95"/>
  <c r="L1363" i="95"/>
  <c r="K1361" i="95"/>
  <c r="U1210" i="95"/>
  <c r="O466" i="95"/>
  <c r="L1746" i="95"/>
  <c r="K1744" i="95"/>
  <c r="K1734" i="95" s="1"/>
  <c r="R1461" i="95"/>
  <c r="Q1459" i="95"/>
  <c r="N1677" i="95"/>
  <c r="O1678" i="95"/>
  <c r="L1369" i="95"/>
  <c r="K1367" i="95"/>
  <c r="P1503" i="95"/>
  <c r="O1501" i="95"/>
  <c r="O1488" i="95"/>
  <c r="N1486" i="95"/>
  <c r="R1556" i="95"/>
  <c r="Q1554" i="95"/>
  <c r="P1214" i="95"/>
  <c r="O1212" i="95"/>
  <c r="O1753" i="95"/>
  <c r="N1751" i="95"/>
  <c r="O158" i="24" s="1"/>
  <c r="O837" i="95"/>
  <c r="O827" i="95"/>
  <c r="O796" i="95"/>
  <c r="O783" i="95"/>
  <c r="P757" i="95"/>
  <c r="O817" i="95"/>
  <c r="O1439" i="95"/>
  <c r="N1437" i="95"/>
  <c r="Q1672" i="95"/>
  <c r="O1648" i="95"/>
  <c r="N1646" i="95"/>
  <c r="Q1478" i="95"/>
  <c r="P1477" i="95"/>
  <c r="V1706" i="95"/>
  <c r="N1425" i="95"/>
  <c r="N1424" i="95" s="1"/>
  <c r="N1396" i="95"/>
  <c r="O1383" i="95"/>
  <c r="N1415" i="95"/>
  <c r="N1414" i="95" s="1"/>
  <c r="N1413" i="95" s="1"/>
  <c r="N1387" i="95"/>
  <c r="N1386" i="95" s="1"/>
  <c r="N1385" i="95" s="1"/>
  <c r="V1131" i="95"/>
  <c r="O1748" i="95"/>
  <c r="O1747" i="95" s="1"/>
  <c r="O1729" i="95"/>
  <c r="P1698" i="95"/>
  <c r="Q1472" i="95"/>
  <c r="P1470" i="95"/>
  <c r="P1469" i="95" s="1"/>
  <c r="R1532" i="95"/>
  <c r="O1268" i="95"/>
  <c r="P1270" i="95"/>
  <c r="Q1641" i="95"/>
  <c r="O1443" i="95"/>
  <c r="N1441" i="95"/>
  <c r="T1213" i="95"/>
  <c r="O1177" i="95"/>
  <c r="N1174" i="95"/>
  <c r="N1173" i="95" s="1"/>
  <c r="N1184" i="95"/>
  <c r="N1183" i="95" s="1"/>
  <c r="O1136" i="95"/>
  <c r="N1134" i="95"/>
  <c r="N1133" i="95" s="1"/>
  <c r="N1321" i="95"/>
  <c r="M1319" i="95"/>
  <c r="P1652" i="95"/>
  <c r="Q1653" i="95"/>
  <c r="V1128" i="95"/>
  <c r="L1024" i="95"/>
  <c r="P1456" i="95"/>
  <c r="O1454" i="95"/>
  <c r="M1375" i="95"/>
  <c r="L1373" i="95"/>
  <c r="T1296" i="95"/>
  <c r="S1294" i="95"/>
  <c r="S1293" i="95" s="1"/>
  <c r="L1617" i="95" l="1"/>
  <c r="M1684" i="95"/>
  <c r="M1701" i="95" s="1"/>
  <c r="M1700" i="95" s="1"/>
  <c r="O1604" i="95"/>
  <c r="N1476" i="95"/>
  <c r="P1475" i="95"/>
  <c r="P1544" i="95"/>
  <c r="P1543" i="95" s="1"/>
  <c r="N1427" i="95"/>
  <c r="O1411" i="95"/>
  <c r="P1409" i="95"/>
  <c r="L1080" i="95"/>
  <c r="M1082" i="95"/>
  <c r="P849" i="95"/>
  <c r="P182" i="79"/>
  <c r="O180" i="79"/>
  <c r="O176" i="79" s="1"/>
  <c r="O156" i="79" s="1"/>
  <c r="Q933" i="95"/>
  <c r="P950" i="95"/>
  <c r="P1004" i="95"/>
  <c r="P1016" i="95" s="1"/>
  <c r="P994" i="95"/>
  <c r="P984" i="95"/>
  <c r="P963" i="95"/>
  <c r="P767" i="95"/>
  <c r="Q754" i="95"/>
  <c r="O1449" i="95"/>
  <c r="N1447" i="95"/>
  <c r="N1440" i="95" s="1"/>
  <c r="N1451" i="95" s="1"/>
  <c r="N1450" i="95" s="1"/>
  <c r="L1095" i="95"/>
  <c r="L1232" i="95"/>
  <c r="L1215" i="95" s="1"/>
  <c r="K1300" i="95"/>
  <c r="K1285" i="95" s="1"/>
  <c r="P1643" i="95"/>
  <c r="Q1644" i="95"/>
  <c r="O1344" i="95"/>
  <c r="N1342" i="95"/>
  <c r="K1474" i="95"/>
  <c r="L156" i="24" s="1"/>
  <c r="M1602" i="95"/>
  <c r="M1601" i="95" s="1"/>
  <c r="M1100" i="95"/>
  <c r="N1192" i="95"/>
  <c r="N1187" i="95" s="1"/>
  <c r="P1165" i="95"/>
  <c r="Q439" i="95"/>
  <c r="Q446" i="95"/>
  <c r="R432" i="95"/>
  <c r="Q452" i="95"/>
  <c r="N1101" i="95"/>
  <c r="O1103" i="95"/>
  <c r="J1083" i="95"/>
  <c r="K154" i="24" s="1"/>
  <c r="O1180" i="95"/>
  <c r="O1179" i="95" s="1"/>
  <c r="P1181" i="95"/>
  <c r="M1070" i="95"/>
  <c r="L1066" i="95"/>
  <c r="L1732" i="95"/>
  <c r="K1728" i="95"/>
  <c r="K1703" i="95" s="1"/>
  <c r="R1109" i="95"/>
  <c r="Q1107" i="95"/>
  <c r="R39" i="95"/>
  <c r="S16" i="95"/>
  <c r="Q1539" i="95"/>
  <c r="P1537" i="95"/>
  <c r="J1625" i="95"/>
  <c r="K157" i="24" s="1"/>
  <c r="U1588" i="95"/>
  <c r="T1586" i="95"/>
  <c r="Q1169" i="95"/>
  <c r="R1171" i="95"/>
  <c r="P1676" i="95"/>
  <c r="O1674" i="95"/>
  <c r="O1600" i="95"/>
  <c r="N1598" i="95"/>
  <c r="N1594" i="95" s="1"/>
  <c r="M1311" i="95"/>
  <c r="L1307" i="95"/>
  <c r="M1305" i="95"/>
  <c r="L1301" i="95"/>
  <c r="P1195" i="95"/>
  <c r="O1193" i="95"/>
  <c r="P1524" i="95"/>
  <c r="O1522" i="95"/>
  <c r="Q1536" i="95"/>
  <c r="P1534" i="95"/>
  <c r="M1401" i="95"/>
  <c r="M1400" i="95" s="1"/>
  <c r="S1438" i="95"/>
  <c r="N1730" i="95"/>
  <c r="U1511" i="95"/>
  <c r="U1484" i="95"/>
  <c r="T1483" i="95"/>
  <c r="Q1240" i="95"/>
  <c r="R1242" i="95"/>
  <c r="M1372" i="95"/>
  <c r="L1370" i="95"/>
  <c r="P1673" i="95"/>
  <c r="O1671" i="95"/>
  <c r="R1168" i="95"/>
  <c r="Q1166" i="95"/>
  <c r="O1106" i="95"/>
  <c r="N1104" i="95"/>
  <c r="V1200" i="95"/>
  <c r="N1623" i="95"/>
  <c r="M1621" i="95"/>
  <c r="P1612" i="95"/>
  <c r="P1611" i="95" s="1"/>
  <c r="Q1599" i="95"/>
  <c r="P1622" i="95"/>
  <c r="P1489" i="95"/>
  <c r="O1150" i="95"/>
  <c r="P1151" i="95"/>
  <c r="P1406" i="95"/>
  <c r="Q1392" i="95"/>
  <c r="Q1652" i="95"/>
  <c r="R1653" i="95"/>
  <c r="N1172" i="95"/>
  <c r="M1363" i="95"/>
  <c r="L1361" i="95"/>
  <c r="O1206" i="95"/>
  <c r="O1202" i="95" s="1"/>
  <c r="R1327" i="95"/>
  <c r="Q1325" i="95"/>
  <c r="T1514" i="95"/>
  <c r="Q1227" i="95"/>
  <c r="T1572" i="95"/>
  <c r="S1570" i="95"/>
  <c r="O1407" i="95"/>
  <c r="P1391" i="95"/>
  <c r="O1390" i="95"/>
  <c r="O1389" i="95" s="1"/>
  <c r="P1685" i="95"/>
  <c r="Q1687" i="95"/>
  <c r="K1357" i="95"/>
  <c r="K1348" i="95" s="1"/>
  <c r="P1164" i="95"/>
  <c r="O1162" i="95"/>
  <c r="O1161" i="95" s="1"/>
  <c r="O1160" i="95" s="1"/>
  <c r="P1446" i="95"/>
  <c r="O1444" i="95"/>
  <c r="R1568" i="95"/>
  <c r="Q1566" i="95"/>
  <c r="Q1309" i="95"/>
  <c r="Q1515" i="95"/>
  <c r="P1513" i="95"/>
  <c r="O1174" i="95"/>
  <c r="O1173" i="95" s="1"/>
  <c r="O1184" i="95"/>
  <c r="O1183" i="95" s="1"/>
  <c r="P1177" i="95"/>
  <c r="P837" i="95"/>
  <c r="P827" i="95"/>
  <c r="P796" i="95"/>
  <c r="P783" i="95"/>
  <c r="Q757" i="95"/>
  <c r="P817" i="95"/>
  <c r="S1502" i="95"/>
  <c r="O1116" i="95"/>
  <c r="N1114" i="95"/>
  <c r="N1110" i="95" s="1"/>
  <c r="O1631" i="95"/>
  <c r="P1632" i="95"/>
  <c r="Q1540" i="95"/>
  <c r="R1541" i="95"/>
  <c r="O1159" i="95"/>
  <c r="N1157" i="95"/>
  <c r="N1156" i="95" s="1"/>
  <c r="O1047" i="95"/>
  <c r="P1049" i="95"/>
  <c r="M1360" i="95"/>
  <c r="L1358" i="95"/>
  <c r="O1315" i="95"/>
  <c r="N1313" i="95"/>
  <c r="P954" i="95"/>
  <c r="T702" i="95"/>
  <c r="P1525" i="95"/>
  <c r="Q1526" i="95"/>
  <c r="M1076" i="95"/>
  <c r="R1339" i="95"/>
  <c r="Q1337" i="95"/>
  <c r="P1681" i="95"/>
  <c r="P1680" i="95" s="1"/>
  <c r="Q1682" i="95"/>
  <c r="P1416" i="95"/>
  <c r="P1268" i="95"/>
  <c r="Q1270" i="95"/>
  <c r="P1753" i="95"/>
  <c r="O1751" i="95"/>
  <c r="P158" i="24" s="1"/>
  <c r="P1198" i="95"/>
  <c r="O1196" i="95"/>
  <c r="Q1552" i="95"/>
  <c r="P1550" i="95"/>
  <c r="P1549" i="95" s="1"/>
  <c r="Q1036" i="95"/>
  <c r="R1584" i="95"/>
  <c r="Q1582" i="95"/>
  <c r="Q1205" i="95"/>
  <c r="P1203" i="95"/>
  <c r="O1699" i="95"/>
  <c r="N1697" i="95"/>
  <c r="R1089" i="95"/>
  <c r="Q1105" i="95"/>
  <c r="U1296" i="95"/>
  <c r="T1294" i="95"/>
  <c r="T1293" i="95" s="1"/>
  <c r="P1648" i="95"/>
  <c r="O1646" i="95"/>
  <c r="Q1289" i="95"/>
  <c r="P1287" i="95"/>
  <c r="P1286" i="95" s="1"/>
  <c r="Q1650" i="95"/>
  <c r="P1649" i="95"/>
  <c r="Q1493" i="95"/>
  <c r="P1492" i="95"/>
  <c r="Q1214" i="95"/>
  <c r="P1212" i="95"/>
  <c r="T1197" i="95"/>
  <c r="M1356" i="95"/>
  <c r="L1354" i="95"/>
  <c r="L1353" i="95" s="1"/>
  <c r="M1254" i="95"/>
  <c r="N1256" i="95"/>
  <c r="M1669" i="95"/>
  <c r="M1668" i="95" s="1"/>
  <c r="M1664" i="95" s="1"/>
  <c r="W1706" i="95"/>
  <c r="Q1503" i="95"/>
  <c r="P1501" i="95"/>
  <c r="V1207" i="95"/>
  <c r="S1724" i="95"/>
  <c r="R1722" i="95"/>
  <c r="O1464" i="95"/>
  <c r="O1453" i="95" s="1"/>
  <c r="P1466" i="95"/>
  <c r="P1729" i="95"/>
  <c r="P1748" i="95"/>
  <c r="P1747" i="95" s="1"/>
  <c r="Q1698" i="95"/>
  <c r="M1640" i="95"/>
  <c r="M1627" i="95" s="1"/>
  <c r="R1647" i="95"/>
  <c r="O1711" i="95"/>
  <c r="O1710" i="95" s="1"/>
  <c r="O1739" i="95"/>
  <c r="O1738" i="95" s="1"/>
  <c r="P1689" i="95"/>
  <c r="P1626" i="95" s="1"/>
  <c r="O1688" i="95"/>
  <c r="O1666" i="95"/>
  <c r="O1665" i="95" s="1"/>
  <c r="M1120" i="95"/>
  <c r="P1657" i="95"/>
  <c r="O1655" i="95"/>
  <c r="Q1512" i="95"/>
  <c r="P1510" i="95"/>
  <c r="Q1132" i="95"/>
  <c r="P1130" i="95"/>
  <c r="Q252" i="95"/>
  <c r="Q416" i="95"/>
  <c r="Q393" i="95"/>
  <c r="R350" i="95"/>
  <c r="Q764" i="95"/>
  <c r="R753" i="95"/>
  <c r="U1535" i="95"/>
  <c r="T1520" i="95"/>
  <c r="N1141" i="95"/>
  <c r="N1140" i="95" s="1"/>
  <c r="O1143" i="95"/>
  <c r="S1235" i="95"/>
  <c r="L1030" i="95"/>
  <c r="S1092" i="95"/>
  <c r="R1118" i="95"/>
  <c r="R1117" i="95" s="1"/>
  <c r="O1434" i="95"/>
  <c r="P1435" i="95"/>
  <c r="R1219" i="95"/>
  <c r="R1478" i="95"/>
  <c r="Q1477" i="95"/>
  <c r="T1115" i="95"/>
  <c r="W1131" i="95"/>
  <c r="V1560" i="95"/>
  <c r="U1558" i="95"/>
  <c r="S1707" i="95"/>
  <c r="Q1277" i="95"/>
  <c r="P1275" i="95"/>
  <c r="O1303" i="95"/>
  <c r="Q1113" i="95"/>
  <c r="P1111" i="95"/>
  <c r="N1737" i="95"/>
  <c r="M1735" i="95"/>
  <c r="P1099" i="95"/>
  <c r="O1097" i="95"/>
  <c r="O1096" i="95" s="1"/>
  <c r="Q1505" i="95"/>
  <c r="P1504" i="95"/>
  <c r="O1378" i="95"/>
  <c r="N1376" i="95"/>
  <c r="R1672" i="95"/>
  <c r="U1213" i="95"/>
  <c r="P1383" i="95"/>
  <c r="O1425" i="95"/>
  <c r="O1424" i="95" s="1"/>
  <c r="O1387" i="95"/>
  <c r="O1386" i="95" s="1"/>
  <c r="O1385" i="95" s="1"/>
  <c r="O1396" i="95"/>
  <c r="O1415" i="95"/>
  <c r="O1414" i="95" s="1"/>
  <c r="O1413" i="95" s="1"/>
  <c r="P1488" i="95"/>
  <c r="O1486" i="95"/>
  <c r="O1677" i="95"/>
  <c r="P1678" i="95"/>
  <c r="S1461" i="95"/>
  <c r="R1459" i="95"/>
  <c r="R1529" i="95"/>
  <c r="Q1528" i="95"/>
  <c r="S1499" i="95"/>
  <c r="R1498" i="95"/>
  <c r="N1229" i="95"/>
  <c r="M1225" i="95"/>
  <c r="M1224" i="95" s="1"/>
  <c r="U1723" i="95"/>
  <c r="U1745" i="95"/>
  <c r="V1695" i="95"/>
  <c r="O1263" i="95"/>
  <c r="N1261" i="95"/>
  <c r="Q1521" i="95"/>
  <c r="P1519" i="95"/>
  <c r="O1696" i="95"/>
  <c r="N1694" i="95"/>
  <c r="M1366" i="95"/>
  <c r="L1364" i="95"/>
  <c r="R1211" i="95"/>
  <c r="Q1209" i="95"/>
  <c r="M1024" i="95"/>
  <c r="O1321" i="95"/>
  <c r="N1319" i="95"/>
  <c r="R1472" i="95"/>
  <c r="Q1470" i="95"/>
  <c r="Q1469" i="95" s="1"/>
  <c r="N1395" i="95"/>
  <c r="N1278" i="95"/>
  <c r="O1280" i="95"/>
  <c r="Q1480" i="95"/>
  <c r="R1481" i="95"/>
  <c r="R1487" i="95"/>
  <c r="M1147" i="95"/>
  <c r="M1146" i="95" s="1"/>
  <c r="N1149" i="95"/>
  <c r="Q1638" i="95"/>
  <c r="P1637" i="95"/>
  <c r="M1746" i="95"/>
  <c r="L1744" i="95"/>
  <c r="L1734" i="95" s="1"/>
  <c r="L1077" i="95"/>
  <c r="M1079" i="95"/>
  <c r="P1591" i="95"/>
  <c r="P1590" i="95" s="1"/>
  <c r="Q1592" i="95"/>
  <c r="Q1742" i="95"/>
  <c r="Q1717" i="95"/>
  <c r="Q1716" i="95" s="1"/>
  <c r="Q1691" i="95"/>
  <c r="R1692" i="95"/>
  <c r="R1490" i="95"/>
  <c r="T1163" i="95"/>
  <c r="T1194" i="95"/>
  <c r="P1518" i="95"/>
  <c r="O1516" i="95"/>
  <c r="O1661" i="95"/>
  <c r="P1662" i="95"/>
  <c r="X1204" i="95"/>
  <c r="P1136" i="95"/>
  <c r="O1134" i="95"/>
  <c r="O1133" i="95" s="1"/>
  <c r="O1441" i="95"/>
  <c r="P1443" i="95"/>
  <c r="M1369" i="95"/>
  <c r="L1367" i="95"/>
  <c r="N1124" i="95"/>
  <c r="O1126" i="95"/>
  <c r="T1432" i="95"/>
  <c r="S1431" i="95"/>
  <c r="N1375" i="95"/>
  <c r="M1373" i="95"/>
  <c r="N1743" i="95"/>
  <c r="M1741" i="95"/>
  <c r="P1201" i="95"/>
  <c r="O1199" i="95"/>
  <c r="T1578" i="95"/>
  <c r="U1580" i="95"/>
  <c r="N1620" i="95"/>
  <c r="M1618" i="95"/>
  <c r="P1191" i="95"/>
  <c r="O1189" i="95"/>
  <c r="O1188" i="95" s="1"/>
  <c r="Q755" i="95"/>
  <c r="P770" i="95"/>
  <c r="P1597" i="95"/>
  <c r="O1595" i="95"/>
  <c r="Q1496" i="95"/>
  <c r="P1495" i="95"/>
  <c r="U1548" i="95"/>
  <c r="T1546" i="95"/>
  <c r="P1628" i="95"/>
  <c r="Q1629" i="95"/>
  <c r="P1439" i="95"/>
  <c r="O1437" i="95"/>
  <c r="S1556" i="95"/>
  <c r="R1554" i="95"/>
  <c r="R1641" i="95"/>
  <c r="P466" i="95"/>
  <c r="N1121" i="95"/>
  <c r="O1123" i="95"/>
  <c r="P1659" i="95"/>
  <c r="O1658" i="95"/>
  <c r="N1221" i="95"/>
  <c r="M1217" i="95"/>
  <c r="M1216" i="95" s="1"/>
  <c r="P1533" i="95"/>
  <c r="O1531" i="95"/>
  <c r="W1564" i="95"/>
  <c r="N1237" i="95"/>
  <c r="M1233" i="95"/>
  <c r="X1576" i="95"/>
  <c r="W1574" i="95"/>
  <c r="Q1129" i="95"/>
  <c r="P1127" i="95"/>
  <c r="Q1428" i="95"/>
  <c r="R1429" i="95"/>
  <c r="O1708" i="95"/>
  <c r="N1704" i="95"/>
  <c r="P1635" i="95"/>
  <c r="O1634" i="95"/>
  <c r="T1517" i="95"/>
  <c r="T1098" i="95"/>
  <c r="Q1456" i="95"/>
  <c r="P1454" i="95"/>
  <c r="W1128" i="95"/>
  <c r="S1532" i="95"/>
  <c r="V1210" i="95"/>
  <c r="O1247" i="95"/>
  <c r="P1249" i="95"/>
  <c r="R1333" i="95"/>
  <c r="Q1331" i="95"/>
  <c r="Q1508" i="95"/>
  <c r="P1507" i="95"/>
  <c r="T1538" i="95"/>
  <c r="S1565" i="95"/>
  <c r="R1562" i="95"/>
  <c r="P1419" i="95"/>
  <c r="O1418" i="95"/>
  <c r="O1417" i="95" s="1"/>
  <c r="X1068" i="95"/>
  <c r="P1605" i="95"/>
  <c r="Q1607" i="95"/>
  <c r="N1352" i="95"/>
  <c r="M1350" i="95"/>
  <c r="M1349" i="95" s="1"/>
  <c r="N1684" i="95" l="1"/>
  <c r="N1701" i="95" s="1"/>
  <c r="N1700" i="95" s="1"/>
  <c r="M1617" i="95"/>
  <c r="P1604" i="95"/>
  <c r="Q1544" i="95"/>
  <c r="Q1543" i="95" s="1"/>
  <c r="Q1475" i="95"/>
  <c r="O1476" i="95"/>
  <c r="O1427" i="95"/>
  <c r="P1411" i="95"/>
  <c r="Q1409" i="95"/>
  <c r="M1080" i="95"/>
  <c r="N1082" i="95"/>
  <c r="Q849" i="95"/>
  <c r="K1625" i="95"/>
  <c r="L157" i="24" s="1"/>
  <c r="Q182" i="79"/>
  <c r="P180" i="79"/>
  <c r="P176" i="79" s="1"/>
  <c r="P156" i="79" s="1"/>
  <c r="O1447" i="95"/>
  <c r="O1440" i="95" s="1"/>
  <c r="O1451" i="95" s="1"/>
  <c r="O1450" i="95" s="1"/>
  <c r="P1449" i="95"/>
  <c r="Q767" i="95"/>
  <c r="R754" i="95"/>
  <c r="Q963" i="95"/>
  <c r="R933" i="95"/>
  <c r="Q1004" i="95"/>
  <c r="Q1016" i="95" s="1"/>
  <c r="Q994" i="95"/>
  <c r="Q950" i="95"/>
  <c r="Q984" i="95"/>
  <c r="M1232" i="95"/>
  <c r="M1215" i="95" s="1"/>
  <c r="M1283" i="95" s="1"/>
  <c r="M1282" i="95" s="1"/>
  <c r="K1083" i="95"/>
  <c r="L154" i="24" s="1"/>
  <c r="O1342" i="95"/>
  <c r="P1344" i="95"/>
  <c r="Q1643" i="95"/>
  <c r="R1644" i="95"/>
  <c r="L1300" i="95"/>
  <c r="L1285" i="95" s="1"/>
  <c r="L1474" i="95"/>
  <c r="M156" i="24" s="1"/>
  <c r="M1095" i="95"/>
  <c r="N1602" i="95"/>
  <c r="N1601" i="95" s="1"/>
  <c r="Q1165" i="95"/>
  <c r="N1100" i="95"/>
  <c r="R452" i="95"/>
  <c r="R446" i="95"/>
  <c r="S432" i="95"/>
  <c r="R439" i="95"/>
  <c r="N1120" i="95"/>
  <c r="P1103" i="95"/>
  <c r="O1101" i="95"/>
  <c r="N1311" i="95"/>
  <c r="M1307" i="95"/>
  <c r="M1732" i="95"/>
  <c r="L1728" i="95"/>
  <c r="L1703" i="95" s="1"/>
  <c r="U1586" i="95"/>
  <c r="V1588" i="95"/>
  <c r="R1536" i="95"/>
  <c r="Q1534" i="95"/>
  <c r="Q1524" i="95"/>
  <c r="P1522" i="95"/>
  <c r="Q1195" i="95"/>
  <c r="P1193" i="95"/>
  <c r="T16" i="95"/>
  <c r="S39" i="95"/>
  <c r="P1600" i="95"/>
  <c r="O1598" i="95"/>
  <c r="O1594" i="95" s="1"/>
  <c r="R1169" i="95"/>
  <c r="S1171" i="95"/>
  <c r="Q1676" i="95"/>
  <c r="P1674" i="95"/>
  <c r="N1070" i="95"/>
  <c r="M1066" i="95"/>
  <c r="R1539" i="95"/>
  <c r="Q1537" i="95"/>
  <c r="N1305" i="95"/>
  <c r="M1301" i="95"/>
  <c r="S1109" i="95"/>
  <c r="R1107" i="95"/>
  <c r="Q1181" i="95"/>
  <c r="P1180" i="95"/>
  <c r="P1179" i="95" s="1"/>
  <c r="P1708" i="95"/>
  <c r="O1704" i="95"/>
  <c r="Y1204" i="95"/>
  <c r="Q1111" i="95"/>
  <c r="R1113" i="95"/>
  <c r="S1327" i="95"/>
  <c r="R1325" i="95"/>
  <c r="Q466" i="95"/>
  <c r="N1618" i="95"/>
  <c r="O1620" i="95"/>
  <c r="Q1268" i="95"/>
  <c r="R1270" i="95"/>
  <c r="R1309" i="95"/>
  <c r="Q1391" i="95"/>
  <c r="P1407" i="95"/>
  <c r="P1390" i="95"/>
  <c r="P1389" i="95" s="1"/>
  <c r="M1361" i="95"/>
  <c r="N1363" i="95"/>
  <c r="P1150" i="95"/>
  <c r="Q1151" i="95"/>
  <c r="R1456" i="95"/>
  <c r="Q1454" i="95"/>
  <c r="Q1628" i="95"/>
  <c r="R1629" i="95"/>
  <c r="R1512" i="95"/>
  <c r="Q1510" i="95"/>
  <c r="U1197" i="95"/>
  <c r="O1172" i="95"/>
  <c r="P1206" i="95"/>
  <c r="P1202" i="95" s="1"/>
  <c r="Q1622" i="95"/>
  <c r="Q1612" i="95"/>
  <c r="Q1611" i="95" s="1"/>
  <c r="Q1489" i="95"/>
  <c r="R1599" i="95"/>
  <c r="P1106" i="95"/>
  <c r="O1104" i="95"/>
  <c r="S1333" i="95"/>
  <c r="R1331" i="95"/>
  <c r="R1129" i="95"/>
  <c r="Q1127" i="95"/>
  <c r="Q1533" i="95"/>
  <c r="P1531" i="95"/>
  <c r="V1548" i="95"/>
  <c r="U1546" i="95"/>
  <c r="Q1518" i="95"/>
  <c r="P1516" i="95"/>
  <c r="R1521" i="95"/>
  <c r="Q1519" i="95"/>
  <c r="O1395" i="95"/>
  <c r="S1647" i="95"/>
  <c r="Q1164" i="95"/>
  <c r="P1162" i="95"/>
  <c r="P1161" i="95" s="1"/>
  <c r="P1160" i="95" s="1"/>
  <c r="T1570" i="95"/>
  <c r="U1572" i="95"/>
  <c r="N1372" i="95"/>
  <c r="M1370" i="95"/>
  <c r="R1607" i="95"/>
  <c r="Q1605" i="95"/>
  <c r="P1418" i="95"/>
  <c r="P1417" i="95" s="1"/>
  <c r="Q1419" i="95"/>
  <c r="U1163" i="95"/>
  <c r="S1487" i="95"/>
  <c r="S1211" i="95"/>
  <c r="R1209" i="95"/>
  <c r="Q1681" i="95"/>
  <c r="Q1680" i="95" s="1"/>
  <c r="R1682" i="95"/>
  <c r="T1565" i="95"/>
  <c r="S1562" i="95"/>
  <c r="U1098" i="95"/>
  <c r="Y1576" i="95"/>
  <c r="X1574" i="95"/>
  <c r="T1431" i="95"/>
  <c r="U1432" i="95"/>
  <c r="N1369" i="95"/>
  <c r="M1367" i="95"/>
  <c r="P1263" i="95"/>
  <c r="O1261" i="95"/>
  <c r="S1219" i="95"/>
  <c r="V1535" i="95"/>
  <c r="R1503" i="95"/>
  <c r="Q1501" i="95"/>
  <c r="R1214" i="95"/>
  <c r="Q1212" i="95"/>
  <c r="R1227" i="95"/>
  <c r="S1653" i="95"/>
  <c r="R1652" i="95"/>
  <c r="S1168" i="95"/>
  <c r="R1166" i="95"/>
  <c r="Y1068" i="95"/>
  <c r="Q1635" i="95"/>
  <c r="P1634" i="95"/>
  <c r="O1121" i="95"/>
  <c r="P1123" i="95"/>
  <c r="O1743" i="95"/>
  <c r="N1741" i="95"/>
  <c r="O1375" i="95"/>
  <c r="N1373" i="95"/>
  <c r="R1480" i="95"/>
  <c r="S1481" i="95"/>
  <c r="N1366" i="95"/>
  <c r="M1364" i="95"/>
  <c r="T1461" i="95"/>
  <c r="S1459" i="95"/>
  <c r="P1415" i="95"/>
  <c r="P1414" i="95" s="1"/>
  <c r="P1413" i="95" s="1"/>
  <c r="P1425" i="95"/>
  <c r="P1424" i="95" s="1"/>
  <c r="P1387" i="95"/>
  <c r="P1386" i="95" s="1"/>
  <c r="P1385" i="95" s="1"/>
  <c r="Q1383" i="95"/>
  <c r="P1396" i="95"/>
  <c r="O1141" i="95"/>
  <c r="O1140" i="95" s="1"/>
  <c r="P1143" i="95"/>
  <c r="N1640" i="95"/>
  <c r="N1627" i="95" s="1"/>
  <c r="R1036" i="95"/>
  <c r="U702" i="95"/>
  <c r="P1315" i="95"/>
  <c r="O1313" i="95"/>
  <c r="Q1632" i="95"/>
  <c r="P1631" i="95"/>
  <c r="R1566" i="95"/>
  <c r="S1568" i="95"/>
  <c r="O1623" i="95"/>
  <c r="N1621" i="95"/>
  <c r="R1240" i="95"/>
  <c r="S1242" i="95"/>
  <c r="O1221" i="95"/>
  <c r="N1217" i="95"/>
  <c r="N1216" i="95" s="1"/>
  <c r="R764" i="95"/>
  <c r="S753" i="95"/>
  <c r="N1076" i="95"/>
  <c r="U1538" i="95"/>
  <c r="S1429" i="95"/>
  <c r="R1428" i="95"/>
  <c r="O1229" i="95"/>
  <c r="N1225" i="95"/>
  <c r="N1224" i="95" s="1"/>
  <c r="S1641" i="95"/>
  <c r="Q1597" i="95"/>
  <c r="P1595" i="95"/>
  <c r="M1077" i="95"/>
  <c r="N1079" i="95"/>
  <c r="T1235" i="95"/>
  <c r="P1159" i="95"/>
  <c r="O1157" i="95"/>
  <c r="O1156" i="95" s="1"/>
  <c r="T1499" i="95"/>
  <c r="S1498" i="95"/>
  <c r="Q1416" i="95"/>
  <c r="Q1049" i="95"/>
  <c r="P1047" i="95"/>
  <c r="U1483" i="95"/>
  <c r="V1484" i="95"/>
  <c r="U1517" i="95"/>
  <c r="R1528" i="95"/>
  <c r="S1529" i="95"/>
  <c r="R1540" i="95"/>
  <c r="S1541" i="95"/>
  <c r="T1532" i="95"/>
  <c r="S1554" i="95"/>
  <c r="T1556" i="95"/>
  <c r="N1401" i="95"/>
  <c r="N1400" i="95" s="1"/>
  <c r="N1394" i="95"/>
  <c r="P1303" i="95"/>
  <c r="X1131" i="95"/>
  <c r="P1434" i="95"/>
  <c r="Q1435" i="95"/>
  <c r="L1283" i="95"/>
  <c r="L1282" i="95" s="1"/>
  <c r="T1724" i="95"/>
  <c r="S1722" i="95"/>
  <c r="X1706" i="95"/>
  <c r="N1254" i="95"/>
  <c r="O1256" i="95"/>
  <c r="R1289" i="95"/>
  <c r="Q1287" i="95"/>
  <c r="Q1286" i="95" s="1"/>
  <c r="S1089" i="95"/>
  <c r="R1105" i="95"/>
  <c r="T1502" i="95"/>
  <c r="Q1685" i="95"/>
  <c r="R1687" i="95"/>
  <c r="U1514" i="95"/>
  <c r="W1200" i="95"/>
  <c r="V1511" i="95"/>
  <c r="R1508" i="95"/>
  <c r="Q1507" i="95"/>
  <c r="R1505" i="95"/>
  <c r="Q1504" i="95"/>
  <c r="R252" i="95"/>
  <c r="R393" i="95"/>
  <c r="R416" i="95"/>
  <c r="S350" i="95"/>
  <c r="W1210" i="95"/>
  <c r="R755" i="95"/>
  <c r="Q770" i="95"/>
  <c r="T1438" i="95"/>
  <c r="O1237" i="95"/>
  <c r="N1233" i="95"/>
  <c r="Q1662" i="95"/>
  <c r="P1661" i="95"/>
  <c r="T1707" i="95"/>
  <c r="X1564" i="95"/>
  <c r="P1658" i="95"/>
  <c r="Q1659" i="95"/>
  <c r="N1669" i="95"/>
  <c r="N1668" i="95" s="1"/>
  <c r="N1664" i="95" s="1"/>
  <c r="O1124" i="95"/>
  <c r="P1126" i="95"/>
  <c r="R1638" i="95"/>
  <c r="Q1637" i="95"/>
  <c r="P1280" i="95"/>
  <c r="O1278" i="95"/>
  <c r="P1696" i="95"/>
  <c r="O1694" i="95"/>
  <c r="V1745" i="95"/>
  <c r="V1723" i="95"/>
  <c r="W1695" i="95"/>
  <c r="S1118" i="95"/>
  <c r="S1117" i="95" s="1"/>
  <c r="T1092" i="95"/>
  <c r="P1739" i="95"/>
  <c r="P1738" i="95" s="1"/>
  <c r="Q1689" i="95"/>
  <c r="Q1626" i="95" s="1"/>
  <c r="P1688" i="95"/>
  <c r="P1666" i="95"/>
  <c r="P1665" i="95" s="1"/>
  <c r="P1711" i="95"/>
  <c r="P1710" i="95" s="1"/>
  <c r="Q1748" i="95"/>
  <c r="Q1747" i="95" s="1"/>
  <c r="R1698" i="95"/>
  <c r="Q1729" i="95"/>
  <c r="R1205" i="95"/>
  <c r="Q1203" i="95"/>
  <c r="Q1550" i="95"/>
  <c r="Q1549" i="95" s="1"/>
  <c r="R1552" i="95"/>
  <c r="L1357" i="95"/>
  <c r="L1348" i="95" s="1"/>
  <c r="P1321" i="95"/>
  <c r="O1319" i="95"/>
  <c r="V1213" i="95"/>
  <c r="Q1446" i="95"/>
  <c r="P1444" i="95"/>
  <c r="N1024" i="95"/>
  <c r="S1672" i="95"/>
  <c r="P1699" i="95"/>
  <c r="O1697" i="95"/>
  <c r="O1352" i="95"/>
  <c r="N1350" i="95"/>
  <c r="N1349" i="95" s="1"/>
  <c r="P1655" i="95"/>
  <c r="Q1657" i="95"/>
  <c r="R757" i="95"/>
  <c r="Q796" i="95"/>
  <c r="Q783" i="95"/>
  <c r="Q817" i="95"/>
  <c r="Q837" i="95"/>
  <c r="Q827" i="95"/>
  <c r="Q1201" i="95"/>
  <c r="P1199" i="95"/>
  <c r="P1189" i="95"/>
  <c r="P1188" i="95" s="1"/>
  <c r="Q1191" i="95"/>
  <c r="U1194" i="95"/>
  <c r="R1592" i="95"/>
  <c r="Q1591" i="95"/>
  <c r="Q1590" i="95" s="1"/>
  <c r="N1746" i="95"/>
  <c r="M1744" i="95"/>
  <c r="M1734" i="95" s="1"/>
  <c r="Q1678" i="95"/>
  <c r="P1677" i="95"/>
  <c r="Q1099" i="95"/>
  <c r="P1097" i="95"/>
  <c r="P1096" i="95" s="1"/>
  <c r="S1339" i="95"/>
  <c r="R1337" i="95"/>
  <c r="Q1439" i="95"/>
  <c r="P1437" i="95"/>
  <c r="Q1495" i="95"/>
  <c r="R1496" i="95"/>
  <c r="S1472" i="95"/>
  <c r="R1470" i="95"/>
  <c r="R1469" i="95" s="1"/>
  <c r="O1737" i="95"/>
  <c r="N1735" i="95"/>
  <c r="R1277" i="95"/>
  <c r="Q1275" i="95"/>
  <c r="V1558" i="95"/>
  <c r="W1560" i="95"/>
  <c r="M1030" i="95"/>
  <c r="R1132" i="95"/>
  <c r="Q1130" i="95"/>
  <c r="R1493" i="95"/>
  <c r="Q1492" i="95"/>
  <c r="Q1648" i="95"/>
  <c r="P1646" i="95"/>
  <c r="O1192" i="95"/>
  <c r="O1187" i="95" s="1"/>
  <c r="R1526" i="95"/>
  <c r="Q1525" i="95"/>
  <c r="N1360" i="95"/>
  <c r="M1358" i="95"/>
  <c r="P1116" i="95"/>
  <c r="O1114" i="95"/>
  <c r="O1110" i="95" s="1"/>
  <c r="R1515" i="95"/>
  <c r="Q1513" i="95"/>
  <c r="O1730" i="95"/>
  <c r="P1184" i="95"/>
  <c r="P1183" i="95" s="1"/>
  <c r="Q1177" i="95"/>
  <c r="P1174" i="95"/>
  <c r="P1173" i="95" s="1"/>
  <c r="P1247" i="95"/>
  <c r="Q1249" i="95"/>
  <c r="U1115" i="95"/>
  <c r="Q1466" i="95"/>
  <c r="P1464" i="95"/>
  <c r="P1453" i="95" s="1"/>
  <c r="Q1649" i="95"/>
  <c r="R1650" i="95"/>
  <c r="Q1753" i="95"/>
  <c r="P1751" i="95"/>
  <c r="Q158" i="24" s="1"/>
  <c r="V1580" i="95"/>
  <c r="U1578" i="95"/>
  <c r="Q1136" i="95"/>
  <c r="P1134" i="95"/>
  <c r="P1133" i="95" s="1"/>
  <c r="V1296" i="95"/>
  <c r="U1294" i="95"/>
  <c r="U1293" i="95" s="1"/>
  <c r="R1717" i="95"/>
  <c r="R1716" i="95" s="1"/>
  <c r="S1692" i="95"/>
  <c r="R1742" i="95"/>
  <c r="R1691" i="95"/>
  <c r="R1477" i="95"/>
  <c r="S1478" i="95"/>
  <c r="X1128" i="95"/>
  <c r="P1441" i="95"/>
  <c r="Q1443" i="95"/>
  <c r="S1490" i="95"/>
  <c r="O1149" i="95"/>
  <c r="N1147" i="95"/>
  <c r="N1146" i="95" s="1"/>
  <c r="Q1488" i="95"/>
  <c r="P1486" i="95"/>
  <c r="P1378" i="95"/>
  <c r="O1376" i="95"/>
  <c r="U1520" i="95"/>
  <c r="W1207" i="95"/>
  <c r="N1356" i="95"/>
  <c r="M1354" i="95"/>
  <c r="M1353" i="95" s="1"/>
  <c r="S1584" i="95"/>
  <c r="R1582" i="95"/>
  <c r="Q1198" i="95"/>
  <c r="P1196" i="95"/>
  <c r="Q954" i="95"/>
  <c r="Q1406" i="95"/>
  <c r="R1392" i="95"/>
  <c r="Q1673" i="95"/>
  <c r="P1671" i="95"/>
  <c r="O1684" i="95" l="1"/>
  <c r="O1701" i="95" s="1"/>
  <c r="O1700" i="95" s="1"/>
  <c r="N1617" i="95"/>
  <c r="Q1604" i="95"/>
  <c r="R1544" i="95"/>
  <c r="R1543" i="95" s="1"/>
  <c r="R1475" i="95"/>
  <c r="P1476" i="95"/>
  <c r="P1427" i="95"/>
  <c r="Q1411" i="95"/>
  <c r="R1409" i="95"/>
  <c r="O1082" i="95"/>
  <c r="N1080" i="95"/>
  <c r="R849" i="95"/>
  <c r="R182" i="79"/>
  <c r="Q180" i="79"/>
  <c r="Q176" i="79" s="1"/>
  <c r="Q156" i="79" s="1"/>
  <c r="M1300" i="95"/>
  <c r="M1285" i="95" s="1"/>
  <c r="R963" i="95"/>
  <c r="R950" i="95"/>
  <c r="S933" i="95"/>
  <c r="R1004" i="95"/>
  <c r="R1016" i="95" s="1"/>
  <c r="R984" i="95"/>
  <c r="R994" i="95"/>
  <c r="S754" i="95"/>
  <c r="R767" i="95"/>
  <c r="P1447" i="95"/>
  <c r="P1440" i="95" s="1"/>
  <c r="P1451" i="95" s="1"/>
  <c r="P1450" i="95" s="1"/>
  <c r="Q1449" i="95"/>
  <c r="N1232" i="95"/>
  <c r="N1215" i="95" s="1"/>
  <c r="N1283" i="95" s="1"/>
  <c r="N1282" i="95" s="1"/>
  <c r="S1644" i="95"/>
  <c r="R1643" i="95"/>
  <c r="P1342" i="95"/>
  <c r="Q1344" i="95"/>
  <c r="L1625" i="95"/>
  <c r="M157" i="24" s="1"/>
  <c r="O1100" i="95"/>
  <c r="L1083" i="95"/>
  <c r="M154" i="24" s="1"/>
  <c r="N1095" i="95"/>
  <c r="O1602" i="95"/>
  <c r="O1601" i="95" s="1"/>
  <c r="P1192" i="95"/>
  <c r="P1187" i="95" s="1"/>
  <c r="S452" i="95"/>
  <c r="S439" i="95"/>
  <c r="T432" i="95"/>
  <c r="S446" i="95"/>
  <c r="Q1103" i="95"/>
  <c r="P1101" i="95"/>
  <c r="P1172" i="95"/>
  <c r="R1181" i="95"/>
  <c r="Q1180" i="95"/>
  <c r="Q1179" i="95" s="1"/>
  <c r="O1070" i="95"/>
  <c r="N1066" i="95"/>
  <c r="M1474" i="95"/>
  <c r="N156" i="24" s="1"/>
  <c r="N1732" i="95"/>
  <c r="M1728" i="95"/>
  <c r="M1703" i="95" s="1"/>
  <c r="S1107" i="95"/>
  <c r="T1109" i="95"/>
  <c r="R1195" i="95"/>
  <c r="Q1193" i="95"/>
  <c r="V1586" i="95"/>
  <c r="W1588" i="95"/>
  <c r="O1311" i="95"/>
  <c r="N1307" i="95"/>
  <c r="S1536" i="95"/>
  <c r="R1534" i="95"/>
  <c r="O1305" i="95"/>
  <c r="N1301" i="95"/>
  <c r="R1524" i="95"/>
  <c r="Q1522" i="95"/>
  <c r="R1165" i="95"/>
  <c r="S1539" i="95"/>
  <c r="R1537" i="95"/>
  <c r="R1676" i="95"/>
  <c r="Q1674" i="95"/>
  <c r="Q1600" i="95"/>
  <c r="P1598" i="95"/>
  <c r="P1594" i="95" s="1"/>
  <c r="T39" i="95"/>
  <c r="U16" i="95"/>
  <c r="P1395" i="95"/>
  <c r="P1401" i="95" s="1"/>
  <c r="P1400" i="95" s="1"/>
  <c r="O1120" i="95"/>
  <c r="T1171" i="95"/>
  <c r="S1169" i="95"/>
  <c r="Q1658" i="95"/>
  <c r="R1659" i="95"/>
  <c r="U1707" i="95"/>
  <c r="R770" i="95"/>
  <c r="S755" i="95"/>
  <c r="U1235" i="95"/>
  <c r="P1237" i="95"/>
  <c r="O1233" i="95"/>
  <c r="T1242" i="95"/>
  <c r="S1240" i="95"/>
  <c r="S1592" i="95"/>
  <c r="R1591" i="95"/>
  <c r="R1590" i="95" s="1"/>
  <c r="T1118" i="95"/>
  <c r="T1117" i="95" s="1"/>
  <c r="U1092" i="95"/>
  <c r="O1356" i="95"/>
  <c r="N1354" i="95"/>
  <c r="N1353" i="95" s="1"/>
  <c r="Y1128" i="95"/>
  <c r="W1580" i="95"/>
  <c r="V1578" i="95"/>
  <c r="R1201" i="95"/>
  <c r="Q1199" i="95"/>
  <c r="Q1699" i="95"/>
  <c r="P1697" i="95"/>
  <c r="S1205" i="95"/>
  <c r="R1203" i="95"/>
  <c r="S393" i="95"/>
  <c r="S252" i="95"/>
  <c r="T350" i="95"/>
  <c r="S416" i="95"/>
  <c r="U1556" i="95"/>
  <c r="T1554" i="95"/>
  <c r="Q1047" i="95"/>
  <c r="R1049" i="95"/>
  <c r="N1077" i="95"/>
  <c r="O1079" i="95"/>
  <c r="O1366" i="95"/>
  <c r="N1364" i="95"/>
  <c r="U1565" i="95"/>
  <c r="T1562" i="95"/>
  <c r="V1163" i="95"/>
  <c r="O1669" i="95"/>
  <c r="O1668" i="95" s="1"/>
  <c r="O1664" i="95" s="1"/>
  <c r="S1512" i="95"/>
  <c r="R1510" i="95"/>
  <c r="R466" i="95"/>
  <c r="X1207" i="95"/>
  <c r="Q1247" i="95"/>
  <c r="R1249" i="95"/>
  <c r="S1132" i="95"/>
  <c r="R1130" i="95"/>
  <c r="Q1189" i="95"/>
  <c r="Q1188" i="95" s="1"/>
  <c r="R1191" i="95"/>
  <c r="T1672" i="95"/>
  <c r="R1416" i="95"/>
  <c r="T753" i="95"/>
  <c r="S764" i="95"/>
  <c r="P1221" i="95"/>
  <c r="O1217" i="95"/>
  <c r="O1216" i="95" s="1"/>
  <c r="T1481" i="95"/>
  <c r="S1480" i="95"/>
  <c r="T1168" i="95"/>
  <c r="S1166" i="95"/>
  <c r="T1219" i="95"/>
  <c r="V1098" i="95"/>
  <c r="S1607" i="95"/>
  <c r="R1605" i="95"/>
  <c r="T1333" i="95"/>
  <c r="S1331" i="95"/>
  <c r="Q1150" i="95"/>
  <c r="R1151" i="95"/>
  <c r="R1198" i="95"/>
  <c r="Q1196" i="95"/>
  <c r="Q1378" i="95"/>
  <c r="P1376" i="95"/>
  <c r="P1149" i="95"/>
  <c r="O1147" i="95"/>
  <c r="O1146" i="95" s="1"/>
  <c r="P1730" i="95"/>
  <c r="N1030" i="95"/>
  <c r="Q1321" i="95"/>
  <c r="P1319" i="95"/>
  <c r="Q1688" i="95"/>
  <c r="R1689" i="95"/>
  <c r="R1626" i="95" s="1"/>
  <c r="Q1711" i="95"/>
  <c r="Q1710" i="95" s="1"/>
  <c r="Q1666" i="95"/>
  <c r="Q1665" i="95" s="1"/>
  <c r="Q1739" i="95"/>
  <c r="Q1738" i="95" s="1"/>
  <c r="Q1280" i="95"/>
  <c r="P1278" i="95"/>
  <c r="U1532" i="95"/>
  <c r="Q1159" i="95"/>
  <c r="P1157" i="95"/>
  <c r="P1156" i="95" s="1"/>
  <c r="S1428" i="95"/>
  <c r="T1429" i="95"/>
  <c r="R1632" i="95"/>
  <c r="Q1631" i="95"/>
  <c r="S1214" i="95"/>
  <c r="R1212" i="95"/>
  <c r="S1270" i="95"/>
  <c r="R1268" i="95"/>
  <c r="R1753" i="95"/>
  <c r="Q1751" i="95"/>
  <c r="R158" i="24" s="1"/>
  <c r="S1515" i="95"/>
  <c r="R1513" i="95"/>
  <c r="W1511" i="95"/>
  <c r="T1089" i="95"/>
  <c r="S1105" i="95"/>
  <c r="V1517" i="95"/>
  <c r="V1538" i="95"/>
  <c r="T1653" i="95"/>
  <c r="S1652" i="95"/>
  <c r="O1372" i="95"/>
  <c r="N1370" i="95"/>
  <c r="R1518" i="95"/>
  <c r="Q1516" i="95"/>
  <c r="Q1106" i="95"/>
  <c r="P1104" i="95"/>
  <c r="P1623" i="95"/>
  <c r="O1621" i="95"/>
  <c r="P1375" i="95"/>
  <c r="O1373" i="95"/>
  <c r="Q1263" i="95"/>
  <c r="P1261" i="95"/>
  <c r="O1369" i="95"/>
  <c r="N1367" i="95"/>
  <c r="O1618" i="95"/>
  <c r="P1620" i="95"/>
  <c r="W1558" i="95"/>
  <c r="X1560" i="95"/>
  <c r="Z1204" i="95"/>
  <c r="R1673" i="95"/>
  <c r="Q1671" i="95"/>
  <c r="T1490" i="95"/>
  <c r="W1723" i="95"/>
  <c r="W1745" i="95"/>
  <c r="X1695" i="95"/>
  <c r="S1540" i="95"/>
  <c r="T1541" i="95"/>
  <c r="O1640" i="95"/>
  <c r="O1627" i="95" s="1"/>
  <c r="R1164" i="95"/>
  <c r="Q1162" i="95"/>
  <c r="Q1161" i="95" s="1"/>
  <c r="Q1160" i="95" s="1"/>
  <c r="R1177" i="95"/>
  <c r="Q1184" i="95"/>
  <c r="Q1183" i="95" s="1"/>
  <c r="Q1174" i="95"/>
  <c r="Q1173" i="95" s="1"/>
  <c r="S757" i="95"/>
  <c r="R827" i="95"/>
  <c r="R817" i="95"/>
  <c r="R796" i="95"/>
  <c r="R837" i="95"/>
  <c r="R783" i="95"/>
  <c r="P1256" i="95"/>
  <c r="O1254" i="95"/>
  <c r="Q1315" i="95"/>
  <c r="P1313" i="95"/>
  <c r="R1406" i="95"/>
  <c r="S1392" i="95"/>
  <c r="V1520" i="95"/>
  <c r="W1296" i="95"/>
  <c r="V1294" i="95"/>
  <c r="V1293" i="95" s="1"/>
  <c r="R1099" i="95"/>
  <c r="Q1097" i="95"/>
  <c r="Q1096" i="95" s="1"/>
  <c r="Y1131" i="95"/>
  <c r="V1546" i="95"/>
  <c r="W1548" i="95"/>
  <c r="S1325" i="95"/>
  <c r="T1327" i="95"/>
  <c r="Q1708" i="95"/>
  <c r="P1704" i="95"/>
  <c r="M1357" i="95"/>
  <c r="M1348" i="95" s="1"/>
  <c r="V1194" i="95"/>
  <c r="P1352" i="95"/>
  <c r="O1350" i="95"/>
  <c r="O1349" i="95" s="1"/>
  <c r="S1698" i="95"/>
  <c r="R1729" i="95"/>
  <c r="R1748" i="95"/>
  <c r="R1747" i="95" s="1"/>
  <c r="R1507" i="95"/>
  <c r="S1508" i="95"/>
  <c r="Q1303" i="95"/>
  <c r="R1466" i="95"/>
  <c r="Q1464" i="95"/>
  <c r="Q1453" i="95" s="1"/>
  <c r="O1360" i="95"/>
  <c r="N1358" i="95"/>
  <c r="R1492" i="95"/>
  <c r="S1493" i="95"/>
  <c r="P1737" i="95"/>
  <c r="O1735" i="95"/>
  <c r="R1678" i="95"/>
  <c r="Q1677" i="95"/>
  <c r="Q1655" i="95"/>
  <c r="R1657" i="95"/>
  <c r="R1550" i="95"/>
  <c r="R1549" i="95" s="1"/>
  <c r="S1552" i="95"/>
  <c r="R1504" i="95"/>
  <c r="S1505" i="95"/>
  <c r="Y1706" i="95"/>
  <c r="P1229" i="95"/>
  <c r="O1225" i="95"/>
  <c r="O1224" i="95" s="1"/>
  <c r="S1227" i="95"/>
  <c r="W1535" i="95"/>
  <c r="U1431" i="95"/>
  <c r="V1432" i="95"/>
  <c r="O1394" i="95"/>
  <c r="O1401" i="95"/>
  <c r="O1400" i="95" s="1"/>
  <c r="R1533" i="95"/>
  <c r="Q1531" i="95"/>
  <c r="Q1206" i="95"/>
  <c r="Q1202" i="95" s="1"/>
  <c r="S1477" i="95"/>
  <c r="T1478" i="95"/>
  <c r="R1136" i="95"/>
  <c r="Q1134" i="95"/>
  <c r="Q1133" i="95" s="1"/>
  <c r="T1472" i="95"/>
  <c r="S1470" i="95"/>
  <c r="S1469" i="95" s="1"/>
  <c r="R1439" i="95"/>
  <c r="Q1437" i="95"/>
  <c r="R1446" i="95"/>
  <c r="Q1444" i="95"/>
  <c r="Q1696" i="95"/>
  <c r="P1694" i="95"/>
  <c r="V1514" i="95"/>
  <c r="S1036" i="95"/>
  <c r="T1459" i="95"/>
  <c r="U1461" i="95"/>
  <c r="P1743" i="95"/>
  <c r="O1741" i="95"/>
  <c r="R1635" i="95"/>
  <c r="Q1634" i="95"/>
  <c r="R1419" i="95"/>
  <c r="Q1418" i="95"/>
  <c r="Q1417" i="95" s="1"/>
  <c r="V1197" i="95"/>
  <c r="Q1390" i="95"/>
  <c r="Q1389" i="95" s="1"/>
  <c r="R1391" i="95"/>
  <c r="Q1407" i="95"/>
  <c r="R1111" i="95"/>
  <c r="S1113" i="95"/>
  <c r="T1584" i="95"/>
  <c r="S1582" i="95"/>
  <c r="S1717" i="95"/>
  <c r="S1716" i="95" s="1"/>
  <c r="T1692" i="95"/>
  <c r="S1742" i="95"/>
  <c r="S1691" i="95"/>
  <c r="S1650" i="95"/>
  <c r="R1649" i="95"/>
  <c r="R1495" i="95"/>
  <c r="S1496" i="95"/>
  <c r="O1746" i="95"/>
  <c r="N1744" i="95"/>
  <c r="N1734" i="95" s="1"/>
  <c r="Q1434" i="95"/>
  <c r="R1435" i="95"/>
  <c r="Z1068" i="95"/>
  <c r="S1682" i="95"/>
  <c r="R1681" i="95"/>
  <c r="R1680" i="95" s="1"/>
  <c r="T1647" i="95"/>
  <c r="R1622" i="95"/>
  <c r="S1599" i="95"/>
  <c r="R1612" i="95"/>
  <c r="R1611" i="95" s="1"/>
  <c r="R1489" i="95"/>
  <c r="T1339" i="95"/>
  <c r="S1337" i="95"/>
  <c r="S1638" i="95"/>
  <c r="R1637" i="95"/>
  <c r="S1289" i="95"/>
  <c r="R1287" i="95"/>
  <c r="R1286" i="95" s="1"/>
  <c r="U1499" i="95"/>
  <c r="T1498" i="95"/>
  <c r="Q1595" i="95"/>
  <c r="R1597" i="95"/>
  <c r="Q1415" i="95"/>
  <c r="Q1414" i="95" s="1"/>
  <c r="Q1413" i="95" s="1"/>
  <c r="Q1396" i="95"/>
  <c r="R1383" i="95"/>
  <c r="Q1387" i="95"/>
  <c r="Q1386" i="95" s="1"/>
  <c r="Q1385" i="95" s="1"/>
  <c r="Q1425" i="95"/>
  <c r="Q1424" i="95" s="1"/>
  <c r="P1121" i="95"/>
  <c r="Q1123" i="95"/>
  <c r="S1456" i="95"/>
  <c r="R1454" i="95"/>
  <c r="O1363" i="95"/>
  <c r="N1361" i="95"/>
  <c r="R1488" i="95"/>
  <c r="Q1486" i="95"/>
  <c r="U1438" i="95"/>
  <c r="X1210" i="95"/>
  <c r="X1200" i="95"/>
  <c r="U1502" i="95"/>
  <c r="W1484" i="95"/>
  <c r="V1483" i="95"/>
  <c r="T1641" i="95"/>
  <c r="S1503" i="95"/>
  <c r="R1501" i="95"/>
  <c r="Q1116" i="95"/>
  <c r="P1114" i="95"/>
  <c r="P1110" i="95" s="1"/>
  <c r="R1648" i="95"/>
  <c r="Q1646" i="95"/>
  <c r="R1275" i="95"/>
  <c r="S1277" i="95"/>
  <c r="P1124" i="95"/>
  <c r="Q1126" i="95"/>
  <c r="Y1564" i="95"/>
  <c r="V702" i="95"/>
  <c r="P1141" i="95"/>
  <c r="P1140" i="95" s="1"/>
  <c r="Q1143" i="95"/>
  <c r="T1211" i="95"/>
  <c r="S1209" i="95"/>
  <c r="Q1441" i="95"/>
  <c r="R1443" i="95"/>
  <c r="R954" i="95"/>
  <c r="V1115" i="95"/>
  <c r="R1525" i="95"/>
  <c r="S1526" i="95"/>
  <c r="O1024" i="95"/>
  <c r="W1213" i="95"/>
  <c r="R1662" i="95"/>
  <c r="Q1661" i="95"/>
  <c r="S1687" i="95"/>
  <c r="R1685" i="95"/>
  <c r="U1724" i="95"/>
  <c r="T1722" i="95"/>
  <c r="S1528" i="95"/>
  <c r="T1529" i="95"/>
  <c r="O1076" i="95"/>
  <c r="T1568" i="95"/>
  <c r="S1566" i="95"/>
  <c r="Z1576" i="95"/>
  <c r="Y1574" i="95"/>
  <c r="T1487" i="95"/>
  <c r="V1572" i="95"/>
  <c r="U1570" i="95"/>
  <c r="S1521" i="95"/>
  <c r="R1519" i="95"/>
  <c r="S1129" i="95"/>
  <c r="R1127" i="95"/>
  <c r="S1629" i="95"/>
  <c r="R1628" i="95"/>
  <c r="S1309" i="95"/>
  <c r="P1684" i="95" l="1"/>
  <c r="O1617" i="95"/>
  <c r="R1604" i="95"/>
  <c r="Q1427" i="95"/>
  <c r="S1475" i="95"/>
  <c r="S1544" i="95"/>
  <c r="S1543" i="95" s="1"/>
  <c r="Q1476" i="95"/>
  <c r="R1411" i="95"/>
  <c r="S1409" i="95"/>
  <c r="P1082" i="95"/>
  <c r="O1080" i="95"/>
  <c r="S849" i="95"/>
  <c r="S182" i="79"/>
  <c r="R180" i="79"/>
  <c r="R176" i="79" s="1"/>
  <c r="R156" i="79" s="1"/>
  <c r="M1625" i="95"/>
  <c r="N157" i="24" s="1"/>
  <c r="R1449" i="95"/>
  <c r="Q1447" i="95"/>
  <c r="Q1440" i="95" s="1"/>
  <c r="Q1451" i="95" s="1"/>
  <c r="Q1450" i="95" s="1"/>
  <c r="S767" i="95"/>
  <c r="T754" i="95"/>
  <c r="S950" i="95"/>
  <c r="T933" i="95"/>
  <c r="S963" i="95"/>
  <c r="S1004" i="95"/>
  <c r="S1016" i="95" s="1"/>
  <c r="S994" i="95"/>
  <c r="S984" i="95"/>
  <c r="O1232" i="95"/>
  <c r="O1215" i="95" s="1"/>
  <c r="O1283" i="95" s="1"/>
  <c r="O1282" i="95" s="1"/>
  <c r="Q1342" i="95"/>
  <c r="R1344" i="95"/>
  <c r="T1644" i="95"/>
  <c r="S1643" i="95"/>
  <c r="O1095" i="95"/>
  <c r="N1474" i="95"/>
  <c r="O156" i="24" s="1"/>
  <c r="N1300" i="95"/>
  <c r="N1285" i="95" s="1"/>
  <c r="P1120" i="95"/>
  <c r="Q1395" i="95"/>
  <c r="Q1401" i="95" s="1"/>
  <c r="Q1400" i="95" s="1"/>
  <c r="P1602" i="95"/>
  <c r="P1601" i="95" s="1"/>
  <c r="P1100" i="95"/>
  <c r="Q1192" i="95"/>
  <c r="Q1187" i="95" s="1"/>
  <c r="T452" i="95"/>
  <c r="T446" i="95"/>
  <c r="T439" i="95"/>
  <c r="U432" i="95"/>
  <c r="N1357" i="95"/>
  <c r="N1348" i="95" s="1"/>
  <c r="M1083" i="95"/>
  <c r="N154" i="24" s="1"/>
  <c r="S1165" i="95"/>
  <c r="R1103" i="95"/>
  <c r="Q1101" i="95"/>
  <c r="S1524" i="95"/>
  <c r="R1522" i="95"/>
  <c r="S1676" i="95"/>
  <c r="R1674" i="95"/>
  <c r="O1732" i="95"/>
  <c r="N1728" i="95"/>
  <c r="N1703" i="95" s="1"/>
  <c r="T1536" i="95"/>
  <c r="S1534" i="95"/>
  <c r="P1394" i="95"/>
  <c r="T1539" i="95"/>
  <c r="S1537" i="95"/>
  <c r="P1311" i="95"/>
  <c r="O1307" i="95"/>
  <c r="P1070" i="95"/>
  <c r="O1066" i="95"/>
  <c r="S1195" i="95"/>
  <c r="R1193" i="95"/>
  <c r="T1169" i="95"/>
  <c r="U1171" i="95"/>
  <c r="U39" i="95"/>
  <c r="V16" i="95"/>
  <c r="P1305" i="95"/>
  <c r="O1301" i="95"/>
  <c r="Q1172" i="95"/>
  <c r="R1180" i="95"/>
  <c r="R1179" i="95" s="1"/>
  <c r="S1181" i="95"/>
  <c r="U1109" i="95"/>
  <c r="T1107" i="95"/>
  <c r="X1588" i="95"/>
  <c r="W1586" i="95"/>
  <c r="R1600" i="95"/>
  <c r="Q1598" i="95"/>
  <c r="Q1594" i="95" s="1"/>
  <c r="R1116" i="95"/>
  <c r="Q1114" i="95"/>
  <c r="Q1110" i="95" s="1"/>
  <c r="S1111" i="95"/>
  <c r="T1113" i="95"/>
  <c r="T1477" i="95"/>
  <c r="U1478" i="95"/>
  <c r="S1164" i="95"/>
  <c r="R1162" i="95"/>
  <c r="R1161" i="95" s="1"/>
  <c r="R1160" i="95" s="1"/>
  <c r="R1280" i="95"/>
  <c r="Q1278" i="95"/>
  <c r="W1572" i="95"/>
  <c r="V1570" i="95"/>
  <c r="W1483" i="95"/>
  <c r="X1484" i="95"/>
  <c r="V1532" i="95"/>
  <c r="S1416" i="95"/>
  <c r="S1191" i="95"/>
  <c r="R1189" i="95"/>
  <c r="R1188" i="95" s="1"/>
  <c r="T1592" i="95"/>
  <c r="S1591" i="95"/>
  <c r="S1590" i="95" s="1"/>
  <c r="U1487" i="95"/>
  <c r="T1638" i="95"/>
  <c r="S1637" i="95"/>
  <c r="AA1068" i="95"/>
  <c r="S1504" i="95"/>
  <c r="T1505" i="95"/>
  <c r="U1327" i="95"/>
  <c r="T1325" i="95"/>
  <c r="S1632" i="95"/>
  <c r="R1631" i="95"/>
  <c r="V1502" i="95"/>
  <c r="S1488" i="95"/>
  <c r="R1486" i="95"/>
  <c r="S1597" i="95"/>
  <c r="R1595" i="95"/>
  <c r="U1089" i="95"/>
  <c r="T1105" i="95"/>
  <c r="O1030" i="95"/>
  <c r="S1605" i="95"/>
  <c r="T1607" i="95"/>
  <c r="X1213" i="95"/>
  <c r="Q1256" i="95"/>
  <c r="P1254" i="95"/>
  <c r="X1745" i="95"/>
  <c r="Y1695" i="95"/>
  <c r="X1723" i="95"/>
  <c r="T1515" i="95"/>
  <c r="S1513" i="95"/>
  <c r="R1047" i="95"/>
  <c r="S1049" i="95"/>
  <c r="T1526" i="95"/>
  <c r="S1525" i="95"/>
  <c r="U1647" i="95"/>
  <c r="X1535" i="95"/>
  <c r="S1678" i="95"/>
  <c r="R1677" i="95"/>
  <c r="Q1623" i="95"/>
  <c r="P1621" i="95"/>
  <c r="W1098" i="95"/>
  <c r="R1247" i="95"/>
  <c r="S1249" i="95"/>
  <c r="T416" i="95"/>
  <c r="T252" i="95"/>
  <c r="T393" i="95"/>
  <c r="U350" i="95"/>
  <c r="P1024" i="95"/>
  <c r="T1503" i="95"/>
  <c r="S1501" i="95"/>
  <c r="V1499" i="95"/>
  <c r="U1498" i="95"/>
  <c r="U1692" i="95"/>
  <c r="T1691" i="95"/>
  <c r="T1717" i="95"/>
  <c r="T1716" i="95" s="1"/>
  <c r="T1742" i="95"/>
  <c r="S1533" i="95"/>
  <c r="R1531" i="95"/>
  <c r="P1360" i="95"/>
  <c r="O1358" i="95"/>
  <c r="S1406" i="95"/>
  <c r="T1392" i="95"/>
  <c r="Q1620" i="95"/>
  <c r="P1618" i="95"/>
  <c r="R1106" i="95"/>
  <c r="Q1104" i="95"/>
  <c r="T1270" i="95"/>
  <c r="S1268" i="95"/>
  <c r="R1739" i="95"/>
  <c r="R1738" i="95" s="1"/>
  <c r="R1711" i="95"/>
  <c r="R1710" i="95" s="1"/>
  <c r="R1688" i="95"/>
  <c r="S1689" i="95"/>
  <c r="S1626" i="95" s="1"/>
  <c r="R1666" i="95"/>
  <c r="R1665" i="95" s="1"/>
  <c r="Q1730" i="95"/>
  <c r="U1481" i="95"/>
  <c r="T1480" i="95"/>
  <c r="T1205" i="95"/>
  <c r="S1203" i="95"/>
  <c r="R1699" i="95"/>
  <c r="Q1697" i="95"/>
  <c r="Z1128" i="95"/>
  <c r="T1129" i="95"/>
  <c r="S1127" i="95"/>
  <c r="T1528" i="95"/>
  <c r="U1529" i="95"/>
  <c r="P1669" i="95"/>
  <c r="P1668" i="95" s="1"/>
  <c r="P1664" i="95" s="1"/>
  <c r="Z1564" i="95"/>
  <c r="S1275" i="95"/>
  <c r="T1277" i="95"/>
  <c r="P1363" i="95"/>
  <c r="O1361" i="95"/>
  <c r="R1418" i="95"/>
  <c r="R1417" i="95" s="1"/>
  <c r="S1419" i="95"/>
  <c r="S1635" i="95"/>
  <c r="R1634" i="95"/>
  <c r="P1701" i="95"/>
  <c r="P1700" i="95" s="1"/>
  <c r="T1227" i="95"/>
  <c r="P1369" i="95"/>
  <c r="O1367" i="95"/>
  <c r="R1159" i="95"/>
  <c r="Q1157" i="95"/>
  <c r="Q1156" i="95" s="1"/>
  <c r="U1672" i="95"/>
  <c r="S466" i="95"/>
  <c r="W1163" i="95"/>
  <c r="O1364" i="95"/>
  <c r="P1366" i="95"/>
  <c r="V1556" i="95"/>
  <c r="U1554" i="95"/>
  <c r="W1197" i="95"/>
  <c r="R1321" i="95"/>
  <c r="Q1319" i="95"/>
  <c r="R1378" i="95"/>
  <c r="Q1376" i="95"/>
  <c r="Q1237" i="95"/>
  <c r="P1233" i="95"/>
  <c r="Q1737" i="95"/>
  <c r="P1735" i="95"/>
  <c r="R1206" i="95"/>
  <c r="R1202" i="95" s="1"/>
  <c r="T1552" i="95"/>
  <c r="S1550" i="95"/>
  <c r="S1549" i="95" s="1"/>
  <c r="W1520" i="95"/>
  <c r="AA1204" i="95"/>
  <c r="T1428" i="95"/>
  <c r="U1429" i="95"/>
  <c r="R1661" i="95"/>
  <c r="S1662" i="95"/>
  <c r="Y1210" i="95"/>
  <c r="R1696" i="95"/>
  <c r="Q1694" i="95"/>
  <c r="S1518" i="95"/>
  <c r="R1516" i="95"/>
  <c r="W1538" i="95"/>
  <c r="U1219" i="95"/>
  <c r="Q1221" i="95"/>
  <c r="P1217" i="95"/>
  <c r="P1216" i="95" s="1"/>
  <c r="S770" i="95"/>
  <c r="T755" i="95"/>
  <c r="P1076" i="95"/>
  <c r="W1514" i="95"/>
  <c r="V1431" i="95"/>
  <c r="W1432" i="95"/>
  <c r="Q1352" i="95"/>
  <c r="P1350" i="95"/>
  <c r="P1349" i="95" s="1"/>
  <c r="W1517" i="95"/>
  <c r="R1303" i="95"/>
  <c r="Y1560" i="95"/>
  <c r="X1558" i="95"/>
  <c r="Y1207" i="95"/>
  <c r="S1628" i="95"/>
  <c r="T1629" i="95"/>
  <c r="T1687" i="95"/>
  <c r="S1685" i="95"/>
  <c r="U1339" i="95"/>
  <c r="T1337" i="95"/>
  <c r="S1622" i="95"/>
  <c r="S1489" i="95"/>
  <c r="T1599" i="95"/>
  <c r="S1612" i="95"/>
  <c r="S1611" i="95" s="1"/>
  <c r="S1649" i="95"/>
  <c r="T1650" i="95"/>
  <c r="T1508" i="95"/>
  <c r="S1507" i="95"/>
  <c r="R1174" i="95"/>
  <c r="R1173" i="95" s="1"/>
  <c r="R1184" i="95"/>
  <c r="R1183" i="95" s="1"/>
  <c r="S1177" i="95"/>
  <c r="S1673" i="95"/>
  <c r="R1671" i="95"/>
  <c r="Q1375" i="95"/>
  <c r="P1373" i="95"/>
  <c r="S1198" i="95"/>
  <c r="R1196" i="95"/>
  <c r="R1407" i="95"/>
  <c r="R1390" i="95"/>
  <c r="R1389" i="95" s="1"/>
  <c r="S1391" i="95"/>
  <c r="R1150" i="95"/>
  <c r="S1151" i="95"/>
  <c r="V1235" i="95"/>
  <c r="Y1200" i="95"/>
  <c r="R1441" i="95"/>
  <c r="S1443" i="95"/>
  <c r="R1126" i="95"/>
  <c r="Q1124" i="95"/>
  <c r="T1289" i="95"/>
  <c r="S1287" i="95"/>
  <c r="S1286" i="95" s="1"/>
  <c r="S1435" i="95"/>
  <c r="R1434" i="95"/>
  <c r="S1439" i="95"/>
  <c r="R1437" i="95"/>
  <c r="W1546" i="95"/>
  <c r="X1548" i="95"/>
  <c r="T1521" i="95"/>
  <c r="S1519" i="95"/>
  <c r="R1143" i="95"/>
  <c r="Q1141" i="95"/>
  <c r="Q1140" i="95" s="1"/>
  <c r="T1456" i="95"/>
  <c r="S1454" i="95"/>
  <c r="P1746" i="95"/>
  <c r="O1744" i="95"/>
  <c r="O1734" i="95" s="1"/>
  <c r="T1582" i="95"/>
  <c r="U1584" i="95"/>
  <c r="Q1743" i="95"/>
  <c r="P1741" i="95"/>
  <c r="S1466" i="95"/>
  <c r="R1464" i="95"/>
  <c r="R1453" i="95" s="1"/>
  <c r="S1099" i="95"/>
  <c r="R1097" i="95"/>
  <c r="R1096" i="95" s="1"/>
  <c r="R1263" i="95"/>
  <c r="Q1261" i="95"/>
  <c r="T1652" i="95"/>
  <c r="U1653" i="95"/>
  <c r="R1751" i="95"/>
  <c r="S158" i="24" s="1"/>
  <c r="S1753" i="95"/>
  <c r="U1333" i="95"/>
  <c r="T1331" i="95"/>
  <c r="P1356" i="95"/>
  <c r="O1354" i="95"/>
  <c r="O1353" i="95" s="1"/>
  <c r="U1242" i="95"/>
  <c r="T1240" i="95"/>
  <c r="T1309" i="95"/>
  <c r="W702" i="95"/>
  <c r="S827" i="95"/>
  <c r="S817" i="95"/>
  <c r="S796" i="95"/>
  <c r="S783" i="95"/>
  <c r="S837" i="95"/>
  <c r="T757" i="95"/>
  <c r="Z1706" i="95"/>
  <c r="W1294" i="95"/>
  <c r="W1293" i="95" s="1"/>
  <c r="X1296" i="95"/>
  <c r="Q1121" i="95"/>
  <c r="R1123" i="95"/>
  <c r="S1657" i="95"/>
  <c r="R1655" i="95"/>
  <c r="T1036" i="95"/>
  <c r="T1493" i="95"/>
  <c r="S1492" i="95"/>
  <c r="AA1576" i="95"/>
  <c r="Z1574" i="95"/>
  <c r="S954" i="95"/>
  <c r="Z1131" i="95"/>
  <c r="V1724" i="95"/>
  <c r="U1722" i="95"/>
  <c r="V1438" i="95"/>
  <c r="S1681" i="95"/>
  <c r="S1680" i="95" s="1"/>
  <c r="T1682" i="95"/>
  <c r="T1496" i="95"/>
  <c r="S1495" i="95"/>
  <c r="Q1313" i="95"/>
  <c r="R1315" i="95"/>
  <c r="U753" i="95"/>
  <c r="T764" i="95"/>
  <c r="T1512" i="95"/>
  <c r="S1510" i="95"/>
  <c r="S1201" i="95"/>
  <c r="R1199" i="95"/>
  <c r="U1118" i="95"/>
  <c r="U1117" i="95" s="1"/>
  <c r="V1092" i="95"/>
  <c r="R1425" i="95"/>
  <c r="R1424" i="95" s="1"/>
  <c r="R1387" i="95"/>
  <c r="R1386" i="95" s="1"/>
  <c r="R1385" i="95" s="1"/>
  <c r="R1415" i="95"/>
  <c r="R1414" i="95" s="1"/>
  <c r="R1413" i="95" s="1"/>
  <c r="R1396" i="95"/>
  <c r="S1383" i="95"/>
  <c r="S1446" i="95"/>
  <c r="R1444" i="95"/>
  <c r="T1540" i="95"/>
  <c r="U1541" i="95"/>
  <c r="V1565" i="95"/>
  <c r="U1562" i="95"/>
  <c r="R1658" i="95"/>
  <c r="S1659" i="95"/>
  <c r="P1079" i="95"/>
  <c r="O1077" i="95"/>
  <c r="S1748" i="95"/>
  <c r="S1747" i="95" s="1"/>
  <c r="S1729" i="95"/>
  <c r="T1698" i="95"/>
  <c r="T1132" i="95"/>
  <c r="S1130" i="95"/>
  <c r="X1580" i="95"/>
  <c r="W1578" i="95"/>
  <c r="Q1229" i="95"/>
  <c r="P1225" i="95"/>
  <c r="P1224" i="95" s="1"/>
  <c r="W1194" i="95"/>
  <c r="X1511" i="95"/>
  <c r="U1568" i="95"/>
  <c r="T1566" i="95"/>
  <c r="S1648" i="95"/>
  <c r="R1646" i="95"/>
  <c r="V1461" i="95"/>
  <c r="U1459" i="95"/>
  <c r="W1115" i="95"/>
  <c r="U1211" i="95"/>
  <c r="T1209" i="95"/>
  <c r="U1641" i="95"/>
  <c r="U1472" i="95"/>
  <c r="T1470" i="95"/>
  <c r="T1469" i="95" s="1"/>
  <c r="S1136" i="95"/>
  <c r="R1134" i="95"/>
  <c r="R1133" i="95" s="1"/>
  <c r="R1708" i="95"/>
  <c r="Q1704" i="95"/>
  <c r="P1640" i="95"/>
  <c r="P1627" i="95" s="1"/>
  <c r="U1490" i="95"/>
  <c r="P1372" i="95"/>
  <c r="O1370" i="95"/>
  <c r="T1214" i="95"/>
  <c r="S1212" i="95"/>
  <c r="Q1149" i="95"/>
  <c r="P1147" i="95"/>
  <c r="P1146" i="95" s="1"/>
  <c r="U1168" i="95"/>
  <c r="T1166" i="95"/>
  <c r="V1707" i="95"/>
  <c r="Q1684" i="95" l="1"/>
  <c r="Q1701" i="95" s="1"/>
  <c r="Q1700" i="95" s="1"/>
  <c r="P1617" i="95"/>
  <c r="S1604" i="95"/>
  <c r="T1475" i="95"/>
  <c r="T1544" i="95"/>
  <c r="T1543" i="95" s="1"/>
  <c r="R1476" i="95"/>
  <c r="R1427" i="95"/>
  <c r="S1411" i="95"/>
  <c r="T1409" i="95"/>
  <c r="Q1082" i="95"/>
  <c r="P1080" i="95"/>
  <c r="T849" i="95"/>
  <c r="T182" i="79"/>
  <c r="S180" i="79"/>
  <c r="S176" i="79" s="1"/>
  <c r="S156" i="79" s="1"/>
  <c r="Q1394" i="95"/>
  <c r="N1625" i="95"/>
  <c r="O157" i="24" s="1"/>
  <c r="U933" i="95"/>
  <c r="T963" i="95"/>
  <c r="T994" i="95"/>
  <c r="T950" i="95"/>
  <c r="T1004" i="95"/>
  <c r="T1016" i="95" s="1"/>
  <c r="T984" i="95"/>
  <c r="U754" i="95"/>
  <c r="T767" i="95"/>
  <c r="R1447" i="95"/>
  <c r="R1440" i="95" s="1"/>
  <c r="R1451" i="95" s="1"/>
  <c r="R1450" i="95" s="1"/>
  <c r="S1449" i="95"/>
  <c r="P1232" i="95"/>
  <c r="P1215" i="95" s="1"/>
  <c r="P1283" i="95" s="1"/>
  <c r="P1282" i="95" s="1"/>
  <c r="P1095" i="95"/>
  <c r="O1300" i="95"/>
  <c r="O1285" i="95" s="1"/>
  <c r="U1644" i="95"/>
  <c r="T1643" i="95"/>
  <c r="S1344" i="95"/>
  <c r="R1342" i="95"/>
  <c r="N1083" i="95"/>
  <c r="O154" i="24" s="1"/>
  <c r="O1474" i="95"/>
  <c r="P156" i="24" s="1"/>
  <c r="Q1100" i="95"/>
  <c r="Q1602" i="95"/>
  <c r="Q1601" i="95" s="1"/>
  <c r="V432" i="95"/>
  <c r="U452" i="95"/>
  <c r="U446" i="95"/>
  <c r="U439" i="95"/>
  <c r="R1395" i="95"/>
  <c r="R1394" i="95" s="1"/>
  <c r="R1101" i="95"/>
  <c r="S1103" i="95"/>
  <c r="S1180" i="95"/>
  <c r="S1179" i="95" s="1"/>
  <c r="T1181" i="95"/>
  <c r="V39" i="95"/>
  <c r="W16" i="95"/>
  <c r="V1171" i="95"/>
  <c r="U1169" i="95"/>
  <c r="U1539" i="95"/>
  <c r="T1537" i="95"/>
  <c r="P1732" i="95"/>
  <c r="O1728" i="95"/>
  <c r="O1703" i="95" s="1"/>
  <c r="T1165" i="95"/>
  <c r="S1600" i="95"/>
  <c r="R1598" i="95"/>
  <c r="R1594" i="95" s="1"/>
  <c r="Q1070" i="95"/>
  <c r="P1066" i="95"/>
  <c r="U1536" i="95"/>
  <c r="T1534" i="95"/>
  <c r="S1522" i="95"/>
  <c r="T1524" i="95"/>
  <c r="Q1311" i="95"/>
  <c r="P1307" i="95"/>
  <c r="Y1588" i="95"/>
  <c r="X1586" i="95"/>
  <c r="V1109" i="95"/>
  <c r="U1107" i="95"/>
  <c r="S1674" i="95"/>
  <c r="T1676" i="95"/>
  <c r="Q1305" i="95"/>
  <c r="P1301" i="95"/>
  <c r="T1195" i="95"/>
  <c r="S1193" i="95"/>
  <c r="T1685" i="95"/>
  <c r="U1687" i="95"/>
  <c r="T1419" i="95"/>
  <c r="S1418" i="95"/>
  <c r="S1417" i="95" s="1"/>
  <c r="S1699" i="95"/>
  <c r="R1697" i="95"/>
  <c r="T1597" i="95"/>
  <c r="S1595" i="95"/>
  <c r="U1505" i="95"/>
  <c r="T1504" i="95"/>
  <c r="S1189" i="95"/>
  <c r="S1188" i="95" s="1"/>
  <c r="T1191" i="95"/>
  <c r="Y1484" i="95"/>
  <c r="X1483" i="95"/>
  <c r="T1201" i="95"/>
  <c r="S1199" i="95"/>
  <c r="T1439" i="95"/>
  <c r="S1437" i="95"/>
  <c r="S1303" i="95"/>
  <c r="V1487" i="95"/>
  <c r="V1584" i="95"/>
  <c r="U1582" i="95"/>
  <c r="AB1204" i="95"/>
  <c r="R1157" i="95"/>
  <c r="R1156" i="95" s="1"/>
  <c r="S1159" i="95"/>
  <c r="R1149" i="95"/>
  <c r="Q1147" i="95"/>
  <c r="Q1146" i="95" s="1"/>
  <c r="Y1580" i="95"/>
  <c r="X1578" i="95"/>
  <c r="V753" i="95"/>
  <c r="U764" i="95"/>
  <c r="T1466" i="95"/>
  <c r="S1464" i="95"/>
  <c r="S1453" i="95" s="1"/>
  <c r="S1434" i="95"/>
  <c r="T1435" i="95"/>
  <c r="Z1200" i="95"/>
  <c r="R1221" i="95"/>
  <c r="Q1217" i="95"/>
  <c r="Q1216" i="95" s="1"/>
  <c r="X1538" i="95"/>
  <c r="AA1564" i="95"/>
  <c r="P1030" i="95"/>
  <c r="S1631" i="95"/>
  <c r="T1632" i="95"/>
  <c r="U1592" i="95"/>
  <c r="T1591" i="95"/>
  <c r="T1590" i="95" s="1"/>
  <c r="V1641" i="95"/>
  <c r="V1672" i="95"/>
  <c r="U1227" i="95"/>
  <c r="Q1363" i="95"/>
  <c r="P1361" i="95"/>
  <c r="X1194" i="95"/>
  <c r="AB1576" i="95"/>
  <c r="AA1574" i="95"/>
  <c r="W1556" i="95"/>
  <c r="V1554" i="95"/>
  <c r="T1049" i="95"/>
  <c r="S1047" i="95"/>
  <c r="T1492" i="95"/>
  <c r="U1493" i="95"/>
  <c r="X1197" i="95"/>
  <c r="Q1366" i="95"/>
  <c r="P1364" i="95"/>
  <c r="T1249" i="95"/>
  <c r="S1247" i="95"/>
  <c r="W1502" i="95"/>
  <c r="W1431" i="95"/>
  <c r="X1432" i="95"/>
  <c r="U1392" i="95"/>
  <c r="T1406" i="95"/>
  <c r="U1638" i="95"/>
  <c r="T1637" i="95"/>
  <c r="X1572" i="95"/>
  <c r="W1570" i="95"/>
  <c r="S1696" i="95"/>
  <c r="R1694" i="95"/>
  <c r="V1478" i="95"/>
  <c r="U1477" i="95"/>
  <c r="Q1640" i="95"/>
  <c r="Q1627" i="95" s="1"/>
  <c r="V1211" i="95"/>
  <c r="U1209" i="95"/>
  <c r="U1521" i="95"/>
  <c r="T1519" i="95"/>
  <c r="S1126" i="95"/>
  <c r="R1124" i="95"/>
  <c r="T466" i="95"/>
  <c r="W1438" i="95"/>
  <c r="V1333" i="95"/>
  <c r="U1331" i="95"/>
  <c r="X1517" i="95"/>
  <c r="T1662" i="95"/>
  <c r="S1661" i="95"/>
  <c r="T954" i="95"/>
  <c r="R1192" i="95"/>
  <c r="R1187" i="95" s="1"/>
  <c r="Q1076" i="95"/>
  <c r="X1520" i="95"/>
  <c r="U1129" i="95"/>
  <c r="T1127" i="95"/>
  <c r="V1498" i="95"/>
  <c r="W1499" i="95"/>
  <c r="W1565" i="95"/>
  <c r="V1562" i="95"/>
  <c r="T770" i="95"/>
  <c r="U755" i="95"/>
  <c r="T1518" i="95"/>
  <c r="S1516" i="95"/>
  <c r="V1242" i="95"/>
  <c r="U1240" i="95"/>
  <c r="T1550" i="95"/>
  <c r="T1549" i="95" s="1"/>
  <c r="U1552" i="95"/>
  <c r="S1116" i="95"/>
  <c r="R1114" i="95"/>
  <c r="R1110" i="95" s="1"/>
  <c r="Q1669" i="95"/>
  <c r="Q1668" i="95" s="1"/>
  <c r="Q1664" i="95" s="1"/>
  <c r="AA1706" i="95"/>
  <c r="W1461" i="95"/>
  <c r="V1459" i="95"/>
  <c r="R1229" i="95"/>
  <c r="Q1225" i="95"/>
  <c r="Q1224" i="95" s="1"/>
  <c r="U1132" i="95"/>
  <c r="T1130" i="95"/>
  <c r="T1681" i="95"/>
  <c r="T1680" i="95" s="1"/>
  <c r="U1682" i="95"/>
  <c r="Q1356" i="95"/>
  <c r="P1354" i="95"/>
  <c r="P1353" i="95" s="1"/>
  <c r="T1099" i="95"/>
  <c r="S1097" i="95"/>
  <c r="S1096" i="95" s="1"/>
  <c r="U1289" i="95"/>
  <c r="T1287" i="95"/>
  <c r="T1286" i="95" s="1"/>
  <c r="T1673" i="95"/>
  <c r="S1671" i="95"/>
  <c r="T1622" i="95"/>
  <c r="U1599" i="95"/>
  <c r="T1612" i="95"/>
  <c r="T1611" i="95" s="1"/>
  <c r="T1489" i="95"/>
  <c r="V1339" i="95"/>
  <c r="U1337" i="95"/>
  <c r="R1237" i="95"/>
  <c r="Q1233" i="95"/>
  <c r="R1620" i="95"/>
  <c r="Q1618" i="95"/>
  <c r="U1503" i="95"/>
  <c r="T1501" i="95"/>
  <c r="V1647" i="95"/>
  <c r="U1528" i="95"/>
  <c r="V1529" i="95"/>
  <c r="R1256" i="95"/>
  <c r="Q1254" i="95"/>
  <c r="U1607" i="95"/>
  <c r="T1605" i="95"/>
  <c r="T1748" i="95"/>
  <c r="T1747" i="95" s="1"/>
  <c r="U1698" i="95"/>
  <c r="T1729" i="95"/>
  <c r="S1658" i="95"/>
  <c r="T1659" i="95"/>
  <c r="R1743" i="95"/>
  <c r="Q1741" i="95"/>
  <c r="T1507" i="95"/>
  <c r="U1508" i="95"/>
  <c r="U1629" i="95"/>
  <c r="T1628" i="95"/>
  <c r="U393" i="95"/>
  <c r="U416" i="95"/>
  <c r="U252" i="95"/>
  <c r="V350" i="95"/>
  <c r="S1444" i="95"/>
  <c r="T1446" i="95"/>
  <c r="U1652" i="95"/>
  <c r="V1653" i="95"/>
  <c r="U1205" i="95"/>
  <c r="T1203" i="95"/>
  <c r="T1488" i="95"/>
  <c r="S1486" i="95"/>
  <c r="T1416" i="95"/>
  <c r="T1164" i="95"/>
  <c r="S1162" i="95"/>
  <c r="S1161" i="95" s="1"/>
  <c r="S1160" i="95" s="1"/>
  <c r="X1115" i="95"/>
  <c r="Q1079" i="95"/>
  <c r="P1077" i="95"/>
  <c r="S1415" i="95"/>
  <c r="S1414" i="95" s="1"/>
  <c r="S1413" i="95" s="1"/>
  <c r="S1387" i="95"/>
  <c r="S1386" i="95" s="1"/>
  <c r="S1385" i="95" s="1"/>
  <c r="T1383" i="95"/>
  <c r="S1425" i="95"/>
  <c r="S1424" i="95" s="1"/>
  <c r="S1396" i="95"/>
  <c r="S1143" i="95"/>
  <c r="R1141" i="95"/>
  <c r="R1140" i="95" s="1"/>
  <c r="S1321" i="95"/>
  <c r="R1319" i="95"/>
  <c r="R1730" i="95"/>
  <c r="T1136" i="95"/>
  <c r="S1134" i="95"/>
  <c r="S1133" i="95" s="1"/>
  <c r="Y1296" i="95"/>
  <c r="X1294" i="95"/>
  <c r="X1293" i="95" s="1"/>
  <c r="S1441" i="95"/>
  <c r="T1443" i="95"/>
  <c r="S1390" i="95"/>
  <c r="S1389" i="95" s="1"/>
  <c r="T1391" i="95"/>
  <c r="S1407" i="95"/>
  <c r="T1198" i="95"/>
  <c r="S1196" i="95"/>
  <c r="U1650" i="95"/>
  <c r="T1649" i="95"/>
  <c r="R1352" i="95"/>
  <c r="Q1350" i="95"/>
  <c r="Q1349" i="95" s="1"/>
  <c r="V1219" i="95"/>
  <c r="Z1210" i="95"/>
  <c r="Q1735" i="95"/>
  <c r="R1737" i="95"/>
  <c r="R1623" i="95"/>
  <c r="Q1621" i="95"/>
  <c r="Y1535" i="95"/>
  <c r="U1515" i="95"/>
  <c r="T1513" i="95"/>
  <c r="AB1068" i="95"/>
  <c r="S1280" i="95"/>
  <c r="R1278" i="95"/>
  <c r="U1214" i="95"/>
  <c r="T1212" i="95"/>
  <c r="S1655" i="95"/>
  <c r="T1657" i="95"/>
  <c r="S1263" i="95"/>
  <c r="R1261" i="95"/>
  <c r="Q1746" i="95"/>
  <c r="P1744" i="95"/>
  <c r="P1734" i="95" s="1"/>
  <c r="W1235" i="95"/>
  <c r="Z1207" i="95"/>
  <c r="S1739" i="95"/>
  <c r="S1738" i="95" s="1"/>
  <c r="S1711" i="95"/>
  <c r="S1710" i="95" s="1"/>
  <c r="T1689" i="95"/>
  <c r="T1626" i="95" s="1"/>
  <c r="S1666" i="95"/>
  <c r="S1665" i="95" s="1"/>
  <c r="S1688" i="95"/>
  <c r="V1089" i="95"/>
  <c r="U1105" i="95"/>
  <c r="W1532" i="95"/>
  <c r="V1472" i="95"/>
  <c r="U1470" i="95"/>
  <c r="U1469" i="95" s="1"/>
  <c r="Y1548" i="95"/>
  <c r="X1546" i="95"/>
  <c r="R1375" i="95"/>
  <c r="Q1373" i="95"/>
  <c r="S1106" i="95"/>
  <c r="R1104" i="95"/>
  <c r="T1533" i="95"/>
  <c r="S1531" i="95"/>
  <c r="T1495" i="95"/>
  <c r="U1496" i="95"/>
  <c r="X702" i="95"/>
  <c r="S1751" i="95"/>
  <c r="T158" i="24" s="1"/>
  <c r="T1753" i="95"/>
  <c r="T1151" i="95"/>
  <c r="S1150" i="95"/>
  <c r="Q1372" i="95"/>
  <c r="P1370" i="95"/>
  <c r="S1708" i="95"/>
  <c r="R1704" i="95"/>
  <c r="U1540" i="95"/>
  <c r="V1541" i="95"/>
  <c r="W1724" i="95"/>
  <c r="V1722" i="95"/>
  <c r="AA1131" i="95"/>
  <c r="S1123" i="95"/>
  <c r="R1121" i="95"/>
  <c r="S1184" i="95"/>
  <c r="S1183" i="95" s="1"/>
  <c r="T1177" i="95"/>
  <c r="S1174" i="95"/>
  <c r="S1173" i="95" s="1"/>
  <c r="Z1560" i="95"/>
  <c r="Y1558" i="95"/>
  <c r="X1514" i="95"/>
  <c r="T1275" i="95"/>
  <c r="U1277" i="95"/>
  <c r="AA1128" i="95"/>
  <c r="V1481" i="95"/>
  <c r="U1480" i="95"/>
  <c r="O1357" i="95"/>
  <c r="O1348" i="95" s="1"/>
  <c r="U1717" i="95"/>
  <c r="U1716" i="95" s="1"/>
  <c r="V1692" i="95"/>
  <c r="U1691" i="95"/>
  <c r="U1742" i="95"/>
  <c r="Y1723" i="95"/>
  <c r="Z1695" i="95"/>
  <c r="Y1745" i="95"/>
  <c r="V1327" i="95"/>
  <c r="U1325" i="95"/>
  <c r="U1113" i="95"/>
  <c r="T1111" i="95"/>
  <c r="Y1511" i="95"/>
  <c r="T1648" i="95"/>
  <c r="S1646" i="95"/>
  <c r="V1490" i="95"/>
  <c r="V1568" i="95"/>
  <c r="U1566" i="95"/>
  <c r="V1118" i="95"/>
  <c r="V1117" i="95" s="1"/>
  <c r="W1092" i="95"/>
  <c r="S1315" i="95"/>
  <c r="R1313" i="95"/>
  <c r="U1036" i="95"/>
  <c r="Q1120" i="95"/>
  <c r="U1456" i="95"/>
  <c r="T1454" i="95"/>
  <c r="S1378" i="95"/>
  <c r="R1376" i="95"/>
  <c r="U1270" i="95"/>
  <c r="T1268" i="95"/>
  <c r="P1358" i="95"/>
  <c r="Q1360" i="95"/>
  <c r="Q1024" i="95"/>
  <c r="U1526" i="95"/>
  <c r="T1525" i="95"/>
  <c r="W1707" i="95"/>
  <c r="U1166" i="95"/>
  <c r="V1168" i="95"/>
  <c r="U1512" i="95"/>
  <c r="T1510" i="95"/>
  <c r="T837" i="95"/>
  <c r="T783" i="95"/>
  <c r="U757" i="95"/>
  <c r="T827" i="95"/>
  <c r="T817" i="95"/>
  <c r="T796" i="95"/>
  <c r="U1309" i="95"/>
  <c r="R1172" i="95"/>
  <c r="V1429" i="95"/>
  <c r="U1428" i="95"/>
  <c r="S1206" i="95"/>
  <c r="S1202" i="95" s="1"/>
  <c r="X1163" i="95"/>
  <c r="Q1369" i="95"/>
  <c r="P1367" i="95"/>
  <c r="T1635" i="95"/>
  <c r="S1634" i="95"/>
  <c r="X1098" i="95"/>
  <c r="T1678" i="95"/>
  <c r="S1677" i="95"/>
  <c r="Y1213" i="95"/>
  <c r="R1684" i="95" l="1"/>
  <c r="R1701" i="95" s="1"/>
  <c r="R1700" i="95" s="1"/>
  <c r="Q1617" i="95"/>
  <c r="T1604" i="95"/>
  <c r="U1544" i="95"/>
  <c r="U1543" i="95" s="1"/>
  <c r="U1475" i="95"/>
  <c r="S1476" i="95"/>
  <c r="S1427" i="95"/>
  <c r="T1411" i="95"/>
  <c r="U1409" i="95"/>
  <c r="Q1080" i="95"/>
  <c r="R1082" i="95"/>
  <c r="U849" i="95"/>
  <c r="U182" i="79"/>
  <c r="T180" i="79"/>
  <c r="T176" i="79" s="1"/>
  <c r="T156" i="79" s="1"/>
  <c r="T1449" i="95"/>
  <c r="S1447" i="95"/>
  <c r="S1440" i="95" s="1"/>
  <c r="S1451" i="95" s="1"/>
  <c r="S1450" i="95" s="1"/>
  <c r="V754" i="95"/>
  <c r="U767" i="95"/>
  <c r="O1625" i="95"/>
  <c r="P157" i="24" s="1"/>
  <c r="U1004" i="95"/>
  <c r="U1016" i="95" s="1"/>
  <c r="V933" i="95"/>
  <c r="U984" i="95"/>
  <c r="U963" i="95"/>
  <c r="U950" i="95"/>
  <c r="U994" i="95"/>
  <c r="Q1232" i="95"/>
  <c r="Q1215" i="95" s="1"/>
  <c r="Q1283" i="95" s="1"/>
  <c r="Q1282" i="95" s="1"/>
  <c r="R1120" i="95"/>
  <c r="T1344" i="95"/>
  <c r="S1342" i="95"/>
  <c r="V1644" i="95"/>
  <c r="U1643" i="95"/>
  <c r="P1300" i="95"/>
  <c r="P1285" i="95" s="1"/>
  <c r="O1083" i="95"/>
  <c r="P154" i="24" s="1"/>
  <c r="U1165" i="95"/>
  <c r="R1401" i="95"/>
  <c r="R1400" i="95" s="1"/>
  <c r="Q1095" i="95"/>
  <c r="R1100" i="95"/>
  <c r="W432" i="95"/>
  <c r="V452" i="95"/>
  <c r="V439" i="95"/>
  <c r="V446" i="95"/>
  <c r="S1172" i="95"/>
  <c r="P1474" i="95"/>
  <c r="Q156" i="24" s="1"/>
  <c r="R1602" i="95"/>
  <c r="R1601" i="95" s="1"/>
  <c r="T1103" i="95"/>
  <c r="S1101" i="95"/>
  <c r="T1522" i="95"/>
  <c r="U1524" i="95"/>
  <c r="U1195" i="95"/>
  <c r="T1193" i="95"/>
  <c r="W39" i="95"/>
  <c r="X16" i="95"/>
  <c r="R1311" i="95"/>
  <c r="Q1307" i="95"/>
  <c r="T1600" i="95"/>
  <c r="S1598" i="95"/>
  <c r="S1594" i="95" s="1"/>
  <c r="Y1586" i="95"/>
  <c r="Z1588" i="95"/>
  <c r="U1676" i="95"/>
  <c r="T1674" i="95"/>
  <c r="V1536" i="95"/>
  <c r="U1534" i="95"/>
  <c r="V1107" i="95"/>
  <c r="W1109" i="95"/>
  <c r="U1181" i="95"/>
  <c r="T1180" i="95"/>
  <c r="T1179" i="95" s="1"/>
  <c r="V1539" i="95"/>
  <c r="U1537" i="95"/>
  <c r="R1070" i="95"/>
  <c r="Q1066" i="95"/>
  <c r="Q1732" i="95"/>
  <c r="P1728" i="95"/>
  <c r="P1703" i="95" s="1"/>
  <c r="R1305" i="95"/>
  <c r="Q1301" i="95"/>
  <c r="S1192" i="95"/>
  <c r="S1187" i="95" s="1"/>
  <c r="W1171" i="95"/>
  <c r="V1169" i="95"/>
  <c r="W1568" i="95"/>
  <c r="V1566" i="95"/>
  <c r="V1496" i="95"/>
  <c r="U1495" i="95"/>
  <c r="S1375" i="95"/>
  <c r="R1373" i="95"/>
  <c r="T1711" i="95"/>
  <c r="T1710" i="95" s="1"/>
  <c r="T1666" i="95"/>
  <c r="T1665" i="95" s="1"/>
  <c r="T1688" i="95"/>
  <c r="U1689" i="95"/>
  <c r="U1626" i="95" s="1"/>
  <c r="T1739" i="95"/>
  <c r="T1738" i="95" s="1"/>
  <c r="Z1535" i="95"/>
  <c r="U1198" i="95"/>
  <c r="T1196" i="95"/>
  <c r="V1607" i="95"/>
  <c r="U1605" i="95"/>
  <c r="S1237" i="95"/>
  <c r="R1233" i="95"/>
  <c r="U1099" i="95"/>
  <c r="T1097" i="95"/>
  <c r="T1096" i="95" s="1"/>
  <c r="U1550" i="95"/>
  <c r="U1549" i="95" s="1"/>
  <c r="V1552" i="95"/>
  <c r="U1518" i="95"/>
  <c r="T1516" i="95"/>
  <c r="AA1200" i="95"/>
  <c r="Y1483" i="95"/>
  <c r="Z1484" i="95"/>
  <c r="T1699" i="95"/>
  <c r="S1697" i="95"/>
  <c r="V1717" i="95"/>
  <c r="V1716" i="95" s="1"/>
  <c r="V1742" i="95"/>
  <c r="W1692" i="95"/>
  <c r="V1691" i="95"/>
  <c r="U1151" i="95"/>
  <c r="T1150" i="95"/>
  <c r="W1472" i="95"/>
  <c r="V1470" i="95"/>
  <c r="V1469" i="95" s="1"/>
  <c r="AC1068" i="95"/>
  <c r="U1446" i="95"/>
  <c r="T1444" i="95"/>
  <c r="V1629" i="95"/>
  <c r="U1628" i="95"/>
  <c r="U1748" i="95"/>
  <c r="U1747" i="95" s="1"/>
  <c r="U1729" i="95"/>
  <c r="V1698" i="95"/>
  <c r="V1528" i="95"/>
  <c r="W1529" i="95"/>
  <c r="X1565" i="95"/>
  <c r="W1562" i="95"/>
  <c r="U1435" i="95"/>
  <c r="T1434" i="95"/>
  <c r="T1303" i="95"/>
  <c r="T1189" i="95"/>
  <c r="T1188" i="95" s="1"/>
  <c r="U1191" i="95"/>
  <c r="W1429" i="95"/>
  <c r="V1428" i="95"/>
  <c r="U1111" i="95"/>
  <c r="V1113" i="95"/>
  <c r="T1407" i="95"/>
  <c r="T1390" i="95"/>
  <c r="T1389" i="95" s="1"/>
  <c r="U1391" i="95"/>
  <c r="U1164" i="95"/>
  <c r="T1162" i="95"/>
  <c r="T1161" i="95" s="1"/>
  <c r="T1160" i="95" s="1"/>
  <c r="W1653" i="95"/>
  <c r="V1652" i="95"/>
  <c r="V1508" i="95"/>
  <c r="U1507" i="95"/>
  <c r="R1254" i="95"/>
  <c r="S1256" i="95"/>
  <c r="W1647" i="95"/>
  <c r="U466" i="95"/>
  <c r="Y1572" i="95"/>
  <c r="X1570" i="95"/>
  <c r="X1502" i="95"/>
  <c r="X1556" i="95"/>
  <c r="W1554" i="95"/>
  <c r="V1592" i="95"/>
  <c r="U1591" i="95"/>
  <c r="U1590" i="95" s="1"/>
  <c r="AB1564" i="95"/>
  <c r="R1076" i="95"/>
  <c r="W1672" i="95"/>
  <c r="V1309" i="95"/>
  <c r="Y1514" i="95"/>
  <c r="S1623" i="95"/>
  <c r="R1621" i="95"/>
  <c r="V1205" i="95"/>
  <c r="U1203" i="95"/>
  <c r="V393" i="95"/>
  <c r="W350" i="95"/>
  <c r="V416" i="95"/>
  <c r="V252" i="95"/>
  <c r="S1157" i="95"/>
  <c r="S1156" i="95" s="1"/>
  <c r="T1159" i="95"/>
  <c r="U1201" i="95"/>
  <c r="T1199" i="95"/>
  <c r="S1395" i="95"/>
  <c r="U1466" i="95"/>
  <c r="T1464" i="95"/>
  <c r="T1453" i="95" s="1"/>
  <c r="U1439" i="95"/>
  <c r="T1437" i="95"/>
  <c r="W1481" i="95"/>
  <c r="V1480" i="95"/>
  <c r="Y1098" i="95"/>
  <c r="S1141" i="95"/>
  <c r="S1140" i="95" s="1"/>
  <c r="T1143" i="95"/>
  <c r="R1369" i="95"/>
  <c r="Q1367" i="95"/>
  <c r="V1512" i="95"/>
  <c r="U1510" i="95"/>
  <c r="T1708" i="95"/>
  <c r="S1704" i="95"/>
  <c r="V1503" i="95"/>
  <c r="U1501" i="95"/>
  <c r="X1499" i="95"/>
  <c r="W1498" i="95"/>
  <c r="U1504" i="95"/>
  <c r="V1505" i="95"/>
  <c r="U827" i="95"/>
  <c r="U837" i="95"/>
  <c r="V757" i="95"/>
  <c r="U817" i="95"/>
  <c r="U783" i="95"/>
  <c r="U796" i="95"/>
  <c r="T1751" i="95"/>
  <c r="U158" i="24" s="1"/>
  <c r="U1753" i="95"/>
  <c r="V1214" i="95"/>
  <c r="U1212" i="95"/>
  <c r="T1441" i="95"/>
  <c r="U1443" i="95"/>
  <c r="U1416" i="95"/>
  <c r="AA1560" i="95"/>
  <c r="Z1558" i="95"/>
  <c r="AA1207" i="95"/>
  <c r="U1637" i="95"/>
  <c r="V1638" i="95"/>
  <c r="Z1213" i="95"/>
  <c r="V1036" i="95"/>
  <c r="V1105" i="95"/>
  <c r="W1089" i="95"/>
  <c r="V1132" i="95"/>
  <c r="U1130" i="95"/>
  <c r="W1333" i="95"/>
  <c r="V1331" i="95"/>
  <c r="V1687" i="95"/>
  <c r="U1685" i="95"/>
  <c r="AB1131" i="95"/>
  <c r="U1533" i="95"/>
  <c r="T1531" i="95"/>
  <c r="S1352" i="95"/>
  <c r="R1350" i="95"/>
  <c r="R1349" i="95" s="1"/>
  <c r="V1289" i="95"/>
  <c r="U1287" i="95"/>
  <c r="U1286" i="95" s="1"/>
  <c r="W1478" i="95"/>
  <c r="V1477" i="95"/>
  <c r="U1049" i="95"/>
  <c r="T1047" i="95"/>
  <c r="V1227" i="95"/>
  <c r="S1221" i="95"/>
  <c r="R1217" i="95"/>
  <c r="R1216" i="95" s="1"/>
  <c r="W753" i="95"/>
  <c r="V764" i="95"/>
  <c r="X1724" i="95"/>
  <c r="W1722" i="95"/>
  <c r="V1515" i="95"/>
  <c r="U1513" i="95"/>
  <c r="Y1115" i="95"/>
  <c r="T1206" i="95"/>
  <c r="T1202" i="95" s="1"/>
  <c r="U1648" i="95"/>
  <c r="T1646" i="95"/>
  <c r="R1669" i="95"/>
  <c r="R1668" i="95" s="1"/>
  <c r="R1664" i="95" s="1"/>
  <c r="S1730" i="95"/>
  <c r="U954" i="95"/>
  <c r="T1418" i="95"/>
  <c r="T1417" i="95" s="1"/>
  <c r="U1419" i="95"/>
  <c r="R1024" i="95"/>
  <c r="R1746" i="95"/>
  <c r="Q1744" i="95"/>
  <c r="Q1734" i="95" s="1"/>
  <c r="W1219" i="95"/>
  <c r="S1743" i="95"/>
  <c r="R1741" i="95"/>
  <c r="U1406" i="95"/>
  <c r="V1392" i="95"/>
  <c r="T1425" i="95"/>
  <c r="T1424" i="95" s="1"/>
  <c r="T1387" i="95"/>
  <c r="T1386" i="95" s="1"/>
  <c r="T1385" i="95" s="1"/>
  <c r="T1415" i="95"/>
  <c r="T1414" i="95" s="1"/>
  <c r="T1413" i="95" s="1"/>
  <c r="T1396" i="95"/>
  <c r="U1383" i="95"/>
  <c r="S1620" i="95"/>
  <c r="R1618" i="95"/>
  <c r="Y1163" i="95"/>
  <c r="P1357" i="95"/>
  <c r="P1348" i="95" s="1"/>
  <c r="V1129" i="95"/>
  <c r="U1127" i="95"/>
  <c r="U1177" i="95"/>
  <c r="T1184" i="95"/>
  <c r="T1183" i="95" s="1"/>
  <c r="T1174" i="95"/>
  <c r="T1173" i="95" s="1"/>
  <c r="Z1511" i="95"/>
  <c r="U1136" i="95"/>
  <c r="T1134" i="95"/>
  <c r="T1133" i="95" s="1"/>
  <c r="U1488" i="95"/>
  <c r="T1486" i="95"/>
  <c r="S1229" i="95"/>
  <c r="R1225" i="95"/>
  <c r="R1224" i="95" s="1"/>
  <c r="Y1520" i="95"/>
  <c r="U1662" i="95"/>
  <c r="T1661" i="95"/>
  <c r="V1521" i="95"/>
  <c r="U1519" i="95"/>
  <c r="R1366" i="95"/>
  <c r="Q1364" i="95"/>
  <c r="W1641" i="95"/>
  <c r="Q1030" i="95"/>
  <c r="U1635" i="95"/>
  <c r="T1634" i="95"/>
  <c r="S1737" i="95"/>
  <c r="R1735" i="95"/>
  <c r="X1438" i="95"/>
  <c r="T1696" i="95"/>
  <c r="S1694" i="95"/>
  <c r="Y1197" i="95"/>
  <c r="Y1194" i="95"/>
  <c r="T1315" i="95"/>
  <c r="S1313" i="95"/>
  <c r="X1707" i="95"/>
  <c r="U1525" i="95"/>
  <c r="V1526" i="95"/>
  <c r="W1118" i="95"/>
  <c r="W1117" i="95" s="1"/>
  <c r="X1092" i="95"/>
  <c r="Z1548" i="95"/>
  <c r="Y1546" i="95"/>
  <c r="U1622" i="95"/>
  <c r="V1599" i="95"/>
  <c r="U1612" i="95"/>
  <c r="U1611" i="95" s="1"/>
  <c r="U1489" i="95"/>
  <c r="X1461" i="95"/>
  <c r="W1459" i="95"/>
  <c r="AB1706" i="95"/>
  <c r="X1532" i="95"/>
  <c r="AA1210" i="95"/>
  <c r="W1211" i="95"/>
  <c r="V1209" i="95"/>
  <c r="Z1723" i="95"/>
  <c r="Z1745" i="95"/>
  <c r="AA1695" i="95"/>
  <c r="U1249" i="95"/>
  <c r="T1247" i="95"/>
  <c r="U1632" i="95"/>
  <c r="T1631" i="95"/>
  <c r="W1487" i="95"/>
  <c r="R1360" i="95"/>
  <c r="Q1358" i="95"/>
  <c r="AB1128" i="95"/>
  <c r="W1541" i="95"/>
  <c r="V1540" i="95"/>
  <c r="R1372" i="95"/>
  <c r="Q1370" i="95"/>
  <c r="U1673" i="95"/>
  <c r="T1671" i="95"/>
  <c r="R1356" i="95"/>
  <c r="Q1354" i="95"/>
  <c r="Q1353" i="95" s="1"/>
  <c r="R1640" i="95"/>
  <c r="R1627" i="95" s="1"/>
  <c r="U1492" i="95"/>
  <c r="V1493" i="95"/>
  <c r="Y1538" i="95"/>
  <c r="R1147" i="95"/>
  <c r="R1146" i="95" s="1"/>
  <c r="S1149" i="95"/>
  <c r="AC1204" i="95"/>
  <c r="T1595" i="95"/>
  <c r="U1597" i="95"/>
  <c r="W1490" i="95"/>
  <c r="T1123" i="95"/>
  <c r="S1121" i="95"/>
  <c r="X1235" i="95"/>
  <c r="S1261" i="95"/>
  <c r="T1263" i="95"/>
  <c r="T1280" i="95"/>
  <c r="S1278" i="95"/>
  <c r="S1319" i="95"/>
  <c r="T1321" i="95"/>
  <c r="W1242" i="95"/>
  <c r="V1240" i="95"/>
  <c r="T1126" i="95"/>
  <c r="S1124" i="95"/>
  <c r="R1363" i="95"/>
  <c r="Q1361" i="95"/>
  <c r="T1378" i="95"/>
  <c r="S1376" i="95"/>
  <c r="Y702" i="95"/>
  <c r="U1678" i="95"/>
  <c r="T1677" i="95"/>
  <c r="U1268" i="95"/>
  <c r="V1270" i="95"/>
  <c r="W1168" i="95"/>
  <c r="V1166" i="95"/>
  <c r="V1456" i="95"/>
  <c r="U1454" i="95"/>
  <c r="W1327" i="95"/>
  <c r="V1325" i="95"/>
  <c r="V1277" i="95"/>
  <c r="U1275" i="95"/>
  <c r="T1106" i="95"/>
  <c r="S1104" i="95"/>
  <c r="U1657" i="95"/>
  <c r="T1655" i="95"/>
  <c r="U1649" i="95"/>
  <c r="V1650" i="95"/>
  <c r="Z1296" i="95"/>
  <c r="Y1294" i="95"/>
  <c r="Y1293" i="95" s="1"/>
  <c r="R1079" i="95"/>
  <c r="Q1077" i="95"/>
  <c r="T1658" i="95"/>
  <c r="U1659" i="95"/>
  <c r="W1339" i="95"/>
  <c r="V1337" i="95"/>
  <c r="V1682" i="95"/>
  <c r="U1681" i="95"/>
  <c r="U1680" i="95" s="1"/>
  <c r="T1116" i="95"/>
  <c r="S1114" i="95"/>
  <c r="S1110" i="95" s="1"/>
  <c r="U770" i="95"/>
  <c r="V755" i="95"/>
  <c r="Y1517" i="95"/>
  <c r="Y1432" i="95"/>
  <c r="X1431" i="95"/>
  <c r="AC1576" i="95"/>
  <c r="AB1574" i="95"/>
  <c r="Z1580" i="95"/>
  <c r="Y1578" i="95"/>
  <c r="V1582" i="95"/>
  <c r="W1584" i="95"/>
  <c r="S1684" i="95" l="1"/>
  <c r="S1701" i="95" s="1"/>
  <c r="S1700" i="95" s="1"/>
  <c r="R1617" i="95"/>
  <c r="U1604" i="95"/>
  <c r="V1544" i="95"/>
  <c r="V1543" i="95" s="1"/>
  <c r="V1475" i="95"/>
  <c r="T1476" i="95"/>
  <c r="T1427" i="95"/>
  <c r="U1411" i="95"/>
  <c r="V1409" i="95"/>
  <c r="R1080" i="95"/>
  <c r="S1082" i="95"/>
  <c r="V849" i="95"/>
  <c r="V182" i="79"/>
  <c r="U180" i="79"/>
  <c r="U176" i="79" s="1"/>
  <c r="U156" i="79" s="1"/>
  <c r="W933" i="95"/>
  <c r="V984" i="95"/>
  <c r="V963" i="95"/>
  <c r="V950" i="95"/>
  <c r="V1004" i="95"/>
  <c r="V1016" i="95" s="1"/>
  <c r="V994" i="95"/>
  <c r="V767" i="95"/>
  <c r="W754" i="95"/>
  <c r="T1447" i="95"/>
  <c r="T1440" i="95" s="1"/>
  <c r="T1451" i="95" s="1"/>
  <c r="T1450" i="95" s="1"/>
  <c r="U1449" i="95"/>
  <c r="R1095" i="95"/>
  <c r="R1232" i="95"/>
  <c r="R1215" i="95" s="1"/>
  <c r="R1283" i="95" s="1"/>
  <c r="R1282" i="95" s="1"/>
  <c r="W1644" i="95"/>
  <c r="V1643" i="95"/>
  <c r="U1344" i="95"/>
  <c r="T1342" i="95"/>
  <c r="P1083" i="95"/>
  <c r="Q154" i="24" s="1"/>
  <c r="P1625" i="95"/>
  <c r="Q157" i="24" s="1"/>
  <c r="Q1300" i="95"/>
  <c r="Q1285" i="95" s="1"/>
  <c r="S1602" i="95"/>
  <c r="S1601" i="95" s="1"/>
  <c r="Q1474" i="95"/>
  <c r="R156" i="24" s="1"/>
  <c r="V1165" i="95"/>
  <c r="S1100" i="95"/>
  <c r="T1172" i="95"/>
  <c r="W452" i="95"/>
  <c r="X432" i="95"/>
  <c r="W439" i="95"/>
  <c r="W446" i="95"/>
  <c r="T1101" i="95"/>
  <c r="U1103" i="95"/>
  <c r="R1732" i="95"/>
  <c r="Q1728" i="95"/>
  <c r="Q1703" i="95" s="1"/>
  <c r="X1109" i="95"/>
  <c r="W1107" i="95"/>
  <c r="U1600" i="95"/>
  <c r="T1598" i="95"/>
  <c r="T1594" i="95" s="1"/>
  <c r="U1180" i="95"/>
  <c r="U1179" i="95" s="1"/>
  <c r="V1181" i="95"/>
  <c r="S1070" i="95"/>
  <c r="R1066" i="95"/>
  <c r="Z1586" i="95"/>
  <c r="AA1588" i="95"/>
  <c r="X1171" i="95"/>
  <c r="W1169" i="95"/>
  <c r="W1536" i="95"/>
  <c r="V1534" i="95"/>
  <c r="S1311" i="95"/>
  <c r="R1307" i="95"/>
  <c r="Y16" i="95"/>
  <c r="X39" i="95"/>
  <c r="V1195" i="95"/>
  <c r="U1193" i="95"/>
  <c r="V1676" i="95"/>
  <c r="U1674" i="95"/>
  <c r="U1522" i="95"/>
  <c r="V1524" i="95"/>
  <c r="S1305" i="95"/>
  <c r="R1301" i="95"/>
  <c r="W1539" i="95"/>
  <c r="V1537" i="95"/>
  <c r="W1166" i="95"/>
  <c r="X1168" i="95"/>
  <c r="V1492" i="95"/>
  <c r="W1493" i="95"/>
  <c r="V1136" i="95"/>
  <c r="U1134" i="95"/>
  <c r="U1133" i="95" s="1"/>
  <c r="W1515" i="95"/>
  <c r="V1513" i="95"/>
  <c r="V1533" i="95"/>
  <c r="U1531" i="95"/>
  <c r="W1105" i="95"/>
  <c r="X1089" i="95"/>
  <c r="U1441" i="95"/>
  <c r="V1443" i="95"/>
  <c r="Z1098" i="95"/>
  <c r="V1466" i="95"/>
  <c r="U1464" i="95"/>
  <c r="U1453" i="95" s="1"/>
  <c r="T1157" i="95"/>
  <c r="T1156" i="95" s="1"/>
  <c r="U1159" i="95"/>
  <c r="W1309" i="95"/>
  <c r="Y1556" i="95"/>
  <c r="X1554" i="95"/>
  <c r="V1435" i="95"/>
  <c r="U1434" i="95"/>
  <c r="S1669" i="95"/>
  <c r="S1668" i="95" s="1"/>
  <c r="S1664" i="95" s="1"/>
  <c r="V1495" i="95"/>
  <c r="W1496" i="95"/>
  <c r="X1568" i="95"/>
  <c r="W1566" i="95"/>
  <c r="S1079" i="95"/>
  <c r="R1077" i="95"/>
  <c r="W1240" i="95"/>
  <c r="X1242" i="95"/>
  <c r="U1280" i="95"/>
  <c r="T1278" i="95"/>
  <c r="V1249" i="95"/>
  <c r="U1247" i="95"/>
  <c r="S1366" i="95"/>
  <c r="R1364" i="95"/>
  <c r="Z1520" i="95"/>
  <c r="AA1511" i="95"/>
  <c r="T1620" i="95"/>
  <c r="S1618" i="95"/>
  <c r="T1352" i="95"/>
  <c r="S1350" i="95"/>
  <c r="S1349" i="95" s="1"/>
  <c r="X1647" i="95"/>
  <c r="V1416" i="95"/>
  <c r="V954" i="95"/>
  <c r="U1688" i="95"/>
  <c r="U1711" i="95"/>
  <c r="U1710" i="95" s="1"/>
  <c r="U1739" i="95"/>
  <c r="U1738" i="95" s="1"/>
  <c r="U1666" i="95"/>
  <c r="U1665" i="95" s="1"/>
  <c r="V1689" i="95"/>
  <c r="V1626" i="95" s="1"/>
  <c r="U1378" i="95"/>
  <c r="T1376" i="95"/>
  <c r="AB1210" i="95"/>
  <c r="S1024" i="95"/>
  <c r="X1327" i="95"/>
  <c r="W1325" i="95"/>
  <c r="Y1235" i="95"/>
  <c r="X1487" i="95"/>
  <c r="T1375" i="95"/>
  <c r="S1373" i="95"/>
  <c r="Q1357" i="95"/>
  <c r="Q1348" i="95" s="1"/>
  <c r="W1526" i="95"/>
  <c r="V1525" i="95"/>
  <c r="T1743" i="95"/>
  <c r="S1741" i="95"/>
  <c r="U1751" i="95"/>
  <c r="V158" i="24" s="1"/>
  <c r="V1753" i="95"/>
  <c r="X1672" i="95"/>
  <c r="Z1572" i="95"/>
  <c r="Y1570" i="95"/>
  <c r="V1507" i="95"/>
  <c r="W1508" i="95"/>
  <c r="W1289" i="95"/>
  <c r="V1287" i="95"/>
  <c r="V1286" i="95" s="1"/>
  <c r="V1637" i="95"/>
  <c r="W1638" i="95"/>
  <c r="AC1128" i="95"/>
  <c r="AA1548" i="95"/>
  <c r="Z1546" i="95"/>
  <c r="S1746" i="95"/>
  <c r="R1744" i="95"/>
  <c r="R1734" i="95" s="1"/>
  <c r="V1049" i="95"/>
  <c r="U1047" i="95"/>
  <c r="W1503" i="95"/>
  <c r="V1501" i="95"/>
  <c r="V1201" i="95"/>
  <c r="U1199" i="95"/>
  <c r="W393" i="95"/>
  <c r="X350" i="95"/>
  <c r="W252" i="95"/>
  <c r="W416" i="95"/>
  <c r="V1164" i="95"/>
  <c r="U1162" i="95"/>
  <c r="U1161" i="95" s="1"/>
  <c r="U1160" i="95" s="1"/>
  <c r="V1748" i="95"/>
  <c r="V1747" i="95" s="1"/>
  <c r="W1698" i="95"/>
  <c r="V1729" i="95"/>
  <c r="V1681" i="95"/>
  <c r="V1680" i="95" s="1"/>
  <c r="W1682" i="95"/>
  <c r="U1106" i="95"/>
  <c r="T1104" i="95"/>
  <c r="U1263" i="95"/>
  <c r="T1261" i="95"/>
  <c r="Y1438" i="95"/>
  <c r="AB1207" i="95"/>
  <c r="U1708" i="95"/>
  <c r="T1704" i="95"/>
  <c r="AA1296" i="95"/>
  <c r="Z1294" i="95"/>
  <c r="Z1293" i="95" s="1"/>
  <c r="AD1204" i="95"/>
  <c r="X1118" i="95"/>
  <c r="X1117" i="95" s="1"/>
  <c r="Y1092" i="95"/>
  <c r="T1730" i="95"/>
  <c r="W1036" i="95"/>
  <c r="V817" i="95"/>
  <c r="V837" i="95"/>
  <c r="V783" i="95"/>
  <c r="V827" i="95"/>
  <c r="W757" i="95"/>
  <c r="V796" i="95"/>
  <c r="Y1502" i="95"/>
  <c r="Y1565" i="95"/>
  <c r="X1562" i="95"/>
  <c r="X1339" i="95"/>
  <c r="W1337" i="95"/>
  <c r="S1147" i="95"/>
  <c r="S1146" i="95" s="1"/>
  <c r="T1149" i="95"/>
  <c r="W1392" i="95"/>
  <c r="V1406" i="95"/>
  <c r="X753" i="95"/>
  <c r="W764" i="95"/>
  <c r="R1367" i="95"/>
  <c r="S1369" i="95"/>
  <c r="V1635" i="95"/>
  <c r="U1634" i="95"/>
  <c r="Z1514" i="95"/>
  <c r="V1198" i="95"/>
  <c r="U1196" i="95"/>
  <c r="U1677" i="95"/>
  <c r="V1678" i="95"/>
  <c r="S1120" i="95"/>
  <c r="U1631" i="95"/>
  <c r="V1632" i="95"/>
  <c r="U1418" i="95"/>
  <c r="U1417" i="95" s="1"/>
  <c r="V1419" i="95"/>
  <c r="T1221" i="95"/>
  <c r="S1217" i="95"/>
  <c r="S1216" i="95" s="1"/>
  <c r="W1132" i="95"/>
  <c r="V1130" i="95"/>
  <c r="V1504" i="95"/>
  <c r="W1505" i="95"/>
  <c r="X1584" i="95"/>
  <c r="W1582" i="95"/>
  <c r="Z1517" i="95"/>
  <c r="W1270" i="95"/>
  <c r="V1268" i="95"/>
  <c r="Z702" i="95"/>
  <c r="U1126" i="95"/>
  <c r="T1124" i="95"/>
  <c r="U1321" i="95"/>
  <c r="T1319" i="95"/>
  <c r="U1123" i="95"/>
  <c r="T1121" i="95"/>
  <c r="V1597" i="95"/>
  <c r="U1595" i="95"/>
  <c r="S1640" i="95"/>
  <c r="S1627" i="95" s="1"/>
  <c r="AA1745" i="95"/>
  <c r="AA1723" i="95"/>
  <c r="AB1695" i="95"/>
  <c r="X1211" i="95"/>
  <c r="W1209" i="95"/>
  <c r="Z1194" i="95"/>
  <c r="W1521" i="95"/>
  <c r="V1519" i="95"/>
  <c r="V1177" i="95"/>
  <c r="U1184" i="95"/>
  <c r="U1183" i="95" s="1"/>
  <c r="U1174" i="95"/>
  <c r="U1173" i="95" s="1"/>
  <c r="T1395" i="95"/>
  <c r="U1206" i="95"/>
  <c r="U1202" i="95" s="1"/>
  <c r="AC1131" i="95"/>
  <c r="T1141" i="95"/>
  <c r="T1140" i="95" s="1"/>
  <c r="U1143" i="95"/>
  <c r="V1191" i="95"/>
  <c r="U1189" i="95"/>
  <c r="U1188" i="95" s="1"/>
  <c r="U1444" i="95"/>
  <c r="V1446" i="95"/>
  <c r="V1662" i="95"/>
  <c r="U1661" i="95"/>
  <c r="V1622" i="95"/>
  <c r="V1489" i="95"/>
  <c r="V1612" i="95"/>
  <c r="V1611" i="95" s="1"/>
  <c r="W1599" i="95"/>
  <c r="W1205" i="95"/>
  <c r="V1203" i="95"/>
  <c r="Y1724" i="95"/>
  <c r="X1722" i="95"/>
  <c r="X1333" i="95"/>
  <c r="W1331" i="95"/>
  <c r="AC1706" i="95"/>
  <c r="T1229" i="95"/>
  <c r="S1225" i="95"/>
  <c r="S1224" i="95" s="1"/>
  <c r="U1415" i="95"/>
  <c r="U1414" i="95" s="1"/>
  <c r="U1413" i="95" s="1"/>
  <c r="V1383" i="95"/>
  <c r="U1387" i="95"/>
  <c r="U1386" i="95" s="1"/>
  <c r="U1385" i="95" s="1"/>
  <c r="U1425" i="95"/>
  <c r="U1424" i="95" s="1"/>
  <c r="U1396" i="95"/>
  <c r="T1623" i="95"/>
  <c r="S1621" i="95"/>
  <c r="S1372" i="95"/>
  <c r="R1370" i="95"/>
  <c r="Y1707" i="95"/>
  <c r="W1129" i="95"/>
  <c r="V1127" i="95"/>
  <c r="W1227" i="95"/>
  <c r="X1478" i="95"/>
  <c r="W1477" i="95"/>
  <c r="X1481" i="95"/>
  <c r="W1480" i="95"/>
  <c r="V1439" i="95"/>
  <c r="U1437" i="95"/>
  <c r="S1394" i="95"/>
  <c r="S1401" i="95"/>
  <c r="S1400" i="95" s="1"/>
  <c r="X1653" i="95"/>
  <c r="W1652" i="95"/>
  <c r="X1529" i="95"/>
  <c r="W1528" i="95"/>
  <c r="V1099" i="95"/>
  <c r="U1097" i="95"/>
  <c r="U1096" i="95" s="1"/>
  <c r="AA1535" i="95"/>
  <c r="Z1432" i="95"/>
  <c r="Y1431" i="95"/>
  <c r="X1541" i="95"/>
  <c r="W1540" i="95"/>
  <c r="X1641" i="95"/>
  <c r="V1488" i="95"/>
  <c r="U1486" i="95"/>
  <c r="W1687" i="95"/>
  <c r="V1685" i="95"/>
  <c r="W1717" i="95"/>
  <c r="W1716" i="95" s="1"/>
  <c r="W1742" i="95"/>
  <c r="W1691" i="95"/>
  <c r="X1692" i="95"/>
  <c r="T1237" i="95"/>
  <c r="S1233" i="95"/>
  <c r="AA1580" i="95"/>
  <c r="Z1578" i="95"/>
  <c r="V1275" i="95"/>
  <c r="W1277" i="95"/>
  <c r="X1490" i="95"/>
  <c r="V1673" i="95"/>
  <c r="U1671" i="95"/>
  <c r="U1315" i="95"/>
  <c r="T1313" i="95"/>
  <c r="U1116" i="95"/>
  <c r="T1114" i="95"/>
  <c r="T1110" i="95" s="1"/>
  <c r="U1696" i="95"/>
  <c r="T1694" i="95"/>
  <c r="AD1576" i="95"/>
  <c r="AC1574" i="95"/>
  <c r="W1512" i="95"/>
  <c r="V1510" i="95"/>
  <c r="U1407" i="95"/>
  <c r="V1391" i="95"/>
  <c r="U1390" i="95"/>
  <c r="U1389" i="95" s="1"/>
  <c r="V1111" i="95"/>
  <c r="W1113" i="95"/>
  <c r="X1429" i="95"/>
  <c r="W1428" i="95"/>
  <c r="U1699" i="95"/>
  <c r="T1697" i="95"/>
  <c r="AB1200" i="95"/>
  <c r="V1454" i="95"/>
  <c r="W1456" i="95"/>
  <c r="W1214" i="95"/>
  <c r="V1212" i="95"/>
  <c r="T1256" i="95"/>
  <c r="S1254" i="95"/>
  <c r="W1629" i="95"/>
  <c r="V1628" i="95"/>
  <c r="Z1483" i="95"/>
  <c r="AA1484" i="95"/>
  <c r="W1650" i="95"/>
  <c r="V1649" i="95"/>
  <c r="Z1163" i="95"/>
  <c r="AB1560" i="95"/>
  <c r="AA1558" i="95"/>
  <c r="AC1564" i="95"/>
  <c r="V1518" i="95"/>
  <c r="U1516" i="95"/>
  <c r="W1607" i="95"/>
  <c r="V1605" i="95"/>
  <c r="T1192" i="95"/>
  <c r="T1187" i="95" s="1"/>
  <c r="S1363" i="95"/>
  <c r="R1361" i="95"/>
  <c r="Y1532" i="95"/>
  <c r="T1737" i="95"/>
  <c r="S1735" i="95"/>
  <c r="V1648" i="95"/>
  <c r="U1646" i="95"/>
  <c r="AD1068" i="95"/>
  <c r="V1550" i="95"/>
  <c r="V1549" i="95" s="1"/>
  <c r="W1552" i="95"/>
  <c r="S1360" i="95"/>
  <c r="R1358" i="95"/>
  <c r="V1591" i="95"/>
  <c r="V1590" i="95" s="1"/>
  <c r="W1592" i="95"/>
  <c r="U1658" i="95"/>
  <c r="V1659" i="95"/>
  <c r="V1657" i="95"/>
  <c r="U1655" i="95"/>
  <c r="V770" i="95"/>
  <c r="W755" i="95"/>
  <c r="Z1538" i="95"/>
  <c r="S1356" i="95"/>
  <c r="R1354" i="95"/>
  <c r="R1353" i="95" s="1"/>
  <c r="Y1461" i="95"/>
  <c r="X1459" i="95"/>
  <c r="Z1197" i="95"/>
  <c r="R1030" i="95"/>
  <c r="X1219" i="95"/>
  <c r="Z1115" i="95"/>
  <c r="AA1213" i="95"/>
  <c r="X1498" i="95"/>
  <c r="Y1499" i="95"/>
  <c r="S1076" i="95"/>
  <c r="V466" i="95"/>
  <c r="U1303" i="95"/>
  <c r="X1472" i="95"/>
  <c r="W1470" i="95"/>
  <c r="W1469" i="95" s="1"/>
  <c r="V1151" i="95"/>
  <c r="U1150" i="95"/>
  <c r="T1684" i="95" l="1"/>
  <c r="T1701" i="95" s="1"/>
  <c r="T1700" i="95" s="1"/>
  <c r="S1617" i="95"/>
  <c r="V1604" i="95"/>
  <c r="W1544" i="95"/>
  <c r="W1543" i="95" s="1"/>
  <c r="W1475" i="95"/>
  <c r="U1476" i="95"/>
  <c r="U1427" i="95"/>
  <c r="V1411" i="95"/>
  <c r="W1409" i="95"/>
  <c r="S1080" i="95"/>
  <c r="T1082" i="95"/>
  <c r="W849" i="95"/>
  <c r="W182" i="79"/>
  <c r="V180" i="79"/>
  <c r="V176" i="79" s="1"/>
  <c r="V156" i="79" s="1"/>
  <c r="V1449" i="95"/>
  <c r="U1447" i="95"/>
  <c r="U1440" i="95" s="1"/>
  <c r="U1451" i="95" s="1"/>
  <c r="U1450" i="95" s="1"/>
  <c r="W767" i="95"/>
  <c r="X754" i="95"/>
  <c r="X933" i="95"/>
  <c r="W984" i="95"/>
  <c r="W1004" i="95"/>
  <c r="W1016" i="95" s="1"/>
  <c r="W994" i="95"/>
  <c r="W950" i="95"/>
  <c r="W963" i="95"/>
  <c r="S1232" i="95"/>
  <c r="S1215" i="95" s="1"/>
  <c r="S1283" i="95" s="1"/>
  <c r="S1282" i="95" s="1"/>
  <c r="V1344" i="95"/>
  <c r="U1342" i="95"/>
  <c r="W1643" i="95"/>
  <c r="X1644" i="95"/>
  <c r="R1300" i="95"/>
  <c r="R1285" i="95" s="1"/>
  <c r="T1100" i="95"/>
  <c r="Q1083" i="95"/>
  <c r="R154" i="24" s="1"/>
  <c r="Q1625" i="95"/>
  <c r="R157" i="24" s="1"/>
  <c r="R1474" i="95"/>
  <c r="S156" i="24" s="1"/>
  <c r="T1602" i="95"/>
  <c r="T1601" i="95" s="1"/>
  <c r="S1095" i="95"/>
  <c r="X452" i="95"/>
  <c r="Y432" i="95"/>
  <c r="X446" i="95"/>
  <c r="X439" i="95"/>
  <c r="U1101" i="95"/>
  <c r="V1103" i="95"/>
  <c r="X1536" i="95"/>
  <c r="W1534" i="95"/>
  <c r="X1539" i="95"/>
  <c r="W1537" i="95"/>
  <c r="Y1171" i="95"/>
  <c r="X1169" i="95"/>
  <c r="Y1109" i="95"/>
  <c r="X1107" i="95"/>
  <c r="U1172" i="95"/>
  <c r="T1070" i="95"/>
  <c r="S1066" i="95"/>
  <c r="V1180" i="95"/>
  <c r="V1179" i="95" s="1"/>
  <c r="W1181" i="95"/>
  <c r="W1165" i="95"/>
  <c r="R1357" i="95"/>
  <c r="R1348" i="95" s="1"/>
  <c r="U1192" i="95"/>
  <c r="U1187" i="95" s="1"/>
  <c r="S1732" i="95"/>
  <c r="R1728" i="95"/>
  <c r="R1703" i="95" s="1"/>
  <c r="T1305" i="95"/>
  <c r="S1301" i="95"/>
  <c r="V1522" i="95"/>
  <c r="W1524" i="95"/>
  <c r="Z16" i="95"/>
  <c r="Y39" i="95"/>
  <c r="T1311" i="95"/>
  <c r="S1307" i="95"/>
  <c r="AA1586" i="95"/>
  <c r="AB1588" i="95"/>
  <c r="V1600" i="95"/>
  <c r="U1598" i="95"/>
  <c r="U1594" i="95" s="1"/>
  <c r="V1674" i="95"/>
  <c r="W1676" i="95"/>
  <c r="W1195" i="95"/>
  <c r="V1193" i="95"/>
  <c r="V1396" i="95"/>
  <c r="W1383" i="95"/>
  <c r="V1415" i="95"/>
  <c r="V1414" i="95" s="1"/>
  <c r="V1413" i="95" s="1"/>
  <c r="V1387" i="95"/>
  <c r="V1386" i="95" s="1"/>
  <c r="V1385" i="95" s="1"/>
  <c r="V1425" i="95"/>
  <c r="V1424" i="95" s="1"/>
  <c r="W1136" i="95"/>
  <c r="V1134" i="95"/>
  <c r="V1133" i="95" s="1"/>
  <c r="W1111" i="95"/>
  <c r="X1113" i="95"/>
  <c r="V1263" i="95"/>
  <c r="U1261" i="95"/>
  <c r="X1205" i="95"/>
  <c r="W1203" i="95"/>
  <c r="Y1333" i="95"/>
  <c r="X1331" i="95"/>
  <c r="V1106" i="95"/>
  <c r="U1104" i="95"/>
  <c r="X1515" i="95"/>
  <c r="W1513" i="95"/>
  <c r="X1496" i="95"/>
  <c r="W1495" i="95"/>
  <c r="AA1197" i="95"/>
  <c r="AD1131" i="95"/>
  <c r="AE1068" i="95"/>
  <c r="W1518" i="95"/>
  <c r="V1516" i="95"/>
  <c r="V1315" i="95"/>
  <c r="U1313" i="95"/>
  <c r="V1303" i="95"/>
  <c r="AA1115" i="95"/>
  <c r="X1650" i="95"/>
  <c r="W1649" i="95"/>
  <c r="W1454" i="95"/>
  <c r="X1456" i="95"/>
  <c r="AD1574" i="95"/>
  <c r="AE1576" i="95"/>
  <c r="AB1535" i="95"/>
  <c r="V1321" i="95"/>
  <c r="U1319" i="95"/>
  <c r="W1678" i="95"/>
  <c r="V1677" i="95"/>
  <c r="X1036" i="95"/>
  <c r="Z1461" i="95"/>
  <c r="Y1459" i="95"/>
  <c r="T1360" i="95"/>
  <c r="S1358" i="95"/>
  <c r="W1673" i="95"/>
  <c r="V1671" i="95"/>
  <c r="U1229" i="95"/>
  <c r="T1225" i="95"/>
  <c r="T1224" i="95" s="1"/>
  <c r="V1418" i="95"/>
  <c r="V1417" i="95" s="1"/>
  <c r="W1419" i="95"/>
  <c r="X1503" i="95"/>
  <c r="W1501" i="95"/>
  <c r="X1309" i="95"/>
  <c r="W1443" i="95"/>
  <c r="V1441" i="95"/>
  <c r="Y1168" i="95"/>
  <c r="X1166" i="95"/>
  <c r="V1696" i="95"/>
  <c r="U1694" i="95"/>
  <c r="Y1541" i="95"/>
  <c r="X1540" i="95"/>
  <c r="U1124" i="95"/>
  <c r="V1126" i="95"/>
  <c r="W1507" i="95"/>
  <c r="X1508" i="95"/>
  <c r="Y1647" i="95"/>
  <c r="T1079" i="95"/>
  <c r="S1077" i="95"/>
  <c r="V1159" i="95"/>
  <c r="U1157" i="95"/>
  <c r="U1156" i="95" s="1"/>
  <c r="T1372" i="95"/>
  <c r="S1370" i="95"/>
  <c r="Y1339" i="95"/>
  <c r="X1337" i="95"/>
  <c r="T1024" i="95"/>
  <c r="AA1520" i="95"/>
  <c r="Y1219" i="95"/>
  <c r="T1356" i="95"/>
  <c r="S1354" i="95"/>
  <c r="S1353" i="95" s="1"/>
  <c r="AD1564" i="95"/>
  <c r="W1275" i="95"/>
  <c r="X1277" i="95"/>
  <c r="W1439" i="95"/>
  <c r="V1437" i="95"/>
  <c r="AD1706" i="95"/>
  <c r="V1739" i="95"/>
  <c r="V1738" i="95" s="1"/>
  <c r="V1711" i="95"/>
  <c r="V1710" i="95" s="1"/>
  <c r="V1688" i="95"/>
  <c r="V1666" i="95"/>
  <c r="V1665" i="95" s="1"/>
  <c r="W1689" i="95"/>
  <c r="W1626" i="95" s="1"/>
  <c r="W770" i="95"/>
  <c r="X755" i="95"/>
  <c r="W1628" i="95"/>
  <c r="X1629" i="95"/>
  <c r="Z1724" i="95"/>
  <c r="Y1722" i="95"/>
  <c r="U1141" i="95"/>
  <c r="U1140" i="95" s="1"/>
  <c r="V1143" i="95"/>
  <c r="AA1514" i="95"/>
  <c r="T1746" i="95"/>
  <c r="S1744" i="95"/>
  <c r="S1734" i="95" s="1"/>
  <c r="W1637" i="95"/>
  <c r="X1638" i="95"/>
  <c r="AA1572" i="95"/>
  <c r="Z1570" i="95"/>
  <c r="V1751" i="95"/>
  <c r="W158" i="24" s="1"/>
  <c r="W1753" i="95"/>
  <c r="X1526" i="95"/>
  <c r="W1525" i="95"/>
  <c r="Y1487" i="95"/>
  <c r="S1364" i="95"/>
  <c r="T1366" i="95"/>
  <c r="V1280" i="95"/>
  <c r="U1278" i="95"/>
  <c r="V1150" i="95"/>
  <c r="W1151" i="95"/>
  <c r="AA1538" i="95"/>
  <c r="W1659" i="95"/>
  <c r="V1658" i="95"/>
  <c r="AB1484" i="95"/>
  <c r="AA1483" i="95"/>
  <c r="Y1641" i="95"/>
  <c r="X1652" i="95"/>
  <c r="Y1653" i="95"/>
  <c r="Y1481" i="95"/>
  <c r="X1480" i="95"/>
  <c r="X1477" i="95"/>
  <c r="Y1478" i="95"/>
  <c r="U1623" i="95"/>
  <c r="T1621" i="95"/>
  <c r="W1191" i="95"/>
  <c r="V1189" i="95"/>
  <c r="V1188" i="95" s="1"/>
  <c r="T1640" i="95"/>
  <c r="T1627" i="95" s="1"/>
  <c r="X1270" i="95"/>
  <c r="W1268" i="95"/>
  <c r="X1132" i="95"/>
  <c r="W1130" i="95"/>
  <c r="Y1118" i="95"/>
  <c r="Y1117" i="95" s="1"/>
  <c r="Z1092" i="95"/>
  <c r="Y1672" i="95"/>
  <c r="X1240" i="95"/>
  <c r="Y1242" i="95"/>
  <c r="W1533" i="95"/>
  <c r="V1531" i="95"/>
  <c r="T1076" i="95"/>
  <c r="W1504" i="95"/>
  <c r="X1505" i="95"/>
  <c r="AE1204" i="95"/>
  <c r="V1378" i="95"/>
  <c r="U1376" i="95"/>
  <c r="AC1200" i="95"/>
  <c r="AA702" i="95"/>
  <c r="AB1213" i="95"/>
  <c r="U1737" i="95"/>
  <c r="T1735" i="95"/>
  <c r="V1699" i="95"/>
  <c r="U1697" i="95"/>
  <c r="AB1580" i="95"/>
  <c r="AA1578" i="95"/>
  <c r="U1395" i="95"/>
  <c r="W1612" i="95"/>
  <c r="W1611" i="95" s="1"/>
  <c r="X1599" i="95"/>
  <c r="W1489" i="95"/>
  <c r="W1622" i="95"/>
  <c r="AA1517" i="95"/>
  <c r="S1367" i="95"/>
  <c r="T1369" i="95"/>
  <c r="W783" i="95"/>
  <c r="W796" i="95"/>
  <c r="W837" i="95"/>
  <c r="W827" i="95"/>
  <c r="W817" i="95"/>
  <c r="X757" i="95"/>
  <c r="V1708" i="95"/>
  <c r="U1704" i="95"/>
  <c r="Y350" i="95"/>
  <c r="X393" i="95"/>
  <c r="X252" i="95"/>
  <c r="X416" i="95"/>
  <c r="AB1548" i="95"/>
  <c r="AA1546" i="95"/>
  <c r="Z1235" i="95"/>
  <c r="AC1210" i="95"/>
  <c r="T1669" i="95"/>
  <c r="T1668" i="95" s="1"/>
  <c r="T1664" i="95" s="1"/>
  <c r="Z1556" i="95"/>
  <c r="Y1554" i="95"/>
  <c r="V1464" i="95"/>
  <c r="V1453" i="95" s="1"/>
  <c r="W1466" i="95"/>
  <c r="U1121" i="95"/>
  <c r="V1123" i="95"/>
  <c r="W1648" i="95"/>
  <c r="V1646" i="95"/>
  <c r="Y1211" i="95"/>
  <c r="X1209" i="95"/>
  <c r="T1363" i="95"/>
  <c r="S1361" i="95"/>
  <c r="Y1490" i="95"/>
  <c r="W1635" i="95"/>
  <c r="V1634" i="95"/>
  <c r="X764" i="95"/>
  <c r="Y753" i="95"/>
  <c r="X1129" i="95"/>
  <c r="W1127" i="95"/>
  <c r="W1164" i="95"/>
  <c r="V1162" i="95"/>
  <c r="V1161" i="95" s="1"/>
  <c r="V1160" i="95" s="1"/>
  <c r="U1743" i="95"/>
  <c r="T1741" i="95"/>
  <c r="Z1502" i="95"/>
  <c r="X1566" i="95"/>
  <c r="Y1568" i="95"/>
  <c r="V1116" i="95"/>
  <c r="U1114" i="95"/>
  <c r="U1110" i="95" s="1"/>
  <c r="W1446" i="95"/>
  <c r="V1444" i="95"/>
  <c r="AA1194" i="95"/>
  <c r="W1597" i="95"/>
  <c r="V1595" i="95"/>
  <c r="X1289" i="95"/>
  <c r="W1287" i="95"/>
  <c r="W1286" i="95" s="1"/>
  <c r="U1375" i="95"/>
  <c r="T1373" i="95"/>
  <c r="U1352" i="95"/>
  <c r="T1350" i="95"/>
  <c r="T1349" i="95" s="1"/>
  <c r="W1685" i="95"/>
  <c r="X1687" i="95"/>
  <c r="Y1529" i="95"/>
  <c r="X1528" i="95"/>
  <c r="T1394" i="95"/>
  <c r="T1401" i="95"/>
  <c r="T1400" i="95" s="1"/>
  <c r="Y1584" i="95"/>
  <c r="X1582" i="95"/>
  <c r="Z1565" i="95"/>
  <c r="Y1562" i="95"/>
  <c r="W1201" i="95"/>
  <c r="V1199" i="95"/>
  <c r="AB1511" i="95"/>
  <c r="AA1098" i="95"/>
  <c r="AA1163" i="95"/>
  <c r="X1428" i="95"/>
  <c r="Y1429" i="95"/>
  <c r="Z1707" i="95"/>
  <c r="V1247" i="95"/>
  <c r="W1249" i="95"/>
  <c r="W1435" i="95"/>
  <c r="V1434" i="95"/>
  <c r="X1493" i="95"/>
  <c r="W1492" i="95"/>
  <c r="X1742" i="95"/>
  <c r="X1691" i="95"/>
  <c r="X1717" i="95"/>
  <c r="X1716" i="95" s="1"/>
  <c r="Y1692" i="95"/>
  <c r="U1221" i="95"/>
  <c r="T1217" i="95"/>
  <c r="T1216" i="95" s="1"/>
  <c r="U1730" i="95"/>
  <c r="W1416" i="95"/>
  <c r="Y1498" i="95"/>
  <c r="Z1499" i="95"/>
  <c r="V1184" i="95"/>
  <c r="V1183" i="95" s="1"/>
  <c r="V1174" i="95"/>
  <c r="V1173" i="95" s="1"/>
  <c r="W1177" i="95"/>
  <c r="AC1695" i="95"/>
  <c r="AB1723" i="95"/>
  <c r="AB1745" i="95"/>
  <c r="AD1128" i="95"/>
  <c r="X1214" i="95"/>
  <c r="W1212" i="95"/>
  <c r="W1049" i="95"/>
  <c r="V1047" i="95"/>
  <c r="Y1089" i="95"/>
  <c r="X1105" i="95"/>
  <c r="W1391" i="95"/>
  <c r="V1407" i="95"/>
  <c r="V1390" i="95"/>
  <c r="V1389" i="95" s="1"/>
  <c r="W1488" i="95"/>
  <c r="V1486" i="95"/>
  <c r="W1099" i="95"/>
  <c r="V1097" i="95"/>
  <c r="V1096" i="95" s="1"/>
  <c r="V1206" i="95"/>
  <c r="V1202" i="95" s="1"/>
  <c r="X1392" i="95"/>
  <c r="W1406" i="95"/>
  <c r="AB1296" i="95"/>
  <c r="AA1294" i="95"/>
  <c r="AA1293" i="95" s="1"/>
  <c r="X1682" i="95"/>
  <c r="W1681" i="95"/>
  <c r="W1680" i="95" s="1"/>
  <c r="Y1327" i="95"/>
  <c r="X1325" i="95"/>
  <c r="W1657" i="95"/>
  <c r="V1655" i="95"/>
  <c r="Y1472" i="95"/>
  <c r="X1470" i="95"/>
  <c r="X1469" i="95" s="1"/>
  <c r="W466" i="95"/>
  <c r="S1030" i="95"/>
  <c r="X1552" i="95"/>
  <c r="W1550" i="95"/>
  <c r="W1549" i="95" s="1"/>
  <c r="Z1532" i="95"/>
  <c r="AC1560" i="95"/>
  <c r="AB1558" i="95"/>
  <c r="AA1432" i="95"/>
  <c r="Z1431" i="95"/>
  <c r="X1227" i="95"/>
  <c r="U1149" i="95"/>
  <c r="T1147" i="95"/>
  <c r="T1146" i="95" s="1"/>
  <c r="X1592" i="95"/>
  <c r="W1591" i="95"/>
  <c r="W1590" i="95" s="1"/>
  <c r="X1607" i="95"/>
  <c r="W1605" i="95"/>
  <c r="T1254" i="95"/>
  <c r="U1256" i="95"/>
  <c r="X1512" i="95"/>
  <c r="W1510" i="95"/>
  <c r="U1237" i="95"/>
  <c r="T1233" i="95"/>
  <c r="W1662" i="95"/>
  <c r="V1661" i="95"/>
  <c r="X1521" i="95"/>
  <c r="W1519" i="95"/>
  <c r="T1120" i="95"/>
  <c r="W1632" i="95"/>
  <c r="V1631" i="95"/>
  <c r="W1198" i="95"/>
  <c r="V1196" i="95"/>
  <c r="AC1207" i="95"/>
  <c r="Z1438" i="95"/>
  <c r="W1729" i="95"/>
  <c r="X1698" i="95"/>
  <c r="W1748" i="95"/>
  <c r="W1747" i="95" s="1"/>
  <c r="W954" i="95"/>
  <c r="U1620" i="95"/>
  <c r="T1618" i="95"/>
  <c r="U1684" i="95" l="1"/>
  <c r="U1701" i="95" s="1"/>
  <c r="U1700" i="95" s="1"/>
  <c r="V1476" i="95"/>
  <c r="V1427" i="95"/>
  <c r="T1617" i="95"/>
  <c r="W1604" i="95"/>
  <c r="X1544" i="95"/>
  <c r="X1543" i="95" s="1"/>
  <c r="X1475" i="95"/>
  <c r="W1411" i="95"/>
  <c r="X1409" i="95"/>
  <c r="T1080" i="95"/>
  <c r="U1082" i="95"/>
  <c r="X849" i="95"/>
  <c r="X182" i="79"/>
  <c r="W180" i="79"/>
  <c r="W176" i="79" s="1"/>
  <c r="W156" i="79" s="1"/>
  <c r="U1602" i="95"/>
  <c r="U1601" i="95" s="1"/>
  <c r="R1625" i="95"/>
  <c r="S157" i="24" s="1"/>
  <c r="Y933" i="95"/>
  <c r="X950" i="95"/>
  <c r="X963" i="95"/>
  <c r="X1004" i="95"/>
  <c r="X1016" i="95" s="1"/>
  <c r="X994" i="95"/>
  <c r="X984" i="95"/>
  <c r="Y754" i="95"/>
  <c r="X767" i="95"/>
  <c r="W1449" i="95"/>
  <c r="V1447" i="95"/>
  <c r="V1440" i="95" s="1"/>
  <c r="V1451" i="95" s="1"/>
  <c r="V1450" i="95" s="1"/>
  <c r="T1095" i="95"/>
  <c r="X1643" i="95"/>
  <c r="Y1644" i="95"/>
  <c r="T1232" i="95"/>
  <c r="T1215" i="95" s="1"/>
  <c r="T1283" i="95" s="1"/>
  <c r="T1282" i="95" s="1"/>
  <c r="W1344" i="95"/>
  <c r="V1342" i="95"/>
  <c r="R1083" i="95"/>
  <c r="S154" i="24" s="1"/>
  <c r="S1474" i="95"/>
  <c r="T156" i="24" s="1"/>
  <c r="S1300" i="95"/>
  <c r="S1285" i="95" s="1"/>
  <c r="U1100" i="95"/>
  <c r="Y446" i="95"/>
  <c r="Z432" i="95"/>
  <c r="Y439" i="95"/>
  <c r="Y452" i="95"/>
  <c r="V1101" i="95"/>
  <c r="W1103" i="95"/>
  <c r="X1195" i="95"/>
  <c r="W1193" i="95"/>
  <c r="U1311" i="95"/>
  <c r="T1307" i="95"/>
  <c r="X1524" i="95"/>
  <c r="W1522" i="95"/>
  <c r="T1732" i="95"/>
  <c r="S1728" i="95"/>
  <c r="S1703" i="95" s="1"/>
  <c r="X1181" i="95"/>
  <c r="W1180" i="95"/>
  <c r="W1179" i="95" s="1"/>
  <c r="Y1107" i="95"/>
  <c r="Z1109" i="95"/>
  <c r="W1674" i="95"/>
  <c r="X1676" i="95"/>
  <c r="U1305" i="95"/>
  <c r="T1301" i="95"/>
  <c r="U1070" i="95"/>
  <c r="T1066" i="95"/>
  <c r="W1600" i="95"/>
  <c r="V1598" i="95"/>
  <c r="V1594" i="95" s="1"/>
  <c r="Y1536" i="95"/>
  <c r="X1534" i="95"/>
  <c r="AC1588" i="95"/>
  <c r="AB1586" i="95"/>
  <c r="AA16" i="95"/>
  <c r="Z39" i="95"/>
  <c r="V1395" i="95"/>
  <c r="V1401" i="95" s="1"/>
  <c r="V1400" i="95" s="1"/>
  <c r="Y1169" i="95"/>
  <c r="Z1171" i="95"/>
  <c r="X1165" i="95"/>
  <c r="Y1539" i="95"/>
  <c r="X1537" i="95"/>
  <c r="X1198" i="95"/>
  <c r="W1196" i="95"/>
  <c r="X1605" i="95"/>
  <c r="Y1607" i="95"/>
  <c r="V1221" i="95"/>
  <c r="U1217" i="95"/>
  <c r="U1216" i="95" s="1"/>
  <c r="AB702" i="95"/>
  <c r="X1525" i="95"/>
  <c r="Y1526" i="95"/>
  <c r="S1357" i="95"/>
  <c r="S1348" i="95" s="1"/>
  <c r="W1661" i="95"/>
  <c r="X1662" i="95"/>
  <c r="Z1327" i="95"/>
  <c r="Y1325" i="95"/>
  <c r="U1394" i="95"/>
  <c r="U1401" i="95"/>
  <c r="U1400" i="95" s="1"/>
  <c r="W1143" i="95"/>
  <c r="V1141" i="95"/>
  <c r="V1140" i="95" s="1"/>
  <c r="Y1503" i="95"/>
  <c r="X1501" i="95"/>
  <c r="X1495" i="95"/>
  <c r="Y1496" i="95"/>
  <c r="X1591" i="95"/>
  <c r="X1590" i="95" s="1"/>
  <c r="Y1592" i="95"/>
  <c r="Y1289" i="95"/>
  <c r="X1287" i="95"/>
  <c r="X1286" i="95" s="1"/>
  <c r="W1123" i="95"/>
  <c r="V1121" i="95"/>
  <c r="T1367" i="95"/>
  <c r="U1369" i="95"/>
  <c r="Y1240" i="95"/>
  <c r="Z1242" i="95"/>
  <c r="W1150" i="95"/>
  <c r="X1151" i="95"/>
  <c r="X1628" i="95"/>
  <c r="Y1629" i="95"/>
  <c r="Z1339" i="95"/>
  <c r="Y1337" i="95"/>
  <c r="Y1036" i="95"/>
  <c r="W1303" i="95"/>
  <c r="U1669" i="95"/>
  <c r="U1668" i="95" s="1"/>
  <c r="U1664" i="95" s="1"/>
  <c r="Y1552" i="95"/>
  <c r="X1550" i="95"/>
  <c r="X1549" i="95" s="1"/>
  <c r="U1363" i="95"/>
  <c r="T1361" i="95"/>
  <c r="U1120" i="95"/>
  <c r="AF1204" i="95"/>
  <c r="AF1576" i="95"/>
  <c r="AF1574" i="95" s="1"/>
  <c r="AE1574" i="95"/>
  <c r="X1748" i="95"/>
  <c r="X1747" i="95" s="1"/>
  <c r="Y1698" i="95"/>
  <c r="X1729" i="95"/>
  <c r="W1390" i="95"/>
  <c r="W1389" i="95" s="1"/>
  <c r="X1391" i="95"/>
  <c r="W1407" i="95"/>
  <c r="X1533" i="95"/>
  <c r="W1531" i="95"/>
  <c r="AA1570" i="95"/>
  <c r="AB1572" i="95"/>
  <c r="X1657" i="95"/>
  <c r="W1655" i="95"/>
  <c r="Z1529" i="95"/>
  <c r="Y1528" i="95"/>
  <c r="V1737" i="95"/>
  <c r="U1735" i="95"/>
  <c r="X1637" i="95"/>
  <c r="Y1638" i="95"/>
  <c r="W1711" i="95"/>
  <c r="W1710" i="95" s="1"/>
  <c r="W1739" i="95"/>
  <c r="W1738" i="95" s="1"/>
  <c r="X1689" i="95"/>
  <c r="X1626" i="95" s="1"/>
  <c r="W1688" i="95"/>
  <c r="W1666" i="95"/>
  <c r="W1665" i="95" s="1"/>
  <c r="AA1461" i="95"/>
  <c r="Z1459" i="95"/>
  <c r="X1454" i="95"/>
  <c r="Y1456" i="95"/>
  <c r="Z1333" i="95"/>
  <c r="Y1331" i="95"/>
  <c r="AB1163" i="95"/>
  <c r="AA1438" i="95"/>
  <c r="U1254" i="95"/>
  <c r="V1256" i="95"/>
  <c r="AC1296" i="95"/>
  <c r="AB1294" i="95"/>
  <c r="AB1293" i="95" s="1"/>
  <c r="Z1498" i="95"/>
  <c r="AA1499" i="95"/>
  <c r="Y1493" i="95"/>
  <c r="X1492" i="95"/>
  <c r="Z1584" i="95"/>
  <c r="Y1582" i="95"/>
  <c r="Y764" i="95"/>
  <c r="Z753" i="95"/>
  <c r="Z1211" i="95"/>
  <c r="Y1209" i="95"/>
  <c r="AC1580" i="95"/>
  <c r="AB1578" i="95"/>
  <c r="X1504" i="95"/>
  <c r="Y1505" i="95"/>
  <c r="U1640" i="95"/>
  <c r="U1627" i="95" s="1"/>
  <c r="V1623" i="95"/>
  <c r="U1621" i="95"/>
  <c r="Z1641" i="95"/>
  <c r="AB1483" i="95"/>
  <c r="AC1484" i="95"/>
  <c r="AB1514" i="95"/>
  <c r="X1439" i="95"/>
  <c r="W1437" i="95"/>
  <c r="U1356" i="95"/>
  <c r="T1354" i="95"/>
  <c r="T1353" i="95" s="1"/>
  <c r="U1024" i="95"/>
  <c r="Z1647" i="95"/>
  <c r="Y1166" i="95"/>
  <c r="Z1168" i="95"/>
  <c r="AB1197" i="95"/>
  <c r="AD1207" i="95"/>
  <c r="Y1227" i="95"/>
  <c r="AC1558" i="95"/>
  <c r="AD1560" i="95"/>
  <c r="X1099" i="95"/>
  <c r="W1097" i="95"/>
  <c r="W1096" i="95" s="1"/>
  <c r="X1201" i="95"/>
  <c r="W1199" i="95"/>
  <c r="V1375" i="95"/>
  <c r="U1373" i="95"/>
  <c r="W1444" i="95"/>
  <c r="X1446" i="95"/>
  <c r="X1164" i="95"/>
  <c r="W1162" i="95"/>
  <c r="W1161" i="95" s="1"/>
  <c r="W1160" i="95" s="1"/>
  <c r="AD1210" i="95"/>
  <c r="AC1548" i="95"/>
  <c r="AB1546" i="95"/>
  <c r="Z1478" i="95"/>
  <c r="Y1477" i="95"/>
  <c r="U1746" i="95"/>
  <c r="T1744" i="95"/>
  <c r="T1734" i="95" s="1"/>
  <c r="Z1219" i="95"/>
  <c r="Y1540" i="95"/>
  <c r="Z1541" i="95"/>
  <c r="X1673" i="95"/>
  <c r="W1671" i="95"/>
  <c r="X1649" i="95"/>
  <c r="Y1650" i="95"/>
  <c r="W1315" i="95"/>
  <c r="V1313" i="95"/>
  <c r="Y1515" i="95"/>
  <c r="X1513" i="95"/>
  <c r="X1612" i="95"/>
  <c r="X1611" i="95" s="1"/>
  <c r="X1622" i="95"/>
  <c r="Y1599" i="95"/>
  <c r="X1489" i="95"/>
  <c r="Z1472" i="95"/>
  <c r="Y1470" i="95"/>
  <c r="Y1469" i="95" s="1"/>
  <c r="Y1512" i="95"/>
  <c r="X1510" i="95"/>
  <c r="V1352" i="95"/>
  <c r="U1350" i="95"/>
  <c r="U1349" i="95" s="1"/>
  <c r="W1708" i="95"/>
  <c r="V1704" i="95"/>
  <c r="Y1521" i="95"/>
  <c r="X1519" i="95"/>
  <c r="AB1098" i="95"/>
  <c r="X796" i="95"/>
  <c r="Y757" i="95"/>
  <c r="X837" i="95"/>
  <c r="X827" i="95"/>
  <c r="X817" i="95"/>
  <c r="X783" i="95"/>
  <c r="U1618" i="95"/>
  <c r="V1620" i="95"/>
  <c r="T1030" i="95"/>
  <c r="X1406" i="95"/>
  <c r="Y1392" i="95"/>
  <c r="Y1214" i="95"/>
  <c r="X1212" i="95"/>
  <c r="AC1745" i="95"/>
  <c r="AD1695" i="95"/>
  <c r="AC1723" i="95"/>
  <c r="Y1566" i="95"/>
  <c r="Z1568" i="95"/>
  <c r="X1466" i="95"/>
  <c r="W1464" i="95"/>
  <c r="W1453" i="95" s="1"/>
  <c r="X1659" i="95"/>
  <c r="W1658" i="95"/>
  <c r="Z1487" i="95"/>
  <c r="AA1724" i="95"/>
  <c r="Z1722" i="95"/>
  <c r="X770" i="95"/>
  <c r="Y755" i="95"/>
  <c r="W1441" i="95"/>
  <c r="X1443" i="95"/>
  <c r="X1419" i="95"/>
  <c r="W1418" i="95"/>
  <c r="W1417" i="95" s="1"/>
  <c r="X1249" i="95"/>
  <c r="W1247" i="95"/>
  <c r="Y1113" i="95"/>
  <c r="X1111" i="95"/>
  <c r="X1049" i="95"/>
  <c r="W1047" i="95"/>
  <c r="AA1565" i="95"/>
  <c r="Z1562" i="95"/>
  <c r="W1595" i="95"/>
  <c r="X1597" i="95"/>
  <c r="AD1200" i="95"/>
  <c r="AE1564" i="95"/>
  <c r="V1261" i="95"/>
  <c r="W1263" i="95"/>
  <c r="AE1128" i="95"/>
  <c r="U1076" i="95"/>
  <c r="Y1105" i="95"/>
  <c r="Z1089" i="95"/>
  <c r="AA1556" i="95"/>
  <c r="Z1554" i="95"/>
  <c r="Y1652" i="95"/>
  <c r="Z1653" i="95"/>
  <c r="U1366" i="95"/>
  <c r="T1364" i="95"/>
  <c r="V1124" i="95"/>
  <c r="W1126" i="95"/>
  <c r="X466" i="95"/>
  <c r="W1116" i="95"/>
  <c r="V1114" i="95"/>
  <c r="V1110" i="95" s="1"/>
  <c r="AA1502" i="95"/>
  <c r="Y1129" i="95"/>
  <c r="X1127" i="95"/>
  <c r="Y252" i="95"/>
  <c r="Y416" i="95"/>
  <c r="Y393" i="95"/>
  <c r="Z350" i="95"/>
  <c r="X1753" i="95"/>
  <c r="W1751" i="95"/>
  <c r="X158" i="24" s="1"/>
  <c r="U1372" i="95"/>
  <c r="T1370" i="95"/>
  <c r="U1360" i="95"/>
  <c r="T1358" i="95"/>
  <c r="W1321" i="95"/>
  <c r="V1319" i="95"/>
  <c r="AF1068" i="95"/>
  <c r="W1631" i="95"/>
  <c r="X1632" i="95"/>
  <c r="W1206" i="95"/>
  <c r="W1202" i="95" s="1"/>
  <c r="X1681" i="95"/>
  <c r="X1680" i="95" s="1"/>
  <c r="Y1682" i="95"/>
  <c r="Z1429" i="95"/>
  <c r="Y1428" i="95"/>
  <c r="Y1132" i="95"/>
  <c r="X1130" i="95"/>
  <c r="W1159" i="95"/>
  <c r="V1157" i="95"/>
  <c r="V1156" i="95" s="1"/>
  <c r="AE1131" i="95"/>
  <c r="W1106" i="95"/>
  <c r="V1104" i="95"/>
  <c r="X1416" i="95"/>
  <c r="AB1194" i="95"/>
  <c r="AC1213" i="95"/>
  <c r="Z1118" i="95"/>
  <c r="Z1117" i="95" s="1"/>
  <c r="AA1092" i="95"/>
  <c r="Y1270" i="95"/>
  <c r="X1268" i="95"/>
  <c r="AE1706" i="95"/>
  <c r="AB1520" i="95"/>
  <c r="T1077" i="95"/>
  <c r="U1079" i="95"/>
  <c r="Y1687" i="95"/>
  <c r="X1685" i="95"/>
  <c r="V1743" i="95"/>
  <c r="U1741" i="95"/>
  <c r="V1229" i="95"/>
  <c r="U1225" i="95"/>
  <c r="U1224" i="95" s="1"/>
  <c r="Y1205" i="95"/>
  <c r="X1203" i="95"/>
  <c r="W1134" i="95"/>
  <c r="W1133" i="95" s="1"/>
  <c r="X1136" i="95"/>
  <c r="V1237" i="95"/>
  <c r="U1233" i="95"/>
  <c r="AB1432" i="95"/>
  <c r="AA1431" i="95"/>
  <c r="AA1532" i="95"/>
  <c r="X1488" i="95"/>
  <c r="W1486" i="95"/>
  <c r="W1184" i="95"/>
  <c r="W1183" i="95" s="1"/>
  <c r="X1177" i="95"/>
  <c r="W1174" i="95"/>
  <c r="W1173" i="95" s="1"/>
  <c r="V1730" i="95"/>
  <c r="AA1707" i="95"/>
  <c r="AC1511" i="95"/>
  <c r="W1634" i="95"/>
  <c r="X1635" i="95"/>
  <c r="AA1235" i="95"/>
  <c r="AB1517" i="95"/>
  <c r="W1378" i="95"/>
  <c r="V1376" i="95"/>
  <c r="X1191" i="95"/>
  <c r="W1189" i="95"/>
  <c r="W1188" i="95" s="1"/>
  <c r="AB1538" i="95"/>
  <c r="X1275" i="95"/>
  <c r="Y1277" i="95"/>
  <c r="Y1508" i="95"/>
  <c r="X1507" i="95"/>
  <c r="W1696" i="95"/>
  <c r="V1694" i="95"/>
  <c r="X954" i="95"/>
  <c r="V1192" i="95"/>
  <c r="V1187" i="95" s="1"/>
  <c r="V1149" i="95"/>
  <c r="U1147" i="95"/>
  <c r="U1146" i="95" s="1"/>
  <c r="V1172" i="95"/>
  <c r="Y1742" i="95"/>
  <c r="Y1717" i="95"/>
  <c r="Y1716" i="95" s="1"/>
  <c r="Y1691" i="95"/>
  <c r="Z1692" i="95"/>
  <c r="X1435" i="95"/>
  <c r="W1434" i="95"/>
  <c r="Z1490" i="95"/>
  <c r="X1648" i="95"/>
  <c r="W1646" i="95"/>
  <c r="W1699" i="95"/>
  <c r="V1697" i="95"/>
  <c r="Z1672" i="95"/>
  <c r="Z1481" i="95"/>
  <c r="Y1480" i="95"/>
  <c r="V1278" i="95"/>
  <c r="W1280" i="95"/>
  <c r="Y1309" i="95"/>
  <c r="X1678" i="95"/>
  <c r="W1677" i="95"/>
  <c r="AC1535" i="95"/>
  <c r="AB1115" i="95"/>
  <c r="X1518" i="95"/>
  <c r="W1516" i="95"/>
  <c r="W1396" i="95"/>
  <c r="X1383" i="95"/>
  <c r="W1387" i="95"/>
  <c r="W1386" i="95" s="1"/>
  <c r="W1385" i="95" s="1"/>
  <c r="W1415" i="95"/>
  <c r="W1414" i="95" s="1"/>
  <c r="W1413" i="95" s="1"/>
  <c r="W1425" i="95"/>
  <c r="W1424" i="95" s="1"/>
  <c r="U1617" i="95" l="1"/>
  <c r="V1684" i="95"/>
  <c r="V1701" i="95" s="1"/>
  <c r="V1700" i="95" s="1"/>
  <c r="W1427" i="95"/>
  <c r="X1604" i="95"/>
  <c r="Y1544" i="95"/>
  <c r="Y1543" i="95" s="1"/>
  <c r="Y1475" i="95"/>
  <c r="W1476" i="95"/>
  <c r="X1411" i="95"/>
  <c r="Y1409" i="95"/>
  <c r="V1082" i="95"/>
  <c r="U1080" i="95"/>
  <c r="Y849" i="95"/>
  <c r="Y182" i="79"/>
  <c r="X180" i="79"/>
  <c r="X176" i="79" s="1"/>
  <c r="X156" i="79" s="1"/>
  <c r="T1300" i="95"/>
  <c r="T1285" i="95" s="1"/>
  <c r="W1447" i="95"/>
  <c r="W1440" i="95" s="1"/>
  <c r="W1451" i="95" s="1"/>
  <c r="W1450" i="95" s="1"/>
  <c r="X1449" i="95"/>
  <c r="Z754" i="95"/>
  <c r="Y767" i="95"/>
  <c r="Y984" i="95"/>
  <c r="Y1004" i="95"/>
  <c r="Y1016" i="95" s="1"/>
  <c r="Z933" i="95"/>
  <c r="Y994" i="95"/>
  <c r="Y950" i="95"/>
  <c r="Y963" i="95"/>
  <c r="U1232" i="95"/>
  <c r="U1215" i="95" s="1"/>
  <c r="U1283" i="95" s="1"/>
  <c r="U1282" i="95" s="1"/>
  <c r="S1625" i="95"/>
  <c r="T157" i="24" s="1"/>
  <c r="X1344" i="95"/>
  <c r="W1342" i="95"/>
  <c r="Z1644" i="95"/>
  <c r="Y1643" i="95"/>
  <c r="T1474" i="95"/>
  <c r="U156" i="24" s="1"/>
  <c r="S1083" i="95"/>
  <c r="T154" i="24" s="1"/>
  <c r="W1172" i="95"/>
  <c r="U1095" i="95"/>
  <c r="V1602" i="95"/>
  <c r="V1601" i="95" s="1"/>
  <c r="Y1165" i="95"/>
  <c r="V1100" i="95"/>
  <c r="AA432" i="95"/>
  <c r="Z439" i="95"/>
  <c r="Z452" i="95"/>
  <c r="Z446" i="95"/>
  <c r="X1103" i="95"/>
  <c r="W1101" i="95"/>
  <c r="X1180" i="95"/>
  <c r="X1179" i="95" s="1"/>
  <c r="Y1181" i="95"/>
  <c r="AB16" i="95"/>
  <c r="AA39" i="95"/>
  <c r="X1522" i="95"/>
  <c r="Y1524" i="95"/>
  <c r="AD1588" i="95"/>
  <c r="AC1586" i="95"/>
  <c r="V1311" i="95"/>
  <c r="U1307" i="95"/>
  <c r="V1070" i="95"/>
  <c r="U1066" i="95"/>
  <c r="AA1171" i="95"/>
  <c r="Z1169" i="95"/>
  <c r="Z1536" i="95"/>
  <c r="Y1534" i="95"/>
  <c r="V1305" i="95"/>
  <c r="U1301" i="95"/>
  <c r="V1394" i="95"/>
  <c r="Z1539" i="95"/>
  <c r="Y1537" i="95"/>
  <c r="AA1109" i="95"/>
  <c r="Z1107" i="95"/>
  <c r="X1674" i="95"/>
  <c r="Y1676" i="95"/>
  <c r="Y1195" i="95"/>
  <c r="X1193" i="95"/>
  <c r="U1732" i="95"/>
  <c r="T1728" i="95"/>
  <c r="T1703" i="95" s="1"/>
  <c r="W1395" i="95"/>
  <c r="W1401" i="95" s="1"/>
  <c r="W1400" i="95" s="1"/>
  <c r="X1600" i="95"/>
  <c r="W1598" i="95"/>
  <c r="W1594" i="95" s="1"/>
  <c r="Y1466" i="95"/>
  <c r="X1464" i="95"/>
  <c r="X1453" i="95" s="1"/>
  <c r="Y1518" i="95"/>
  <c r="X1516" i="95"/>
  <c r="W1149" i="95"/>
  <c r="V1147" i="95"/>
  <c r="V1146" i="95" s="1"/>
  <c r="Y1275" i="95"/>
  <c r="Z1277" i="95"/>
  <c r="U1077" i="95"/>
  <c r="V1079" i="95"/>
  <c r="Y1201" i="95"/>
  <c r="X1199" i="95"/>
  <c r="AE1207" i="95"/>
  <c r="AA1481" i="95"/>
  <c r="Z1480" i="95"/>
  <c r="X1699" i="95"/>
  <c r="W1697" i="95"/>
  <c r="Y1416" i="95"/>
  <c r="V1366" i="95"/>
  <c r="U1364" i="95"/>
  <c r="AB1438" i="95"/>
  <c r="Z1629" i="95"/>
  <c r="Y1628" i="95"/>
  <c r="Y1198" i="95"/>
  <c r="X1196" i="95"/>
  <c r="Y1249" i="95"/>
  <c r="X1247" i="95"/>
  <c r="AA1541" i="95"/>
  <c r="Z1540" i="95"/>
  <c r="AA1211" i="95"/>
  <c r="Z1209" i="95"/>
  <c r="AA1459" i="95"/>
  <c r="AB1461" i="95"/>
  <c r="W1737" i="95"/>
  <c r="V1735" i="95"/>
  <c r="Z1503" i="95"/>
  <c r="Y1501" i="95"/>
  <c r="AA1490" i="95"/>
  <c r="V1640" i="95"/>
  <c r="V1627" i="95" s="1"/>
  <c r="Z1036" i="95"/>
  <c r="V1369" i="95"/>
  <c r="U1367" i="95"/>
  <c r="AA1327" i="95"/>
  <c r="Z1325" i="95"/>
  <c r="AC1517" i="95"/>
  <c r="AC1520" i="95"/>
  <c r="V1360" i="95"/>
  <c r="U1358" i="95"/>
  <c r="V1076" i="95"/>
  <c r="AF1564" i="95"/>
  <c r="Y1406" i="95"/>
  <c r="Z1392" i="95"/>
  <c r="AE1210" i="95"/>
  <c r="X1444" i="95"/>
  <c r="Y1446" i="95"/>
  <c r="AC1197" i="95"/>
  <c r="AC1514" i="95"/>
  <c r="Z1331" i="95"/>
  <c r="AA1333" i="95"/>
  <c r="X1150" i="95"/>
  <c r="Y1151" i="95"/>
  <c r="AA1672" i="95"/>
  <c r="Y1191" i="95"/>
  <c r="X1189" i="95"/>
  <c r="X1188" i="95" s="1"/>
  <c r="W1229" i="95"/>
  <c r="V1225" i="95"/>
  <c r="V1224" i="95" s="1"/>
  <c r="AC1194" i="95"/>
  <c r="X1106" i="95"/>
  <c r="W1104" i="95"/>
  <c r="AA1429" i="95"/>
  <c r="Z1428" i="95"/>
  <c r="X1206" i="95"/>
  <c r="X1202" i="95" s="1"/>
  <c r="Z1129" i="95"/>
  <c r="Y1127" i="95"/>
  <c r="Z1652" i="95"/>
  <c r="AA1653" i="95"/>
  <c r="AB1724" i="95"/>
  <c r="AA1722" i="95"/>
  <c r="AC1098" i="95"/>
  <c r="Z1227" i="95"/>
  <c r="AD1580" i="95"/>
  <c r="AC1578" i="95"/>
  <c r="V1120" i="95"/>
  <c r="Y1591" i="95"/>
  <c r="Y1590" i="95" s="1"/>
  <c r="Z1592" i="95"/>
  <c r="X1143" i="95"/>
  <c r="W1141" i="95"/>
  <c r="W1140" i="95" s="1"/>
  <c r="Y1673" i="95"/>
  <c r="X1671" i="95"/>
  <c r="X1047" i="95"/>
  <c r="Y1049" i="95"/>
  <c r="X1751" i="95"/>
  <c r="Y158" i="24" s="1"/>
  <c r="Y1753" i="95"/>
  <c r="V1669" i="95"/>
  <c r="V1668" i="95" s="1"/>
  <c r="V1664" i="95" s="1"/>
  <c r="Y1099" i="95"/>
  <c r="X1097" i="95"/>
  <c r="X1096" i="95" s="1"/>
  <c r="Y466" i="95"/>
  <c r="Y770" i="95"/>
  <c r="Z755" i="95"/>
  <c r="W1352" i="95"/>
  <c r="V1350" i="95"/>
  <c r="V1349" i="95" s="1"/>
  <c r="AA1647" i="95"/>
  <c r="AC1538" i="95"/>
  <c r="T1357" i="95"/>
  <c r="T1348" i="95" s="1"/>
  <c r="W1221" i="95"/>
  <c r="V1217" i="95"/>
  <c r="V1216" i="95" s="1"/>
  <c r="X1677" i="95"/>
  <c r="Y1678" i="95"/>
  <c r="X1434" i="95"/>
  <c r="Y1435" i="95"/>
  <c r="Y954" i="95"/>
  <c r="X1378" i="95"/>
  <c r="W1376" i="95"/>
  <c r="Z1687" i="95"/>
  <c r="Y1685" i="95"/>
  <c r="AF1131" i="95"/>
  <c r="W1157" i="95"/>
  <c r="W1156" i="95" s="1"/>
  <c r="X1159" i="95"/>
  <c r="AB1502" i="95"/>
  <c r="X1126" i="95"/>
  <c r="W1124" i="95"/>
  <c r="AB1565" i="95"/>
  <c r="AA1562" i="95"/>
  <c r="X1418" i="95"/>
  <c r="X1417" i="95" s="1"/>
  <c r="Y1419" i="95"/>
  <c r="Z1512" i="95"/>
  <c r="Y1510" i="95"/>
  <c r="AA1478" i="95"/>
  <c r="Z1477" i="95"/>
  <c r="V1024" i="95"/>
  <c r="X1711" i="95"/>
  <c r="X1710" i="95" s="1"/>
  <c r="Y1689" i="95"/>
  <c r="Y1626" i="95" s="1"/>
  <c r="X1666" i="95"/>
  <c r="X1665" i="95" s="1"/>
  <c r="X1688" i="95"/>
  <c r="X1739" i="95"/>
  <c r="X1738" i="95" s="1"/>
  <c r="Z1528" i="95"/>
  <c r="AA1529" i="95"/>
  <c r="AC1572" i="95"/>
  <c r="AB1570" i="95"/>
  <c r="V1363" i="95"/>
  <c r="U1361" i="95"/>
  <c r="X1123" i="95"/>
  <c r="W1121" i="95"/>
  <c r="X1661" i="95"/>
  <c r="Y1662" i="95"/>
  <c r="Y1525" i="95"/>
  <c r="Z1526" i="95"/>
  <c r="Y1136" i="95"/>
  <c r="X1134" i="95"/>
  <c r="X1133" i="95" s="1"/>
  <c r="Y1637" i="95"/>
  <c r="Z1638" i="95"/>
  <c r="Y1439" i="95"/>
  <c r="X1437" i="95"/>
  <c r="AC702" i="95"/>
  <c r="X1396" i="95"/>
  <c r="Y1383" i="95"/>
  <c r="X1425" i="95"/>
  <c r="X1424" i="95" s="1"/>
  <c r="X1387" i="95"/>
  <c r="X1386" i="95" s="1"/>
  <c r="X1385" i="95" s="1"/>
  <c r="X1415" i="95"/>
  <c r="X1414" i="95" s="1"/>
  <c r="X1413" i="95" s="1"/>
  <c r="Y1488" i="95"/>
  <c r="X1486" i="95"/>
  <c r="AB1092" i="95"/>
  <c r="AA1118" i="95"/>
  <c r="AA1117" i="95" s="1"/>
  <c r="AA1472" i="95"/>
  <c r="Z1470" i="95"/>
  <c r="Z1469" i="95" s="1"/>
  <c r="Z1105" i="95"/>
  <c r="AA1089" i="95"/>
  <c r="X1708" i="95"/>
  <c r="W1704" i="95"/>
  <c r="Z1113" i="95"/>
  <c r="Y1111" i="95"/>
  <c r="Z1214" i="95"/>
  <c r="Y1212" i="95"/>
  <c r="W1623" i="95"/>
  <c r="V1621" i="95"/>
  <c r="AC1115" i="95"/>
  <c r="W1620" i="95"/>
  <c r="V1618" i="95"/>
  <c r="AD1535" i="95"/>
  <c r="Z1650" i="95"/>
  <c r="Y1649" i="95"/>
  <c r="Y1635" i="95"/>
  <c r="X1634" i="95"/>
  <c r="AB1707" i="95"/>
  <c r="X1116" i="95"/>
  <c r="W1114" i="95"/>
  <c r="W1110" i="95" s="1"/>
  <c r="AD1745" i="95"/>
  <c r="AD1723" i="95"/>
  <c r="AE1695" i="95"/>
  <c r="Z1505" i="95"/>
  <c r="Y1504" i="95"/>
  <c r="W1256" i="95"/>
  <c r="V1254" i="95"/>
  <c r="Z1456" i="95"/>
  <c r="Y1454" i="95"/>
  <c r="Y1533" i="95"/>
  <c r="X1531" i="95"/>
  <c r="X1696" i="95"/>
  <c r="W1694" i="95"/>
  <c r="AA1487" i="95"/>
  <c r="Z1607" i="95"/>
  <c r="Y1605" i="95"/>
  <c r="Z1515" i="95"/>
  <c r="Y1513" i="95"/>
  <c r="Y1164" i="95"/>
  <c r="X1162" i="95"/>
  <c r="X1161" i="95" s="1"/>
  <c r="X1160" i="95" s="1"/>
  <c r="Z1166" i="95"/>
  <c r="AA1168" i="95"/>
  <c r="AA1641" i="95"/>
  <c r="Y1657" i="95"/>
  <c r="X1655" i="95"/>
  <c r="Z1508" i="95"/>
  <c r="Y1507" i="95"/>
  <c r="Z1205" i="95"/>
  <c r="Y1203" i="95"/>
  <c r="V1746" i="95"/>
  <c r="U1744" i="95"/>
  <c r="U1734" i="95" s="1"/>
  <c r="Z1493" i="95"/>
  <c r="Y1492" i="95"/>
  <c r="Y1729" i="95"/>
  <c r="Z1698" i="95"/>
  <c r="Y1748" i="95"/>
  <c r="Y1747" i="95" s="1"/>
  <c r="Z1337" i="95"/>
  <c r="AA1339" i="95"/>
  <c r="W1192" i="95"/>
  <c r="W1187" i="95" s="1"/>
  <c r="W1730" i="95"/>
  <c r="AB1532" i="95"/>
  <c r="AB1556" i="95"/>
  <c r="AA1554" i="95"/>
  <c r="W1261" i="95"/>
  <c r="X1263" i="95"/>
  <c r="AE1200" i="95"/>
  <c r="Y1659" i="95"/>
  <c r="X1658" i="95"/>
  <c r="Z1566" i="95"/>
  <c r="AA1568" i="95"/>
  <c r="Y1648" i="95"/>
  <c r="X1646" i="95"/>
  <c r="W1743" i="95"/>
  <c r="V1741" i="95"/>
  <c r="W1319" i="95"/>
  <c r="X1321" i="95"/>
  <c r="X1315" i="95"/>
  <c r="W1313" i="95"/>
  <c r="AD1548" i="95"/>
  <c r="AC1546" i="95"/>
  <c r="AE1560" i="95"/>
  <c r="AD1558" i="95"/>
  <c r="AA1498" i="95"/>
  <c r="AB1499" i="95"/>
  <c r="Z1552" i="95"/>
  <c r="Y1550" i="95"/>
  <c r="Y1549" i="95" s="1"/>
  <c r="X1303" i="95"/>
  <c r="AC1432" i="95"/>
  <c r="AB1431" i="95"/>
  <c r="Y1268" i="95"/>
  <c r="Z1270" i="95"/>
  <c r="AD1213" i="95"/>
  <c r="X1595" i="95"/>
  <c r="Y1597" i="95"/>
  <c r="Y1622" i="95"/>
  <c r="Y1612" i="95"/>
  <c r="Y1611" i="95" s="1"/>
  <c r="Z1599" i="95"/>
  <c r="Y1489" i="95"/>
  <c r="Z764" i="95"/>
  <c r="AA753" i="95"/>
  <c r="W1278" i="95"/>
  <c r="X1280" i="95"/>
  <c r="Z1742" i="95"/>
  <c r="Z1717" i="95"/>
  <c r="Z1716" i="95" s="1"/>
  <c r="Z1691" i="95"/>
  <c r="AA1692" i="95"/>
  <c r="AD1511" i="95"/>
  <c r="Y1177" i="95"/>
  <c r="X1174" i="95"/>
  <c r="X1173" i="95" s="1"/>
  <c r="X1184" i="95"/>
  <c r="X1183" i="95" s="1"/>
  <c r="W1237" i="95"/>
  <c r="V1233" i="95"/>
  <c r="AF1706" i="95"/>
  <c r="Z252" i="95"/>
  <c r="Z416" i="95"/>
  <c r="Z393" i="95"/>
  <c r="AA350" i="95"/>
  <c r="AF1128" i="95"/>
  <c r="X1441" i="95"/>
  <c r="Y1443" i="95"/>
  <c r="U1030" i="95"/>
  <c r="AA1219" i="95"/>
  <c r="Z1309" i="95"/>
  <c r="AB1235" i="95"/>
  <c r="Z1132" i="95"/>
  <c r="Y1130" i="95"/>
  <c r="Y1681" i="95"/>
  <c r="Y1680" i="95" s="1"/>
  <c r="Z1682" i="95"/>
  <c r="Y1632" i="95"/>
  <c r="X1631" i="95"/>
  <c r="V1372" i="95"/>
  <c r="U1370" i="95"/>
  <c r="Y817" i="95"/>
  <c r="Y837" i="95"/>
  <c r="Y827" i="95"/>
  <c r="Z757" i="95"/>
  <c r="Y796" i="95"/>
  <c r="Y783" i="95"/>
  <c r="Z1521" i="95"/>
  <c r="Y1519" i="95"/>
  <c r="W1375" i="95"/>
  <c r="V1373" i="95"/>
  <c r="V1356" i="95"/>
  <c r="U1354" i="95"/>
  <c r="U1353" i="95" s="1"/>
  <c r="AC1483" i="95"/>
  <c r="AD1484" i="95"/>
  <c r="Z1582" i="95"/>
  <c r="AA1584" i="95"/>
  <c r="AD1296" i="95"/>
  <c r="AC1294" i="95"/>
  <c r="AC1293" i="95" s="1"/>
  <c r="AC1163" i="95"/>
  <c r="X1390" i="95"/>
  <c r="X1389" i="95" s="1"/>
  <c r="X1407" i="95"/>
  <c r="Y1391" i="95"/>
  <c r="Z1240" i="95"/>
  <c r="AA1242" i="95"/>
  <c r="Z1289" i="95"/>
  <c r="Y1287" i="95"/>
  <c r="Y1286" i="95" s="1"/>
  <c r="Z1496" i="95"/>
  <c r="Y1495" i="95"/>
  <c r="W1684" i="95" l="1"/>
  <c r="W1701" i="95" s="1"/>
  <c r="W1700" i="95" s="1"/>
  <c r="V1617" i="95"/>
  <c r="Y1604" i="95"/>
  <c r="Z1544" i="95"/>
  <c r="Z1543" i="95" s="1"/>
  <c r="Z1475" i="95"/>
  <c r="X1476" i="95"/>
  <c r="X1427" i="95"/>
  <c r="Y1411" i="95"/>
  <c r="Z1409" i="95"/>
  <c r="W1082" i="95"/>
  <c r="V1080" i="95"/>
  <c r="Z849" i="95"/>
  <c r="Z182" i="79"/>
  <c r="Y180" i="79"/>
  <c r="Y176" i="79" s="1"/>
  <c r="Y156" i="79" s="1"/>
  <c r="Z1004" i="95"/>
  <c r="Z1016" i="95" s="1"/>
  <c r="Z950" i="95"/>
  <c r="AA933" i="95"/>
  <c r="Z994" i="95"/>
  <c r="Z984" i="95"/>
  <c r="Z963" i="95"/>
  <c r="AA754" i="95"/>
  <c r="Z767" i="95"/>
  <c r="Y1449" i="95"/>
  <c r="X1447" i="95"/>
  <c r="X1440" i="95" s="1"/>
  <c r="X1451" i="95" s="1"/>
  <c r="X1450" i="95" s="1"/>
  <c r="Z1643" i="95"/>
  <c r="AA1644" i="95"/>
  <c r="V1232" i="95"/>
  <c r="V1215" i="95" s="1"/>
  <c r="V1283" i="95" s="1"/>
  <c r="V1282" i="95" s="1"/>
  <c r="Y1344" i="95"/>
  <c r="X1342" i="95"/>
  <c r="U1300" i="95"/>
  <c r="U1285" i="95" s="1"/>
  <c r="X1395" i="95"/>
  <c r="X1401" i="95" s="1"/>
  <c r="X1400" i="95" s="1"/>
  <c r="W1100" i="95"/>
  <c r="V1095" i="95"/>
  <c r="AA452" i="95"/>
  <c r="AB432" i="95"/>
  <c r="AA439" i="95"/>
  <c r="AA446" i="95"/>
  <c r="T1625" i="95"/>
  <c r="U157" i="24" s="1"/>
  <c r="T1083" i="95"/>
  <c r="U154" i="24" s="1"/>
  <c r="W1602" i="95"/>
  <c r="W1601" i="95" s="1"/>
  <c r="U1474" i="95"/>
  <c r="V156" i="24" s="1"/>
  <c r="Y1103" i="95"/>
  <c r="X1101" i="95"/>
  <c r="AD1586" i="95"/>
  <c r="AE1588" i="95"/>
  <c r="Z1181" i="95"/>
  <c r="Y1180" i="95"/>
  <c r="Y1179" i="95" s="1"/>
  <c r="Z1676" i="95"/>
  <c r="Y1674" i="95"/>
  <c r="AA1169" i="95"/>
  <c r="AB1171" i="95"/>
  <c r="V1732" i="95"/>
  <c r="U1728" i="95"/>
  <c r="U1703" i="95" s="1"/>
  <c r="W1305" i="95"/>
  <c r="V1301" i="95"/>
  <c r="AA1539" i="95"/>
  <c r="Z1537" i="95"/>
  <c r="W1394" i="95"/>
  <c r="Y1600" i="95"/>
  <c r="X1598" i="95"/>
  <c r="X1594" i="95" s="1"/>
  <c r="Z1195" i="95"/>
  <c r="Y1193" i="95"/>
  <c r="Y1522" i="95"/>
  <c r="Z1524" i="95"/>
  <c r="AA1536" i="95"/>
  <c r="Z1534" i="95"/>
  <c r="W1311" i="95"/>
  <c r="V1307" i="95"/>
  <c r="Z1165" i="95"/>
  <c r="AC16" i="95"/>
  <c r="AB39" i="95"/>
  <c r="W1070" i="95"/>
  <c r="V1066" i="95"/>
  <c r="X1192" i="95"/>
  <c r="X1187" i="95" s="1"/>
  <c r="AB1109" i="95"/>
  <c r="AA1107" i="95"/>
  <c r="AA1742" i="95"/>
  <c r="AB1692" i="95"/>
  <c r="AA1691" i="95"/>
  <c r="AA1717" i="95"/>
  <c r="AA1716" i="95" s="1"/>
  <c r="Y1321" i="95"/>
  <c r="X1319" i="95"/>
  <c r="Z1648" i="95"/>
  <c r="Y1646" i="95"/>
  <c r="Y1263" i="95"/>
  <c r="X1261" i="95"/>
  <c r="AD1098" i="95"/>
  <c r="Y1150" i="95"/>
  <c r="Z1151" i="95"/>
  <c r="AF1210" i="95"/>
  <c r="AE1213" i="95"/>
  <c r="AE1580" i="95"/>
  <c r="AD1578" i="95"/>
  <c r="Z1495" i="95"/>
  <c r="AA1496" i="95"/>
  <c r="AA1698" i="95"/>
  <c r="Z1748" i="95"/>
  <c r="Z1747" i="95" s="1"/>
  <c r="Z1729" i="95"/>
  <c r="X1256" i="95"/>
  <c r="W1254" i="95"/>
  <c r="AF1695" i="95"/>
  <c r="AE1745" i="95"/>
  <c r="AE1723" i="95"/>
  <c r="AA1113" i="95"/>
  <c r="Z1111" i="95"/>
  <c r="Y1425" i="95"/>
  <c r="Y1424" i="95" s="1"/>
  <c r="Y1396" i="95"/>
  <c r="Y1387" i="95"/>
  <c r="Y1386" i="95" s="1"/>
  <c r="Y1385" i="95" s="1"/>
  <c r="Y1415" i="95"/>
  <c r="Y1414" i="95" s="1"/>
  <c r="Y1413" i="95" s="1"/>
  <c r="Z1383" i="95"/>
  <c r="Y1126" i="95"/>
  <c r="X1124" i="95"/>
  <c r="AB1211" i="95"/>
  <c r="AA1209" i="95"/>
  <c r="Y1206" i="95"/>
  <c r="Y1202" i="95" s="1"/>
  <c r="AA1325" i="95"/>
  <c r="AB1327" i="95"/>
  <c r="AB1490" i="95"/>
  <c r="AC1438" i="95"/>
  <c r="Z1416" i="95"/>
  <c r="AA1289" i="95"/>
  <c r="Z1287" i="95"/>
  <c r="Z1286" i="95" s="1"/>
  <c r="AB1498" i="95"/>
  <c r="AC1499" i="95"/>
  <c r="Z1507" i="95"/>
  <c r="AA1508" i="95"/>
  <c r="X1620" i="95"/>
  <c r="W1618" i="95"/>
  <c r="AB1478" i="95"/>
  <c r="AA1477" i="95"/>
  <c r="AC1502" i="95"/>
  <c r="Y1378" i="95"/>
  <c r="X1376" i="95"/>
  <c r="Z1678" i="95"/>
  <c r="Y1677" i="95"/>
  <c r="X1352" i="95"/>
  <c r="W1350" i="95"/>
  <c r="W1349" i="95" s="1"/>
  <c r="AA1227" i="95"/>
  <c r="AA1682" i="95"/>
  <c r="Z1681" i="95"/>
  <c r="Z1680" i="95" s="1"/>
  <c r="AA1607" i="95"/>
  <c r="Z1605" i="95"/>
  <c r="Z1637" i="95"/>
  <c r="AA1638" i="95"/>
  <c r="AA1503" i="95"/>
  <c r="Z1501" i="95"/>
  <c r="AB1541" i="95"/>
  <c r="AA1540" i="95"/>
  <c r="Z1504" i="95"/>
  <c r="AA1505" i="95"/>
  <c r="AC1707" i="95"/>
  <c r="AD1517" i="95"/>
  <c r="W1640" i="95"/>
  <c r="W1627" i="95" s="1"/>
  <c r="AF1207" i="95"/>
  <c r="AA1582" i="95"/>
  <c r="AB1584" i="95"/>
  <c r="AE1511" i="95"/>
  <c r="AF1560" i="95"/>
  <c r="AF1558" i="95" s="1"/>
  <c r="AE1558" i="95"/>
  <c r="Z1533" i="95"/>
  <c r="Y1531" i="95"/>
  <c r="Z1649" i="95"/>
  <c r="AA1650" i="95"/>
  <c r="AC1570" i="95"/>
  <c r="AD1572" i="95"/>
  <c r="W1024" i="95"/>
  <c r="AC1565" i="95"/>
  <c r="AB1562" i="95"/>
  <c r="Z466" i="95"/>
  <c r="AB1429" i="95"/>
  <c r="AA1428" i="95"/>
  <c r="W1369" i="95"/>
  <c r="V1367" i="95"/>
  <c r="Y1247" i="95"/>
  <c r="Z1249" i="95"/>
  <c r="Z1198" i="95"/>
  <c r="Y1196" i="95"/>
  <c r="W1079" i="95"/>
  <c r="V1077" i="95"/>
  <c r="AA1132" i="95"/>
  <c r="Z1130" i="95"/>
  <c r="AA416" i="95"/>
  <c r="AA393" i="95"/>
  <c r="AB350" i="95"/>
  <c r="AA252" i="95"/>
  <c r="Y1595" i="95"/>
  <c r="Z1597" i="95"/>
  <c r="AA1205" i="95"/>
  <c r="Z1203" i="95"/>
  <c r="Z1657" i="95"/>
  <c r="Y1655" i="95"/>
  <c r="Z1164" i="95"/>
  <c r="Y1162" i="95"/>
  <c r="Y1161" i="95" s="1"/>
  <c r="Y1160" i="95" s="1"/>
  <c r="AB1487" i="95"/>
  <c r="Z1635" i="95"/>
  <c r="Y1634" i="95"/>
  <c r="AD1115" i="95"/>
  <c r="AC1092" i="95"/>
  <c r="AB1118" i="95"/>
  <c r="AB1117" i="95" s="1"/>
  <c r="Y1751" i="95"/>
  <c r="Z158" i="24" s="1"/>
  <c r="Z1753" i="95"/>
  <c r="X1229" i="95"/>
  <c r="W1225" i="95"/>
  <c r="W1224" i="95" s="1"/>
  <c r="AD1197" i="95"/>
  <c r="AA1036" i="95"/>
  <c r="X1737" i="95"/>
  <c r="W1735" i="95"/>
  <c r="AA1521" i="95"/>
  <c r="Z1519" i="95"/>
  <c r="AA1552" i="95"/>
  <c r="Z1550" i="95"/>
  <c r="Z1549" i="95" s="1"/>
  <c r="AA1687" i="95"/>
  <c r="Z1685" i="95"/>
  <c r="AA1129" i="95"/>
  <c r="Z1127" i="95"/>
  <c r="AA1309" i="95"/>
  <c r="X1730" i="95"/>
  <c r="Y1711" i="95"/>
  <c r="Y1710" i="95" s="1"/>
  <c r="Y1688" i="95"/>
  <c r="Y1666" i="95"/>
  <c r="Y1665" i="95" s="1"/>
  <c r="Z1689" i="95"/>
  <c r="Z1626" i="95" s="1"/>
  <c r="Y1739" i="95"/>
  <c r="Y1738" i="95" s="1"/>
  <c r="Z1466" i="95"/>
  <c r="Y1464" i="95"/>
  <c r="Y1453" i="95" s="1"/>
  <c r="Y1174" i="95"/>
  <c r="Y1173" i="95" s="1"/>
  <c r="Y1184" i="95"/>
  <c r="Y1183" i="95" s="1"/>
  <c r="Z1177" i="95"/>
  <c r="W1363" i="95"/>
  <c r="V1361" i="95"/>
  <c r="AC1724" i="95"/>
  <c r="AB1722" i="95"/>
  <c r="Z1518" i="95"/>
  <c r="Y1516" i="95"/>
  <c r="Y1280" i="95"/>
  <c r="X1278" i="95"/>
  <c r="W1746" i="95"/>
  <c r="V1744" i="95"/>
  <c r="V1734" i="95" s="1"/>
  <c r="AB1459" i="95"/>
  <c r="AC1461" i="95"/>
  <c r="V1364" i="95"/>
  <c r="W1366" i="95"/>
  <c r="Z1201" i="95"/>
  <c r="Y1199" i="95"/>
  <c r="AA1277" i="95"/>
  <c r="Z1275" i="95"/>
  <c r="Y1047" i="95"/>
  <c r="Z1049" i="95"/>
  <c r="X1237" i="95"/>
  <c r="W1233" i="95"/>
  <c r="X1149" i="95"/>
  <c r="W1147" i="95"/>
  <c r="W1146" i="95" s="1"/>
  <c r="AB1219" i="95"/>
  <c r="X1623" i="95"/>
  <c r="W1621" i="95"/>
  <c r="Y1708" i="95"/>
  <c r="X1704" i="95"/>
  <c r="Z1488" i="95"/>
  <c r="Y1486" i="95"/>
  <c r="X1121" i="95"/>
  <c r="Y1123" i="95"/>
  <c r="AB1529" i="95"/>
  <c r="AA1528" i="95"/>
  <c r="Z1673" i="95"/>
  <c r="Y1671" i="95"/>
  <c r="AB1653" i="95"/>
  <c r="AA1652" i="95"/>
  <c r="AD1194" i="95"/>
  <c r="AB1672" i="95"/>
  <c r="Z1443" i="95"/>
  <c r="Y1441" i="95"/>
  <c r="Y1315" i="95"/>
  <c r="X1313" i="95"/>
  <c r="AA1515" i="95"/>
  <c r="Z1513" i="95"/>
  <c r="AE1535" i="95"/>
  <c r="AA1214" i="95"/>
  <c r="Z1212" i="95"/>
  <c r="Z1099" i="95"/>
  <c r="Y1097" i="95"/>
  <c r="Y1096" i="95" s="1"/>
  <c r="W1356" i="95"/>
  <c r="V1354" i="95"/>
  <c r="V1353" i="95" s="1"/>
  <c r="V1030" i="95"/>
  <c r="X1743" i="95"/>
  <c r="W1741" i="95"/>
  <c r="Z954" i="95"/>
  <c r="AB1647" i="95"/>
  <c r="X1141" i="95"/>
  <c r="X1140" i="95" s="1"/>
  <c r="Y1143" i="95"/>
  <c r="AA1270" i="95"/>
  <c r="Z1268" i="95"/>
  <c r="W1669" i="95"/>
  <c r="W1668" i="95" s="1"/>
  <c r="W1664" i="95" s="1"/>
  <c r="Z1435" i="95"/>
  <c r="Y1434" i="95"/>
  <c r="AA1592" i="95"/>
  <c r="Z1591" i="95"/>
  <c r="Z1590" i="95" s="1"/>
  <c r="Y1699" i="95"/>
  <c r="X1697" i="95"/>
  <c r="X1375" i="95"/>
  <c r="W1373" i="95"/>
  <c r="Z817" i="95"/>
  <c r="AA757" i="95"/>
  <c r="Z796" i="95"/>
  <c r="Z783" i="95"/>
  <c r="Z837" i="95"/>
  <c r="Z827" i="95"/>
  <c r="AB1641" i="95"/>
  <c r="Y1189" i="95"/>
  <c r="Y1188" i="95" s="1"/>
  <c r="Z1191" i="95"/>
  <c r="AD1514" i="95"/>
  <c r="AD1163" i="95"/>
  <c r="Y1631" i="95"/>
  <c r="Z1632" i="95"/>
  <c r="X1172" i="95"/>
  <c r="AA1526" i="95"/>
  <c r="Z1525" i="95"/>
  <c r="Z1419" i="95"/>
  <c r="Y1418" i="95"/>
  <c r="Y1417" i="95" s="1"/>
  <c r="U1357" i="95"/>
  <c r="U1348" i="95" s="1"/>
  <c r="AA1480" i="95"/>
  <c r="AB1481" i="95"/>
  <c r="AA1240" i="95"/>
  <c r="AB1242" i="95"/>
  <c r="AC1235" i="95"/>
  <c r="AC1556" i="95"/>
  <c r="AB1554" i="95"/>
  <c r="AA1166" i="95"/>
  <c r="AB1168" i="95"/>
  <c r="AB1472" i="95"/>
  <c r="AA1470" i="95"/>
  <c r="AA1469" i="95" s="1"/>
  <c r="AD702" i="95"/>
  <c r="AA755" i="95"/>
  <c r="Z770" i="95"/>
  <c r="W1360" i="95"/>
  <c r="V1358" i="95"/>
  <c r="AE1296" i="95"/>
  <c r="AD1294" i="95"/>
  <c r="AD1293" i="95" s="1"/>
  <c r="AB1568" i="95"/>
  <c r="AA1566" i="95"/>
  <c r="Z1662" i="95"/>
  <c r="Y1661" i="95"/>
  <c r="AA1512" i="95"/>
  <c r="Z1510" i="95"/>
  <c r="X1221" i="95"/>
  <c r="W1217" i="95"/>
  <c r="W1216" i="95" s="1"/>
  <c r="Y1407" i="95"/>
  <c r="Z1391" i="95"/>
  <c r="Y1390" i="95"/>
  <c r="Y1389" i="95" s="1"/>
  <c r="Z1612" i="95"/>
  <c r="Z1611" i="95" s="1"/>
  <c r="AA1599" i="95"/>
  <c r="Z1622" i="95"/>
  <c r="Z1489" i="95"/>
  <c r="Z1659" i="95"/>
  <c r="Y1658" i="95"/>
  <c r="AB1339" i="95"/>
  <c r="AA1337" i="95"/>
  <c r="AA1456" i="95"/>
  <c r="Z1454" i="95"/>
  <c r="Z1439" i="95"/>
  <c r="Y1437" i="95"/>
  <c r="W1120" i="95"/>
  <c r="Y1106" i="95"/>
  <c r="X1104" i="95"/>
  <c r="AB1333" i="95"/>
  <c r="AA1331" i="95"/>
  <c r="Y1444" i="95"/>
  <c r="Z1446" i="95"/>
  <c r="AA1392" i="95"/>
  <c r="Z1406" i="95"/>
  <c r="AD1520" i="95"/>
  <c r="AE1484" i="95"/>
  <c r="AD1483" i="95"/>
  <c r="AE1548" i="95"/>
  <c r="AD1546" i="95"/>
  <c r="AF1200" i="95"/>
  <c r="Z1492" i="95"/>
  <c r="AA1493" i="95"/>
  <c r="W1372" i="95"/>
  <c r="V1370" i="95"/>
  <c r="AA764" i="95"/>
  <c r="AB753" i="95"/>
  <c r="AC1431" i="95"/>
  <c r="AD1432" i="95"/>
  <c r="Y1303" i="95"/>
  <c r="AC1532" i="95"/>
  <c r="Y1696" i="95"/>
  <c r="X1694" i="95"/>
  <c r="Y1116" i="95"/>
  <c r="X1114" i="95"/>
  <c r="X1110" i="95" s="1"/>
  <c r="AA1105" i="95"/>
  <c r="AB1089" i="95"/>
  <c r="Z1136" i="95"/>
  <c r="Y1134" i="95"/>
  <c r="Y1133" i="95" s="1"/>
  <c r="Y1159" i="95"/>
  <c r="X1157" i="95"/>
  <c r="X1156" i="95" s="1"/>
  <c r="AD1538" i="95"/>
  <c r="W1076" i="95"/>
  <c r="Z1628" i="95"/>
  <c r="AA1629" i="95"/>
  <c r="X1684" i="95" l="1"/>
  <c r="X1701" i="95" s="1"/>
  <c r="X1700" i="95" s="1"/>
  <c r="W1617" i="95"/>
  <c r="Z1604" i="95"/>
  <c r="AA1475" i="95"/>
  <c r="AA1544" i="95"/>
  <c r="AA1543" i="95" s="1"/>
  <c r="Y1476" i="95"/>
  <c r="Y1427" i="95"/>
  <c r="Z1411" i="95"/>
  <c r="AA1409" i="95"/>
  <c r="X1082" i="95"/>
  <c r="W1080" i="95"/>
  <c r="AA849" i="95"/>
  <c r="AA182" i="79"/>
  <c r="Z180" i="79"/>
  <c r="Z176" i="79" s="1"/>
  <c r="Z156" i="79" s="1"/>
  <c r="Z1449" i="95"/>
  <c r="Y1447" i="95"/>
  <c r="Y1440" i="95" s="1"/>
  <c r="Y1451" i="95" s="1"/>
  <c r="Y1450" i="95" s="1"/>
  <c r="AB754" i="95"/>
  <c r="AA767" i="95"/>
  <c r="AA984" i="95"/>
  <c r="AA994" i="95"/>
  <c r="AB933" i="95"/>
  <c r="AA963" i="95"/>
  <c r="AA1004" i="95"/>
  <c r="AA1016" i="95" s="1"/>
  <c r="AA950" i="95"/>
  <c r="W1232" i="95"/>
  <c r="W1215" i="95" s="1"/>
  <c r="W1283" i="95" s="1"/>
  <c r="W1282" i="95" s="1"/>
  <c r="U1083" i="95"/>
  <c r="V154" i="24" s="1"/>
  <c r="X1394" i="95"/>
  <c r="Y1342" i="95"/>
  <c r="Z1344" i="95"/>
  <c r="AA1643" i="95"/>
  <c r="AB1644" i="95"/>
  <c r="V1300" i="95"/>
  <c r="V1285" i="95" s="1"/>
  <c r="W1095" i="95"/>
  <c r="V1474" i="95"/>
  <c r="W156" i="24" s="1"/>
  <c r="AC432" i="95"/>
  <c r="AB446" i="95"/>
  <c r="AB439" i="95"/>
  <c r="AB452" i="95"/>
  <c r="X1100" i="95"/>
  <c r="U1625" i="95"/>
  <c r="V157" i="24" s="1"/>
  <c r="Z1103" i="95"/>
  <c r="Y1101" i="95"/>
  <c r="X1120" i="95"/>
  <c r="X1602" i="95"/>
  <c r="X1601" i="95" s="1"/>
  <c r="Y1395" i="95"/>
  <c r="Y1394" i="95" s="1"/>
  <c r="AC1171" i="95"/>
  <c r="AB1169" i="95"/>
  <c r="V1357" i="95"/>
  <c r="V1348" i="95" s="1"/>
  <c r="AB1539" i="95"/>
  <c r="AA1537" i="95"/>
  <c r="X1311" i="95"/>
  <c r="W1307" i="95"/>
  <c r="AA1195" i="95"/>
  <c r="Z1193" i="95"/>
  <c r="AE1586" i="95"/>
  <c r="AF1588" i="95"/>
  <c r="AF1586" i="95" s="1"/>
  <c r="X1070" i="95"/>
  <c r="W1066" i="95"/>
  <c r="AB1536" i="95"/>
  <c r="AA1534" i="95"/>
  <c r="Z1600" i="95"/>
  <c r="Y1598" i="95"/>
  <c r="Y1594" i="95" s="1"/>
  <c r="X1305" i="95"/>
  <c r="W1301" i="95"/>
  <c r="AC39" i="95"/>
  <c r="AD16" i="95"/>
  <c r="W1732" i="95"/>
  <c r="V1728" i="95"/>
  <c r="V1703" i="95" s="1"/>
  <c r="Z1522" i="95"/>
  <c r="AA1524" i="95"/>
  <c r="AA1181" i="95"/>
  <c r="Z1180" i="95"/>
  <c r="Z1179" i="95" s="1"/>
  <c r="AA1165" i="95"/>
  <c r="AC1109" i="95"/>
  <c r="AB1107" i="95"/>
  <c r="AA1676" i="95"/>
  <c r="Z1674" i="95"/>
  <c r="Z1634" i="95"/>
  <c r="AA1635" i="95"/>
  <c r="Z1247" i="95"/>
  <c r="AA1249" i="95"/>
  <c r="AA1416" i="95"/>
  <c r="AB1742" i="95"/>
  <c r="AC1692" i="95"/>
  <c r="AB1691" i="95"/>
  <c r="AB1717" i="95"/>
  <c r="AB1716" i="95" s="1"/>
  <c r="Z1699" i="95"/>
  <c r="Y1697" i="95"/>
  <c r="AC1647" i="95"/>
  <c r="AF1745" i="95"/>
  <c r="AF1723" i="95"/>
  <c r="AB764" i="95"/>
  <c r="AC753" i="95"/>
  <c r="AA954" i="95"/>
  <c r="Z1134" i="95"/>
  <c r="Z1133" i="95" s="1"/>
  <c r="AA1136" i="95"/>
  <c r="AB1493" i="95"/>
  <c r="AA1492" i="95"/>
  <c r="AB1392" i="95"/>
  <c r="AA1406" i="95"/>
  <c r="AE1197" i="95"/>
  <c r="AD1707" i="95"/>
  <c r="Y1352" i="95"/>
  <c r="X1350" i="95"/>
  <c r="X1349" i="95" s="1"/>
  <c r="X1076" i="95"/>
  <c r="AD1532" i="95"/>
  <c r="AA1446" i="95"/>
  <c r="Z1444" i="95"/>
  <c r="Y1221" i="95"/>
  <c r="X1217" i="95"/>
  <c r="X1216" i="95" s="1"/>
  <c r="AA1443" i="95"/>
  <c r="Z1441" i="95"/>
  <c r="Y1237" i="95"/>
  <c r="X1233" i="95"/>
  <c r="AA1439" i="95"/>
  <c r="Z1437" i="95"/>
  <c r="Y1229" i="95"/>
  <c r="X1225" i="95"/>
  <c r="X1224" i="95" s="1"/>
  <c r="AF1511" i="95"/>
  <c r="AB1105" i="95"/>
  <c r="AC1089" i="95"/>
  <c r="AC1672" i="95"/>
  <c r="AA1049" i="95"/>
  <c r="Z1047" i="95"/>
  <c r="Z1184" i="95"/>
  <c r="Z1183" i="95" s="1"/>
  <c r="AA1177" i="95"/>
  <c r="Z1174" i="95"/>
  <c r="Z1173" i="95" s="1"/>
  <c r="AB1309" i="95"/>
  <c r="AC1487" i="95"/>
  <c r="AC1584" i="95"/>
  <c r="AB1582" i="95"/>
  <c r="X1640" i="95"/>
  <c r="X1627" i="95" s="1"/>
  <c r="AC1490" i="95"/>
  <c r="AA1151" i="95"/>
  <c r="Z1150" i="95"/>
  <c r="AE1483" i="95"/>
  <c r="AF1484" i="95"/>
  <c r="AF1483" i="95" s="1"/>
  <c r="AC1333" i="95"/>
  <c r="AB1331" i="95"/>
  <c r="AB1456" i="95"/>
  <c r="AA1454" i="95"/>
  <c r="Z1661" i="95"/>
  <c r="AA1662" i="95"/>
  <c r="AC1242" i="95"/>
  <c r="AB1240" i="95"/>
  <c r="AA1419" i="95"/>
  <c r="Z1418" i="95"/>
  <c r="Z1417" i="95" s="1"/>
  <c r="X1356" i="95"/>
  <c r="W1354" i="95"/>
  <c r="W1353" i="95" s="1"/>
  <c r="AB1515" i="95"/>
  <c r="AA1513" i="95"/>
  <c r="AA1673" i="95"/>
  <c r="Z1671" i="95"/>
  <c r="AB1528" i="95"/>
  <c r="AC1529" i="95"/>
  <c r="AC1219" i="95"/>
  <c r="AA1518" i="95"/>
  <c r="Z1516" i="95"/>
  <c r="X1079" i="95"/>
  <c r="W1077" i="95"/>
  <c r="AD1565" i="95"/>
  <c r="AC1562" i="95"/>
  <c r="AB1638" i="95"/>
  <c r="AA1637" i="95"/>
  <c r="Z1378" i="95"/>
  <c r="Y1376" i="95"/>
  <c r="AD1499" i="95"/>
  <c r="AC1498" i="95"/>
  <c r="AA1111" i="95"/>
  <c r="AB1113" i="95"/>
  <c r="AA1648" i="95"/>
  <c r="Z1646" i="95"/>
  <c r="Z1189" i="95"/>
  <c r="Z1188" i="95" s="1"/>
  <c r="AA1191" i="95"/>
  <c r="AC1641" i="95"/>
  <c r="AB757" i="95"/>
  <c r="AA817" i="95"/>
  <c r="AA796" i="95"/>
  <c r="AA827" i="95"/>
  <c r="AA837" i="95"/>
  <c r="AA783" i="95"/>
  <c r="AA1591" i="95"/>
  <c r="AA1590" i="95" s="1"/>
  <c r="AB1592" i="95"/>
  <c r="Y1141" i="95"/>
  <c r="Y1140" i="95" s="1"/>
  <c r="Z1143" i="95"/>
  <c r="Y1743" i="95"/>
  <c r="X1741" i="95"/>
  <c r="AA1099" i="95"/>
  <c r="Z1097" i="95"/>
  <c r="Z1096" i="95" s="1"/>
  <c r="Y1121" i="95"/>
  <c r="Z1123" i="95"/>
  <c r="Y1172" i="95"/>
  <c r="AB1521" i="95"/>
  <c r="AA1519" i="95"/>
  <c r="AB1036" i="95"/>
  <c r="AC1118" i="95"/>
  <c r="AC1117" i="95" s="1"/>
  <c r="AD1092" i="95"/>
  <c r="X1369" i="95"/>
  <c r="W1367" i="95"/>
  <c r="AB1650" i="95"/>
  <c r="AA1649" i="95"/>
  <c r="AE1517" i="95"/>
  <c r="AB1540" i="95"/>
  <c r="AC1541" i="95"/>
  <c r="AD1502" i="95"/>
  <c r="AB1325" i="95"/>
  <c r="AC1327" i="95"/>
  <c r="AC1472" i="95"/>
  <c r="AB1470" i="95"/>
  <c r="AB1469" i="95" s="1"/>
  <c r="Z1631" i="95"/>
  <c r="AA1632" i="95"/>
  <c r="AA1435" i="95"/>
  <c r="Z1434" i="95"/>
  <c r="AF1535" i="95"/>
  <c r="Y1313" i="95"/>
  <c r="Z1315" i="95"/>
  <c r="AA1533" i="95"/>
  <c r="Z1531" i="95"/>
  <c r="X1372" i="95"/>
  <c r="W1370" i="95"/>
  <c r="AA1657" i="95"/>
  <c r="Z1655" i="95"/>
  <c r="Z1658" i="95"/>
  <c r="AA1659" i="95"/>
  <c r="AE1163" i="95"/>
  <c r="W1364" i="95"/>
  <c r="X1366" i="95"/>
  <c r="Z1595" i="95"/>
  <c r="AA1597" i="95"/>
  <c r="Y1261" i="95"/>
  <c r="Z1263" i="95"/>
  <c r="AB1629" i="95"/>
  <c r="AA1628" i="95"/>
  <c r="AB1496" i="95"/>
  <c r="AA1495" i="95"/>
  <c r="AE1098" i="95"/>
  <c r="AD1431" i="95"/>
  <c r="AE1432" i="95"/>
  <c r="AA1489" i="95"/>
  <c r="AA1622" i="95"/>
  <c r="AA1612" i="95"/>
  <c r="AA1611" i="95" s="1"/>
  <c r="AB1599" i="95"/>
  <c r="AC1568" i="95"/>
  <c r="AB1566" i="95"/>
  <c r="AB1277" i="95"/>
  <c r="AA1275" i="95"/>
  <c r="AC1653" i="95"/>
  <c r="AB1652" i="95"/>
  <c r="X1746" i="95"/>
  <c r="W1744" i="95"/>
  <c r="W1734" i="95" s="1"/>
  <c r="AC1481" i="95"/>
  <c r="AB1480" i="95"/>
  <c r="AD1724" i="95"/>
  <c r="AC1722" i="95"/>
  <c r="Z1321" i="95"/>
  <c r="Y1319" i="95"/>
  <c r="W1030" i="95"/>
  <c r="AA1201" i="95"/>
  <c r="Z1199" i="95"/>
  <c r="AA1753" i="95"/>
  <c r="Z1751" i="95"/>
  <c r="AA158" i="24" s="1"/>
  <c r="AB1205" i="95"/>
  <c r="AA1203" i="95"/>
  <c r="AB1132" i="95"/>
  <c r="AA1130" i="95"/>
  <c r="Y1192" i="95"/>
  <c r="Y1187" i="95" s="1"/>
  <c r="AA466" i="95"/>
  <c r="AB1503" i="95"/>
  <c r="AA1501" i="95"/>
  <c r="AA1466" i="95"/>
  <c r="Z1464" i="95"/>
  <c r="Z1453" i="95" s="1"/>
  <c r="X1024" i="95"/>
  <c r="AB1227" i="95"/>
  <c r="Z1126" i="95"/>
  <c r="Y1124" i="95"/>
  <c r="AC1339" i="95"/>
  <c r="AB1337" i="95"/>
  <c r="X1360" i="95"/>
  <c r="W1358" i="95"/>
  <c r="Z1708" i="95"/>
  <c r="Y1704" i="95"/>
  <c r="AA1507" i="95"/>
  <c r="AB1508" i="95"/>
  <c r="Z1425" i="95"/>
  <c r="Z1424" i="95" s="1"/>
  <c r="Z1415" i="95"/>
  <c r="Z1414" i="95" s="1"/>
  <c r="Z1413" i="95" s="1"/>
  <c r="Z1387" i="95"/>
  <c r="Z1386" i="95" s="1"/>
  <c r="Z1385" i="95" s="1"/>
  <c r="Z1396" i="95"/>
  <c r="AA1383" i="95"/>
  <c r="AB1166" i="95"/>
  <c r="AC1168" i="95"/>
  <c r="AA1164" i="95"/>
  <c r="Z1162" i="95"/>
  <c r="Z1161" i="95" s="1"/>
  <c r="Z1160" i="95" s="1"/>
  <c r="AC1429" i="95"/>
  <c r="AB1428" i="95"/>
  <c r="AE1572" i="95"/>
  <c r="AD1570" i="95"/>
  <c r="AD1438" i="95"/>
  <c r="Z1206" i="95"/>
  <c r="Z1202" i="95" s="1"/>
  <c r="AC1211" i="95"/>
  <c r="AB1209" i="95"/>
  <c r="AF1580" i="95"/>
  <c r="AF1578" i="95" s="1"/>
  <c r="AE1578" i="95"/>
  <c r="AB1512" i="95"/>
  <c r="AA1510" i="95"/>
  <c r="AA1268" i="95"/>
  <c r="AB1270" i="95"/>
  <c r="Y1623" i="95"/>
  <c r="X1621" i="95"/>
  <c r="AA1550" i="95"/>
  <c r="AA1549" i="95" s="1"/>
  <c r="AB1552" i="95"/>
  <c r="AB1289" i="95"/>
  <c r="AA1287" i="95"/>
  <c r="AA1286" i="95" s="1"/>
  <c r="Y1256" i="95"/>
  <c r="X1254" i="95"/>
  <c r="AD1235" i="95"/>
  <c r="Z1739" i="95"/>
  <c r="Z1738" i="95" s="1"/>
  <c r="Z1688" i="95"/>
  <c r="Z1711" i="95"/>
  <c r="Z1710" i="95" s="1"/>
  <c r="AA1689" i="95"/>
  <c r="AA1626" i="95" s="1"/>
  <c r="Z1666" i="95"/>
  <c r="Z1665" i="95" s="1"/>
  <c r="AA1504" i="95"/>
  <c r="AB1505" i="95"/>
  <c r="X1669" i="95"/>
  <c r="X1668" i="95" s="1"/>
  <c r="X1664" i="95" s="1"/>
  <c r="X1147" i="95"/>
  <c r="X1146" i="95" s="1"/>
  <c r="Y1149" i="95"/>
  <c r="Y1278" i="95"/>
  <c r="Z1280" i="95"/>
  <c r="Y1730" i="95"/>
  <c r="Y1737" i="95"/>
  <c r="X1735" i="95"/>
  <c r="AB1682" i="95"/>
  <c r="AA1681" i="95"/>
  <c r="AA1680" i="95" s="1"/>
  <c r="Z1677" i="95"/>
  <c r="AA1678" i="95"/>
  <c r="X1618" i="95"/>
  <c r="Y1620" i="95"/>
  <c r="AF1213" i="95"/>
  <c r="AE1538" i="95"/>
  <c r="AB755" i="95"/>
  <c r="AA770" i="95"/>
  <c r="AD1556" i="95"/>
  <c r="AC1554" i="95"/>
  <c r="AE1514" i="95"/>
  <c r="Z1116" i="95"/>
  <c r="Y1114" i="95"/>
  <c r="Y1110" i="95" s="1"/>
  <c r="AF1548" i="95"/>
  <c r="AF1546" i="95" s="1"/>
  <c r="AE1546" i="95"/>
  <c r="Z1106" i="95"/>
  <c r="Y1104" i="95"/>
  <c r="AF1296" i="95"/>
  <c r="AF1294" i="95" s="1"/>
  <c r="AF1293" i="95" s="1"/>
  <c r="AE1294" i="95"/>
  <c r="AE1293" i="95" s="1"/>
  <c r="AB1526" i="95"/>
  <c r="AA1525" i="95"/>
  <c r="AD1461" i="95"/>
  <c r="AC1459" i="95"/>
  <c r="AB1129" i="95"/>
  <c r="AA1127" i="95"/>
  <c r="AE1115" i="95"/>
  <c r="AC350" i="95"/>
  <c r="AB416" i="95"/>
  <c r="AB393" i="95"/>
  <c r="AB252" i="95"/>
  <c r="Z1159" i="95"/>
  <c r="Y1157" i="95"/>
  <c r="Y1156" i="95" s="1"/>
  <c r="AE702" i="95"/>
  <c r="Z1696" i="95"/>
  <c r="Y1694" i="95"/>
  <c r="Y1684" i="95" s="1"/>
  <c r="Z1303" i="95"/>
  <c r="AE1520" i="95"/>
  <c r="AA1391" i="95"/>
  <c r="Z1407" i="95"/>
  <c r="Z1390" i="95"/>
  <c r="Z1389" i="95" s="1"/>
  <c r="Y1375" i="95"/>
  <c r="X1373" i="95"/>
  <c r="AB1214" i="95"/>
  <c r="AA1212" i="95"/>
  <c r="AE1194" i="95"/>
  <c r="AA1488" i="95"/>
  <c r="Z1486" i="95"/>
  <c r="X1363" i="95"/>
  <c r="W1361" i="95"/>
  <c r="AB1687" i="95"/>
  <c r="AA1685" i="95"/>
  <c r="AA1198" i="95"/>
  <c r="Z1196" i="95"/>
  <c r="AB1607" i="95"/>
  <c r="AA1605" i="95"/>
  <c r="AB1477" i="95"/>
  <c r="AC1478" i="95"/>
  <c r="AB1698" i="95"/>
  <c r="AA1748" i="95"/>
  <c r="AA1747" i="95" s="1"/>
  <c r="AA1729" i="95"/>
  <c r="X1617" i="95" l="1"/>
  <c r="Z1476" i="95"/>
  <c r="AA1604" i="95"/>
  <c r="AB1475" i="95"/>
  <c r="AB1544" i="95"/>
  <c r="AB1543" i="95" s="1"/>
  <c r="Z1427" i="95"/>
  <c r="AA1411" i="95"/>
  <c r="AB1409" i="95"/>
  <c r="Y1082" i="95"/>
  <c r="X1080" i="95"/>
  <c r="AB849" i="95"/>
  <c r="AB182" i="79"/>
  <c r="AA180" i="79"/>
  <c r="AA176" i="79" s="1"/>
  <c r="AA156" i="79" s="1"/>
  <c r="AB1165" i="95"/>
  <c r="AC933" i="95"/>
  <c r="AB984" i="95"/>
  <c r="AB1004" i="95"/>
  <c r="AB1016" i="95" s="1"/>
  <c r="AB963" i="95"/>
  <c r="AB994" i="95"/>
  <c r="AB950" i="95"/>
  <c r="AC754" i="95"/>
  <c r="AB767" i="95"/>
  <c r="AA1449" i="95"/>
  <c r="Z1447" i="95"/>
  <c r="Z1440" i="95" s="1"/>
  <c r="Z1451" i="95" s="1"/>
  <c r="Z1450" i="95" s="1"/>
  <c r="X1232" i="95"/>
  <c r="X1215" i="95" s="1"/>
  <c r="Y1401" i="95"/>
  <c r="Y1400" i="95" s="1"/>
  <c r="Y1100" i="95"/>
  <c r="AB1643" i="95"/>
  <c r="AC1644" i="95"/>
  <c r="W1300" i="95"/>
  <c r="W1285" i="95" s="1"/>
  <c r="Z1342" i="95"/>
  <c r="AA1344" i="95"/>
  <c r="V1625" i="95"/>
  <c r="W157" i="24" s="1"/>
  <c r="Y1602" i="95"/>
  <c r="Y1601" i="95" s="1"/>
  <c r="V1083" i="95"/>
  <c r="W154" i="24" s="1"/>
  <c r="Y1701" i="95"/>
  <c r="Y1700" i="95" s="1"/>
  <c r="Z1192" i="95"/>
  <c r="Z1187" i="95" s="1"/>
  <c r="X1095" i="95"/>
  <c r="AD432" i="95"/>
  <c r="AC439" i="95"/>
  <c r="AC446" i="95"/>
  <c r="AC452" i="95"/>
  <c r="W1474" i="95"/>
  <c r="X156" i="24" s="1"/>
  <c r="AA1103" i="95"/>
  <c r="Z1101" i="95"/>
  <c r="AA1600" i="95"/>
  <c r="Z1598" i="95"/>
  <c r="Z1594" i="95" s="1"/>
  <c r="AC1536" i="95"/>
  <c r="AB1534" i="95"/>
  <c r="AB1676" i="95"/>
  <c r="AA1674" i="95"/>
  <c r="AB1524" i="95"/>
  <c r="AA1522" i="95"/>
  <c r="Y1305" i="95"/>
  <c r="X1301" i="95"/>
  <c r="AD1171" i="95"/>
  <c r="AC1169" i="95"/>
  <c r="AB1195" i="95"/>
  <c r="AA1193" i="95"/>
  <c r="Z1395" i="95"/>
  <c r="Z1394" i="95" s="1"/>
  <c r="X1732" i="95"/>
  <c r="W1728" i="95"/>
  <c r="W1703" i="95" s="1"/>
  <c r="AD1109" i="95"/>
  <c r="AC1107" i="95"/>
  <c r="AD39" i="95"/>
  <c r="AE16" i="95"/>
  <c r="Y1070" i="95"/>
  <c r="X1066" i="95"/>
  <c r="Y1311" i="95"/>
  <c r="X1307" i="95"/>
  <c r="AB1181" i="95"/>
  <c r="AA1180" i="95"/>
  <c r="AA1179" i="95" s="1"/>
  <c r="AC1539" i="95"/>
  <c r="AB1537" i="95"/>
  <c r="AC1503" i="95"/>
  <c r="AB1501" i="95"/>
  <c r="AC1105" i="95"/>
  <c r="AD1089" i="95"/>
  <c r="AB1446" i="95"/>
  <c r="AA1444" i="95"/>
  <c r="Y1147" i="95"/>
  <c r="Y1146" i="95" s="1"/>
  <c r="Z1149" i="95"/>
  <c r="AA1315" i="95"/>
  <c r="Z1313" i="95"/>
  <c r="AC1036" i="95"/>
  <c r="AB1591" i="95"/>
  <c r="AB1590" i="95" s="1"/>
  <c r="AC1592" i="95"/>
  <c r="AD1490" i="95"/>
  <c r="AD1478" i="95"/>
  <c r="AC1477" i="95"/>
  <c r="AF1520" i="95"/>
  <c r="AA1159" i="95"/>
  <c r="Z1157" i="95"/>
  <c r="Z1156" i="95" s="1"/>
  <c r="AC1526" i="95"/>
  <c r="AB1525" i="95"/>
  <c r="AA1708" i="95"/>
  <c r="Z1704" i="95"/>
  <c r="AC1528" i="95"/>
  <c r="AD1529" i="95"/>
  <c r="Z1256" i="95"/>
  <c r="Y1254" i="95"/>
  <c r="AC1392" i="95"/>
  <c r="AB1406" i="95"/>
  <c r="AD1647" i="95"/>
  <c r="AC1687" i="95"/>
  <c r="AB1685" i="95"/>
  <c r="AF1194" i="95"/>
  <c r="AE1235" i="95"/>
  <c r="AD1168" i="95"/>
  <c r="AC1166" i="95"/>
  <c r="AF1432" i="95"/>
  <c r="AF1431" i="95" s="1"/>
  <c r="AE1431" i="95"/>
  <c r="AF1517" i="95"/>
  <c r="AF702" i="95"/>
  <c r="AF1115" i="95"/>
  <c r="Z1623" i="95"/>
  <c r="Y1621" i="95"/>
  <c r="AC1277" i="95"/>
  <c r="AB1275" i="95"/>
  <c r="AB1518" i="95"/>
  <c r="AA1516" i="95"/>
  <c r="AB1673" i="95"/>
  <c r="AA1671" i="95"/>
  <c r="AC1493" i="95"/>
  <c r="AB1492" i="95"/>
  <c r="AD1211" i="95"/>
  <c r="AC1209" i="95"/>
  <c r="AD1327" i="95"/>
  <c r="AC1325" i="95"/>
  <c r="AB1419" i="95"/>
  <c r="AA1418" i="95"/>
  <c r="AA1417" i="95" s="1"/>
  <c r="AD1333" i="95"/>
  <c r="AC1331" i="95"/>
  <c r="AD1487" i="95"/>
  <c r="AB1439" i="95"/>
  <c r="AA1437" i="95"/>
  <c r="Y1076" i="95"/>
  <c r="AC1512" i="95"/>
  <c r="AB1510" i="95"/>
  <c r="W1357" i="95"/>
  <c r="W1348" i="95" s="1"/>
  <c r="AB466" i="95"/>
  <c r="Y1746" i="95"/>
  <c r="X1744" i="95"/>
  <c r="X1734" i="95" s="1"/>
  <c r="AB1659" i="95"/>
  <c r="AA1658" i="95"/>
  <c r="AC1650" i="95"/>
  <c r="AB1649" i="95"/>
  <c r="AB1111" i="95"/>
  <c r="AC1113" i="95"/>
  <c r="AE1565" i="95"/>
  <c r="AD1562" i="95"/>
  <c r="AC1515" i="95"/>
  <c r="AB1513" i="95"/>
  <c r="AD1672" i="95"/>
  <c r="AB1443" i="95"/>
  <c r="AA1441" i="95"/>
  <c r="AC764" i="95"/>
  <c r="AD753" i="95"/>
  <c r="AA1247" i="95"/>
  <c r="AB1249" i="95"/>
  <c r="AC1214" i="95"/>
  <c r="AB1212" i="95"/>
  <c r="AA1303" i="95"/>
  <c r="AA1106" i="95"/>
  <c r="Z1104" i="95"/>
  <c r="Z1620" i="95"/>
  <c r="Y1618" i="95"/>
  <c r="Z1737" i="95"/>
  <c r="Y1735" i="95"/>
  <c r="AB1689" i="95"/>
  <c r="AB1626" i="95" s="1"/>
  <c r="AA1688" i="95"/>
  <c r="AA1739" i="95"/>
  <c r="AA1738" i="95" s="1"/>
  <c r="AA1666" i="95"/>
  <c r="AA1665" i="95" s="1"/>
  <c r="AA1711" i="95"/>
  <c r="AA1710" i="95" s="1"/>
  <c r="AA1206" i="95"/>
  <c r="AA1202" i="95" s="1"/>
  <c r="AB1507" i="95"/>
  <c r="AC1508" i="95"/>
  <c r="Y1360" i="95"/>
  <c r="X1358" i="95"/>
  <c r="AA1321" i="95"/>
  <c r="Z1319" i="95"/>
  <c r="Y1372" i="95"/>
  <c r="X1370" i="95"/>
  <c r="AD1118" i="95"/>
  <c r="AD1117" i="95" s="1"/>
  <c r="AE1092" i="95"/>
  <c r="AB1099" i="95"/>
  <c r="AA1097" i="95"/>
  <c r="AA1096" i="95" s="1"/>
  <c r="AB817" i="95"/>
  <c r="AB796" i="95"/>
  <c r="AB783" i="95"/>
  <c r="AC757" i="95"/>
  <c r="AB827" i="95"/>
  <c r="AB837" i="95"/>
  <c r="AD1242" i="95"/>
  <c r="AC1240" i="95"/>
  <c r="Y1640" i="95"/>
  <c r="Y1627" i="95" s="1"/>
  <c r="AF1197" i="95"/>
  <c r="AB1136" i="95"/>
  <c r="AA1134" i="95"/>
  <c r="AA1133" i="95" s="1"/>
  <c r="AB954" i="95"/>
  <c r="AF1514" i="95"/>
  <c r="AB1049" i="95"/>
  <c r="AA1047" i="95"/>
  <c r="Z1375" i="95"/>
  <c r="Y1373" i="95"/>
  <c r="AB1648" i="95"/>
  <c r="AA1646" i="95"/>
  <c r="AF1163" i="95"/>
  <c r="AB1504" i="95"/>
  <c r="AC1505" i="95"/>
  <c r="AF1572" i="95"/>
  <c r="AF1570" i="95" s="1"/>
  <c r="AE1570" i="95"/>
  <c r="Y1024" i="95"/>
  <c r="AD1653" i="95"/>
  <c r="AC1652" i="95"/>
  <c r="AD1568" i="95"/>
  <c r="AC1566" i="95"/>
  <c r="AE1502" i="95"/>
  <c r="Y1079" i="95"/>
  <c r="X1077" i="95"/>
  <c r="Z1229" i="95"/>
  <c r="Y1225" i="95"/>
  <c r="Y1224" i="95" s="1"/>
  <c r="AB1268" i="95"/>
  <c r="AC1270" i="95"/>
  <c r="AB1597" i="95"/>
  <c r="AA1595" i="95"/>
  <c r="AE1499" i="95"/>
  <c r="AD1498" i="95"/>
  <c r="Z1121" i="95"/>
  <c r="AA1123" i="95"/>
  <c r="Y1120" i="95"/>
  <c r="AA1634" i="95"/>
  <c r="AB1635" i="95"/>
  <c r="AB1605" i="95"/>
  <c r="AC1607" i="95"/>
  <c r="AA1751" i="95"/>
  <c r="AB158" i="24" s="1"/>
  <c r="AB1753" i="95"/>
  <c r="AC1638" i="95"/>
  <c r="AB1637" i="95"/>
  <c r="AC1227" i="95"/>
  <c r="Z1730" i="95"/>
  <c r="AE1438" i="95"/>
  <c r="AD1339" i="95"/>
  <c r="AC1337" i="95"/>
  <c r="AD1481" i="95"/>
  <c r="AC1480" i="95"/>
  <c r="AC1496" i="95"/>
  <c r="AB1495" i="95"/>
  <c r="AB1628" i="95"/>
  <c r="AC1629" i="95"/>
  <c r="AA1655" i="95"/>
  <c r="AB1657" i="95"/>
  <c r="AB1533" i="95"/>
  <c r="AA1531" i="95"/>
  <c r="Z1743" i="95"/>
  <c r="Y1741" i="95"/>
  <c r="AD1641" i="95"/>
  <c r="AD1219" i="95"/>
  <c r="Y1356" i="95"/>
  <c r="X1354" i="95"/>
  <c r="X1353" i="95" s="1"/>
  <c r="AC1456" i="95"/>
  <c r="AB1454" i="95"/>
  <c r="AD1584" i="95"/>
  <c r="AC1582" i="95"/>
  <c r="AC1309" i="95"/>
  <c r="Z1221" i="95"/>
  <c r="Y1217" i="95"/>
  <c r="Y1216" i="95" s="1"/>
  <c r="Z1352" i="95"/>
  <c r="Y1350" i="95"/>
  <c r="Y1349" i="95" s="1"/>
  <c r="AB1488" i="95"/>
  <c r="AA1486" i="95"/>
  <c r="AB1466" i="95"/>
  <c r="AA1464" i="95"/>
  <c r="AA1453" i="95" s="1"/>
  <c r="X1030" i="95"/>
  <c r="AB1612" i="95"/>
  <c r="AB1611" i="95" s="1"/>
  <c r="AB1622" i="95"/>
  <c r="AC1599" i="95"/>
  <c r="AB1489" i="95"/>
  <c r="AB1632" i="95"/>
  <c r="AA1631" i="95"/>
  <c r="AD1541" i="95"/>
  <c r="AC1540" i="95"/>
  <c r="AA1150" i="95"/>
  <c r="AB1151" i="95"/>
  <c r="AA1174" i="95"/>
  <c r="AA1173" i="95" s="1"/>
  <c r="AB1177" i="95"/>
  <c r="AA1184" i="95"/>
  <c r="AA1183" i="95" s="1"/>
  <c r="AB1198" i="95"/>
  <c r="AA1196" i="95"/>
  <c r="AC252" i="95"/>
  <c r="AD350" i="95"/>
  <c r="AC416" i="95"/>
  <c r="AC393" i="95"/>
  <c r="AB1681" i="95"/>
  <c r="AB1680" i="95" s="1"/>
  <c r="AC1682" i="95"/>
  <c r="AB1164" i="95"/>
  <c r="AA1162" i="95"/>
  <c r="AA1161" i="95" s="1"/>
  <c r="AA1160" i="95" s="1"/>
  <c r="AB1383" i="95"/>
  <c r="AA1387" i="95"/>
  <c r="AA1386" i="95" s="1"/>
  <c r="AA1385" i="95" s="1"/>
  <c r="AA1415" i="95"/>
  <c r="AA1414" i="95" s="1"/>
  <c r="AA1413" i="95" s="1"/>
  <c r="AA1425" i="95"/>
  <c r="AA1424" i="95" s="1"/>
  <c r="AA1396" i="95"/>
  <c r="AC1132" i="95"/>
  <c r="AB1130" i="95"/>
  <c r="Z1124" i="95"/>
  <c r="AA1126" i="95"/>
  <c r="AE1707" i="95"/>
  <c r="AF1538" i="95"/>
  <c r="AC1205" i="95"/>
  <c r="AB1203" i="95"/>
  <c r="AB1201" i="95"/>
  <c r="AA1199" i="95"/>
  <c r="AE1724" i="95"/>
  <c r="AD1722" i="95"/>
  <c r="Y1366" i="95"/>
  <c r="X1364" i="95"/>
  <c r="AD1472" i="95"/>
  <c r="AC1470" i="95"/>
  <c r="AC1469" i="95" s="1"/>
  <c r="Y1369" i="95"/>
  <c r="X1367" i="95"/>
  <c r="AC1521" i="95"/>
  <c r="AB1519" i="95"/>
  <c r="AA1378" i="95"/>
  <c r="Z1376" i="95"/>
  <c r="AA1661" i="95"/>
  <c r="AB1662" i="95"/>
  <c r="AE1556" i="95"/>
  <c r="AD1554" i="95"/>
  <c r="AE1532" i="95"/>
  <c r="AA1116" i="95"/>
  <c r="Z1114" i="95"/>
  <c r="Z1110" i="95" s="1"/>
  <c r="Z1237" i="95"/>
  <c r="Y1233" i="95"/>
  <c r="AB1748" i="95"/>
  <c r="AB1747" i="95" s="1"/>
  <c r="AB1729" i="95"/>
  <c r="AC1698" i="95"/>
  <c r="AB770" i="95"/>
  <c r="AC755" i="95"/>
  <c r="AF1098" i="95"/>
  <c r="AC1742" i="95"/>
  <c r="AC1717" i="95"/>
  <c r="AC1716" i="95" s="1"/>
  <c r="AD1692" i="95"/>
  <c r="AC1691" i="95"/>
  <c r="AC1129" i="95"/>
  <c r="AB1127" i="95"/>
  <c r="AC1289" i="95"/>
  <c r="AB1287" i="95"/>
  <c r="AB1286" i="95" s="1"/>
  <c r="AA1699" i="95"/>
  <c r="Z1697" i="95"/>
  <c r="Y1669" i="95"/>
  <c r="Y1668" i="95" s="1"/>
  <c r="Y1664" i="95" s="1"/>
  <c r="AB1391" i="95"/>
  <c r="AA1390" i="95"/>
  <c r="AA1389" i="95" s="1"/>
  <c r="AA1407" i="95"/>
  <c r="AA1696" i="95"/>
  <c r="Z1694" i="95"/>
  <c r="AA1677" i="95"/>
  <c r="AB1678" i="95"/>
  <c r="AB1550" i="95"/>
  <c r="AB1549" i="95" s="1"/>
  <c r="AC1552" i="95"/>
  <c r="Y1363" i="95"/>
  <c r="X1361" i="95"/>
  <c r="AE1461" i="95"/>
  <c r="AD1459" i="95"/>
  <c r="Z1278" i="95"/>
  <c r="AA1280" i="95"/>
  <c r="AD1429" i="95"/>
  <c r="AC1428" i="95"/>
  <c r="Z1261" i="95"/>
  <c r="AA1263" i="95"/>
  <c r="AA1434" i="95"/>
  <c r="AB1435" i="95"/>
  <c r="AA1143" i="95"/>
  <c r="Z1141" i="95"/>
  <c r="Z1140" i="95" s="1"/>
  <c r="AB1191" i="95"/>
  <c r="AA1189" i="95"/>
  <c r="AA1188" i="95" s="1"/>
  <c r="Z1172" i="95"/>
  <c r="AB1416" i="95"/>
  <c r="Z1684" i="95" l="1"/>
  <c r="Z1701" i="95" s="1"/>
  <c r="Z1700" i="95" s="1"/>
  <c r="Y1617" i="95"/>
  <c r="AB1604" i="95"/>
  <c r="AC1544" i="95"/>
  <c r="AC1543" i="95" s="1"/>
  <c r="AC1475" i="95"/>
  <c r="AA1476" i="95"/>
  <c r="AA1427" i="95"/>
  <c r="AB1411" i="95"/>
  <c r="AC1409" i="95"/>
  <c r="Y1080" i="95"/>
  <c r="Z1082" i="95"/>
  <c r="AC849" i="95"/>
  <c r="AC182" i="79"/>
  <c r="AB180" i="79"/>
  <c r="AB176" i="79" s="1"/>
  <c r="AB156" i="79" s="1"/>
  <c r="AA1447" i="95"/>
  <c r="AA1440" i="95" s="1"/>
  <c r="AA1451" i="95" s="1"/>
  <c r="AA1450" i="95" s="1"/>
  <c r="AB1449" i="95"/>
  <c r="AD754" i="95"/>
  <c r="AC767" i="95"/>
  <c r="AC950" i="95"/>
  <c r="AC994" i="95"/>
  <c r="AD933" i="95"/>
  <c r="AC963" i="95"/>
  <c r="AC984" i="95"/>
  <c r="AC1004" i="95"/>
  <c r="AC1016" i="95" s="1"/>
  <c r="AC1165" i="95"/>
  <c r="X1474" i="95"/>
  <c r="Y156" i="24" s="1"/>
  <c r="Y1095" i="95"/>
  <c r="Z1401" i="95"/>
  <c r="Z1400" i="95" s="1"/>
  <c r="AA1342" i="95"/>
  <c r="AB1344" i="95"/>
  <c r="AC1643" i="95"/>
  <c r="AD1644" i="95"/>
  <c r="Y1232" i="95"/>
  <c r="Y1215" i="95" s="1"/>
  <c r="Y1283" i="95" s="1"/>
  <c r="Y1282" i="95" s="1"/>
  <c r="X1300" i="95"/>
  <c r="X1285" i="95" s="1"/>
  <c r="Z1100" i="95"/>
  <c r="W1083" i="95"/>
  <c r="X154" i="24" s="1"/>
  <c r="AE432" i="95"/>
  <c r="AD452" i="95"/>
  <c r="AD439" i="95"/>
  <c r="AD446" i="95"/>
  <c r="AA1101" i="95"/>
  <c r="AB1103" i="95"/>
  <c r="AC1181" i="95"/>
  <c r="AB1180" i="95"/>
  <c r="AB1179" i="95" s="1"/>
  <c r="Z1311" i="95"/>
  <c r="Y1307" i="95"/>
  <c r="AB1600" i="95"/>
  <c r="AA1598" i="95"/>
  <c r="AA1594" i="95" s="1"/>
  <c r="AC1524" i="95"/>
  <c r="AB1522" i="95"/>
  <c r="AD1536" i="95"/>
  <c r="AC1534" i="95"/>
  <c r="AC1195" i="95"/>
  <c r="AB1193" i="95"/>
  <c r="AA1192" i="95"/>
  <c r="AA1187" i="95" s="1"/>
  <c r="Y1732" i="95"/>
  <c r="X1728" i="95"/>
  <c r="X1703" i="95" s="1"/>
  <c r="AC1676" i="95"/>
  <c r="AB1674" i="95"/>
  <c r="Z1070" i="95"/>
  <c r="Y1066" i="95"/>
  <c r="AE39" i="95"/>
  <c r="AF16" i="95"/>
  <c r="AF39" i="95" s="1"/>
  <c r="Z1305" i="95"/>
  <c r="Y1301" i="95"/>
  <c r="Z1602" i="95"/>
  <c r="Z1601" i="95" s="1"/>
  <c r="AD1539" i="95"/>
  <c r="AC1537" i="95"/>
  <c r="AD1107" i="95"/>
  <c r="AE1109" i="95"/>
  <c r="W1625" i="95"/>
  <c r="X157" i="24" s="1"/>
  <c r="AA1395" i="95"/>
  <c r="AA1401" i="95" s="1"/>
  <c r="AA1400" i="95" s="1"/>
  <c r="AE1171" i="95"/>
  <c r="AD1169" i="95"/>
  <c r="X1283" i="95"/>
  <c r="X1282" i="95" s="1"/>
  <c r="AD1742" i="95"/>
  <c r="AD1717" i="95"/>
  <c r="AD1716" i="95" s="1"/>
  <c r="AE1692" i="95"/>
  <c r="AD1691" i="95"/>
  <c r="AD1205" i="95"/>
  <c r="AC1203" i="95"/>
  <c r="AB1396" i="95"/>
  <c r="AB1415" i="95"/>
  <c r="AB1414" i="95" s="1"/>
  <c r="AB1413" i="95" s="1"/>
  <c r="AB1387" i="95"/>
  <c r="AB1386" i="95" s="1"/>
  <c r="AB1385" i="95" s="1"/>
  <c r="AC1383" i="95"/>
  <c r="AB1425" i="95"/>
  <c r="AB1424" i="95" s="1"/>
  <c r="AC1049" i="95"/>
  <c r="AB1047" i="95"/>
  <c r="AC1099" i="95"/>
  <c r="AB1097" i="95"/>
  <c r="AB1096" i="95" s="1"/>
  <c r="AB1206" i="95"/>
  <c r="AB1202" i="95" s="1"/>
  <c r="AA1623" i="95"/>
  <c r="Z1621" i="95"/>
  <c r="AE1168" i="95"/>
  <c r="AD1166" i="95"/>
  <c r="AB1677" i="95"/>
  <c r="AC1678" i="95"/>
  <c r="AF1556" i="95"/>
  <c r="AF1554" i="95" s="1"/>
  <c r="AE1554" i="95"/>
  <c r="AD1456" i="95"/>
  <c r="AC1454" i="95"/>
  <c r="AC1495" i="95"/>
  <c r="AD1496" i="95"/>
  <c r="Z1618" i="95"/>
  <c r="AA1620" i="95"/>
  <c r="AC1419" i="95"/>
  <c r="AB1418" i="95"/>
  <c r="AB1417" i="95" s="1"/>
  <c r="Z1363" i="95"/>
  <c r="Y1361" i="95"/>
  <c r="AC1164" i="95"/>
  <c r="AB1162" i="95"/>
  <c r="AB1161" i="95" s="1"/>
  <c r="AB1160" i="95" s="1"/>
  <c r="AD1505" i="95"/>
  <c r="AC1504" i="95"/>
  <c r="AC1673" i="95"/>
  <c r="AB1671" i="95"/>
  <c r="AB1263" i="95"/>
  <c r="AA1261" i="95"/>
  <c r="AE1472" i="95"/>
  <c r="AD1470" i="95"/>
  <c r="AD1469" i="95" s="1"/>
  <c r="AB1174" i="95"/>
  <c r="AB1173" i="95" s="1"/>
  <c r="AC1177" i="95"/>
  <c r="AB1184" i="95"/>
  <c r="AB1183" i="95" s="1"/>
  <c r="Y1354" i="95"/>
  <c r="Y1353" i="95" s="1"/>
  <c r="Z1356" i="95"/>
  <c r="AE1481" i="95"/>
  <c r="AD1480" i="95"/>
  <c r="AC1753" i="95"/>
  <c r="AB1751" i="95"/>
  <c r="AC158" i="24" s="1"/>
  <c r="Z1024" i="95"/>
  <c r="AD1528" i="95"/>
  <c r="AE1529" i="95"/>
  <c r="AE1478" i="95"/>
  <c r="AD1477" i="95"/>
  <c r="AD1592" i="95"/>
  <c r="AC1591" i="95"/>
  <c r="AC1590" i="95" s="1"/>
  <c r="AC1729" i="95"/>
  <c r="AD1698" i="95"/>
  <c r="AC1748" i="95"/>
  <c r="AC1747" i="95" s="1"/>
  <c r="AD755" i="95"/>
  <c r="AC770" i="95"/>
  <c r="AE1219" i="95"/>
  <c r="X1357" i="95"/>
  <c r="X1348" i="95" s="1"/>
  <c r="AE1647" i="95"/>
  <c r="AC1662" i="95"/>
  <c r="AB1661" i="95"/>
  <c r="Y1030" i="95"/>
  <c r="AE1211" i="95"/>
  <c r="AD1209" i="95"/>
  <c r="AD1036" i="95"/>
  <c r="AF1707" i="95"/>
  <c r="AC1533" i="95"/>
  <c r="AB1531" i="95"/>
  <c r="AB1303" i="95"/>
  <c r="AD764" i="95"/>
  <c r="AE753" i="95"/>
  <c r="Z1746" i="95"/>
  <c r="Y1744" i="95"/>
  <c r="Y1734" i="95" s="1"/>
  <c r="AD1392" i="95"/>
  <c r="AC1406" i="95"/>
  <c r="AB1159" i="95"/>
  <c r="AA1157" i="95"/>
  <c r="AA1156" i="95" s="1"/>
  <c r="AF1724" i="95"/>
  <c r="AF1722" i="95" s="1"/>
  <c r="AE1722" i="95"/>
  <c r="AC1198" i="95"/>
  <c r="AB1196" i="95"/>
  <c r="AE1584" i="95"/>
  <c r="AD1582" i="95"/>
  <c r="AB1655" i="95"/>
  <c r="AC1657" i="95"/>
  <c r="AF1438" i="95"/>
  <c r="Z1120" i="95"/>
  <c r="AE1653" i="95"/>
  <c r="AD1652" i="95"/>
  <c r="AC1136" i="95"/>
  <c r="AB1134" i="95"/>
  <c r="AB1133" i="95" s="1"/>
  <c r="AC1649" i="95"/>
  <c r="AD1650" i="95"/>
  <c r="AD1493" i="95"/>
  <c r="AC1492" i="95"/>
  <c r="AB1143" i="95"/>
  <c r="AA1141" i="95"/>
  <c r="AA1140" i="95" s="1"/>
  <c r="AA1229" i="95"/>
  <c r="Z1225" i="95"/>
  <c r="Z1224" i="95" s="1"/>
  <c r="AE1429" i="95"/>
  <c r="AD1428" i="95"/>
  <c r="AB1106" i="95"/>
  <c r="AA1104" i="95"/>
  <c r="AF1532" i="95"/>
  <c r="AA1121" i="95"/>
  <c r="AB1123" i="95"/>
  <c r="AB1280" i="95"/>
  <c r="AA1278" i="95"/>
  <c r="AA1124" i="95"/>
  <c r="AB1126" i="95"/>
  <c r="AC1622" i="95"/>
  <c r="AD1599" i="95"/>
  <c r="AC1489" i="95"/>
  <c r="AC1612" i="95"/>
  <c r="AC1611" i="95" s="1"/>
  <c r="AA1352" i="95"/>
  <c r="Z1350" i="95"/>
  <c r="Z1349" i="95" s="1"/>
  <c r="AB1634" i="95"/>
  <c r="AC1635" i="95"/>
  <c r="AC1507" i="95"/>
  <c r="AD1508" i="95"/>
  <c r="AB1711" i="95"/>
  <c r="AB1710" i="95" s="1"/>
  <c r="AB1739" i="95"/>
  <c r="AB1738" i="95" s="1"/>
  <c r="AC1689" i="95"/>
  <c r="AC1626" i="95" s="1"/>
  <c r="AB1666" i="95"/>
  <c r="AB1665" i="95" s="1"/>
  <c r="AB1688" i="95"/>
  <c r="Z1076" i="95"/>
  <c r="AE1333" i="95"/>
  <c r="AD1331" i="95"/>
  <c r="AE1490" i="95"/>
  <c r="AB1116" i="95"/>
  <c r="AA1114" i="95"/>
  <c r="AA1110" i="95" s="1"/>
  <c r="AD1515" i="95"/>
  <c r="AC1513" i="95"/>
  <c r="AE1339" i="95"/>
  <c r="AD1337" i="95"/>
  <c r="AB1441" i="95"/>
  <c r="AC1443" i="95"/>
  <c r="AE1089" i="95"/>
  <c r="AD1105" i="95"/>
  <c r="AC1416" i="95"/>
  <c r="AA1172" i="95"/>
  <c r="AC1681" i="95"/>
  <c r="AC1680" i="95" s="1"/>
  <c r="AD1682" i="95"/>
  <c r="AD1309" i="95"/>
  <c r="Z1372" i="95"/>
  <c r="Y1370" i="95"/>
  <c r="Y1077" i="95"/>
  <c r="Z1079" i="95"/>
  <c r="AD757" i="95"/>
  <c r="AC796" i="95"/>
  <c r="AC817" i="95"/>
  <c r="AC783" i="95"/>
  <c r="AC837" i="95"/>
  <c r="AC827" i="95"/>
  <c r="AC1435" i="95"/>
  <c r="AB1434" i="95"/>
  <c r="AC1628" i="95"/>
  <c r="AD1629" i="95"/>
  <c r="AA1375" i="95"/>
  <c r="Z1373" i="95"/>
  <c r="AE1327" i="95"/>
  <c r="AD1325" i="95"/>
  <c r="Z1669" i="95"/>
  <c r="Z1668" i="95" s="1"/>
  <c r="Z1664" i="95" s="1"/>
  <c r="AD1277" i="95"/>
  <c r="AC1275" i="95"/>
  <c r="AB1315" i="95"/>
  <c r="AA1313" i="95"/>
  <c r="AA1730" i="95"/>
  <c r="AC1268" i="95"/>
  <c r="AD1270" i="95"/>
  <c r="AD1214" i="95"/>
  <c r="AC1212" i="95"/>
  <c r="AB1708" i="95"/>
  <c r="AA1704" i="95"/>
  <c r="AC1391" i="95"/>
  <c r="AB1407" i="95"/>
  <c r="AB1390" i="95"/>
  <c r="AB1389" i="95" s="1"/>
  <c r="Z1369" i="95"/>
  <c r="Y1367" i="95"/>
  <c r="AA1743" i="95"/>
  <c r="Z1741" i="95"/>
  <c r="AD416" i="95"/>
  <c r="AE350" i="95"/>
  <c r="AD252" i="95"/>
  <c r="AD393" i="95"/>
  <c r="AD1638" i="95"/>
  <c r="AC1637" i="95"/>
  <c r="AE1498" i="95"/>
  <c r="AF1499" i="95"/>
  <c r="AF1498" i="95" s="1"/>
  <c r="AE1242" i="95"/>
  <c r="AD1240" i="95"/>
  <c r="AA1319" i="95"/>
  <c r="AB1321" i="95"/>
  <c r="AF1565" i="95"/>
  <c r="AF1562" i="95" s="1"/>
  <c r="AE1562" i="95"/>
  <c r="AF1235" i="95"/>
  <c r="AC1685" i="95"/>
  <c r="AD1687" i="95"/>
  <c r="Z1147" i="95"/>
  <c r="Z1146" i="95" s="1"/>
  <c r="AA1149" i="95"/>
  <c r="AF1092" i="95"/>
  <c r="AF1118" i="95" s="1"/>
  <c r="AF1117" i="95" s="1"/>
  <c r="AE1118" i="95"/>
  <c r="AE1117" i="95" s="1"/>
  <c r="AD1113" i="95"/>
  <c r="AC1111" i="95"/>
  <c r="AE1487" i="95"/>
  <c r="AF1461" i="95"/>
  <c r="AF1459" i="95" s="1"/>
  <c r="AE1459" i="95"/>
  <c r="AD1540" i="95"/>
  <c r="AE1541" i="95"/>
  <c r="AC1597" i="95"/>
  <c r="AB1595" i="95"/>
  <c r="AB1247" i="95"/>
  <c r="AC1249" i="95"/>
  <c r="AB1658" i="95"/>
  <c r="AC1659" i="95"/>
  <c r="AD1512" i="95"/>
  <c r="AC1510" i="95"/>
  <c r="AC1518" i="95"/>
  <c r="AB1516" i="95"/>
  <c r="AD1552" i="95"/>
  <c r="AC1550" i="95"/>
  <c r="AC1549" i="95" s="1"/>
  <c r="AD1289" i="95"/>
  <c r="AC1287" i="95"/>
  <c r="AC1286" i="95" s="1"/>
  <c r="AD1132" i="95"/>
  <c r="AC1130" i="95"/>
  <c r="AC1151" i="95"/>
  <c r="AB1150" i="95"/>
  <c r="Z1640" i="95"/>
  <c r="Z1627" i="95" s="1"/>
  <c r="AD1526" i="95"/>
  <c r="AC1525" i="95"/>
  <c r="AB1696" i="95"/>
  <c r="AA1694" i="95"/>
  <c r="Z1366" i="95"/>
  <c r="Y1364" i="95"/>
  <c r="AB1631" i="95"/>
  <c r="AC1632" i="95"/>
  <c r="AE1568" i="95"/>
  <c r="AD1566" i="95"/>
  <c r="AC1648" i="95"/>
  <c r="AB1646" i="95"/>
  <c r="AC954" i="95"/>
  <c r="Z1360" i="95"/>
  <c r="Y1358" i="95"/>
  <c r="AE1672" i="95"/>
  <c r="AD1607" i="95"/>
  <c r="AC1605" i="95"/>
  <c r="AB1699" i="95"/>
  <c r="AA1697" i="95"/>
  <c r="AB1378" i="95"/>
  <c r="AA1376" i="95"/>
  <c r="AB1189" i="95"/>
  <c r="AB1188" i="95" s="1"/>
  <c r="AC1191" i="95"/>
  <c r="AD1129" i="95"/>
  <c r="AC1127" i="95"/>
  <c r="AC1201" i="95"/>
  <c r="AB1199" i="95"/>
  <c r="AA1237" i="95"/>
  <c r="Z1233" i="95"/>
  <c r="AD1521" i="95"/>
  <c r="AC1519" i="95"/>
  <c r="AC1466" i="95"/>
  <c r="AB1464" i="95"/>
  <c r="AB1453" i="95" s="1"/>
  <c r="AC1488" i="95"/>
  <c r="AB1486" i="95"/>
  <c r="AA1221" i="95"/>
  <c r="Z1217" i="95"/>
  <c r="Z1216" i="95" s="1"/>
  <c r="AE1641" i="95"/>
  <c r="AD1227" i="95"/>
  <c r="AF1502" i="95"/>
  <c r="AA1737" i="95"/>
  <c r="Z1735" i="95"/>
  <c r="AC466" i="95"/>
  <c r="AC1439" i="95"/>
  <c r="AB1437" i="95"/>
  <c r="AA1256" i="95"/>
  <c r="Z1254" i="95"/>
  <c r="AB1444" i="95"/>
  <c r="AC1446" i="95"/>
  <c r="AD1503" i="95"/>
  <c r="AC1501" i="95"/>
  <c r="AA1684" i="95" l="1"/>
  <c r="AA1701" i="95" s="1"/>
  <c r="AA1700" i="95" s="1"/>
  <c r="Z1617" i="95"/>
  <c r="AC1604" i="95"/>
  <c r="AD1544" i="95"/>
  <c r="AD1543" i="95" s="1"/>
  <c r="AD1475" i="95"/>
  <c r="AB1476" i="95"/>
  <c r="AB1427" i="95"/>
  <c r="AC1411" i="95"/>
  <c r="AD1409" i="95"/>
  <c r="Z1080" i="95"/>
  <c r="AA1082" i="95"/>
  <c r="AD849" i="95"/>
  <c r="AA1394" i="95"/>
  <c r="X1625" i="95"/>
  <c r="Y157" i="24" s="1"/>
  <c r="AD182" i="79"/>
  <c r="AC180" i="79"/>
  <c r="AC176" i="79" s="1"/>
  <c r="AC156" i="79" s="1"/>
  <c r="Z1095" i="95"/>
  <c r="AD950" i="95"/>
  <c r="AD1004" i="95"/>
  <c r="AD1016" i="95" s="1"/>
  <c r="AD994" i="95"/>
  <c r="AD984" i="95"/>
  <c r="AE933" i="95"/>
  <c r="AD963" i="95"/>
  <c r="AE754" i="95"/>
  <c r="AD767" i="95"/>
  <c r="AC1449" i="95"/>
  <c r="AB1447" i="95"/>
  <c r="AB1440" i="95" s="1"/>
  <c r="AB1451" i="95" s="1"/>
  <c r="AB1450" i="95" s="1"/>
  <c r="AE1644" i="95"/>
  <c r="AD1643" i="95"/>
  <c r="AC1344" i="95"/>
  <c r="AB1342" i="95"/>
  <c r="Z1232" i="95"/>
  <c r="Z1215" i="95" s="1"/>
  <c r="Z1283" i="95" s="1"/>
  <c r="Z1282" i="95" s="1"/>
  <c r="Y1300" i="95"/>
  <c r="Y1285" i="95" s="1"/>
  <c r="AD1165" i="95"/>
  <c r="AA1100" i="95"/>
  <c r="X1083" i="95"/>
  <c r="Y154" i="24" s="1"/>
  <c r="AE439" i="95"/>
  <c r="AE446" i="95"/>
  <c r="AF432" i="95"/>
  <c r="AE452" i="95"/>
  <c r="AC1103" i="95"/>
  <c r="AB1101" i="95"/>
  <c r="AE1536" i="95"/>
  <c r="AD1534" i="95"/>
  <c r="AA1305" i="95"/>
  <c r="Z1301" i="95"/>
  <c r="AD1524" i="95"/>
  <c r="AC1522" i="95"/>
  <c r="AA1070" i="95"/>
  <c r="Z1066" i="95"/>
  <c r="AA1602" i="95"/>
  <c r="AA1601" i="95" s="1"/>
  <c r="Y1474" i="95"/>
  <c r="Z156" i="24" s="1"/>
  <c r="AA1311" i="95"/>
  <c r="Z1307" i="95"/>
  <c r="AC1180" i="95"/>
  <c r="AC1179" i="95" s="1"/>
  <c r="AD1181" i="95"/>
  <c r="AE1169" i="95"/>
  <c r="AF1171" i="95"/>
  <c r="AF1169" i="95" s="1"/>
  <c r="AF1109" i="95"/>
  <c r="AF1107" i="95" s="1"/>
  <c r="AE1107" i="95"/>
  <c r="AD1676" i="95"/>
  <c r="AC1674" i="95"/>
  <c r="AC1600" i="95"/>
  <c r="AB1598" i="95"/>
  <c r="AB1594" i="95" s="1"/>
  <c r="Y1357" i="95"/>
  <c r="Y1348" i="95" s="1"/>
  <c r="AB1395" i="95"/>
  <c r="AB1394" i="95" s="1"/>
  <c r="AE1539" i="95"/>
  <c r="AD1537" i="95"/>
  <c r="Z1732" i="95"/>
  <c r="Y1728" i="95"/>
  <c r="Y1703" i="95" s="1"/>
  <c r="AD1195" i="95"/>
  <c r="AC1193" i="95"/>
  <c r="AE1540" i="95"/>
  <c r="AF1541" i="95"/>
  <c r="AF1540" i="95" s="1"/>
  <c r="AE1240" i="95"/>
  <c r="AF1242" i="95"/>
  <c r="AF1240" i="95" s="1"/>
  <c r="AB1743" i="95"/>
  <c r="AA1741" i="95"/>
  <c r="AD1198" i="95"/>
  <c r="AC1196" i="95"/>
  <c r="AD1406" i="95"/>
  <c r="AE1392" i="95"/>
  <c r="AE1477" i="95"/>
  <c r="AF1478" i="95"/>
  <c r="AF1477" i="95" s="1"/>
  <c r="AC1677" i="95"/>
  <c r="AD1678" i="95"/>
  <c r="AE1503" i="95"/>
  <c r="AD1501" i="95"/>
  <c r="AE1638" i="95"/>
  <c r="AD1637" i="95"/>
  <c r="AE757" i="95"/>
  <c r="AD796" i="95"/>
  <c r="AD837" i="95"/>
  <c r="AD827" i="95"/>
  <c r="AD783" i="95"/>
  <c r="AD817" i="95"/>
  <c r="AD1657" i="95"/>
  <c r="AC1655" i="95"/>
  <c r="AF1529" i="95"/>
  <c r="AF1528" i="95" s="1"/>
  <c r="AE1528" i="95"/>
  <c r="AD1446" i="95"/>
  <c r="AC1444" i="95"/>
  <c r="AB1737" i="95"/>
  <c r="AA1735" i="95"/>
  <c r="AD1191" i="95"/>
  <c r="AC1189" i="95"/>
  <c r="AC1188" i="95" s="1"/>
  <c r="AA1079" i="95"/>
  <c r="Z1077" i="95"/>
  <c r="AC1739" i="95"/>
  <c r="AC1738" i="95" s="1"/>
  <c r="AC1688" i="95"/>
  <c r="AC1711" i="95"/>
  <c r="AC1710" i="95" s="1"/>
  <c r="AD1689" i="95"/>
  <c r="AD1626" i="95" s="1"/>
  <c r="AC1666" i="95"/>
  <c r="AC1665" i="95" s="1"/>
  <c r="AF1211" i="95"/>
  <c r="AF1209" i="95" s="1"/>
  <c r="AE1209" i="95"/>
  <c r="AD1391" i="95"/>
  <c r="AC1407" i="95"/>
  <c r="AC1390" i="95"/>
  <c r="AC1389" i="95" s="1"/>
  <c r="AC1174" i="95"/>
  <c r="AC1173" i="95" s="1"/>
  <c r="AD1177" i="95"/>
  <c r="AC1184" i="95"/>
  <c r="AC1183" i="95" s="1"/>
  <c r="AB1623" i="95"/>
  <c r="AA1621" i="95"/>
  <c r="AF1472" i="95"/>
  <c r="AF1470" i="95" s="1"/>
  <c r="AF1469" i="95" s="1"/>
  <c r="AE1470" i="95"/>
  <c r="AE1469" i="95" s="1"/>
  <c r="AB1352" i="95"/>
  <c r="AA1350" i="95"/>
  <c r="AA1349" i="95" s="1"/>
  <c r="AB1278" i="95"/>
  <c r="AC1280" i="95"/>
  <c r="AE1129" i="95"/>
  <c r="AD1127" i="95"/>
  <c r="AA1640" i="95"/>
  <c r="AA1627" i="95" s="1"/>
  <c r="AD1597" i="95"/>
  <c r="AC1595" i="95"/>
  <c r="AC1708" i="95"/>
  <c r="AB1704" i="95"/>
  <c r="AB1730" i="95"/>
  <c r="AC1434" i="95"/>
  <c r="AD1435" i="95"/>
  <c r="AA1372" i="95"/>
  <c r="Z1370" i="95"/>
  <c r="AE1309" i="95"/>
  <c r="AD1416" i="95"/>
  <c r="AF753" i="95"/>
  <c r="AF764" i="95" s="1"/>
  <c r="AE764" i="95"/>
  <c r="AE1480" i="95"/>
  <c r="AF1481" i="95"/>
  <c r="AF1480" i="95" s="1"/>
  <c r="AD1419" i="95"/>
  <c r="AC1418" i="95"/>
  <c r="AC1417" i="95" s="1"/>
  <c r="AD954" i="95"/>
  <c r="AD1151" i="95"/>
  <c r="AC1150" i="95"/>
  <c r="AE1512" i="95"/>
  <c r="AD1510" i="95"/>
  <c r="AE1337" i="95"/>
  <c r="AF1339" i="95"/>
  <c r="AF1337" i="95" s="1"/>
  <c r="AC1126" i="95"/>
  <c r="AB1124" i="95"/>
  <c r="AB1121" i="95"/>
  <c r="AC1123" i="95"/>
  <c r="AC1106" i="95"/>
  <c r="AB1104" i="95"/>
  <c r="AE1428" i="95"/>
  <c r="AF1429" i="95"/>
  <c r="AF1428" i="95" s="1"/>
  <c r="AC1134" i="95"/>
  <c r="AC1133" i="95" s="1"/>
  <c r="AD1136" i="95"/>
  <c r="AA1356" i="95"/>
  <c r="Z1354" i="95"/>
  <c r="Z1353" i="95" s="1"/>
  <c r="AE1205" i="95"/>
  <c r="AD1203" i="95"/>
  <c r="AD466" i="95"/>
  <c r="AE1599" i="95"/>
  <c r="AD1622" i="95"/>
  <c r="AD1612" i="95"/>
  <c r="AD1611" i="95" s="1"/>
  <c r="AD1489" i="95"/>
  <c r="AB1141" i="95"/>
  <c r="AB1140" i="95" s="1"/>
  <c r="AC1143" i="95"/>
  <c r="AE1717" i="95"/>
  <c r="AE1716" i="95" s="1"/>
  <c r="AF1692" i="95"/>
  <c r="AE1742" i="95"/>
  <c r="AE1691" i="95"/>
  <c r="AD1466" i="95"/>
  <c r="AC1464" i="95"/>
  <c r="AC1453" i="95" s="1"/>
  <c r="AC1699" i="95"/>
  <c r="AB1697" i="95"/>
  <c r="AD1632" i="95"/>
  <c r="AC1631" i="95"/>
  <c r="AC1658" i="95"/>
  <c r="AD1659" i="95"/>
  <c r="AC1321" i="95"/>
  <c r="AB1319" i="95"/>
  <c r="AE1682" i="95"/>
  <c r="AD1681" i="95"/>
  <c r="AD1680" i="95" s="1"/>
  <c r="AF1089" i="95"/>
  <c r="AF1105" i="95" s="1"/>
  <c r="AE1105" i="95"/>
  <c r="AD1635" i="95"/>
  <c r="AC1634" i="95"/>
  <c r="AA1120" i="95"/>
  <c r="AC1159" i="95"/>
  <c r="AB1157" i="95"/>
  <c r="AB1156" i="95" s="1"/>
  <c r="Z1030" i="95"/>
  <c r="AA1024" i="95"/>
  <c r="AC1263" i="95"/>
  <c r="AB1261" i="95"/>
  <c r="AA1363" i="95"/>
  <c r="Z1361" i="95"/>
  <c r="AE1166" i="95"/>
  <c r="AF1168" i="95"/>
  <c r="AF1166" i="95" s="1"/>
  <c r="AC1206" i="95"/>
  <c r="AC1202" i="95" s="1"/>
  <c r="AC1415" i="95"/>
  <c r="AC1414" i="95" s="1"/>
  <c r="AC1413" i="95" s="1"/>
  <c r="AC1396" i="95"/>
  <c r="AC1425" i="95"/>
  <c r="AC1424" i="95" s="1"/>
  <c r="AC1387" i="95"/>
  <c r="AC1386" i="95" s="1"/>
  <c r="AC1385" i="95" s="1"/>
  <c r="AD1383" i="95"/>
  <c r="AF1487" i="95"/>
  <c r="AE1277" i="95"/>
  <c r="AD1275" i="95"/>
  <c r="AB1221" i="95"/>
  <c r="AA1217" i="95"/>
  <c r="AA1216" i="95" s="1"/>
  <c r="AC1378" i="95"/>
  <c r="AB1376" i="95"/>
  <c r="AE1508" i="95"/>
  <c r="AD1507" i="95"/>
  <c r="AA1254" i="95"/>
  <c r="AB1256" i="95"/>
  <c r="AD1673" i="95"/>
  <c r="AC1671" i="95"/>
  <c r="AE1566" i="95"/>
  <c r="AF1568" i="95"/>
  <c r="AF1566" i="95" s="1"/>
  <c r="AD1518" i="95"/>
  <c r="AC1516" i="95"/>
  <c r="AA1147" i="95"/>
  <c r="AA1146" i="95" s="1"/>
  <c r="AB1149" i="95"/>
  <c r="AD1201" i="95"/>
  <c r="AC1199" i="95"/>
  <c r="AA1360" i="95"/>
  <c r="Z1358" i="95"/>
  <c r="AD1268" i="95"/>
  <c r="AE1270" i="95"/>
  <c r="AB1313" i="95"/>
  <c r="AC1315" i="95"/>
  <c r="AC1116" i="95"/>
  <c r="AB1114" i="95"/>
  <c r="AB1110" i="95" s="1"/>
  <c r="AD1662" i="95"/>
  <c r="AC1661" i="95"/>
  <c r="AE1456" i="95"/>
  <c r="AD1454" i="95"/>
  <c r="AD1525" i="95"/>
  <c r="AE1526" i="95"/>
  <c r="AE1113" i="95"/>
  <c r="AD1111" i="95"/>
  <c r="AF1219" i="95"/>
  <c r="AD1753" i="95"/>
  <c r="AC1751" i="95"/>
  <c r="AD158" i="24" s="1"/>
  <c r="AC1047" i="95"/>
  <c r="AD1049" i="95"/>
  <c r="AE1289" i="95"/>
  <c r="AD1287" i="95"/>
  <c r="AD1286" i="95" s="1"/>
  <c r="AF1333" i="95"/>
  <c r="AF1331" i="95" s="1"/>
  <c r="AE1331" i="95"/>
  <c r="AF1584" i="95"/>
  <c r="AF1582" i="95" s="1"/>
  <c r="AE1582" i="95"/>
  <c r="AB1172" i="95"/>
  <c r="AD1504" i="95"/>
  <c r="AE1505" i="95"/>
  <c r="AB1237" i="95"/>
  <c r="AA1233" i="95"/>
  <c r="AE1607" i="95"/>
  <c r="AD1605" i="95"/>
  <c r="AA1366" i="95"/>
  <c r="Z1364" i="95"/>
  <c r="AE1652" i="95"/>
  <c r="AF1653" i="95"/>
  <c r="AF1652" i="95" s="1"/>
  <c r="AD1550" i="95"/>
  <c r="AD1549" i="95" s="1"/>
  <c r="AE1552" i="95"/>
  <c r="AF1490" i="95"/>
  <c r="AA1076" i="95"/>
  <c r="AD1492" i="95"/>
  <c r="AE1493" i="95"/>
  <c r="AA1746" i="95"/>
  <c r="Z1744" i="95"/>
  <c r="Z1734" i="95" s="1"/>
  <c r="AD1533" i="95"/>
  <c r="AC1531" i="95"/>
  <c r="AE1036" i="95"/>
  <c r="AE755" i="95"/>
  <c r="AD770" i="95"/>
  <c r="AD1164" i="95"/>
  <c r="AC1162" i="95"/>
  <c r="AC1161" i="95" s="1"/>
  <c r="AC1160" i="95" s="1"/>
  <c r="AE1227" i="95"/>
  <c r="AD1488" i="95"/>
  <c r="AC1486" i="95"/>
  <c r="AE1629" i="95"/>
  <c r="AD1628" i="95"/>
  <c r="AD1439" i="95"/>
  <c r="AC1437" i="95"/>
  <c r="AF1672" i="95"/>
  <c r="AE1132" i="95"/>
  <c r="AD1130" i="95"/>
  <c r="AA1669" i="95"/>
  <c r="AA1668" i="95" s="1"/>
  <c r="AA1664" i="95" s="1"/>
  <c r="AD1685" i="95"/>
  <c r="AE1687" i="95"/>
  <c r="AA1369" i="95"/>
  <c r="Z1367" i="95"/>
  <c r="AF1327" i="95"/>
  <c r="AF1325" i="95" s="1"/>
  <c r="AE1325" i="95"/>
  <c r="AC1441" i="95"/>
  <c r="AD1443" i="95"/>
  <c r="AB1229" i="95"/>
  <c r="AA1225" i="95"/>
  <c r="AA1224" i="95" s="1"/>
  <c r="AD1649" i="95"/>
  <c r="AE1650" i="95"/>
  <c r="AC1303" i="95"/>
  <c r="AD1748" i="95"/>
  <c r="AD1747" i="95" s="1"/>
  <c r="AD1729" i="95"/>
  <c r="AE1698" i="95"/>
  <c r="AE1592" i="95"/>
  <c r="AD1591" i="95"/>
  <c r="AD1590" i="95" s="1"/>
  <c r="AB1620" i="95"/>
  <c r="AA1618" i="95"/>
  <c r="AF1641" i="95"/>
  <c r="AE1521" i="95"/>
  <c r="AD1519" i="95"/>
  <c r="AD1648" i="95"/>
  <c r="AC1646" i="95"/>
  <c r="AC1696" i="95"/>
  <c r="AB1694" i="95"/>
  <c r="AC1247" i="95"/>
  <c r="AD1249" i="95"/>
  <c r="AE393" i="95"/>
  <c r="AF350" i="95"/>
  <c r="AE252" i="95"/>
  <c r="AE416" i="95"/>
  <c r="AE1214" i="95"/>
  <c r="AD1212" i="95"/>
  <c r="AB1375" i="95"/>
  <c r="AA1373" i="95"/>
  <c r="AE1515" i="95"/>
  <c r="AD1513" i="95"/>
  <c r="AB1192" i="95"/>
  <c r="AB1187" i="95" s="1"/>
  <c r="AF1647" i="95"/>
  <c r="AD1495" i="95"/>
  <c r="AE1496" i="95"/>
  <c r="AD1099" i="95"/>
  <c r="AC1097" i="95"/>
  <c r="AC1096" i="95" s="1"/>
  <c r="AB1684" i="95" l="1"/>
  <c r="AB1701" i="95" s="1"/>
  <c r="AB1700" i="95" s="1"/>
  <c r="AD1604" i="95"/>
  <c r="AA1617" i="95"/>
  <c r="AC1476" i="95"/>
  <c r="AE1544" i="95"/>
  <c r="AE1543" i="95" s="1"/>
  <c r="AE1475" i="95"/>
  <c r="AC1427" i="95"/>
  <c r="AD1411" i="95"/>
  <c r="AE1409" i="95"/>
  <c r="AA1080" i="95"/>
  <c r="AB1082" i="95"/>
  <c r="AE849" i="95"/>
  <c r="AE182" i="79"/>
  <c r="AD180" i="79"/>
  <c r="AD176" i="79" s="1"/>
  <c r="AD156" i="79" s="1"/>
  <c r="AC1447" i="95"/>
  <c r="AC1440" i="95" s="1"/>
  <c r="AC1451" i="95" s="1"/>
  <c r="AC1450" i="95" s="1"/>
  <c r="AD1449" i="95"/>
  <c r="AF754" i="95"/>
  <c r="AF767" i="95" s="1"/>
  <c r="AE767" i="95"/>
  <c r="AE950" i="95"/>
  <c r="AE1004" i="95"/>
  <c r="AE1016" i="95" s="1"/>
  <c r="AE994" i="95"/>
  <c r="AE984" i="95"/>
  <c r="AF933" i="95"/>
  <c r="AE963" i="95"/>
  <c r="AB1401" i="95"/>
  <c r="AB1400" i="95" s="1"/>
  <c r="AD1344" i="95"/>
  <c r="AC1342" i="95"/>
  <c r="AA1232" i="95"/>
  <c r="AA1215" i="95" s="1"/>
  <c r="AA1283" i="95" s="1"/>
  <c r="AA1282" i="95" s="1"/>
  <c r="AF1644" i="95"/>
  <c r="AF1643" i="95" s="1"/>
  <c r="AE1643" i="95"/>
  <c r="AA1095" i="95"/>
  <c r="Z1300" i="95"/>
  <c r="Z1285" i="95" s="1"/>
  <c r="Y1083" i="95"/>
  <c r="Z154" i="24" s="1"/>
  <c r="AB1602" i="95"/>
  <c r="AB1601" i="95" s="1"/>
  <c r="AF1165" i="95"/>
  <c r="AE1165" i="95"/>
  <c r="AB1100" i="95"/>
  <c r="Y1625" i="95"/>
  <c r="Z157" i="24" s="1"/>
  <c r="AF452" i="95"/>
  <c r="AF439" i="95"/>
  <c r="AF446" i="95"/>
  <c r="AD1103" i="95"/>
  <c r="AC1101" i="95"/>
  <c r="AB1311" i="95"/>
  <c r="AA1307" i="95"/>
  <c r="AB1070" i="95"/>
  <c r="AA1066" i="95"/>
  <c r="AE1676" i="95"/>
  <c r="AD1674" i="95"/>
  <c r="AB1120" i="95"/>
  <c r="Z1474" i="95"/>
  <c r="AA156" i="24" s="1"/>
  <c r="AA1732" i="95"/>
  <c r="Z1728" i="95"/>
  <c r="Z1703" i="95" s="1"/>
  <c r="AE1524" i="95"/>
  <c r="AD1522" i="95"/>
  <c r="AE1195" i="95"/>
  <c r="AD1193" i="95"/>
  <c r="AF1536" i="95"/>
  <c r="AF1534" i="95" s="1"/>
  <c r="AE1534" i="95"/>
  <c r="AF1539" i="95"/>
  <c r="AF1537" i="95" s="1"/>
  <c r="AE1537" i="95"/>
  <c r="AB1305" i="95"/>
  <c r="AA1301" i="95"/>
  <c r="AE1181" i="95"/>
  <c r="AD1180" i="95"/>
  <c r="AD1179" i="95" s="1"/>
  <c r="AD1600" i="95"/>
  <c r="AC1598" i="95"/>
  <c r="AC1594" i="95" s="1"/>
  <c r="AB1147" i="95"/>
  <c r="AB1146" i="95" s="1"/>
  <c r="AC1149" i="95"/>
  <c r="AC1730" i="95"/>
  <c r="AE1659" i="95"/>
  <c r="AD1658" i="95"/>
  <c r="AD1708" i="95"/>
  <c r="AC1704" i="95"/>
  <c r="AB1640" i="95"/>
  <c r="AB1627" i="95" s="1"/>
  <c r="AD1184" i="95"/>
  <c r="AD1183" i="95" s="1"/>
  <c r="AD1174" i="95"/>
  <c r="AD1173" i="95" s="1"/>
  <c r="AE1177" i="95"/>
  <c r="AF1521" i="95"/>
  <c r="AF1519" i="95" s="1"/>
  <c r="AE1519" i="95"/>
  <c r="AD1303" i="95"/>
  <c r="AE1628" i="95"/>
  <c r="AF1629" i="95"/>
  <c r="AF1628" i="95" s="1"/>
  <c r="AE1518" i="95"/>
  <c r="AD1516" i="95"/>
  <c r="AC1737" i="95"/>
  <c r="AB1735" i="95"/>
  <c r="AE1488" i="95"/>
  <c r="AD1486" i="95"/>
  <c r="AB1360" i="95"/>
  <c r="AA1358" i="95"/>
  <c r="AD1123" i="95"/>
  <c r="AC1121" i="95"/>
  <c r="AB1372" i="95"/>
  <c r="AA1370" i="95"/>
  <c r="AF1036" i="95"/>
  <c r="AD1661" i="95"/>
  <c r="AE1662" i="95"/>
  <c r="AD1415" i="95"/>
  <c r="AD1414" i="95" s="1"/>
  <c r="AD1413" i="95" s="1"/>
  <c r="AD1425" i="95"/>
  <c r="AD1424" i="95" s="1"/>
  <c r="AE1383" i="95"/>
  <c r="AD1396" i="95"/>
  <c r="AD1387" i="95"/>
  <c r="AD1386" i="95" s="1"/>
  <c r="AD1385" i="95" s="1"/>
  <c r="AE1446" i="95"/>
  <c r="AD1444" i="95"/>
  <c r="AE1637" i="95"/>
  <c r="AF1638" i="95"/>
  <c r="AF1637" i="95" s="1"/>
  <c r="AF1650" i="95"/>
  <c r="AF1649" i="95" s="1"/>
  <c r="AE1649" i="95"/>
  <c r="AB1669" i="95"/>
  <c r="AB1668" i="95" s="1"/>
  <c r="AB1664" i="95" s="1"/>
  <c r="AD1047" i="95"/>
  <c r="AE1049" i="95"/>
  <c r="AD1116" i="95"/>
  <c r="AC1114" i="95"/>
  <c r="AC1110" i="95" s="1"/>
  <c r="AD1378" i="95"/>
  <c r="AC1376" i="95"/>
  <c r="AF1129" i="95"/>
  <c r="AF1127" i="95" s="1"/>
  <c r="AE1127" i="95"/>
  <c r="AF1505" i="95"/>
  <c r="AF1504" i="95" s="1"/>
  <c r="AE1504" i="95"/>
  <c r="AC1256" i="95"/>
  <c r="AB1254" i="95"/>
  <c r="AB1024" i="95"/>
  <c r="AB1356" i="95"/>
  <c r="AA1354" i="95"/>
  <c r="AA1353" i="95" s="1"/>
  <c r="AD1126" i="95"/>
  <c r="AC1124" i="95"/>
  <c r="AC1278" i="95"/>
  <c r="AD1280" i="95"/>
  <c r="AD1655" i="95"/>
  <c r="AE1657" i="95"/>
  <c r="AE1533" i="95"/>
  <c r="AD1531" i="95"/>
  <c r="AB1076" i="95"/>
  <c r="AA1364" i="95"/>
  <c r="AB1366" i="95"/>
  <c r="AF1113" i="95"/>
  <c r="AF1111" i="95" s="1"/>
  <c r="AE1111" i="95"/>
  <c r="AC1221" i="95"/>
  <c r="AB1217" i="95"/>
  <c r="AB1216" i="95" s="1"/>
  <c r="AC1395" i="95"/>
  <c r="AD1321" i="95"/>
  <c r="AC1319" i="95"/>
  <c r="AE1136" i="95"/>
  <c r="AD1134" i="95"/>
  <c r="AD1133" i="95" s="1"/>
  <c r="AD1150" i="95"/>
  <c r="AE1151" i="95"/>
  <c r="AE1191" i="95"/>
  <c r="AD1189" i="95"/>
  <c r="AD1188" i="95" s="1"/>
  <c r="AF1526" i="95"/>
  <c r="AF1525" i="95" s="1"/>
  <c r="AE1525" i="95"/>
  <c r="AE954" i="95"/>
  <c r="AF1456" i="95"/>
  <c r="AF1454" i="95" s="1"/>
  <c r="AE1454" i="95"/>
  <c r="AE1099" i="95"/>
  <c r="AD1097" i="95"/>
  <c r="AD1096" i="95" s="1"/>
  <c r="AC1237" i="95"/>
  <c r="AB1233" i="95"/>
  <c r="AB1363" i="95"/>
  <c r="AA1361" i="95"/>
  <c r="AF1392" i="95"/>
  <c r="AF1406" i="95" s="1"/>
  <c r="AE1406" i="95"/>
  <c r="AD1263" i="95"/>
  <c r="AC1261" i="95"/>
  <c r="AE1201" i="95"/>
  <c r="AD1199" i="95"/>
  <c r="AF1717" i="95"/>
  <c r="AF1716" i="95" s="1"/>
  <c r="AF1742" i="95"/>
  <c r="AF1691" i="95"/>
  <c r="AE1198" i="95"/>
  <c r="AD1196" i="95"/>
  <c r="AC1743" i="95"/>
  <c r="AB1741" i="95"/>
  <c r="AC1375" i="95"/>
  <c r="AB1373" i="95"/>
  <c r="AD1315" i="95"/>
  <c r="AC1313" i="95"/>
  <c r="AE1622" i="95"/>
  <c r="AF1599" i="95"/>
  <c r="AE1489" i="95"/>
  <c r="AE1612" i="95"/>
  <c r="AE1611" i="95" s="1"/>
  <c r="AE1164" i="95"/>
  <c r="AD1162" i="95"/>
  <c r="AD1161" i="95" s="1"/>
  <c r="AD1160" i="95" s="1"/>
  <c r="AE1416" i="95"/>
  <c r="AE1597" i="95"/>
  <c r="AD1595" i="95"/>
  <c r="AC1623" i="95"/>
  <c r="AB1621" i="95"/>
  <c r="AF1508" i="95"/>
  <c r="AF1507" i="95" s="1"/>
  <c r="AE1507" i="95"/>
  <c r="AF1682" i="95"/>
  <c r="AF1681" i="95" s="1"/>
  <c r="AF1680" i="95" s="1"/>
  <c r="AE1681" i="95"/>
  <c r="AE1680" i="95" s="1"/>
  <c r="AF1205" i="95"/>
  <c r="AF1203" i="95" s="1"/>
  <c r="AE1203" i="95"/>
  <c r="AH1469" i="95"/>
  <c r="AE796" i="95"/>
  <c r="AE827" i="95"/>
  <c r="AE817" i="95"/>
  <c r="AE783" i="95"/>
  <c r="AE837" i="95"/>
  <c r="AF757" i="95"/>
  <c r="AD1106" i="95"/>
  <c r="AC1104" i="95"/>
  <c r="AF1309" i="95"/>
  <c r="AF1503" i="95"/>
  <c r="AF1501" i="95" s="1"/>
  <c r="AE1501" i="95"/>
  <c r="AF1214" i="95"/>
  <c r="AF1212" i="95" s="1"/>
  <c r="AE1212" i="95"/>
  <c r="AC1172" i="95"/>
  <c r="AD1711" i="95"/>
  <c r="AD1710" i="95" s="1"/>
  <c r="AE1689" i="95"/>
  <c r="AE1626" i="95" s="1"/>
  <c r="AD1739" i="95"/>
  <c r="AD1738" i="95" s="1"/>
  <c r="AD1666" i="95"/>
  <c r="AD1665" i="95" s="1"/>
  <c r="AD1688" i="95"/>
  <c r="AE1678" i="95"/>
  <c r="AD1677" i="95"/>
  <c r="AF1515" i="95"/>
  <c r="AF1513" i="95" s="1"/>
  <c r="AE1513" i="95"/>
  <c r="AE1443" i="95"/>
  <c r="AD1441" i="95"/>
  <c r="AE770" i="95"/>
  <c r="AF755" i="95"/>
  <c r="AF770" i="95" s="1"/>
  <c r="AF1277" i="95"/>
  <c r="AF1275" i="95" s="1"/>
  <c r="AE1275" i="95"/>
  <c r="AD1631" i="95"/>
  <c r="AE1632" i="95"/>
  <c r="AD1407" i="95"/>
  <c r="AD1390" i="95"/>
  <c r="AD1389" i="95" s="1"/>
  <c r="AE1391" i="95"/>
  <c r="AE1249" i="95"/>
  <c r="AD1247" i="95"/>
  <c r="AE1648" i="95"/>
  <c r="AD1646" i="95"/>
  <c r="AF1592" i="95"/>
  <c r="AF1591" i="95" s="1"/>
  <c r="AF1590" i="95" s="1"/>
  <c r="AE1591" i="95"/>
  <c r="AE1590" i="95" s="1"/>
  <c r="AB1369" i="95"/>
  <c r="AA1367" i="95"/>
  <c r="AF1227" i="95"/>
  <c r="AF1289" i="95"/>
  <c r="AF1287" i="95" s="1"/>
  <c r="AF1286" i="95" s="1"/>
  <c r="AE1287" i="95"/>
  <c r="AE1286" i="95" s="1"/>
  <c r="AE1435" i="95"/>
  <c r="AD1434" i="95"/>
  <c r="AF416" i="95"/>
  <c r="AF252" i="95"/>
  <c r="AF393" i="95"/>
  <c r="AE1748" i="95"/>
  <c r="AE1747" i="95" s="1"/>
  <c r="AF1698" i="95"/>
  <c r="AE1729" i="95"/>
  <c r="AF1132" i="95"/>
  <c r="AF1130" i="95" s="1"/>
  <c r="AE1130" i="95"/>
  <c r="AD1699" i="95"/>
  <c r="AC1697" i="95"/>
  <c r="AF1512" i="95"/>
  <c r="AF1510" i="95" s="1"/>
  <c r="AE1510" i="95"/>
  <c r="AD1418" i="95"/>
  <c r="AD1417" i="95" s="1"/>
  <c r="AE1419" i="95"/>
  <c r="AD1634" i="95"/>
  <c r="AE1635" i="95"/>
  <c r="AF1496" i="95"/>
  <c r="AF1495" i="95" s="1"/>
  <c r="AE1495" i="95"/>
  <c r="AC1229" i="95"/>
  <c r="AB1225" i="95"/>
  <c r="AB1224" i="95" s="1"/>
  <c r="AF1687" i="95"/>
  <c r="AF1685" i="95" s="1"/>
  <c r="AE1685" i="95"/>
  <c r="AE1753" i="95"/>
  <c r="AD1751" i="95"/>
  <c r="AE158" i="24" s="1"/>
  <c r="AD1696" i="95"/>
  <c r="AC1694" i="95"/>
  <c r="AB1746" i="95"/>
  <c r="AA1744" i="95"/>
  <c r="AA1734" i="95" s="1"/>
  <c r="AE1605" i="95"/>
  <c r="AF1607" i="95"/>
  <c r="AF1605" i="95" s="1"/>
  <c r="AE1466" i="95"/>
  <c r="AD1464" i="95"/>
  <c r="AD1453" i="95" s="1"/>
  <c r="AD1143" i="95"/>
  <c r="AC1141" i="95"/>
  <c r="AC1140" i="95" s="1"/>
  <c r="AE466" i="95"/>
  <c r="AC1352" i="95"/>
  <c r="AB1350" i="95"/>
  <c r="AB1349" i="95" s="1"/>
  <c r="AB1079" i="95"/>
  <c r="AA1077" i="95"/>
  <c r="AA1030" i="95"/>
  <c r="Z1357" i="95"/>
  <c r="Z1348" i="95" s="1"/>
  <c r="AD1159" i="95"/>
  <c r="AC1157" i="95"/>
  <c r="AC1156" i="95" s="1"/>
  <c r="AC1192" i="95"/>
  <c r="AC1187" i="95" s="1"/>
  <c r="AC1620" i="95"/>
  <c r="AB1618" i="95"/>
  <c r="AE1439" i="95"/>
  <c r="AD1437" i="95"/>
  <c r="AE1492" i="95"/>
  <c r="AF1493" i="95"/>
  <c r="AF1492" i="95" s="1"/>
  <c r="AF1552" i="95"/>
  <c r="AF1550" i="95" s="1"/>
  <c r="AF1549" i="95" s="1"/>
  <c r="AE1550" i="95"/>
  <c r="AE1549" i="95" s="1"/>
  <c r="AE1268" i="95"/>
  <c r="AF1270" i="95"/>
  <c r="AF1268" i="95" s="1"/>
  <c r="AE1673" i="95"/>
  <c r="AD1671" i="95"/>
  <c r="AD1206" i="95"/>
  <c r="AD1202" i="95" s="1"/>
  <c r="AB1617" i="95" l="1"/>
  <c r="AC1684" i="95"/>
  <c r="AC1701" i="95" s="1"/>
  <c r="AC1700" i="95" s="1"/>
  <c r="AE1604" i="95"/>
  <c r="AF1544" i="95"/>
  <c r="AF1543" i="95" s="1"/>
  <c r="AF1475" i="95"/>
  <c r="AD1476" i="95"/>
  <c r="AD1427" i="95"/>
  <c r="AE1411" i="95"/>
  <c r="AF1409" i="95"/>
  <c r="AF1411" i="95" s="1"/>
  <c r="AB1080" i="95"/>
  <c r="AC1082" i="95"/>
  <c r="AF849" i="95"/>
  <c r="AF182" i="79"/>
  <c r="AF180" i="79" s="1"/>
  <c r="AF176" i="79" s="1"/>
  <c r="AF156" i="79" s="1"/>
  <c r="AE180" i="79"/>
  <c r="AE176" i="79" s="1"/>
  <c r="AE156" i="79" s="1"/>
  <c r="AA1300" i="95"/>
  <c r="AA1285" i="95" s="1"/>
  <c r="AF950" i="95"/>
  <c r="AF963" i="95"/>
  <c r="AF1004" i="95"/>
  <c r="AF1016" i="95" s="1"/>
  <c r="AF984" i="95"/>
  <c r="AF994" i="95"/>
  <c r="AD1447" i="95"/>
  <c r="AD1440" i="95" s="1"/>
  <c r="AD1451" i="95" s="1"/>
  <c r="AD1450" i="95" s="1"/>
  <c r="AE1449" i="95"/>
  <c r="AB1232" i="95"/>
  <c r="AB1215" i="95" s="1"/>
  <c r="AD1342" i="95"/>
  <c r="AE1344" i="95"/>
  <c r="AB1095" i="95"/>
  <c r="Z1625" i="95"/>
  <c r="AA157" i="24" s="1"/>
  <c r="AA1474" i="95"/>
  <c r="AB156" i="24" s="1"/>
  <c r="AC1100" i="95"/>
  <c r="Z1083" i="95"/>
  <c r="AA154" i="24" s="1"/>
  <c r="AD1172" i="95"/>
  <c r="AD1101" i="95"/>
  <c r="AE1103" i="95"/>
  <c r="AE1600" i="95"/>
  <c r="AD1598" i="95"/>
  <c r="AD1594" i="95" s="1"/>
  <c r="AF1676" i="95"/>
  <c r="AF1674" i="95" s="1"/>
  <c r="AE1674" i="95"/>
  <c r="AC1120" i="95"/>
  <c r="AF1195" i="95"/>
  <c r="AF1193" i="95" s="1"/>
  <c r="AE1193" i="95"/>
  <c r="AE1522" i="95"/>
  <c r="AF1524" i="95"/>
  <c r="AF1522" i="95" s="1"/>
  <c r="AC1305" i="95"/>
  <c r="AB1301" i="95"/>
  <c r="AC1602" i="95"/>
  <c r="AC1601" i="95" s="1"/>
  <c r="AE1180" i="95"/>
  <c r="AE1179" i="95" s="1"/>
  <c r="AF1181" i="95"/>
  <c r="AF1180" i="95" s="1"/>
  <c r="AF1179" i="95" s="1"/>
  <c r="AC1070" i="95"/>
  <c r="AB1066" i="95"/>
  <c r="AC1311" i="95"/>
  <c r="AB1307" i="95"/>
  <c r="AB1732" i="95"/>
  <c r="AA1728" i="95"/>
  <c r="AA1703" i="95" s="1"/>
  <c r="AD1192" i="95"/>
  <c r="AD1187" i="95" s="1"/>
  <c r="AF1446" i="95"/>
  <c r="AF1444" i="95" s="1"/>
  <c r="AE1444" i="95"/>
  <c r="AE1143" i="95"/>
  <c r="AD1141" i="95"/>
  <c r="AD1140" i="95" s="1"/>
  <c r="AE1699" i="95"/>
  <c r="AD1697" i="95"/>
  <c r="AC1356" i="95"/>
  <c r="AB1354" i="95"/>
  <c r="AB1353" i="95" s="1"/>
  <c r="AE1378" i="95"/>
  <c r="AD1376" i="95"/>
  <c r="AF1249" i="95"/>
  <c r="AF1247" i="95" s="1"/>
  <c r="AE1247" i="95"/>
  <c r="AF1416" i="95"/>
  <c r="AF1164" i="95"/>
  <c r="AF1162" i="95" s="1"/>
  <c r="AF1161" i="95" s="1"/>
  <c r="AF1160" i="95" s="1"/>
  <c r="AE1162" i="95"/>
  <c r="AE1161" i="95" s="1"/>
  <c r="AE1160" i="95" s="1"/>
  <c r="AF1136" i="95"/>
  <c r="AF1134" i="95" s="1"/>
  <c r="AF1133" i="95" s="1"/>
  <c r="AE1134" i="95"/>
  <c r="AE1133" i="95" s="1"/>
  <c r="AD1121" i="95"/>
  <c r="AE1123" i="95"/>
  <c r="AD1261" i="95"/>
  <c r="AE1263" i="95"/>
  <c r="AC1363" i="95"/>
  <c r="AB1361" i="95"/>
  <c r="AD1278" i="95"/>
  <c r="AE1280" i="95"/>
  <c r="AE1658" i="95"/>
  <c r="AF1659" i="95"/>
  <c r="AF1658" i="95" s="1"/>
  <c r="AC1746" i="95"/>
  <c r="AB1744" i="95"/>
  <c r="AB1734" i="95" s="1"/>
  <c r="AC1024" i="95"/>
  <c r="AD1149" i="95"/>
  <c r="AC1147" i="95"/>
  <c r="AC1146" i="95" s="1"/>
  <c r="AC1366" i="95"/>
  <c r="AB1364" i="95"/>
  <c r="AF1612" i="95"/>
  <c r="AF1611" i="95" s="1"/>
  <c r="AF1604" i="95" s="1"/>
  <c r="AF1489" i="95"/>
  <c r="AF1622" i="95"/>
  <c r="AC1618" i="95"/>
  <c r="AD1620" i="95"/>
  <c r="AB1030" i="95"/>
  <c r="AD1375" i="95"/>
  <c r="AC1373" i="95"/>
  <c r="AD1256" i="95"/>
  <c r="AC1254" i="95"/>
  <c r="AE1116" i="95"/>
  <c r="AD1114" i="95"/>
  <c r="AD1110" i="95" s="1"/>
  <c r="AC1360" i="95"/>
  <c r="AB1358" i="95"/>
  <c r="AF1488" i="95"/>
  <c r="AF1486" i="95" s="1"/>
  <c r="AE1486" i="95"/>
  <c r="AF1518" i="95"/>
  <c r="AF1516" i="95" s="1"/>
  <c r="AE1516" i="95"/>
  <c r="AH1549" i="95"/>
  <c r="AE1696" i="95"/>
  <c r="AD1694" i="95"/>
  <c r="AE1418" i="95"/>
  <c r="AE1417" i="95" s="1"/>
  <c r="AF1419" i="95"/>
  <c r="AF1418" i="95" s="1"/>
  <c r="AF1417" i="95" s="1"/>
  <c r="AC1369" i="95"/>
  <c r="AB1367" i="95"/>
  <c r="AC1076" i="95"/>
  <c r="AE1047" i="95"/>
  <c r="AF1049" i="95"/>
  <c r="AF1047" i="95" s="1"/>
  <c r="AF1729" i="95"/>
  <c r="AF1748" i="95"/>
  <c r="AF1747" i="95" s="1"/>
  <c r="AF837" i="95"/>
  <c r="AF827" i="95"/>
  <c r="AF817" i="95"/>
  <c r="AF783" i="95"/>
  <c r="AF796" i="95"/>
  <c r="AD1229" i="95"/>
  <c r="AC1225" i="95"/>
  <c r="AC1224" i="95" s="1"/>
  <c r="AF1673" i="95"/>
  <c r="AF1671" i="95" s="1"/>
  <c r="AE1671" i="95"/>
  <c r="AE1315" i="95"/>
  <c r="AD1313" i="95"/>
  <c r="AD1730" i="95"/>
  <c r="AF1206" i="95"/>
  <c r="AF1202" i="95" s="1"/>
  <c r="AE1206" i="95"/>
  <c r="AE1202" i="95" s="1"/>
  <c r="AE1441" i="95"/>
  <c r="AF1443" i="95"/>
  <c r="AF1441" i="95" s="1"/>
  <c r="AH1680" i="95"/>
  <c r="AD1623" i="95"/>
  <c r="AC1621" i="95"/>
  <c r="AF954" i="95"/>
  <c r="AE1150" i="95"/>
  <c r="AF1151" i="95"/>
  <c r="AF1150" i="95" s="1"/>
  <c r="AF1533" i="95"/>
  <c r="AF1531" i="95" s="1"/>
  <c r="AE1531" i="95"/>
  <c r="AE1126" i="95"/>
  <c r="AD1124" i="95"/>
  <c r="AD1395" i="95"/>
  <c r="AF1648" i="95"/>
  <c r="AF1646" i="95" s="1"/>
  <c r="AE1646" i="95"/>
  <c r="AF1632" i="95"/>
  <c r="AF1631" i="95" s="1"/>
  <c r="AE1631" i="95"/>
  <c r="AF1597" i="95"/>
  <c r="AF1595" i="95" s="1"/>
  <c r="AE1595" i="95"/>
  <c r="AF1099" i="95"/>
  <c r="AF1097" i="95" s="1"/>
  <c r="AF1096" i="95" s="1"/>
  <c r="AE1097" i="95"/>
  <c r="AE1096" i="95" s="1"/>
  <c r="AE1708" i="95"/>
  <c r="AD1704" i="95"/>
  <c r="AD1352" i="95"/>
  <c r="AC1350" i="95"/>
  <c r="AC1349" i="95" s="1"/>
  <c r="AE1661" i="95"/>
  <c r="AF1662" i="95"/>
  <c r="AF1661" i="95" s="1"/>
  <c r="AF1439" i="95"/>
  <c r="AF1437" i="95" s="1"/>
  <c r="AE1437" i="95"/>
  <c r="AE1159" i="95"/>
  <c r="AD1157" i="95"/>
  <c r="AD1156" i="95" s="1"/>
  <c r="AC1079" i="95"/>
  <c r="AB1077" i="95"/>
  <c r="AF1466" i="95"/>
  <c r="AF1464" i="95" s="1"/>
  <c r="AF1453" i="95" s="1"/>
  <c r="AE1464" i="95"/>
  <c r="AE1453" i="95" s="1"/>
  <c r="AC1394" i="95"/>
  <c r="AC1401" i="95"/>
  <c r="AC1400" i="95" s="1"/>
  <c r="AD1737" i="95"/>
  <c r="AC1735" i="95"/>
  <c r="AE1174" i="95"/>
  <c r="AE1173" i="95" s="1"/>
  <c r="AE1184" i="95"/>
  <c r="AE1183" i="95" s="1"/>
  <c r="AF1177" i="95"/>
  <c r="AE1634" i="95"/>
  <c r="AF1635" i="95"/>
  <c r="AF1634" i="95" s="1"/>
  <c r="AE1106" i="95"/>
  <c r="AD1104" i="95"/>
  <c r="AE1303" i="95"/>
  <c r="AE1390" i="95"/>
  <c r="AE1389" i="95" s="1"/>
  <c r="AE1407" i="95"/>
  <c r="AF1391" i="95"/>
  <c r="AE1677" i="95"/>
  <c r="AF1678" i="95"/>
  <c r="AF1677" i="95" s="1"/>
  <c r="AC1669" i="95"/>
  <c r="AC1668" i="95" s="1"/>
  <c r="AC1664" i="95" s="1"/>
  <c r="AD1221" i="95"/>
  <c r="AC1217" i="95"/>
  <c r="AC1216" i="95" s="1"/>
  <c r="AA1357" i="95"/>
  <c r="AA1348" i="95" s="1"/>
  <c r="AF466" i="95"/>
  <c r="AE1739" i="95"/>
  <c r="AE1738" i="95" s="1"/>
  <c r="AE1711" i="95"/>
  <c r="AE1710" i="95" s="1"/>
  <c r="AE1688" i="95"/>
  <c r="AF1689" i="95"/>
  <c r="AF1626" i="95" s="1"/>
  <c r="AE1666" i="95"/>
  <c r="AE1665" i="95" s="1"/>
  <c r="AD1743" i="95"/>
  <c r="AC1741" i="95"/>
  <c r="AF1201" i="95"/>
  <c r="AF1199" i="95" s="1"/>
  <c r="AE1199" i="95"/>
  <c r="AD1237" i="95"/>
  <c r="AC1233" i="95"/>
  <c r="AC1372" i="95"/>
  <c r="AB1370" i="95"/>
  <c r="AE1751" i="95"/>
  <c r="AF158" i="24" s="1"/>
  <c r="AF1753" i="95"/>
  <c r="AF1751" i="95" s="1"/>
  <c r="AH1590" i="95"/>
  <c r="AE1434" i="95"/>
  <c r="AF1435" i="95"/>
  <c r="AF1434" i="95" s="1"/>
  <c r="AF1198" i="95"/>
  <c r="AF1196" i="95" s="1"/>
  <c r="AE1196" i="95"/>
  <c r="AF1191" i="95"/>
  <c r="AF1189" i="95" s="1"/>
  <c r="AF1188" i="95" s="1"/>
  <c r="AE1189" i="95"/>
  <c r="AE1188" i="95" s="1"/>
  <c r="AE1321" i="95"/>
  <c r="AD1319" i="95"/>
  <c r="AE1655" i="95"/>
  <c r="AF1657" i="95"/>
  <c r="AF1655" i="95" s="1"/>
  <c r="AE1415" i="95"/>
  <c r="AE1414" i="95" s="1"/>
  <c r="AE1413" i="95" s="1"/>
  <c r="AE1387" i="95"/>
  <c r="AE1386" i="95" s="1"/>
  <c r="AE1385" i="95" s="1"/>
  <c r="AF1383" i="95"/>
  <c r="AE1425" i="95"/>
  <c r="AE1424" i="95" s="1"/>
  <c r="AE1396" i="95"/>
  <c r="AC1640" i="95"/>
  <c r="AC1627" i="95" s="1"/>
  <c r="AD1684" i="95" l="1"/>
  <c r="AD1701" i="95" s="1"/>
  <c r="AD1700" i="95" s="1"/>
  <c r="AC1617" i="95"/>
  <c r="AF1476" i="95"/>
  <c r="AE1476" i="95"/>
  <c r="AF1427" i="95"/>
  <c r="AE1427" i="95"/>
  <c r="AD1082" i="95"/>
  <c r="AC1080" i="95"/>
  <c r="AF1449" i="95"/>
  <c r="AF1447" i="95" s="1"/>
  <c r="AF1440" i="95" s="1"/>
  <c r="AF1451" i="95" s="1"/>
  <c r="AF1450" i="95" s="1"/>
  <c r="AE1447" i="95"/>
  <c r="AE1440" i="95" s="1"/>
  <c r="AE1451" i="95" s="1"/>
  <c r="AE1450" i="95" s="1"/>
  <c r="AA1625" i="95"/>
  <c r="AB157" i="24" s="1"/>
  <c r="AC1232" i="95"/>
  <c r="AC1215" i="95" s="1"/>
  <c r="AC1283" i="95" s="1"/>
  <c r="AC1282" i="95" s="1"/>
  <c r="AF1344" i="95"/>
  <c r="AF1342" i="95" s="1"/>
  <c r="AE1342" i="95"/>
  <c r="AB1300" i="95"/>
  <c r="AB1285" i="95" s="1"/>
  <c r="AC1095" i="95"/>
  <c r="AA1083" i="95"/>
  <c r="AB154" i="24" s="1"/>
  <c r="AD1602" i="95"/>
  <c r="AD1601" i="95" s="1"/>
  <c r="AB1474" i="95"/>
  <c r="AC156" i="24" s="1"/>
  <c r="AD1100" i="95"/>
  <c r="AH1751" i="95"/>
  <c r="AG158" i="24"/>
  <c r="AE1101" i="95"/>
  <c r="AF1103" i="95"/>
  <c r="AF1101" i="95" s="1"/>
  <c r="AH1417" i="95"/>
  <c r="AD1305" i="95"/>
  <c r="AC1301" i="95"/>
  <c r="AF1600" i="95"/>
  <c r="AF1598" i="95" s="1"/>
  <c r="AF1594" i="95" s="1"/>
  <c r="AE1598" i="95"/>
  <c r="AE1594" i="95" s="1"/>
  <c r="AD1311" i="95"/>
  <c r="AC1307" i="95"/>
  <c r="AE1395" i="95"/>
  <c r="AE1401" i="95" s="1"/>
  <c r="AE1400" i="95" s="1"/>
  <c r="AD1120" i="95"/>
  <c r="AD1070" i="95"/>
  <c r="AC1066" i="95"/>
  <c r="AC1732" i="95"/>
  <c r="AB1728" i="95"/>
  <c r="AB1703" i="95" s="1"/>
  <c r="AB1283" i="95"/>
  <c r="AB1282" i="95" s="1"/>
  <c r="AF1378" i="95"/>
  <c r="AF1376" i="95" s="1"/>
  <c r="AE1376" i="95"/>
  <c r="AD1669" i="95"/>
  <c r="AD1668" i="95" s="1"/>
  <c r="AD1664" i="95" s="1"/>
  <c r="AH1453" i="95"/>
  <c r="AE1149" i="95"/>
  <c r="AD1147" i="95"/>
  <c r="AD1146" i="95" s="1"/>
  <c r="AE1743" i="95"/>
  <c r="AD1741" i="95"/>
  <c r="AE1229" i="95"/>
  <c r="AD1225" i="95"/>
  <c r="AD1224" i="95" s="1"/>
  <c r="AB1357" i="95"/>
  <c r="AB1348" i="95" s="1"/>
  <c r="AE1375" i="95"/>
  <c r="AD1373" i="95"/>
  <c r="AF1184" i="95"/>
  <c r="AF1183" i="95" s="1"/>
  <c r="AF1174" i="95"/>
  <c r="AF1173" i="95" s="1"/>
  <c r="AD1360" i="95"/>
  <c r="AC1358" i="95"/>
  <c r="AD1366" i="95"/>
  <c r="AC1364" i="95"/>
  <c r="AC1354" i="95"/>
  <c r="AC1353" i="95" s="1"/>
  <c r="AD1356" i="95"/>
  <c r="AF1315" i="95"/>
  <c r="AF1313" i="95" s="1"/>
  <c r="AE1313" i="95"/>
  <c r="AF1123" i="95"/>
  <c r="AF1121" i="95" s="1"/>
  <c r="AE1121" i="95"/>
  <c r="AE1172" i="95"/>
  <c r="AC1030" i="95"/>
  <c r="AD1024" i="95"/>
  <c r="AF1425" i="95"/>
  <c r="AF1424" i="95" s="1"/>
  <c r="AH1424" i="95" s="1"/>
  <c r="AF1387" i="95"/>
  <c r="AF1386" i="95" s="1"/>
  <c r="AF1385" i="95" s="1"/>
  <c r="AF1396" i="95"/>
  <c r="AF1415" i="95"/>
  <c r="AF1414" i="95" s="1"/>
  <c r="AF1413" i="95" s="1"/>
  <c r="AH1413" i="95" s="1"/>
  <c r="AD1394" i="95"/>
  <c r="AD1401" i="95"/>
  <c r="AD1400" i="95" s="1"/>
  <c r="AE1278" i="95"/>
  <c r="AF1280" i="95"/>
  <c r="AF1278" i="95" s="1"/>
  <c r="AE1192" i="95"/>
  <c r="AE1187" i="95" s="1"/>
  <c r="AF1739" i="95"/>
  <c r="AF1738" i="95" s="1"/>
  <c r="AF1666" i="95"/>
  <c r="AF1665" i="95" s="1"/>
  <c r="AF1711" i="95"/>
  <c r="AF1710" i="95" s="1"/>
  <c r="AF1688" i="95"/>
  <c r="AF1106" i="95"/>
  <c r="AF1104" i="95" s="1"/>
  <c r="AE1104" i="95"/>
  <c r="AF1696" i="95"/>
  <c r="AF1694" i="95" s="1"/>
  <c r="AE1694" i="95"/>
  <c r="AF1699" i="95"/>
  <c r="AF1697" i="95" s="1"/>
  <c r="AE1697" i="95"/>
  <c r="AE1221" i="95"/>
  <c r="AD1217" i="95"/>
  <c r="AD1216" i="95" s="1"/>
  <c r="AE1730" i="95"/>
  <c r="AE1620" i="95"/>
  <c r="AD1618" i="95"/>
  <c r="AF1321" i="95"/>
  <c r="AF1319" i="95" s="1"/>
  <c r="AE1319" i="95"/>
  <c r="AF1708" i="95"/>
  <c r="AF1704" i="95" s="1"/>
  <c r="AE1704" i="95"/>
  <c r="AH1160" i="95"/>
  <c r="AD1363" i="95"/>
  <c r="AC1361" i="95"/>
  <c r="AD1079" i="95"/>
  <c r="AC1077" i="95"/>
  <c r="AF1303" i="95"/>
  <c r="AE1623" i="95"/>
  <c r="AD1621" i="95"/>
  <c r="AD1372" i="95"/>
  <c r="AC1370" i="95"/>
  <c r="AC1367" i="95"/>
  <c r="AD1369" i="95"/>
  <c r="AE1157" i="95"/>
  <c r="AE1156" i="95" s="1"/>
  <c r="AF1159" i="95"/>
  <c r="AF1157" i="95" s="1"/>
  <c r="AF1156" i="95" s="1"/>
  <c r="AF1143" i="95"/>
  <c r="AF1141" i="95" s="1"/>
  <c r="AF1140" i="95" s="1"/>
  <c r="AE1141" i="95"/>
  <c r="AE1140" i="95" s="1"/>
  <c r="AF1192" i="95"/>
  <c r="AF1187" i="95" s="1"/>
  <c r="AD1076" i="95"/>
  <c r="AF1116" i="95"/>
  <c r="AF1114" i="95" s="1"/>
  <c r="AF1110" i="95" s="1"/>
  <c r="AE1114" i="95"/>
  <c r="AE1110" i="95" s="1"/>
  <c r="AD1746" i="95"/>
  <c r="AC1744" i="95"/>
  <c r="AC1734" i="95" s="1"/>
  <c r="AD1640" i="95"/>
  <c r="AD1627" i="95" s="1"/>
  <c r="AF1390" i="95"/>
  <c r="AF1389" i="95" s="1"/>
  <c r="AH1389" i="95" s="1"/>
  <c r="AF1407" i="95"/>
  <c r="AD1735" i="95"/>
  <c r="AE1737" i="95"/>
  <c r="AE1352" i="95"/>
  <c r="AD1350" i="95"/>
  <c r="AD1349" i="95" s="1"/>
  <c r="AE1237" i="95"/>
  <c r="AD1233" i="95"/>
  <c r="AF1126" i="95"/>
  <c r="AF1124" i="95" s="1"/>
  <c r="AE1124" i="95"/>
  <c r="AD1254" i="95"/>
  <c r="AE1256" i="95"/>
  <c r="AE1261" i="95"/>
  <c r="AF1263" i="95"/>
  <c r="AF1261" i="95" s="1"/>
  <c r="AE1684" i="95" l="1"/>
  <c r="AE1701" i="95" s="1"/>
  <c r="AE1700" i="95" s="1"/>
  <c r="AF1684" i="95"/>
  <c r="AD1617" i="95"/>
  <c r="AE1082" i="95"/>
  <c r="AD1080" i="95"/>
  <c r="AB1625" i="95"/>
  <c r="AC157" i="24" s="1"/>
  <c r="AC1300" i="95"/>
  <c r="AC1285" i="95" s="1"/>
  <c r="AD1232" i="95"/>
  <c r="AD1215" i="95" s="1"/>
  <c r="AD1283" i="95" s="1"/>
  <c r="AD1282" i="95" s="1"/>
  <c r="AD1095" i="95"/>
  <c r="AF1602" i="95"/>
  <c r="AF1601" i="95" s="1"/>
  <c r="AE1602" i="95"/>
  <c r="AE1601" i="95" s="1"/>
  <c r="AE1100" i="95"/>
  <c r="AC1474" i="95"/>
  <c r="AD156" i="24" s="1"/>
  <c r="AF1172" i="95"/>
  <c r="AH1172" i="95" s="1"/>
  <c r="AF1100" i="95"/>
  <c r="AB1083" i="95"/>
  <c r="AC154" i="24" s="1"/>
  <c r="AD1732" i="95"/>
  <c r="AC1728" i="95"/>
  <c r="AC1703" i="95" s="1"/>
  <c r="AE1394" i="95"/>
  <c r="AF1395" i="95"/>
  <c r="AF1394" i="95" s="1"/>
  <c r="AE1070" i="95"/>
  <c r="AD1066" i="95"/>
  <c r="AE1305" i="95"/>
  <c r="AD1301" i="95"/>
  <c r="AE1311" i="95"/>
  <c r="AD1307" i="95"/>
  <c r="AH1450" i="95"/>
  <c r="AF1743" i="95"/>
  <c r="AF1741" i="95" s="1"/>
  <c r="AE1741" i="95"/>
  <c r="AE1254" i="95"/>
  <c r="AF1256" i="95"/>
  <c r="AF1254" i="95" s="1"/>
  <c r="AE1024" i="95"/>
  <c r="AF1640" i="95"/>
  <c r="AF1627" i="95" s="1"/>
  <c r="AE1640" i="95"/>
  <c r="AE1627" i="95" s="1"/>
  <c r="AH1133" i="95"/>
  <c r="AE1669" i="95"/>
  <c r="AE1668" i="95" s="1"/>
  <c r="AE1664" i="95" s="1"/>
  <c r="AH1476" i="95"/>
  <c r="AE1363" i="95"/>
  <c r="AD1361" i="95"/>
  <c r="AD1030" i="95"/>
  <c r="AE1366" i="95"/>
  <c r="AD1364" i="95"/>
  <c r="AF1229" i="95"/>
  <c r="AF1225" i="95" s="1"/>
  <c r="AF1224" i="95" s="1"/>
  <c r="AE1225" i="95"/>
  <c r="AE1224" i="95" s="1"/>
  <c r="AF1352" i="95"/>
  <c r="AF1350" i="95" s="1"/>
  <c r="AF1349" i="95" s="1"/>
  <c r="AE1350" i="95"/>
  <c r="AE1349" i="95" s="1"/>
  <c r="AE1746" i="95"/>
  <c r="AD1744" i="95"/>
  <c r="AD1734" i="95" s="1"/>
  <c r="AH1156" i="95"/>
  <c r="AE1079" i="95"/>
  <c r="AD1077" i="95"/>
  <c r="AE1120" i="95"/>
  <c r="AE1369" i="95"/>
  <c r="AD1367" i="95"/>
  <c r="AF1237" i="95"/>
  <c r="AF1233" i="95" s="1"/>
  <c r="AE1233" i="95"/>
  <c r="AE1076" i="95"/>
  <c r="AH1385" i="95"/>
  <c r="AE1356" i="95"/>
  <c r="AD1354" i="95"/>
  <c r="AD1353" i="95" s="1"/>
  <c r="AH1187" i="95"/>
  <c r="AF1221" i="95"/>
  <c r="AF1217" i="95" s="1"/>
  <c r="AF1216" i="95" s="1"/>
  <c r="AE1217" i="95"/>
  <c r="AE1216" i="95" s="1"/>
  <c r="AH1140" i="95"/>
  <c r="AF1375" i="95"/>
  <c r="AF1373" i="95" s="1"/>
  <c r="AE1373" i="95"/>
  <c r="AE1372" i="95"/>
  <c r="AD1370" i="95"/>
  <c r="AE1147" i="95"/>
  <c r="AE1146" i="95" s="1"/>
  <c r="AF1149" i="95"/>
  <c r="AF1147" i="95" s="1"/>
  <c r="AF1146" i="95" s="1"/>
  <c r="AF1737" i="95"/>
  <c r="AF1735" i="95" s="1"/>
  <c r="AE1735" i="95"/>
  <c r="AF1120" i="95"/>
  <c r="AF1623" i="95"/>
  <c r="AF1621" i="95" s="1"/>
  <c r="AE1621" i="95"/>
  <c r="AF1620" i="95"/>
  <c r="AF1618" i="95" s="1"/>
  <c r="AE1618" i="95"/>
  <c r="AF1730" i="95"/>
  <c r="AC1357" i="95"/>
  <c r="AC1348" i="95" s="1"/>
  <c r="AH1427" i="95"/>
  <c r="AH1440" i="95"/>
  <c r="AD1358" i="95"/>
  <c r="AE1360" i="95"/>
  <c r="AE1617" i="95" l="1"/>
  <c r="AF1617" i="95"/>
  <c r="AF1082" i="95"/>
  <c r="AF1080" i="95" s="1"/>
  <c r="AE1080" i="95"/>
  <c r="AE1232" i="95"/>
  <c r="AE1215" i="95" s="1"/>
  <c r="AE1283" i="95" s="1"/>
  <c r="AE1282" i="95" s="1"/>
  <c r="AH1594" i="95"/>
  <c r="AF1232" i="95"/>
  <c r="AF1215" i="95" s="1"/>
  <c r="AE1095" i="95"/>
  <c r="AD1300" i="95"/>
  <c r="AD1285" i="95" s="1"/>
  <c r="AD1474" i="95"/>
  <c r="AE156" i="24" s="1"/>
  <c r="AF1095" i="95"/>
  <c r="AH1394" i="95"/>
  <c r="AC1083" i="95"/>
  <c r="AD154" i="24" s="1"/>
  <c r="AH1146" i="95"/>
  <c r="AF1401" i="95"/>
  <c r="AF1400" i="95" s="1"/>
  <c r="AH1400" i="95" s="1"/>
  <c r="AC1625" i="95"/>
  <c r="AD157" i="24" s="1"/>
  <c r="AH1601" i="95"/>
  <c r="AF1311" i="95"/>
  <c r="AF1307" i="95" s="1"/>
  <c r="AE1307" i="95"/>
  <c r="AH1224" i="95"/>
  <c r="AF1305" i="95"/>
  <c r="AF1301" i="95" s="1"/>
  <c r="AE1301" i="95"/>
  <c r="AD1357" i="95"/>
  <c r="AD1348" i="95" s="1"/>
  <c r="AF1070" i="95"/>
  <c r="AF1066" i="95" s="1"/>
  <c r="AE1066" i="95"/>
  <c r="AE1732" i="95"/>
  <c r="AD1728" i="95"/>
  <c r="AD1703" i="95" s="1"/>
  <c r="AF1746" i="95"/>
  <c r="AF1744" i="95" s="1"/>
  <c r="AF1734" i="95" s="1"/>
  <c r="AE1744" i="95"/>
  <c r="AE1734" i="95" s="1"/>
  <c r="AH1627" i="95"/>
  <c r="AF1369" i="95"/>
  <c r="AF1367" i="95" s="1"/>
  <c r="AE1367" i="95"/>
  <c r="AF1372" i="95"/>
  <c r="AF1370" i="95" s="1"/>
  <c r="AE1370" i="95"/>
  <c r="AH1216" i="95"/>
  <c r="AF1701" i="95"/>
  <c r="AF1700" i="95" s="1"/>
  <c r="AH1700" i="95" s="1"/>
  <c r="AH1684" i="95"/>
  <c r="AE1030" i="95"/>
  <c r="AF1076" i="95"/>
  <c r="AF1669" i="95"/>
  <c r="AF1668" i="95" s="1"/>
  <c r="AF1664" i="95" s="1"/>
  <c r="AF1356" i="95"/>
  <c r="AF1354" i="95" s="1"/>
  <c r="AF1353" i="95" s="1"/>
  <c r="AE1354" i="95"/>
  <c r="AE1353" i="95" s="1"/>
  <c r="AF1079" i="95"/>
  <c r="AF1077" i="95" s="1"/>
  <c r="AE1077" i="95"/>
  <c r="AF1024" i="95"/>
  <c r="AF1360" i="95"/>
  <c r="AF1358" i="95" s="1"/>
  <c r="AE1358" i="95"/>
  <c r="AF1366" i="95"/>
  <c r="AF1364" i="95" s="1"/>
  <c r="AE1364" i="95"/>
  <c r="AF1363" i="95"/>
  <c r="AF1361" i="95" s="1"/>
  <c r="AE1361" i="95"/>
  <c r="AH1095" i="95" l="1"/>
  <c r="AE1300" i="95"/>
  <c r="AE1285" i="95" s="1"/>
  <c r="AF1300" i="95"/>
  <c r="AF1285" i="95" s="1"/>
  <c r="AH1232" i="95"/>
  <c r="AE1474" i="95"/>
  <c r="AF156" i="24" s="1"/>
  <c r="AH1604" i="95"/>
  <c r="AE1357" i="95"/>
  <c r="AE1348" i="95" s="1"/>
  <c r="AF1732" i="95"/>
  <c r="AF1728" i="95" s="1"/>
  <c r="AF1703" i="95" s="1"/>
  <c r="AE1728" i="95"/>
  <c r="AE1703" i="95" s="1"/>
  <c r="AD1083" i="95"/>
  <c r="AE154" i="24" s="1"/>
  <c r="AD1625" i="95"/>
  <c r="AE157" i="24" s="1"/>
  <c r="AH1617" i="95"/>
  <c r="AF1474" i="95"/>
  <c r="AF1357" i="95"/>
  <c r="AF1348" i="95" s="1"/>
  <c r="AF1283" i="95"/>
  <c r="AF1282" i="95" s="1"/>
  <c r="AH1215" i="95"/>
  <c r="AF1030" i="95"/>
  <c r="AH1703" i="95" l="1"/>
  <c r="AH1734" i="95"/>
  <c r="AE1083" i="95"/>
  <c r="AF154" i="24" s="1"/>
  <c r="AF1625" i="95"/>
  <c r="AG157" i="24" s="1"/>
  <c r="AH1285" i="95"/>
  <c r="AE1625" i="95"/>
  <c r="AF157" i="24" s="1"/>
  <c r="AH1348" i="95"/>
  <c r="AH1474" i="95"/>
  <c r="AG156" i="24"/>
  <c r="AH1282" i="95"/>
  <c r="AF1083" i="95"/>
  <c r="AH1083" i="95" l="1"/>
  <c r="AG154" i="24"/>
  <c r="D160" i="59" l="1"/>
  <c r="D163" i="59"/>
  <c r="D162" i="59"/>
  <c r="C163" i="59"/>
  <c r="C162" i="59"/>
  <c r="C155" i="59"/>
  <c r="C154" i="59"/>
  <c r="C153" i="59"/>
  <c r="F242" i="59"/>
  <c r="AG152" i="79" l="1"/>
  <c r="AG148" i="79"/>
  <c r="D42" i="79"/>
  <c r="E42" i="79" s="1"/>
  <c r="F42" i="79" s="1"/>
  <c r="G42" i="79" s="1"/>
  <c r="H42" i="79" s="1"/>
  <c r="I42" i="79" s="1"/>
  <c r="J42" i="79" s="1"/>
  <c r="K42" i="79" s="1"/>
  <c r="L42" i="79" s="1"/>
  <c r="M42" i="79" s="1"/>
  <c r="N42" i="79" s="1"/>
  <c r="O42" i="79" s="1"/>
  <c r="P42" i="79" s="1"/>
  <c r="Q42" i="79" s="1"/>
  <c r="R42" i="79" s="1"/>
  <c r="S42" i="79" s="1"/>
  <c r="T42" i="79" s="1"/>
  <c r="U42" i="79" s="1"/>
  <c r="V42" i="79" s="1"/>
  <c r="W42" i="79" s="1"/>
  <c r="X42" i="79" s="1"/>
  <c r="Y42" i="79" s="1"/>
  <c r="Z42" i="79" s="1"/>
  <c r="AA42" i="79" s="1"/>
  <c r="AB42" i="79" s="1"/>
  <c r="AC42" i="79" s="1"/>
  <c r="AD42" i="79" s="1"/>
  <c r="AE42" i="79" s="1"/>
  <c r="AF42" i="79" s="1"/>
  <c r="E132" i="24" l="1"/>
  <c r="F132" i="24" s="1"/>
  <c r="G132" i="24" s="1"/>
  <c r="H132" i="24" s="1"/>
  <c r="I132" i="24" s="1"/>
  <c r="J132" i="24" s="1"/>
  <c r="K132" i="24" s="1"/>
  <c r="L132" i="24" s="1"/>
  <c r="C161" i="59"/>
  <c r="C158" i="59"/>
  <c r="C157" i="59"/>
  <c r="C150" i="59"/>
  <c r="C149" i="59"/>
  <c r="D161" i="59"/>
  <c r="D158" i="59"/>
  <c r="D157" i="59"/>
  <c r="M132" i="24" l="1"/>
  <c r="N132" i="24" s="1"/>
  <c r="D167" i="59"/>
  <c r="D77" i="24" s="1"/>
  <c r="AG144" i="79"/>
  <c r="B94" i="79"/>
  <c r="D60" i="79" l="1"/>
  <c r="E60" i="79" s="1"/>
  <c r="AG59" i="79"/>
  <c r="AF59" i="79"/>
  <c r="AE59" i="79"/>
  <c r="AD59" i="79"/>
  <c r="AC59" i="79"/>
  <c r="AB59" i="79"/>
  <c r="AA59" i="79"/>
  <c r="Z59" i="79"/>
  <c r="Y59" i="79"/>
  <c r="X59" i="79"/>
  <c r="W59" i="79"/>
  <c r="V59" i="79"/>
  <c r="U59" i="79"/>
  <c r="T59" i="79"/>
  <c r="S59" i="79"/>
  <c r="R59" i="79"/>
  <c r="Q59" i="79"/>
  <c r="P59" i="79"/>
  <c r="O59" i="79"/>
  <c r="N59" i="79"/>
  <c r="M59" i="79"/>
  <c r="L59" i="79"/>
  <c r="K59" i="79"/>
  <c r="J59" i="79"/>
  <c r="I59" i="79"/>
  <c r="H59" i="79"/>
  <c r="G59" i="79"/>
  <c r="F59" i="79"/>
  <c r="E59" i="79"/>
  <c r="D59" i="79"/>
  <c r="C59" i="79"/>
  <c r="C58" i="79" s="1"/>
  <c r="D51" i="79"/>
  <c r="E51" i="79" s="1"/>
  <c r="C49" i="79"/>
  <c r="E29" i="89" s="1"/>
  <c r="D40" i="79"/>
  <c r="E40" i="79" l="1"/>
  <c r="D49" i="79"/>
  <c r="F29" i="89" s="1"/>
  <c r="D58" i="79"/>
  <c r="F60" i="79"/>
  <c r="G60" i="79" s="1"/>
  <c r="H60" i="79" s="1"/>
  <c r="I60" i="79" s="1"/>
  <c r="E58" i="79"/>
  <c r="E49" i="79"/>
  <c r="G29" i="89" s="1"/>
  <c r="F51" i="79"/>
  <c r="D35" i="79"/>
  <c r="E35" i="79" s="1"/>
  <c r="F35" i="79" s="1"/>
  <c r="G35" i="79" s="1"/>
  <c r="H35" i="79" s="1"/>
  <c r="I35" i="79" s="1"/>
  <c r="J35" i="79" s="1"/>
  <c r="K35" i="79" s="1"/>
  <c r="L35" i="79" s="1"/>
  <c r="M35" i="79" s="1"/>
  <c r="N35" i="79" s="1"/>
  <c r="O35" i="79" s="1"/>
  <c r="P35" i="79" s="1"/>
  <c r="Q35" i="79" s="1"/>
  <c r="R35" i="79" s="1"/>
  <c r="S35" i="79" s="1"/>
  <c r="T35" i="79" s="1"/>
  <c r="U35" i="79" s="1"/>
  <c r="V35" i="79" s="1"/>
  <c r="W35" i="79" s="1"/>
  <c r="X35" i="79" s="1"/>
  <c r="Y35" i="79" s="1"/>
  <c r="Z35" i="79" s="1"/>
  <c r="AA35" i="79" s="1"/>
  <c r="AB35" i="79" s="1"/>
  <c r="AC35" i="79" s="1"/>
  <c r="AD35" i="79" s="1"/>
  <c r="AE35" i="79" s="1"/>
  <c r="AF35" i="79" s="1"/>
  <c r="F40" i="79" l="1"/>
  <c r="E36" i="79"/>
  <c r="H58" i="79"/>
  <c r="G58" i="79"/>
  <c r="J60" i="79"/>
  <c r="I58" i="79"/>
  <c r="F58" i="79"/>
  <c r="G51" i="79"/>
  <c r="F49" i="79"/>
  <c r="H29" i="89" s="1"/>
  <c r="G40" i="79" l="1"/>
  <c r="F36" i="79"/>
  <c r="J58" i="79"/>
  <c r="K60" i="79"/>
  <c r="H51" i="79"/>
  <c r="G49" i="79"/>
  <c r="I29" i="89" s="1"/>
  <c r="H40" i="79" l="1"/>
  <c r="G36" i="79"/>
  <c r="K58" i="79"/>
  <c r="L60" i="79"/>
  <c r="H49" i="79"/>
  <c r="J29" i="89" s="1"/>
  <c r="I51" i="79"/>
  <c r="I40" i="79" l="1"/>
  <c r="M60" i="79"/>
  <c r="L58" i="79"/>
  <c r="J51" i="79"/>
  <c r="I49" i="79"/>
  <c r="K29" i="89" s="1"/>
  <c r="J40" i="79" l="1"/>
  <c r="N60" i="79"/>
  <c r="M58" i="79"/>
  <c r="J49" i="79"/>
  <c r="L29" i="89" s="1"/>
  <c r="K51" i="79"/>
  <c r="K40" i="79" l="1"/>
  <c r="O60" i="79"/>
  <c r="N58" i="79"/>
  <c r="K49" i="79"/>
  <c r="M29" i="89" s="1"/>
  <c r="L51" i="79"/>
  <c r="L40" i="79" l="1"/>
  <c r="P60" i="79"/>
  <c r="O58" i="79"/>
  <c r="L49" i="79"/>
  <c r="N29" i="89" s="1"/>
  <c r="M51" i="79"/>
  <c r="M40" i="79" l="1"/>
  <c r="L36" i="79"/>
  <c r="Q60" i="79"/>
  <c r="P58" i="79"/>
  <c r="M49" i="79"/>
  <c r="O29" i="89" s="1"/>
  <c r="N51" i="79"/>
  <c r="N40" i="79" l="1"/>
  <c r="M36" i="79"/>
  <c r="R60" i="79"/>
  <c r="Q58" i="79"/>
  <c r="O51" i="79"/>
  <c r="N49" i="79"/>
  <c r="P29" i="89" s="1"/>
  <c r="O40" i="79" l="1"/>
  <c r="N36" i="79"/>
  <c r="R58" i="79"/>
  <c r="S60" i="79"/>
  <c r="P51" i="79"/>
  <c r="O49" i="79"/>
  <c r="Q29" i="89" s="1"/>
  <c r="P40" i="79" l="1"/>
  <c r="S58" i="79"/>
  <c r="T60" i="79"/>
  <c r="P49" i="79"/>
  <c r="R29" i="89" s="1"/>
  <c r="Q51" i="79"/>
  <c r="Q40" i="79" l="1"/>
  <c r="U60" i="79"/>
  <c r="T58" i="79"/>
  <c r="R51" i="79"/>
  <c r="Q49" i="79"/>
  <c r="S29" i="89" l="1"/>
  <c r="R40" i="79"/>
  <c r="V60" i="79"/>
  <c r="U58" i="79"/>
  <c r="S51" i="79"/>
  <c r="R49" i="79"/>
  <c r="T29" i="89" s="1"/>
  <c r="S40" i="79" l="1"/>
  <c r="W60" i="79"/>
  <c r="V58" i="79"/>
  <c r="S49" i="79"/>
  <c r="U29" i="89" s="1"/>
  <c r="T51" i="79"/>
  <c r="T40" i="79" l="1"/>
  <c r="S36" i="79"/>
  <c r="X60" i="79"/>
  <c r="W58" i="79"/>
  <c r="T49" i="79"/>
  <c r="V29" i="89" s="1"/>
  <c r="U51" i="79"/>
  <c r="U40" i="79" l="1"/>
  <c r="T36" i="79"/>
  <c r="Y60" i="79"/>
  <c r="X58" i="79"/>
  <c r="U49" i="79"/>
  <c r="W29" i="89" s="1"/>
  <c r="V51" i="79"/>
  <c r="V40" i="79" l="1"/>
  <c r="Z60" i="79"/>
  <c r="Y58" i="79"/>
  <c r="W51" i="79"/>
  <c r="V49" i="79"/>
  <c r="X29" i="89" s="1"/>
  <c r="W40" i="79" l="1"/>
  <c r="Z58" i="79"/>
  <c r="AA60" i="79"/>
  <c r="X51" i="79"/>
  <c r="W49" i="79"/>
  <c r="Y29" i="89" s="1"/>
  <c r="X40" i="79" l="1"/>
  <c r="AA58" i="79"/>
  <c r="AB60" i="79"/>
  <c r="X49" i="79"/>
  <c r="Z29" i="89" s="1"/>
  <c r="Y51" i="79"/>
  <c r="Y40" i="79" l="1"/>
  <c r="AC60" i="79"/>
  <c r="AB58" i="79"/>
  <c r="Z51" i="79"/>
  <c r="Y49" i="79"/>
  <c r="AA29" i="89" s="1"/>
  <c r="Z40" i="79" l="1"/>
  <c r="AD60" i="79"/>
  <c r="AC58" i="79"/>
  <c r="Z49" i="79"/>
  <c r="AB29" i="89" s="1"/>
  <c r="AA51" i="79"/>
  <c r="AA40" i="79" l="1"/>
  <c r="AE60" i="79"/>
  <c r="AD58" i="79"/>
  <c r="AA49" i="79"/>
  <c r="AC29" i="89" s="1"/>
  <c r="AB51" i="79"/>
  <c r="AB40" i="79" l="1"/>
  <c r="AA36" i="79"/>
  <c r="AF60" i="79"/>
  <c r="AF58" i="79" s="1"/>
  <c r="AE58" i="79"/>
  <c r="AB49" i="79"/>
  <c r="AD29" i="89" s="1"/>
  <c r="AC51" i="79"/>
  <c r="AC40" i="79" l="1"/>
  <c r="AH58" i="79"/>
  <c r="AC49" i="79"/>
  <c r="AE29" i="89" s="1"/>
  <c r="AD51" i="79"/>
  <c r="AD40" i="79" l="1"/>
  <c r="AE51" i="79"/>
  <c r="AD49" i="79"/>
  <c r="AF29" i="89" s="1"/>
  <c r="AE40" i="79" l="1"/>
  <c r="AF51" i="79"/>
  <c r="AF49" i="79" s="1"/>
  <c r="AH29" i="89" s="1"/>
  <c r="AE49" i="79"/>
  <c r="AG29" i="89" s="1"/>
  <c r="AF40" i="79" l="1"/>
  <c r="AH49" i="79"/>
  <c r="D359" i="24" l="1"/>
  <c r="J344" i="24"/>
  <c r="K344" i="24" s="1"/>
  <c r="I344" i="24"/>
  <c r="H344" i="24"/>
  <c r="G344" i="24"/>
  <c r="K345" i="24"/>
  <c r="K342" i="24"/>
  <c r="K341" i="24"/>
  <c r="K340" i="24"/>
  <c r="K339" i="24"/>
  <c r="K337" i="24"/>
  <c r="K338" i="24"/>
  <c r="K18" i="71"/>
  <c r="E18" i="71" a="1"/>
  <c r="E18" i="71" s="1"/>
  <c r="J18" i="71" l="1"/>
  <c r="H31" i="71"/>
  <c r="AN1009" i="59"/>
  <c r="AM1009" i="59"/>
  <c r="AL1009" i="59"/>
  <c r="AK1009" i="59"/>
  <c r="E1009" i="59"/>
  <c r="D406" i="59"/>
  <c r="D1009" i="59" s="1"/>
  <c r="C406" i="59"/>
  <c r="C1009" i="59" s="1"/>
  <c r="C405" i="59"/>
  <c r="E320" i="59"/>
  <c r="C265" i="59"/>
  <c r="C320" i="59" s="1"/>
  <c r="C341" i="59" s="1"/>
  <c r="C28" i="60" s="1"/>
  <c r="I18" i="71" l="1"/>
  <c r="H30" i="71"/>
  <c r="AG125" i="79"/>
  <c r="AG156" i="79"/>
  <c r="D104" i="79"/>
  <c r="C104" i="79"/>
  <c r="C97" i="79"/>
  <c r="C94" i="79"/>
  <c r="C68" i="79"/>
  <c r="D68" i="79"/>
  <c r="C71" i="79"/>
  <c r="D71" i="79"/>
  <c r="E71" i="79"/>
  <c r="H18" i="71" l="1"/>
  <c r="H28" i="71" s="1"/>
  <c r="H29" i="71"/>
  <c r="C93" i="79"/>
  <c r="D67" i="79"/>
  <c r="F40" i="89" s="1"/>
  <c r="D97" i="79"/>
  <c r="C101" i="79"/>
  <c r="C100" i="79" s="1"/>
  <c r="E52" i="89" s="1"/>
  <c r="D101" i="79"/>
  <c r="D100" i="79" s="1"/>
  <c r="F52" i="89" s="1"/>
  <c r="E101" i="79"/>
  <c r="E94" i="79"/>
  <c r="E97" i="79"/>
  <c r="D94" i="79"/>
  <c r="C67" i="79"/>
  <c r="E40" i="89" s="1"/>
  <c r="E68" i="79"/>
  <c r="E67" i="79" s="1"/>
  <c r="G40" i="89" s="1"/>
  <c r="G71" i="79"/>
  <c r="F71" i="79"/>
  <c r="D93" i="79" l="1"/>
  <c r="E93" i="79"/>
  <c r="E100" i="79"/>
  <c r="G52" i="89" s="1"/>
  <c r="F94" i="79"/>
  <c r="F97" i="79"/>
  <c r="F101" i="79"/>
  <c r="H71" i="79"/>
  <c r="F68" i="79"/>
  <c r="F67" i="79" s="1"/>
  <c r="H40" i="89" s="1"/>
  <c r="F93" i="79" l="1"/>
  <c r="F100" i="79"/>
  <c r="H52" i="89" s="1"/>
  <c r="G101" i="79"/>
  <c r="G97" i="79"/>
  <c r="G94" i="79"/>
  <c r="G68" i="79"/>
  <c r="G67" i="79" s="1"/>
  <c r="I40" i="89" s="1"/>
  <c r="I71" i="79"/>
  <c r="G93" i="79" l="1"/>
  <c r="G104" i="79"/>
  <c r="G100" i="79" s="1"/>
  <c r="I52" i="89" s="1"/>
  <c r="H97" i="79"/>
  <c r="H94" i="79"/>
  <c r="H101" i="79"/>
  <c r="J71" i="79"/>
  <c r="H68" i="79"/>
  <c r="H67" i="79" s="1"/>
  <c r="J40" i="89" s="1"/>
  <c r="H93" i="79" l="1"/>
  <c r="H104" i="79"/>
  <c r="H100" i="79" s="1"/>
  <c r="J52" i="89" s="1"/>
  <c r="I94" i="79"/>
  <c r="I97" i="79"/>
  <c r="I101" i="79"/>
  <c r="K71" i="79"/>
  <c r="I68" i="79"/>
  <c r="I67" i="79" s="1"/>
  <c r="K40" i="89" s="1"/>
  <c r="I93" i="79" l="1"/>
  <c r="I104" i="79"/>
  <c r="I100" i="79" s="1"/>
  <c r="K52" i="89" s="1"/>
  <c r="J101" i="79"/>
  <c r="J97" i="79"/>
  <c r="J94" i="79"/>
  <c r="J68" i="79"/>
  <c r="J67" i="79" s="1"/>
  <c r="L40" i="89" s="1"/>
  <c r="L71" i="79"/>
  <c r="J93" i="79" l="1"/>
  <c r="J104" i="79"/>
  <c r="J100" i="79" s="1"/>
  <c r="L52" i="89" s="1"/>
  <c r="K101" i="79"/>
  <c r="K94" i="79"/>
  <c r="K97" i="79"/>
  <c r="M71" i="79"/>
  <c r="K68" i="79"/>
  <c r="K67" i="79" s="1"/>
  <c r="M40" i="89" s="1"/>
  <c r="K93" i="79" l="1"/>
  <c r="K104" i="79"/>
  <c r="K100" i="79" s="1"/>
  <c r="M52" i="89" s="1"/>
  <c r="L94" i="79"/>
  <c r="L101" i="79"/>
  <c r="L97" i="79"/>
  <c r="N71" i="79"/>
  <c r="L68" i="79"/>
  <c r="L67" i="79" s="1"/>
  <c r="N40" i="89" s="1"/>
  <c r="L93" i="79" l="1"/>
  <c r="L104" i="79"/>
  <c r="L100" i="79" s="1"/>
  <c r="N52" i="89" s="1"/>
  <c r="M97" i="79"/>
  <c r="M101" i="79"/>
  <c r="M94" i="79"/>
  <c r="O71" i="79"/>
  <c r="M68" i="79"/>
  <c r="M67" i="79" s="1"/>
  <c r="O40" i="89" s="1"/>
  <c r="M93" i="79" l="1"/>
  <c r="M104" i="79"/>
  <c r="M100" i="79" s="1"/>
  <c r="O52" i="89" s="1"/>
  <c r="N94" i="79"/>
  <c r="N97" i="79"/>
  <c r="N101" i="79"/>
  <c r="N68" i="79"/>
  <c r="N67" i="79" s="1"/>
  <c r="P40" i="89" s="1"/>
  <c r="P71" i="79"/>
  <c r="N93" i="79" l="1"/>
  <c r="N104" i="79"/>
  <c r="N100" i="79" s="1"/>
  <c r="P52" i="89" s="1"/>
  <c r="O97" i="79"/>
  <c r="O94" i="79"/>
  <c r="O101" i="79"/>
  <c r="Q71" i="79"/>
  <c r="O68" i="79"/>
  <c r="O67" i="79" s="1"/>
  <c r="Q40" i="89" s="1"/>
  <c r="O93" i="79" l="1"/>
  <c r="O104" i="79"/>
  <c r="O100" i="79" s="1"/>
  <c r="Q52" i="89" s="1"/>
  <c r="P94" i="79"/>
  <c r="P97" i="79"/>
  <c r="P101" i="79"/>
  <c r="P68" i="79"/>
  <c r="P67" i="79" s="1"/>
  <c r="R40" i="89" s="1"/>
  <c r="R71" i="79"/>
  <c r="P93" i="79" l="1"/>
  <c r="P104" i="79"/>
  <c r="P100" i="79" s="1"/>
  <c r="R52" i="89" s="1"/>
  <c r="Q97" i="79"/>
  <c r="Q94" i="79"/>
  <c r="Q101" i="79"/>
  <c r="Q68" i="79"/>
  <c r="Q67" i="79" s="1"/>
  <c r="S40" i="89" s="1"/>
  <c r="S71" i="79"/>
  <c r="Q93" i="79" l="1"/>
  <c r="Q104" i="79"/>
  <c r="Q100" i="79" s="1"/>
  <c r="S52" i="89" s="1"/>
  <c r="R97" i="79"/>
  <c r="R101" i="79"/>
  <c r="R94" i="79"/>
  <c r="R68" i="79"/>
  <c r="R67" i="79" s="1"/>
  <c r="T40" i="89" s="1"/>
  <c r="T71" i="79"/>
  <c r="R93" i="79" l="1"/>
  <c r="R104" i="79"/>
  <c r="R100" i="79" s="1"/>
  <c r="T52" i="89" s="1"/>
  <c r="S97" i="79"/>
  <c r="S94" i="79"/>
  <c r="S101" i="79"/>
  <c r="S68" i="79"/>
  <c r="S67" i="79" s="1"/>
  <c r="U40" i="89" s="1"/>
  <c r="U71" i="79"/>
  <c r="S93" i="79" l="1"/>
  <c r="S104" i="79"/>
  <c r="S100" i="79" s="1"/>
  <c r="U52" i="89" s="1"/>
  <c r="T97" i="79"/>
  <c r="T101" i="79"/>
  <c r="T94" i="79"/>
  <c r="T68" i="79"/>
  <c r="T67" i="79" s="1"/>
  <c r="V40" i="89" s="1"/>
  <c r="V71" i="79"/>
  <c r="T93" i="79" l="1"/>
  <c r="T104" i="79"/>
  <c r="T100" i="79" s="1"/>
  <c r="V52" i="89" s="1"/>
  <c r="U97" i="79"/>
  <c r="U94" i="79"/>
  <c r="U101" i="79"/>
  <c r="U68" i="79"/>
  <c r="U67" i="79" s="1"/>
  <c r="W40" i="89" s="1"/>
  <c r="W71" i="79"/>
  <c r="U93" i="79" l="1"/>
  <c r="U104" i="79"/>
  <c r="U100" i="79" s="1"/>
  <c r="W52" i="89" s="1"/>
  <c r="V97" i="79"/>
  <c r="V101" i="79"/>
  <c r="V94" i="79"/>
  <c r="X71" i="79"/>
  <c r="V68" i="79"/>
  <c r="V67" i="79" s="1"/>
  <c r="X40" i="89" s="1"/>
  <c r="V93" i="79" l="1"/>
  <c r="V104" i="79"/>
  <c r="V100" i="79" s="1"/>
  <c r="X52" i="89" s="1"/>
  <c r="W97" i="79"/>
  <c r="W94" i="79"/>
  <c r="W101" i="79"/>
  <c r="W68" i="79"/>
  <c r="W67" i="79" s="1"/>
  <c r="Y40" i="89" s="1"/>
  <c r="Y71" i="79"/>
  <c r="W93" i="79" l="1"/>
  <c r="W104" i="79"/>
  <c r="W100" i="79" s="1"/>
  <c r="Y52" i="89" s="1"/>
  <c r="X101" i="79"/>
  <c r="X94" i="79"/>
  <c r="X97" i="79"/>
  <c r="X68" i="79"/>
  <c r="X67" i="79" s="1"/>
  <c r="Z40" i="89" s="1"/>
  <c r="Z71" i="79"/>
  <c r="X93" i="79" l="1"/>
  <c r="X104" i="79"/>
  <c r="X100" i="79" s="1"/>
  <c r="Z52" i="89" s="1"/>
  <c r="Y101" i="79"/>
  <c r="Y97" i="79"/>
  <c r="Y94" i="79"/>
  <c r="AA71" i="79"/>
  <c r="Y68" i="79"/>
  <c r="Y67" i="79" s="1"/>
  <c r="AA40" i="89" s="1"/>
  <c r="Y93" i="79" l="1"/>
  <c r="Y104" i="79"/>
  <c r="Y100" i="79" s="1"/>
  <c r="AA52" i="89" s="1"/>
  <c r="Z101" i="79"/>
  <c r="Z94" i="79"/>
  <c r="Z97" i="79"/>
  <c r="Z68" i="79"/>
  <c r="Z67" i="79" s="1"/>
  <c r="AB40" i="89" s="1"/>
  <c r="AB71" i="79"/>
  <c r="Z93" i="79" l="1"/>
  <c r="Z104" i="79"/>
  <c r="Z100" i="79" s="1"/>
  <c r="AB52" i="89" s="1"/>
  <c r="AA97" i="79"/>
  <c r="AA94" i="79"/>
  <c r="AA101" i="79"/>
  <c r="AA68" i="79"/>
  <c r="AA67" i="79" s="1"/>
  <c r="AC40" i="89" s="1"/>
  <c r="AC71" i="79"/>
  <c r="AA93" i="79" l="1"/>
  <c r="AA104" i="79"/>
  <c r="AA100" i="79" s="1"/>
  <c r="AC52" i="89" s="1"/>
  <c r="AB97" i="79"/>
  <c r="AB101" i="79"/>
  <c r="AB94" i="79"/>
  <c r="AB68" i="79"/>
  <c r="AB67" i="79" s="1"/>
  <c r="AD40" i="89" s="1"/>
  <c r="AD71" i="79"/>
  <c r="AB93" i="79" l="1"/>
  <c r="AB104" i="79"/>
  <c r="AB100" i="79" s="1"/>
  <c r="AD52" i="89" s="1"/>
  <c r="AC94" i="79"/>
  <c r="AC101" i="79"/>
  <c r="AC97" i="79"/>
  <c r="AF71" i="79"/>
  <c r="AE71" i="79"/>
  <c r="AC68" i="79"/>
  <c r="AC67" i="79" s="1"/>
  <c r="AE40" i="89" s="1"/>
  <c r="AC93" i="79" l="1"/>
  <c r="AC104" i="79"/>
  <c r="AC100" i="79" s="1"/>
  <c r="AE52" i="89" s="1"/>
  <c r="AD97" i="79"/>
  <c r="AD101" i="79"/>
  <c r="AD94" i="79"/>
  <c r="AD68" i="79"/>
  <c r="AD67" i="79" s="1"/>
  <c r="AF40" i="89" s="1"/>
  <c r="AD93" i="79" l="1"/>
  <c r="AD104" i="79"/>
  <c r="AD100" i="79" s="1"/>
  <c r="AF52" i="89" s="1"/>
  <c r="AF97" i="79"/>
  <c r="AE97" i="79"/>
  <c r="AF94" i="79"/>
  <c r="AE94" i="79"/>
  <c r="AF101" i="79"/>
  <c r="AE101" i="79"/>
  <c r="AE68" i="79"/>
  <c r="AE67" i="79" s="1"/>
  <c r="AG40" i="89" s="1"/>
  <c r="AF68" i="79"/>
  <c r="AF67" i="79" s="1"/>
  <c r="AH40" i="89" s="1"/>
  <c r="AE93" i="79" l="1"/>
  <c r="AF93" i="79"/>
  <c r="AF104" i="79"/>
  <c r="AF100" i="79" s="1"/>
  <c r="AH52" i="89" s="1"/>
  <c r="AE104" i="79"/>
  <c r="AE100" i="79" s="1"/>
  <c r="AG52" i="89" s="1"/>
  <c r="AH67" i="79"/>
  <c r="AH100" i="79" l="1"/>
  <c r="AN137" i="59" l="1"/>
  <c r="AM137" i="59"/>
  <c r="AL137" i="59"/>
  <c r="AK137" i="59"/>
  <c r="AJ137" i="59"/>
  <c r="AI137" i="59"/>
  <c r="AH137" i="59"/>
  <c r="AG137" i="59"/>
  <c r="AF137" i="59"/>
  <c r="AE137" i="59"/>
  <c r="AD137" i="59"/>
  <c r="AC137" i="59"/>
  <c r="AB137" i="59"/>
  <c r="AA137" i="59"/>
  <c r="Z137" i="59"/>
  <c r="Y137" i="59"/>
  <c r="X137" i="59"/>
  <c r="W137" i="59"/>
  <c r="V137" i="59"/>
  <c r="U137" i="59"/>
  <c r="T137" i="59"/>
  <c r="S137" i="59"/>
  <c r="R137" i="59"/>
  <c r="Q137" i="59"/>
  <c r="P137" i="59"/>
  <c r="O137" i="59"/>
  <c r="N137" i="59"/>
  <c r="L137" i="59"/>
  <c r="K137" i="59"/>
  <c r="H137" i="59"/>
  <c r="C922" i="59" l="1"/>
  <c r="D512" i="59"/>
  <c r="AH119" i="24" l="1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H61" i="59" l="1"/>
  <c r="I61" i="59"/>
  <c r="J61" i="59"/>
  <c r="K61" i="59"/>
  <c r="L61" i="59"/>
  <c r="M61" i="59"/>
  <c r="N61" i="59"/>
  <c r="O61" i="59"/>
  <c r="P61" i="59"/>
  <c r="Q61" i="59"/>
  <c r="R61" i="59"/>
  <c r="S61" i="59"/>
  <c r="T61" i="59"/>
  <c r="U61" i="59"/>
  <c r="V61" i="59"/>
  <c r="W61" i="59"/>
  <c r="X61" i="59"/>
  <c r="Y61" i="59"/>
  <c r="Z61" i="59"/>
  <c r="AA61" i="59"/>
  <c r="AB61" i="59"/>
  <c r="AC61" i="59"/>
  <c r="AD61" i="59"/>
  <c r="AE61" i="59"/>
  <c r="AF61" i="59"/>
  <c r="AG61" i="59"/>
  <c r="AH61" i="59"/>
  <c r="AI61" i="59"/>
  <c r="AJ61" i="59"/>
  <c r="AK61" i="59"/>
  <c r="AL61" i="59"/>
  <c r="AM61" i="59"/>
  <c r="AN61" i="59"/>
  <c r="AG110" i="79" l="1"/>
  <c r="AN387" i="63" l="1"/>
  <c r="AN388" i="63"/>
  <c r="E286" i="59" l="1"/>
  <c r="AD286" i="59" s="1"/>
  <c r="E284" i="59"/>
  <c r="AJ284" i="59" s="1"/>
  <c r="E282" i="59"/>
  <c r="AH282" i="59" s="1"/>
  <c r="E280" i="59"/>
  <c r="G280" i="59" s="1"/>
  <c r="AE139" i="59"/>
  <c r="AD139" i="59"/>
  <c r="AH139" i="59"/>
  <c r="AG139" i="59"/>
  <c r="AF139" i="59"/>
  <c r="AC139" i="59"/>
  <c r="Z139" i="59"/>
  <c r="Y139" i="59"/>
  <c r="X139" i="59"/>
  <c r="R139" i="59"/>
  <c r="Q139" i="59"/>
  <c r="P139" i="59"/>
  <c r="O139" i="59"/>
  <c r="M139" i="59"/>
  <c r="J139" i="59"/>
  <c r="I139" i="59"/>
  <c r="H139" i="59"/>
  <c r="E116" i="24"/>
  <c r="F116" i="24" s="1"/>
  <c r="G116" i="24" s="1"/>
  <c r="H116" i="24" s="1"/>
  <c r="I116" i="24" s="1"/>
  <c r="J116" i="24" s="1"/>
  <c r="K116" i="24" s="1"/>
  <c r="L116" i="24" s="1"/>
  <c r="M116" i="24" s="1"/>
  <c r="N116" i="24" s="1"/>
  <c r="O116" i="24" s="1"/>
  <c r="P116" i="24" s="1"/>
  <c r="Q116" i="24" s="1"/>
  <c r="R116" i="24" s="1"/>
  <c r="S116" i="24" s="1"/>
  <c r="T116" i="24" s="1"/>
  <c r="U116" i="24" s="1"/>
  <c r="V116" i="24" s="1"/>
  <c r="W116" i="24" s="1"/>
  <c r="X116" i="24" s="1"/>
  <c r="Y116" i="24" s="1"/>
  <c r="Z116" i="24" s="1"/>
  <c r="AA116" i="24" s="1"/>
  <c r="AB116" i="24" s="1"/>
  <c r="AC116" i="24" s="1"/>
  <c r="AD116" i="24" s="1"/>
  <c r="AE116" i="24" s="1"/>
  <c r="AF116" i="24" s="1"/>
  <c r="AG116" i="24" s="1"/>
  <c r="AH116" i="24" s="1"/>
  <c r="N284" i="59" l="1"/>
  <c r="AC284" i="59"/>
  <c r="P286" i="59"/>
  <c r="W286" i="59"/>
  <c r="V280" i="59"/>
  <c r="X286" i="59"/>
  <c r="AG286" i="59"/>
  <c r="U280" i="59"/>
  <c r="AB280" i="59"/>
  <c r="O286" i="59"/>
  <c r="AD280" i="59"/>
  <c r="L280" i="59"/>
  <c r="N280" i="59"/>
  <c r="AE286" i="59"/>
  <c r="T280" i="59"/>
  <c r="H286" i="59"/>
  <c r="S282" i="59"/>
  <c r="AC280" i="59"/>
  <c r="AA282" i="59"/>
  <c r="G286" i="59"/>
  <c r="Y286" i="59"/>
  <c r="K282" i="59"/>
  <c r="AI282" i="59"/>
  <c r="AD284" i="59"/>
  <c r="M280" i="59"/>
  <c r="AJ280" i="59"/>
  <c r="M284" i="59"/>
  <c r="I286" i="59"/>
  <c r="AF286" i="59"/>
  <c r="U284" i="59"/>
  <c r="V284" i="59"/>
  <c r="Q286" i="59"/>
  <c r="AB282" i="59"/>
  <c r="U282" i="59"/>
  <c r="O284" i="59"/>
  <c r="AE284" i="59"/>
  <c r="W280" i="59"/>
  <c r="V282" i="59"/>
  <c r="H284" i="59"/>
  <c r="P284" i="59"/>
  <c r="X284" i="59"/>
  <c r="AF284" i="59"/>
  <c r="J286" i="59"/>
  <c r="R286" i="59"/>
  <c r="Z286" i="59"/>
  <c r="AH286" i="59"/>
  <c r="H280" i="59"/>
  <c r="P280" i="59"/>
  <c r="X280" i="59"/>
  <c r="AF280" i="59"/>
  <c r="G282" i="59"/>
  <c r="O282" i="59"/>
  <c r="W282" i="59"/>
  <c r="AE282" i="59"/>
  <c r="I284" i="59"/>
  <c r="Q284" i="59"/>
  <c r="Y284" i="59"/>
  <c r="AG284" i="59"/>
  <c r="K286" i="59"/>
  <c r="S286" i="59"/>
  <c r="AA286" i="59"/>
  <c r="AI286" i="59"/>
  <c r="L282" i="59"/>
  <c r="AJ282" i="59"/>
  <c r="AC282" i="59"/>
  <c r="O280" i="59"/>
  <c r="I280" i="59"/>
  <c r="Y280" i="59"/>
  <c r="H282" i="59"/>
  <c r="X282" i="59"/>
  <c r="J284" i="59"/>
  <c r="Z284" i="59"/>
  <c r="L286" i="59"/>
  <c r="AJ286" i="59"/>
  <c r="J280" i="59"/>
  <c r="R280" i="59"/>
  <c r="Z280" i="59"/>
  <c r="AH280" i="59"/>
  <c r="I282" i="59"/>
  <c r="Q282" i="59"/>
  <c r="Y282" i="59"/>
  <c r="AG282" i="59"/>
  <c r="K284" i="59"/>
  <c r="S284" i="59"/>
  <c r="AA284" i="59"/>
  <c r="AI284" i="59"/>
  <c r="M286" i="59"/>
  <c r="U286" i="59"/>
  <c r="AC286" i="59"/>
  <c r="T282" i="59"/>
  <c r="M282" i="59"/>
  <c r="G284" i="59"/>
  <c r="W284" i="59"/>
  <c r="AE280" i="59"/>
  <c r="N282" i="59"/>
  <c r="AD282" i="59"/>
  <c r="Q280" i="59"/>
  <c r="AG280" i="59"/>
  <c r="P282" i="59"/>
  <c r="AF282" i="59"/>
  <c r="R284" i="59"/>
  <c r="AH284" i="59"/>
  <c r="T286" i="59"/>
  <c r="AB286" i="59"/>
  <c r="K280" i="59"/>
  <c r="S280" i="59"/>
  <c r="AA280" i="59"/>
  <c r="AI280" i="59"/>
  <c r="J282" i="59"/>
  <c r="R282" i="59"/>
  <c r="Z282" i="59"/>
  <c r="L284" i="59"/>
  <c r="T284" i="59"/>
  <c r="AB284" i="59"/>
  <c r="N286" i="59"/>
  <c r="V286" i="59"/>
  <c r="T139" i="59"/>
  <c r="N139" i="59"/>
  <c r="AB139" i="59"/>
  <c r="S139" i="59"/>
  <c r="G139" i="59"/>
  <c r="U139" i="59"/>
  <c r="AI139" i="59"/>
  <c r="K139" i="59"/>
  <c r="V139" i="59"/>
  <c r="AJ139" i="59"/>
  <c r="L139" i="59"/>
  <c r="W139" i="59"/>
  <c r="AA139" i="59"/>
  <c r="G141" i="59" l="1"/>
  <c r="H141" i="59" s="1"/>
  <c r="I141" i="59" s="1"/>
  <c r="J141" i="59" s="1"/>
  <c r="K141" i="59" s="1"/>
  <c r="L141" i="59" s="1"/>
  <c r="M141" i="59" s="1"/>
  <c r="N141" i="59" s="1"/>
  <c r="O141" i="59" s="1"/>
  <c r="P141" i="59" s="1"/>
  <c r="Q141" i="59" s="1"/>
  <c r="R141" i="59" s="1"/>
  <c r="S141" i="59" s="1"/>
  <c r="T141" i="59" s="1"/>
  <c r="U141" i="59" s="1"/>
  <c r="V141" i="59" s="1"/>
  <c r="W141" i="59" s="1"/>
  <c r="X141" i="59" s="1"/>
  <c r="Y141" i="59" s="1"/>
  <c r="Z141" i="59" s="1"/>
  <c r="AA141" i="59" s="1"/>
  <c r="AB141" i="59" s="1"/>
  <c r="AC141" i="59" s="1"/>
  <c r="AD141" i="59" s="1"/>
  <c r="AE141" i="59" s="1"/>
  <c r="AF141" i="59" s="1"/>
  <c r="AG141" i="59" s="1"/>
  <c r="AH141" i="59" s="1"/>
  <c r="AI141" i="59" s="1"/>
  <c r="AJ141" i="59" s="1"/>
  <c r="G143" i="59"/>
  <c r="G142" i="59"/>
  <c r="G144" i="59"/>
  <c r="G147" i="59"/>
  <c r="G146" i="59"/>
  <c r="G145" i="59"/>
  <c r="F280" i="59"/>
  <c r="D330" i="24"/>
  <c r="D1018" i="59"/>
  <c r="H144" i="59" l="1"/>
  <c r="H142" i="59"/>
  <c r="I142" i="59" s="1"/>
  <c r="J142" i="59" s="1"/>
  <c r="K142" i="59" s="1"/>
  <c r="L142" i="59" s="1"/>
  <c r="M142" i="59" s="1"/>
  <c r="N142" i="59" s="1"/>
  <c r="O142" i="59" s="1"/>
  <c r="P142" i="59" s="1"/>
  <c r="Q142" i="59" s="1"/>
  <c r="R142" i="59" s="1"/>
  <c r="S142" i="59" s="1"/>
  <c r="T142" i="59" s="1"/>
  <c r="U142" i="59" s="1"/>
  <c r="V142" i="59" s="1"/>
  <c r="W142" i="59" s="1"/>
  <c r="X142" i="59" s="1"/>
  <c r="Y142" i="59" s="1"/>
  <c r="Z142" i="59" s="1"/>
  <c r="AA142" i="59" s="1"/>
  <c r="AB142" i="59" s="1"/>
  <c r="AC142" i="59" s="1"/>
  <c r="AD142" i="59" s="1"/>
  <c r="AE142" i="59" s="1"/>
  <c r="AF142" i="59" s="1"/>
  <c r="AG142" i="59" s="1"/>
  <c r="AH142" i="59" s="1"/>
  <c r="AI142" i="59" s="1"/>
  <c r="AJ142" i="59" s="1"/>
  <c r="H143" i="59"/>
  <c r="I143" i="59" s="1"/>
  <c r="J143" i="59" s="1"/>
  <c r="K143" i="59" s="1"/>
  <c r="L143" i="59" s="1"/>
  <c r="M143" i="59" s="1"/>
  <c r="N143" i="59" s="1"/>
  <c r="O143" i="59" s="1"/>
  <c r="P143" i="59" s="1"/>
  <c r="Q143" i="59" s="1"/>
  <c r="R143" i="59" s="1"/>
  <c r="S143" i="59" s="1"/>
  <c r="T143" i="59" s="1"/>
  <c r="U143" i="59" s="1"/>
  <c r="V143" i="59" s="1"/>
  <c r="W143" i="59" s="1"/>
  <c r="X143" i="59" s="1"/>
  <c r="Y143" i="59" s="1"/>
  <c r="Z143" i="59" s="1"/>
  <c r="AA143" i="59" s="1"/>
  <c r="AB143" i="59" s="1"/>
  <c r="AC143" i="59" s="1"/>
  <c r="AD143" i="59" s="1"/>
  <c r="AE143" i="59" s="1"/>
  <c r="AF143" i="59" s="1"/>
  <c r="AG143" i="59" s="1"/>
  <c r="AH143" i="59" s="1"/>
  <c r="AI143" i="59" s="1"/>
  <c r="AJ143" i="59" s="1"/>
  <c r="H146" i="59"/>
  <c r="H147" i="59"/>
  <c r="H145" i="59"/>
  <c r="D11" i="56"/>
  <c r="C231" i="24"/>
  <c r="F142" i="59" l="1"/>
  <c r="F143" i="59"/>
  <c r="W288" i="24"/>
  <c r="X288" i="24"/>
  <c r="Y288" i="24"/>
  <c r="Z288" i="24"/>
  <c r="AA288" i="24"/>
  <c r="AB288" i="24"/>
  <c r="AC288" i="24"/>
  <c r="AD288" i="24"/>
  <c r="AE288" i="24"/>
  <c r="AF288" i="24"/>
  <c r="AG288" i="24"/>
  <c r="AH288" i="24"/>
  <c r="AI288" i="24"/>
  <c r="AJ288" i="24"/>
  <c r="AK288" i="24"/>
  <c r="I289" i="24"/>
  <c r="J289" i="24"/>
  <c r="K289" i="24"/>
  <c r="L289" i="24"/>
  <c r="M289" i="24"/>
  <c r="N289" i="24"/>
  <c r="O289" i="24"/>
  <c r="P289" i="24"/>
  <c r="Q289" i="24"/>
  <c r="R289" i="24"/>
  <c r="S289" i="24"/>
  <c r="T289" i="24"/>
  <c r="U289" i="24"/>
  <c r="V289" i="24"/>
  <c r="H289" i="24"/>
  <c r="C348" i="59" l="1"/>
  <c r="C34" i="60" s="1"/>
  <c r="AM327" i="59"/>
  <c r="AL327" i="59"/>
  <c r="AK327" i="59"/>
  <c r="AF327" i="59"/>
  <c r="AF34" i="60" s="1"/>
  <c r="X327" i="59"/>
  <c r="X34" i="60" s="1"/>
  <c r="P327" i="59"/>
  <c r="P34" i="60" s="1"/>
  <c r="H327" i="59"/>
  <c r="H34" i="60" s="1"/>
  <c r="AN327" i="59"/>
  <c r="E327" i="59"/>
  <c r="AI327" i="59"/>
  <c r="AH327" i="59"/>
  <c r="AH34" i="60" s="1"/>
  <c r="AG327" i="59"/>
  <c r="AG34" i="60" s="1"/>
  <c r="AA327" i="59"/>
  <c r="Z327" i="59"/>
  <c r="Z34" i="60" s="1"/>
  <c r="Y327" i="59"/>
  <c r="Y34" i="60" s="1"/>
  <c r="S327" i="59"/>
  <c r="R327" i="59"/>
  <c r="R34" i="60" s="1"/>
  <c r="Q327" i="59"/>
  <c r="Q34" i="60" s="1"/>
  <c r="K327" i="59"/>
  <c r="J327" i="59"/>
  <c r="J34" i="60" s="1"/>
  <c r="I327" i="59"/>
  <c r="I34" i="60" s="1"/>
  <c r="AJ327" i="59"/>
  <c r="AE327" i="59"/>
  <c r="AE34" i="60" s="1"/>
  <c r="AD327" i="59"/>
  <c r="AD34" i="60" s="1"/>
  <c r="AC327" i="59"/>
  <c r="AC34" i="60" s="1"/>
  <c r="AB327" i="59"/>
  <c r="W327" i="59"/>
  <c r="W34" i="60" s="1"/>
  <c r="V327" i="59"/>
  <c r="V34" i="60" s="1"/>
  <c r="U327" i="59"/>
  <c r="U34" i="60" s="1"/>
  <c r="T327" i="59"/>
  <c r="O327" i="59"/>
  <c r="O34" i="60" s="1"/>
  <c r="N327" i="59"/>
  <c r="N34" i="60" s="1"/>
  <c r="M327" i="59"/>
  <c r="M34" i="60" s="1"/>
  <c r="L327" i="59"/>
  <c r="G327" i="59"/>
  <c r="AK34" i="60" l="1"/>
  <c r="AL34" i="60"/>
  <c r="AM34" i="60"/>
  <c r="K34" i="60"/>
  <c r="S34" i="60"/>
  <c r="AA34" i="60"/>
  <c r="AI34" i="60"/>
  <c r="L34" i="60"/>
  <c r="T34" i="60"/>
  <c r="AB34" i="60"/>
  <c r="AJ34" i="60"/>
  <c r="F327" i="59"/>
  <c r="G34" i="60"/>
  <c r="F282" i="59"/>
  <c r="F286" i="59"/>
  <c r="F284" i="59"/>
  <c r="F34" i="60" l="1"/>
  <c r="D87" i="24" l="1"/>
  <c r="D50" i="59" l="1"/>
  <c r="D68" i="59"/>
  <c r="D38" i="24" l="1"/>
  <c r="C221" i="79" l="1"/>
  <c r="AG140" i="79"/>
  <c r="AG120" i="79"/>
  <c r="D70" i="59" l="1"/>
  <c r="I77" i="59"/>
  <c r="J77" i="59" s="1"/>
  <c r="K77" i="59" s="1"/>
  <c r="L77" i="59" s="1"/>
  <c r="M77" i="59" s="1"/>
  <c r="N77" i="59" s="1"/>
  <c r="O77" i="59" s="1"/>
  <c r="P77" i="59" s="1"/>
  <c r="Q77" i="59" s="1"/>
  <c r="R77" i="59" s="1"/>
  <c r="S77" i="59" s="1"/>
  <c r="T77" i="59" s="1"/>
  <c r="U77" i="59" s="1"/>
  <c r="V77" i="59" s="1"/>
  <c r="W77" i="59" s="1"/>
  <c r="X77" i="59" s="1"/>
  <c r="Y77" i="59" s="1"/>
  <c r="Z77" i="59" s="1"/>
  <c r="AA77" i="59" s="1"/>
  <c r="AB77" i="59" s="1"/>
  <c r="AC77" i="59" s="1"/>
  <c r="AD77" i="59" s="1"/>
  <c r="AE77" i="59" s="1"/>
  <c r="AF77" i="59" s="1"/>
  <c r="AG77" i="59" s="1"/>
  <c r="AH77" i="59" s="1"/>
  <c r="AI77" i="59" s="1"/>
  <c r="AJ77" i="59" s="1"/>
  <c r="AK77" i="59" s="1"/>
  <c r="AL77" i="59" s="1"/>
  <c r="AM77" i="59" s="1"/>
  <c r="AN77" i="59" s="1"/>
  <c r="G58" i="59"/>
  <c r="H58" i="59" s="1"/>
  <c r="I58" i="59" s="1"/>
  <c r="J58" i="59" s="1"/>
  <c r="K58" i="59" s="1"/>
  <c r="L58" i="59" s="1"/>
  <c r="M58" i="59" s="1"/>
  <c r="N58" i="59" s="1"/>
  <c r="O58" i="59" s="1"/>
  <c r="P58" i="59" s="1"/>
  <c r="Q58" i="59" s="1"/>
  <c r="R58" i="59" s="1"/>
  <c r="S58" i="59" s="1"/>
  <c r="T58" i="59" s="1"/>
  <c r="U58" i="59" s="1"/>
  <c r="V58" i="59" s="1"/>
  <c r="W58" i="59" s="1"/>
  <c r="X58" i="59" s="1"/>
  <c r="Y58" i="59" s="1"/>
  <c r="Z58" i="59" s="1"/>
  <c r="AA58" i="59" s="1"/>
  <c r="AB58" i="59" s="1"/>
  <c r="AC58" i="59" s="1"/>
  <c r="AD58" i="59" s="1"/>
  <c r="AE58" i="59" s="1"/>
  <c r="AF58" i="59" s="1"/>
  <c r="AG58" i="59" s="1"/>
  <c r="AH58" i="59" s="1"/>
  <c r="AI58" i="59" s="1"/>
  <c r="AJ58" i="59" s="1"/>
  <c r="AK58" i="59" s="1"/>
  <c r="AL58" i="59" s="1"/>
  <c r="AM58" i="59" s="1"/>
  <c r="AN58" i="59" s="1"/>
  <c r="E73" i="59"/>
  <c r="E72" i="59"/>
  <c r="C73" i="59"/>
  <c r="C72" i="59"/>
  <c r="C57" i="59"/>
  <c r="C95" i="59"/>
  <c r="C56" i="59"/>
  <c r="C94" i="59"/>
  <c r="E57" i="59"/>
  <c r="E56" i="59"/>
  <c r="D69" i="59"/>
  <c r="G137" i="59"/>
  <c r="D109" i="24"/>
  <c r="G152" i="59" l="1"/>
  <c r="G160" i="59" s="1"/>
  <c r="G151" i="59"/>
  <c r="G159" i="59" s="1"/>
  <c r="G154" i="59"/>
  <c r="G162" i="59" s="1"/>
  <c r="G155" i="59"/>
  <c r="G163" i="59" s="1"/>
  <c r="G149" i="59"/>
  <c r="G157" i="59" s="1"/>
  <c r="G153" i="59"/>
  <c r="G161" i="59" s="1"/>
  <c r="E63" i="89"/>
  <c r="G74" i="59"/>
  <c r="H74" i="59" s="1"/>
  <c r="I74" i="59" s="1"/>
  <c r="J74" i="59" s="1"/>
  <c r="K74" i="59" s="1"/>
  <c r="L74" i="59" s="1"/>
  <c r="M74" i="59" s="1"/>
  <c r="N74" i="59" s="1"/>
  <c r="O74" i="59" s="1"/>
  <c r="P74" i="59" s="1"/>
  <c r="Q74" i="59" s="1"/>
  <c r="R74" i="59" s="1"/>
  <c r="S74" i="59" s="1"/>
  <c r="T74" i="59" s="1"/>
  <c r="U74" i="59" s="1"/>
  <c r="V74" i="59" s="1"/>
  <c r="W74" i="59" s="1"/>
  <c r="X74" i="59" s="1"/>
  <c r="Y74" i="59" s="1"/>
  <c r="Z74" i="59" s="1"/>
  <c r="AA74" i="59" s="1"/>
  <c r="AB74" i="59" s="1"/>
  <c r="AC74" i="59" s="1"/>
  <c r="AD74" i="59" s="1"/>
  <c r="AE74" i="59" s="1"/>
  <c r="AF74" i="59" s="1"/>
  <c r="AG74" i="59" s="1"/>
  <c r="AH74" i="59" s="1"/>
  <c r="AI74" i="59" s="1"/>
  <c r="AJ74" i="59" s="1"/>
  <c r="AK74" i="59" s="1"/>
  <c r="AL74" i="59" s="1"/>
  <c r="AM74" i="59" s="1"/>
  <c r="AN74" i="59" s="1"/>
  <c r="G150" i="59"/>
  <c r="G158" i="59" s="1"/>
  <c r="C331" i="59"/>
  <c r="C352" i="59" s="1"/>
  <c r="C38" i="60" s="1"/>
  <c r="AN310" i="59"/>
  <c r="AN331" i="59" s="1"/>
  <c r="AM310" i="59"/>
  <c r="AM331" i="59" s="1"/>
  <c r="AL310" i="59"/>
  <c r="AL331" i="59" s="1"/>
  <c r="AK310" i="59"/>
  <c r="AK331" i="59" s="1"/>
  <c r="E309" i="59"/>
  <c r="F309" i="59"/>
  <c r="H152" i="59" l="1"/>
  <c r="H160" i="59" s="1"/>
  <c r="H151" i="59"/>
  <c r="H155" i="59"/>
  <c r="H163" i="59" s="1"/>
  <c r="H154" i="59"/>
  <c r="H162" i="59" s="1"/>
  <c r="H153" i="59"/>
  <c r="H161" i="59" s="1"/>
  <c r="F63" i="89"/>
  <c r="G63" i="89"/>
  <c r="E62" i="89"/>
  <c r="C108" i="79"/>
  <c r="H149" i="59"/>
  <c r="H157" i="59" s="1"/>
  <c r="H150" i="59"/>
  <c r="H158" i="59" s="1"/>
  <c r="I152" i="59" l="1"/>
  <c r="I151" i="59"/>
  <c r="I159" i="59" s="1"/>
  <c r="H159" i="59"/>
  <c r="H167" i="59" s="1"/>
  <c r="H63" i="89"/>
  <c r="I63" i="89"/>
  <c r="I62" i="89" l="1"/>
  <c r="G108" i="79"/>
  <c r="J63" i="89"/>
  <c r="F108" i="79"/>
  <c r="H62" i="89"/>
  <c r="H108" i="79" l="1"/>
  <c r="J62" i="89"/>
  <c r="K63" i="89"/>
  <c r="L63" i="89" l="1"/>
  <c r="K62" i="89"/>
  <c r="I108" i="79"/>
  <c r="M63" i="89" l="1"/>
  <c r="L62" i="89"/>
  <c r="J108" i="79"/>
  <c r="N63" i="89" l="1"/>
  <c r="K108" i="79"/>
  <c r="M62" i="89"/>
  <c r="O63" i="89" l="1"/>
  <c r="N62" i="89"/>
  <c r="L108" i="79"/>
  <c r="P63" i="89" l="1"/>
  <c r="Q63" i="89" l="1"/>
  <c r="R63" i="89" l="1"/>
  <c r="S63" i="89" l="1"/>
  <c r="R62" i="89"/>
  <c r="P108" i="79"/>
  <c r="T63" i="89" l="1"/>
  <c r="S62" i="89"/>
  <c r="Q108" i="79"/>
  <c r="U63" i="89" l="1"/>
  <c r="T62" i="89"/>
  <c r="R108" i="79"/>
  <c r="V63" i="89" l="1"/>
  <c r="U62" i="89"/>
  <c r="S108" i="79"/>
  <c r="W63" i="89" l="1"/>
  <c r="V62" i="89"/>
  <c r="T108" i="79"/>
  <c r="X63" i="89" l="1"/>
  <c r="W62" i="89"/>
  <c r="U108" i="79"/>
  <c r="Y63" i="89" l="1"/>
  <c r="V108" i="79"/>
  <c r="X62" i="89"/>
  <c r="Z63" i="89" l="1"/>
  <c r="AA63" i="89" l="1"/>
  <c r="AB63" i="89" l="1"/>
  <c r="AC63" i="89" l="1"/>
  <c r="AB62" i="89"/>
  <c r="Z108" i="79"/>
  <c r="AD63" i="89" l="1"/>
  <c r="AA108" i="79"/>
  <c r="AC62" i="89"/>
  <c r="AE63" i="89" l="1"/>
  <c r="AD62" i="89"/>
  <c r="AB108" i="79"/>
  <c r="AF63" i="89" l="1"/>
  <c r="AE62" i="89"/>
  <c r="AC108" i="79"/>
  <c r="AG63" i="89" l="1"/>
  <c r="AH63" i="89"/>
  <c r="AF62" i="89"/>
  <c r="AD108" i="79"/>
  <c r="C204" i="79"/>
  <c r="D204" i="79"/>
  <c r="C207" i="79"/>
  <c r="D207" i="79"/>
  <c r="C191" i="79"/>
  <c r="C194" i="79"/>
  <c r="C197" i="79"/>
  <c r="C200" i="79"/>
  <c r="D260" i="24"/>
  <c r="AH62" i="89" l="1"/>
  <c r="AF108" i="79"/>
  <c r="AG62" i="89"/>
  <c r="AE108" i="79"/>
  <c r="C203" i="79"/>
  <c r="E70" i="89" s="1"/>
  <c r="C190" i="79"/>
  <c r="E204" i="79"/>
  <c r="D200" i="79"/>
  <c r="D203" i="79"/>
  <c r="F70" i="89" s="1"/>
  <c r="D191" i="79"/>
  <c r="E191" i="79"/>
  <c r="E197" i="79"/>
  <c r="E194" i="79"/>
  <c r="D197" i="79"/>
  <c r="D194" i="79"/>
  <c r="D364" i="59"/>
  <c r="E69" i="89" l="1"/>
  <c r="C189" i="79"/>
  <c r="E207" i="79"/>
  <c r="E203" i="79" s="1"/>
  <c r="G70" i="89" s="1"/>
  <c r="F207" i="79"/>
  <c r="F204" i="79"/>
  <c r="G207" i="79"/>
  <c r="D190" i="79"/>
  <c r="E200" i="79"/>
  <c r="E190" i="79" s="1"/>
  <c r="F191" i="79"/>
  <c r="G200" i="79"/>
  <c r="F200" i="79"/>
  <c r="G191" i="79"/>
  <c r="F194" i="79"/>
  <c r="F197" i="79"/>
  <c r="D189" i="79" l="1"/>
  <c r="F69" i="89"/>
  <c r="G69" i="89"/>
  <c r="E189" i="79"/>
  <c r="F203" i="79"/>
  <c r="H70" i="89" s="1"/>
  <c r="G204" i="79"/>
  <c r="G203" i="79" s="1"/>
  <c r="I70" i="89" s="1"/>
  <c r="F190" i="79"/>
  <c r="H207" i="79"/>
  <c r="H200" i="79"/>
  <c r="I200" i="79"/>
  <c r="J200" i="79"/>
  <c r="H191" i="79"/>
  <c r="G194" i="79"/>
  <c r="G197" i="79"/>
  <c r="H69" i="89" l="1"/>
  <c r="F189" i="79"/>
  <c r="G190" i="79"/>
  <c r="I207" i="79"/>
  <c r="K200" i="79"/>
  <c r="I191" i="79"/>
  <c r="H194" i="79"/>
  <c r="H197" i="79"/>
  <c r="I69" i="89" l="1"/>
  <c r="G189" i="79"/>
  <c r="H190" i="79"/>
  <c r="H204" i="79"/>
  <c r="H203" i="79" s="1"/>
  <c r="J70" i="89" s="1"/>
  <c r="J207" i="79"/>
  <c r="I204" i="79"/>
  <c r="I203" i="79" s="1"/>
  <c r="K70" i="89" s="1"/>
  <c r="L200" i="79"/>
  <c r="I194" i="79"/>
  <c r="I197" i="79"/>
  <c r="J191" i="79"/>
  <c r="F87" i="24"/>
  <c r="G87" i="24" s="1"/>
  <c r="H87" i="24" s="1"/>
  <c r="J69" i="89" l="1"/>
  <c r="H189" i="79"/>
  <c r="I190" i="79"/>
  <c r="J204" i="79"/>
  <c r="J203" i="79" s="1"/>
  <c r="L70" i="89" s="1"/>
  <c r="K207" i="79"/>
  <c r="M200" i="79"/>
  <c r="K191" i="79"/>
  <c r="J197" i="79"/>
  <c r="J194" i="79"/>
  <c r="K69" i="89" l="1"/>
  <c r="I189" i="79"/>
  <c r="J190" i="79"/>
  <c r="K204" i="79"/>
  <c r="K203" i="79" s="1"/>
  <c r="M70" i="89" s="1"/>
  <c r="L207" i="79"/>
  <c r="N200" i="79"/>
  <c r="K194" i="79"/>
  <c r="L191" i="79"/>
  <c r="K197" i="79"/>
  <c r="L69" i="89" l="1"/>
  <c r="J189" i="79"/>
  <c r="K190" i="79"/>
  <c r="M207" i="79"/>
  <c r="L204" i="79"/>
  <c r="L203" i="79" s="1"/>
  <c r="N70" i="89" s="1"/>
  <c r="O200" i="79"/>
  <c r="L194" i="79"/>
  <c r="L197" i="79"/>
  <c r="M191" i="79"/>
  <c r="M69" i="89" l="1"/>
  <c r="K189" i="79"/>
  <c r="L190" i="79"/>
  <c r="M204" i="79"/>
  <c r="M203" i="79" s="1"/>
  <c r="O70" i="89" s="1"/>
  <c r="N207" i="79"/>
  <c r="P200" i="79"/>
  <c r="M197" i="79"/>
  <c r="M194" i="79"/>
  <c r="N191" i="79"/>
  <c r="L189" i="79" l="1"/>
  <c r="N69" i="89"/>
  <c r="M190" i="79"/>
  <c r="N204" i="79"/>
  <c r="N203" i="79" s="1"/>
  <c r="P70" i="89" s="1"/>
  <c r="O207" i="79"/>
  <c r="Q200" i="79"/>
  <c r="N194" i="79"/>
  <c r="O191" i="79"/>
  <c r="N197" i="79"/>
  <c r="O69" i="89" l="1"/>
  <c r="M189" i="79"/>
  <c r="N190" i="79"/>
  <c r="P207" i="79"/>
  <c r="O204" i="79"/>
  <c r="O203" i="79" s="1"/>
  <c r="Q70" i="89" s="1"/>
  <c r="R200" i="79"/>
  <c r="O197" i="79"/>
  <c r="O194" i="79"/>
  <c r="P191" i="79"/>
  <c r="N189" i="79" l="1"/>
  <c r="P69" i="89"/>
  <c r="O190" i="79"/>
  <c r="P204" i="79"/>
  <c r="P203" i="79" s="1"/>
  <c r="R70" i="89" s="1"/>
  <c r="Q207" i="79"/>
  <c r="S200" i="79"/>
  <c r="Q191" i="79"/>
  <c r="P194" i="79"/>
  <c r="P197" i="79"/>
  <c r="Q69" i="89" l="1"/>
  <c r="O189" i="79"/>
  <c r="P190" i="79"/>
  <c r="R207" i="79"/>
  <c r="Q204" i="79"/>
  <c r="Q203" i="79" s="1"/>
  <c r="S70" i="89" s="1"/>
  <c r="T200" i="79"/>
  <c r="Q197" i="79"/>
  <c r="Q194" i="79"/>
  <c r="R191" i="79"/>
  <c r="R69" i="89" l="1"/>
  <c r="P189" i="79"/>
  <c r="Q190" i="79"/>
  <c r="R204" i="79"/>
  <c r="R203" i="79" s="1"/>
  <c r="T70" i="89" s="1"/>
  <c r="S207" i="79"/>
  <c r="U200" i="79"/>
  <c r="R194" i="79"/>
  <c r="S191" i="79"/>
  <c r="R197" i="79"/>
  <c r="S69" i="89" l="1"/>
  <c r="Q189" i="79"/>
  <c r="R190" i="79"/>
  <c r="S204" i="79"/>
  <c r="S203" i="79" s="1"/>
  <c r="U70" i="89" s="1"/>
  <c r="T207" i="79"/>
  <c r="V200" i="79"/>
  <c r="S197" i="79"/>
  <c r="T191" i="79"/>
  <c r="S194" i="79"/>
  <c r="T69" i="89" l="1"/>
  <c r="R189" i="79"/>
  <c r="S190" i="79"/>
  <c r="U207" i="79"/>
  <c r="T204" i="79"/>
  <c r="T203" i="79" s="1"/>
  <c r="V70" i="89" s="1"/>
  <c r="W200" i="79"/>
  <c r="U191" i="79"/>
  <c r="T194" i="79"/>
  <c r="T197" i="79"/>
  <c r="S189" i="79" l="1"/>
  <c r="U69" i="89"/>
  <c r="T190" i="79"/>
  <c r="U204" i="79"/>
  <c r="U203" i="79" s="1"/>
  <c r="W70" i="89" s="1"/>
  <c r="V207" i="79"/>
  <c r="X200" i="79"/>
  <c r="U194" i="79"/>
  <c r="V191" i="79"/>
  <c r="U197" i="79"/>
  <c r="T189" i="79" l="1"/>
  <c r="V69" i="89"/>
  <c r="U190" i="79"/>
  <c r="W207" i="79"/>
  <c r="V204" i="79"/>
  <c r="V203" i="79" s="1"/>
  <c r="X70" i="89" s="1"/>
  <c r="Y200" i="79"/>
  <c r="V197" i="79"/>
  <c r="W191" i="79"/>
  <c r="V194" i="79"/>
  <c r="W69" i="89" l="1"/>
  <c r="U189" i="79"/>
  <c r="V190" i="79"/>
  <c r="W204" i="79"/>
  <c r="W203" i="79" s="1"/>
  <c r="Y70" i="89" s="1"/>
  <c r="X207" i="79"/>
  <c r="Z200" i="79"/>
  <c r="W194" i="79"/>
  <c r="X191" i="79"/>
  <c r="W197" i="79"/>
  <c r="V189" i="79" l="1"/>
  <c r="X69" i="89"/>
  <c r="W190" i="79"/>
  <c r="Y207" i="79"/>
  <c r="X204" i="79"/>
  <c r="X203" i="79" s="1"/>
  <c r="Z70" i="89" s="1"/>
  <c r="AA200" i="79"/>
  <c r="X194" i="79"/>
  <c r="Y191" i="79"/>
  <c r="X197" i="79"/>
  <c r="Y69" i="89" l="1"/>
  <c r="W189" i="79"/>
  <c r="X190" i="79"/>
  <c r="Z207" i="79"/>
  <c r="Y204" i="79"/>
  <c r="Y203" i="79" s="1"/>
  <c r="AA70" i="89" s="1"/>
  <c r="AB200" i="79"/>
  <c r="Y197" i="79"/>
  <c r="Z191" i="79"/>
  <c r="Y194" i="79"/>
  <c r="X189" i="79" l="1"/>
  <c r="Z69" i="89"/>
  <c r="Y190" i="79"/>
  <c r="Z204" i="79"/>
  <c r="Z203" i="79" s="1"/>
  <c r="AB70" i="89" s="1"/>
  <c r="AA207" i="79"/>
  <c r="AC200" i="79"/>
  <c r="AA191" i="79"/>
  <c r="Z194" i="79"/>
  <c r="Z197" i="79"/>
  <c r="AA69" i="89" l="1"/>
  <c r="Y189" i="79"/>
  <c r="Z190" i="79"/>
  <c r="AB207" i="79"/>
  <c r="AA204" i="79"/>
  <c r="AA203" i="79" s="1"/>
  <c r="AC70" i="89" s="1"/>
  <c r="AD200" i="79"/>
  <c r="AB191" i="79"/>
  <c r="AA197" i="79"/>
  <c r="AA194" i="79"/>
  <c r="AB69" i="89" l="1"/>
  <c r="Z189" i="79"/>
  <c r="AA190" i="79"/>
  <c r="AB204" i="79"/>
  <c r="AB203" i="79" s="1"/>
  <c r="AD70" i="89" s="1"/>
  <c r="AC207" i="79"/>
  <c r="AF200" i="79"/>
  <c r="AE200" i="79"/>
  <c r="AB197" i="79"/>
  <c r="AB194" i="79"/>
  <c r="AC191" i="79"/>
  <c r="AC69" i="89" l="1"/>
  <c r="AA189" i="79"/>
  <c r="AB190" i="79"/>
  <c r="AC204" i="79"/>
  <c r="AC203" i="79" s="1"/>
  <c r="AE70" i="89" s="1"/>
  <c r="AD207" i="79"/>
  <c r="AD191" i="79"/>
  <c r="AC194" i="79"/>
  <c r="AC197" i="79"/>
  <c r="AB189" i="79" l="1"/>
  <c r="AD69" i="89"/>
  <c r="AC190" i="79"/>
  <c r="AF207" i="79"/>
  <c r="AE207" i="79"/>
  <c r="AD204" i="79"/>
  <c r="AD203" i="79" s="1"/>
  <c r="AF70" i="89" s="1"/>
  <c r="AD197" i="79"/>
  <c r="AD194" i="79"/>
  <c r="AF191" i="79"/>
  <c r="AE191" i="79"/>
  <c r="AE69" i="89" l="1"/>
  <c r="AC189" i="79"/>
  <c r="AD190" i="79"/>
  <c r="AF204" i="79"/>
  <c r="AF203" i="79" s="1"/>
  <c r="AH70" i="89" s="1"/>
  <c r="AE204" i="79"/>
  <c r="AE203" i="79" s="1"/>
  <c r="AG70" i="89" s="1"/>
  <c r="AF194" i="79"/>
  <c r="AE194" i="79"/>
  <c r="AF197" i="79"/>
  <c r="AE197" i="79"/>
  <c r="AD189" i="79" l="1"/>
  <c r="AF69" i="89"/>
  <c r="AE190" i="79"/>
  <c r="AF190" i="79"/>
  <c r="AH203" i="79"/>
  <c r="AG69" i="89" l="1"/>
  <c r="AE189" i="79"/>
  <c r="AF189" i="79"/>
  <c r="AH69" i="89"/>
  <c r="AH190" i="79"/>
  <c r="D5" i="79" l="1"/>
  <c r="E5" i="79" s="1"/>
  <c r="F5" i="79" s="1"/>
  <c r="G5" i="79" s="1"/>
  <c r="H5" i="79" s="1"/>
  <c r="I5" i="79" s="1"/>
  <c r="J5" i="79" s="1"/>
  <c r="K5" i="79" s="1"/>
  <c r="L5" i="79" s="1"/>
  <c r="M5" i="79" s="1"/>
  <c r="N5" i="79" s="1"/>
  <c r="O5" i="79" s="1"/>
  <c r="P5" i="79" s="1"/>
  <c r="Q5" i="79" s="1"/>
  <c r="R5" i="79" s="1"/>
  <c r="S5" i="79" s="1"/>
  <c r="T5" i="79" s="1"/>
  <c r="U5" i="79" s="1"/>
  <c r="V5" i="79" s="1"/>
  <c r="W5" i="79" s="1"/>
  <c r="X5" i="79" s="1"/>
  <c r="Y5" i="79" s="1"/>
  <c r="Z5" i="79" s="1"/>
  <c r="AA5" i="79" s="1"/>
  <c r="AB5" i="79" s="1"/>
  <c r="AC5" i="79" s="1"/>
  <c r="AD5" i="79" s="1"/>
  <c r="AE5" i="79" s="1"/>
  <c r="AF5" i="79" s="1"/>
  <c r="C132" i="59" l="1"/>
  <c r="E132" i="59"/>
  <c r="D19" i="68"/>
  <c r="D198" i="24" l="1"/>
  <c r="D200" i="24" s="1"/>
  <c r="AN357" i="63" l="1"/>
  <c r="D86" i="24" l="1"/>
  <c r="D212" i="24"/>
  <c r="D146" i="24"/>
  <c r="D143" i="24"/>
  <c r="AF221" i="79"/>
  <c r="AF220" i="79" s="1"/>
  <c r="AE221" i="79"/>
  <c r="AE220" i="79" s="1"/>
  <c r="AD221" i="79"/>
  <c r="AD220" i="79" s="1"/>
  <c r="AC221" i="79"/>
  <c r="AC220" i="79" s="1"/>
  <c r="AB221" i="79"/>
  <c r="AB220" i="79" s="1"/>
  <c r="AA221" i="79"/>
  <c r="AA220" i="79" s="1"/>
  <c r="Z221" i="79"/>
  <c r="Z220" i="79" s="1"/>
  <c r="Y221" i="79"/>
  <c r="Y220" i="79" s="1"/>
  <c r="X221" i="79"/>
  <c r="X220" i="79" s="1"/>
  <c r="W221" i="79"/>
  <c r="W220" i="79" s="1"/>
  <c r="V221" i="79"/>
  <c r="V220" i="79" s="1"/>
  <c r="U221" i="79"/>
  <c r="U220" i="79" s="1"/>
  <c r="T221" i="79"/>
  <c r="T220" i="79" s="1"/>
  <c r="S221" i="79"/>
  <c r="S220" i="79" s="1"/>
  <c r="R221" i="79"/>
  <c r="R220" i="79" s="1"/>
  <c r="Q221" i="79"/>
  <c r="Q220" i="79" s="1"/>
  <c r="P221" i="79"/>
  <c r="P220" i="79" s="1"/>
  <c r="O221" i="79"/>
  <c r="O220" i="79" s="1"/>
  <c r="N221" i="79"/>
  <c r="N220" i="79" s="1"/>
  <c r="M221" i="79"/>
  <c r="M220" i="79" s="1"/>
  <c r="L221" i="79"/>
  <c r="L220" i="79" s="1"/>
  <c r="K221" i="79"/>
  <c r="K220" i="79" s="1"/>
  <c r="J221" i="79"/>
  <c r="J220" i="79" s="1"/>
  <c r="I221" i="79"/>
  <c r="I220" i="79" s="1"/>
  <c r="H221" i="79"/>
  <c r="H220" i="79" s="1"/>
  <c r="G221" i="79"/>
  <c r="G220" i="79" s="1"/>
  <c r="F221" i="79"/>
  <c r="F220" i="79" s="1"/>
  <c r="E221" i="79"/>
  <c r="E220" i="79" s="1"/>
  <c r="D221" i="79"/>
  <c r="D220" i="79" s="1"/>
  <c r="C220" i="79"/>
  <c r="C215" i="79"/>
  <c r="C212" i="79"/>
  <c r="D187" i="79"/>
  <c r="E187" i="79" s="1"/>
  <c r="E185" i="79" s="1"/>
  <c r="E184" i="79" s="1"/>
  <c r="V186" i="79"/>
  <c r="AF186" i="79" s="1"/>
  <c r="U186" i="79"/>
  <c r="AE186" i="79" s="1"/>
  <c r="T186" i="79"/>
  <c r="AD186" i="79" s="1"/>
  <c r="S186" i="79"/>
  <c r="AC186" i="79" s="1"/>
  <c r="R186" i="79"/>
  <c r="AB186" i="79" s="1"/>
  <c r="Q186" i="79"/>
  <c r="AA186" i="79" s="1"/>
  <c r="P186" i="79"/>
  <c r="Z186" i="79" s="1"/>
  <c r="O186" i="79"/>
  <c r="Y186" i="79" s="1"/>
  <c r="N186" i="79"/>
  <c r="X186" i="79" s="1"/>
  <c r="M186" i="79"/>
  <c r="W186" i="79" s="1"/>
  <c r="C185" i="79"/>
  <c r="C88" i="79"/>
  <c r="E85" i="79"/>
  <c r="C85" i="79"/>
  <c r="C81" i="79"/>
  <c r="C78" i="79"/>
  <c r="C64" i="79"/>
  <c r="C63" i="79" s="1"/>
  <c r="C55" i="79"/>
  <c r="C54" i="79" s="1"/>
  <c r="D46" i="79"/>
  <c r="D45" i="79" s="1"/>
  <c r="C46" i="79"/>
  <c r="C45" i="79" s="1"/>
  <c r="C36" i="79"/>
  <c r="E14" i="89"/>
  <c r="C77" i="79" l="1"/>
  <c r="C53" i="79"/>
  <c r="E34" i="89" s="1"/>
  <c r="E219" i="79"/>
  <c r="G77" i="89"/>
  <c r="O77" i="89"/>
  <c r="M219" i="79"/>
  <c r="U219" i="79"/>
  <c r="W77" i="89"/>
  <c r="AE77" i="89"/>
  <c r="AE75" i="89" s="1"/>
  <c r="AC219" i="79"/>
  <c r="X77" i="89"/>
  <c r="V219" i="79"/>
  <c r="AD219" i="79"/>
  <c r="AF77" i="89"/>
  <c r="AF75" i="89" s="1"/>
  <c r="Q77" i="89"/>
  <c r="O219" i="79"/>
  <c r="W219" i="79"/>
  <c r="Y77" i="89"/>
  <c r="Y75" i="89" s="1"/>
  <c r="AG77" i="89"/>
  <c r="AG75" i="89" s="1"/>
  <c r="AE219" i="79"/>
  <c r="J77" i="89"/>
  <c r="H219" i="79"/>
  <c r="R77" i="89"/>
  <c r="P219" i="79"/>
  <c r="Z77" i="89"/>
  <c r="Z75" i="89" s="1"/>
  <c r="X219" i="79"/>
  <c r="AH77" i="89"/>
  <c r="AH75" i="89" s="1"/>
  <c r="AF219" i="79"/>
  <c r="K77" i="89"/>
  <c r="I219" i="79"/>
  <c r="S77" i="89"/>
  <c r="Q219" i="79"/>
  <c r="AA77" i="89"/>
  <c r="AA75" i="89" s="1"/>
  <c r="Y219" i="79"/>
  <c r="H77" i="89"/>
  <c r="F219" i="79"/>
  <c r="I77" i="89"/>
  <c r="G219" i="79"/>
  <c r="J219" i="79"/>
  <c r="L77" i="89"/>
  <c r="R219" i="79"/>
  <c r="T77" i="89"/>
  <c r="Z219" i="79"/>
  <c r="AB77" i="89"/>
  <c r="AB75" i="89" s="1"/>
  <c r="P77" i="89"/>
  <c r="N219" i="79"/>
  <c r="C219" i="79"/>
  <c r="E77" i="89"/>
  <c r="M77" i="89"/>
  <c r="K219" i="79"/>
  <c r="U77" i="89"/>
  <c r="S219" i="79"/>
  <c r="AA219" i="79"/>
  <c r="AC77" i="89"/>
  <c r="AC75" i="89" s="1"/>
  <c r="E11" i="89"/>
  <c r="F77" i="89"/>
  <c r="D219" i="79"/>
  <c r="N77" i="89"/>
  <c r="L219" i="79"/>
  <c r="V77" i="89"/>
  <c r="T219" i="79"/>
  <c r="AD77" i="89"/>
  <c r="AD75" i="89" s="1"/>
  <c r="AB219" i="79"/>
  <c r="E51" i="89"/>
  <c r="E12" i="89"/>
  <c r="C211" i="79"/>
  <c r="D64" i="79"/>
  <c r="D63" i="79" s="1"/>
  <c r="C33" i="79"/>
  <c r="C32" i="79" s="1"/>
  <c r="D36" i="79"/>
  <c r="F21" i="89" s="1"/>
  <c r="D185" i="79"/>
  <c r="D184" i="79" s="1"/>
  <c r="C84" i="79"/>
  <c r="E46" i="89" s="1"/>
  <c r="E55" i="79"/>
  <c r="E54" i="79" s="1"/>
  <c r="F55" i="79"/>
  <c r="F54" i="79" s="1"/>
  <c r="E64" i="79"/>
  <c r="E63" i="79" s="1"/>
  <c r="D55" i="79"/>
  <c r="D54" i="79" s="1"/>
  <c r="F85" i="79"/>
  <c r="F212" i="79"/>
  <c r="E212" i="79"/>
  <c r="D88" i="79"/>
  <c r="D212" i="79"/>
  <c r="E21" i="89"/>
  <c r="D85" i="79"/>
  <c r="F187" i="79"/>
  <c r="F185" i="79" s="1"/>
  <c r="D33" i="79"/>
  <c r="D32" i="79" s="1"/>
  <c r="D78" i="79"/>
  <c r="D81" i="79"/>
  <c r="C184" i="79"/>
  <c r="D215" i="79"/>
  <c r="AH220" i="79"/>
  <c r="D77" i="79" l="1"/>
  <c r="E27" i="89"/>
  <c r="E24" i="89" s="1"/>
  <c r="C44" i="79"/>
  <c r="G11" i="89"/>
  <c r="G62" i="89"/>
  <c r="Y62" i="89"/>
  <c r="W108" i="79"/>
  <c r="F62" i="89"/>
  <c r="D108" i="79"/>
  <c r="E39" i="89"/>
  <c r="E36" i="89" s="1"/>
  <c r="C62" i="79"/>
  <c r="C9" i="79"/>
  <c r="C210" i="79"/>
  <c r="E73" i="89"/>
  <c r="E71" i="89" s="1"/>
  <c r="F11" i="89"/>
  <c r="E45" i="89"/>
  <c r="E42" i="89" s="1"/>
  <c r="C75" i="79"/>
  <c r="O62" i="89"/>
  <c r="M108" i="79"/>
  <c r="C92" i="79"/>
  <c r="D48" i="24" s="1"/>
  <c r="F12" i="89"/>
  <c r="D211" i="79"/>
  <c r="AH219" i="79"/>
  <c r="E67" i="89"/>
  <c r="D45" i="24"/>
  <c r="E31" i="89"/>
  <c r="G187" i="79"/>
  <c r="H187" i="79" s="1"/>
  <c r="E46" i="79"/>
  <c r="E45" i="79" s="1"/>
  <c r="G212" i="79"/>
  <c r="F14" i="89"/>
  <c r="G64" i="79"/>
  <c r="G63" i="79" s="1"/>
  <c r="F64" i="79"/>
  <c r="F63" i="79" s="1"/>
  <c r="G55" i="79"/>
  <c r="G54" i="79" s="1"/>
  <c r="D84" i="79"/>
  <c r="F46" i="89" s="1"/>
  <c r="E88" i="79"/>
  <c r="E84" i="79" s="1"/>
  <c r="G46" i="89" s="1"/>
  <c r="F184" i="79"/>
  <c r="H64" i="79"/>
  <c r="H63" i="79" s="1"/>
  <c r="G21" i="89"/>
  <c r="E215" i="79"/>
  <c r="E211" i="79" s="1"/>
  <c r="E81" i="79"/>
  <c r="E78" i="79"/>
  <c r="F46" i="79"/>
  <c r="F45" i="79" s="1"/>
  <c r="E33" i="79"/>
  <c r="E32" i="79" s="1"/>
  <c r="E77" i="79" l="1"/>
  <c r="F53" i="79"/>
  <c r="H34" i="89" s="1"/>
  <c r="E53" i="79"/>
  <c r="G34" i="89" s="1"/>
  <c r="G31" i="89" s="1"/>
  <c r="D53" i="79"/>
  <c r="F34" i="89" s="1"/>
  <c r="F31" i="89" s="1"/>
  <c r="G27" i="89"/>
  <c r="G24" i="89" s="1"/>
  <c r="E44" i="79"/>
  <c r="F27" i="89"/>
  <c r="F24" i="89" s="1"/>
  <c r="D44" i="79"/>
  <c r="G406" i="59"/>
  <c r="H11" i="89"/>
  <c r="G73" i="89"/>
  <c r="G71" i="89" s="1"/>
  <c r="E210" i="79"/>
  <c r="F39" i="89"/>
  <c r="F36" i="89" s="1"/>
  <c r="D62" i="79"/>
  <c r="D9" i="79"/>
  <c r="G39" i="89"/>
  <c r="G36" i="89" s="1"/>
  <c r="E62" i="79"/>
  <c r="P62" i="89"/>
  <c r="N108" i="79"/>
  <c r="F73" i="89"/>
  <c r="F71" i="89" s="1"/>
  <c r="D210" i="79"/>
  <c r="D92" i="79"/>
  <c r="E48" i="24" s="1"/>
  <c r="H406" i="59" s="1"/>
  <c r="H1009" i="59" s="1"/>
  <c r="F51" i="89"/>
  <c r="F48" i="89" s="1"/>
  <c r="F62" i="79"/>
  <c r="H39" i="89"/>
  <c r="X108" i="79"/>
  <c r="Z62" i="89"/>
  <c r="F45" i="89"/>
  <c r="F42" i="89" s="1"/>
  <c r="D75" i="79"/>
  <c r="I39" i="89"/>
  <c r="G62" i="79"/>
  <c r="C31" i="79"/>
  <c r="C7" i="79" s="1"/>
  <c r="E19" i="89"/>
  <c r="E16" i="89" s="1"/>
  <c r="F19" i="89"/>
  <c r="F16" i="89" s="1"/>
  <c r="D31" i="79"/>
  <c r="D46" i="24"/>
  <c r="E48" i="89"/>
  <c r="G85" i="79"/>
  <c r="H85" i="79"/>
  <c r="F67" i="89"/>
  <c r="E54" i="89"/>
  <c r="G185" i="79"/>
  <c r="G184" i="79" s="1"/>
  <c r="U14" i="89"/>
  <c r="F44" i="79"/>
  <c r="F88" i="79"/>
  <c r="F84" i="79" s="1"/>
  <c r="H46" i="89" s="1"/>
  <c r="F78" i="79"/>
  <c r="F81" i="79"/>
  <c r="I187" i="79"/>
  <c r="H185" i="79"/>
  <c r="F215" i="79"/>
  <c r="F211" i="79" s="1"/>
  <c r="F33" i="79"/>
  <c r="F32" i="79" s="1"/>
  <c r="H21" i="89"/>
  <c r="I64" i="79"/>
  <c r="I63" i="79" s="1"/>
  <c r="I85" i="79"/>
  <c r="F77" i="79" l="1"/>
  <c r="G53" i="79"/>
  <c r="I34" i="89" s="1"/>
  <c r="G1009" i="59"/>
  <c r="H27" i="89"/>
  <c r="H24" i="89" s="1"/>
  <c r="G19" i="89"/>
  <c r="G16" i="89" s="1"/>
  <c r="E31" i="79"/>
  <c r="G45" i="89"/>
  <c r="G42" i="89" s="1"/>
  <c r="E75" i="79"/>
  <c r="E92" i="79"/>
  <c r="F48" i="24" s="1"/>
  <c r="I406" i="59" s="1"/>
  <c r="I1009" i="59" s="1"/>
  <c r="G51" i="89"/>
  <c r="G48" i="89" s="1"/>
  <c r="H73" i="89"/>
  <c r="F210" i="79"/>
  <c r="G12" i="89"/>
  <c r="I11" i="89"/>
  <c r="AA62" i="89"/>
  <c r="Y108" i="79"/>
  <c r="J39" i="89"/>
  <c r="H62" i="79"/>
  <c r="K39" i="89"/>
  <c r="I62" i="79"/>
  <c r="Q62" i="89"/>
  <c r="O108" i="79"/>
  <c r="D7" i="79"/>
  <c r="H51" i="89"/>
  <c r="H60" i="89"/>
  <c r="P14" i="89"/>
  <c r="H55" i="79"/>
  <c r="H54" i="79" s="1"/>
  <c r="F60" i="89"/>
  <c r="G67" i="89"/>
  <c r="H36" i="89"/>
  <c r="F54" i="89"/>
  <c r="H212" i="79"/>
  <c r="AD14" i="89"/>
  <c r="G88" i="79"/>
  <c r="G84" i="79" s="1"/>
  <c r="I46" i="89" s="1"/>
  <c r="H36" i="79"/>
  <c r="J85" i="79"/>
  <c r="J64" i="79"/>
  <c r="J63" i="79" s="1"/>
  <c r="I21" i="89"/>
  <c r="H184" i="79"/>
  <c r="G78" i="79"/>
  <c r="I55" i="79"/>
  <c r="I54" i="79" s="1"/>
  <c r="J14" i="89"/>
  <c r="G33" i="79"/>
  <c r="G32" i="79" s="1"/>
  <c r="I185" i="79"/>
  <c r="J187" i="79"/>
  <c r="H46" i="79"/>
  <c r="H45" i="79" s="1"/>
  <c r="I46" i="79"/>
  <c r="I45" i="79" s="1"/>
  <c r="G14" i="89"/>
  <c r="G215" i="79"/>
  <c r="G211" i="79" s="1"/>
  <c r="G81" i="79"/>
  <c r="I212" i="79"/>
  <c r="G77" i="79" l="1"/>
  <c r="I27" i="89"/>
  <c r="I24" i="89" s="1"/>
  <c r="G44" i="79"/>
  <c r="J11" i="89"/>
  <c r="H12" i="89"/>
  <c r="E9" i="79"/>
  <c r="E7" i="79" s="1"/>
  <c r="H19" i="89"/>
  <c r="H16" i="89" s="1"/>
  <c r="F31" i="79"/>
  <c r="I73" i="89"/>
  <c r="G210" i="79"/>
  <c r="H45" i="89"/>
  <c r="H42" i="89" s="1"/>
  <c r="F75" i="79"/>
  <c r="F92" i="79"/>
  <c r="G48" i="24" s="1"/>
  <c r="J406" i="59" s="1"/>
  <c r="J1009" i="59" s="1"/>
  <c r="I60" i="89"/>
  <c r="AH156" i="79"/>
  <c r="G60" i="89"/>
  <c r="H71" i="89"/>
  <c r="H67" i="89"/>
  <c r="I36" i="89"/>
  <c r="H48" i="89"/>
  <c r="H31" i="89"/>
  <c r="G54" i="89"/>
  <c r="I36" i="79"/>
  <c r="H88" i="79"/>
  <c r="H84" i="79" s="1"/>
  <c r="J46" i="89" s="1"/>
  <c r="J185" i="79"/>
  <c r="K187" i="79"/>
  <c r="K14" i="89"/>
  <c r="K64" i="79"/>
  <c r="K63" i="79" s="1"/>
  <c r="J21" i="89"/>
  <c r="J12" i="89"/>
  <c r="I184" i="79"/>
  <c r="H14" i="89"/>
  <c r="H81" i="79"/>
  <c r="H33" i="79"/>
  <c r="H32" i="79" s="1"/>
  <c r="J55" i="79"/>
  <c r="J54" i="79" s="1"/>
  <c r="H78" i="79"/>
  <c r="J212" i="79"/>
  <c r="H215" i="79"/>
  <c r="H211" i="79" s="1"/>
  <c r="K85" i="79"/>
  <c r="H77" i="79" l="1"/>
  <c r="H53" i="79"/>
  <c r="J34" i="89" s="1"/>
  <c r="I53" i="79"/>
  <c r="K34" i="89" s="1"/>
  <c r="J27" i="89"/>
  <c r="J24" i="89" s="1"/>
  <c r="H44" i="79"/>
  <c r="G75" i="79"/>
  <c r="I45" i="89"/>
  <c r="I42" i="89" s="1"/>
  <c r="H210" i="79"/>
  <c r="J73" i="89"/>
  <c r="J71" i="89" s="1"/>
  <c r="M39" i="89"/>
  <c r="K62" i="79"/>
  <c r="G92" i="79"/>
  <c r="H48" i="24" s="1"/>
  <c r="K406" i="59" s="1"/>
  <c r="K1009" i="59" s="1"/>
  <c r="I51" i="89"/>
  <c r="I48" i="89" s="1"/>
  <c r="F9" i="79"/>
  <c r="F7" i="79" s="1"/>
  <c r="I19" i="89"/>
  <c r="I16" i="89" s="1"/>
  <c r="G31" i="79"/>
  <c r="K11" i="89"/>
  <c r="H9" i="79"/>
  <c r="L39" i="89"/>
  <c r="J62" i="79"/>
  <c r="I12" i="89"/>
  <c r="J51" i="89"/>
  <c r="J60" i="89"/>
  <c r="AH109" i="79"/>
  <c r="I71" i="89"/>
  <c r="K60" i="89"/>
  <c r="I67" i="89"/>
  <c r="J36" i="89"/>
  <c r="I31" i="89"/>
  <c r="H54" i="89"/>
  <c r="I88" i="79"/>
  <c r="I84" i="79" s="1"/>
  <c r="K46" i="89" s="1"/>
  <c r="J36" i="79"/>
  <c r="L85" i="79"/>
  <c r="I215" i="79"/>
  <c r="I211" i="79" s="1"/>
  <c r="K212" i="79"/>
  <c r="I33" i="79"/>
  <c r="I32" i="79" s="1"/>
  <c r="K12" i="89"/>
  <c r="K21" i="89"/>
  <c r="I78" i="79"/>
  <c r="I81" i="79"/>
  <c r="L64" i="79"/>
  <c r="L63" i="79" s="1"/>
  <c r="L187" i="79"/>
  <c r="K185" i="79"/>
  <c r="K55" i="79"/>
  <c r="K54" i="79" s="1"/>
  <c r="L14" i="89"/>
  <c r="J184" i="79"/>
  <c r="I14" i="89"/>
  <c r="J46" i="79"/>
  <c r="J45" i="79" s="1"/>
  <c r="I77" i="79" l="1"/>
  <c r="J53" i="79"/>
  <c r="L34" i="89" s="1"/>
  <c r="K27" i="89"/>
  <c r="K24" i="89" s="1"/>
  <c r="I44" i="79"/>
  <c r="K73" i="89"/>
  <c r="K71" i="89" s="1"/>
  <c r="I210" i="79"/>
  <c r="H75" i="79"/>
  <c r="J45" i="89"/>
  <c r="J42" i="89" s="1"/>
  <c r="I9" i="79"/>
  <c r="L11" i="89"/>
  <c r="L62" i="79"/>
  <c r="N39" i="89"/>
  <c r="J19" i="89"/>
  <c r="J16" i="89" s="1"/>
  <c r="H31" i="79"/>
  <c r="G9" i="79"/>
  <c r="G7" i="79" s="1"/>
  <c r="H92" i="79"/>
  <c r="J67" i="89"/>
  <c r="I54" i="89"/>
  <c r="J31" i="89"/>
  <c r="J48" i="89"/>
  <c r="K36" i="89"/>
  <c r="L60" i="89"/>
  <c r="J88" i="79"/>
  <c r="J84" i="79" s="1"/>
  <c r="L46" i="89" s="1"/>
  <c r="K36" i="79"/>
  <c r="K46" i="79"/>
  <c r="K45" i="79" s="1"/>
  <c r="M14" i="89"/>
  <c r="K184" i="79"/>
  <c r="L21" i="89"/>
  <c r="L212" i="79"/>
  <c r="J81" i="79"/>
  <c r="J215" i="79"/>
  <c r="J211" i="79" s="1"/>
  <c r="M85" i="79"/>
  <c r="M187" i="79"/>
  <c r="L185" i="79"/>
  <c r="M64" i="79"/>
  <c r="M63" i="79" s="1"/>
  <c r="N14" i="89"/>
  <c r="J78" i="79"/>
  <c r="L12" i="89"/>
  <c r="J33" i="79"/>
  <c r="J32" i="79" s="1"/>
  <c r="L55" i="79"/>
  <c r="L54" i="79" s="1"/>
  <c r="J77" i="79" l="1"/>
  <c r="K53" i="79"/>
  <c r="M34" i="89" s="1"/>
  <c r="L27" i="89"/>
  <c r="L24" i="89" s="1"/>
  <c r="J44" i="79"/>
  <c r="H7" i="79"/>
  <c r="I48" i="24"/>
  <c r="L406" i="59" s="1"/>
  <c r="K45" i="89"/>
  <c r="K42" i="89" s="1"/>
  <c r="I75" i="79"/>
  <c r="I92" i="79"/>
  <c r="J48" i="24" s="1"/>
  <c r="M406" i="59" s="1"/>
  <c r="M1009" i="59" s="1"/>
  <c r="K51" i="89"/>
  <c r="K48" i="89" s="1"/>
  <c r="O39" i="89"/>
  <c r="M62" i="79"/>
  <c r="J9" i="79"/>
  <c r="L73" i="89"/>
  <c r="L71" i="89" s="1"/>
  <c r="J210" i="79"/>
  <c r="M11" i="89"/>
  <c r="K19" i="89"/>
  <c r="K16" i="89" s="1"/>
  <c r="I31" i="79"/>
  <c r="K67" i="89"/>
  <c r="J54" i="89"/>
  <c r="K31" i="89"/>
  <c r="L36" i="89"/>
  <c r="K54" i="89"/>
  <c r="M60" i="89"/>
  <c r="AB14" i="89"/>
  <c r="K88" i="79"/>
  <c r="K84" i="79" s="1"/>
  <c r="M46" i="89" s="1"/>
  <c r="L184" i="79"/>
  <c r="M55" i="79"/>
  <c r="M54" i="79" s="1"/>
  <c r="K78" i="79"/>
  <c r="M185" i="79"/>
  <c r="N187" i="79"/>
  <c r="N85" i="79"/>
  <c r="M212" i="79"/>
  <c r="M21" i="89"/>
  <c r="K33" i="79"/>
  <c r="K32" i="79" s="1"/>
  <c r="M12" i="89"/>
  <c r="W14" i="89"/>
  <c r="N64" i="79"/>
  <c r="N63" i="79" s="1"/>
  <c r="K215" i="79"/>
  <c r="K211" i="79" s="1"/>
  <c r="L46" i="79"/>
  <c r="L45" i="79" s="1"/>
  <c r="K81" i="79"/>
  <c r="K77" i="79" l="1"/>
  <c r="I7" i="79"/>
  <c r="L53" i="79"/>
  <c r="N34" i="89" s="1"/>
  <c r="M27" i="89"/>
  <c r="M24" i="89" s="1"/>
  <c r="K44" i="79"/>
  <c r="L1009" i="59"/>
  <c r="L19" i="89"/>
  <c r="L16" i="89" s="1"/>
  <c r="J31" i="79"/>
  <c r="L45" i="89"/>
  <c r="L42" i="89" s="1"/>
  <c r="J75" i="79"/>
  <c r="J92" i="79"/>
  <c r="K48" i="24" s="1"/>
  <c r="N406" i="59" s="1"/>
  <c r="N1009" i="59" s="1"/>
  <c r="L51" i="89"/>
  <c r="L48" i="89" s="1"/>
  <c r="N11" i="89"/>
  <c r="M73" i="89"/>
  <c r="M71" i="89" s="1"/>
  <c r="K210" i="79"/>
  <c r="N62" i="79"/>
  <c r="P39" i="89"/>
  <c r="K9" i="79"/>
  <c r="L67" i="89"/>
  <c r="L31" i="89"/>
  <c r="M36" i="89"/>
  <c r="N60" i="89"/>
  <c r="L44" i="79"/>
  <c r="L88" i="79"/>
  <c r="L84" i="79" s="1"/>
  <c r="N46" i="89" s="1"/>
  <c r="N12" i="89"/>
  <c r="L215" i="79"/>
  <c r="L211" i="79" s="1"/>
  <c r="M184" i="79"/>
  <c r="L78" i="79"/>
  <c r="N55" i="79"/>
  <c r="N54" i="79" s="1"/>
  <c r="N46" i="79"/>
  <c r="N45" i="79" s="1"/>
  <c r="M46" i="79"/>
  <c r="M45" i="79" s="1"/>
  <c r="O85" i="79"/>
  <c r="O64" i="79"/>
  <c r="O63" i="79" s="1"/>
  <c r="N21" i="89"/>
  <c r="L81" i="79"/>
  <c r="O14" i="89"/>
  <c r="L33" i="79"/>
  <c r="L32" i="79" s="1"/>
  <c r="N212" i="79"/>
  <c r="N185" i="79"/>
  <c r="O187" i="79"/>
  <c r="L77" i="79" l="1"/>
  <c r="M53" i="79"/>
  <c r="O34" i="89" s="1"/>
  <c r="J7" i="79"/>
  <c r="L9" i="79"/>
  <c r="K31" i="79"/>
  <c r="M19" i="89"/>
  <c r="M16" i="89" s="1"/>
  <c r="M45" i="89"/>
  <c r="M42" i="89" s="1"/>
  <c r="K75" i="79"/>
  <c r="O11" i="89"/>
  <c r="N73" i="89"/>
  <c r="N71" i="89" s="1"/>
  <c r="L210" i="79"/>
  <c r="Q39" i="89"/>
  <c r="O62" i="79"/>
  <c r="K92" i="79"/>
  <c r="L48" i="24" s="1"/>
  <c r="O406" i="59" s="1"/>
  <c r="O1009" i="59" s="1"/>
  <c r="M51" i="89"/>
  <c r="M48" i="89" s="1"/>
  <c r="N27" i="89"/>
  <c r="N24" i="89" s="1"/>
  <c r="M67" i="89"/>
  <c r="L54" i="89"/>
  <c r="N36" i="89"/>
  <c r="M31" i="89"/>
  <c r="O60" i="89"/>
  <c r="M88" i="79"/>
  <c r="M84" i="79" s="1"/>
  <c r="O46" i="89" s="1"/>
  <c r="N184" i="79"/>
  <c r="O212" i="79"/>
  <c r="P64" i="79"/>
  <c r="P63" i="79" s="1"/>
  <c r="M215" i="79"/>
  <c r="M211" i="79" s="1"/>
  <c r="P187" i="79"/>
  <c r="O185" i="79"/>
  <c r="M33" i="79"/>
  <c r="M32" i="79" s="1"/>
  <c r="O55" i="79"/>
  <c r="O54" i="79" s="1"/>
  <c r="M78" i="79"/>
  <c r="O12" i="89"/>
  <c r="M81" i="79"/>
  <c r="O21" i="89"/>
  <c r="P85" i="79"/>
  <c r="M77" i="79" l="1"/>
  <c r="K7" i="79"/>
  <c r="N53" i="79"/>
  <c r="P34" i="89" s="1"/>
  <c r="O27" i="89"/>
  <c r="O24" i="89" s="1"/>
  <c r="M44" i="79"/>
  <c r="L31" i="79"/>
  <c r="N19" i="89"/>
  <c r="N16" i="89" s="1"/>
  <c r="R39" i="89"/>
  <c r="P62" i="79"/>
  <c r="M9" i="79"/>
  <c r="L92" i="79"/>
  <c r="N51" i="89"/>
  <c r="N48" i="89" s="1"/>
  <c r="N45" i="89"/>
  <c r="N42" i="89" s="1"/>
  <c r="L75" i="79"/>
  <c r="O73" i="89"/>
  <c r="O71" i="89" s="1"/>
  <c r="M210" i="79"/>
  <c r="P11" i="89"/>
  <c r="N54" i="89"/>
  <c r="N67" i="89"/>
  <c r="O36" i="89"/>
  <c r="N31" i="89"/>
  <c r="M54" i="89"/>
  <c r="P60" i="89"/>
  <c r="N44" i="79"/>
  <c r="N88" i="79"/>
  <c r="N84" i="79" s="1"/>
  <c r="P46" i="89" s="1"/>
  <c r="O36" i="79"/>
  <c r="N81" i="79"/>
  <c r="N78" i="79"/>
  <c r="Q64" i="79"/>
  <c r="Q63" i="79" s="1"/>
  <c r="P12" i="89"/>
  <c r="P212" i="79"/>
  <c r="P55" i="79"/>
  <c r="P54" i="79" s="1"/>
  <c r="Q14" i="89"/>
  <c r="O46" i="79"/>
  <c r="O45" i="79" s="1"/>
  <c r="Q85" i="79"/>
  <c r="P21" i="89"/>
  <c r="N33" i="79"/>
  <c r="N32" i="79" s="1"/>
  <c r="O184" i="79"/>
  <c r="Q187" i="79"/>
  <c r="P185" i="79"/>
  <c r="N215" i="79"/>
  <c r="N211" i="79" s="1"/>
  <c r="N77" i="79" l="1"/>
  <c r="O53" i="79"/>
  <c r="Q34" i="89" s="1"/>
  <c r="L7" i="79"/>
  <c r="M48" i="24"/>
  <c r="P406" i="59" s="1"/>
  <c r="P1009" i="59" s="1"/>
  <c r="O19" i="89"/>
  <c r="O16" i="89" s="1"/>
  <c r="M31" i="79"/>
  <c r="M92" i="79"/>
  <c r="N48" i="24" s="1"/>
  <c r="Q406" i="59" s="1"/>
  <c r="Q1009" i="59" s="1"/>
  <c r="O51" i="89"/>
  <c r="O48" i="89" s="1"/>
  <c r="N9" i="79"/>
  <c r="O45" i="89"/>
  <c r="O42" i="89" s="1"/>
  <c r="M75" i="79"/>
  <c r="S39" i="89"/>
  <c r="Q62" i="79"/>
  <c r="P73" i="89"/>
  <c r="P71" i="89" s="1"/>
  <c r="N210" i="79"/>
  <c r="P27" i="89"/>
  <c r="P24" i="89" s="1"/>
  <c r="Q11" i="89"/>
  <c r="O67" i="89"/>
  <c r="P36" i="89"/>
  <c r="O31" i="89"/>
  <c r="Q60" i="89"/>
  <c r="P36" i="79"/>
  <c r="O88" i="79"/>
  <c r="O84" i="79" s="1"/>
  <c r="Q46" i="89" s="1"/>
  <c r="R85" i="79"/>
  <c r="R64" i="79"/>
  <c r="R63" i="79" s="1"/>
  <c r="P184" i="79"/>
  <c r="O33" i="79"/>
  <c r="O32" i="79" s="1"/>
  <c r="Q46" i="79"/>
  <c r="Q45" i="79" s="1"/>
  <c r="P46" i="79"/>
  <c r="P45" i="79" s="1"/>
  <c r="O81" i="79"/>
  <c r="R14" i="89"/>
  <c r="Q185" i="79"/>
  <c r="R187" i="79"/>
  <c r="Q21" i="89"/>
  <c r="Q55" i="79"/>
  <c r="Q54" i="79" s="1"/>
  <c r="Q212" i="79"/>
  <c r="Q12" i="89"/>
  <c r="O78" i="79"/>
  <c r="O215" i="79"/>
  <c r="O211" i="79" s="1"/>
  <c r="O77" i="79" l="1"/>
  <c r="Q44" i="79"/>
  <c r="S27" i="89"/>
  <c r="S24" i="89" s="1"/>
  <c r="P53" i="79"/>
  <c r="R34" i="89" s="1"/>
  <c r="Q27" i="89"/>
  <c r="Q24" i="89" s="1"/>
  <c r="O44" i="79"/>
  <c r="M7" i="79"/>
  <c r="O9" i="79"/>
  <c r="P45" i="89"/>
  <c r="P42" i="89" s="1"/>
  <c r="N75" i="79"/>
  <c r="T39" i="89"/>
  <c r="R62" i="79"/>
  <c r="R11" i="89"/>
  <c r="Q73" i="89"/>
  <c r="Q71" i="89" s="1"/>
  <c r="O210" i="79"/>
  <c r="P19" i="89"/>
  <c r="P16" i="89" s="1"/>
  <c r="N31" i="79"/>
  <c r="N92" i="79"/>
  <c r="O48" i="24" s="1"/>
  <c r="R406" i="59" s="1"/>
  <c r="R1009" i="59" s="1"/>
  <c r="P51" i="89"/>
  <c r="P48" i="89" s="1"/>
  <c r="P67" i="89"/>
  <c r="P31" i="89"/>
  <c r="Q36" i="89"/>
  <c r="O54" i="89"/>
  <c r="R60" i="89"/>
  <c r="P88" i="79"/>
  <c r="P84" i="79" s="1"/>
  <c r="R46" i="89" s="1"/>
  <c r="Q36" i="79"/>
  <c r="R185" i="79"/>
  <c r="S187" i="79"/>
  <c r="P215" i="79"/>
  <c r="P211" i="79" s="1"/>
  <c r="R12" i="89"/>
  <c r="Q184" i="79"/>
  <c r="P44" i="79"/>
  <c r="S64" i="79"/>
  <c r="S63" i="79" s="1"/>
  <c r="P81" i="79"/>
  <c r="P33" i="79"/>
  <c r="P32" i="79" s="1"/>
  <c r="P78" i="79"/>
  <c r="R212" i="79"/>
  <c r="R55" i="79"/>
  <c r="R54" i="79" s="1"/>
  <c r="R21" i="89"/>
  <c r="S14" i="89"/>
  <c r="S85" i="79"/>
  <c r="P77" i="79" l="1"/>
  <c r="Q53" i="79"/>
  <c r="S34" i="89" s="1"/>
  <c r="N7" i="79"/>
  <c r="P210" i="79"/>
  <c r="R73" i="89"/>
  <c r="R71" i="89" s="1"/>
  <c r="P9" i="79"/>
  <c r="O92" i="79"/>
  <c r="P48" i="24" s="1"/>
  <c r="S406" i="59" s="1"/>
  <c r="S1009" i="59" s="1"/>
  <c r="Q51" i="89"/>
  <c r="Q48" i="89" s="1"/>
  <c r="Q19" i="89"/>
  <c r="Q16" i="89" s="1"/>
  <c r="O31" i="79"/>
  <c r="Q45" i="89"/>
  <c r="Q42" i="89" s="1"/>
  <c r="O75" i="79"/>
  <c r="S11" i="89"/>
  <c r="U39" i="89"/>
  <c r="S62" i="79"/>
  <c r="R27" i="89"/>
  <c r="R24" i="89" s="1"/>
  <c r="Q67" i="89"/>
  <c r="Q31" i="89"/>
  <c r="R36" i="89"/>
  <c r="P54" i="89"/>
  <c r="S60" i="89"/>
  <c r="Q88" i="79"/>
  <c r="Q84" i="79" s="1"/>
  <c r="S46" i="89" s="1"/>
  <c r="R36" i="79"/>
  <c r="Q78" i="79"/>
  <c r="S12" i="89"/>
  <c r="T85" i="79"/>
  <c r="T14" i="89"/>
  <c r="S55" i="79"/>
  <c r="S54" i="79" s="1"/>
  <c r="T64" i="79"/>
  <c r="T63" i="79" s="1"/>
  <c r="Q81" i="79"/>
  <c r="T187" i="79"/>
  <c r="S185" i="79"/>
  <c r="S21" i="89"/>
  <c r="S212" i="79"/>
  <c r="Q33" i="79"/>
  <c r="Q32" i="79" s="1"/>
  <c r="R46" i="79"/>
  <c r="R45" i="79" s="1"/>
  <c r="Q215" i="79"/>
  <c r="Q211" i="79" s="1"/>
  <c r="R184" i="79"/>
  <c r="Q77" i="79" l="1"/>
  <c r="O7" i="79"/>
  <c r="R53" i="79"/>
  <c r="T34" i="89" s="1"/>
  <c r="P75" i="79"/>
  <c r="R45" i="89"/>
  <c r="R42" i="89" s="1"/>
  <c r="S73" i="89"/>
  <c r="S71" i="89" s="1"/>
  <c r="Q210" i="79"/>
  <c r="V39" i="89"/>
  <c r="T62" i="79"/>
  <c r="T11" i="89"/>
  <c r="Q9" i="79"/>
  <c r="P31" i="79"/>
  <c r="R19" i="89"/>
  <c r="R16" i="89" s="1"/>
  <c r="P92" i="79"/>
  <c r="Q48" i="24" s="1"/>
  <c r="T406" i="59" s="1"/>
  <c r="T1009" i="59" s="1"/>
  <c r="R51" i="89"/>
  <c r="R48" i="89" s="1"/>
  <c r="R67" i="89"/>
  <c r="R54" i="89"/>
  <c r="R31" i="89"/>
  <c r="Q54" i="89"/>
  <c r="S36" i="89"/>
  <c r="T60" i="89"/>
  <c r="R88" i="79"/>
  <c r="R84" i="79" s="1"/>
  <c r="T46" i="89" s="1"/>
  <c r="T21" i="89"/>
  <c r="R81" i="79"/>
  <c r="S184" i="79"/>
  <c r="T55" i="79"/>
  <c r="T54" i="79" s="1"/>
  <c r="R44" i="79"/>
  <c r="T212" i="79"/>
  <c r="U187" i="79"/>
  <c r="T185" i="79"/>
  <c r="U64" i="79"/>
  <c r="U63" i="79" s="1"/>
  <c r="T12" i="89"/>
  <c r="R78" i="79"/>
  <c r="R215" i="79"/>
  <c r="R211" i="79" s="1"/>
  <c r="R33" i="79"/>
  <c r="R32" i="79" s="1"/>
  <c r="U85" i="79"/>
  <c r="S46" i="79"/>
  <c r="S45" i="79" s="1"/>
  <c r="R77" i="79" l="1"/>
  <c r="S53" i="79"/>
  <c r="U34" i="89" s="1"/>
  <c r="P7" i="79"/>
  <c r="R9" i="79"/>
  <c r="U11" i="89"/>
  <c r="S19" i="89"/>
  <c r="S16" i="89" s="1"/>
  <c r="Q31" i="79"/>
  <c r="S45" i="89"/>
  <c r="S42" i="89" s="1"/>
  <c r="Q75" i="79"/>
  <c r="T73" i="89"/>
  <c r="T71" i="89" s="1"/>
  <c r="R210" i="79"/>
  <c r="Q92" i="79"/>
  <c r="R48" i="24" s="1"/>
  <c r="U406" i="59" s="1"/>
  <c r="U1009" i="59" s="1"/>
  <c r="S51" i="89"/>
  <c r="S48" i="89" s="1"/>
  <c r="T27" i="89"/>
  <c r="T24" i="89" s="1"/>
  <c r="W39" i="89"/>
  <c r="U62" i="79"/>
  <c r="S54" i="89"/>
  <c r="S67" i="89"/>
  <c r="T31" i="89"/>
  <c r="S31" i="89"/>
  <c r="T36" i="89"/>
  <c r="U60" i="89"/>
  <c r="W64" i="79"/>
  <c r="W63" i="79" s="1"/>
  <c r="W85" i="79"/>
  <c r="S88" i="79"/>
  <c r="S84" i="79" s="1"/>
  <c r="U46" i="89" s="1"/>
  <c r="S215" i="79"/>
  <c r="S211" i="79" s="1"/>
  <c r="T46" i="79"/>
  <c r="T45" i="79" s="1"/>
  <c r="S78" i="79"/>
  <c r="U185" i="79"/>
  <c r="V187" i="79"/>
  <c r="W187" i="79" s="1"/>
  <c r="U212" i="79"/>
  <c r="V85" i="79"/>
  <c r="S33" i="79"/>
  <c r="S32" i="79" s="1"/>
  <c r="U55" i="79"/>
  <c r="U54" i="79" s="1"/>
  <c r="S81" i="79"/>
  <c r="U12" i="89"/>
  <c r="V64" i="79"/>
  <c r="V63" i="79" s="1"/>
  <c r="T184" i="79"/>
  <c r="U21" i="89"/>
  <c r="S77" i="79" l="1"/>
  <c r="V14" i="89"/>
  <c r="T53" i="79"/>
  <c r="V34" i="89" s="1"/>
  <c r="U27" i="89"/>
  <c r="U24" i="89" s="1"/>
  <c r="S44" i="79"/>
  <c r="Q7" i="79"/>
  <c r="R31" i="79"/>
  <c r="T19" i="89"/>
  <c r="T16" i="89" s="1"/>
  <c r="R92" i="79"/>
  <c r="S48" i="24" s="1"/>
  <c r="V406" i="59" s="1"/>
  <c r="V1009" i="59" s="1"/>
  <c r="T51" i="89"/>
  <c r="T48" i="89" s="1"/>
  <c r="S210" i="79"/>
  <c r="U73" i="89"/>
  <c r="U71" i="89" s="1"/>
  <c r="T45" i="89"/>
  <c r="T42" i="89" s="1"/>
  <c r="R75" i="79"/>
  <c r="V62" i="79"/>
  <c r="X39" i="89"/>
  <c r="S9" i="79"/>
  <c r="V11" i="89"/>
  <c r="Y39" i="89"/>
  <c r="W62" i="79"/>
  <c r="T67" i="89"/>
  <c r="U36" i="89"/>
  <c r="V60" i="89"/>
  <c r="X187" i="79"/>
  <c r="W185" i="79"/>
  <c r="W184" i="79" s="1"/>
  <c r="X85" i="79"/>
  <c r="W55" i="79"/>
  <c r="W54" i="79" s="1"/>
  <c r="W212" i="79"/>
  <c r="X64" i="79"/>
  <c r="X63" i="79" s="1"/>
  <c r="T44" i="79"/>
  <c r="U36" i="79"/>
  <c r="T88" i="79"/>
  <c r="T84" i="79" s="1"/>
  <c r="V46" i="89" s="1"/>
  <c r="V185" i="79"/>
  <c r="U46" i="79"/>
  <c r="U45" i="79" s="1"/>
  <c r="V12" i="89"/>
  <c r="V21" i="89"/>
  <c r="T81" i="79"/>
  <c r="U184" i="79"/>
  <c r="T78" i="79"/>
  <c r="T215" i="79"/>
  <c r="T211" i="79" s="1"/>
  <c r="V55" i="79"/>
  <c r="V54" i="79" s="1"/>
  <c r="T33" i="79"/>
  <c r="T32" i="79" s="1"/>
  <c r="V212" i="79"/>
  <c r="Q226" i="79" l="1"/>
  <c r="D226" i="79"/>
  <c r="C226" i="79"/>
  <c r="E226" i="79"/>
  <c r="F226" i="79"/>
  <c r="H226" i="79"/>
  <c r="G226" i="79"/>
  <c r="I226" i="79"/>
  <c r="J226" i="79"/>
  <c r="K226" i="79"/>
  <c r="L226" i="79"/>
  <c r="N226" i="79"/>
  <c r="O226" i="79"/>
  <c r="M226" i="79"/>
  <c r="P226" i="79"/>
  <c r="T77" i="79"/>
  <c r="U53" i="79"/>
  <c r="W34" i="89" s="1"/>
  <c r="R7" i="79"/>
  <c r="T9" i="79"/>
  <c r="W11" i="89"/>
  <c r="V27" i="89"/>
  <c r="V24" i="89" s="1"/>
  <c r="U45" i="89"/>
  <c r="U42" i="89" s="1"/>
  <c r="S75" i="79"/>
  <c r="Z39" i="89"/>
  <c r="X62" i="79"/>
  <c r="V73" i="89"/>
  <c r="V71" i="89" s="1"/>
  <c r="T210" i="79"/>
  <c r="S31" i="79"/>
  <c r="U19" i="89"/>
  <c r="U16" i="89" s="1"/>
  <c r="S92" i="79"/>
  <c r="T48" i="24" s="1"/>
  <c r="W406" i="59" s="1"/>
  <c r="W1009" i="59" s="1"/>
  <c r="U51" i="89"/>
  <c r="U48" i="89" s="1"/>
  <c r="U54" i="89"/>
  <c r="U67" i="89"/>
  <c r="V36" i="89"/>
  <c r="T54" i="89"/>
  <c r="U31" i="89"/>
  <c r="W60" i="89"/>
  <c r="Y14" i="89"/>
  <c r="Y64" i="79"/>
  <c r="Y63" i="79" s="1"/>
  <c r="Y85" i="79"/>
  <c r="W36" i="79"/>
  <c r="X46" i="79"/>
  <c r="X45" i="79" s="1"/>
  <c r="W46" i="79"/>
  <c r="W45" i="79" s="1"/>
  <c r="X212" i="79"/>
  <c r="X55" i="79"/>
  <c r="X54" i="79" s="1"/>
  <c r="Y187" i="79"/>
  <c r="X185" i="79"/>
  <c r="X184" i="79" s="1"/>
  <c r="V36" i="79"/>
  <c r="U88" i="79"/>
  <c r="U84" i="79" s="1"/>
  <c r="W46" i="89" s="1"/>
  <c r="U33" i="79"/>
  <c r="U32" i="79" s="1"/>
  <c r="U215" i="79"/>
  <c r="U211" i="79" s="1"/>
  <c r="U78" i="79"/>
  <c r="U44" i="79"/>
  <c r="X14" i="89"/>
  <c r="U81" i="79"/>
  <c r="W21" i="89"/>
  <c r="V46" i="79"/>
  <c r="V45" i="79" s="1"/>
  <c r="W12" i="89"/>
  <c r="V184" i="79"/>
  <c r="U77" i="79" l="1"/>
  <c r="V53" i="79"/>
  <c r="X34" i="89" s="1"/>
  <c r="W53" i="79"/>
  <c r="Y34" i="89" s="1"/>
  <c r="S7" i="79"/>
  <c r="V19" i="89"/>
  <c r="V16" i="89" s="1"/>
  <c r="T31" i="79"/>
  <c r="T92" i="79"/>
  <c r="U48" i="24" s="1"/>
  <c r="X406" i="59" s="1"/>
  <c r="X1009" i="59" s="1"/>
  <c r="V51" i="89"/>
  <c r="V48" i="89" s="1"/>
  <c r="AA39" i="89"/>
  <c r="Y62" i="79"/>
  <c r="V45" i="89"/>
  <c r="V42" i="89" s="1"/>
  <c r="T75" i="79"/>
  <c r="W27" i="89"/>
  <c r="W24" i="89" s="1"/>
  <c r="X11" i="89"/>
  <c r="Y11" i="89"/>
  <c r="U210" i="79"/>
  <c r="W73" i="89"/>
  <c r="W71" i="89" s="1"/>
  <c r="U9" i="79"/>
  <c r="V54" i="89"/>
  <c r="V67" i="89"/>
  <c r="V31" i="89"/>
  <c r="W36" i="89"/>
  <c r="X60" i="89"/>
  <c r="Y60" i="89"/>
  <c r="Y12" i="89"/>
  <c r="Y21" i="89"/>
  <c r="W78" i="79"/>
  <c r="Z14" i="89"/>
  <c r="X36" i="79"/>
  <c r="Z64" i="79"/>
  <c r="Z63" i="79" s="1"/>
  <c r="Z85" i="79"/>
  <c r="W81" i="79"/>
  <c r="W215" i="79"/>
  <c r="W211" i="79" s="1"/>
  <c r="W33" i="79"/>
  <c r="W32" i="79" s="1"/>
  <c r="W88" i="79"/>
  <c r="W84" i="79" s="1"/>
  <c r="Y46" i="89" s="1"/>
  <c r="Z187" i="79"/>
  <c r="Y185" i="79"/>
  <c r="Y184" i="79" s="1"/>
  <c r="Y212" i="79"/>
  <c r="Y55" i="79"/>
  <c r="Y54" i="79" s="1"/>
  <c r="V44" i="79"/>
  <c r="V88" i="79"/>
  <c r="V84" i="79" s="1"/>
  <c r="X46" i="89" s="1"/>
  <c r="X21" i="89"/>
  <c r="V81" i="79"/>
  <c r="V215" i="79"/>
  <c r="V211" i="79" s="1"/>
  <c r="V33" i="79"/>
  <c r="V32" i="79" s="1"/>
  <c r="X12" i="89"/>
  <c r="V78" i="79"/>
  <c r="V77" i="79" l="1"/>
  <c r="W77" i="79"/>
  <c r="X53" i="79"/>
  <c r="Z34" i="89" s="1"/>
  <c r="Y27" i="89"/>
  <c r="Y24" i="89" s="1"/>
  <c r="W44" i="79"/>
  <c r="T7" i="79"/>
  <c r="Y73" i="89"/>
  <c r="Y71" i="89" s="1"/>
  <c r="W210" i="79"/>
  <c r="W9" i="79"/>
  <c r="X27" i="89"/>
  <c r="X24" i="89" s="1"/>
  <c r="V9" i="79"/>
  <c r="W19" i="89"/>
  <c r="W16" i="89" s="1"/>
  <c r="U31" i="79"/>
  <c r="U92" i="79"/>
  <c r="V48" i="24" s="1"/>
  <c r="Y406" i="59" s="1"/>
  <c r="Y1009" i="59" s="1"/>
  <c r="W51" i="89"/>
  <c r="W48" i="89" s="1"/>
  <c r="W45" i="89"/>
  <c r="W42" i="89" s="1"/>
  <c r="U75" i="79"/>
  <c r="AB39" i="89"/>
  <c r="Z62" i="79"/>
  <c r="Z11" i="89"/>
  <c r="X73" i="89"/>
  <c r="X71" i="89" s="1"/>
  <c r="V210" i="79"/>
  <c r="Y9" i="89"/>
  <c r="W54" i="89"/>
  <c r="W67" i="89"/>
  <c r="Z60" i="89"/>
  <c r="W31" i="89"/>
  <c r="X36" i="89"/>
  <c r="Y36" i="89"/>
  <c r="Z55" i="79"/>
  <c r="Z54" i="79" s="1"/>
  <c r="AA64" i="79"/>
  <c r="AA63" i="79" s="1"/>
  <c r="AA14" i="89"/>
  <c r="Z21" i="89"/>
  <c r="X215" i="79"/>
  <c r="X211" i="79" s="1"/>
  <c r="X88" i="79"/>
  <c r="X84" i="79" s="1"/>
  <c r="Z46" i="89" s="1"/>
  <c r="Z12" i="89"/>
  <c r="AA187" i="79"/>
  <c r="Z185" i="79"/>
  <c r="Z184" i="79" s="1"/>
  <c r="X44" i="79"/>
  <c r="X81" i="79"/>
  <c r="Y46" i="79"/>
  <c r="Y45" i="79" s="1"/>
  <c r="X33" i="79"/>
  <c r="X32" i="79" s="1"/>
  <c r="AA85" i="79"/>
  <c r="Y36" i="79"/>
  <c r="X78" i="79"/>
  <c r="Z212" i="79"/>
  <c r="X77" i="79" l="1"/>
  <c r="Y53" i="79"/>
  <c r="AA34" i="89" s="1"/>
  <c r="U7" i="79"/>
  <c r="Y19" i="89"/>
  <c r="Y16" i="89" s="1"/>
  <c r="W31" i="79"/>
  <c r="X9" i="79"/>
  <c r="AA11" i="89"/>
  <c r="X45" i="89"/>
  <c r="X42" i="89" s="1"/>
  <c r="V75" i="79"/>
  <c r="W75" i="79"/>
  <c r="Y45" i="89"/>
  <c r="Y42" i="89" s="1"/>
  <c r="Z27" i="89"/>
  <c r="Z24" i="89" s="1"/>
  <c r="AC39" i="89"/>
  <c r="AA62" i="79"/>
  <c r="V92" i="79"/>
  <c r="X51" i="89"/>
  <c r="X48" i="89" s="1"/>
  <c r="X19" i="89"/>
  <c r="X16" i="89" s="1"/>
  <c r="V31" i="79"/>
  <c r="X210" i="79"/>
  <c r="Z73" i="89"/>
  <c r="Z71" i="89" s="1"/>
  <c r="Z9" i="89"/>
  <c r="X67" i="89"/>
  <c r="Y67" i="89"/>
  <c r="Y31" i="89"/>
  <c r="Z36" i="89"/>
  <c r="X31" i="89"/>
  <c r="X54" i="89"/>
  <c r="AA60" i="89"/>
  <c r="Y78" i="79"/>
  <c r="Z46" i="79"/>
  <c r="Z45" i="79" s="1"/>
  <c r="Z36" i="79"/>
  <c r="AB64" i="79"/>
  <c r="AB63" i="79" s="1"/>
  <c r="AB85" i="79"/>
  <c r="Y81" i="79"/>
  <c r="Y88" i="79"/>
  <c r="Y84" i="79" s="1"/>
  <c r="AA46" i="89" s="1"/>
  <c r="AA212" i="79"/>
  <c r="AA55" i="79"/>
  <c r="AA54" i="79" s="1"/>
  <c r="Y33" i="79"/>
  <c r="Y32" i="79" s="1"/>
  <c r="AA12" i="89"/>
  <c r="AA21" i="89"/>
  <c r="AB187" i="79"/>
  <c r="AA185" i="79"/>
  <c r="AA184" i="79" s="1"/>
  <c r="Y215" i="79"/>
  <c r="Y211" i="79" s="1"/>
  <c r="Y77" i="79" l="1"/>
  <c r="Z53" i="79"/>
  <c r="AB34" i="89" s="1"/>
  <c r="AA27" i="89"/>
  <c r="AA24" i="89" s="1"/>
  <c r="Y44" i="79"/>
  <c r="V7" i="79"/>
  <c r="W48" i="24"/>
  <c r="Z406" i="59" s="1"/>
  <c r="Z1009" i="59" s="1"/>
  <c r="AB62" i="79"/>
  <c r="AD39" i="89"/>
  <c r="AB11" i="89"/>
  <c r="W92" i="79"/>
  <c r="Y51" i="89"/>
  <c r="Y48" i="89" s="1"/>
  <c r="Y7" i="89" s="1"/>
  <c r="Y210" i="79"/>
  <c r="AA73" i="89"/>
  <c r="AA71" i="89" s="1"/>
  <c r="Y9" i="79"/>
  <c r="X31" i="79"/>
  <c r="Z19" i="89"/>
  <c r="Z16" i="89" s="1"/>
  <c r="X75" i="79"/>
  <c r="Z45" i="89"/>
  <c r="Z42" i="89" s="1"/>
  <c r="AA9" i="89"/>
  <c r="Z67" i="89"/>
  <c r="Y54" i="89"/>
  <c r="Z31" i="89"/>
  <c r="AA36" i="89"/>
  <c r="AB60" i="89"/>
  <c r="Z44" i="79"/>
  <c r="Z88" i="79"/>
  <c r="Z84" i="79" s="1"/>
  <c r="AB46" i="89" s="1"/>
  <c r="AC187" i="79"/>
  <c r="AB185" i="79"/>
  <c r="AB184" i="79" s="1"/>
  <c r="AC85" i="79"/>
  <c r="AC14" i="89"/>
  <c r="Z78" i="79"/>
  <c r="Z33" i="79"/>
  <c r="Z32" i="79" s="1"/>
  <c r="AB55" i="79"/>
  <c r="AB54" i="79" s="1"/>
  <c r="AC64" i="79"/>
  <c r="AC63" i="79" s="1"/>
  <c r="Z81" i="79"/>
  <c r="Z215" i="79"/>
  <c r="Z211" i="79" s="1"/>
  <c r="AB21" i="89"/>
  <c r="AB12" i="89"/>
  <c r="AB212" i="79"/>
  <c r="Z77" i="79" l="1"/>
  <c r="AA53" i="79"/>
  <c r="AC34" i="89" s="1"/>
  <c r="W7" i="79"/>
  <c r="X48" i="24"/>
  <c r="AA406" i="59" s="1"/>
  <c r="AA1009" i="59" s="1"/>
  <c r="Z9" i="79"/>
  <c r="AA19" i="89"/>
  <c r="AA16" i="89" s="1"/>
  <c r="Y31" i="79"/>
  <c r="AC11" i="89"/>
  <c r="AB27" i="89"/>
  <c r="AB24" i="89" s="1"/>
  <c r="AA45" i="89"/>
  <c r="AA42" i="89" s="1"/>
  <c r="Y75" i="79"/>
  <c r="AB73" i="89"/>
  <c r="AB71" i="89" s="1"/>
  <c r="Z210" i="79"/>
  <c r="X92" i="79"/>
  <c r="Z51" i="89"/>
  <c r="Z48" i="89" s="1"/>
  <c r="Z7" i="89" s="1"/>
  <c r="AE39" i="89"/>
  <c r="AC62" i="79"/>
  <c r="AB9" i="89"/>
  <c r="AA67" i="89"/>
  <c r="AA31" i="89"/>
  <c r="Z54" i="89"/>
  <c r="AB36" i="89"/>
  <c r="AA54" i="89"/>
  <c r="AC60" i="89"/>
  <c r="AA81" i="79"/>
  <c r="AC55" i="79"/>
  <c r="AC54" i="79" s="1"/>
  <c r="AA78" i="79"/>
  <c r="AA215" i="79"/>
  <c r="AA211" i="79" s="1"/>
  <c r="AD64" i="79"/>
  <c r="AD63" i="79" s="1"/>
  <c r="AA33" i="79"/>
  <c r="AA32" i="79" s="1"/>
  <c r="AA88" i="79"/>
  <c r="AA84" i="79" s="1"/>
  <c r="AC46" i="89" s="1"/>
  <c r="AD85" i="79"/>
  <c r="AB36" i="79"/>
  <c r="AC212" i="79"/>
  <c r="AC12" i="89"/>
  <c r="AD187" i="79"/>
  <c r="AC185" i="79"/>
  <c r="AC184" i="79" s="1"/>
  <c r="AB46" i="79"/>
  <c r="AB45" i="79" s="1"/>
  <c r="AC21" i="89"/>
  <c r="AA77" i="79" l="1"/>
  <c r="AB53" i="79"/>
  <c r="AD34" i="89" s="1"/>
  <c r="AC27" i="89"/>
  <c r="AC24" i="89" s="1"/>
  <c r="AA44" i="79"/>
  <c r="X7" i="79"/>
  <c r="Y48" i="24"/>
  <c r="AB406" i="59" s="1"/>
  <c r="AB1009" i="59" s="1"/>
  <c r="AA9" i="79"/>
  <c r="AC73" i="89"/>
  <c r="AC71" i="89" s="1"/>
  <c r="AA210" i="79"/>
  <c r="Z31" i="79"/>
  <c r="AB19" i="89"/>
  <c r="AB16" i="89" s="1"/>
  <c r="AB45" i="89"/>
  <c r="AB42" i="89" s="1"/>
  <c r="Z75" i="79"/>
  <c r="Y92" i="79"/>
  <c r="AA51" i="89"/>
  <c r="AA48" i="89" s="1"/>
  <c r="AA7" i="89" s="1"/>
  <c r="AD62" i="79"/>
  <c r="AF39" i="89"/>
  <c r="AD11" i="89"/>
  <c r="AC9" i="89"/>
  <c r="AB67" i="89"/>
  <c r="AC36" i="89"/>
  <c r="AB31" i="89"/>
  <c r="AD60" i="89"/>
  <c r="AE14" i="89"/>
  <c r="AD12" i="89"/>
  <c r="AB33" i="79"/>
  <c r="AB32" i="79" s="1"/>
  <c r="AC46" i="79"/>
  <c r="AC45" i="79" s="1"/>
  <c r="AD212" i="79"/>
  <c r="AB81" i="79"/>
  <c r="AE187" i="79"/>
  <c r="AD185" i="79"/>
  <c r="AD184" i="79" s="1"/>
  <c r="AB88" i="79"/>
  <c r="AB84" i="79" s="1"/>
  <c r="AD46" i="89" s="1"/>
  <c r="AF64" i="79"/>
  <c r="AF63" i="79" s="1"/>
  <c r="AE64" i="79"/>
  <c r="AE63" i="79" s="1"/>
  <c r="AB78" i="79"/>
  <c r="AF85" i="79"/>
  <c r="AE85" i="79"/>
  <c r="AB215" i="79"/>
  <c r="AB211" i="79" s="1"/>
  <c r="AD21" i="89"/>
  <c r="AC36" i="79"/>
  <c r="AD55" i="79"/>
  <c r="AD54" i="79" s="1"/>
  <c r="AB77" i="79" l="1"/>
  <c r="AC53" i="79"/>
  <c r="AE34" i="89" s="1"/>
  <c r="AD27" i="89"/>
  <c r="AD24" i="89" s="1"/>
  <c r="AB44" i="79"/>
  <c r="Y7" i="79"/>
  <c r="Z48" i="24"/>
  <c r="AC406" i="59" s="1"/>
  <c r="AC1009" i="59" s="1"/>
  <c r="AB9" i="79"/>
  <c r="AD73" i="89"/>
  <c r="AD71" i="89" s="1"/>
  <c r="AB210" i="79"/>
  <c r="AE11" i="89"/>
  <c r="AG39" i="89"/>
  <c r="AE62" i="79"/>
  <c r="AH39" i="89"/>
  <c r="AF62" i="79"/>
  <c r="AA31" i="79"/>
  <c r="AC19" i="89"/>
  <c r="AC16" i="89" s="1"/>
  <c r="AC45" i="89"/>
  <c r="AC42" i="89" s="1"/>
  <c r="AA75" i="79"/>
  <c r="Z92" i="79"/>
  <c r="AB51" i="89"/>
  <c r="AB48" i="89" s="1"/>
  <c r="AB7" i="89" s="1"/>
  <c r="AD9" i="89"/>
  <c r="AC67" i="89"/>
  <c r="AD36" i="89"/>
  <c r="AB54" i="89"/>
  <c r="AC31" i="89"/>
  <c r="AE60" i="89"/>
  <c r="AC215" i="79"/>
  <c r="AC211" i="79" s="1"/>
  <c r="AE12" i="89"/>
  <c r="AF212" i="79"/>
  <c r="AE212" i="79"/>
  <c r="AC33" i="79"/>
  <c r="AC32" i="79" s="1"/>
  <c r="AF14" i="89"/>
  <c r="AC88" i="79"/>
  <c r="AC84" i="79" s="1"/>
  <c r="AE46" i="89" s="1"/>
  <c r="AD36" i="79"/>
  <c r="AC78" i="79"/>
  <c r="AC81" i="79"/>
  <c r="AF55" i="79"/>
  <c r="AF54" i="79" s="1"/>
  <c r="AE55" i="79"/>
  <c r="AE54" i="79" s="1"/>
  <c r="AE21" i="89"/>
  <c r="AF187" i="79"/>
  <c r="AF185" i="79" s="1"/>
  <c r="AF184" i="79" s="1"/>
  <c r="AE185" i="79"/>
  <c r="AE184" i="79" s="1"/>
  <c r="AD46" i="79"/>
  <c r="AD45" i="79" s="1"/>
  <c r="AC77" i="79" l="1"/>
  <c r="AD53" i="79"/>
  <c r="AF34" i="89" s="1"/>
  <c r="AE27" i="89"/>
  <c r="AE24" i="89" s="1"/>
  <c r="AC44" i="79"/>
  <c r="Z7" i="79"/>
  <c r="AA48" i="24"/>
  <c r="AD406" i="59" s="1"/>
  <c r="AD1009" i="59" s="1"/>
  <c r="AC9" i="79"/>
  <c r="AE73" i="89"/>
  <c r="AE71" i="89" s="1"/>
  <c r="AC210" i="79"/>
  <c r="AD45" i="89"/>
  <c r="AD42" i="89" s="1"/>
  <c r="AB75" i="79"/>
  <c r="AA92" i="79"/>
  <c r="AC51" i="89"/>
  <c r="AC48" i="89" s="1"/>
  <c r="AC7" i="89" s="1"/>
  <c r="AD19" i="89"/>
  <c r="AD16" i="89" s="1"/>
  <c r="AB31" i="79"/>
  <c r="AF11" i="89"/>
  <c r="AE9" i="89"/>
  <c r="AD67" i="89"/>
  <c r="AC54" i="89"/>
  <c r="AE36" i="89"/>
  <c r="AD31" i="89"/>
  <c r="AF60" i="89"/>
  <c r="AF46" i="79"/>
  <c r="AF45" i="79" s="1"/>
  <c r="AE46" i="79"/>
  <c r="AE45" i="79" s="1"/>
  <c r="AD81" i="79"/>
  <c r="AG14" i="89"/>
  <c r="AF12" i="89"/>
  <c r="AF21" i="89"/>
  <c r="AD78" i="79"/>
  <c r="AF36" i="79"/>
  <c r="AE36" i="79"/>
  <c r="AD88" i="79"/>
  <c r="AD84" i="79" s="1"/>
  <c r="AF46" i="89" s="1"/>
  <c r="AD215" i="79"/>
  <c r="AD211" i="79" s="1"/>
  <c r="AD33" i="79"/>
  <c r="AD32" i="79" s="1"/>
  <c r="AD77" i="79" l="1"/>
  <c r="AH14" i="89"/>
  <c r="AH21" i="79"/>
  <c r="AF53" i="79"/>
  <c r="AH34" i="89" s="1"/>
  <c r="AE53" i="79"/>
  <c r="AG34" i="89" s="1"/>
  <c r="AF27" i="89"/>
  <c r="AF24" i="89" s="1"/>
  <c r="AD44" i="79"/>
  <c r="AA7" i="79"/>
  <c r="AB48" i="24"/>
  <c r="AE406" i="59" s="1"/>
  <c r="AE1009" i="59" s="1"/>
  <c r="AD9" i="79"/>
  <c r="AB92" i="79"/>
  <c r="AD51" i="89"/>
  <c r="AD48" i="89" s="1"/>
  <c r="AD7" i="89" s="1"/>
  <c r="AH11" i="89"/>
  <c r="AE45" i="89"/>
  <c r="AE42" i="89" s="1"/>
  <c r="AC75" i="79"/>
  <c r="AF73" i="89"/>
  <c r="AF71" i="89" s="1"/>
  <c r="AD210" i="79"/>
  <c r="AG11" i="89"/>
  <c r="AE19" i="89"/>
  <c r="AE16" i="89" s="1"/>
  <c r="AC31" i="79"/>
  <c r="AF9" i="89"/>
  <c r="AE67" i="89"/>
  <c r="AE31" i="89"/>
  <c r="AF36" i="89"/>
  <c r="AD54" i="89"/>
  <c r="AG60" i="89"/>
  <c r="AH60" i="89"/>
  <c r="AF88" i="79"/>
  <c r="AF84" i="79" s="1"/>
  <c r="AH46" i="89" s="1"/>
  <c r="AE88" i="79"/>
  <c r="AE84" i="79" s="1"/>
  <c r="AG46" i="89" s="1"/>
  <c r="AF215" i="79"/>
  <c r="AF211" i="79" s="1"/>
  <c r="AE215" i="79"/>
  <c r="AE211" i="79" s="1"/>
  <c r="AH12" i="89"/>
  <c r="AG12" i="89"/>
  <c r="AF33" i="79"/>
  <c r="AF32" i="79" s="1"/>
  <c r="AE33" i="79"/>
  <c r="AE32" i="79" s="1"/>
  <c r="AF78" i="79"/>
  <c r="AE78" i="79"/>
  <c r="AF81" i="79"/>
  <c r="AE81" i="79"/>
  <c r="AH21" i="89"/>
  <c r="AG21" i="89"/>
  <c r="AF77" i="79" l="1"/>
  <c r="AE77" i="79"/>
  <c r="AH27" i="89"/>
  <c r="AH24" i="89" s="1"/>
  <c r="AF44" i="79"/>
  <c r="AG27" i="89"/>
  <c r="AG24" i="89" s="1"/>
  <c r="AE44" i="79"/>
  <c r="AB7" i="79"/>
  <c r="AC48" i="24"/>
  <c r="AF406" i="59" s="1"/>
  <c r="AF1009" i="59" s="1"/>
  <c r="AF9" i="79"/>
  <c r="AG73" i="89"/>
  <c r="AG71" i="89" s="1"/>
  <c r="AE210" i="79"/>
  <c r="AF210" i="79"/>
  <c r="AH73" i="89"/>
  <c r="AH71" i="89" s="1"/>
  <c r="AE9" i="79"/>
  <c r="AF19" i="89"/>
  <c r="AF16" i="89" s="1"/>
  <c r="AD31" i="79"/>
  <c r="AF45" i="89"/>
  <c r="AF42" i="89" s="1"/>
  <c r="AD75" i="79"/>
  <c r="AC92" i="79"/>
  <c r="AE51" i="89"/>
  <c r="AE48" i="89" s="1"/>
  <c r="AE7" i="89" s="1"/>
  <c r="AG9" i="89"/>
  <c r="AH9" i="89"/>
  <c r="AF67" i="89"/>
  <c r="AG36" i="89"/>
  <c r="AH36" i="89"/>
  <c r="AF31" i="89"/>
  <c r="AE54" i="89"/>
  <c r="AH184" i="79"/>
  <c r="AH183" i="79"/>
  <c r="AH84" i="79"/>
  <c r="AH45" i="79"/>
  <c r="AH10" i="79"/>
  <c r="AC7" i="79" l="1"/>
  <c r="AD48" i="24"/>
  <c r="AG406" i="59" s="1"/>
  <c r="AG1009" i="59" s="1"/>
  <c r="AH19" i="89"/>
  <c r="AH16" i="89" s="1"/>
  <c r="AF31" i="79"/>
  <c r="AG45" i="89"/>
  <c r="AG42" i="89" s="1"/>
  <c r="AE75" i="79"/>
  <c r="AF75" i="79"/>
  <c r="AH45" i="89"/>
  <c r="AH42" i="89" s="1"/>
  <c r="AG19" i="89"/>
  <c r="AG16" i="89" s="1"/>
  <c r="AE31" i="79"/>
  <c r="AD92" i="79"/>
  <c r="AF51" i="89"/>
  <c r="AF48" i="89" s="1"/>
  <c r="AF7" i="89" s="1"/>
  <c r="AH51" i="89"/>
  <c r="AH48" i="89" s="1"/>
  <c r="AG67" i="89"/>
  <c r="AH67" i="89"/>
  <c r="AH31" i="89"/>
  <c r="AG31" i="89"/>
  <c r="AF54" i="89"/>
  <c r="AH62" i="79"/>
  <c r="AH63" i="79"/>
  <c r="AH14" i="79"/>
  <c r="AH54" i="79"/>
  <c r="AH44" i="79"/>
  <c r="AH77" i="79"/>
  <c r="AH36" i="79"/>
  <c r="AH211" i="79"/>
  <c r="AH210" i="79"/>
  <c r="AH7" i="89" l="1"/>
  <c r="AD7" i="79"/>
  <c r="AE48" i="24"/>
  <c r="AH406" i="59" s="1"/>
  <c r="AH1009" i="59" s="1"/>
  <c r="AE92" i="79"/>
  <c r="AG51" i="89"/>
  <c r="AG48" i="89" s="1"/>
  <c r="AG7" i="89" s="1"/>
  <c r="AF92" i="79"/>
  <c r="AH93" i="79"/>
  <c r="AH75" i="79"/>
  <c r="AH189" i="79"/>
  <c r="AG54" i="89"/>
  <c r="AH54" i="89"/>
  <c r="AH53" i="79"/>
  <c r="AH31" i="79"/>
  <c r="AH32" i="79"/>
  <c r="AH9" i="79"/>
  <c r="AH92" i="79" l="1"/>
  <c r="AG48" i="24"/>
  <c r="AE7" i="79"/>
  <c r="AF48" i="24"/>
  <c r="AI406" i="59" s="1"/>
  <c r="AI1009" i="59" s="1"/>
  <c r="AF7" i="79"/>
  <c r="AF228" i="79" l="1"/>
  <c r="AK289" i="24" s="1"/>
  <c r="AJ63" i="63" s="1"/>
  <c r="AG228" i="79"/>
  <c r="Z228" i="79"/>
  <c r="AE289" i="24" s="1"/>
  <c r="AD63" i="63" s="1"/>
  <c r="T228" i="79"/>
  <c r="Y289" i="24" s="1"/>
  <c r="X63" i="63" s="1"/>
  <c r="S228" i="79"/>
  <c r="X289" i="24" s="1"/>
  <c r="W63" i="63" s="1"/>
  <c r="AE228" i="79"/>
  <c r="AJ289" i="24" s="1"/>
  <c r="AI63" i="63" s="1"/>
  <c r="Y228" i="79"/>
  <c r="AD289" i="24" s="1"/>
  <c r="AC63" i="63" s="1"/>
  <c r="X228" i="79"/>
  <c r="AC289" i="24" s="1"/>
  <c r="AB63" i="63" s="1"/>
  <c r="U228" i="79"/>
  <c r="Z289" i="24" s="1"/>
  <c r="Y63" i="63" s="1"/>
  <c r="W228" i="79"/>
  <c r="AB289" i="24" s="1"/>
  <c r="AA63" i="63" s="1"/>
  <c r="AB228" i="79"/>
  <c r="AG289" i="24" s="1"/>
  <c r="AF63" i="63" s="1"/>
  <c r="AA228" i="79"/>
  <c r="AF289" i="24" s="1"/>
  <c r="AE63" i="63" s="1"/>
  <c r="AJ406" i="59"/>
  <c r="AM48" i="24"/>
  <c r="R228" i="79"/>
  <c r="W289" i="24" s="1"/>
  <c r="V63" i="63" s="1"/>
  <c r="AD228" i="79"/>
  <c r="AI289" i="24" s="1"/>
  <c r="AH63" i="63" s="1"/>
  <c r="V228" i="79"/>
  <c r="AA289" i="24" s="1"/>
  <c r="Z63" i="63" s="1"/>
  <c r="AC228" i="79"/>
  <c r="AH289" i="24" s="1"/>
  <c r="AG63" i="63" s="1"/>
  <c r="F5" i="89"/>
  <c r="G5" i="89" s="1"/>
  <c r="H5" i="89" s="1"/>
  <c r="I5" i="89" s="1"/>
  <c r="J5" i="89" s="1"/>
  <c r="K5" i="89" s="1"/>
  <c r="L5" i="89" s="1"/>
  <c r="M5" i="89" s="1"/>
  <c r="N5" i="89" s="1"/>
  <c r="O5" i="89" s="1"/>
  <c r="P5" i="89" s="1"/>
  <c r="Q5" i="89" s="1"/>
  <c r="R5" i="89" s="1"/>
  <c r="S5" i="89" s="1"/>
  <c r="T5" i="89" s="1"/>
  <c r="U5" i="89" s="1"/>
  <c r="V5" i="89" s="1"/>
  <c r="W5" i="89" s="1"/>
  <c r="X5" i="89" s="1"/>
  <c r="Y5" i="89" s="1"/>
  <c r="Z5" i="89" s="1"/>
  <c r="AA5" i="89" s="1"/>
  <c r="AB5" i="89" s="1"/>
  <c r="AC5" i="89" s="1"/>
  <c r="AD5" i="89" s="1"/>
  <c r="AE5" i="89" s="1"/>
  <c r="AF5" i="89" s="1"/>
  <c r="AG5" i="89" s="1"/>
  <c r="AH5" i="89" s="1"/>
  <c r="E9" i="89"/>
  <c r="E75" i="89"/>
  <c r="F9" i="89"/>
  <c r="F75" i="89"/>
  <c r="G9" i="89"/>
  <c r="G75" i="89"/>
  <c r="H9" i="89"/>
  <c r="H75" i="89"/>
  <c r="I9" i="89"/>
  <c r="I75" i="89"/>
  <c r="J9" i="89"/>
  <c r="J75" i="89"/>
  <c r="K9" i="89"/>
  <c r="K75" i="89"/>
  <c r="L9" i="89"/>
  <c r="L75" i="89"/>
  <c r="M9" i="89"/>
  <c r="M75" i="89"/>
  <c r="N9" i="89"/>
  <c r="N75" i="89"/>
  <c r="O9" i="89"/>
  <c r="O75" i="89"/>
  <c r="P9" i="89"/>
  <c r="P75" i="89"/>
  <c r="Q9" i="89"/>
  <c r="Q75" i="89"/>
  <c r="R9" i="89"/>
  <c r="R75" i="89"/>
  <c r="S9" i="89"/>
  <c r="S75" i="89"/>
  <c r="T9" i="89"/>
  <c r="T75" i="89"/>
  <c r="U9" i="89"/>
  <c r="U75" i="89"/>
  <c r="V9" i="89"/>
  <c r="V75" i="89"/>
  <c r="W9" i="89"/>
  <c r="W75" i="89"/>
  <c r="X9" i="89"/>
  <c r="X75" i="89"/>
  <c r="H6" i="71"/>
  <c r="G6" i="71" s="1"/>
  <c r="F6" i="71" s="1"/>
  <c r="K6" i="71"/>
  <c r="L6" i="71" s="1"/>
  <c r="E9" i="71"/>
  <c r="E8" i="71" s="1"/>
  <c r="E7" i="71" s="1"/>
  <c r="E11" i="71"/>
  <c r="E12" i="71" s="1"/>
  <c r="E13" i="71" s="1"/>
  <c r="I17" i="71"/>
  <c r="J17" i="71" s="1"/>
  <c r="K17" i="71" s="1"/>
  <c r="L17" i="71" s="1"/>
  <c r="D18" i="71"/>
  <c r="G18" i="71"/>
  <c r="G27" i="71"/>
  <c r="F29" i="71"/>
  <c r="F30" i="71" s="1"/>
  <c r="F31" i="71" s="1"/>
  <c r="F32" i="71" s="1"/>
  <c r="C4" i="46"/>
  <c r="C4" i="68" s="1"/>
  <c r="G14" i="46"/>
  <c r="G17" i="46" s="1"/>
  <c r="D19" i="46"/>
  <c r="D22" i="46" s="1"/>
  <c r="D20" i="46"/>
  <c r="D44" i="46" s="1"/>
  <c r="C5" i="46"/>
  <c r="C5" i="73" s="1"/>
  <c r="D42" i="46"/>
  <c r="D43" i="46" s="1"/>
  <c r="G63" i="46"/>
  <c r="G66" i="46" s="1"/>
  <c r="F67" i="46"/>
  <c r="C41" i="46"/>
  <c r="C47" i="46" s="1"/>
  <c r="E47" i="46"/>
  <c r="C48" i="46"/>
  <c r="C57" i="46" s="1"/>
  <c r="C49" i="46"/>
  <c r="C58" i="46" s="1"/>
  <c r="E49" i="46"/>
  <c r="E165" i="63" s="1"/>
  <c r="C53" i="46"/>
  <c r="C71" i="46" s="1"/>
  <c r="C62" i="46"/>
  <c r="C66" i="46"/>
  <c r="E66" i="46"/>
  <c r="C70" i="46"/>
  <c r="E70" i="46"/>
  <c r="E71" i="46"/>
  <c r="C78" i="46"/>
  <c r="E78" i="46"/>
  <c r="C79" i="46"/>
  <c r="E79" i="46"/>
  <c r="C80" i="46"/>
  <c r="E80" i="46"/>
  <c r="E361" i="59" s="1"/>
  <c r="C81" i="46"/>
  <c r="E81" i="46"/>
  <c r="C82" i="46"/>
  <c r="E82" i="46"/>
  <c r="E83" i="46"/>
  <c r="C7" i="73"/>
  <c r="D9" i="73"/>
  <c r="E9" i="73"/>
  <c r="F9" i="73"/>
  <c r="AN14" i="73"/>
  <c r="C19" i="73"/>
  <c r="C30" i="73" s="1"/>
  <c r="C20" i="73"/>
  <c r="C31" i="73" s="1"/>
  <c r="C21" i="73"/>
  <c r="C32" i="73" s="1"/>
  <c r="C22" i="73"/>
  <c r="C33" i="73" s="1"/>
  <c r="C23" i="73"/>
  <c r="C34" i="73" s="1"/>
  <c r="C24" i="73"/>
  <c r="C35" i="73" s="1"/>
  <c r="C25" i="73"/>
  <c r="C36" i="73" s="1"/>
  <c r="C26" i="73"/>
  <c r="C37" i="73" s="1"/>
  <c r="C27" i="73"/>
  <c r="C38" i="73" s="1"/>
  <c r="F30" i="73"/>
  <c r="F31" i="73"/>
  <c r="F32" i="73"/>
  <c r="F33" i="73"/>
  <c r="F34" i="73"/>
  <c r="F35" i="73"/>
  <c r="F36" i="73"/>
  <c r="F37" i="73"/>
  <c r="F38" i="73"/>
  <c r="C45" i="73"/>
  <c r="E45" i="73"/>
  <c r="E47" i="73"/>
  <c r="AN47" i="73"/>
  <c r="AN48" i="73"/>
  <c r="E49" i="73"/>
  <c r="AN49" i="73"/>
  <c r="E50" i="73"/>
  <c r="C55" i="73"/>
  <c r="D55" i="73"/>
  <c r="C56" i="73"/>
  <c r="D56" i="73"/>
  <c r="C58" i="73"/>
  <c r="D58" i="73"/>
  <c r="C63" i="73"/>
  <c r="C95" i="73" s="1"/>
  <c r="C64" i="73"/>
  <c r="D70" i="73"/>
  <c r="E70" i="73"/>
  <c r="C73" i="73"/>
  <c r="D73" i="73"/>
  <c r="E73" i="73"/>
  <c r="C74" i="73"/>
  <c r="D74" i="73"/>
  <c r="E74" i="73"/>
  <c r="C75" i="73"/>
  <c r="D75" i="73"/>
  <c r="E75" i="73"/>
  <c r="C76" i="73"/>
  <c r="AN76" i="73"/>
  <c r="C82" i="73"/>
  <c r="D82" i="73"/>
  <c r="C83" i="73"/>
  <c r="D83" i="73"/>
  <c r="C85" i="73"/>
  <c r="D85" i="73"/>
  <c r="C96" i="73"/>
  <c r="C5" i="68"/>
  <c r="C6" i="68"/>
  <c r="D8" i="68"/>
  <c r="E8" i="68"/>
  <c r="F8" i="68"/>
  <c r="C20" i="68"/>
  <c r="E20" i="68"/>
  <c r="E26" i="68"/>
  <c r="C27" i="68"/>
  <c r="E27" i="68"/>
  <c r="C28" i="68"/>
  <c r="E28" i="68"/>
  <c r="C29" i="68"/>
  <c r="E29" i="68"/>
  <c r="C30" i="68"/>
  <c r="E30" i="68"/>
  <c r="E31" i="68"/>
  <c r="E33" i="68"/>
  <c r="C40" i="68"/>
  <c r="C41" i="68"/>
  <c r="D41" i="68"/>
  <c r="C42" i="68"/>
  <c r="C43" i="68"/>
  <c r="C46" i="68" s="1"/>
  <c r="E46" i="68"/>
  <c r="C47" i="68"/>
  <c r="C54" i="68" s="1"/>
  <c r="E54" i="68"/>
  <c r="C63" i="68"/>
  <c r="C7" i="63"/>
  <c r="D9" i="63"/>
  <c r="E9" i="63"/>
  <c r="F9" i="63"/>
  <c r="AN14" i="63"/>
  <c r="C19" i="63"/>
  <c r="C30" i="63" s="1"/>
  <c r="C20" i="63"/>
  <c r="C31" i="63" s="1"/>
  <c r="C21" i="63"/>
  <c r="C32" i="63" s="1"/>
  <c r="C22" i="63"/>
  <c r="C33" i="63" s="1"/>
  <c r="C23" i="63"/>
  <c r="C34" i="63" s="1"/>
  <c r="C24" i="63"/>
  <c r="C35" i="63" s="1"/>
  <c r="C25" i="63"/>
  <c r="C36" i="63" s="1"/>
  <c r="C26" i="63"/>
  <c r="C37" i="63" s="1"/>
  <c r="C27" i="63"/>
  <c r="C38" i="63" s="1"/>
  <c r="F30" i="63"/>
  <c r="F31" i="63"/>
  <c r="F32" i="63"/>
  <c r="F33" i="63"/>
  <c r="F34" i="63"/>
  <c r="F35" i="63"/>
  <c r="F36" i="63"/>
  <c r="F37" i="63"/>
  <c r="F38" i="63"/>
  <c r="E46" i="63"/>
  <c r="C48" i="63"/>
  <c r="D48" i="63"/>
  <c r="C50" i="63"/>
  <c r="E50" i="63"/>
  <c r="C51" i="63"/>
  <c r="E51" i="63"/>
  <c r="F55" i="63"/>
  <c r="C58" i="63"/>
  <c r="E58" i="63"/>
  <c r="V62" i="63"/>
  <c r="W62" i="63"/>
  <c r="X62" i="63"/>
  <c r="Y62" i="63"/>
  <c r="Z62" i="63"/>
  <c r="AA62" i="63"/>
  <c r="AB62" i="63"/>
  <c r="AC62" i="63"/>
  <c r="AD62" i="63"/>
  <c r="AE62" i="63"/>
  <c r="AF62" i="63"/>
  <c r="AG62" i="63"/>
  <c r="AH62" i="63"/>
  <c r="AI62" i="63"/>
  <c r="AJ62" i="63"/>
  <c r="AK62" i="63"/>
  <c r="AL62" i="63"/>
  <c r="AM62" i="63"/>
  <c r="AN62" i="63"/>
  <c r="G63" i="63"/>
  <c r="H63" i="63"/>
  <c r="I63" i="63"/>
  <c r="J63" i="63"/>
  <c r="K63" i="63"/>
  <c r="L63" i="63"/>
  <c r="M63" i="63"/>
  <c r="N63" i="63"/>
  <c r="O63" i="63"/>
  <c r="P63" i="63"/>
  <c r="Q63" i="63"/>
  <c r="R63" i="63"/>
  <c r="S63" i="63"/>
  <c r="T63" i="63"/>
  <c r="U63" i="63"/>
  <c r="AK63" i="63"/>
  <c r="AL63" i="63"/>
  <c r="AM63" i="63"/>
  <c r="AN63" i="63"/>
  <c r="D71" i="63"/>
  <c r="G75" i="63"/>
  <c r="D265" i="63"/>
  <c r="E265" i="63" s="1"/>
  <c r="D82" i="63"/>
  <c r="D83" i="63"/>
  <c r="D81" i="63"/>
  <c r="D95" i="63"/>
  <c r="D96" i="63"/>
  <c r="G175" i="63"/>
  <c r="G209" i="63"/>
  <c r="C87" i="63"/>
  <c r="C100" i="63" s="1"/>
  <c r="C95" i="63"/>
  <c r="C96" i="63"/>
  <c r="C97" i="63"/>
  <c r="C98" i="63"/>
  <c r="C101" i="63"/>
  <c r="D107" i="63"/>
  <c r="C109" i="63"/>
  <c r="E109" i="63"/>
  <c r="AN109" i="63"/>
  <c r="AN110" i="63" s="1"/>
  <c r="C113" i="63"/>
  <c r="E113" i="63"/>
  <c r="D114" i="63"/>
  <c r="C124" i="63"/>
  <c r="C131" i="63" s="1"/>
  <c r="D124" i="63"/>
  <c r="C125" i="63"/>
  <c r="C132" i="63" s="1"/>
  <c r="D125" i="63"/>
  <c r="D127" i="63"/>
  <c r="C128" i="63"/>
  <c r="E128" i="63"/>
  <c r="C129" i="63"/>
  <c r="C130" i="63"/>
  <c r="D134" i="63"/>
  <c r="G140" i="63"/>
  <c r="C145" i="63"/>
  <c r="E145" i="63"/>
  <c r="C146" i="63"/>
  <c r="E146" i="63"/>
  <c r="F146" i="63"/>
  <c r="C147" i="63"/>
  <c r="E147" i="63"/>
  <c r="F147" i="63"/>
  <c r="C159" i="63"/>
  <c r="C166" i="63" s="1"/>
  <c r="D159" i="63"/>
  <c r="C160" i="63"/>
  <c r="C167" i="63" s="1"/>
  <c r="D160" i="63"/>
  <c r="D162" i="63"/>
  <c r="C163" i="63"/>
  <c r="E163" i="63"/>
  <c r="C164" i="63"/>
  <c r="C165" i="63"/>
  <c r="D169" i="63"/>
  <c r="E180" i="63"/>
  <c r="C181" i="63"/>
  <c r="E181" i="63"/>
  <c r="F181" i="63"/>
  <c r="C182" i="63"/>
  <c r="E182" i="63"/>
  <c r="F182" i="63"/>
  <c r="C193" i="63"/>
  <c r="C200" i="63" s="1"/>
  <c r="D193" i="63"/>
  <c r="C194" i="63"/>
  <c r="C201" i="63" s="1"/>
  <c r="D194" i="63"/>
  <c r="C197" i="63"/>
  <c r="E197" i="63"/>
  <c r="C198" i="63"/>
  <c r="D203" i="63"/>
  <c r="E214" i="63"/>
  <c r="C215" i="63"/>
  <c r="E215" i="63"/>
  <c r="F215" i="63"/>
  <c r="C216" i="63"/>
  <c r="E216" i="63"/>
  <c r="F216" i="63"/>
  <c r="C227" i="63"/>
  <c r="C234" i="63" s="1"/>
  <c r="D227" i="63"/>
  <c r="C228" i="63"/>
  <c r="C235" i="63" s="1"/>
  <c r="D228" i="63"/>
  <c r="D230" i="63"/>
  <c r="C231" i="63"/>
  <c r="E231" i="63"/>
  <c r="C232" i="63"/>
  <c r="E233" i="63"/>
  <c r="G243" i="63"/>
  <c r="G255" i="63" s="1"/>
  <c r="AN252" i="63"/>
  <c r="E248" i="63"/>
  <c r="C249" i="63"/>
  <c r="E249" i="63"/>
  <c r="F249" i="63"/>
  <c r="C252" i="63"/>
  <c r="E252" i="63"/>
  <c r="C255" i="63"/>
  <c r="E255" i="63"/>
  <c r="C285" i="63"/>
  <c r="C300" i="63" s="1"/>
  <c r="C304" i="63" s="1"/>
  <c r="E285" i="63"/>
  <c r="E300" i="63" s="1"/>
  <c r="E304" i="63" s="1"/>
  <c r="C289" i="63"/>
  <c r="D289" i="63"/>
  <c r="E289" i="63"/>
  <c r="G292" i="63"/>
  <c r="G334" i="63" s="1"/>
  <c r="AN299" i="63"/>
  <c r="AN303" i="63"/>
  <c r="AN320" i="63"/>
  <c r="C358" i="63"/>
  <c r="C299" i="63" s="1"/>
  <c r="C303" i="63"/>
  <c r="C311" i="63" s="1"/>
  <c r="C345" i="63" s="1"/>
  <c r="E303" i="63"/>
  <c r="E311" i="63" s="1"/>
  <c r="E345" i="63" s="1"/>
  <c r="C307" i="63"/>
  <c r="E307" i="63"/>
  <c r="E310" i="63"/>
  <c r="C312" i="63"/>
  <c r="C319" i="63"/>
  <c r="E319" i="63"/>
  <c r="F319" i="63"/>
  <c r="C320" i="63"/>
  <c r="E320" i="63"/>
  <c r="C323" i="63"/>
  <c r="E323" i="63"/>
  <c r="C326" i="63"/>
  <c r="E326" i="63"/>
  <c r="C330" i="63"/>
  <c r="F330" i="63"/>
  <c r="C334" i="63"/>
  <c r="E334" i="63"/>
  <c r="F334" i="63"/>
  <c r="C335" i="63"/>
  <c r="E335" i="63"/>
  <c r="C338" i="63"/>
  <c r="E338" i="63"/>
  <c r="C339" i="63"/>
  <c r="C344" i="63"/>
  <c r="E344" i="63"/>
  <c r="F344" i="63"/>
  <c r="C353" i="63"/>
  <c r="D353" i="63"/>
  <c r="E353" i="63"/>
  <c r="AN353" i="63"/>
  <c r="C354" i="63"/>
  <c r="D354" i="63"/>
  <c r="E354" i="63"/>
  <c r="AN354" i="63"/>
  <c r="C357" i="63"/>
  <c r="D357" i="63"/>
  <c r="E357" i="63"/>
  <c r="E358" i="63"/>
  <c r="E369" i="63" s="1"/>
  <c r="C364" i="63"/>
  <c r="E364" i="63"/>
  <c r="E366" i="63" s="1"/>
  <c r="D369" i="63"/>
  <c r="C374" i="63"/>
  <c r="C381" i="63" s="1"/>
  <c r="E374" i="63"/>
  <c r="E381" i="63" s="1"/>
  <c r="C375" i="63"/>
  <c r="C382" i="63" s="1"/>
  <c r="D375" i="63"/>
  <c r="D382" i="63" s="1"/>
  <c r="E375" i="63"/>
  <c r="E382" i="63" s="1"/>
  <c r="F375" i="63"/>
  <c r="F382" i="63" s="1"/>
  <c r="C376" i="63"/>
  <c r="C383" i="63"/>
  <c r="C8" i="59"/>
  <c r="D10" i="59"/>
  <c r="E10" i="59"/>
  <c r="F10" i="59"/>
  <c r="AN15" i="59"/>
  <c r="C20" i="59"/>
  <c r="C31" i="59" s="1"/>
  <c r="C21" i="59"/>
  <c r="C32" i="59" s="1"/>
  <c r="C22" i="59"/>
  <c r="C33" i="59" s="1"/>
  <c r="C23" i="59"/>
  <c r="C34" i="59" s="1"/>
  <c r="C24" i="59"/>
  <c r="C35" i="59" s="1"/>
  <c r="C25" i="59"/>
  <c r="C36" i="59" s="1"/>
  <c r="C26" i="59"/>
  <c r="C37" i="59" s="1"/>
  <c r="C27" i="59"/>
  <c r="C38" i="59" s="1"/>
  <c r="C28" i="59"/>
  <c r="C39" i="59" s="1"/>
  <c r="F31" i="59"/>
  <c r="F32" i="59"/>
  <c r="F33" i="59"/>
  <c r="F34" i="59"/>
  <c r="F35" i="59"/>
  <c r="F36" i="59"/>
  <c r="F37" i="59"/>
  <c r="F38" i="59"/>
  <c r="F39" i="59"/>
  <c r="C88" i="59"/>
  <c r="C89" i="59"/>
  <c r="D89" i="59"/>
  <c r="C1106" i="59"/>
  <c r="E94" i="59"/>
  <c r="E1106" i="59" s="1"/>
  <c r="E95" i="59"/>
  <c r="C102" i="59"/>
  <c r="C103" i="59"/>
  <c r="D103" i="59"/>
  <c r="C106" i="59"/>
  <c r="E106" i="59"/>
  <c r="C107" i="59"/>
  <c r="E107" i="59"/>
  <c r="C119" i="59"/>
  <c r="D119" i="59"/>
  <c r="C123" i="59"/>
  <c r="D123" i="59"/>
  <c r="E123" i="59"/>
  <c r="F123" i="59"/>
  <c r="F135" i="59"/>
  <c r="C173" i="59"/>
  <c r="E173" i="59"/>
  <c r="C175" i="59"/>
  <c r="C178" i="59"/>
  <c r="E178" i="59"/>
  <c r="F178" i="59"/>
  <c r="C185" i="59"/>
  <c r="C192" i="59"/>
  <c r="C193" i="59"/>
  <c r="D193" i="59"/>
  <c r="C194" i="59"/>
  <c r="D194" i="59"/>
  <c r="D400" i="59"/>
  <c r="D401" i="59"/>
  <c r="D402" i="59"/>
  <c r="D1005" i="59" s="1"/>
  <c r="D403" i="59"/>
  <c r="D1006" i="59" s="1"/>
  <c r="D404" i="59"/>
  <c r="D405" i="59"/>
  <c r="D1008" i="59" s="1"/>
  <c r="D407" i="59"/>
  <c r="D1010" i="59" s="1"/>
  <c r="D408" i="59"/>
  <c r="D1011" i="59" s="1"/>
  <c r="D409" i="59"/>
  <c r="D1012" i="59" s="1"/>
  <c r="D410" i="59"/>
  <c r="D1013" i="59" s="1"/>
  <c r="C203" i="59"/>
  <c r="C259" i="59"/>
  <c r="C314" i="59" s="1"/>
  <c r="C335" i="59" s="1"/>
  <c r="D210" i="59"/>
  <c r="E210" i="59"/>
  <c r="D354" i="59"/>
  <c r="C260" i="59"/>
  <c r="C315" i="59" s="1"/>
  <c r="C382" i="59" s="1"/>
  <c r="D211" i="59"/>
  <c r="E211" i="59"/>
  <c r="C261" i="59"/>
  <c r="D212" i="59"/>
  <c r="E212" i="59"/>
  <c r="C262" i="59"/>
  <c r="C317" i="59" s="1"/>
  <c r="C338" i="59" s="1"/>
  <c r="D213" i="59"/>
  <c r="E213" i="59"/>
  <c r="C263" i="59"/>
  <c r="C318" i="59" s="1"/>
  <c r="C339" i="59" s="1"/>
  <c r="D214" i="59"/>
  <c r="E214" i="59"/>
  <c r="C264" i="59"/>
  <c r="D215" i="59"/>
  <c r="E215" i="59"/>
  <c r="C266" i="59"/>
  <c r="C321" i="59" s="1"/>
  <c r="C342" i="59" s="1"/>
  <c r="D216" i="59"/>
  <c r="E216" i="59"/>
  <c r="C267" i="59"/>
  <c r="C322" i="59" s="1"/>
  <c r="C343" i="59" s="1"/>
  <c r="D217" i="59"/>
  <c r="E217" i="59"/>
  <c r="C268" i="59"/>
  <c r="C323" i="59" s="1"/>
  <c r="C344" i="59" s="1"/>
  <c r="C218" i="59" s="1"/>
  <c r="D218" i="59"/>
  <c r="E218" i="59"/>
  <c r="C269" i="59"/>
  <c r="C324" i="59" s="1"/>
  <c r="C345" i="59" s="1"/>
  <c r="D219" i="59"/>
  <c r="E219" i="59"/>
  <c r="C270" i="59"/>
  <c r="C325" i="59" s="1"/>
  <c r="C346" i="59" s="1"/>
  <c r="D220" i="59"/>
  <c r="E220" i="59"/>
  <c r="C271" i="59"/>
  <c r="C326" i="59" s="1"/>
  <c r="C347" i="59" s="1"/>
  <c r="D221" i="59"/>
  <c r="C230" i="59"/>
  <c r="E230" i="59"/>
  <c r="C231" i="59"/>
  <c r="E231" i="59"/>
  <c r="F233" i="59"/>
  <c r="C239" i="59"/>
  <c r="E239" i="59"/>
  <c r="C256" i="59"/>
  <c r="E256" i="59"/>
  <c r="C290" i="59"/>
  <c r="E290" i="59"/>
  <c r="C292" i="59"/>
  <c r="C294" i="59"/>
  <c r="C298" i="59"/>
  <c r="E298" i="59"/>
  <c r="C299" i="59"/>
  <c r="E299" i="59"/>
  <c r="C304" i="59"/>
  <c r="E304" i="59"/>
  <c r="E314" i="59"/>
  <c r="E315" i="59"/>
  <c r="E316" i="59"/>
  <c r="E317" i="59"/>
  <c r="E318" i="59"/>
  <c r="E319" i="59"/>
  <c r="E321" i="59"/>
  <c r="E322" i="59"/>
  <c r="E323" i="59"/>
  <c r="E324" i="59"/>
  <c r="E325" i="59"/>
  <c r="E326" i="59"/>
  <c r="C329" i="59"/>
  <c r="C350" i="59" s="1"/>
  <c r="C36" i="60" s="1"/>
  <c r="C330" i="59"/>
  <c r="C351" i="59" s="1"/>
  <c r="C37" i="60" s="1"/>
  <c r="C361" i="59"/>
  <c r="D361" i="59"/>
  <c r="AN366" i="59"/>
  <c r="D372" i="59"/>
  <c r="C373" i="59"/>
  <c r="C381" i="59" s="1"/>
  <c r="D380" i="59"/>
  <c r="C388" i="59"/>
  <c r="C389" i="59"/>
  <c r="C390" i="59"/>
  <c r="C400" i="59"/>
  <c r="C1003" i="59" s="1"/>
  <c r="C401" i="59"/>
  <c r="C1004" i="59" s="1"/>
  <c r="C402" i="59"/>
  <c r="C1005" i="59" s="1"/>
  <c r="C403" i="59"/>
  <c r="C1006" i="59" s="1"/>
  <c r="C404" i="59"/>
  <c r="C1007" i="59" s="1"/>
  <c r="C1008" i="59"/>
  <c r="C407" i="59"/>
  <c r="C1010" i="59" s="1"/>
  <c r="C408" i="59"/>
  <c r="C1011" i="59" s="1"/>
  <c r="C409" i="59"/>
  <c r="C1012" i="59" s="1"/>
  <c r="C410" i="59"/>
  <c r="C1013" i="59" s="1"/>
  <c r="D421" i="59"/>
  <c r="C423" i="59"/>
  <c r="D423" i="59"/>
  <c r="C424" i="59"/>
  <c r="D424" i="59"/>
  <c r="D434" i="59" s="1"/>
  <c r="C425" i="59"/>
  <c r="D425" i="59"/>
  <c r="C426" i="59"/>
  <c r="D426" i="59"/>
  <c r="D431" i="59"/>
  <c r="C433" i="59"/>
  <c r="C434" i="59"/>
  <c r="C435" i="59"/>
  <c r="C436" i="59"/>
  <c r="G446" i="59"/>
  <c r="D457" i="59"/>
  <c r="C453" i="59"/>
  <c r="E453" i="59"/>
  <c r="C455" i="59"/>
  <c r="E455" i="59"/>
  <c r="F455" i="59"/>
  <c r="C457" i="59"/>
  <c r="G501" i="59"/>
  <c r="C508" i="59"/>
  <c r="E508" i="59"/>
  <c r="C510" i="59"/>
  <c r="E510" i="59"/>
  <c r="F510" i="59"/>
  <c r="C512" i="59"/>
  <c r="G557" i="59"/>
  <c r="D568" i="59"/>
  <c r="C564" i="59"/>
  <c r="E564" i="59"/>
  <c r="C566" i="59"/>
  <c r="E566" i="59"/>
  <c r="F566" i="59"/>
  <c r="C568" i="59"/>
  <c r="G612" i="59"/>
  <c r="D623" i="59"/>
  <c r="C619" i="59"/>
  <c r="E619" i="59"/>
  <c r="C621" i="59"/>
  <c r="E621" i="59"/>
  <c r="F621" i="59"/>
  <c r="C623" i="59"/>
  <c r="G671" i="59"/>
  <c r="C678" i="59"/>
  <c r="E678" i="59"/>
  <c r="C680" i="59"/>
  <c r="E680" i="59"/>
  <c r="F680" i="59"/>
  <c r="C682" i="59"/>
  <c r="D682" i="59"/>
  <c r="G726" i="59"/>
  <c r="C733" i="59"/>
  <c r="E733" i="59"/>
  <c r="C735" i="59"/>
  <c r="E735" i="59"/>
  <c r="F735" i="59"/>
  <c r="C737" i="59"/>
  <c r="D737" i="59"/>
  <c r="G782" i="59"/>
  <c r="C789" i="59"/>
  <c r="E789" i="59"/>
  <c r="C791" i="59"/>
  <c r="E791" i="59"/>
  <c r="F791" i="59"/>
  <c r="C793" i="59"/>
  <c r="D793" i="59"/>
  <c r="G837" i="59"/>
  <c r="C844" i="59"/>
  <c r="E844" i="59"/>
  <c r="C846" i="59"/>
  <c r="E846" i="59"/>
  <c r="F846" i="59"/>
  <c r="C848" i="59"/>
  <c r="D848" i="59"/>
  <c r="G894" i="59"/>
  <c r="G902" i="59"/>
  <c r="C912" i="59"/>
  <c r="E912" i="59"/>
  <c r="C915" i="59"/>
  <c r="E915" i="59"/>
  <c r="E925" i="59"/>
  <c r="E926" i="59"/>
  <c r="D934" i="59"/>
  <c r="D935" i="59"/>
  <c r="D936" i="59"/>
  <c r="J940" i="59" s="1"/>
  <c r="D937" i="59"/>
  <c r="D938" i="59"/>
  <c r="G953" i="59"/>
  <c r="D959" i="59"/>
  <c r="D960" i="59"/>
  <c r="D961" i="59"/>
  <c r="D962" i="59"/>
  <c r="D963" i="59"/>
  <c r="AN967" i="59"/>
  <c r="AN979" i="59" s="1"/>
  <c r="G978" i="59"/>
  <c r="G989" i="59"/>
  <c r="G994" i="59"/>
  <c r="E1003" i="59"/>
  <c r="AK1003" i="59"/>
  <c r="AL1003" i="59"/>
  <c r="AM1003" i="59"/>
  <c r="AN1003" i="59"/>
  <c r="E1004" i="59"/>
  <c r="AK1004" i="59"/>
  <c r="AL1004" i="59"/>
  <c r="AM1004" i="59"/>
  <c r="AN1004" i="59"/>
  <c r="E1005" i="59"/>
  <c r="AK1005" i="59"/>
  <c r="AL1005" i="59"/>
  <c r="AM1005" i="59"/>
  <c r="AN1005" i="59"/>
  <c r="E1006" i="59"/>
  <c r="AK1006" i="59"/>
  <c r="AL1006" i="59"/>
  <c r="AM1006" i="59"/>
  <c r="AN1006" i="59"/>
  <c r="E1007" i="59"/>
  <c r="AK1007" i="59"/>
  <c r="AL1007" i="59"/>
  <c r="AM1007" i="59"/>
  <c r="AN1007" i="59"/>
  <c r="E1008" i="59"/>
  <c r="AK1008" i="59"/>
  <c r="AL1008" i="59"/>
  <c r="AM1008" i="59"/>
  <c r="AN1008" i="59"/>
  <c r="E1010" i="59"/>
  <c r="AK1010" i="59"/>
  <c r="AL1010" i="59"/>
  <c r="AM1010" i="59"/>
  <c r="AN1010" i="59"/>
  <c r="E1011" i="59"/>
  <c r="AK1011" i="59"/>
  <c r="AL1011" i="59"/>
  <c r="AM1011" i="59"/>
  <c r="AN1011" i="59"/>
  <c r="E1012" i="59"/>
  <c r="AK1012" i="59"/>
  <c r="AL1012" i="59"/>
  <c r="AM1012" i="59"/>
  <c r="AN1012" i="59"/>
  <c r="E1013" i="59"/>
  <c r="AK1013" i="59"/>
  <c r="AL1013" i="59"/>
  <c r="AM1013" i="59"/>
  <c r="AN1013" i="59"/>
  <c r="C1014" i="59"/>
  <c r="D1030" i="59"/>
  <c r="D1037" i="59" s="1"/>
  <c r="D1047" i="59" s="1"/>
  <c r="C1020" i="59"/>
  <c r="E1020" i="59"/>
  <c r="G1022" i="59"/>
  <c r="C1028" i="59"/>
  <c r="E1028" i="59"/>
  <c r="C1037" i="59"/>
  <c r="E1037" i="59"/>
  <c r="G1039" i="59"/>
  <c r="C1045" i="59"/>
  <c r="E1045" i="59"/>
  <c r="AN1045" i="59"/>
  <c r="G1055" i="59"/>
  <c r="G1061" i="59"/>
  <c r="G1088" i="59"/>
  <c r="D1083" i="59"/>
  <c r="D1084" i="59"/>
  <c r="AN1056" i="59"/>
  <c r="AN1062" i="59"/>
  <c r="AN1098" i="59"/>
  <c r="AN1099" i="59"/>
  <c r="AN1086" i="59"/>
  <c r="AN1094" i="59"/>
  <c r="C1069" i="59"/>
  <c r="D1071" i="59"/>
  <c r="C1074" i="59"/>
  <c r="D1074" i="59"/>
  <c r="C1075" i="59"/>
  <c r="D1075" i="59"/>
  <c r="C1076" i="59"/>
  <c r="D1076" i="59"/>
  <c r="C1083" i="59"/>
  <c r="E1083" i="59"/>
  <c r="C1084" i="59"/>
  <c r="E1084" i="59"/>
  <c r="C1086" i="59"/>
  <c r="E1086" i="59"/>
  <c r="C1093" i="59"/>
  <c r="E1093" i="59"/>
  <c r="F1093" i="59"/>
  <c r="C1094" i="59"/>
  <c r="E1094" i="59"/>
  <c r="E1095" i="59"/>
  <c r="E1100" i="59" s="1"/>
  <c r="E1096" i="59"/>
  <c r="E1114" i="59" s="1"/>
  <c r="C1098" i="59"/>
  <c r="D1098" i="59"/>
  <c r="E1098" i="59"/>
  <c r="F1098" i="59"/>
  <c r="C1099" i="59"/>
  <c r="E1099" i="59"/>
  <c r="C1100" i="59"/>
  <c r="D1100" i="59"/>
  <c r="C1104" i="59"/>
  <c r="C1114" i="59"/>
  <c r="F1114" i="59"/>
  <c r="C1115" i="59"/>
  <c r="E1115" i="59"/>
  <c r="F19" i="24" a="1"/>
  <c r="F19" i="24" s="1"/>
  <c r="D34" i="46"/>
  <c r="D47" i="24"/>
  <c r="E41" i="24"/>
  <c r="F41" i="24" s="1"/>
  <c r="G41" i="24" s="1"/>
  <c r="H41" i="24" s="1"/>
  <c r="I41" i="24" s="1"/>
  <c r="J41" i="24" s="1"/>
  <c r="K41" i="24" s="1"/>
  <c r="L41" i="24" s="1"/>
  <c r="M41" i="24" s="1"/>
  <c r="N41" i="24" s="1"/>
  <c r="O41" i="24" s="1"/>
  <c r="P41" i="24" s="1"/>
  <c r="Q41" i="24" s="1"/>
  <c r="R41" i="24" s="1"/>
  <c r="S41" i="24" s="1"/>
  <c r="T41" i="24" s="1"/>
  <c r="U41" i="24" s="1"/>
  <c r="V41" i="24" s="1"/>
  <c r="W41" i="24" s="1"/>
  <c r="X41" i="24" s="1"/>
  <c r="Y41" i="24" s="1"/>
  <c r="Z41" i="24" s="1"/>
  <c r="AA41" i="24" s="1"/>
  <c r="AB41" i="24" s="1"/>
  <c r="AC41" i="24" s="1"/>
  <c r="AD41" i="24" s="1"/>
  <c r="AE41" i="24" s="1"/>
  <c r="AF41" i="24" s="1"/>
  <c r="AG41" i="24" s="1"/>
  <c r="AH41" i="24" s="1"/>
  <c r="AI41" i="24" s="1"/>
  <c r="AJ41" i="24" s="1"/>
  <c r="AK41" i="24" s="1"/>
  <c r="AL41" i="24" s="1"/>
  <c r="E86" i="24"/>
  <c r="F86" i="24" s="1"/>
  <c r="C109" i="24"/>
  <c r="D111" i="24"/>
  <c r="D175" i="59" s="1"/>
  <c r="E109" i="24"/>
  <c r="E131" i="24"/>
  <c r="F131" i="24" s="1"/>
  <c r="G131" i="24" s="1"/>
  <c r="E146" i="24"/>
  <c r="F146" i="24" s="1"/>
  <c r="G146" i="24" s="1"/>
  <c r="H146" i="24" s="1"/>
  <c r="I146" i="24" s="1"/>
  <c r="J146" i="24" s="1"/>
  <c r="K146" i="24" s="1"/>
  <c r="L146" i="24" s="1"/>
  <c r="M146" i="24" s="1"/>
  <c r="N146" i="24" s="1"/>
  <c r="O146" i="24" s="1"/>
  <c r="P146" i="24" s="1"/>
  <c r="Q146" i="24" s="1"/>
  <c r="R146" i="24" s="1"/>
  <c r="S146" i="24" s="1"/>
  <c r="T146" i="24" s="1"/>
  <c r="U146" i="24" s="1"/>
  <c r="V146" i="24" s="1"/>
  <c r="W146" i="24" s="1"/>
  <c r="X146" i="24" s="1"/>
  <c r="Y146" i="24" s="1"/>
  <c r="Z146" i="24" s="1"/>
  <c r="AA146" i="24" s="1"/>
  <c r="AB146" i="24" s="1"/>
  <c r="AC146" i="24" s="1"/>
  <c r="AD146" i="24" s="1"/>
  <c r="AE146" i="24" s="1"/>
  <c r="AF146" i="24" s="1"/>
  <c r="AG146" i="24" s="1"/>
  <c r="E212" i="24"/>
  <c r="F212" i="24" s="1"/>
  <c r="G212" i="24" s="1"/>
  <c r="G237" i="24"/>
  <c r="D259" i="24"/>
  <c r="D537" i="59"/>
  <c r="D262" i="24"/>
  <c r="D635" i="59" s="1"/>
  <c r="D294" i="24"/>
  <c r="H336" i="24"/>
  <c r="I336" i="24" s="1"/>
  <c r="B8" i="80"/>
  <c r="C37" i="66" s="1"/>
  <c r="B9" i="80"/>
  <c r="C38" i="66" s="1"/>
  <c r="B10" i="80"/>
  <c r="C39" i="66" s="1"/>
  <c r="B11" i="80"/>
  <c r="C40" i="66" s="1"/>
  <c r="B13" i="80"/>
  <c r="C42" i="66" s="1"/>
  <c r="AL15" i="80"/>
  <c r="AM15" i="80"/>
  <c r="B20" i="80"/>
  <c r="C24" i="66" s="1"/>
  <c r="B21" i="80"/>
  <c r="C25" i="66" s="1"/>
  <c r="C6" i="60"/>
  <c r="C9" i="60"/>
  <c r="D11" i="60"/>
  <c r="E11" i="60"/>
  <c r="F11" i="60"/>
  <c r="C47" i="60"/>
  <c r="C48" i="60"/>
  <c r="E48" i="60"/>
  <c r="E48" i="73" s="1"/>
  <c r="C143" i="60"/>
  <c r="C26" i="68" s="1"/>
  <c r="C161" i="60"/>
  <c r="G164" i="60"/>
  <c r="G1098" i="59" s="1"/>
  <c r="C183" i="60"/>
  <c r="C21" i="66"/>
  <c r="C22" i="66"/>
  <c r="C23" i="66"/>
  <c r="C34" i="66"/>
  <c r="C35" i="66"/>
  <c r="C36" i="66"/>
  <c r="C41" i="66"/>
  <c r="C43" i="66"/>
  <c r="C53" i="66"/>
  <c r="C54" i="66"/>
  <c r="E61" i="66"/>
  <c r="D41" i="46" l="1"/>
  <c r="X7" i="89"/>
  <c r="T7" i="89"/>
  <c r="P7" i="89"/>
  <c r="V7" i="89"/>
  <c r="L7" i="89"/>
  <c r="H7" i="89"/>
  <c r="R7" i="89"/>
  <c r="U7" i="89"/>
  <c r="W7" i="89"/>
  <c r="N7" i="89"/>
  <c r="J7" i="89"/>
  <c r="AJ1009" i="59"/>
  <c r="F1009" i="59" s="1"/>
  <c r="F406" i="59"/>
  <c r="S7" i="89"/>
  <c r="O7" i="89"/>
  <c r="K7" i="89"/>
  <c r="G7" i="89"/>
  <c r="Q7" i="89"/>
  <c r="F7" i="89"/>
  <c r="M7" i="89"/>
  <c r="I7" i="89"/>
  <c r="C319" i="59"/>
  <c r="C340" i="59" s="1"/>
  <c r="D475" i="59"/>
  <c r="D460" i="59"/>
  <c r="AN348" i="59"/>
  <c r="AK348" i="59"/>
  <c r="S348" i="59"/>
  <c r="P348" i="59"/>
  <c r="W348" i="59"/>
  <c r="R348" i="59"/>
  <c r="K348" i="59"/>
  <c r="I348" i="59"/>
  <c r="U348" i="59"/>
  <c r="AC348" i="59"/>
  <c r="AL348" i="59"/>
  <c r="X348" i="59"/>
  <c r="AE348" i="59"/>
  <c r="Z348" i="59"/>
  <c r="L348" i="59"/>
  <c r="H348" i="59"/>
  <c r="T348" i="59"/>
  <c r="AA348" i="59"/>
  <c r="Y348" i="59"/>
  <c r="AM348" i="59"/>
  <c r="AF348" i="59"/>
  <c r="AH348" i="59"/>
  <c r="M348" i="59"/>
  <c r="AJ348" i="59"/>
  <c r="AI348" i="59"/>
  <c r="V348" i="59"/>
  <c r="G348" i="59"/>
  <c r="AD348" i="59"/>
  <c r="AB348" i="59"/>
  <c r="Q348" i="59"/>
  <c r="AG348" i="59"/>
  <c r="J348" i="59"/>
  <c r="O348" i="59"/>
  <c r="N348" i="59"/>
  <c r="C316" i="59"/>
  <c r="C337" i="59" s="1"/>
  <c r="C24" i="60" s="1"/>
  <c r="D435" i="59"/>
  <c r="AL435" i="59" s="1"/>
  <c r="AL783" i="59" s="1"/>
  <c r="AK425" i="59"/>
  <c r="AK558" i="59" s="1"/>
  <c r="G1041" i="59"/>
  <c r="AM352" i="59"/>
  <c r="AL352" i="59"/>
  <c r="AK352" i="59"/>
  <c r="AN352" i="59"/>
  <c r="C328" i="59"/>
  <c r="C349" i="59" s="1"/>
  <c r="C35" i="60" s="1"/>
  <c r="H14" i="46"/>
  <c r="H17" i="46" s="1"/>
  <c r="D1003" i="59"/>
  <c r="AN1047" i="59"/>
  <c r="E130" i="63"/>
  <c r="C343" i="63"/>
  <c r="E199" i="63"/>
  <c r="C5" i="60"/>
  <c r="C199" i="63"/>
  <c r="C180" i="63"/>
  <c r="C248" i="63"/>
  <c r="C5" i="59"/>
  <c r="C5" i="63"/>
  <c r="C233" i="63"/>
  <c r="G791" i="59"/>
  <c r="C4" i="59"/>
  <c r="C1071" i="59"/>
  <c r="C214" i="63"/>
  <c r="C4" i="63"/>
  <c r="C4" i="73"/>
  <c r="C369" i="63"/>
  <c r="E376" i="63"/>
  <c r="E343" i="63"/>
  <c r="E383" i="63"/>
  <c r="AN50" i="73"/>
  <c r="AN355" i="63"/>
  <c r="AN358" i="63" s="1"/>
  <c r="AN369" i="63" s="1"/>
  <c r="AN370" i="63" s="1"/>
  <c r="AN374" i="63" s="1"/>
  <c r="AN381" i="63" s="1"/>
  <c r="H621" i="59"/>
  <c r="G510" i="59"/>
  <c r="G178" i="59"/>
  <c r="G179" i="59" s="1"/>
  <c r="G180" i="59" s="1"/>
  <c r="G735" i="59"/>
  <c r="G455" i="59"/>
  <c r="G123" i="59"/>
  <c r="G124" i="59" s="1"/>
  <c r="G67" i="46"/>
  <c r="G82" i="46" s="1"/>
  <c r="H680" i="59"/>
  <c r="G621" i="59"/>
  <c r="G680" i="59"/>
  <c r="H566" i="59"/>
  <c r="G846" i="59"/>
  <c r="G566" i="59"/>
  <c r="H510" i="59"/>
  <c r="G15" i="46"/>
  <c r="C31" i="60"/>
  <c r="E1071" i="59"/>
  <c r="G42" i="24"/>
  <c r="K42" i="24"/>
  <c r="O42" i="24"/>
  <c r="S42" i="24"/>
  <c r="W42" i="24"/>
  <c r="AA42" i="24"/>
  <c r="AE42" i="24"/>
  <c r="F43" i="24"/>
  <c r="J43" i="24"/>
  <c r="N43" i="24"/>
  <c r="R43" i="24"/>
  <c r="V43" i="24"/>
  <c r="Z43" i="24"/>
  <c r="AD43" i="24"/>
  <c r="E44" i="24"/>
  <c r="I44" i="24"/>
  <c r="M44" i="24"/>
  <c r="Q44" i="24"/>
  <c r="U44" i="24"/>
  <c r="Y44" i="24"/>
  <c r="AC44" i="24"/>
  <c r="AG44" i="24"/>
  <c r="H45" i="24"/>
  <c r="L45" i="24"/>
  <c r="P45" i="24"/>
  <c r="T45" i="24"/>
  <c r="X45" i="24"/>
  <c r="AB45" i="24"/>
  <c r="AF45" i="24"/>
  <c r="G46" i="24"/>
  <c r="K46" i="24"/>
  <c r="O46" i="24"/>
  <c r="S46" i="24"/>
  <c r="W46" i="24"/>
  <c r="AA46" i="24"/>
  <c r="AE46" i="24"/>
  <c r="F47" i="24"/>
  <c r="J47" i="24"/>
  <c r="N47" i="24"/>
  <c r="R47" i="24"/>
  <c r="V47" i="24"/>
  <c r="Z47" i="24"/>
  <c r="AD47" i="24"/>
  <c r="H42" i="24"/>
  <c r="L42" i="24"/>
  <c r="P42" i="24"/>
  <c r="T42" i="24"/>
  <c r="X42" i="24"/>
  <c r="AB42" i="24"/>
  <c r="AF42" i="24"/>
  <c r="G43" i="24"/>
  <c r="K43" i="24"/>
  <c r="O43" i="24"/>
  <c r="S43" i="24"/>
  <c r="W43" i="24"/>
  <c r="AA43" i="24"/>
  <c r="AE43" i="24"/>
  <c r="F44" i="24"/>
  <c r="J44" i="24"/>
  <c r="N44" i="24"/>
  <c r="R44" i="24"/>
  <c r="V44" i="24"/>
  <c r="Z44" i="24"/>
  <c r="AD44" i="24"/>
  <c r="E45" i="24"/>
  <c r="I45" i="24"/>
  <c r="M45" i="24"/>
  <c r="Q45" i="24"/>
  <c r="U45" i="24"/>
  <c r="Y45" i="24"/>
  <c r="AC45" i="24"/>
  <c r="AG45" i="24"/>
  <c r="H46" i="24"/>
  <c r="L46" i="24"/>
  <c r="P46" i="24"/>
  <c r="T46" i="24"/>
  <c r="X46" i="24"/>
  <c r="AB46" i="24"/>
  <c r="AF46" i="24"/>
  <c r="G47" i="24"/>
  <c r="K47" i="24"/>
  <c r="O47" i="24"/>
  <c r="S47" i="24"/>
  <c r="W47" i="24"/>
  <c r="AA47" i="24"/>
  <c r="AE47" i="24"/>
  <c r="H49" i="24"/>
  <c r="L49" i="24"/>
  <c r="P49" i="24"/>
  <c r="T49" i="24"/>
  <c r="X49" i="24"/>
  <c r="AB49" i="24"/>
  <c r="AF49" i="24"/>
  <c r="G50" i="24"/>
  <c r="K50" i="24"/>
  <c r="O50" i="24"/>
  <c r="S50" i="24"/>
  <c r="W50" i="24"/>
  <c r="AA50" i="24"/>
  <c r="AE50" i="24"/>
  <c r="F51" i="24"/>
  <c r="J51" i="24"/>
  <c r="N51" i="24"/>
  <c r="R51" i="24"/>
  <c r="V51" i="24"/>
  <c r="Z51" i="24"/>
  <c r="AD51" i="24"/>
  <c r="E52" i="24"/>
  <c r="I52" i="24"/>
  <c r="M52" i="24"/>
  <c r="E42" i="24"/>
  <c r="I42" i="24"/>
  <c r="M42" i="24"/>
  <c r="Q42" i="24"/>
  <c r="U42" i="24"/>
  <c r="Y42" i="24"/>
  <c r="AC42" i="24"/>
  <c r="AG42" i="24"/>
  <c r="H43" i="24"/>
  <c r="L43" i="24"/>
  <c r="P43" i="24"/>
  <c r="T43" i="24"/>
  <c r="X43" i="24"/>
  <c r="AB43" i="24"/>
  <c r="AF43" i="24"/>
  <c r="G44" i="24"/>
  <c r="K44" i="24"/>
  <c r="O44" i="24"/>
  <c r="S44" i="24"/>
  <c r="W44" i="24"/>
  <c r="AA44" i="24"/>
  <c r="AE44" i="24"/>
  <c r="F45" i="24"/>
  <c r="J45" i="24"/>
  <c r="N45" i="24"/>
  <c r="R45" i="24"/>
  <c r="V45" i="24"/>
  <c r="Z45" i="24"/>
  <c r="AD45" i="24"/>
  <c r="E46" i="24"/>
  <c r="I46" i="24"/>
  <c r="M46" i="24"/>
  <c r="Q46" i="24"/>
  <c r="U46" i="24"/>
  <c r="Y46" i="24"/>
  <c r="AC46" i="24"/>
  <c r="AG46" i="24"/>
  <c r="H47" i="24"/>
  <c r="L47" i="24"/>
  <c r="P47" i="24"/>
  <c r="T47" i="24"/>
  <c r="X47" i="24"/>
  <c r="AB47" i="24"/>
  <c r="AF47" i="24"/>
  <c r="E49" i="24"/>
  <c r="M49" i="24"/>
  <c r="Q49" i="24"/>
  <c r="U49" i="24"/>
  <c r="Y49" i="24"/>
  <c r="AC49" i="24"/>
  <c r="AG49" i="24"/>
  <c r="H50" i="24"/>
  <c r="L50" i="24"/>
  <c r="P50" i="24"/>
  <c r="T50" i="24"/>
  <c r="X50" i="24"/>
  <c r="AB50" i="24"/>
  <c r="AF50" i="24"/>
  <c r="G51" i="24"/>
  <c r="K51" i="24"/>
  <c r="O51" i="24"/>
  <c r="S51" i="24"/>
  <c r="W51" i="24"/>
  <c r="AA51" i="24"/>
  <c r="AE51" i="24"/>
  <c r="F52" i="24"/>
  <c r="J52" i="24"/>
  <c r="F42" i="24"/>
  <c r="V42" i="24"/>
  <c r="I43" i="24"/>
  <c r="Y43" i="24"/>
  <c r="L44" i="24"/>
  <c r="AB44" i="24"/>
  <c r="O45" i="24"/>
  <c r="AE45" i="24"/>
  <c r="R46" i="24"/>
  <c r="E47" i="24"/>
  <c r="U47" i="24"/>
  <c r="K49" i="24"/>
  <c r="S49" i="24"/>
  <c r="AA49" i="24"/>
  <c r="F50" i="24"/>
  <c r="N50" i="24"/>
  <c r="V50" i="24"/>
  <c r="AD50" i="24"/>
  <c r="I51" i="24"/>
  <c r="Q51" i="24"/>
  <c r="Y51" i="24"/>
  <c r="AG51" i="24"/>
  <c r="L52" i="24"/>
  <c r="Q52" i="24"/>
  <c r="U52" i="24"/>
  <c r="Y52" i="24"/>
  <c r="AC52" i="24"/>
  <c r="AG52" i="24"/>
  <c r="H53" i="24"/>
  <c r="L53" i="24"/>
  <c r="P53" i="24"/>
  <c r="T53" i="24"/>
  <c r="X53" i="24"/>
  <c r="AB53" i="24"/>
  <c r="AF53" i="24"/>
  <c r="D51" i="24"/>
  <c r="U43" i="24"/>
  <c r="AA45" i="24"/>
  <c r="AD46" i="24"/>
  <c r="E50" i="24"/>
  <c r="AC50" i="24"/>
  <c r="AF51" i="24"/>
  <c r="T52" i="24"/>
  <c r="AF52" i="24"/>
  <c r="O53" i="24"/>
  <c r="S53" i="24"/>
  <c r="AE53" i="24"/>
  <c r="J42" i="24"/>
  <c r="Z42" i="24"/>
  <c r="M43" i="24"/>
  <c r="AC43" i="24"/>
  <c r="P44" i="24"/>
  <c r="AF44" i="24"/>
  <c r="S45" i="24"/>
  <c r="F46" i="24"/>
  <c r="V46" i="24"/>
  <c r="I47" i="24"/>
  <c r="Y47" i="24"/>
  <c r="F49" i="24"/>
  <c r="N49" i="24"/>
  <c r="V49" i="24"/>
  <c r="AD49" i="24"/>
  <c r="I50" i="24"/>
  <c r="Q50" i="24"/>
  <c r="Y50" i="24"/>
  <c r="AG50" i="24"/>
  <c r="L51" i="24"/>
  <c r="T51" i="24"/>
  <c r="AB51" i="24"/>
  <c r="G52" i="24"/>
  <c r="N52" i="24"/>
  <c r="R52" i="24"/>
  <c r="V52" i="24"/>
  <c r="Z52" i="24"/>
  <c r="AD52" i="24"/>
  <c r="E53" i="24"/>
  <c r="I53" i="24"/>
  <c r="M53" i="24"/>
  <c r="Q53" i="24"/>
  <c r="U53" i="24"/>
  <c r="Y53" i="24"/>
  <c r="AC53" i="24"/>
  <c r="AG53" i="24"/>
  <c r="D50" i="24"/>
  <c r="H44" i="24"/>
  <c r="Q47" i="24"/>
  <c r="R49" i="24"/>
  <c r="U50" i="24"/>
  <c r="P51" i="24"/>
  <c r="K52" i="24"/>
  <c r="X52" i="24"/>
  <c r="G53" i="24"/>
  <c r="W53" i="24"/>
  <c r="D52" i="24"/>
  <c r="N42" i="24"/>
  <c r="AD42" i="24"/>
  <c r="Q43" i="24"/>
  <c r="AG43" i="24"/>
  <c r="T44" i="24"/>
  <c r="G45" i="24"/>
  <c r="W45" i="24"/>
  <c r="J46" i="24"/>
  <c r="Z46" i="24"/>
  <c r="M47" i="24"/>
  <c r="AC47" i="24"/>
  <c r="G49" i="24"/>
  <c r="O49" i="24"/>
  <c r="W49" i="24"/>
  <c r="AE49" i="24"/>
  <c r="J50" i="24"/>
  <c r="R50" i="24"/>
  <c r="Z50" i="24"/>
  <c r="E51" i="24"/>
  <c r="H408" i="59" s="1"/>
  <c r="M51" i="24"/>
  <c r="U51" i="24"/>
  <c r="AC51" i="24"/>
  <c r="H52" i="24"/>
  <c r="O52" i="24"/>
  <c r="S52" i="24"/>
  <c r="W52" i="24"/>
  <c r="AA52" i="24"/>
  <c r="AE52" i="24"/>
  <c r="F53" i="24"/>
  <c r="J53" i="24"/>
  <c r="N53" i="24"/>
  <c r="R53" i="24"/>
  <c r="V53" i="24"/>
  <c r="Z53" i="24"/>
  <c r="AD53" i="24"/>
  <c r="D53" i="24"/>
  <c r="R42" i="24"/>
  <c r="E43" i="24"/>
  <c r="X44" i="24"/>
  <c r="K45" i="24"/>
  <c r="N46" i="24"/>
  <c r="AG47" i="24"/>
  <c r="Z49" i="24"/>
  <c r="M50" i="24"/>
  <c r="H51" i="24"/>
  <c r="X51" i="24"/>
  <c r="P52" i="24"/>
  <c r="AB52" i="24"/>
  <c r="K53" i="24"/>
  <c r="AA53" i="24"/>
  <c r="D44" i="24"/>
  <c r="D42" i="24"/>
  <c r="G405" i="59"/>
  <c r="G1008" i="59" s="1"/>
  <c r="D43" i="24"/>
  <c r="G404" i="59"/>
  <c r="G1007" i="59" s="1"/>
  <c r="AH425" i="59"/>
  <c r="AH558" i="59" s="1"/>
  <c r="P434" i="59"/>
  <c r="P727" i="59" s="1"/>
  <c r="P776" i="59" s="1"/>
  <c r="R425" i="59"/>
  <c r="R558" i="59" s="1"/>
  <c r="AN970" i="59"/>
  <c r="AN973" i="59" s="1"/>
  <c r="K425" i="59"/>
  <c r="K558" i="59" s="1"/>
  <c r="G424" i="59"/>
  <c r="G502" i="59" s="1"/>
  <c r="G551" i="59" s="1"/>
  <c r="J426" i="59"/>
  <c r="J613" i="59" s="1"/>
  <c r="L423" i="59"/>
  <c r="L447" i="59" s="1"/>
  <c r="AI425" i="59"/>
  <c r="AI558" i="59" s="1"/>
  <c r="AF434" i="59"/>
  <c r="AF727" i="59" s="1"/>
  <c r="AF776" i="59" s="1"/>
  <c r="Z425" i="59"/>
  <c r="Z558" i="59" s="1"/>
  <c r="S425" i="59"/>
  <c r="S558" i="59" s="1"/>
  <c r="AJ965" i="59"/>
  <c r="G434" i="59"/>
  <c r="G727" i="59" s="1"/>
  <c r="G776" i="59" s="1"/>
  <c r="AA425" i="59"/>
  <c r="AA558" i="59" s="1"/>
  <c r="J425" i="59"/>
  <c r="J558" i="59" s="1"/>
  <c r="AJ434" i="59"/>
  <c r="AJ727" i="59" s="1"/>
  <c r="AJ776" i="59" s="1"/>
  <c r="W434" i="59"/>
  <c r="W727" i="59" s="1"/>
  <c r="W776" i="59" s="1"/>
  <c r="AN424" i="59"/>
  <c r="AN502" i="59" s="1"/>
  <c r="AN551" i="59" s="1"/>
  <c r="AI424" i="59"/>
  <c r="AI502" i="59" s="1"/>
  <c r="AI551" i="59" s="1"/>
  <c r="AF424" i="59"/>
  <c r="AF502" i="59" s="1"/>
  <c r="AF551" i="59" s="1"/>
  <c r="AA424" i="59"/>
  <c r="AA502" i="59" s="1"/>
  <c r="AA551" i="59" s="1"/>
  <c r="X940" i="59"/>
  <c r="S424" i="59"/>
  <c r="S502" i="59" s="1"/>
  <c r="S551" i="59" s="1"/>
  <c r="C210" i="59"/>
  <c r="C22" i="60"/>
  <c r="X434" i="59"/>
  <c r="X727" i="59" s="1"/>
  <c r="X776" i="59" s="1"/>
  <c r="X424" i="59"/>
  <c r="X502" i="59" s="1"/>
  <c r="X551" i="59" s="1"/>
  <c r="P965" i="59"/>
  <c r="O434" i="59"/>
  <c r="O727" i="59" s="1"/>
  <c r="O776" i="59" s="1"/>
  <c r="K424" i="59"/>
  <c r="K502" i="59" s="1"/>
  <c r="K551" i="59" s="1"/>
  <c r="H434" i="59"/>
  <c r="H727" i="59" s="1"/>
  <c r="H776" i="59" s="1"/>
  <c r="H424" i="59"/>
  <c r="H502" i="59" s="1"/>
  <c r="H551" i="59" s="1"/>
  <c r="AG423" i="59"/>
  <c r="AG447" i="59" s="1"/>
  <c r="C216" i="59"/>
  <c r="C29" i="60"/>
  <c r="T940" i="59"/>
  <c r="AF423" i="59"/>
  <c r="AF447" i="59" s="1"/>
  <c r="AF965" i="59"/>
  <c r="I965" i="59"/>
  <c r="AN940" i="59"/>
  <c r="Q940" i="59"/>
  <c r="AE434" i="59"/>
  <c r="AE727" i="59" s="1"/>
  <c r="AE776" i="59" s="1"/>
  <c r="P424" i="59"/>
  <c r="P502" i="59" s="1"/>
  <c r="P551" i="59" s="1"/>
  <c r="Y423" i="59"/>
  <c r="Y447" i="59" s="1"/>
  <c r="J423" i="59"/>
  <c r="J447" i="59" s="1"/>
  <c r="D228" i="59"/>
  <c r="AG965" i="59"/>
  <c r="L965" i="59"/>
  <c r="AB965" i="59"/>
  <c r="H965" i="59"/>
  <c r="AJ940" i="59"/>
  <c r="P940" i="59"/>
  <c r="AA434" i="59"/>
  <c r="AA727" i="59" s="1"/>
  <c r="AA776" i="59" s="1"/>
  <c r="I434" i="59"/>
  <c r="I727" i="59" s="1"/>
  <c r="I776" i="59" s="1"/>
  <c r="D433" i="59"/>
  <c r="L433" i="59" s="1"/>
  <c r="L672" i="59" s="1"/>
  <c r="X423" i="59"/>
  <c r="X447" i="59" s="1"/>
  <c r="AK412" i="59"/>
  <c r="AK47" i="60" s="1"/>
  <c r="AK47" i="73" s="1"/>
  <c r="D84" i="63"/>
  <c r="D85" i="63" s="1"/>
  <c r="D87" i="63" s="1"/>
  <c r="D88" i="63" s="1"/>
  <c r="Y965" i="59"/>
  <c r="AG940" i="59"/>
  <c r="I940" i="59"/>
  <c r="Q423" i="59"/>
  <c r="Q447" i="59" s="1"/>
  <c r="X965" i="59"/>
  <c r="AF940" i="59"/>
  <c r="H940" i="59"/>
  <c r="P423" i="59"/>
  <c r="P447" i="59" s="1"/>
  <c r="T965" i="59"/>
  <c r="AB940" i="59"/>
  <c r="AN434" i="59"/>
  <c r="AN727" i="59" s="1"/>
  <c r="AN776" i="59" s="1"/>
  <c r="T434" i="59"/>
  <c r="T727" i="59" s="1"/>
  <c r="T776" i="59" s="1"/>
  <c r="AL426" i="59"/>
  <c r="AL613" i="59" s="1"/>
  <c r="I423" i="59"/>
  <c r="I447" i="59" s="1"/>
  <c r="AN965" i="59"/>
  <c r="Q965" i="59"/>
  <c r="Y940" i="59"/>
  <c r="AM434" i="59"/>
  <c r="AM727" i="59" s="1"/>
  <c r="AM776" i="59" s="1"/>
  <c r="AH426" i="59"/>
  <c r="AH613" i="59" s="1"/>
  <c r="AN423" i="59"/>
  <c r="AN447" i="59" s="1"/>
  <c r="H423" i="59"/>
  <c r="H447" i="59" s="1"/>
  <c r="C214" i="59"/>
  <c r="C26" i="60"/>
  <c r="C221" i="59"/>
  <c r="C33" i="60"/>
  <c r="C213" i="59"/>
  <c r="C25" i="60"/>
  <c r="C220" i="59"/>
  <c r="C217" i="59"/>
  <c r="C30" i="60"/>
  <c r="C219" i="59"/>
  <c r="C32" i="60"/>
  <c r="AM965" i="59"/>
  <c r="AE965" i="59"/>
  <c r="W965" i="59"/>
  <c r="O965" i="59"/>
  <c r="G965" i="59"/>
  <c r="AM940" i="59"/>
  <c r="AE940" i="59"/>
  <c r="W940" i="59"/>
  <c r="O940" i="59"/>
  <c r="G940" i="59"/>
  <c r="AD426" i="59"/>
  <c r="AD613" i="59" s="1"/>
  <c r="AM425" i="59"/>
  <c r="AM558" i="59" s="1"/>
  <c r="W425" i="59"/>
  <c r="W558" i="59" s="1"/>
  <c r="G425" i="59"/>
  <c r="G558" i="59" s="1"/>
  <c r="AE424" i="59"/>
  <c r="AE502" i="59" s="1"/>
  <c r="AE551" i="59" s="1"/>
  <c r="O424" i="59"/>
  <c r="O502" i="59" s="1"/>
  <c r="O551" i="59" s="1"/>
  <c r="AK423" i="59"/>
  <c r="AK447" i="59" s="1"/>
  <c r="U423" i="59"/>
  <c r="U447" i="59" s="1"/>
  <c r="D1007" i="59"/>
  <c r="AL965" i="59"/>
  <c r="AD965" i="59"/>
  <c r="V965" i="59"/>
  <c r="N965" i="59"/>
  <c r="AL940" i="59"/>
  <c r="AD940" i="59"/>
  <c r="V940" i="59"/>
  <c r="N940" i="59"/>
  <c r="D436" i="59"/>
  <c r="G436" i="59" s="1"/>
  <c r="AI434" i="59"/>
  <c r="AI727" i="59" s="1"/>
  <c r="AI776" i="59" s="1"/>
  <c r="S434" i="59"/>
  <c r="S727" i="59" s="1"/>
  <c r="S776" i="59" s="1"/>
  <c r="Z426" i="59"/>
  <c r="Z613" i="59" s="1"/>
  <c r="AL425" i="59"/>
  <c r="AL558" i="59" s="1"/>
  <c r="V425" i="59"/>
  <c r="V558" i="59" s="1"/>
  <c r="H425" i="59"/>
  <c r="H558" i="59" s="1"/>
  <c r="AB424" i="59"/>
  <c r="AB502" i="59" s="1"/>
  <c r="AB551" i="59" s="1"/>
  <c r="L424" i="59"/>
  <c r="L502" i="59" s="1"/>
  <c r="L551" i="59" s="1"/>
  <c r="AJ423" i="59"/>
  <c r="AJ447" i="59" s="1"/>
  <c r="T423" i="59"/>
  <c r="T447" i="59" s="1"/>
  <c r="AK965" i="59"/>
  <c r="AC965" i="59"/>
  <c r="U965" i="59"/>
  <c r="M965" i="59"/>
  <c r="AK940" i="59"/>
  <c r="AC940" i="59"/>
  <c r="U940" i="59"/>
  <c r="M940" i="59"/>
  <c r="V426" i="59"/>
  <c r="V613" i="59" s="1"/>
  <c r="C336" i="59"/>
  <c r="AL413" i="59"/>
  <c r="AL48" i="60" s="1"/>
  <c r="L940" i="59"/>
  <c r="R426" i="59"/>
  <c r="R613" i="59" s="1"/>
  <c r="AI965" i="59"/>
  <c r="AA965" i="59"/>
  <c r="S965" i="59"/>
  <c r="K965" i="59"/>
  <c r="AI940" i="59"/>
  <c r="AA940" i="59"/>
  <c r="S940" i="59"/>
  <c r="K940" i="59"/>
  <c r="AB434" i="59"/>
  <c r="AB727" i="59" s="1"/>
  <c r="AB776" i="59" s="1"/>
  <c r="L434" i="59"/>
  <c r="L727" i="59" s="1"/>
  <c r="L776" i="59" s="1"/>
  <c r="N426" i="59"/>
  <c r="N613" i="59" s="1"/>
  <c r="AE425" i="59"/>
  <c r="AE558" i="59" s="1"/>
  <c r="O425" i="59"/>
  <c r="O558" i="59" s="1"/>
  <c r="AM424" i="59"/>
  <c r="AM502" i="59" s="1"/>
  <c r="AM551" i="59" s="1"/>
  <c r="W424" i="59"/>
  <c r="W502" i="59" s="1"/>
  <c r="W551" i="59" s="1"/>
  <c r="AC423" i="59"/>
  <c r="AC447" i="59" s="1"/>
  <c r="M423" i="59"/>
  <c r="M447" i="59" s="1"/>
  <c r="AH965" i="59"/>
  <c r="Z965" i="59"/>
  <c r="R965" i="59"/>
  <c r="J965" i="59"/>
  <c r="AH940" i="59"/>
  <c r="Z940" i="59"/>
  <c r="R940" i="59"/>
  <c r="K434" i="59"/>
  <c r="K727" i="59" s="1"/>
  <c r="K776" i="59" s="1"/>
  <c r="AD425" i="59"/>
  <c r="AD558" i="59" s="1"/>
  <c r="N425" i="59"/>
  <c r="N558" i="59" s="1"/>
  <c r="AJ424" i="59"/>
  <c r="AJ502" i="59" s="1"/>
  <c r="AJ551" i="59" s="1"/>
  <c r="T424" i="59"/>
  <c r="T502" i="59" s="1"/>
  <c r="T551" i="59" s="1"/>
  <c r="I424" i="59"/>
  <c r="I502" i="59" s="1"/>
  <c r="I551" i="59" s="1"/>
  <c r="AB423" i="59"/>
  <c r="AB447" i="59" s="1"/>
  <c r="F63" i="63"/>
  <c r="G22" i="46"/>
  <c r="G4" i="46" s="1"/>
  <c r="G1024" i="59"/>
  <c r="G86" i="24"/>
  <c r="H86" i="24" s="1"/>
  <c r="J336" i="24"/>
  <c r="K336" i="24" s="1"/>
  <c r="H131" i="24"/>
  <c r="I131" i="24" s="1"/>
  <c r="J131" i="24" s="1"/>
  <c r="K131" i="24" s="1"/>
  <c r="L131" i="24" s="1"/>
  <c r="M131" i="24" s="1"/>
  <c r="N131" i="24" s="1"/>
  <c r="D572" i="59"/>
  <c r="D576" i="59"/>
  <c r="D580" i="59"/>
  <c r="D584" i="59"/>
  <c r="D588" i="59"/>
  <c r="D592" i="59"/>
  <c r="D596" i="59"/>
  <c r="D600" i="59"/>
  <c r="D796" i="59"/>
  <c r="D797" i="59"/>
  <c r="D801" i="59"/>
  <c r="D805" i="59"/>
  <c r="D809" i="59"/>
  <c r="D813" i="59"/>
  <c r="D817" i="59"/>
  <c r="D821" i="59"/>
  <c r="D825" i="59"/>
  <c r="D829" i="59"/>
  <c r="D575" i="59"/>
  <c r="D579" i="59"/>
  <c r="D583" i="59"/>
  <c r="D587" i="59"/>
  <c r="D591" i="59"/>
  <c r="D595" i="59"/>
  <c r="D599" i="59"/>
  <c r="D603" i="59"/>
  <c r="D604" i="59"/>
  <c r="D798" i="59"/>
  <c r="D802" i="59"/>
  <c r="D806" i="59"/>
  <c r="D810" i="59"/>
  <c r="D814" i="59"/>
  <c r="D818" i="59"/>
  <c r="D822" i="59"/>
  <c r="D826" i="59"/>
  <c r="D571" i="59"/>
  <c r="D574" i="59"/>
  <c r="D578" i="59"/>
  <c r="D582" i="59"/>
  <c r="D586" i="59"/>
  <c r="D590" i="59"/>
  <c r="D594" i="59"/>
  <c r="D598" i="59"/>
  <c r="D602" i="59"/>
  <c r="G1069" i="59"/>
  <c r="D882" i="59"/>
  <c r="D874" i="59"/>
  <c r="D866" i="59"/>
  <c r="D858" i="59"/>
  <c r="D827" i="59"/>
  <c r="D819" i="59"/>
  <c r="D811" i="59"/>
  <c r="D803" i="59"/>
  <c r="D772" i="59"/>
  <c r="D756" i="59"/>
  <c r="D705" i="59"/>
  <c r="D689" i="59"/>
  <c r="D643" i="59"/>
  <c r="D627" i="59"/>
  <c r="D601" i="59"/>
  <c r="D585" i="59"/>
  <c r="D542" i="59"/>
  <c r="D487" i="59"/>
  <c r="D471" i="59"/>
  <c r="D516" i="59"/>
  <c r="D520" i="59"/>
  <c r="D521" i="59"/>
  <c r="D525" i="59"/>
  <c r="D526" i="59"/>
  <c r="D530" i="59"/>
  <c r="D531" i="59"/>
  <c r="D535" i="59"/>
  <c r="D536" i="59"/>
  <c r="D540" i="59"/>
  <c r="D541" i="59"/>
  <c r="D545" i="59"/>
  <c r="D740" i="59"/>
  <c r="D741" i="59"/>
  <c r="D745" i="59"/>
  <c r="D749" i="59"/>
  <c r="D753" i="59"/>
  <c r="D757" i="59"/>
  <c r="D761" i="59"/>
  <c r="D765" i="59"/>
  <c r="D769" i="59"/>
  <c r="D773" i="59"/>
  <c r="D519" i="59"/>
  <c r="D524" i="59"/>
  <c r="D529" i="59"/>
  <c r="D534" i="59"/>
  <c r="D539" i="59"/>
  <c r="D544" i="59"/>
  <c r="D742" i="59"/>
  <c r="D746" i="59"/>
  <c r="D750" i="59"/>
  <c r="D754" i="59"/>
  <c r="D758" i="59"/>
  <c r="D762" i="59"/>
  <c r="D766" i="59"/>
  <c r="D770" i="59"/>
  <c r="D515" i="59"/>
  <c r="D518" i="59"/>
  <c r="D523" i="59"/>
  <c r="D528" i="59"/>
  <c r="D533" i="59"/>
  <c r="D538" i="59"/>
  <c r="D543" i="59"/>
  <c r="D547" i="59"/>
  <c r="D548" i="59"/>
  <c r="D743" i="59"/>
  <c r="D747" i="59"/>
  <c r="D751" i="59"/>
  <c r="D755" i="59"/>
  <c r="D759" i="59"/>
  <c r="D763" i="59"/>
  <c r="D767" i="59"/>
  <c r="D771" i="59"/>
  <c r="G1093" i="59"/>
  <c r="G319" i="63"/>
  <c r="D879" i="59"/>
  <c r="D871" i="59"/>
  <c r="D863" i="59"/>
  <c r="D855" i="59"/>
  <c r="D824" i="59"/>
  <c r="D816" i="59"/>
  <c r="D808" i="59"/>
  <c r="D800" i="59"/>
  <c r="D768" i="59"/>
  <c r="D752" i="59"/>
  <c r="D717" i="59"/>
  <c r="D701" i="59"/>
  <c r="D647" i="59"/>
  <c r="D631" i="59"/>
  <c r="D589" i="59"/>
  <c r="D573" i="59"/>
  <c r="D546" i="59"/>
  <c r="D522" i="59"/>
  <c r="D517" i="59"/>
  <c r="D491" i="59"/>
  <c r="K426" i="59"/>
  <c r="K613" i="59" s="1"/>
  <c r="O426" i="59"/>
  <c r="O613" i="59" s="1"/>
  <c r="S426" i="59"/>
  <c r="S613" i="59" s="1"/>
  <c r="W426" i="59"/>
  <c r="W613" i="59" s="1"/>
  <c r="AA426" i="59"/>
  <c r="AA613" i="59" s="1"/>
  <c r="AE426" i="59"/>
  <c r="AE613" i="59" s="1"/>
  <c r="AI426" i="59"/>
  <c r="AI613" i="59" s="1"/>
  <c r="AM426" i="59"/>
  <c r="AM613" i="59" s="1"/>
  <c r="H426" i="59"/>
  <c r="H613" i="59" s="1"/>
  <c r="L426" i="59"/>
  <c r="L613" i="59" s="1"/>
  <c r="P426" i="59"/>
  <c r="P613" i="59" s="1"/>
  <c r="T426" i="59"/>
  <c r="T613" i="59" s="1"/>
  <c r="X426" i="59"/>
  <c r="X613" i="59" s="1"/>
  <c r="AB426" i="59"/>
  <c r="AB613" i="59" s="1"/>
  <c r="AF426" i="59"/>
  <c r="AF613" i="59" s="1"/>
  <c r="AJ426" i="59"/>
  <c r="AJ613" i="59" s="1"/>
  <c r="AN426" i="59"/>
  <c r="AN613" i="59" s="1"/>
  <c r="I426" i="59"/>
  <c r="I613" i="59" s="1"/>
  <c r="M426" i="59"/>
  <c r="M613" i="59" s="1"/>
  <c r="Q426" i="59"/>
  <c r="Q613" i="59" s="1"/>
  <c r="U426" i="59"/>
  <c r="U613" i="59" s="1"/>
  <c r="Y426" i="59"/>
  <c r="Y613" i="59" s="1"/>
  <c r="AC426" i="59"/>
  <c r="AC613" i="59" s="1"/>
  <c r="AG426" i="59"/>
  <c r="AG613" i="59" s="1"/>
  <c r="AK426" i="59"/>
  <c r="AK613" i="59" s="1"/>
  <c r="AK413" i="59"/>
  <c r="AK48" i="60" s="1"/>
  <c r="AN412" i="59"/>
  <c r="AM412" i="59"/>
  <c r="AN413" i="59"/>
  <c r="D1004" i="59"/>
  <c r="AL412" i="59"/>
  <c r="AM413" i="59"/>
  <c r="AM48" i="60" s="1"/>
  <c r="D462" i="59"/>
  <c r="D466" i="59"/>
  <c r="D470" i="59"/>
  <c r="D474" i="59"/>
  <c r="D478" i="59"/>
  <c r="D482" i="59"/>
  <c r="D486" i="59"/>
  <c r="D490" i="59"/>
  <c r="D685" i="59"/>
  <c r="D686" i="59"/>
  <c r="D690" i="59"/>
  <c r="D694" i="59"/>
  <c r="D698" i="59"/>
  <c r="D702" i="59"/>
  <c r="D706" i="59"/>
  <c r="D710" i="59"/>
  <c r="D714" i="59"/>
  <c r="D718" i="59"/>
  <c r="D461" i="59"/>
  <c r="D465" i="59"/>
  <c r="D469" i="59"/>
  <c r="D473" i="59"/>
  <c r="D477" i="59"/>
  <c r="D481" i="59"/>
  <c r="D485" i="59"/>
  <c r="D489" i="59"/>
  <c r="D687" i="59"/>
  <c r="D691" i="59"/>
  <c r="D695" i="59"/>
  <c r="D699" i="59"/>
  <c r="D703" i="59"/>
  <c r="D707" i="59"/>
  <c r="D711" i="59"/>
  <c r="D715" i="59"/>
  <c r="D464" i="59"/>
  <c r="D468" i="59"/>
  <c r="D472" i="59"/>
  <c r="D476" i="59"/>
  <c r="D480" i="59"/>
  <c r="D484" i="59"/>
  <c r="D488" i="59"/>
  <c r="D492" i="59"/>
  <c r="D493" i="59"/>
  <c r="D688" i="59"/>
  <c r="D692" i="59"/>
  <c r="D696" i="59"/>
  <c r="D700" i="59"/>
  <c r="D704" i="59"/>
  <c r="D708" i="59"/>
  <c r="D712" i="59"/>
  <c r="D716" i="59"/>
  <c r="D878" i="59"/>
  <c r="D870" i="59"/>
  <c r="D862" i="59"/>
  <c r="D854" i="59"/>
  <c r="D823" i="59"/>
  <c r="D815" i="59"/>
  <c r="D807" i="59"/>
  <c r="D799" i="59"/>
  <c r="D764" i="59"/>
  <c r="D748" i="59"/>
  <c r="D713" i="59"/>
  <c r="D697" i="59"/>
  <c r="D651" i="59"/>
  <c r="D593" i="59"/>
  <c r="D577" i="59"/>
  <c r="D527" i="59"/>
  <c r="D479" i="59"/>
  <c r="D463" i="59"/>
  <c r="D630" i="59"/>
  <c r="D634" i="59"/>
  <c r="D638" i="59"/>
  <c r="D642" i="59"/>
  <c r="D646" i="59"/>
  <c r="D650" i="59"/>
  <c r="D654" i="59"/>
  <c r="D658" i="59"/>
  <c r="D659" i="59"/>
  <c r="D851" i="59"/>
  <c r="D852" i="59"/>
  <c r="D856" i="59"/>
  <c r="D860" i="59"/>
  <c r="D864" i="59"/>
  <c r="D868" i="59"/>
  <c r="D872" i="59"/>
  <c r="D876" i="59"/>
  <c r="D880" i="59"/>
  <c r="D884" i="59"/>
  <c r="D626" i="59"/>
  <c r="D629" i="59"/>
  <c r="D633" i="59"/>
  <c r="D637" i="59"/>
  <c r="D641" i="59"/>
  <c r="D645" i="59"/>
  <c r="D649" i="59"/>
  <c r="D653" i="59"/>
  <c r="D657" i="59"/>
  <c r="D853" i="59"/>
  <c r="D857" i="59"/>
  <c r="D861" i="59"/>
  <c r="D865" i="59"/>
  <c r="D869" i="59"/>
  <c r="D873" i="59"/>
  <c r="D877" i="59"/>
  <c r="D881" i="59"/>
  <c r="D628" i="59"/>
  <c r="D632" i="59"/>
  <c r="D636" i="59"/>
  <c r="D640" i="59"/>
  <c r="D644" i="59"/>
  <c r="D648" i="59"/>
  <c r="D652" i="59"/>
  <c r="D656" i="59"/>
  <c r="D883" i="59"/>
  <c r="D875" i="59"/>
  <c r="D867" i="59"/>
  <c r="D859" i="59"/>
  <c r="D828" i="59"/>
  <c r="D820" i="59"/>
  <c r="D812" i="59"/>
  <c r="D804" i="59"/>
  <c r="D760" i="59"/>
  <c r="D744" i="59"/>
  <c r="D709" i="59"/>
  <c r="D693" i="59"/>
  <c r="D655" i="59"/>
  <c r="D639" i="59"/>
  <c r="D597" i="59"/>
  <c r="D581" i="59"/>
  <c r="D532" i="59"/>
  <c r="D483" i="59"/>
  <c r="D467" i="59"/>
  <c r="C127" i="63"/>
  <c r="C230" i="63"/>
  <c r="C162" i="63"/>
  <c r="C196" i="63"/>
  <c r="AL434" i="59"/>
  <c r="AL727" i="59" s="1"/>
  <c r="AL776" i="59" s="1"/>
  <c r="AH434" i="59"/>
  <c r="AH727" i="59" s="1"/>
  <c r="AH776" i="59" s="1"/>
  <c r="AD434" i="59"/>
  <c r="AD727" i="59" s="1"/>
  <c r="AD776" i="59" s="1"/>
  <c r="Z434" i="59"/>
  <c r="Z727" i="59" s="1"/>
  <c r="Z776" i="59" s="1"/>
  <c r="V434" i="59"/>
  <c r="V727" i="59" s="1"/>
  <c r="V776" i="59" s="1"/>
  <c r="R434" i="59"/>
  <c r="R727" i="59" s="1"/>
  <c r="R776" i="59" s="1"/>
  <c r="N434" i="59"/>
  <c r="N727" i="59" s="1"/>
  <c r="N776" i="59" s="1"/>
  <c r="J434" i="59"/>
  <c r="J727" i="59" s="1"/>
  <c r="J776" i="59" s="1"/>
  <c r="AG425" i="59"/>
  <c r="AG558" i="59" s="1"/>
  <c r="AC425" i="59"/>
  <c r="AC558" i="59" s="1"/>
  <c r="Y425" i="59"/>
  <c r="Y558" i="59" s="1"/>
  <c r="U425" i="59"/>
  <c r="U558" i="59" s="1"/>
  <c r="Q425" i="59"/>
  <c r="Q558" i="59" s="1"/>
  <c r="M425" i="59"/>
  <c r="M558" i="59" s="1"/>
  <c r="I425" i="59"/>
  <c r="I558" i="59" s="1"/>
  <c r="AL424" i="59"/>
  <c r="AL502" i="59" s="1"/>
  <c r="AL551" i="59" s="1"/>
  <c r="AH424" i="59"/>
  <c r="AH502" i="59" s="1"/>
  <c r="AH551" i="59" s="1"/>
  <c r="AD424" i="59"/>
  <c r="AD502" i="59" s="1"/>
  <c r="AD551" i="59" s="1"/>
  <c r="Z424" i="59"/>
  <c r="Z502" i="59" s="1"/>
  <c r="Z551" i="59" s="1"/>
  <c r="V424" i="59"/>
  <c r="V502" i="59" s="1"/>
  <c r="V551" i="59" s="1"/>
  <c r="R424" i="59"/>
  <c r="R502" i="59" s="1"/>
  <c r="R551" i="59" s="1"/>
  <c r="N424" i="59"/>
  <c r="N502" i="59" s="1"/>
  <c r="N551" i="59" s="1"/>
  <c r="J424" i="59"/>
  <c r="J502" i="59" s="1"/>
  <c r="J551" i="59" s="1"/>
  <c r="AM423" i="59"/>
  <c r="AI423" i="59"/>
  <c r="AE423" i="59"/>
  <c r="AA423" i="59"/>
  <c r="W423" i="59"/>
  <c r="S423" i="59"/>
  <c r="O423" i="59"/>
  <c r="K423" i="59"/>
  <c r="G423" i="59"/>
  <c r="H27" i="71"/>
  <c r="AK434" i="59"/>
  <c r="AK727" i="59" s="1"/>
  <c r="AK776" i="59" s="1"/>
  <c r="AG434" i="59"/>
  <c r="AG727" i="59" s="1"/>
  <c r="AG776" i="59" s="1"/>
  <c r="AC434" i="59"/>
  <c r="AC727" i="59" s="1"/>
  <c r="AC776" i="59" s="1"/>
  <c r="Y434" i="59"/>
  <c r="Y727" i="59" s="1"/>
  <c r="Y776" i="59" s="1"/>
  <c r="U434" i="59"/>
  <c r="U727" i="59" s="1"/>
  <c r="U776" i="59" s="1"/>
  <c r="Q434" i="59"/>
  <c r="Q727" i="59" s="1"/>
  <c r="Q776" i="59" s="1"/>
  <c r="M434" i="59"/>
  <c r="M727" i="59" s="1"/>
  <c r="M776" i="59" s="1"/>
  <c r="AN425" i="59"/>
  <c r="AN558" i="59" s="1"/>
  <c r="AJ425" i="59"/>
  <c r="AJ558" i="59" s="1"/>
  <c r="AF425" i="59"/>
  <c r="AF558" i="59" s="1"/>
  <c r="AB425" i="59"/>
  <c r="AB558" i="59" s="1"/>
  <c r="X425" i="59"/>
  <c r="X558" i="59" s="1"/>
  <c r="T425" i="59"/>
  <c r="T558" i="59" s="1"/>
  <c r="P425" i="59"/>
  <c r="P558" i="59" s="1"/>
  <c r="L425" i="59"/>
  <c r="L558" i="59" s="1"/>
  <c r="AK424" i="59"/>
  <c r="AK502" i="59" s="1"/>
  <c r="AK551" i="59" s="1"/>
  <c r="AG424" i="59"/>
  <c r="AG502" i="59" s="1"/>
  <c r="AG551" i="59" s="1"/>
  <c r="AC424" i="59"/>
  <c r="AC502" i="59" s="1"/>
  <c r="AC551" i="59" s="1"/>
  <c r="Y424" i="59"/>
  <c r="Y502" i="59" s="1"/>
  <c r="Y551" i="59" s="1"/>
  <c r="U424" i="59"/>
  <c r="U502" i="59" s="1"/>
  <c r="U551" i="59" s="1"/>
  <c r="Q424" i="59"/>
  <c r="Q502" i="59" s="1"/>
  <c r="Q551" i="59" s="1"/>
  <c r="M424" i="59"/>
  <c r="M502" i="59" s="1"/>
  <c r="M551" i="59" s="1"/>
  <c r="AL423" i="59"/>
  <c r="AH423" i="59"/>
  <c r="AD423" i="59"/>
  <c r="Z423" i="59"/>
  <c r="V423" i="59"/>
  <c r="R423" i="59"/>
  <c r="N423" i="59"/>
  <c r="AN311" i="63"/>
  <c r="H15" i="46"/>
  <c r="G81" i="46"/>
  <c r="I14" i="46"/>
  <c r="F36" i="71"/>
  <c r="I155" i="59" l="1"/>
  <c r="I154" i="59"/>
  <c r="I153" i="59"/>
  <c r="C27" i="60"/>
  <c r="C215" i="59"/>
  <c r="AK921" i="59"/>
  <c r="AM921" i="59"/>
  <c r="Z921" i="59"/>
  <c r="AD921" i="59"/>
  <c r="W921" i="59"/>
  <c r="P921" i="59"/>
  <c r="AG921" i="59"/>
  <c r="N921" i="59"/>
  <c r="I921" i="59"/>
  <c r="O921" i="59"/>
  <c r="AH921" i="59"/>
  <c r="Y921" i="59"/>
  <c r="AF921" i="59"/>
  <c r="AN921" i="59"/>
  <c r="AL921" i="59"/>
  <c r="L921" i="59"/>
  <c r="H921" i="59"/>
  <c r="V921" i="59"/>
  <c r="Q921" i="59"/>
  <c r="M921" i="59"/>
  <c r="J921" i="59"/>
  <c r="AB921" i="59"/>
  <c r="S921" i="59"/>
  <c r="K921" i="59"/>
  <c r="R921" i="59"/>
  <c r="AA921" i="59"/>
  <c r="G921" i="59"/>
  <c r="G923" i="59" s="1"/>
  <c r="H920" i="59" s="1"/>
  <c r="T921" i="59"/>
  <c r="AJ921" i="59"/>
  <c r="AE921" i="59"/>
  <c r="X921" i="59"/>
  <c r="AI921" i="59"/>
  <c r="AC921" i="59"/>
  <c r="U921" i="59"/>
  <c r="U400" i="59"/>
  <c r="U1003" i="59" s="1"/>
  <c r="X408" i="59"/>
  <c r="X1011" i="59" s="1"/>
  <c r="W402" i="59"/>
  <c r="W1005" i="59" s="1"/>
  <c r="AJ410" i="59"/>
  <c r="AJ1013" i="59" s="1"/>
  <c r="O408" i="59"/>
  <c r="O1011" i="59" s="1"/>
  <c r="AF401" i="59"/>
  <c r="AF1004" i="59" s="1"/>
  <c r="AI410" i="59"/>
  <c r="AI1013" i="59" s="1"/>
  <c r="AF409" i="59"/>
  <c r="AF1012" i="59" s="1"/>
  <c r="X405" i="59"/>
  <c r="X1008" i="59" s="1"/>
  <c r="Z405" i="59"/>
  <c r="Z1008" i="59" s="1"/>
  <c r="Q402" i="59"/>
  <c r="Q1005" i="59" s="1"/>
  <c r="N401" i="59"/>
  <c r="N1004" i="59" s="1"/>
  <c r="K400" i="59"/>
  <c r="K1003" i="59" s="1"/>
  <c r="AH404" i="59"/>
  <c r="AH1007" i="59" s="1"/>
  <c r="AE403" i="59"/>
  <c r="AE1006" i="59" s="1"/>
  <c r="V400" i="59"/>
  <c r="V1003" i="59" s="1"/>
  <c r="AA408" i="59"/>
  <c r="AA1011" i="59" s="1"/>
  <c r="H401" i="59"/>
  <c r="H1004" i="59" s="1"/>
  <c r="M410" i="59"/>
  <c r="M1013" i="59" s="1"/>
  <c r="AF408" i="59"/>
  <c r="AF1011" i="59" s="1"/>
  <c r="J403" i="59"/>
  <c r="J1006" i="59" s="1"/>
  <c r="J410" i="59"/>
  <c r="J1013" i="59" s="1"/>
  <c r="H410" i="59"/>
  <c r="H1013" i="59" s="1"/>
  <c r="W408" i="59"/>
  <c r="W1011" i="59" s="1"/>
  <c r="S402" i="59"/>
  <c r="S1005" i="59" s="1"/>
  <c r="AI409" i="59"/>
  <c r="AI1012" i="59" s="1"/>
  <c r="AJ409" i="59"/>
  <c r="AJ1012" i="59" s="1"/>
  <c r="T408" i="59"/>
  <c r="T1011" i="59" s="1"/>
  <c r="AB401" i="59"/>
  <c r="AB1004" i="59" s="1"/>
  <c r="Z408" i="59"/>
  <c r="Z1011" i="59" s="1"/>
  <c r="O405" i="59"/>
  <c r="O1008" i="59" s="1"/>
  <c r="L404" i="59"/>
  <c r="L1007" i="59" s="1"/>
  <c r="I403" i="59"/>
  <c r="I1006" i="59" s="1"/>
  <c r="AI401" i="59"/>
  <c r="AI1004" i="59" s="1"/>
  <c r="AF400" i="59"/>
  <c r="AF1003" i="59" s="1"/>
  <c r="L409" i="59"/>
  <c r="L1012" i="59" s="1"/>
  <c r="I408" i="59"/>
  <c r="I1011" i="59" s="1"/>
  <c r="AD405" i="59"/>
  <c r="AD1008" i="59" s="1"/>
  <c r="AA404" i="59"/>
  <c r="AA1007" i="59" s="1"/>
  <c r="X403" i="59"/>
  <c r="X1006" i="59" s="1"/>
  <c r="U402" i="59"/>
  <c r="U1005" i="59" s="1"/>
  <c r="R401" i="59"/>
  <c r="R1004" i="59" s="1"/>
  <c r="O400" i="59"/>
  <c r="O1003" i="59" s="1"/>
  <c r="I405" i="59"/>
  <c r="I1008" i="59" s="1"/>
  <c r="AI403" i="59"/>
  <c r="AI1006" i="59" s="1"/>
  <c r="AF402" i="59"/>
  <c r="AF1005" i="59" s="1"/>
  <c r="AC401" i="59"/>
  <c r="AC1004" i="59" s="1"/>
  <c r="Z400" i="59"/>
  <c r="Z1003" i="59" s="1"/>
  <c r="AH409" i="59"/>
  <c r="AH1012" i="59" s="1"/>
  <c r="P408" i="59"/>
  <c r="P1011" i="59" s="1"/>
  <c r="AJ401" i="59"/>
  <c r="AJ1004" i="59" s="1"/>
  <c r="N409" i="59"/>
  <c r="N1012" i="59" s="1"/>
  <c r="AF410" i="59"/>
  <c r="AF1013" i="59" s="1"/>
  <c r="AC409" i="59"/>
  <c r="AC1012" i="59" s="1"/>
  <c r="AB405" i="59"/>
  <c r="AB1008" i="59" s="1"/>
  <c r="P401" i="59"/>
  <c r="P1004" i="59" s="1"/>
  <c r="AI408" i="59"/>
  <c r="AI1011" i="59" s="1"/>
  <c r="AE410" i="59"/>
  <c r="AE1013" i="59" s="1"/>
  <c r="AB409" i="59"/>
  <c r="AB1012" i="59" s="1"/>
  <c r="H405" i="59"/>
  <c r="H1008" i="59" s="1"/>
  <c r="Y400" i="59"/>
  <c r="Y1003" i="59" s="1"/>
  <c r="R408" i="59"/>
  <c r="R1011" i="59" s="1"/>
  <c r="AJ404" i="59"/>
  <c r="AJ1007" i="59" s="1"/>
  <c r="AG403" i="59"/>
  <c r="AG1006" i="59" s="1"/>
  <c r="AD402" i="59"/>
  <c r="AD1005" i="59" s="1"/>
  <c r="AA401" i="59"/>
  <c r="AA1004" i="59" s="1"/>
  <c r="X400" i="59"/>
  <c r="X1003" i="59" s="1"/>
  <c r="AG408" i="59"/>
  <c r="AG1011" i="59" s="1"/>
  <c r="V405" i="59"/>
  <c r="V1008" i="59" s="1"/>
  <c r="S404" i="59"/>
  <c r="S1007" i="59" s="1"/>
  <c r="P403" i="59"/>
  <c r="P1006" i="59" s="1"/>
  <c r="M402" i="59"/>
  <c r="M1005" i="59" s="1"/>
  <c r="J401" i="59"/>
  <c r="J1004" i="59" s="1"/>
  <c r="AG405" i="59"/>
  <c r="AG1008" i="59" s="1"/>
  <c r="AD404" i="59"/>
  <c r="AD1007" i="59" s="1"/>
  <c r="AA403" i="59"/>
  <c r="AA1006" i="59" s="1"/>
  <c r="X402" i="59"/>
  <c r="X1005" i="59" s="1"/>
  <c r="U401" i="59"/>
  <c r="U1004" i="59" s="1"/>
  <c r="R400" i="59"/>
  <c r="R1003" i="59" s="1"/>
  <c r="AG410" i="59"/>
  <c r="AG1013" i="59" s="1"/>
  <c r="AD409" i="59"/>
  <c r="AD1012" i="59" s="1"/>
  <c r="H1011" i="59"/>
  <c r="AF405" i="59"/>
  <c r="AF1008" i="59" s="1"/>
  <c r="T401" i="59"/>
  <c r="T1004" i="59" s="1"/>
  <c r="S408" i="59"/>
  <c r="S1011" i="59" s="1"/>
  <c r="AB410" i="59"/>
  <c r="AB1013" i="59" s="1"/>
  <c r="Y409" i="59"/>
  <c r="Y1012" i="59" s="1"/>
  <c r="L405" i="59"/>
  <c r="L1008" i="59" s="1"/>
  <c r="AC400" i="59"/>
  <c r="AC1003" i="59" s="1"/>
  <c r="AA410" i="59"/>
  <c r="AA1013" i="59" s="1"/>
  <c r="X409" i="59"/>
  <c r="X1012" i="59" s="1"/>
  <c r="U404" i="59"/>
  <c r="U1007" i="59" s="1"/>
  <c r="I400" i="59"/>
  <c r="I1003" i="59" s="1"/>
  <c r="N408" i="59"/>
  <c r="N1011" i="59" s="1"/>
  <c r="AI405" i="59"/>
  <c r="AI1008" i="59" s="1"/>
  <c r="AF404" i="59"/>
  <c r="AF1007" i="59" s="1"/>
  <c r="AC403" i="59"/>
  <c r="AC1006" i="59" s="1"/>
  <c r="Z402" i="59"/>
  <c r="Z1005" i="59" s="1"/>
  <c r="W401" i="59"/>
  <c r="W1004" i="59" s="1"/>
  <c r="T400" i="59"/>
  <c r="T1003" i="59" s="1"/>
  <c r="AC408" i="59"/>
  <c r="AC1011" i="59" s="1"/>
  <c r="R405" i="59"/>
  <c r="R1008" i="59" s="1"/>
  <c r="O404" i="59"/>
  <c r="O1007" i="59" s="1"/>
  <c r="L403" i="59"/>
  <c r="L1006" i="59" s="1"/>
  <c r="I402" i="59"/>
  <c r="I1005" i="59" s="1"/>
  <c r="AI400" i="59"/>
  <c r="AI1003" i="59" s="1"/>
  <c r="AC405" i="59"/>
  <c r="AC1008" i="59" s="1"/>
  <c r="Z404" i="59"/>
  <c r="Z1007" i="59" s="1"/>
  <c r="W403" i="59"/>
  <c r="W1006" i="59" s="1"/>
  <c r="T402" i="59"/>
  <c r="T1005" i="59" s="1"/>
  <c r="Q401" i="59"/>
  <c r="Q1004" i="59" s="1"/>
  <c r="N400" i="59"/>
  <c r="N1003" i="59" s="1"/>
  <c r="AA409" i="59"/>
  <c r="AA1012" i="59" s="1"/>
  <c r="AG409" i="59"/>
  <c r="AG1012" i="59" s="1"/>
  <c r="W409" i="59"/>
  <c r="W1012" i="59" s="1"/>
  <c r="AH402" i="59"/>
  <c r="AH1005" i="59" s="1"/>
  <c r="AB400" i="59"/>
  <c r="AB1003" i="59" s="1"/>
  <c r="AB402" i="59"/>
  <c r="AB1005" i="59" s="1"/>
  <c r="G5" i="60"/>
  <c r="AD410" i="59"/>
  <c r="AD1013" i="59" s="1"/>
  <c r="AJ405" i="59"/>
  <c r="AJ1008" i="59" s="1"/>
  <c r="AC410" i="59"/>
  <c r="AC1013" i="59" s="1"/>
  <c r="Z409" i="59"/>
  <c r="Z1012" i="59" s="1"/>
  <c r="P405" i="59"/>
  <c r="P1008" i="59" s="1"/>
  <c r="AG400" i="59"/>
  <c r="AG1003" i="59" s="1"/>
  <c r="X410" i="59"/>
  <c r="X1013" i="59" s="1"/>
  <c r="U409" i="59"/>
  <c r="U1012" i="59" s="1"/>
  <c r="Y404" i="59"/>
  <c r="Y1007" i="59" s="1"/>
  <c r="M400" i="59"/>
  <c r="M1003" i="59" s="1"/>
  <c r="W410" i="59"/>
  <c r="W1013" i="59" s="1"/>
  <c r="T409" i="59"/>
  <c r="T1012" i="59" s="1"/>
  <c r="AH403" i="59"/>
  <c r="AH1006" i="59" s="1"/>
  <c r="M409" i="59"/>
  <c r="M1012" i="59" s="1"/>
  <c r="J408" i="59"/>
  <c r="J1011" i="59" s="1"/>
  <c r="AE405" i="59"/>
  <c r="AE1008" i="59" s="1"/>
  <c r="AB404" i="59"/>
  <c r="AB1007" i="59" s="1"/>
  <c r="Y403" i="59"/>
  <c r="Y1006" i="59" s="1"/>
  <c r="V402" i="59"/>
  <c r="V1005" i="59" s="1"/>
  <c r="S401" i="59"/>
  <c r="S1004" i="59" s="1"/>
  <c r="P400" i="59"/>
  <c r="P1003" i="59" s="1"/>
  <c r="Y408" i="59"/>
  <c r="Y1011" i="59" s="1"/>
  <c r="N405" i="59"/>
  <c r="N1008" i="59" s="1"/>
  <c r="K404" i="59"/>
  <c r="K1007" i="59" s="1"/>
  <c r="AH401" i="59"/>
  <c r="AH1004" i="59" s="1"/>
  <c r="AE400" i="59"/>
  <c r="AE1003" i="59" s="1"/>
  <c r="Y405" i="59"/>
  <c r="Y1008" i="59" s="1"/>
  <c r="V404" i="59"/>
  <c r="V1007" i="59" s="1"/>
  <c r="S403" i="59"/>
  <c r="S1006" i="59" s="1"/>
  <c r="P402" i="59"/>
  <c r="P1005" i="59" s="1"/>
  <c r="M401" i="59"/>
  <c r="M1004" i="59" s="1"/>
  <c r="J400" i="59"/>
  <c r="J1003" i="59" s="1"/>
  <c r="K408" i="59"/>
  <c r="K1011" i="59" s="1"/>
  <c r="N410" i="59"/>
  <c r="N1013" i="59" s="1"/>
  <c r="Q404" i="59"/>
  <c r="Q1007" i="59" s="1"/>
  <c r="Y410" i="59"/>
  <c r="Y1013" i="59" s="1"/>
  <c r="V409" i="59"/>
  <c r="V1012" i="59" s="1"/>
  <c r="AC404" i="59"/>
  <c r="AC1007" i="59" s="1"/>
  <c r="Q400" i="59"/>
  <c r="Q1003" i="59" s="1"/>
  <c r="T410" i="59"/>
  <c r="T1013" i="59" s="1"/>
  <c r="Q409" i="59"/>
  <c r="Q1012" i="59" s="1"/>
  <c r="I404" i="59"/>
  <c r="I1007" i="59" s="1"/>
  <c r="AH410" i="59"/>
  <c r="AH1013" i="59" s="1"/>
  <c r="AG404" i="59"/>
  <c r="AG1007" i="59" s="1"/>
  <c r="S410" i="59"/>
  <c r="S1013" i="59" s="1"/>
  <c r="O409" i="59"/>
  <c r="O1012" i="59" s="1"/>
  <c r="R403" i="59"/>
  <c r="R1006" i="59" s="1"/>
  <c r="I409" i="59"/>
  <c r="I1012" i="59" s="1"/>
  <c r="AA405" i="59"/>
  <c r="AA1008" i="59" s="1"/>
  <c r="X404" i="59"/>
  <c r="X1007" i="59" s="1"/>
  <c r="U403" i="59"/>
  <c r="U1006" i="59" s="1"/>
  <c r="R402" i="59"/>
  <c r="R1005" i="59" s="1"/>
  <c r="O401" i="59"/>
  <c r="O1004" i="59" s="1"/>
  <c r="L400" i="59"/>
  <c r="L1003" i="59" s="1"/>
  <c r="U408" i="59"/>
  <c r="U1011" i="59" s="1"/>
  <c r="J405" i="59"/>
  <c r="J1008" i="59" s="1"/>
  <c r="AJ403" i="59"/>
  <c r="AJ1006" i="59" s="1"/>
  <c r="AG402" i="59"/>
  <c r="AG1005" i="59" s="1"/>
  <c r="AD401" i="59"/>
  <c r="AD1004" i="59" s="1"/>
  <c r="AA400" i="59"/>
  <c r="AA1003" i="59" s="1"/>
  <c r="U405" i="59"/>
  <c r="U1008" i="59" s="1"/>
  <c r="R404" i="59"/>
  <c r="R1007" i="59" s="1"/>
  <c r="O403" i="59"/>
  <c r="O1006" i="59" s="1"/>
  <c r="L402" i="59"/>
  <c r="L1005" i="59" s="1"/>
  <c r="I401" i="59"/>
  <c r="I1004" i="59" s="1"/>
  <c r="K405" i="59"/>
  <c r="K1008" i="59" s="1"/>
  <c r="AE401" i="59"/>
  <c r="AE1004" i="59" s="1"/>
  <c r="H409" i="59"/>
  <c r="H1012" i="59" s="1"/>
  <c r="T403" i="59"/>
  <c r="T1006" i="59" s="1"/>
  <c r="Y401" i="59"/>
  <c r="Y1004" i="59" s="1"/>
  <c r="AE409" i="59"/>
  <c r="AE1012" i="59" s="1"/>
  <c r="N403" i="59"/>
  <c r="N1006" i="59" s="1"/>
  <c r="U410" i="59"/>
  <c r="U1013" i="59" s="1"/>
  <c r="R409" i="59"/>
  <c r="R1012" i="59" s="1"/>
  <c r="M404" i="59"/>
  <c r="M1007" i="59" s="1"/>
  <c r="T405" i="59"/>
  <c r="T1008" i="59" s="1"/>
  <c r="P410" i="59"/>
  <c r="P1013" i="59" s="1"/>
  <c r="J409" i="59"/>
  <c r="J1012" i="59" s="1"/>
  <c r="V403" i="59"/>
  <c r="V1006" i="59" s="1"/>
  <c r="V410" i="59"/>
  <c r="V1013" i="59" s="1"/>
  <c r="AD403" i="59"/>
  <c r="AD1006" i="59" s="1"/>
  <c r="O410" i="59"/>
  <c r="O1013" i="59" s="1"/>
  <c r="AJ408" i="59"/>
  <c r="AJ1011" i="59" s="1"/>
  <c r="AE402" i="59"/>
  <c r="AE1005" i="59" s="1"/>
  <c r="AH408" i="59"/>
  <c r="AH1011" i="59" s="1"/>
  <c r="W405" i="59"/>
  <c r="W1008" i="59" s="1"/>
  <c r="T404" i="59"/>
  <c r="T1007" i="59" s="1"/>
  <c r="Q403" i="59"/>
  <c r="Q1006" i="59" s="1"/>
  <c r="N402" i="59"/>
  <c r="N1005" i="59" s="1"/>
  <c r="K401" i="59"/>
  <c r="K1004" i="59" s="1"/>
  <c r="H400" i="59"/>
  <c r="H1003" i="59" s="1"/>
  <c r="Q408" i="59"/>
  <c r="Q1011" i="59" s="1"/>
  <c r="AI404" i="59"/>
  <c r="AI1007" i="59" s="1"/>
  <c r="AF403" i="59"/>
  <c r="AF1006" i="59" s="1"/>
  <c r="AC402" i="59"/>
  <c r="AC1005" i="59" s="1"/>
  <c r="Z401" i="59"/>
  <c r="Z1004" i="59" s="1"/>
  <c r="W400" i="59"/>
  <c r="W1003" i="59" s="1"/>
  <c r="Q405" i="59"/>
  <c r="Q1008" i="59" s="1"/>
  <c r="N404" i="59"/>
  <c r="N1007" i="59" s="1"/>
  <c r="K403" i="59"/>
  <c r="K1006" i="59" s="1"/>
  <c r="H402" i="59"/>
  <c r="H1005" i="59" s="1"/>
  <c r="AH400" i="59"/>
  <c r="AH1003" i="59" s="1"/>
  <c r="I410" i="59"/>
  <c r="I1013" i="59" s="1"/>
  <c r="L408" i="59"/>
  <c r="L1011" i="59" s="1"/>
  <c r="L401" i="59"/>
  <c r="L1004" i="59" s="1"/>
  <c r="V408" i="59"/>
  <c r="V1011" i="59" s="1"/>
  <c r="W404" i="59"/>
  <c r="W1007" i="59" s="1"/>
  <c r="S409" i="59"/>
  <c r="S1012" i="59" s="1"/>
  <c r="AA402" i="59"/>
  <c r="AA1005" i="59" s="1"/>
  <c r="Q410" i="59"/>
  <c r="Q1013" i="59" s="1"/>
  <c r="K409" i="59"/>
  <c r="K1012" i="59" s="1"/>
  <c r="Z403" i="59"/>
  <c r="Z1006" i="59" s="1"/>
  <c r="Z410" i="59"/>
  <c r="Z1013" i="59" s="1"/>
  <c r="K402" i="59"/>
  <c r="K1005" i="59" s="1"/>
  <c r="L410" i="59"/>
  <c r="L1013" i="59" s="1"/>
  <c r="AE408" i="59"/>
  <c r="AE1011" i="59" s="1"/>
  <c r="AI402" i="59"/>
  <c r="AI1005" i="59" s="1"/>
  <c r="R410" i="59"/>
  <c r="R1013" i="59" s="1"/>
  <c r="X401" i="59"/>
  <c r="X1004" i="59" s="1"/>
  <c r="K410" i="59"/>
  <c r="K1013" i="59" s="1"/>
  <c r="AB408" i="59"/>
  <c r="AB1011" i="59" s="1"/>
  <c r="O402" i="59"/>
  <c r="O1005" i="59" s="1"/>
  <c r="AD408" i="59"/>
  <c r="AD1011" i="59" s="1"/>
  <c r="S405" i="59"/>
  <c r="S1008" i="59" s="1"/>
  <c r="P404" i="59"/>
  <c r="P1007" i="59" s="1"/>
  <c r="M403" i="59"/>
  <c r="M1006" i="59" s="1"/>
  <c r="J402" i="59"/>
  <c r="J1005" i="59" s="1"/>
  <c r="AJ400" i="59"/>
  <c r="AJ1003" i="59" s="1"/>
  <c r="P409" i="59"/>
  <c r="P1012" i="59" s="1"/>
  <c r="M408" i="59"/>
  <c r="M1011" i="59" s="1"/>
  <c r="AH405" i="59"/>
  <c r="AH1008" i="59" s="1"/>
  <c r="AE404" i="59"/>
  <c r="AE1007" i="59" s="1"/>
  <c r="AB403" i="59"/>
  <c r="AB1006" i="59" s="1"/>
  <c r="Y402" i="59"/>
  <c r="Y1005" i="59" s="1"/>
  <c r="V401" i="59"/>
  <c r="V1004" i="59" s="1"/>
  <c r="S400" i="59"/>
  <c r="S1003" i="59" s="1"/>
  <c r="M405" i="59"/>
  <c r="M1008" i="59" s="1"/>
  <c r="J404" i="59"/>
  <c r="J1007" i="59" s="1"/>
  <c r="AJ402" i="59"/>
  <c r="AJ1005" i="59" s="1"/>
  <c r="AG401" i="59"/>
  <c r="AG1004" i="59" s="1"/>
  <c r="AD400" i="59"/>
  <c r="AD1003" i="59" s="1"/>
  <c r="X435" i="59"/>
  <c r="X783" i="59" s="1"/>
  <c r="AH435" i="59"/>
  <c r="AH783" i="59" s="1"/>
  <c r="M435" i="59"/>
  <c r="M783" i="59" s="1"/>
  <c r="I149" i="59"/>
  <c r="I157" i="59" s="1"/>
  <c r="I150" i="59"/>
  <c r="G409" i="59"/>
  <c r="G1012" i="59" s="1"/>
  <c r="AM52" i="24"/>
  <c r="G401" i="59"/>
  <c r="G1004" i="59" s="1"/>
  <c r="AM43" i="24"/>
  <c r="AM50" i="24"/>
  <c r="G408" i="59"/>
  <c r="G1011" i="59" s="1"/>
  <c r="AM51" i="24"/>
  <c r="H404" i="59"/>
  <c r="H1007" i="59" s="1"/>
  <c r="AM46" i="24"/>
  <c r="G400" i="59"/>
  <c r="G1003" i="59" s="1"/>
  <c r="G410" i="59"/>
  <c r="G1013" i="59" s="1"/>
  <c r="AM53" i="24"/>
  <c r="G402" i="59"/>
  <c r="G1005" i="59" s="1"/>
  <c r="AM44" i="24"/>
  <c r="H403" i="59"/>
  <c r="H1006" i="59" s="1"/>
  <c r="AM45" i="24"/>
  <c r="AM47" i="24"/>
  <c r="Z407" i="59"/>
  <c r="Z1010" i="59" s="1"/>
  <c r="W231" i="24"/>
  <c r="W232" i="24" s="1"/>
  <c r="Q407" i="59"/>
  <c r="Q1010" i="59" s="1"/>
  <c r="N231" i="24"/>
  <c r="N232" i="24" s="1"/>
  <c r="N407" i="59"/>
  <c r="N1010" i="59" s="1"/>
  <c r="K231" i="24"/>
  <c r="K232" i="24" s="1"/>
  <c r="T407" i="59"/>
  <c r="T1010" i="59" s="1"/>
  <c r="Q231" i="24"/>
  <c r="Q232" i="24" s="1"/>
  <c r="AI407" i="59"/>
  <c r="AI1010" i="59" s="1"/>
  <c r="AF231" i="24"/>
  <c r="AF232" i="24" s="1"/>
  <c r="R407" i="59"/>
  <c r="R1010" i="59" s="1"/>
  <c r="O231" i="24"/>
  <c r="O232" i="24" s="1"/>
  <c r="I407" i="59"/>
  <c r="I1010" i="59" s="1"/>
  <c r="F231" i="24"/>
  <c r="F232" i="24" s="1"/>
  <c r="P407" i="59"/>
  <c r="P1010" i="59" s="1"/>
  <c r="M231" i="24"/>
  <c r="M232" i="24" s="1"/>
  <c r="AE407" i="59"/>
  <c r="AE1010" i="59" s="1"/>
  <c r="AB231" i="24"/>
  <c r="AB232" i="24" s="1"/>
  <c r="J407" i="59"/>
  <c r="J1010" i="59" s="1"/>
  <c r="G231" i="24"/>
  <c r="G232" i="24" s="1"/>
  <c r="H407" i="59"/>
  <c r="H1010" i="59" s="1"/>
  <c r="E231" i="24"/>
  <c r="E232" i="24" s="1"/>
  <c r="AA407" i="59"/>
  <c r="AA1010" i="59" s="1"/>
  <c r="X231" i="24"/>
  <c r="X232" i="24" s="1"/>
  <c r="AC407" i="59"/>
  <c r="AC1010" i="59" s="1"/>
  <c r="Z231" i="24"/>
  <c r="Z232" i="24" s="1"/>
  <c r="W407" i="59"/>
  <c r="W1010" i="59" s="1"/>
  <c r="T231" i="24"/>
  <c r="T232" i="24" s="1"/>
  <c r="AJ407" i="59"/>
  <c r="AJ1010" i="59" s="1"/>
  <c r="AG231" i="24"/>
  <c r="AG232" i="24" s="1"/>
  <c r="S407" i="59"/>
  <c r="S1010" i="59" s="1"/>
  <c r="P231" i="24"/>
  <c r="P232" i="24" s="1"/>
  <c r="U407" i="59"/>
  <c r="U1010" i="59" s="1"/>
  <c r="R231" i="24"/>
  <c r="R232" i="24" s="1"/>
  <c r="AF407" i="59"/>
  <c r="AF1010" i="59" s="1"/>
  <c r="AC231" i="24"/>
  <c r="AC232" i="24" s="1"/>
  <c r="O407" i="59"/>
  <c r="O1010" i="59" s="1"/>
  <c r="L231" i="24"/>
  <c r="L232" i="24" s="1"/>
  <c r="AG407" i="59"/>
  <c r="AG1010" i="59" s="1"/>
  <c r="AD231" i="24"/>
  <c r="AD232" i="24" s="1"/>
  <c r="AD407" i="59"/>
  <c r="AD1010" i="59" s="1"/>
  <c r="AA231" i="24"/>
  <c r="AA232" i="24" s="1"/>
  <c r="AB407" i="59"/>
  <c r="AB1010" i="59" s="1"/>
  <c r="Y231" i="24"/>
  <c r="Y232" i="24" s="1"/>
  <c r="K407" i="59"/>
  <c r="K1010" i="59" s="1"/>
  <c r="H231" i="24"/>
  <c r="H232" i="24" s="1"/>
  <c r="AH407" i="59"/>
  <c r="AH1010" i="59" s="1"/>
  <c r="AE231" i="24"/>
  <c r="AE232" i="24" s="1"/>
  <c r="Y407" i="59"/>
  <c r="Y1010" i="59" s="1"/>
  <c r="V231" i="24"/>
  <c r="V232" i="24" s="1"/>
  <c r="V407" i="59"/>
  <c r="V1010" i="59" s="1"/>
  <c r="S231" i="24"/>
  <c r="S232" i="24" s="1"/>
  <c r="X407" i="59"/>
  <c r="X1010" i="59" s="1"/>
  <c r="U231" i="24"/>
  <c r="U232" i="24" s="1"/>
  <c r="F348" i="59"/>
  <c r="AF435" i="59"/>
  <c r="AF783" i="59" s="1"/>
  <c r="U435" i="59"/>
  <c r="U783" i="59" s="1"/>
  <c r="Z435" i="59"/>
  <c r="Z783" i="59" s="1"/>
  <c r="H435" i="59"/>
  <c r="H783" i="59" s="1"/>
  <c r="AB435" i="59"/>
  <c r="AB783" i="59" s="1"/>
  <c r="Q435" i="59"/>
  <c r="Q783" i="59" s="1"/>
  <c r="N435" i="59"/>
  <c r="N783" i="59" s="1"/>
  <c r="AJ435" i="59"/>
  <c r="AJ783" i="59" s="1"/>
  <c r="Y435" i="59"/>
  <c r="Y783" i="59" s="1"/>
  <c r="G435" i="59"/>
  <c r="G783" i="59" s="1"/>
  <c r="V435" i="59"/>
  <c r="V783" i="59" s="1"/>
  <c r="AN435" i="59"/>
  <c r="AN783" i="59" s="1"/>
  <c r="AC435" i="59"/>
  <c r="AC783" i="59" s="1"/>
  <c r="S435" i="59"/>
  <c r="S783" i="59" s="1"/>
  <c r="W435" i="59"/>
  <c r="W783" i="59" s="1"/>
  <c r="L435" i="59"/>
  <c r="L783" i="59" s="1"/>
  <c r="AG435" i="59"/>
  <c r="AG783" i="59" s="1"/>
  <c r="O435" i="59"/>
  <c r="O783" i="59" s="1"/>
  <c r="AI435" i="59"/>
  <c r="AI783" i="59" s="1"/>
  <c r="AM435" i="59"/>
  <c r="AM783" i="59" s="1"/>
  <c r="AA435" i="59"/>
  <c r="AA783" i="59" s="1"/>
  <c r="AD435" i="59"/>
  <c r="AD783" i="59" s="1"/>
  <c r="J435" i="59"/>
  <c r="J783" i="59" s="1"/>
  <c r="P435" i="59"/>
  <c r="P783" i="59" s="1"/>
  <c r="AK435" i="59"/>
  <c r="AK783" i="59" s="1"/>
  <c r="AE435" i="59"/>
  <c r="AE783" i="59" s="1"/>
  <c r="K435" i="59"/>
  <c r="K783" i="59" s="1"/>
  <c r="T435" i="59"/>
  <c r="T783" i="59" s="1"/>
  <c r="I435" i="59"/>
  <c r="I783" i="59" s="1"/>
  <c r="R435" i="59"/>
  <c r="R783" i="59" s="1"/>
  <c r="C212" i="59"/>
  <c r="AK895" i="59"/>
  <c r="G145" i="60"/>
  <c r="G403" i="59"/>
  <c r="G1006" i="59" s="1"/>
  <c r="H846" i="59"/>
  <c r="H123" i="59"/>
  <c r="H124" i="59" s="1"/>
  <c r="H178" i="59"/>
  <c r="H179" i="59" s="1"/>
  <c r="H455" i="59"/>
  <c r="H791" i="59"/>
  <c r="H735" i="59"/>
  <c r="AN359" i="63"/>
  <c r="K433" i="59"/>
  <c r="K672" i="59" s="1"/>
  <c r="O433" i="59"/>
  <c r="O672" i="59" s="1"/>
  <c r="G125" i="59"/>
  <c r="G4" i="59"/>
  <c r="H22" i="46"/>
  <c r="H23" i="46" s="1"/>
  <c r="G4" i="68"/>
  <c r="D14" i="68" s="1"/>
  <c r="D40" i="68" s="1"/>
  <c r="G4" i="63"/>
  <c r="G4" i="73"/>
  <c r="V433" i="59"/>
  <c r="V672" i="59" s="1"/>
  <c r="Z433" i="59"/>
  <c r="Z672" i="59" s="1"/>
  <c r="W433" i="59"/>
  <c r="W672" i="59" s="1"/>
  <c r="S433" i="59"/>
  <c r="S672" i="59" s="1"/>
  <c r="AH433" i="59"/>
  <c r="AH672" i="59" s="1"/>
  <c r="AL433" i="59"/>
  <c r="AL672" i="59" s="1"/>
  <c r="AA433" i="59"/>
  <c r="AA672" i="59" s="1"/>
  <c r="AE433" i="59"/>
  <c r="AE672" i="59" s="1"/>
  <c r="N433" i="59"/>
  <c r="N672" i="59" s="1"/>
  <c r="AI433" i="59"/>
  <c r="AI672" i="59" s="1"/>
  <c r="AD433" i="59"/>
  <c r="AD672" i="59" s="1"/>
  <c r="R433" i="59"/>
  <c r="R672" i="59" s="1"/>
  <c r="G433" i="59"/>
  <c r="AM433" i="59"/>
  <c r="AM672" i="59" s="1"/>
  <c r="J433" i="59"/>
  <c r="J672" i="59" s="1"/>
  <c r="AG433" i="59"/>
  <c r="AG672" i="59" s="1"/>
  <c r="G113" i="63"/>
  <c r="G115" i="63" s="1"/>
  <c r="G51" i="63"/>
  <c r="G912" i="59"/>
  <c r="G8" i="60"/>
  <c r="E3" i="80" s="1"/>
  <c r="G239" i="59"/>
  <c r="G7" i="59"/>
  <c r="AJ433" i="59"/>
  <c r="AJ672" i="59" s="1"/>
  <c r="S436" i="59"/>
  <c r="S838" i="59" s="1"/>
  <c r="AB433" i="59"/>
  <c r="AB672" i="59" s="1"/>
  <c r="X433" i="59"/>
  <c r="X672" i="59" s="1"/>
  <c r="AN433" i="59"/>
  <c r="AN672" i="59" s="1"/>
  <c r="I433" i="59"/>
  <c r="I672" i="59" s="1"/>
  <c r="T433" i="59"/>
  <c r="T672" i="59" s="1"/>
  <c r="Y433" i="59"/>
  <c r="Y672" i="59" s="1"/>
  <c r="H433" i="59"/>
  <c r="H672" i="59" s="1"/>
  <c r="AC436" i="59"/>
  <c r="AC838" i="59" s="1"/>
  <c r="M436" i="59"/>
  <c r="M838" i="59" s="1"/>
  <c r="AF436" i="59"/>
  <c r="AF838" i="59" s="1"/>
  <c r="P436" i="59"/>
  <c r="P838" i="59" s="1"/>
  <c r="AI436" i="59"/>
  <c r="AI838" i="59" s="1"/>
  <c r="M895" i="59"/>
  <c r="Y436" i="59"/>
  <c r="Y838" i="59" s="1"/>
  <c r="I436" i="59"/>
  <c r="I838" i="59" s="1"/>
  <c r="AB436" i="59"/>
  <c r="AB838" i="59" s="1"/>
  <c r="L436" i="59"/>
  <c r="L838" i="59" s="1"/>
  <c r="AE436" i="59"/>
  <c r="AE838" i="59" s="1"/>
  <c r="O436" i="59"/>
  <c r="O838" i="59" s="1"/>
  <c r="AK436" i="59"/>
  <c r="AK838" i="59" s="1"/>
  <c r="U436" i="59"/>
  <c r="U838" i="59" s="1"/>
  <c r="AN436" i="59"/>
  <c r="AN838" i="59" s="1"/>
  <c r="X436" i="59"/>
  <c r="X838" i="59" s="1"/>
  <c r="H436" i="59"/>
  <c r="H838" i="59" s="1"/>
  <c r="AA436" i="59"/>
  <c r="AA838" i="59" s="1"/>
  <c r="K436" i="59"/>
  <c r="K838" i="59" s="1"/>
  <c r="AG436" i="59"/>
  <c r="AG838" i="59" s="1"/>
  <c r="Q436" i="59"/>
  <c r="Q838" i="59" s="1"/>
  <c r="AJ436" i="59"/>
  <c r="AJ838" i="59" s="1"/>
  <c r="T436" i="59"/>
  <c r="T838" i="59" s="1"/>
  <c r="AM436" i="59"/>
  <c r="AM838" i="59" s="1"/>
  <c r="W436" i="59"/>
  <c r="W838" i="59" s="1"/>
  <c r="AN974" i="59"/>
  <c r="Q895" i="59"/>
  <c r="U895" i="59"/>
  <c r="AN972" i="59"/>
  <c r="AN1016" i="59"/>
  <c r="AN1023" i="59" s="1"/>
  <c r="AK414" i="59"/>
  <c r="AK46" i="63" s="1"/>
  <c r="H427" i="59"/>
  <c r="AM1035" i="59"/>
  <c r="AM1040" i="59" s="1"/>
  <c r="Y895" i="59"/>
  <c r="H895" i="59"/>
  <c r="AL1035" i="59"/>
  <c r="AL1040" i="59" s="1"/>
  <c r="AK49" i="60"/>
  <c r="G35" i="46"/>
  <c r="AC895" i="59"/>
  <c r="Q433" i="59"/>
  <c r="Q672" i="59" s="1"/>
  <c r="AC433" i="59"/>
  <c r="AC672" i="59" s="1"/>
  <c r="AF433" i="59"/>
  <c r="AF672" i="59" s="1"/>
  <c r="AK433" i="59"/>
  <c r="AK672" i="59" s="1"/>
  <c r="U433" i="59"/>
  <c r="U672" i="59" s="1"/>
  <c r="M433" i="59"/>
  <c r="M672" i="59" s="1"/>
  <c r="P433" i="59"/>
  <c r="P672" i="59" s="1"/>
  <c r="F940" i="59"/>
  <c r="AK1016" i="59"/>
  <c r="AK1023" i="59" s="1"/>
  <c r="G23" i="46"/>
  <c r="G36" i="46" s="1"/>
  <c r="F502" i="59"/>
  <c r="E571" i="59" a="1"/>
  <c r="E599" i="59" s="1"/>
  <c r="F599" i="59" s="1"/>
  <c r="C23" i="60"/>
  <c r="C211" i="59"/>
  <c r="E740" i="59" a="1"/>
  <c r="E770" i="59" s="1"/>
  <c r="V436" i="59"/>
  <c r="V838" i="59" s="1"/>
  <c r="AD436" i="59"/>
  <c r="AD838" i="59" s="1"/>
  <c r="Z436" i="59"/>
  <c r="Z838" i="59" s="1"/>
  <c r="R436" i="59"/>
  <c r="R838" i="59" s="1"/>
  <c r="AH436" i="59"/>
  <c r="AH838" i="59" s="1"/>
  <c r="AL436" i="59"/>
  <c r="AL838" i="59" s="1"/>
  <c r="N436" i="59"/>
  <c r="N838" i="59" s="1"/>
  <c r="J436" i="59"/>
  <c r="J838" i="59" s="1"/>
  <c r="F965" i="59"/>
  <c r="AG895" i="59"/>
  <c r="H51" i="63"/>
  <c r="H113" i="63"/>
  <c r="H115" i="63" s="1"/>
  <c r="H7" i="59"/>
  <c r="H912" i="59"/>
  <c r="H239" i="59"/>
  <c r="H241" i="59" s="1"/>
  <c r="H8" i="60"/>
  <c r="F3" i="80" s="1"/>
  <c r="V447" i="59"/>
  <c r="V895" i="59" s="1"/>
  <c r="V427" i="59"/>
  <c r="AL447" i="59"/>
  <c r="AL895" i="59" s="1"/>
  <c r="AL427" i="59"/>
  <c r="S427" i="59"/>
  <c r="S447" i="59"/>
  <c r="S895" i="59" s="1"/>
  <c r="AI427" i="59"/>
  <c r="AI447" i="59"/>
  <c r="AI895" i="59" s="1"/>
  <c r="L895" i="59"/>
  <c r="AB895" i="59"/>
  <c r="AF427" i="59"/>
  <c r="J895" i="59"/>
  <c r="AG427" i="59"/>
  <c r="D231" i="63"/>
  <c r="D163" i="63"/>
  <c r="D94" i="63"/>
  <c r="D97" i="63" s="1"/>
  <c r="D98" i="63" s="1"/>
  <c r="D100" i="63" s="1"/>
  <c r="D128" i="63"/>
  <c r="AN414" i="59"/>
  <c r="AJ427" i="59"/>
  <c r="M427" i="59"/>
  <c r="F558" i="59"/>
  <c r="F727" i="59"/>
  <c r="E515" i="59" a="1"/>
  <c r="Z447" i="59"/>
  <c r="Z895" i="59" s="1"/>
  <c r="Z427" i="59"/>
  <c r="G447" i="59"/>
  <c r="F423" i="59"/>
  <c r="W447" i="59"/>
  <c r="W895" i="59" s="1"/>
  <c r="W427" i="59"/>
  <c r="AM447" i="59"/>
  <c r="AM895" i="59" s="1"/>
  <c r="AM427" i="59"/>
  <c r="P895" i="59"/>
  <c r="AF895" i="59"/>
  <c r="AN427" i="59"/>
  <c r="I427" i="59"/>
  <c r="AK1035" i="59"/>
  <c r="AK1040" i="59" s="1"/>
  <c r="AN1035" i="59"/>
  <c r="AN1040" i="59" s="1"/>
  <c r="AL1016" i="59"/>
  <c r="AL1023" i="59" s="1"/>
  <c r="AM1016" i="59"/>
  <c r="AM1023" i="59" s="1"/>
  <c r="L427" i="59"/>
  <c r="U427" i="59"/>
  <c r="F434" i="59"/>
  <c r="N447" i="59"/>
  <c r="N895" i="59" s="1"/>
  <c r="N427" i="59"/>
  <c r="AD447" i="59"/>
  <c r="AD895" i="59" s="1"/>
  <c r="AD427" i="59"/>
  <c r="K427" i="59"/>
  <c r="K447" i="59"/>
  <c r="K895" i="59" s="1"/>
  <c r="AA427" i="59"/>
  <c r="AA447" i="59"/>
  <c r="AA895" i="59" s="1"/>
  <c r="T895" i="59"/>
  <c r="AJ895" i="59"/>
  <c r="P427" i="59"/>
  <c r="F424" i="59"/>
  <c r="Q427" i="59"/>
  <c r="G838" i="59"/>
  <c r="AL414" i="59"/>
  <c r="AL47" i="60"/>
  <c r="T427" i="59"/>
  <c r="AC427" i="59"/>
  <c r="I15" i="46"/>
  <c r="I17" i="46"/>
  <c r="I123" i="59"/>
  <c r="I124" i="59" s="1"/>
  <c r="J14" i="46"/>
  <c r="I178" i="59"/>
  <c r="I179" i="59" s="1"/>
  <c r="I510" i="59"/>
  <c r="I566" i="59"/>
  <c r="I455" i="59"/>
  <c r="I680" i="59"/>
  <c r="I735" i="59"/>
  <c r="I621" i="59"/>
  <c r="I791" i="59"/>
  <c r="I846" i="59"/>
  <c r="R447" i="59"/>
  <c r="R895" i="59" s="1"/>
  <c r="R427" i="59"/>
  <c r="AH447" i="59"/>
  <c r="AH895" i="59" s="1"/>
  <c r="AH427" i="59"/>
  <c r="O447" i="59"/>
  <c r="O895" i="59" s="1"/>
  <c r="O427" i="59"/>
  <c r="AE447" i="59"/>
  <c r="AE895" i="59" s="1"/>
  <c r="AE427" i="59"/>
  <c r="X895" i="59"/>
  <c r="AN895" i="59"/>
  <c r="X427" i="59"/>
  <c r="F425" i="59"/>
  <c r="D47" i="46"/>
  <c r="D45" i="46"/>
  <c r="D48" i="46" s="1"/>
  <c r="D57" i="46" s="1"/>
  <c r="J427" i="59"/>
  <c r="Y427" i="59"/>
  <c r="I895" i="59"/>
  <c r="AM47" i="60"/>
  <c r="AM414" i="59"/>
  <c r="AB427" i="59"/>
  <c r="AK427" i="59"/>
  <c r="AK51" i="68" l="1"/>
  <c r="AK62" i="68" s="1"/>
  <c r="AK122" i="60"/>
  <c r="G241" i="59"/>
  <c r="G246" i="59"/>
  <c r="W1016" i="59"/>
  <c r="W1023" i="59" s="1"/>
  <c r="Y1035" i="59"/>
  <c r="Y1040" i="59" s="1"/>
  <c r="J1016" i="59"/>
  <c r="J1023" i="59" s="1"/>
  <c r="T1016" i="59"/>
  <c r="T1023" i="59" s="1"/>
  <c r="AF1016" i="59"/>
  <c r="AF1023" i="59" s="1"/>
  <c r="Z1035" i="59"/>
  <c r="Z1040" i="59" s="1"/>
  <c r="X1016" i="59"/>
  <c r="X1023" i="59" s="1"/>
  <c r="O1016" i="59"/>
  <c r="O1023" i="59" s="1"/>
  <c r="M1016" i="59"/>
  <c r="M1023" i="59" s="1"/>
  <c r="P1016" i="59"/>
  <c r="P1023" i="59" s="1"/>
  <c r="AB1016" i="59"/>
  <c r="AB1023" i="59" s="1"/>
  <c r="Z1016" i="59"/>
  <c r="Z1023" i="59" s="1"/>
  <c r="AI1016" i="59"/>
  <c r="AI1023" i="59" s="1"/>
  <c r="I1016" i="59"/>
  <c r="I1023" i="59" s="1"/>
  <c r="AG1016" i="59"/>
  <c r="AG1023" i="59" s="1"/>
  <c r="S1016" i="59"/>
  <c r="S1023" i="59" s="1"/>
  <c r="AE1016" i="59"/>
  <c r="AE1023" i="59" s="1"/>
  <c r="AC1016" i="59"/>
  <c r="AC1023" i="59" s="1"/>
  <c r="AD1016" i="59"/>
  <c r="AD1023" i="59" s="1"/>
  <c r="Y1016" i="59"/>
  <c r="Y1023" i="59" s="1"/>
  <c r="L1016" i="59"/>
  <c r="L1023" i="59" s="1"/>
  <c r="L413" i="59"/>
  <c r="L48" i="60" s="1"/>
  <c r="V1035" i="59"/>
  <c r="V1040" i="59" s="1"/>
  <c r="N1016" i="59"/>
  <c r="N1023" i="59" s="1"/>
  <c r="AC1035" i="59"/>
  <c r="AC1040" i="59" s="1"/>
  <c r="AA1016" i="59"/>
  <c r="AA1023" i="59" s="1"/>
  <c r="T413" i="59"/>
  <c r="T48" i="60" s="1"/>
  <c r="V1016" i="59"/>
  <c r="V1023" i="59" s="1"/>
  <c r="AJ413" i="59"/>
  <c r="AJ48" i="60" s="1"/>
  <c r="I413" i="59"/>
  <c r="I48" i="60" s="1"/>
  <c r="U1035" i="59"/>
  <c r="U1040" i="59" s="1"/>
  <c r="F400" i="59"/>
  <c r="AG1035" i="59"/>
  <c r="AG1040" i="59" s="1"/>
  <c r="AE1035" i="59"/>
  <c r="AE1040" i="59" s="1"/>
  <c r="X413" i="59"/>
  <c r="X48" i="60" s="1"/>
  <c r="N413" i="59"/>
  <c r="N48" i="60" s="1"/>
  <c r="W413" i="59"/>
  <c r="W48" i="60" s="1"/>
  <c r="K1035" i="59"/>
  <c r="K1040" i="59" s="1"/>
  <c r="I1035" i="59"/>
  <c r="I1040" i="59" s="1"/>
  <c r="AD1035" i="59"/>
  <c r="AD1040" i="59" s="1"/>
  <c r="AI1035" i="59"/>
  <c r="AI1040" i="59" s="1"/>
  <c r="AJ1016" i="59"/>
  <c r="AJ1023" i="59" s="1"/>
  <c r="O413" i="59"/>
  <c r="O48" i="60" s="1"/>
  <c r="T1035" i="59"/>
  <c r="T1040" i="59" s="1"/>
  <c r="J413" i="59"/>
  <c r="J48" i="60" s="1"/>
  <c r="AA413" i="59"/>
  <c r="AA48" i="60" s="1"/>
  <c r="V413" i="59"/>
  <c r="V48" i="60" s="1"/>
  <c r="U1016" i="59"/>
  <c r="U1023" i="59" s="1"/>
  <c r="AH1016" i="59"/>
  <c r="AH1023" i="59" s="1"/>
  <c r="Q1016" i="59"/>
  <c r="Q1023" i="59" s="1"/>
  <c r="R1016" i="59"/>
  <c r="R1023" i="59" s="1"/>
  <c r="F1004" i="59"/>
  <c r="AI413" i="59"/>
  <c r="AI48" i="60" s="1"/>
  <c r="AH1035" i="59"/>
  <c r="AH1040" i="59" s="1"/>
  <c r="AD413" i="59"/>
  <c r="AD48" i="60" s="1"/>
  <c r="J1035" i="59"/>
  <c r="J1040" i="59" s="1"/>
  <c r="F1008" i="59"/>
  <c r="U413" i="59"/>
  <c r="U48" i="60" s="1"/>
  <c r="Y310" i="59"/>
  <c r="Y331" i="59" s="1"/>
  <c r="Y352" i="59" s="1"/>
  <c r="Y38" i="60" s="1"/>
  <c r="AD310" i="59"/>
  <c r="AD331" i="59" s="1"/>
  <c r="AD352" i="59" s="1"/>
  <c r="AD38" i="60" s="1"/>
  <c r="U310" i="59"/>
  <c r="U331" i="59" s="1"/>
  <c r="U352" i="59" s="1"/>
  <c r="U38" i="60" s="1"/>
  <c r="AC310" i="59"/>
  <c r="AC331" i="59" s="1"/>
  <c r="AC352" i="59" s="1"/>
  <c r="AC38" i="60" s="1"/>
  <c r="AE310" i="59"/>
  <c r="AE331" i="59" s="1"/>
  <c r="AE352" i="59" s="1"/>
  <c r="AE38" i="60" s="1"/>
  <c r="AI310" i="59"/>
  <c r="AI331" i="59" s="1"/>
  <c r="AI352" i="59" s="1"/>
  <c r="AI38" i="60" s="1"/>
  <c r="Z310" i="59"/>
  <c r="Z331" i="59" s="1"/>
  <c r="Z352" i="59" s="1"/>
  <c r="Z38" i="60" s="1"/>
  <c r="F1013" i="59"/>
  <c r="AG310" i="59"/>
  <c r="AG331" i="59" s="1"/>
  <c r="AG352" i="59" s="1"/>
  <c r="AG38" i="60" s="1"/>
  <c r="S310" i="59"/>
  <c r="S331" i="59" s="1"/>
  <c r="S352" i="59" s="1"/>
  <c r="S38" i="60" s="1"/>
  <c r="AA310" i="59"/>
  <c r="AA331" i="59" s="1"/>
  <c r="AA352" i="59" s="1"/>
  <c r="AA38" i="60" s="1"/>
  <c r="T310" i="59"/>
  <c r="T331" i="59" s="1"/>
  <c r="T352" i="59" s="1"/>
  <c r="T38" i="60" s="1"/>
  <c r="AH310" i="59"/>
  <c r="AH331" i="59" s="1"/>
  <c r="AH352" i="59" s="1"/>
  <c r="AH38" i="60" s="1"/>
  <c r="K1016" i="59"/>
  <c r="K1023" i="59" s="1"/>
  <c r="AC413" i="59"/>
  <c r="AC48" i="60" s="1"/>
  <c r="F405" i="59"/>
  <c r="S413" i="59"/>
  <c r="S48" i="60" s="1"/>
  <c r="K413" i="59"/>
  <c r="K48" i="60" s="1"/>
  <c r="S1035" i="59"/>
  <c r="S1040" i="59" s="1"/>
  <c r="AA1035" i="59"/>
  <c r="AA1040" i="59" s="1"/>
  <c r="F1012" i="59"/>
  <c r="P310" i="59"/>
  <c r="P331" i="59" s="1"/>
  <c r="P352" i="59" s="1"/>
  <c r="P38" i="60" s="1"/>
  <c r="M413" i="59"/>
  <c r="M48" i="60" s="1"/>
  <c r="AG413" i="59"/>
  <c r="AG48" i="60" s="1"/>
  <c r="AF413" i="59"/>
  <c r="AF48" i="60" s="1"/>
  <c r="X310" i="59"/>
  <c r="X331" i="59" s="1"/>
  <c r="X352" i="59" s="1"/>
  <c r="X38" i="60" s="1"/>
  <c r="K310" i="59"/>
  <c r="K331" i="59" s="1"/>
  <c r="K352" i="59" s="1"/>
  <c r="K38" i="60" s="1"/>
  <c r="O310" i="59"/>
  <c r="O331" i="59" s="1"/>
  <c r="O352" i="59" s="1"/>
  <c r="O38" i="60" s="1"/>
  <c r="AJ310" i="59"/>
  <c r="AJ331" i="59" s="1"/>
  <c r="AJ352" i="59" s="1"/>
  <c r="AJ38" i="60" s="1"/>
  <c r="H310" i="59"/>
  <c r="H331" i="59" s="1"/>
  <c r="H352" i="59" s="1"/>
  <c r="H38" i="60" s="1"/>
  <c r="I310" i="59"/>
  <c r="I331" i="59" s="1"/>
  <c r="I352" i="59" s="1"/>
  <c r="I38" i="60" s="1"/>
  <c r="N310" i="59"/>
  <c r="N331" i="59" s="1"/>
  <c r="N352" i="59" s="1"/>
  <c r="N38" i="60" s="1"/>
  <c r="F1007" i="59"/>
  <c r="R413" i="59"/>
  <c r="R48" i="60" s="1"/>
  <c r="AB413" i="59"/>
  <c r="AB48" i="60" s="1"/>
  <c r="AE413" i="59"/>
  <c r="AE48" i="60" s="1"/>
  <c r="N1035" i="59"/>
  <c r="N1040" i="59" s="1"/>
  <c r="Q413" i="59"/>
  <c r="Q48" i="60" s="1"/>
  <c r="V310" i="59"/>
  <c r="V331" i="59" s="1"/>
  <c r="V352" i="59" s="1"/>
  <c r="V38" i="60" s="1"/>
  <c r="AB310" i="59"/>
  <c r="AB331" i="59" s="1"/>
  <c r="AB352" i="59" s="1"/>
  <c r="AB38" i="60" s="1"/>
  <c r="AF310" i="59"/>
  <c r="AF331" i="59" s="1"/>
  <c r="AF352" i="59" s="1"/>
  <c r="AF38" i="60" s="1"/>
  <c r="W310" i="59"/>
  <c r="W331" i="59" s="1"/>
  <c r="W352" i="59" s="1"/>
  <c r="W38" i="60" s="1"/>
  <c r="J310" i="59"/>
  <c r="J331" i="59" s="1"/>
  <c r="J352" i="59" s="1"/>
  <c r="J38" i="60" s="1"/>
  <c r="R310" i="59"/>
  <c r="R331" i="59" s="1"/>
  <c r="R352" i="59" s="1"/>
  <c r="R38" i="60" s="1"/>
  <c r="Q310" i="59"/>
  <c r="Q331" i="59" s="1"/>
  <c r="Q352" i="59" s="1"/>
  <c r="Q38" i="60" s="1"/>
  <c r="F1005" i="59"/>
  <c r="F1011" i="59"/>
  <c r="Z413" i="59"/>
  <c r="Z48" i="60" s="1"/>
  <c r="P413" i="59"/>
  <c r="P48" i="60" s="1"/>
  <c r="Y413" i="59"/>
  <c r="Y48" i="60" s="1"/>
  <c r="AH413" i="59"/>
  <c r="AH48" i="60" s="1"/>
  <c r="R1035" i="59"/>
  <c r="R1040" i="59" s="1"/>
  <c r="AC412" i="59"/>
  <c r="AC47" i="60" s="1"/>
  <c r="AC47" i="73" s="1"/>
  <c r="Y412" i="59"/>
  <c r="Y47" i="60" s="1"/>
  <c r="Y47" i="73" s="1"/>
  <c r="Z412" i="59"/>
  <c r="F408" i="59"/>
  <c r="AB1035" i="59"/>
  <c r="AB1040" i="59" s="1"/>
  <c r="AE412" i="59"/>
  <c r="AE47" i="60" s="1"/>
  <c r="AD412" i="59"/>
  <c r="AD47" i="60" s="1"/>
  <c r="AD47" i="73" s="1"/>
  <c r="V412" i="59"/>
  <c r="V47" i="60" s="1"/>
  <c r="V47" i="73" s="1"/>
  <c r="W1035" i="59"/>
  <c r="W1040" i="59" s="1"/>
  <c r="Q1035" i="59"/>
  <c r="Q1040" i="59" s="1"/>
  <c r="Q412" i="59"/>
  <c r="Q47" i="60" s="1"/>
  <c r="Q47" i="73" s="1"/>
  <c r="W412" i="59"/>
  <c r="W47" i="60" s="1"/>
  <c r="W47" i="73" s="1"/>
  <c r="F410" i="59"/>
  <c r="AB412" i="59"/>
  <c r="AB47" i="60" s="1"/>
  <c r="AB47" i="73" s="1"/>
  <c r="J412" i="59"/>
  <c r="J47" i="60" s="1"/>
  <c r="R412" i="59"/>
  <c r="R47" i="60" s="1"/>
  <c r="R47" i="73" s="1"/>
  <c r="AF1035" i="59"/>
  <c r="AF1040" i="59" s="1"/>
  <c r="AF412" i="59"/>
  <c r="AF47" i="60" s="1"/>
  <c r="F401" i="59"/>
  <c r="U412" i="59"/>
  <c r="U47" i="60" s="1"/>
  <c r="U47" i="73" s="1"/>
  <c r="AI412" i="59"/>
  <c r="AI47" i="60" s="1"/>
  <c r="H1016" i="59"/>
  <c r="H1023" i="59" s="1"/>
  <c r="F404" i="59"/>
  <c r="H412" i="59"/>
  <c r="H47" i="60" s="1"/>
  <c r="H47" i="73" s="1"/>
  <c r="H413" i="59"/>
  <c r="H48" i="60" s="1"/>
  <c r="F402" i="59"/>
  <c r="H1035" i="59"/>
  <c r="H1040" i="59" s="1"/>
  <c r="AJ1035" i="59"/>
  <c r="AJ1040" i="59" s="1"/>
  <c r="O412" i="59"/>
  <c r="O47" i="60" s="1"/>
  <c r="O47" i="73" s="1"/>
  <c r="K412" i="59"/>
  <c r="K47" i="60" s="1"/>
  <c r="K47" i="73" s="1"/>
  <c r="N412" i="59"/>
  <c r="N47" i="60" s="1"/>
  <c r="N47" i="73" s="1"/>
  <c r="AJ412" i="59"/>
  <c r="AJ47" i="60" s="1"/>
  <c r="AJ47" i="73" s="1"/>
  <c r="X412" i="59"/>
  <c r="X47" i="60" s="1"/>
  <c r="X47" i="73" s="1"/>
  <c r="O1035" i="59"/>
  <c r="O1040" i="59" s="1"/>
  <c r="I412" i="59"/>
  <c r="I47" i="60" s="1"/>
  <c r="X1035" i="59"/>
  <c r="X1040" i="59" s="1"/>
  <c r="G413" i="59"/>
  <c r="G48" i="60" s="1"/>
  <c r="AA412" i="59"/>
  <c r="AA47" i="60" s="1"/>
  <c r="AA47" i="73" s="1"/>
  <c r="F409" i="59"/>
  <c r="F1006" i="59"/>
  <c r="AG412" i="59"/>
  <c r="S412" i="59"/>
  <c r="S47" i="60" s="1"/>
  <c r="S47" i="73" s="1"/>
  <c r="T412" i="59"/>
  <c r="T47" i="60" s="1"/>
  <c r="P412" i="59"/>
  <c r="P47" i="60" s="1"/>
  <c r="P47" i="73" s="1"/>
  <c r="AH412" i="59"/>
  <c r="AH47" i="60" s="1"/>
  <c r="P1035" i="59"/>
  <c r="P1040" i="59" s="1"/>
  <c r="G437" i="59"/>
  <c r="E796" i="59" a="1"/>
  <c r="E826" i="59" s="1"/>
  <c r="F826" i="59" s="1"/>
  <c r="L903" i="59"/>
  <c r="F783" i="59"/>
  <c r="F435" i="59"/>
  <c r="F403" i="59"/>
  <c r="G1016" i="59"/>
  <c r="G1023" i="59" s="1"/>
  <c r="H35" i="46"/>
  <c r="I22" i="46"/>
  <c r="I23" i="46" s="1"/>
  <c r="H4" i="46"/>
  <c r="S903" i="59"/>
  <c r="S437" i="59"/>
  <c r="G672" i="59"/>
  <c r="E685" i="59" s="1" a="1"/>
  <c r="AG903" i="59"/>
  <c r="J903" i="59"/>
  <c r="AJ903" i="59"/>
  <c r="AM437" i="59"/>
  <c r="K903" i="59"/>
  <c r="AE903" i="59"/>
  <c r="G28" i="46"/>
  <c r="M903" i="59"/>
  <c r="AM903" i="59"/>
  <c r="AK203" i="59"/>
  <c r="AK205" i="59" s="1"/>
  <c r="AK230" i="59" s="1"/>
  <c r="AG437" i="59"/>
  <c r="AE437" i="59"/>
  <c r="AK30" i="68"/>
  <c r="Y903" i="59"/>
  <c r="AK903" i="59"/>
  <c r="AF903" i="59"/>
  <c r="X903" i="59"/>
  <c r="Q903" i="59"/>
  <c r="AB903" i="59"/>
  <c r="T903" i="59"/>
  <c r="AI437" i="59"/>
  <c r="AI903" i="59"/>
  <c r="AC903" i="59"/>
  <c r="P903" i="59"/>
  <c r="AN903" i="59"/>
  <c r="H903" i="59"/>
  <c r="I903" i="59"/>
  <c r="AN437" i="59"/>
  <c r="L437" i="59"/>
  <c r="W903" i="59"/>
  <c r="W437" i="59"/>
  <c r="AA437" i="59"/>
  <c r="AB437" i="59"/>
  <c r="H437" i="59"/>
  <c r="AL437" i="59"/>
  <c r="AL903" i="59"/>
  <c r="AA903" i="59"/>
  <c r="K437" i="59"/>
  <c r="O437" i="59"/>
  <c r="O903" i="59"/>
  <c r="AJ437" i="59"/>
  <c r="U903" i="59"/>
  <c r="Y437" i="59"/>
  <c r="X437" i="59"/>
  <c r="T437" i="59"/>
  <c r="I437" i="59"/>
  <c r="AN976" i="59"/>
  <c r="AN986" i="59" s="1"/>
  <c r="U437" i="59"/>
  <c r="E580" i="59"/>
  <c r="F580" i="59" s="1"/>
  <c r="Q437" i="59"/>
  <c r="AH903" i="59"/>
  <c r="M437" i="59"/>
  <c r="AC437" i="59"/>
  <c r="Z903" i="59"/>
  <c r="Z437" i="59"/>
  <c r="AH437" i="59"/>
  <c r="R437" i="59"/>
  <c r="P437" i="59"/>
  <c r="R903" i="59"/>
  <c r="E577" i="59"/>
  <c r="F577" i="59" s="1"/>
  <c r="AK146" i="60"/>
  <c r="AK153" i="60"/>
  <c r="V437" i="59"/>
  <c r="E746" i="59"/>
  <c r="V903" i="59"/>
  <c r="AK437" i="59"/>
  <c r="N437" i="59"/>
  <c r="N903" i="59"/>
  <c r="G24" i="46"/>
  <c r="G26" i="46" s="1"/>
  <c r="AD903" i="59"/>
  <c r="AF437" i="59"/>
  <c r="F436" i="59"/>
  <c r="F433" i="59"/>
  <c r="E747" i="59"/>
  <c r="E740" i="59"/>
  <c r="E765" i="59"/>
  <c r="J437" i="59"/>
  <c r="E772" i="59"/>
  <c r="E753" i="59"/>
  <c r="E744" i="59"/>
  <c r="E754" i="59"/>
  <c r="E588" i="59"/>
  <c r="F588" i="59" s="1"/>
  <c r="E575" i="59"/>
  <c r="F575" i="59" s="1"/>
  <c r="E749" i="59"/>
  <c r="E763" i="59"/>
  <c r="E600" i="59"/>
  <c r="F600" i="59" s="1"/>
  <c r="G5" i="46"/>
  <c r="E745" i="59"/>
  <c r="E759" i="59"/>
  <c r="E589" i="59"/>
  <c r="F589" i="59" s="1"/>
  <c r="E764" i="59"/>
  <c r="E743" i="59"/>
  <c r="E598" i="59"/>
  <c r="F598" i="59" s="1"/>
  <c r="E773" i="59"/>
  <c r="E756" i="59"/>
  <c r="E766" i="59"/>
  <c r="E582" i="59"/>
  <c r="F582" i="59" s="1"/>
  <c r="E769" i="59"/>
  <c r="E752" i="59"/>
  <c r="E762" i="59"/>
  <c r="E595" i="59"/>
  <c r="F595" i="59" s="1"/>
  <c r="F1003" i="59"/>
  <c r="E767" i="59"/>
  <c r="E758" i="59"/>
  <c r="E602" i="59"/>
  <c r="F602" i="59" s="1"/>
  <c r="E757" i="59"/>
  <c r="E760" i="59"/>
  <c r="E755" i="59"/>
  <c r="E742" i="59"/>
  <c r="E596" i="59"/>
  <c r="F596" i="59" s="1"/>
  <c r="E603" i="59"/>
  <c r="F603" i="59" s="1"/>
  <c r="E591" i="59"/>
  <c r="F591" i="59" s="1"/>
  <c r="E601" i="59"/>
  <c r="F601" i="59" s="1"/>
  <c r="E590" i="59"/>
  <c r="F590" i="59" s="1"/>
  <c r="E587" i="59"/>
  <c r="F587" i="59" s="1"/>
  <c r="E597" i="59"/>
  <c r="F597" i="59" s="1"/>
  <c r="E586" i="59"/>
  <c r="F586" i="59" s="1"/>
  <c r="E583" i="59"/>
  <c r="F583" i="59" s="1"/>
  <c r="E572" i="59"/>
  <c r="F572" i="59" s="1"/>
  <c r="E585" i="59"/>
  <c r="F585" i="59" s="1"/>
  <c r="E578" i="59"/>
  <c r="F578" i="59" s="1"/>
  <c r="E571" i="59"/>
  <c r="F571" i="59" s="1"/>
  <c r="E576" i="59"/>
  <c r="F576" i="59" s="1"/>
  <c r="E581" i="59"/>
  <c r="F581" i="59" s="1"/>
  <c r="E604" i="59"/>
  <c r="F604" i="59" s="1"/>
  <c r="E761" i="59"/>
  <c r="E748" i="59"/>
  <c r="E751" i="59"/>
  <c r="E750" i="59"/>
  <c r="E584" i="59"/>
  <c r="F584" i="59" s="1"/>
  <c r="E573" i="59"/>
  <c r="F573" i="59" s="1"/>
  <c r="E574" i="59"/>
  <c r="F574" i="59" s="1"/>
  <c r="E579" i="59"/>
  <c r="F579" i="59" s="1"/>
  <c r="AD437" i="59"/>
  <c r="E741" i="59"/>
  <c r="E768" i="59"/>
  <c r="E771" i="59"/>
  <c r="E592" i="59"/>
  <c r="F592" i="59" s="1"/>
  <c r="E593" i="59"/>
  <c r="F593" i="59" s="1"/>
  <c r="E594" i="59"/>
  <c r="F594" i="59" s="1"/>
  <c r="G49" i="46"/>
  <c r="AL47" i="73"/>
  <c r="AL49" i="60"/>
  <c r="AL122" i="60" s="1"/>
  <c r="AL146" i="60"/>
  <c r="AL153" i="60"/>
  <c r="AM46" i="63"/>
  <c r="AM203" i="59"/>
  <c r="AM205" i="59" s="1"/>
  <c r="AM230" i="59" s="1"/>
  <c r="I51" i="63"/>
  <c r="I113" i="63"/>
  <c r="I115" i="63" s="1"/>
  <c r="I7" i="59"/>
  <c r="I239" i="59"/>
  <c r="I241" i="59" s="1"/>
  <c r="I912" i="59"/>
  <c r="I8" i="60"/>
  <c r="G3" i="80" s="1"/>
  <c r="AL46" i="63"/>
  <c r="AL203" i="59"/>
  <c r="AL205" i="59" s="1"/>
  <c r="AL230" i="59" s="1"/>
  <c r="E515" i="59"/>
  <c r="E519" i="59"/>
  <c r="E524" i="59"/>
  <c r="E529" i="59"/>
  <c r="E534" i="59"/>
  <c r="E539" i="59"/>
  <c r="E544" i="59"/>
  <c r="E518" i="59"/>
  <c r="E523" i="59"/>
  <c r="E528" i="59"/>
  <c r="E533" i="59"/>
  <c r="E538" i="59"/>
  <c r="E543" i="59"/>
  <c r="E547" i="59"/>
  <c r="E548" i="59"/>
  <c r="E517" i="59"/>
  <c r="E522" i="59"/>
  <c r="E527" i="59"/>
  <c r="E532" i="59"/>
  <c r="E537" i="59"/>
  <c r="E542" i="59"/>
  <c r="E546" i="59"/>
  <c r="E530" i="59"/>
  <c r="E531" i="59"/>
  <c r="E525" i="59"/>
  <c r="E526" i="59"/>
  <c r="E516" i="59"/>
  <c r="E520" i="59"/>
  <c r="E521" i="59"/>
  <c r="E545" i="59"/>
  <c r="E535" i="59"/>
  <c r="E536" i="59"/>
  <c r="E540" i="59"/>
  <c r="E541" i="59"/>
  <c r="AM47" i="73"/>
  <c r="AM49" i="60"/>
  <c r="AM122" i="60" s="1"/>
  <c r="K14" i="46"/>
  <c r="J15" i="46"/>
  <c r="J17" i="46"/>
  <c r="J123" i="59"/>
  <c r="J124" i="59" s="1"/>
  <c r="J455" i="59"/>
  <c r="J178" i="59"/>
  <c r="J179" i="59" s="1"/>
  <c r="J621" i="59"/>
  <c r="J680" i="59"/>
  <c r="J735" i="59"/>
  <c r="J566" i="59"/>
  <c r="J791" i="59"/>
  <c r="J846" i="59"/>
  <c r="J510" i="59"/>
  <c r="E460" i="59" a="1"/>
  <c r="F447" i="59"/>
  <c r="AN46" i="63"/>
  <c r="AN203" i="59"/>
  <c r="AN205" i="59" s="1"/>
  <c r="AN230" i="59" s="1"/>
  <c r="D101" i="63"/>
  <c r="E851" i="59" a="1"/>
  <c r="F838" i="59"/>
  <c r="H36" i="46"/>
  <c r="H49" i="46" s="1"/>
  <c r="H24" i="46"/>
  <c r="H26" i="46" s="1"/>
  <c r="H28" i="46"/>
  <c r="H5" i="46"/>
  <c r="AM146" i="60"/>
  <c r="AM153" i="60"/>
  <c r="G50" i="46" l="1"/>
  <c r="G132" i="59" s="1"/>
  <c r="G167" i="59" s="1"/>
  <c r="W146" i="60"/>
  <c r="T146" i="60"/>
  <c r="T49" i="60"/>
  <c r="AE153" i="60"/>
  <c r="AE146" i="60"/>
  <c r="Y146" i="60"/>
  <c r="Y153" i="60"/>
  <c r="J146" i="60"/>
  <c r="U153" i="60"/>
  <c r="X146" i="60"/>
  <c r="O146" i="60"/>
  <c r="AF153" i="60"/>
  <c r="AC146" i="60"/>
  <c r="Z153" i="60"/>
  <c r="AH49" i="60"/>
  <c r="P146" i="60"/>
  <c r="AB146" i="60"/>
  <c r="AC153" i="60"/>
  <c r="AA146" i="60"/>
  <c r="AD146" i="60"/>
  <c r="Z146" i="60"/>
  <c r="T153" i="60"/>
  <c r="I153" i="60"/>
  <c r="V153" i="60"/>
  <c r="AA153" i="60"/>
  <c r="S146" i="60"/>
  <c r="AI146" i="60"/>
  <c r="AG153" i="60"/>
  <c r="AD153" i="60"/>
  <c r="AH153" i="60"/>
  <c r="AI153" i="60"/>
  <c r="U146" i="60"/>
  <c r="AG146" i="60"/>
  <c r="I146" i="60"/>
  <c r="AH146" i="60"/>
  <c r="V146" i="60"/>
  <c r="AG414" i="59"/>
  <c r="AG46" i="63" s="1"/>
  <c r="N153" i="60"/>
  <c r="S153" i="60"/>
  <c r="J153" i="60"/>
  <c r="R153" i="60"/>
  <c r="K146" i="60"/>
  <c r="N146" i="60"/>
  <c r="AE49" i="60"/>
  <c r="AI49" i="60"/>
  <c r="R146" i="60"/>
  <c r="AJ153" i="60"/>
  <c r="AC414" i="59"/>
  <c r="AC46" i="63" s="1"/>
  <c r="J49" i="60"/>
  <c r="K153" i="60"/>
  <c r="Z414" i="59"/>
  <c r="Z203" i="59" s="1"/>
  <c r="Z205" i="59" s="1"/>
  <c r="Z230" i="59" s="1"/>
  <c r="AF49" i="60"/>
  <c r="Q153" i="60"/>
  <c r="Y49" i="60"/>
  <c r="G365" i="59"/>
  <c r="G373" i="59" s="1"/>
  <c r="G381" i="59" s="1"/>
  <c r="AC49" i="60"/>
  <c r="H4" i="63"/>
  <c r="Z47" i="60"/>
  <c r="Z47" i="73" s="1"/>
  <c r="G5" i="63"/>
  <c r="G13" i="63" s="1"/>
  <c r="Y414" i="59"/>
  <c r="Y46" i="63" s="1"/>
  <c r="Q146" i="60"/>
  <c r="AD49" i="60"/>
  <c r="AE47" i="73"/>
  <c r="AE414" i="59"/>
  <c r="AE46" i="63" s="1"/>
  <c r="AB153" i="60"/>
  <c r="AD414" i="59"/>
  <c r="AD46" i="63" s="1"/>
  <c r="V49" i="60"/>
  <c r="W153" i="60"/>
  <c r="W49" i="60"/>
  <c r="V414" i="59"/>
  <c r="V203" i="59" s="1"/>
  <c r="V205" i="59" s="1"/>
  <c r="V230" i="59" s="1"/>
  <c r="Q414" i="59"/>
  <c r="Q46" i="63" s="1"/>
  <c r="AB414" i="59"/>
  <c r="AB46" i="63" s="1"/>
  <c r="Q49" i="60"/>
  <c r="W414" i="59"/>
  <c r="W203" i="59" s="1"/>
  <c r="W205" i="59" s="1"/>
  <c r="W230" i="59" s="1"/>
  <c r="AB49" i="60"/>
  <c r="AF47" i="73"/>
  <c r="J47" i="73"/>
  <c r="R414" i="59"/>
  <c r="R46" i="63" s="1"/>
  <c r="R49" i="60"/>
  <c r="J414" i="59"/>
  <c r="J46" i="63" s="1"/>
  <c r="AI414" i="59"/>
  <c r="AI46" i="63" s="1"/>
  <c r="U49" i="60"/>
  <c r="AI47" i="73"/>
  <c r="U414" i="59"/>
  <c r="U46" i="63" s="1"/>
  <c r="AF414" i="59"/>
  <c r="AF46" i="63" s="1"/>
  <c r="AF146" i="60"/>
  <c r="H153" i="60"/>
  <c r="H49" i="60"/>
  <c r="AJ146" i="60"/>
  <c r="X153" i="60"/>
  <c r="H146" i="60"/>
  <c r="F48" i="60"/>
  <c r="H414" i="59"/>
  <c r="H46" i="63" s="1"/>
  <c r="O49" i="60"/>
  <c r="O414" i="59"/>
  <c r="O46" i="63" s="1"/>
  <c r="K49" i="60"/>
  <c r="N414" i="59"/>
  <c r="N46" i="63" s="1"/>
  <c r="N49" i="60"/>
  <c r="AJ414" i="59"/>
  <c r="AJ203" i="59" s="1"/>
  <c r="AJ205" i="59" s="1"/>
  <c r="AJ230" i="59" s="1"/>
  <c r="AG47" i="60"/>
  <c r="AG49" i="60" s="1"/>
  <c r="AJ49" i="60"/>
  <c r="K414" i="59"/>
  <c r="K46" i="63" s="1"/>
  <c r="O153" i="60"/>
  <c r="X414" i="59"/>
  <c r="X46" i="63" s="1"/>
  <c r="X49" i="60"/>
  <c r="T47" i="73"/>
  <c r="F413" i="59"/>
  <c r="I414" i="59"/>
  <c r="I203" i="59" s="1"/>
  <c r="I205" i="59" s="1"/>
  <c r="I230" i="59" s="1"/>
  <c r="P49" i="60"/>
  <c r="T414" i="59"/>
  <c r="T203" i="59" s="1"/>
  <c r="T205" i="59" s="1"/>
  <c r="T230" i="59" s="1"/>
  <c r="P414" i="59"/>
  <c r="P46" i="63" s="1"/>
  <c r="AA414" i="59"/>
  <c r="AA203" i="59" s="1"/>
  <c r="AA205" i="59" s="1"/>
  <c r="AA230" i="59" s="1"/>
  <c r="AA49" i="60"/>
  <c r="AH47" i="73"/>
  <c r="P153" i="60"/>
  <c r="S49" i="60"/>
  <c r="S414" i="59"/>
  <c r="S203" i="59" s="1"/>
  <c r="S205" i="59" s="1"/>
  <c r="S230" i="59" s="1"/>
  <c r="AH414" i="59"/>
  <c r="AH46" i="63" s="1"/>
  <c r="E804" i="59"/>
  <c r="F804" i="59" s="1"/>
  <c r="E808" i="59"/>
  <c r="F808" i="59" s="1"/>
  <c r="E823" i="59"/>
  <c r="F823" i="59" s="1"/>
  <c r="E822" i="59"/>
  <c r="F822" i="59" s="1"/>
  <c r="E825" i="59"/>
  <c r="F825" i="59" s="1"/>
  <c r="E829" i="59"/>
  <c r="F829" i="59" s="1"/>
  <c r="E815" i="59"/>
  <c r="F815" i="59" s="1"/>
  <c r="E814" i="59"/>
  <c r="F814" i="59" s="1"/>
  <c r="E800" i="59"/>
  <c r="F800" i="59" s="1"/>
  <c r="E818" i="59"/>
  <c r="F818" i="59" s="1"/>
  <c r="E811" i="59"/>
  <c r="F811" i="59" s="1"/>
  <c r="E819" i="59"/>
  <c r="F819" i="59" s="1"/>
  <c r="E809" i="59"/>
  <c r="F809" i="59" s="1"/>
  <c r="E813" i="59"/>
  <c r="F813" i="59" s="1"/>
  <c r="E807" i="59"/>
  <c r="F807" i="59" s="1"/>
  <c r="E806" i="59"/>
  <c r="F806" i="59" s="1"/>
  <c r="E828" i="59"/>
  <c r="F828" i="59" s="1"/>
  <c r="E801" i="59"/>
  <c r="F801" i="59" s="1"/>
  <c r="E805" i="59"/>
  <c r="F805" i="59" s="1"/>
  <c r="E803" i="59"/>
  <c r="F803" i="59" s="1"/>
  <c r="E802" i="59"/>
  <c r="F802" i="59" s="1"/>
  <c r="E821" i="59"/>
  <c r="F821" i="59" s="1"/>
  <c r="E820" i="59"/>
  <c r="F820" i="59" s="1"/>
  <c r="E824" i="59"/>
  <c r="F824" i="59" s="1"/>
  <c r="E797" i="59"/>
  <c r="F797" i="59" s="1"/>
  <c r="E799" i="59"/>
  <c r="F799" i="59" s="1"/>
  <c r="E798" i="59"/>
  <c r="F798" i="59" s="1"/>
  <c r="E796" i="59"/>
  <c r="F796" i="59" s="1"/>
  <c r="E817" i="59"/>
  <c r="F817" i="59" s="1"/>
  <c r="E810" i="59"/>
  <c r="F810" i="59" s="1"/>
  <c r="E812" i="59"/>
  <c r="F812" i="59" s="1"/>
  <c r="E816" i="59"/>
  <c r="F816" i="59" s="1"/>
  <c r="E827" i="59"/>
  <c r="F827" i="59" s="1"/>
  <c r="H73" i="59"/>
  <c r="H57" i="59"/>
  <c r="G95" i="59"/>
  <c r="G73" i="59"/>
  <c r="G57" i="59"/>
  <c r="F1016" i="59"/>
  <c r="H4" i="73"/>
  <c r="I4" i="46"/>
  <c r="H5" i="60"/>
  <c r="H4" i="59"/>
  <c r="H4" i="68"/>
  <c r="I35" i="46"/>
  <c r="J22" i="46"/>
  <c r="J35" i="46" s="1"/>
  <c r="F672" i="59"/>
  <c r="G903" i="59"/>
  <c r="F903" i="59" s="1"/>
  <c r="G107" i="59"/>
  <c r="G299" i="59"/>
  <c r="I49" i="60"/>
  <c r="I47" i="73"/>
  <c r="F437" i="59"/>
  <c r="G5" i="68"/>
  <c r="G24" i="68" s="1"/>
  <c r="G5" i="73"/>
  <c r="G13" i="73" s="1"/>
  <c r="G6" i="60"/>
  <c r="G7" i="60" s="1"/>
  <c r="G5" i="59"/>
  <c r="G14" i="59" s="1"/>
  <c r="G78" i="46"/>
  <c r="G70" i="46"/>
  <c r="G58" i="46"/>
  <c r="G102" i="63"/>
  <c r="G103" i="63" s="1"/>
  <c r="G198" i="63" s="1"/>
  <c r="G233" i="63"/>
  <c r="G232" i="63" s="1"/>
  <c r="G214" i="63"/>
  <c r="G248" i="63"/>
  <c r="G180" i="63"/>
  <c r="G89" i="63"/>
  <c r="G90" i="63" s="1"/>
  <c r="G130" i="63"/>
  <c r="G129" i="63" s="1"/>
  <c r="G165" i="63"/>
  <c r="G164" i="63" s="1"/>
  <c r="G199" i="63"/>
  <c r="G145" i="63"/>
  <c r="H107" i="59"/>
  <c r="H108" i="59" s="1"/>
  <c r="H95" i="59"/>
  <c r="H96" i="59" s="1"/>
  <c r="H299" i="59"/>
  <c r="E687" i="59"/>
  <c r="F687" i="59" s="1"/>
  <c r="E691" i="59"/>
  <c r="F691" i="59" s="1"/>
  <c r="E695" i="59"/>
  <c r="F695" i="59" s="1"/>
  <c r="E699" i="59"/>
  <c r="F699" i="59" s="1"/>
  <c r="E703" i="59"/>
  <c r="F703" i="59" s="1"/>
  <c r="E707" i="59"/>
  <c r="F707" i="59" s="1"/>
  <c r="E711" i="59"/>
  <c r="F711" i="59" s="1"/>
  <c r="E715" i="59"/>
  <c r="F715" i="59" s="1"/>
  <c r="E688" i="59"/>
  <c r="F688" i="59" s="1"/>
  <c r="E692" i="59"/>
  <c r="F692" i="59" s="1"/>
  <c r="E696" i="59"/>
  <c r="F696" i="59" s="1"/>
  <c r="E700" i="59"/>
  <c r="F700" i="59" s="1"/>
  <c r="E704" i="59"/>
  <c r="F704" i="59" s="1"/>
  <c r="E708" i="59"/>
  <c r="F708" i="59" s="1"/>
  <c r="E712" i="59"/>
  <c r="F712" i="59" s="1"/>
  <c r="E716" i="59"/>
  <c r="F716" i="59" s="1"/>
  <c r="E685" i="59"/>
  <c r="F685" i="59" s="1"/>
  <c r="E689" i="59"/>
  <c r="F689" i="59" s="1"/>
  <c r="E693" i="59"/>
  <c r="F693" i="59" s="1"/>
  <c r="E697" i="59"/>
  <c r="F697" i="59" s="1"/>
  <c r="E701" i="59"/>
  <c r="F701" i="59" s="1"/>
  <c r="E705" i="59"/>
  <c r="F705" i="59" s="1"/>
  <c r="E709" i="59"/>
  <c r="F709" i="59" s="1"/>
  <c r="E713" i="59"/>
  <c r="F713" i="59" s="1"/>
  <c r="E717" i="59"/>
  <c r="F717" i="59" s="1"/>
  <c r="E694" i="59"/>
  <c r="F694" i="59" s="1"/>
  <c r="E710" i="59"/>
  <c r="F710" i="59" s="1"/>
  <c r="E698" i="59"/>
  <c r="F698" i="59" s="1"/>
  <c r="E714" i="59"/>
  <c r="F714" i="59" s="1"/>
  <c r="E686" i="59"/>
  <c r="F686" i="59" s="1"/>
  <c r="E702" i="59"/>
  <c r="F702" i="59" s="1"/>
  <c r="E718" i="59"/>
  <c r="F718" i="59" s="1"/>
  <c r="E690" i="59"/>
  <c r="F690" i="59" s="1"/>
  <c r="E706" i="59"/>
  <c r="F706" i="59" s="1"/>
  <c r="E853" i="59"/>
  <c r="F853" i="59" s="1"/>
  <c r="E857" i="59"/>
  <c r="F857" i="59" s="1"/>
  <c r="E861" i="59"/>
  <c r="F861" i="59" s="1"/>
  <c r="E865" i="59"/>
  <c r="F865" i="59" s="1"/>
  <c r="E869" i="59"/>
  <c r="F869" i="59" s="1"/>
  <c r="E873" i="59"/>
  <c r="F873" i="59" s="1"/>
  <c r="E877" i="59"/>
  <c r="F877" i="59" s="1"/>
  <c r="E881" i="59"/>
  <c r="F881" i="59" s="1"/>
  <c r="E854" i="59"/>
  <c r="F854" i="59" s="1"/>
  <c r="E858" i="59"/>
  <c r="F858" i="59" s="1"/>
  <c r="E862" i="59"/>
  <c r="F862" i="59" s="1"/>
  <c r="E866" i="59"/>
  <c r="F866" i="59" s="1"/>
  <c r="E870" i="59"/>
  <c r="F870" i="59" s="1"/>
  <c r="E874" i="59"/>
  <c r="F874" i="59" s="1"/>
  <c r="E878" i="59"/>
  <c r="F878" i="59" s="1"/>
  <c r="E882" i="59"/>
  <c r="F882" i="59" s="1"/>
  <c r="E852" i="59"/>
  <c r="F852" i="59" s="1"/>
  <c r="E860" i="59"/>
  <c r="F860" i="59" s="1"/>
  <c r="E868" i="59"/>
  <c r="F868" i="59" s="1"/>
  <c r="E876" i="59"/>
  <c r="F876" i="59" s="1"/>
  <c r="E884" i="59"/>
  <c r="F884" i="59" s="1"/>
  <c r="E855" i="59"/>
  <c r="F855" i="59" s="1"/>
  <c r="E863" i="59"/>
  <c r="F863" i="59" s="1"/>
  <c r="E871" i="59"/>
  <c r="F871" i="59" s="1"/>
  <c r="E879" i="59"/>
  <c r="F879" i="59" s="1"/>
  <c r="E856" i="59"/>
  <c r="F856" i="59" s="1"/>
  <c r="E864" i="59"/>
  <c r="F864" i="59" s="1"/>
  <c r="E872" i="59"/>
  <c r="F872" i="59" s="1"/>
  <c r="E880" i="59"/>
  <c r="F880" i="59" s="1"/>
  <c r="E851" i="59"/>
  <c r="F851" i="59" s="1"/>
  <c r="E859" i="59"/>
  <c r="F859" i="59" s="1"/>
  <c r="E867" i="59"/>
  <c r="F867" i="59" s="1"/>
  <c r="E875" i="59"/>
  <c r="F875" i="59" s="1"/>
  <c r="E883" i="59"/>
  <c r="F883" i="59" s="1"/>
  <c r="E461" i="59"/>
  <c r="F461" i="59" s="1"/>
  <c r="E465" i="59"/>
  <c r="F465" i="59" s="1"/>
  <c r="E469" i="59"/>
  <c r="F469" i="59" s="1"/>
  <c r="E473" i="59"/>
  <c r="F473" i="59" s="1"/>
  <c r="E477" i="59"/>
  <c r="F477" i="59" s="1"/>
  <c r="E481" i="59"/>
  <c r="F481" i="59" s="1"/>
  <c r="E485" i="59"/>
  <c r="F485" i="59" s="1"/>
  <c r="E489" i="59"/>
  <c r="F489" i="59" s="1"/>
  <c r="E460" i="59"/>
  <c r="F460" i="59" s="1"/>
  <c r="E464" i="59"/>
  <c r="F464" i="59" s="1"/>
  <c r="E468" i="59"/>
  <c r="F468" i="59" s="1"/>
  <c r="E472" i="59"/>
  <c r="F472" i="59" s="1"/>
  <c r="E476" i="59"/>
  <c r="F476" i="59" s="1"/>
  <c r="E480" i="59"/>
  <c r="F480" i="59" s="1"/>
  <c r="E484" i="59"/>
  <c r="F484" i="59" s="1"/>
  <c r="E488" i="59"/>
  <c r="F488" i="59" s="1"/>
  <c r="E492" i="59"/>
  <c r="F492" i="59" s="1"/>
  <c r="E493" i="59"/>
  <c r="F493" i="59" s="1"/>
  <c r="E463" i="59"/>
  <c r="F463" i="59" s="1"/>
  <c r="E467" i="59"/>
  <c r="F467" i="59" s="1"/>
  <c r="E471" i="59"/>
  <c r="F471" i="59" s="1"/>
  <c r="E475" i="59"/>
  <c r="F475" i="59" s="1"/>
  <c r="E479" i="59"/>
  <c r="F479" i="59" s="1"/>
  <c r="E483" i="59"/>
  <c r="F483" i="59" s="1"/>
  <c r="E487" i="59"/>
  <c r="F487" i="59" s="1"/>
  <c r="E491" i="59"/>
  <c r="F491" i="59" s="1"/>
  <c r="E470" i="59"/>
  <c r="F470" i="59" s="1"/>
  <c r="E486" i="59"/>
  <c r="F486" i="59" s="1"/>
  <c r="E466" i="59"/>
  <c r="F466" i="59" s="1"/>
  <c r="E482" i="59"/>
  <c r="F482" i="59" s="1"/>
  <c r="E462" i="59"/>
  <c r="F462" i="59" s="1"/>
  <c r="E478" i="59"/>
  <c r="F478" i="59" s="1"/>
  <c r="E474" i="59"/>
  <c r="F474" i="59" s="1"/>
  <c r="E490" i="59"/>
  <c r="F490" i="59" s="1"/>
  <c r="H37" i="46"/>
  <c r="G14" i="73"/>
  <c r="G14" i="63"/>
  <c r="G15" i="59"/>
  <c r="H365" i="59"/>
  <c r="H373" i="59" s="1"/>
  <c r="H381" i="59" s="1"/>
  <c r="H130" i="63"/>
  <c r="H129" i="63" s="1"/>
  <c r="H145" i="63"/>
  <c r="H89" i="63"/>
  <c r="H90" i="63" s="1"/>
  <c r="H102" i="63"/>
  <c r="H103" i="63" s="1"/>
  <c r="H233" i="63"/>
  <c r="H232" i="63" s="1"/>
  <c r="H165" i="63"/>
  <c r="H164" i="63" s="1"/>
  <c r="H199" i="63"/>
  <c r="H214" i="63"/>
  <c r="H248" i="63"/>
  <c r="H58" i="46"/>
  <c r="H180" i="63"/>
  <c r="I24" i="46"/>
  <c r="I26" i="46" s="1"/>
  <c r="I28" i="46"/>
  <c r="I36" i="46"/>
  <c r="I49" i="46" s="1"/>
  <c r="I5" i="46"/>
  <c r="J7" i="59"/>
  <c r="J51" i="63"/>
  <c r="J113" i="63"/>
  <c r="J115" i="63" s="1"/>
  <c r="J912" i="59"/>
  <c r="J239" i="59"/>
  <c r="J241" i="59" s="1"/>
  <c r="J8" i="60"/>
  <c r="H3" i="80" s="1"/>
  <c r="AL51" i="68"/>
  <c r="AL62" i="68" s="1"/>
  <c r="AL30" i="68"/>
  <c r="H5" i="73"/>
  <c r="H5" i="63"/>
  <c r="H5" i="59"/>
  <c r="H5" i="68"/>
  <c r="H6" i="60"/>
  <c r="H7" i="60" s="1"/>
  <c r="L14" i="46"/>
  <c r="K15" i="46"/>
  <c r="K17" i="46"/>
  <c r="K123" i="59"/>
  <c r="K124" i="59" s="1"/>
  <c r="K178" i="59"/>
  <c r="K179" i="59" s="1"/>
  <c r="K680" i="59"/>
  <c r="K735" i="59"/>
  <c r="K791" i="59"/>
  <c r="K846" i="59"/>
  <c r="K621" i="59"/>
  <c r="K510" i="59"/>
  <c r="K566" i="59"/>
  <c r="K455" i="59"/>
  <c r="AM30" i="68"/>
  <c r="AM51" i="68"/>
  <c r="AM62" i="68" s="1"/>
  <c r="R51" i="68" l="1"/>
  <c r="R62" i="68" s="1"/>
  <c r="R122" i="60"/>
  <c r="AC30" i="68"/>
  <c r="AC122" i="60"/>
  <c r="O51" i="68"/>
  <c r="O62" i="68" s="1"/>
  <c r="O122" i="60"/>
  <c r="AD51" i="68"/>
  <c r="AD62" i="68" s="1"/>
  <c r="AD122" i="60"/>
  <c r="AH30" i="68"/>
  <c r="AH122" i="60"/>
  <c r="AJ51" i="68"/>
  <c r="AJ62" i="68" s="1"/>
  <c r="AJ122" i="60"/>
  <c r="W30" i="68"/>
  <c r="W122" i="60"/>
  <c r="Y30" i="68"/>
  <c r="Y122" i="60"/>
  <c r="AI51" i="68"/>
  <c r="AI62" i="68" s="1"/>
  <c r="AI122" i="60"/>
  <c r="AG30" i="68"/>
  <c r="AG122" i="60"/>
  <c r="AB30" i="68"/>
  <c r="AB122" i="60"/>
  <c r="V51" i="68"/>
  <c r="V62" i="68" s="1"/>
  <c r="V122" i="60"/>
  <c r="AF30" i="68"/>
  <c r="AF122" i="60"/>
  <c r="AC6" i="80"/>
  <c r="AE122" i="60"/>
  <c r="P51" i="68"/>
  <c r="P62" i="68" s="1"/>
  <c r="P122" i="60"/>
  <c r="S51" i="68"/>
  <c r="S62" i="68" s="1"/>
  <c r="S122" i="60"/>
  <c r="N51" i="68"/>
  <c r="N62" i="68" s="1"/>
  <c r="N122" i="60"/>
  <c r="U51" i="68"/>
  <c r="U62" i="68" s="1"/>
  <c r="U122" i="60"/>
  <c r="T51" i="68"/>
  <c r="T62" i="68" s="1"/>
  <c r="T122" i="60"/>
  <c r="Q51" i="68"/>
  <c r="Q62" i="68" s="1"/>
  <c r="Q122" i="60"/>
  <c r="I51" i="68"/>
  <c r="I62" i="68" s="1"/>
  <c r="I122" i="60"/>
  <c r="AA51" i="68"/>
  <c r="AA62" i="68" s="1"/>
  <c r="AA122" i="60"/>
  <c r="X51" i="68"/>
  <c r="X62" i="68" s="1"/>
  <c r="X122" i="60"/>
  <c r="K30" i="68"/>
  <c r="K122" i="60"/>
  <c r="H30" i="68"/>
  <c r="H122" i="60"/>
  <c r="J51" i="68"/>
  <c r="J62" i="68" s="1"/>
  <c r="J122" i="60"/>
  <c r="G6" i="63"/>
  <c r="H203" i="59"/>
  <c r="H205" i="59" s="1"/>
  <c r="H230" i="59" s="1"/>
  <c r="R6" i="80"/>
  <c r="T30" i="68"/>
  <c r="G25" i="59"/>
  <c r="G24" i="59"/>
  <c r="G28" i="59"/>
  <c r="G27" i="59"/>
  <c r="G26" i="59"/>
  <c r="G1076" i="59" s="1"/>
  <c r="AH51" i="68"/>
  <c r="AH62" i="68" s="1"/>
  <c r="AF6" i="80"/>
  <c r="AI30" i="68"/>
  <c r="AE51" i="68"/>
  <c r="AE62" i="68" s="1"/>
  <c r="AC51" i="68"/>
  <c r="AC62" i="68" s="1"/>
  <c r="AG6" i="80"/>
  <c r="AG203" i="59"/>
  <c r="AG205" i="59" s="1"/>
  <c r="AG230" i="59" s="1"/>
  <c r="AE30" i="68"/>
  <c r="Y203" i="59"/>
  <c r="Y205" i="59" s="1"/>
  <c r="Y230" i="59" s="1"/>
  <c r="Z49" i="60"/>
  <c r="AF51" i="68"/>
  <c r="AF62" i="68" s="1"/>
  <c r="Z46" i="63"/>
  <c r="AC203" i="59"/>
  <c r="AC205" i="59" s="1"/>
  <c r="AC230" i="59" s="1"/>
  <c r="W6" i="80"/>
  <c r="H6" i="80"/>
  <c r="J30" i="68"/>
  <c r="Y51" i="68"/>
  <c r="Y62" i="68" s="1"/>
  <c r="AA6" i="80"/>
  <c r="AD6" i="80"/>
  <c r="I4" i="73"/>
  <c r="AE203" i="59"/>
  <c r="AE205" i="59" s="1"/>
  <c r="AE230" i="59" s="1"/>
  <c r="AB6" i="80"/>
  <c r="AD30" i="68"/>
  <c r="AB203" i="59"/>
  <c r="AB205" i="59" s="1"/>
  <c r="AB230" i="59" s="1"/>
  <c r="V30" i="68"/>
  <c r="AD203" i="59"/>
  <c r="AD205" i="59" s="1"/>
  <c r="AD230" i="59" s="1"/>
  <c r="T6" i="80"/>
  <c r="Q203" i="59"/>
  <c r="Q205" i="59" s="1"/>
  <c r="Q230" i="59" s="1"/>
  <c r="AB51" i="68"/>
  <c r="AB62" i="68" s="1"/>
  <c r="O6" i="80"/>
  <c r="V46" i="63"/>
  <c r="U6" i="80"/>
  <c r="W51" i="68"/>
  <c r="W62" i="68" s="1"/>
  <c r="Q30" i="68"/>
  <c r="W46" i="63"/>
  <c r="Z6" i="80"/>
  <c r="J203" i="59"/>
  <c r="J205" i="59" s="1"/>
  <c r="J230" i="59" s="1"/>
  <c r="P6" i="80"/>
  <c r="R30" i="68"/>
  <c r="R203" i="59"/>
  <c r="R205" i="59" s="1"/>
  <c r="R230" i="59" s="1"/>
  <c r="S6" i="80"/>
  <c r="U30" i="68"/>
  <c r="U203" i="59"/>
  <c r="U205" i="59" s="1"/>
  <c r="U230" i="59" s="1"/>
  <c r="AF203" i="59"/>
  <c r="AF205" i="59" s="1"/>
  <c r="AF230" i="59" s="1"/>
  <c r="AI203" i="59"/>
  <c r="AI205" i="59" s="1"/>
  <c r="AI230" i="59" s="1"/>
  <c r="F6" i="80"/>
  <c r="H51" i="68"/>
  <c r="H62" i="68" s="1"/>
  <c r="K51" i="68"/>
  <c r="K62" i="68" s="1"/>
  <c r="M6" i="80"/>
  <c r="O30" i="68"/>
  <c r="I6" i="80"/>
  <c r="N203" i="59"/>
  <c r="N205" i="59" s="1"/>
  <c r="N230" i="59" s="1"/>
  <c r="O203" i="59"/>
  <c r="O205" i="59" s="1"/>
  <c r="O230" i="59" s="1"/>
  <c r="AE6" i="80"/>
  <c r="AG51" i="68"/>
  <c r="AG62" i="68" s="1"/>
  <c r="N30" i="68"/>
  <c r="L6" i="80"/>
  <c r="AJ46" i="63"/>
  <c r="AH6" i="80"/>
  <c r="AJ30" i="68"/>
  <c r="AG47" i="73"/>
  <c r="K203" i="59"/>
  <c r="K205" i="59" s="1"/>
  <c r="K230" i="59" s="1"/>
  <c r="X203" i="59"/>
  <c r="X205" i="59" s="1"/>
  <c r="X230" i="59" s="1"/>
  <c r="V6" i="80"/>
  <c r="X30" i="68"/>
  <c r="P203" i="59"/>
  <c r="P205" i="59" s="1"/>
  <c r="P230" i="59" s="1"/>
  <c r="I46" i="63"/>
  <c r="P30" i="68"/>
  <c r="AA46" i="63"/>
  <c r="N6" i="80"/>
  <c r="T46" i="63"/>
  <c r="S30" i="68"/>
  <c r="Y6" i="80"/>
  <c r="AA30" i="68"/>
  <c r="Q6" i="80"/>
  <c r="S46" i="63"/>
  <c r="AH203" i="59"/>
  <c r="AH205" i="59" s="1"/>
  <c r="AH230" i="59" s="1"/>
  <c r="I73" i="59"/>
  <c r="I57" i="59"/>
  <c r="K22" i="46"/>
  <c r="K4" i="46" s="1"/>
  <c r="I4" i="59"/>
  <c r="I4" i="68"/>
  <c r="I5" i="60"/>
  <c r="I4" i="63"/>
  <c r="J23" i="46"/>
  <c r="J28" i="46" s="1"/>
  <c r="J4" i="46"/>
  <c r="G6" i="73"/>
  <c r="I30" i="68"/>
  <c r="G6" i="80"/>
  <c r="G16" i="68"/>
  <c r="G17" i="68" s="1"/>
  <c r="G215" i="63"/>
  <c r="G211" i="63" s="1"/>
  <c r="G6" i="59"/>
  <c r="G361" i="63"/>
  <c r="G364" i="63" s="1"/>
  <c r="G249" i="63"/>
  <c r="G21" i="73"/>
  <c r="G23" i="73"/>
  <c r="G25" i="73"/>
  <c r="G27" i="73"/>
  <c r="G20" i="73"/>
  <c r="G19" i="73"/>
  <c r="G22" i="73"/>
  <c r="G24" i="73"/>
  <c r="G26" i="73"/>
  <c r="G19" i="63"/>
  <c r="G235" i="63" s="1"/>
  <c r="G24" i="63"/>
  <c r="G23" i="63"/>
  <c r="G27" i="63"/>
  <c r="G22" i="63"/>
  <c r="G26" i="63"/>
  <c r="G21" i="63"/>
  <c r="G25" i="63"/>
  <c r="G166" i="63" s="1"/>
  <c r="G20" i="63"/>
  <c r="G181" i="63"/>
  <c r="G177" i="63" s="1"/>
  <c r="G146" i="63"/>
  <c r="G23" i="59"/>
  <c r="G22" i="59"/>
  <c r="G21" i="59"/>
  <c r="G20" i="59"/>
  <c r="G71" i="46"/>
  <c r="G294" i="59"/>
  <c r="G328" i="59" s="1"/>
  <c r="G173" i="59"/>
  <c r="G175" i="59" s="1"/>
  <c r="G182" i="59" s="1"/>
  <c r="G187" i="59" s="1"/>
  <c r="G285" i="63"/>
  <c r="G79" i="46"/>
  <c r="G53" i="46"/>
  <c r="G54" i="46" s="1"/>
  <c r="H6" i="63"/>
  <c r="H13" i="63"/>
  <c r="H14" i="63"/>
  <c r="H15" i="59"/>
  <c r="H14" i="73"/>
  <c r="I365" i="59"/>
  <c r="I373" i="59" s="1"/>
  <c r="I381" i="59" s="1"/>
  <c r="K7" i="59"/>
  <c r="K51" i="63"/>
  <c r="K113" i="63"/>
  <c r="K115" i="63" s="1"/>
  <c r="K239" i="59"/>
  <c r="K241" i="59" s="1"/>
  <c r="K912" i="59"/>
  <c r="K8" i="60"/>
  <c r="I3" i="80" s="1"/>
  <c r="H6" i="73"/>
  <c r="H13" i="73"/>
  <c r="I5" i="68"/>
  <c r="I5" i="73"/>
  <c r="I5" i="63"/>
  <c r="I5" i="59"/>
  <c r="I6" i="60"/>
  <c r="I7" i="60" s="1"/>
  <c r="H50" i="46"/>
  <c r="H78" i="46"/>
  <c r="H70" i="46"/>
  <c r="I37" i="46"/>
  <c r="L17" i="46"/>
  <c r="L123" i="59"/>
  <c r="L124" i="59" s="1"/>
  <c r="M14" i="46"/>
  <c r="L15" i="46"/>
  <c r="L621" i="59"/>
  <c r="L510" i="59"/>
  <c r="L566" i="59"/>
  <c r="L680" i="59"/>
  <c r="L735" i="59"/>
  <c r="L791" i="59"/>
  <c r="L846" i="59"/>
  <c r="L178" i="59"/>
  <c r="L179" i="59" s="1"/>
  <c r="L455" i="59"/>
  <c r="H16" i="68"/>
  <c r="H24" i="68"/>
  <c r="I58" i="46"/>
  <c r="I89" i="63"/>
  <c r="I90" i="63" s="1"/>
  <c r="I165" i="63"/>
  <c r="I164" i="63" s="1"/>
  <c r="I180" i="63"/>
  <c r="I145" i="63"/>
  <c r="I102" i="63"/>
  <c r="I103" i="63" s="1"/>
  <c r="I130" i="63"/>
  <c r="I129" i="63" s="1"/>
  <c r="I199" i="63"/>
  <c r="I214" i="63"/>
  <c r="I233" i="63"/>
  <c r="I232" i="63" s="1"/>
  <c r="I248" i="63"/>
  <c r="H198" i="63"/>
  <c r="H215" i="63"/>
  <c r="H211" i="63" s="1"/>
  <c r="G200" i="63"/>
  <c r="G204" i="63"/>
  <c r="G201" i="63"/>
  <c r="H6" i="59"/>
  <c r="H14" i="59"/>
  <c r="I95" i="59"/>
  <c r="I96" i="59" s="1"/>
  <c r="I107" i="59"/>
  <c r="I108" i="59" s="1"/>
  <c r="I299" i="59"/>
  <c r="H146" i="63"/>
  <c r="H249" i="63"/>
  <c r="H361" i="63"/>
  <c r="H364" i="63" s="1"/>
  <c r="H375" i="63" s="1"/>
  <c r="H181" i="63"/>
  <c r="Z51" i="68" l="1"/>
  <c r="Z62" i="68" s="1"/>
  <c r="Z122" i="60"/>
  <c r="X6" i="80"/>
  <c r="Z30" i="68"/>
  <c r="J4" i="73"/>
  <c r="G35" i="60"/>
  <c r="J57" i="59"/>
  <c r="J73" i="59"/>
  <c r="L22" i="46"/>
  <c r="M22" i="46" s="1"/>
  <c r="K23" i="46"/>
  <c r="K36" i="46" s="1"/>
  <c r="K49" i="46" s="1"/>
  <c r="K35" i="46"/>
  <c r="J5" i="60"/>
  <c r="J4" i="59"/>
  <c r="J4" i="68"/>
  <c r="J4" i="63"/>
  <c r="J24" i="46"/>
  <c r="J26" i="46" s="1"/>
  <c r="J36" i="46"/>
  <c r="J49" i="46" s="1"/>
  <c r="J248" i="63" s="1"/>
  <c r="J5" i="46"/>
  <c r="G42" i="68"/>
  <c r="G60" i="68"/>
  <c r="G349" i="59"/>
  <c r="G167" i="63"/>
  <c r="G170" i="63" s="1"/>
  <c r="G72" i="46"/>
  <c r="G131" i="63"/>
  <c r="G132" i="63"/>
  <c r="G43" i="68"/>
  <c r="G46" i="68" s="1"/>
  <c r="G20" i="68"/>
  <c r="G21" i="68" s="1"/>
  <c r="G343" i="63"/>
  <c r="G300" i="63"/>
  <c r="G304" i="63" s="1"/>
  <c r="G286" i="63"/>
  <c r="G234" i="63"/>
  <c r="G238" i="63" s="1"/>
  <c r="G152" i="63"/>
  <c r="G150" i="63"/>
  <c r="H201" i="63"/>
  <c r="H200" i="63"/>
  <c r="H204" i="63"/>
  <c r="I215" i="63"/>
  <c r="I211" i="63" s="1"/>
  <c r="I198" i="63"/>
  <c r="I361" i="63"/>
  <c r="I181" i="63"/>
  <c r="I146" i="63"/>
  <c r="I249" i="63"/>
  <c r="I16" i="68"/>
  <c r="I24" i="68"/>
  <c r="H20" i="73"/>
  <c r="H22" i="73"/>
  <c r="H24" i="73"/>
  <c r="H26" i="73"/>
  <c r="H19" i="73"/>
  <c r="H21" i="73"/>
  <c r="H23" i="73"/>
  <c r="H25" i="73"/>
  <c r="H27" i="73"/>
  <c r="K4" i="73"/>
  <c r="K4" i="63"/>
  <c r="K4" i="68"/>
  <c r="K4" i="59"/>
  <c r="K5" i="60"/>
  <c r="H150" i="63"/>
  <c r="H152" i="63"/>
  <c r="H79" i="46"/>
  <c r="H71" i="46"/>
  <c r="H285" i="63"/>
  <c r="H53" i="46"/>
  <c r="H173" i="59"/>
  <c r="H175" i="59" s="1"/>
  <c r="H182" i="59" s="1"/>
  <c r="H290" i="59"/>
  <c r="I6" i="59"/>
  <c r="I14" i="59"/>
  <c r="G273" i="63"/>
  <c r="H177" i="63"/>
  <c r="H273" i="63"/>
  <c r="H277" i="63" s="1"/>
  <c r="H21" i="59"/>
  <c r="H25" i="59"/>
  <c r="H20" i="59"/>
  <c r="H24" i="59"/>
  <c r="H28" i="59"/>
  <c r="H23" i="59"/>
  <c r="H27" i="59"/>
  <c r="H22" i="59"/>
  <c r="H26" i="59"/>
  <c r="H1076" i="59" s="1"/>
  <c r="H60" i="68"/>
  <c r="H17" i="68"/>
  <c r="H42" i="68"/>
  <c r="L51" i="63"/>
  <c r="L113" i="63"/>
  <c r="L115" i="63" s="1"/>
  <c r="L7" i="59"/>
  <c r="L912" i="59"/>
  <c r="L239" i="59"/>
  <c r="L241" i="59" s="1"/>
  <c r="L8" i="60"/>
  <c r="J3" i="80" s="1"/>
  <c r="I6" i="63"/>
  <c r="I13" i="63"/>
  <c r="H382" i="63"/>
  <c r="J107" i="59"/>
  <c r="J108" i="59" s="1"/>
  <c r="J95" i="59"/>
  <c r="J96" i="59" s="1"/>
  <c r="J299" i="59"/>
  <c r="M15" i="46"/>
  <c r="M17" i="46"/>
  <c r="M123" i="59"/>
  <c r="M124" i="59" s="1"/>
  <c r="N14" i="46"/>
  <c r="M510" i="59"/>
  <c r="M566" i="59"/>
  <c r="M455" i="59"/>
  <c r="M680" i="59"/>
  <c r="M735" i="59"/>
  <c r="M178" i="59"/>
  <c r="M179" i="59" s="1"/>
  <c r="M621" i="59"/>
  <c r="M791" i="59"/>
  <c r="M846" i="59"/>
  <c r="G375" i="63"/>
  <c r="I70" i="46"/>
  <c r="I50" i="46"/>
  <c r="I78" i="46"/>
  <c r="I6" i="73"/>
  <c r="I13" i="73"/>
  <c r="H20" i="63"/>
  <c r="H24" i="63"/>
  <c r="H19" i="63"/>
  <c r="H23" i="63"/>
  <c r="H27" i="63"/>
  <c r="H22" i="63"/>
  <c r="H26" i="63"/>
  <c r="H21" i="63"/>
  <c r="H25" i="63"/>
  <c r="I14" i="73" l="1"/>
  <c r="I132" i="59"/>
  <c r="J5" i="68"/>
  <c r="L23" i="46"/>
  <c r="L36" i="46" s="1"/>
  <c r="L49" i="46" s="1"/>
  <c r="L4" i="46"/>
  <c r="L4" i="73" s="1"/>
  <c r="L35" i="46"/>
  <c r="K28" i="46"/>
  <c r="K107" i="59" s="1"/>
  <c r="K108" i="59" s="1"/>
  <c r="K24" i="46"/>
  <c r="K26" i="46" s="1"/>
  <c r="K5" i="46"/>
  <c r="K6" i="60" s="1"/>
  <c r="K7" i="60" s="1"/>
  <c r="G678" i="59"/>
  <c r="G94" i="59"/>
  <c r="G56" i="59"/>
  <c r="G59" i="59" s="1"/>
  <c r="G72" i="59"/>
  <c r="G77" i="59" s="1"/>
  <c r="G304" i="59"/>
  <c r="G309" i="59" s="1"/>
  <c r="J6" i="60"/>
  <c r="J7" i="60" s="1"/>
  <c r="J145" i="63"/>
  <c r="J5" i="63"/>
  <c r="J13" i="63" s="1"/>
  <c r="J5" i="73"/>
  <c r="J6" i="73" s="1"/>
  <c r="J130" i="63"/>
  <c r="J129" i="63" s="1"/>
  <c r="J89" i="63"/>
  <c r="J90" i="63" s="1"/>
  <c r="J146" i="63" s="1"/>
  <c r="I15" i="59"/>
  <c r="I14" i="63"/>
  <c r="J102" i="63"/>
  <c r="J103" i="63" s="1"/>
  <c r="J215" i="63" s="1"/>
  <c r="J214" i="63"/>
  <c r="J165" i="63"/>
  <c r="J164" i="63" s="1"/>
  <c r="J199" i="63"/>
  <c r="J180" i="63"/>
  <c r="J365" i="59"/>
  <c r="J373" i="59" s="1"/>
  <c r="J381" i="59" s="1"/>
  <c r="J233" i="63"/>
  <c r="J232" i="63" s="1"/>
  <c r="J58" i="46"/>
  <c r="J5" i="59"/>
  <c r="J14" i="59" s="1"/>
  <c r="J37" i="46"/>
  <c r="J78" i="46" s="1"/>
  <c r="G17" i="60"/>
  <c r="G113" i="60" s="1"/>
  <c r="H72" i="46"/>
  <c r="G50" i="63"/>
  <c r="G55" i="63" s="1"/>
  <c r="G106" i="59"/>
  <c r="G844" i="59"/>
  <c r="G1020" i="59"/>
  <c r="G619" i="59"/>
  <c r="G298" i="59"/>
  <c r="G789" i="59"/>
  <c r="G915" i="59"/>
  <c r="G916" i="59" s="1"/>
  <c r="G733" i="59"/>
  <c r="G564" i="59"/>
  <c r="G508" i="59"/>
  <c r="G135" i="63"/>
  <c r="G256" i="59"/>
  <c r="G45" i="73"/>
  <c r="G81" i="73" s="1"/>
  <c r="G87" i="73" s="1"/>
  <c r="G453" i="59"/>
  <c r="G272" i="63"/>
  <c r="G142" i="63"/>
  <c r="G289" i="63"/>
  <c r="G310" i="63"/>
  <c r="G312" i="63" s="1"/>
  <c r="O14" i="46"/>
  <c r="N15" i="46"/>
  <c r="N17" i="46"/>
  <c r="N123" i="59"/>
  <c r="N124" i="59" s="1"/>
  <c r="N178" i="59"/>
  <c r="N179" i="59" s="1"/>
  <c r="N455" i="59"/>
  <c r="N621" i="59"/>
  <c r="N791" i="59"/>
  <c r="N846" i="59"/>
  <c r="N566" i="59"/>
  <c r="N680" i="59"/>
  <c r="N510" i="59"/>
  <c r="N735" i="59"/>
  <c r="M35" i="46"/>
  <c r="M4" i="46"/>
  <c r="M23" i="46"/>
  <c r="N22" i="46"/>
  <c r="H20" i="68"/>
  <c r="H21" i="68" s="1"/>
  <c r="H43" i="68"/>
  <c r="H46" i="68" s="1"/>
  <c r="I22" i="59"/>
  <c r="I26" i="59"/>
  <c r="I1076" i="59" s="1"/>
  <c r="I21" i="59"/>
  <c r="I25" i="59"/>
  <c r="I20" i="59"/>
  <c r="I24" i="59"/>
  <c r="I28" i="59"/>
  <c r="I23" i="59"/>
  <c r="I27" i="59"/>
  <c r="H187" i="59"/>
  <c r="H142" i="63"/>
  <c r="H272" i="63"/>
  <c r="H167" i="63"/>
  <c r="H132" i="63"/>
  <c r="H235" i="63"/>
  <c r="K102" i="63"/>
  <c r="K103" i="63" s="1"/>
  <c r="K165" i="63"/>
  <c r="K164" i="63" s="1"/>
  <c r="K199" i="63"/>
  <c r="K214" i="63"/>
  <c r="K248" i="63"/>
  <c r="K58" i="46"/>
  <c r="K89" i="63"/>
  <c r="K90" i="63" s="1"/>
  <c r="K130" i="63"/>
  <c r="K129" i="63" s="1"/>
  <c r="K180" i="63"/>
  <c r="K145" i="63"/>
  <c r="K233" i="63"/>
  <c r="K232" i="63" s="1"/>
  <c r="G382" i="63"/>
  <c r="L24" i="46"/>
  <c r="L26" i="46" s="1"/>
  <c r="L5" i="46"/>
  <c r="G277" i="63"/>
  <c r="G59" i="46"/>
  <c r="H54" i="46"/>
  <c r="H234" i="63"/>
  <c r="H166" i="63"/>
  <c r="H131" i="63"/>
  <c r="I21" i="63"/>
  <c r="I25" i="63"/>
  <c r="I20" i="63"/>
  <c r="I24" i="63"/>
  <c r="I19" i="63"/>
  <c r="I23" i="63"/>
  <c r="I27" i="63"/>
  <c r="I22" i="63"/>
  <c r="I26" i="63"/>
  <c r="J24" i="68"/>
  <c r="J16" i="68"/>
  <c r="K37" i="46"/>
  <c r="H300" i="63"/>
  <c r="H304" i="63" s="1"/>
  <c r="H343" i="63"/>
  <c r="H286" i="63"/>
  <c r="I60" i="68"/>
  <c r="I17" i="68"/>
  <c r="I42" i="68"/>
  <c r="I204" i="63"/>
  <c r="I201" i="63"/>
  <c r="I200" i="63"/>
  <c r="I20" i="73"/>
  <c r="I22" i="73"/>
  <c r="I24" i="73"/>
  <c r="I26" i="73"/>
  <c r="I19" i="73"/>
  <c r="I21" i="73"/>
  <c r="I23" i="73"/>
  <c r="I25" i="73"/>
  <c r="I27" i="73"/>
  <c r="I71" i="46"/>
  <c r="I53" i="46"/>
  <c r="I285" i="63"/>
  <c r="I79" i="46"/>
  <c r="I173" i="59"/>
  <c r="I175" i="59" s="1"/>
  <c r="I290" i="59"/>
  <c r="M51" i="63"/>
  <c r="M113" i="63"/>
  <c r="M115" i="63" s="1"/>
  <c r="M7" i="59"/>
  <c r="M239" i="59"/>
  <c r="M241" i="59" s="1"/>
  <c r="M912" i="59"/>
  <c r="M8" i="60"/>
  <c r="K3" i="80" s="1"/>
  <c r="H77" i="63"/>
  <c r="H66" i="60"/>
  <c r="I144" i="59" l="1"/>
  <c r="I182" i="59"/>
  <c r="I187" i="59" s="1"/>
  <c r="L28" i="46"/>
  <c r="K5" i="73"/>
  <c r="L4" i="68"/>
  <c r="K57" i="59"/>
  <c r="L4" i="59"/>
  <c r="I147" i="59"/>
  <c r="I146" i="59"/>
  <c r="I145" i="59"/>
  <c r="K299" i="59"/>
  <c r="K95" i="59"/>
  <c r="K96" i="59" s="1"/>
  <c r="L5" i="60"/>
  <c r="L4" i="63"/>
  <c r="G925" i="59"/>
  <c r="H922" i="59" s="1"/>
  <c r="H923" i="59" s="1"/>
  <c r="I920" i="59" s="1"/>
  <c r="J14" i="73"/>
  <c r="F77" i="59"/>
  <c r="K365" i="59"/>
  <c r="K373" i="59" s="1"/>
  <c r="K381" i="59" s="1"/>
  <c r="K73" i="59"/>
  <c r="K5" i="59"/>
  <c r="K14" i="59" s="1"/>
  <c r="K5" i="63"/>
  <c r="K13" i="63" s="1"/>
  <c r="K5" i="68"/>
  <c r="K16" i="68" s="1"/>
  <c r="J15" i="59"/>
  <c r="J14" i="63"/>
  <c r="J13" i="73"/>
  <c r="J23" i="73" s="1"/>
  <c r="H17" i="60"/>
  <c r="H113" i="60" s="1"/>
  <c r="J6" i="63"/>
  <c r="H678" i="59"/>
  <c r="H56" i="59"/>
  <c r="H59" i="59" s="1"/>
  <c r="H72" i="59"/>
  <c r="L73" i="59"/>
  <c r="L57" i="59"/>
  <c r="J181" i="63"/>
  <c r="G1071" i="59"/>
  <c r="G1078" i="59" s="1"/>
  <c r="G78" i="60" s="1"/>
  <c r="J249" i="63"/>
  <c r="J6" i="59"/>
  <c r="J50" i="46"/>
  <c r="J198" i="63"/>
  <c r="J200" i="63" s="1"/>
  <c r="J361" i="63"/>
  <c r="J70" i="46"/>
  <c r="G186" i="59"/>
  <c r="G240" i="59" s="1"/>
  <c r="G248" i="59" s="1"/>
  <c r="I158" i="59"/>
  <c r="H453" i="59"/>
  <c r="H619" i="59"/>
  <c r="H564" i="59"/>
  <c r="H298" i="59"/>
  <c r="H508" i="59"/>
  <c r="H94" i="59"/>
  <c r="H97" i="59" s="1"/>
  <c r="H844" i="59"/>
  <c r="H106" i="59"/>
  <c r="H111" i="59" s="1"/>
  <c r="H304" i="59"/>
  <c r="H309" i="59" s="1"/>
  <c r="H789" i="59"/>
  <c r="H45" i="73"/>
  <c r="H81" i="73" s="1"/>
  <c r="H256" i="59"/>
  <c r="H915" i="59"/>
  <c r="H916" i="59" s="1"/>
  <c r="H733" i="59"/>
  <c r="H50" i="63"/>
  <c r="H58" i="63" s="1"/>
  <c r="H1020" i="59"/>
  <c r="G58" i="63"/>
  <c r="G1106" i="59"/>
  <c r="G1109" i="59" s="1"/>
  <c r="G54" i="73"/>
  <c r="G60" i="73" s="1"/>
  <c r="G268" i="59"/>
  <c r="G323" i="59" s="1"/>
  <c r="L37" i="46"/>
  <c r="L50" i="46" s="1"/>
  <c r="G266" i="59"/>
  <c r="G321" i="59" s="1"/>
  <c r="G270" i="59"/>
  <c r="G325" i="59" s="1"/>
  <c r="H170" i="63"/>
  <c r="H238" i="63"/>
  <c r="H135" i="63"/>
  <c r="G56" i="63"/>
  <c r="G210" i="63" s="1"/>
  <c r="G212" i="63" s="1"/>
  <c r="H209" i="63" s="1"/>
  <c r="H59" i="46"/>
  <c r="I54" i="46"/>
  <c r="H310" i="63"/>
  <c r="H289" i="63"/>
  <c r="K78" i="46"/>
  <c r="K70" i="46"/>
  <c r="K50" i="46"/>
  <c r="G80" i="46"/>
  <c r="G62" i="46"/>
  <c r="H63" i="46" s="1"/>
  <c r="L107" i="59"/>
  <c r="L108" i="59" s="1"/>
  <c r="L95" i="59"/>
  <c r="L96" i="59" s="1"/>
  <c r="L299" i="59"/>
  <c r="M24" i="46"/>
  <c r="M26" i="46" s="1"/>
  <c r="M28" i="46"/>
  <c r="M36" i="46"/>
  <c r="M49" i="46" s="1"/>
  <c r="M5" i="46"/>
  <c r="H354" i="63"/>
  <c r="F10" i="80"/>
  <c r="K6" i="73"/>
  <c r="K13" i="73"/>
  <c r="J42" i="68"/>
  <c r="J60" i="68"/>
  <c r="J17" i="68"/>
  <c r="J211" i="63"/>
  <c r="L89" i="63"/>
  <c r="L90" i="63" s="1"/>
  <c r="L130" i="63"/>
  <c r="L129" i="63" s="1"/>
  <c r="L145" i="63"/>
  <c r="L233" i="63"/>
  <c r="L232" i="63" s="1"/>
  <c r="L165" i="63"/>
  <c r="L164" i="63" s="1"/>
  <c r="L199" i="63"/>
  <c r="L214" i="63"/>
  <c r="L248" i="63"/>
  <c r="L58" i="46"/>
  <c r="L102" i="63"/>
  <c r="L103" i="63" s="1"/>
  <c r="L180" i="63"/>
  <c r="K198" i="63"/>
  <c r="K215" i="63"/>
  <c r="K211" i="63" s="1"/>
  <c r="M4" i="68"/>
  <c r="M4" i="59"/>
  <c r="M4" i="73"/>
  <c r="M4" i="63"/>
  <c r="M5" i="60"/>
  <c r="J23" i="59"/>
  <c r="J27" i="59"/>
  <c r="J22" i="59"/>
  <c r="J26" i="59"/>
  <c r="J1076" i="59" s="1"/>
  <c r="J21" i="59"/>
  <c r="J25" i="59"/>
  <c r="J20" i="59"/>
  <c r="J24" i="59"/>
  <c r="J28" i="59"/>
  <c r="I20" i="68"/>
  <c r="I21" i="68" s="1"/>
  <c r="I43" i="68"/>
  <c r="I46" i="68" s="1"/>
  <c r="I234" i="63"/>
  <c r="I131" i="63"/>
  <c r="I166" i="63"/>
  <c r="G77" i="63"/>
  <c r="G66" i="60"/>
  <c r="K14" i="73"/>
  <c r="K14" i="63"/>
  <c r="K15" i="59"/>
  <c r="L365" i="59"/>
  <c r="L373" i="59" s="1"/>
  <c r="L381" i="59" s="1"/>
  <c r="J22" i="63"/>
  <c r="J26" i="63"/>
  <c r="J21" i="63"/>
  <c r="J25" i="63"/>
  <c r="J20" i="63"/>
  <c r="J24" i="63"/>
  <c r="J19" i="63"/>
  <c r="J23" i="63"/>
  <c r="J27" i="63"/>
  <c r="N7" i="59"/>
  <c r="N51" i="63"/>
  <c r="N113" i="63"/>
  <c r="N115" i="63" s="1"/>
  <c r="N912" i="59"/>
  <c r="N239" i="59"/>
  <c r="N241" i="59" s="1"/>
  <c r="N8" i="60"/>
  <c r="L3" i="80" s="1"/>
  <c r="I72" i="46"/>
  <c r="I286" i="63"/>
  <c r="I289" i="63" s="1"/>
  <c r="I343" i="63"/>
  <c r="I300" i="63"/>
  <c r="I304" i="63" s="1"/>
  <c r="I310" i="63" s="1"/>
  <c r="I132" i="63"/>
  <c r="I235" i="63"/>
  <c r="I167" i="63"/>
  <c r="L5" i="73"/>
  <c r="L5" i="63"/>
  <c r="L5" i="59"/>
  <c r="L5" i="68"/>
  <c r="L6" i="60"/>
  <c r="L7" i="60" s="1"/>
  <c r="K181" i="63"/>
  <c r="K249" i="63"/>
  <c r="K146" i="63"/>
  <c r="K361" i="63"/>
  <c r="N4" i="46"/>
  <c r="N23" i="46"/>
  <c r="N35" i="46"/>
  <c r="O22" i="46"/>
  <c r="P14" i="46"/>
  <c r="O15" i="46"/>
  <c r="O17" i="46"/>
  <c r="O123" i="59"/>
  <c r="O124" i="59" s="1"/>
  <c r="O178" i="59"/>
  <c r="O179" i="59" s="1"/>
  <c r="O680" i="59"/>
  <c r="O735" i="59"/>
  <c r="O791" i="59"/>
  <c r="O846" i="59"/>
  <c r="O621" i="59"/>
  <c r="O510" i="59"/>
  <c r="O566" i="59"/>
  <c r="O455" i="59"/>
  <c r="I163" i="59" l="1"/>
  <c r="I161" i="59"/>
  <c r="I162" i="59"/>
  <c r="I160" i="59"/>
  <c r="E21" i="80"/>
  <c r="G132" i="60"/>
  <c r="K6" i="63"/>
  <c r="K24" i="68"/>
  <c r="G926" i="59"/>
  <c r="G927" i="59" s="1"/>
  <c r="J21" i="73"/>
  <c r="H925" i="59"/>
  <c r="I922" i="59" s="1"/>
  <c r="I923" i="59" s="1"/>
  <c r="J920" i="59" s="1"/>
  <c r="G115" i="59"/>
  <c r="J26" i="73"/>
  <c r="J19" i="73"/>
  <c r="J24" i="73"/>
  <c r="J22" i="73"/>
  <c r="L132" i="59"/>
  <c r="J20" i="73"/>
  <c r="K132" i="59"/>
  <c r="J27" i="73"/>
  <c r="K6" i="59"/>
  <c r="J25" i="73"/>
  <c r="J132" i="59"/>
  <c r="G342" i="59"/>
  <c r="G216" i="59" s="1"/>
  <c r="G31" i="60"/>
  <c r="J173" i="59"/>
  <c r="J175" i="59" s="1"/>
  <c r="J285" i="63"/>
  <c r="J300" i="63" s="1"/>
  <c r="J304" i="63" s="1"/>
  <c r="J310" i="63" s="1"/>
  <c r="J53" i="46"/>
  <c r="I59" i="46" s="1"/>
  <c r="I56" i="59"/>
  <c r="I59" i="59" s="1"/>
  <c r="I72" i="59"/>
  <c r="M57" i="59"/>
  <c r="M73" i="59"/>
  <c r="H115" i="59"/>
  <c r="H127" i="59" s="1"/>
  <c r="J290" i="59"/>
  <c r="G152" i="60"/>
  <c r="H1106" i="59"/>
  <c r="H1109" i="59" s="1"/>
  <c r="J201" i="63"/>
  <c r="J204" i="63"/>
  <c r="J71" i="46"/>
  <c r="J72" i="46" s="1"/>
  <c r="J79" i="46"/>
  <c r="H266" i="59"/>
  <c r="H321" i="59" s="1"/>
  <c r="H269" i="59"/>
  <c r="H324" i="59" s="1"/>
  <c r="H268" i="59"/>
  <c r="H323" i="59" s="1"/>
  <c r="H270" i="59"/>
  <c r="H325" i="59" s="1"/>
  <c r="H1071" i="59"/>
  <c r="H55" i="63"/>
  <c r="H56" i="63" s="1"/>
  <c r="G344" i="59"/>
  <c r="G218" i="59" s="1"/>
  <c r="G206" i="63"/>
  <c r="G219" i="63" s="1"/>
  <c r="H54" i="73"/>
  <c r="H60" i="73" s="1"/>
  <c r="G29" i="60"/>
  <c r="G346" i="59"/>
  <c r="G220" i="59" s="1"/>
  <c r="L70" i="46"/>
  <c r="L78" i="46"/>
  <c r="I170" i="63"/>
  <c r="L6" i="63"/>
  <c r="L13" i="63"/>
  <c r="K17" i="68"/>
  <c r="K42" i="68"/>
  <c r="K60" i="68"/>
  <c r="H87" i="73"/>
  <c r="O7" i="59"/>
  <c r="O51" i="63"/>
  <c r="O113" i="63"/>
  <c r="O115" i="63" s="1"/>
  <c r="O239" i="59"/>
  <c r="O241" i="59" s="1"/>
  <c r="O8" i="60"/>
  <c r="M3" i="80" s="1"/>
  <c r="O912" i="59"/>
  <c r="L6" i="73"/>
  <c r="L13" i="73"/>
  <c r="K20" i="59"/>
  <c r="K24" i="59"/>
  <c r="K28" i="59"/>
  <c r="K23" i="59"/>
  <c r="K27" i="59"/>
  <c r="K22" i="59"/>
  <c r="K26" i="59"/>
  <c r="K1076" i="59" s="1"/>
  <c r="K21" i="59"/>
  <c r="K25" i="59"/>
  <c r="M37" i="46"/>
  <c r="J167" i="63"/>
  <c r="J132" i="63"/>
  <c r="J235" i="63"/>
  <c r="G354" i="63"/>
  <c r="E10" i="80"/>
  <c r="I135" i="63"/>
  <c r="K200" i="63"/>
  <c r="K204" i="63"/>
  <c r="K201" i="63"/>
  <c r="K19" i="73"/>
  <c r="K21" i="73"/>
  <c r="K23" i="73"/>
  <c r="K25" i="73"/>
  <c r="K27" i="73"/>
  <c r="K20" i="73"/>
  <c r="K22" i="73"/>
  <c r="K24" i="73"/>
  <c r="K26" i="73"/>
  <c r="M95" i="59"/>
  <c r="M96" i="59" s="1"/>
  <c r="M107" i="59"/>
  <c r="M108" i="59" s="1"/>
  <c r="M299" i="59"/>
  <c r="K19" i="63"/>
  <c r="K23" i="63"/>
  <c r="K27" i="63"/>
  <c r="K22" i="63"/>
  <c r="K26" i="63"/>
  <c r="K21" i="63"/>
  <c r="K25" i="63"/>
  <c r="K20" i="63"/>
  <c r="K24" i="63"/>
  <c r="O4" i="46"/>
  <c r="O23" i="46"/>
  <c r="P22" i="46"/>
  <c r="O35" i="46"/>
  <c r="I94" i="59"/>
  <c r="I97" i="59" s="1"/>
  <c r="I50" i="63"/>
  <c r="I45" i="73"/>
  <c r="I81" i="73" s="1"/>
  <c r="I106" i="59"/>
  <c r="I111" i="59" s="1"/>
  <c r="I453" i="59"/>
  <c r="I1020" i="59"/>
  <c r="I298" i="59"/>
  <c r="I304" i="59"/>
  <c r="I309" i="59" s="1"/>
  <c r="I915" i="59"/>
  <c r="I916" i="59" s="1"/>
  <c r="I925" i="59" s="1"/>
  <c r="I678" i="59"/>
  <c r="I733" i="59"/>
  <c r="I789" i="59"/>
  <c r="I844" i="59"/>
  <c r="I619" i="59"/>
  <c r="I256" i="59"/>
  <c r="I508" i="59"/>
  <c r="I564" i="59"/>
  <c r="P17" i="46"/>
  <c r="P123" i="59"/>
  <c r="P124" i="59" s="1"/>
  <c r="Q14" i="46"/>
  <c r="P15" i="46"/>
  <c r="P621" i="59"/>
  <c r="P178" i="59"/>
  <c r="P179" i="59" s="1"/>
  <c r="P510" i="59"/>
  <c r="P566" i="59"/>
  <c r="P680" i="59"/>
  <c r="P735" i="59"/>
  <c r="P791" i="59"/>
  <c r="P846" i="59"/>
  <c r="P455" i="59"/>
  <c r="N5" i="46"/>
  <c r="N36" i="46"/>
  <c r="N49" i="46" s="1"/>
  <c r="N24" i="46"/>
  <c r="N26" i="46" s="1"/>
  <c r="N28" i="46"/>
  <c r="L16" i="68"/>
  <c r="L24" i="68"/>
  <c r="I238" i="63"/>
  <c r="L215" i="63"/>
  <c r="L211" i="63" s="1"/>
  <c r="L198" i="63"/>
  <c r="L14" i="63"/>
  <c r="L15" i="59"/>
  <c r="L14" i="73"/>
  <c r="M365" i="59"/>
  <c r="M373" i="59" s="1"/>
  <c r="M381" i="59" s="1"/>
  <c r="H66" i="46"/>
  <c r="H67" i="46" s="1"/>
  <c r="H82" i="46" s="1"/>
  <c r="H81" i="46"/>
  <c r="J234" i="63"/>
  <c r="J166" i="63"/>
  <c r="J131" i="63"/>
  <c r="L79" i="46"/>
  <c r="L71" i="46"/>
  <c r="L285" i="63"/>
  <c r="L53" i="46"/>
  <c r="L173" i="59"/>
  <c r="L175" i="59" s="1"/>
  <c r="L290" i="59"/>
  <c r="M58" i="46"/>
  <c r="M165" i="63"/>
  <c r="M164" i="63" s="1"/>
  <c r="M180" i="63"/>
  <c r="M145" i="63"/>
  <c r="M89" i="63"/>
  <c r="M90" i="63" s="1"/>
  <c r="M102" i="63"/>
  <c r="M103" i="63" s="1"/>
  <c r="M130" i="63"/>
  <c r="M129" i="63" s="1"/>
  <c r="M199" i="63"/>
  <c r="M214" i="63"/>
  <c r="M233" i="63"/>
  <c r="M232" i="63" s="1"/>
  <c r="M248" i="63"/>
  <c r="N4" i="68"/>
  <c r="N4" i="59"/>
  <c r="N4" i="73"/>
  <c r="N4" i="63"/>
  <c r="N5" i="60"/>
  <c r="L6" i="59"/>
  <c r="L14" i="59"/>
  <c r="L249" i="63"/>
  <c r="L361" i="63"/>
  <c r="L146" i="63"/>
  <c r="L181" i="63"/>
  <c r="J43" i="68"/>
  <c r="J46" i="68" s="1"/>
  <c r="J20" i="68"/>
  <c r="J21" i="68" s="1"/>
  <c r="M5" i="68"/>
  <c r="M5" i="73"/>
  <c r="M5" i="63"/>
  <c r="M5" i="59"/>
  <c r="M6" i="60"/>
  <c r="M7" i="60" s="1"/>
  <c r="G196" i="59"/>
  <c r="G361" i="59"/>
  <c r="G83" i="46"/>
  <c r="G90" i="46" s="1"/>
  <c r="K53" i="46"/>
  <c r="K285" i="63"/>
  <c r="K79" i="46"/>
  <c r="K71" i="46"/>
  <c r="K290" i="59"/>
  <c r="K173" i="59"/>
  <c r="K175" i="59" s="1"/>
  <c r="K182" i="59" s="1"/>
  <c r="H80" i="46"/>
  <c r="H62" i="46"/>
  <c r="I63" i="46" s="1"/>
  <c r="I167" i="59" l="1"/>
  <c r="I17" i="60" s="1"/>
  <c r="I113" i="60" s="1"/>
  <c r="L182" i="59"/>
  <c r="L187" i="59" s="1"/>
  <c r="J182" i="59"/>
  <c r="J187" i="59" s="1"/>
  <c r="J146" i="59"/>
  <c r="J144" i="59"/>
  <c r="J147" i="59"/>
  <c r="J343" i="63"/>
  <c r="J286" i="63"/>
  <c r="J289" i="63" s="1"/>
  <c r="J145" i="59"/>
  <c r="J54" i="46"/>
  <c r="K54" i="46" s="1"/>
  <c r="L54" i="46" s="1"/>
  <c r="G58" i="60"/>
  <c r="G124" i="60" s="1"/>
  <c r="G156" i="60"/>
  <c r="G127" i="59"/>
  <c r="G185" i="59" s="1"/>
  <c r="H926" i="59"/>
  <c r="H927" i="59" s="1"/>
  <c r="J106" i="59"/>
  <c r="J111" i="59" s="1"/>
  <c r="J56" i="59"/>
  <c r="J59" i="59" s="1"/>
  <c r="J72" i="59"/>
  <c r="N73" i="59"/>
  <c r="N57" i="59"/>
  <c r="I115" i="59"/>
  <c r="I127" i="59" s="1"/>
  <c r="J298" i="59"/>
  <c r="J564" i="59"/>
  <c r="J508" i="59"/>
  <c r="J94" i="59"/>
  <c r="J97" i="59" s="1"/>
  <c r="J844" i="59"/>
  <c r="J789" i="59"/>
  <c r="J238" i="63"/>
  <c r="G1045" i="59"/>
  <c r="J619" i="59"/>
  <c r="J678" i="59"/>
  <c r="J256" i="59"/>
  <c r="J733" i="59"/>
  <c r="J453" i="59"/>
  <c r="J45" i="73"/>
  <c r="J81" i="73" s="1"/>
  <c r="J304" i="59"/>
  <c r="J309" i="59" s="1"/>
  <c r="J50" i="63"/>
  <c r="J58" i="63" s="1"/>
  <c r="J915" i="59"/>
  <c r="J916" i="59" s="1"/>
  <c r="J1020" i="59"/>
  <c r="J170" i="63"/>
  <c r="J135" i="63"/>
  <c r="M14" i="73"/>
  <c r="M14" i="63"/>
  <c r="M15" i="59"/>
  <c r="N365" i="59"/>
  <c r="N373" i="59" s="1"/>
  <c r="N381" i="59" s="1"/>
  <c r="I87" i="73"/>
  <c r="J59" i="46"/>
  <c r="M6" i="59"/>
  <c r="M14" i="59"/>
  <c r="M361" i="63"/>
  <c r="M181" i="63"/>
  <c r="M146" i="63"/>
  <c r="M249" i="63"/>
  <c r="L343" i="63"/>
  <c r="L286" i="63"/>
  <c r="L289" i="63" s="1"/>
  <c r="L300" i="63"/>
  <c r="L304" i="63" s="1"/>
  <c r="L310" i="63" s="1"/>
  <c r="N5" i="59"/>
  <c r="N5" i="68"/>
  <c r="N5" i="73"/>
  <c r="N5" i="63"/>
  <c r="N6" i="60"/>
  <c r="N7" i="60" s="1"/>
  <c r="Q15" i="46"/>
  <c r="Q17" i="46"/>
  <c r="Q123" i="59"/>
  <c r="Q124" i="59" s="1"/>
  <c r="R14" i="46"/>
  <c r="Q510" i="59"/>
  <c r="Q566" i="59"/>
  <c r="Q455" i="59"/>
  <c r="Q178" i="59"/>
  <c r="Q179" i="59" s="1"/>
  <c r="Q680" i="59"/>
  <c r="Q735" i="59"/>
  <c r="Q791" i="59"/>
  <c r="Q846" i="59"/>
  <c r="Q621" i="59"/>
  <c r="O36" i="46"/>
  <c r="O49" i="46" s="1"/>
  <c r="O5" i="46"/>
  <c r="O24" i="46"/>
  <c r="O26" i="46" s="1"/>
  <c r="O28" i="46"/>
  <c r="M70" i="46"/>
  <c r="M50" i="46"/>
  <c r="M78" i="46"/>
  <c r="L20" i="73"/>
  <c r="L22" i="73"/>
  <c r="L24" i="73"/>
  <c r="L26" i="73"/>
  <c r="L19" i="73"/>
  <c r="L21" i="73"/>
  <c r="L23" i="73"/>
  <c r="L25" i="73"/>
  <c r="L27" i="73"/>
  <c r="I81" i="46"/>
  <c r="I66" i="46"/>
  <c r="I67" i="46" s="1"/>
  <c r="I82" i="46" s="1"/>
  <c r="M6" i="63"/>
  <c r="M13" i="63"/>
  <c r="L21" i="59"/>
  <c r="L25" i="59"/>
  <c r="L20" i="59"/>
  <c r="L24" i="59"/>
  <c r="L28" i="59"/>
  <c r="L23" i="59"/>
  <c r="L27" i="59"/>
  <c r="L22" i="59"/>
  <c r="L26" i="59"/>
  <c r="L1076" i="59" s="1"/>
  <c r="K72" i="46"/>
  <c r="L72" i="46"/>
  <c r="L60" i="68"/>
  <c r="L17" i="68"/>
  <c r="L42" i="68"/>
  <c r="N107" i="59"/>
  <c r="N108" i="59" s="1"/>
  <c r="N95" i="59"/>
  <c r="N96" i="59" s="1"/>
  <c r="N299" i="59"/>
  <c r="H346" i="59"/>
  <c r="I270" i="59"/>
  <c r="I268" i="59"/>
  <c r="I269" i="59"/>
  <c r="I266" i="59"/>
  <c r="O4" i="73"/>
  <c r="O4" i="63"/>
  <c r="O4" i="68"/>
  <c r="O4" i="59"/>
  <c r="O5" i="60"/>
  <c r="H342" i="59"/>
  <c r="H29" i="60"/>
  <c r="I54" i="73"/>
  <c r="H361" i="59"/>
  <c r="H83" i="46"/>
  <c r="H90" i="46" s="1"/>
  <c r="K187" i="59"/>
  <c r="M6" i="73"/>
  <c r="M13" i="73"/>
  <c r="I58" i="63"/>
  <c r="I55" i="63"/>
  <c r="K167" i="63"/>
  <c r="K132" i="63"/>
  <c r="K235" i="63"/>
  <c r="N37" i="46"/>
  <c r="K43" i="68"/>
  <c r="K46" i="68" s="1"/>
  <c r="K20" i="68"/>
  <c r="K21" i="68" s="1"/>
  <c r="H210" i="63"/>
  <c r="L20" i="63"/>
  <c r="L24" i="63"/>
  <c r="L19" i="63"/>
  <c r="L23" i="63"/>
  <c r="L27" i="63"/>
  <c r="L22" i="63"/>
  <c r="L26" i="63"/>
  <c r="L21" i="63"/>
  <c r="L25" i="63"/>
  <c r="K343" i="63"/>
  <c r="K286" i="63"/>
  <c r="K289" i="63" s="1"/>
  <c r="K300" i="63"/>
  <c r="K304" i="63" s="1"/>
  <c r="K310" i="63" s="1"/>
  <c r="G6" i="46"/>
  <c r="G7" i="73"/>
  <c r="G7" i="63"/>
  <c r="G8" i="59"/>
  <c r="G6" i="68"/>
  <c r="G9" i="60"/>
  <c r="M16" i="68"/>
  <c r="M24" i="68"/>
  <c r="H31" i="60"/>
  <c r="H344" i="59"/>
  <c r="M215" i="63"/>
  <c r="M211" i="63" s="1"/>
  <c r="M198" i="63"/>
  <c r="K59" i="46"/>
  <c r="L201" i="63"/>
  <c r="L200" i="63"/>
  <c r="L204" i="63"/>
  <c r="H345" i="59"/>
  <c r="H32" i="60"/>
  <c r="N89" i="63"/>
  <c r="N90" i="63" s="1"/>
  <c r="N130" i="63"/>
  <c r="N129" i="63" s="1"/>
  <c r="N199" i="63"/>
  <c r="N214" i="63"/>
  <c r="N248" i="63"/>
  <c r="N58" i="46"/>
  <c r="N102" i="63"/>
  <c r="N103" i="63" s="1"/>
  <c r="N180" i="63"/>
  <c r="N233" i="63"/>
  <c r="N232" i="63" s="1"/>
  <c r="N145" i="63"/>
  <c r="N165" i="63"/>
  <c r="N164" i="63" s="1"/>
  <c r="P51" i="63"/>
  <c r="P113" i="63"/>
  <c r="P115" i="63" s="1"/>
  <c r="P7" i="59"/>
  <c r="P239" i="59"/>
  <c r="P241" i="59" s="1"/>
  <c r="P912" i="59"/>
  <c r="P8" i="60"/>
  <c r="N3" i="80" s="1"/>
  <c r="I1071" i="59"/>
  <c r="I1106" i="59"/>
  <c r="I1109" i="59" s="1"/>
  <c r="P4" i="46"/>
  <c r="P23" i="46"/>
  <c r="Q22" i="46"/>
  <c r="P35" i="46"/>
  <c r="K131" i="63"/>
  <c r="K234" i="63"/>
  <c r="K166" i="63"/>
  <c r="I80" i="46"/>
  <c r="I62" i="46"/>
  <c r="J63" i="46" s="1"/>
  <c r="K146" i="59" l="1"/>
  <c r="L146" i="59" s="1"/>
  <c r="K144" i="59"/>
  <c r="K147" i="59"/>
  <c r="K145" i="59"/>
  <c r="J925" i="59"/>
  <c r="K922" i="59" s="1"/>
  <c r="J922" i="59"/>
  <c r="J923" i="59" s="1"/>
  <c r="K920" i="59" s="1"/>
  <c r="M132" i="59"/>
  <c r="O73" i="59"/>
  <c r="O57" i="59"/>
  <c r="J115" i="59"/>
  <c r="J127" i="59" s="1"/>
  <c r="L72" i="59"/>
  <c r="L56" i="59"/>
  <c r="K56" i="59"/>
  <c r="K59" i="59" s="1"/>
  <c r="K72" i="59"/>
  <c r="H119" i="59"/>
  <c r="H70" i="73"/>
  <c r="J1106" i="59"/>
  <c r="J1109" i="59" s="1"/>
  <c r="J1071" i="59"/>
  <c r="K238" i="63"/>
  <c r="J266" i="59"/>
  <c r="J321" i="59" s="1"/>
  <c r="J29" i="60" s="1"/>
  <c r="J269" i="59"/>
  <c r="J324" i="59" s="1"/>
  <c r="J32" i="60" s="1"/>
  <c r="J268" i="59"/>
  <c r="J323" i="59" s="1"/>
  <c r="J31" i="60" s="1"/>
  <c r="J270" i="59"/>
  <c r="J325" i="59" s="1"/>
  <c r="J55" i="63"/>
  <c r="O37" i="46"/>
  <c r="O78" i="46" s="1"/>
  <c r="K135" i="63"/>
  <c r="K170" i="63"/>
  <c r="J81" i="46"/>
  <c r="J66" i="46"/>
  <c r="J67" i="46" s="1"/>
  <c r="J82" i="46" s="1"/>
  <c r="H58" i="60"/>
  <c r="H124" i="60" s="1"/>
  <c r="H156" i="60"/>
  <c r="Q35" i="46"/>
  <c r="Q4" i="46"/>
  <c r="Q23" i="46"/>
  <c r="R22" i="46"/>
  <c r="I926" i="59"/>
  <c r="L131" i="63"/>
  <c r="L234" i="63"/>
  <c r="L166" i="63"/>
  <c r="H186" i="59"/>
  <c r="M20" i="73"/>
  <c r="M22" i="73"/>
  <c r="M24" i="73"/>
  <c r="M26" i="73"/>
  <c r="M19" i="73"/>
  <c r="M21" i="73"/>
  <c r="M23" i="73"/>
  <c r="M25" i="73"/>
  <c r="M27" i="73"/>
  <c r="J54" i="73"/>
  <c r="I60" i="73"/>
  <c r="K45" i="73"/>
  <c r="K81" i="73" s="1"/>
  <c r="K106" i="59"/>
  <c r="K111" i="59" s="1"/>
  <c r="K94" i="59"/>
  <c r="K97" i="59" s="1"/>
  <c r="K50" i="63"/>
  <c r="K453" i="59"/>
  <c r="K256" i="59"/>
  <c r="K915" i="59"/>
  <c r="K916" i="59" s="1"/>
  <c r="K925" i="59" s="1"/>
  <c r="K619" i="59"/>
  <c r="K733" i="59"/>
  <c r="K508" i="59"/>
  <c r="K789" i="59"/>
  <c r="K844" i="59"/>
  <c r="K1020" i="59"/>
  <c r="K304" i="59"/>
  <c r="K309" i="59" s="1"/>
  <c r="K564" i="59"/>
  <c r="K298" i="59"/>
  <c r="K678" i="59"/>
  <c r="O107" i="59"/>
  <c r="O108" i="59" s="1"/>
  <c r="O95" i="59"/>
  <c r="O96" i="59" s="1"/>
  <c r="O299" i="59"/>
  <c r="O102" i="63"/>
  <c r="O103" i="63" s="1"/>
  <c r="O165" i="63"/>
  <c r="O164" i="63" s="1"/>
  <c r="O199" i="63"/>
  <c r="O214" i="63"/>
  <c r="O248" i="63"/>
  <c r="O58" i="46"/>
  <c r="O89" i="63"/>
  <c r="O90" i="63" s="1"/>
  <c r="O130" i="63"/>
  <c r="O129" i="63" s="1"/>
  <c r="O180" i="63"/>
  <c r="O145" i="63"/>
  <c r="O233" i="63"/>
  <c r="O232" i="63" s="1"/>
  <c r="N14" i="59"/>
  <c r="N6" i="59"/>
  <c r="I361" i="59"/>
  <c r="I83" i="46"/>
  <c r="P24" i="46"/>
  <c r="P26" i="46" s="1"/>
  <c r="P28" i="46"/>
  <c r="P5" i="46"/>
  <c r="P36" i="46"/>
  <c r="P49" i="46" s="1"/>
  <c r="N215" i="63"/>
  <c r="N211" i="63" s="1"/>
  <c r="N198" i="63"/>
  <c r="M204" i="63"/>
  <c r="M201" i="63"/>
  <c r="M200" i="63"/>
  <c r="H212" i="63"/>
  <c r="I209" i="63" s="1"/>
  <c r="H206" i="63"/>
  <c r="I324" i="59"/>
  <c r="I325" i="59"/>
  <c r="L20" i="68"/>
  <c r="L21" i="68" s="1"/>
  <c r="L43" i="68"/>
  <c r="L46" i="68" s="1"/>
  <c r="Q51" i="63"/>
  <c r="Q113" i="63"/>
  <c r="Q115" i="63" s="1"/>
  <c r="Q118" i="63" s="1"/>
  <c r="Q7" i="59"/>
  <c r="Q239" i="59"/>
  <c r="Q241" i="59" s="1"/>
  <c r="Q912" i="59"/>
  <c r="Q8" i="60"/>
  <c r="O3" i="80" s="1"/>
  <c r="N6" i="63"/>
  <c r="N13" i="63"/>
  <c r="P4" i="73"/>
  <c r="P4" i="63"/>
  <c r="P4" i="68"/>
  <c r="P4" i="59"/>
  <c r="P5" i="60"/>
  <c r="H218" i="59"/>
  <c r="M60" i="68"/>
  <c r="M17" i="68"/>
  <c r="M42" i="68"/>
  <c r="I56" i="63"/>
  <c r="I321" i="59"/>
  <c r="H220" i="59"/>
  <c r="L50" i="63"/>
  <c r="L45" i="73"/>
  <c r="L106" i="59"/>
  <c r="L94" i="59"/>
  <c r="L298" i="59"/>
  <c r="L304" i="59"/>
  <c r="L309" i="59" s="1"/>
  <c r="L619" i="59"/>
  <c r="L678" i="59"/>
  <c r="L733" i="59"/>
  <c r="L789" i="59"/>
  <c r="L844" i="59"/>
  <c r="L508" i="59"/>
  <c r="L564" i="59"/>
  <c r="L256" i="59"/>
  <c r="L453" i="59"/>
  <c r="L915" i="59"/>
  <c r="L916" i="59" s="1"/>
  <c r="L925" i="59" s="1"/>
  <c r="L1020" i="59"/>
  <c r="M21" i="63"/>
  <c r="M25" i="63"/>
  <c r="M20" i="63"/>
  <c r="M24" i="63"/>
  <c r="M19" i="63"/>
  <c r="M23" i="63"/>
  <c r="M27" i="63"/>
  <c r="M22" i="63"/>
  <c r="M26" i="63"/>
  <c r="M71" i="46"/>
  <c r="M53" i="46"/>
  <c r="M285" i="63"/>
  <c r="M79" i="46"/>
  <c r="M290" i="59"/>
  <c r="M173" i="59"/>
  <c r="M175" i="59" s="1"/>
  <c r="M182" i="59" s="1"/>
  <c r="O5" i="59"/>
  <c r="O5" i="68"/>
  <c r="O5" i="73"/>
  <c r="O5" i="63"/>
  <c r="O6" i="60"/>
  <c r="O7" i="60" s="1"/>
  <c r="S14" i="46"/>
  <c r="R15" i="46"/>
  <c r="R17" i="46"/>
  <c r="R123" i="59"/>
  <c r="R124" i="59" s="1"/>
  <c r="R455" i="59"/>
  <c r="R621" i="59"/>
  <c r="R566" i="59"/>
  <c r="R178" i="59"/>
  <c r="R179" i="59" s="1"/>
  <c r="R510" i="59"/>
  <c r="R680" i="59"/>
  <c r="R791" i="59"/>
  <c r="R846" i="59"/>
  <c r="R735" i="59"/>
  <c r="N6" i="73"/>
  <c r="N13" i="73"/>
  <c r="J80" i="46"/>
  <c r="J62" i="46"/>
  <c r="K63" i="46" s="1"/>
  <c r="J87" i="73"/>
  <c r="N181" i="63"/>
  <c r="N146" i="63"/>
  <c r="N249" i="63"/>
  <c r="N361" i="63"/>
  <c r="H219" i="59"/>
  <c r="K80" i="46"/>
  <c r="K62" i="46"/>
  <c r="L63" i="46" s="1"/>
  <c r="L235" i="63"/>
  <c r="L132" i="63"/>
  <c r="L167" i="63"/>
  <c r="N50" i="46"/>
  <c r="N78" i="46"/>
  <c r="N70" i="46"/>
  <c r="H6" i="68"/>
  <c r="H7" i="73"/>
  <c r="H7" i="63"/>
  <c r="H8" i="59"/>
  <c r="H6" i="46"/>
  <c r="H9" i="60"/>
  <c r="H216" i="59"/>
  <c r="I323" i="59"/>
  <c r="N14" i="73"/>
  <c r="N14" i="63"/>
  <c r="N15" i="59"/>
  <c r="O365" i="59"/>
  <c r="O373" i="59" s="1"/>
  <c r="O381" i="59" s="1"/>
  <c r="N24" i="68"/>
  <c r="N16" i="68"/>
  <c r="M22" i="59"/>
  <c r="M26" i="59"/>
  <c r="M1076" i="59" s="1"/>
  <c r="M21" i="59"/>
  <c r="M25" i="59"/>
  <c r="M20" i="59"/>
  <c r="M24" i="59"/>
  <c r="M28" i="59"/>
  <c r="M23" i="59"/>
  <c r="M27" i="59"/>
  <c r="L144" i="59" l="1"/>
  <c r="L147" i="59"/>
  <c r="M146" i="59"/>
  <c r="L59" i="59"/>
  <c r="L145" i="59"/>
  <c r="J926" i="59"/>
  <c r="J927" i="59" s="1"/>
  <c r="K923" i="59"/>
  <c r="L920" i="59" s="1"/>
  <c r="N132" i="59"/>
  <c r="K115" i="59"/>
  <c r="K127" i="59" s="1"/>
  <c r="P73" i="59"/>
  <c r="P57" i="59"/>
  <c r="L111" i="59"/>
  <c r="L97" i="59"/>
  <c r="H16" i="60"/>
  <c r="H112" i="60" s="1"/>
  <c r="H1028" i="59"/>
  <c r="H185" i="59"/>
  <c r="H189" i="59" s="1"/>
  <c r="J119" i="59"/>
  <c r="J342" i="59"/>
  <c r="J216" i="59" s="1"/>
  <c r="J344" i="59"/>
  <c r="J218" i="59" s="1"/>
  <c r="J345" i="59"/>
  <c r="J219" i="59" s="1"/>
  <c r="J346" i="59"/>
  <c r="J220" i="59" s="1"/>
  <c r="J56" i="63"/>
  <c r="J210" i="63" s="1"/>
  <c r="O50" i="46"/>
  <c r="O70" i="46"/>
  <c r="P37" i="46"/>
  <c r="P78" i="46" s="1"/>
  <c r="M72" i="46"/>
  <c r="O14" i="73"/>
  <c r="O14" i="63"/>
  <c r="O15" i="59"/>
  <c r="P365" i="59"/>
  <c r="P373" i="59" s="1"/>
  <c r="P381" i="59" s="1"/>
  <c r="I344" i="59"/>
  <c r="I31" i="60"/>
  <c r="L66" i="46"/>
  <c r="L81" i="46"/>
  <c r="T14" i="46"/>
  <c r="S15" i="46"/>
  <c r="S17" i="46"/>
  <c r="S123" i="59"/>
  <c r="S124" i="59" s="1"/>
  <c r="S178" i="59"/>
  <c r="S179" i="59" s="1"/>
  <c r="S680" i="59"/>
  <c r="S735" i="59"/>
  <c r="S791" i="59"/>
  <c r="S846" i="59"/>
  <c r="S621" i="59"/>
  <c r="S510" i="59"/>
  <c r="S566" i="59"/>
  <c r="S455" i="59"/>
  <c r="O6" i="63"/>
  <c r="O13" i="63"/>
  <c r="M187" i="59"/>
  <c r="L59" i="46"/>
  <c r="M54" i="46"/>
  <c r="L1106" i="59"/>
  <c r="L1109" i="59" s="1"/>
  <c r="L1071" i="59"/>
  <c r="M20" i="68"/>
  <c r="M21" i="68" s="1"/>
  <c r="M43" i="68"/>
  <c r="M46" i="68" s="1"/>
  <c r="I345" i="59"/>
  <c r="I32" i="60"/>
  <c r="O181" i="63"/>
  <c r="O249" i="63"/>
  <c r="O146" i="63"/>
  <c r="O361" i="63"/>
  <c r="K1106" i="59"/>
  <c r="K1109" i="59" s="1"/>
  <c r="K1071" i="59"/>
  <c r="H1045" i="59"/>
  <c r="R4" i="46"/>
  <c r="R23" i="46"/>
  <c r="R35" i="46"/>
  <c r="S22" i="46"/>
  <c r="N42" i="68"/>
  <c r="N60" i="68"/>
  <c r="N17" i="68"/>
  <c r="K361" i="59"/>
  <c r="L81" i="73"/>
  <c r="K87" i="73"/>
  <c r="K81" i="46"/>
  <c r="K66" i="46"/>
  <c r="K67" i="46" s="1"/>
  <c r="K82" i="46" s="1"/>
  <c r="O6" i="73"/>
  <c r="O13" i="73"/>
  <c r="M131" i="63"/>
  <c r="M166" i="63"/>
  <c r="M234" i="63"/>
  <c r="I342" i="59"/>
  <c r="I29" i="60"/>
  <c r="N22" i="63"/>
  <c r="N26" i="63"/>
  <c r="N21" i="63"/>
  <c r="N25" i="63"/>
  <c r="N20" i="63"/>
  <c r="N24" i="63"/>
  <c r="N19" i="63"/>
  <c r="N23" i="63"/>
  <c r="N27" i="63"/>
  <c r="Q79" i="60"/>
  <c r="O11" i="80" s="1"/>
  <c r="N204" i="63"/>
  <c r="N201" i="63"/>
  <c r="N200" i="63"/>
  <c r="P5" i="73"/>
  <c r="P5" i="63"/>
  <c r="P5" i="59"/>
  <c r="P5" i="68"/>
  <c r="P6" i="60"/>
  <c r="P7" i="60" s="1"/>
  <c r="K270" i="59"/>
  <c r="K266" i="59"/>
  <c r="K269" i="59"/>
  <c r="K268" i="59"/>
  <c r="H240" i="59"/>
  <c r="I244" i="59" s="1"/>
  <c r="L170" i="63"/>
  <c r="Q24" i="46"/>
  <c r="Q26" i="46" s="1"/>
  <c r="Q28" i="46"/>
  <c r="Q36" i="46"/>
  <c r="Q49" i="46" s="1"/>
  <c r="Q5" i="46"/>
  <c r="J361" i="59"/>
  <c r="J83" i="46"/>
  <c r="J90" i="46" s="1"/>
  <c r="N19" i="73"/>
  <c r="N21" i="73"/>
  <c r="N23" i="73"/>
  <c r="N25" i="73"/>
  <c r="N27" i="73"/>
  <c r="N20" i="73"/>
  <c r="N22" i="73"/>
  <c r="N24" i="73"/>
  <c r="N26" i="73"/>
  <c r="O24" i="68"/>
  <c r="O16" i="68"/>
  <c r="M167" i="63"/>
  <c r="M132" i="63"/>
  <c r="M235" i="63"/>
  <c r="L270" i="59"/>
  <c r="L325" i="59" s="1"/>
  <c r="L268" i="59"/>
  <c r="L323" i="59" s="1"/>
  <c r="L269" i="59"/>
  <c r="L324" i="59" s="1"/>
  <c r="L266" i="59"/>
  <c r="L321" i="59" s="1"/>
  <c r="I119" i="59"/>
  <c r="I70" i="73"/>
  <c r="I346" i="59"/>
  <c r="H219" i="63"/>
  <c r="P107" i="59"/>
  <c r="P108" i="59" s="1"/>
  <c r="P95" i="59"/>
  <c r="P96" i="59" s="1"/>
  <c r="P299" i="59"/>
  <c r="O198" i="63"/>
  <c r="O215" i="63"/>
  <c r="O211" i="63" s="1"/>
  <c r="L238" i="63"/>
  <c r="Q4" i="68"/>
  <c r="Q4" i="59"/>
  <c r="Q4" i="73"/>
  <c r="Q4" i="63"/>
  <c r="Q5" i="60"/>
  <c r="I186" i="59"/>
  <c r="I240" i="59" s="1"/>
  <c r="N53" i="46"/>
  <c r="N79" i="46"/>
  <c r="N71" i="46"/>
  <c r="N285" i="63"/>
  <c r="N173" i="59"/>
  <c r="N175" i="59" s="1"/>
  <c r="N290" i="59"/>
  <c r="R7" i="59"/>
  <c r="R51" i="63"/>
  <c r="R113" i="63"/>
  <c r="R115" i="63" s="1"/>
  <c r="R118" i="63" s="1"/>
  <c r="R912" i="59"/>
  <c r="R239" i="59"/>
  <c r="R241" i="59" s="1"/>
  <c r="R8" i="60"/>
  <c r="P3" i="80" s="1"/>
  <c r="O14" i="59"/>
  <c r="O6" i="59"/>
  <c r="M286" i="63"/>
  <c r="M289" i="63" s="1"/>
  <c r="M343" i="63"/>
  <c r="M300" i="63"/>
  <c r="M304" i="63" s="1"/>
  <c r="M310" i="63" s="1"/>
  <c r="L58" i="63"/>
  <c r="L55" i="63"/>
  <c r="I210" i="63"/>
  <c r="I206" i="63" s="1"/>
  <c r="I219" i="63" s="1"/>
  <c r="H74" i="73"/>
  <c r="H73" i="73"/>
  <c r="H75" i="73"/>
  <c r="P89" i="63"/>
  <c r="P90" i="63" s="1"/>
  <c r="P130" i="63"/>
  <c r="P129" i="63" s="1"/>
  <c r="P145" i="63"/>
  <c r="P233" i="63"/>
  <c r="P232" i="63" s="1"/>
  <c r="P165" i="63"/>
  <c r="P164" i="63" s="1"/>
  <c r="P199" i="63"/>
  <c r="P214" i="63"/>
  <c r="P248" i="63"/>
  <c r="P58" i="46"/>
  <c r="P102" i="63"/>
  <c r="P103" i="63" s="1"/>
  <c r="P180" i="63"/>
  <c r="I90" i="46"/>
  <c r="N23" i="59"/>
  <c r="N27" i="59"/>
  <c r="N22" i="59"/>
  <c r="N26" i="59"/>
  <c r="N1076" i="59" s="1"/>
  <c r="N21" i="59"/>
  <c r="N25" i="59"/>
  <c r="N20" i="59"/>
  <c r="N24" i="59"/>
  <c r="N28" i="59"/>
  <c r="K58" i="63"/>
  <c r="K55" i="63"/>
  <c r="K54" i="73"/>
  <c r="J60" i="73"/>
  <c r="L135" i="63"/>
  <c r="I927" i="59"/>
  <c r="H192" i="59" l="1"/>
  <c r="I246" i="59"/>
  <c r="I248" i="59" s="1"/>
  <c r="I196" i="59" s="1"/>
  <c r="J244" i="59"/>
  <c r="N182" i="59"/>
  <c r="N187" i="59" s="1"/>
  <c r="M144" i="59"/>
  <c r="N144" i="59" s="1"/>
  <c r="M147" i="59"/>
  <c r="N146" i="59"/>
  <c r="H246" i="59"/>
  <c r="H248" i="59" s="1"/>
  <c r="H196" i="59" s="1"/>
  <c r="H190" i="59" s="1"/>
  <c r="M145" i="59"/>
  <c r="J58" i="60"/>
  <c r="J124" i="60" s="1"/>
  <c r="J156" i="60"/>
  <c r="L922" i="59"/>
  <c r="L923" i="59" s="1"/>
  <c r="M920" i="59" s="1"/>
  <c r="O132" i="59"/>
  <c r="J16" i="60"/>
  <c r="J112" i="60" s="1"/>
  <c r="Q73" i="59"/>
  <c r="Q57" i="59"/>
  <c r="M50" i="63"/>
  <c r="M55" i="63" s="1"/>
  <c r="M72" i="59"/>
  <c r="M56" i="59"/>
  <c r="M59" i="59" s="1"/>
  <c r="L115" i="59"/>
  <c r="L127" i="59" s="1"/>
  <c r="J1028" i="59"/>
  <c r="J185" i="59"/>
  <c r="O79" i="46"/>
  <c r="O71" i="46"/>
  <c r="O72" i="46" s="1"/>
  <c r="O53" i="46"/>
  <c r="N59" i="46" s="1"/>
  <c r="O173" i="59"/>
  <c r="O175" i="59" s="1"/>
  <c r="O285" i="63"/>
  <c r="O300" i="63" s="1"/>
  <c r="O304" i="63" s="1"/>
  <c r="O310" i="63" s="1"/>
  <c r="O290" i="59"/>
  <c r="P50" i="46"/>
  <c r="P70" i="46"/>
  <c r="M256" i="59"/>
  <c r="M844" i="59"/>
  <c r="M789" i="59"/>
  <c r="M94" i="59"/>
  <c r="M97" i="59" s="1"/>
  <c r="M508" i="59"/>
  <c r="I212" i="63"/>
  <c r="J209" i="63" s="1"/>
  <c r="J212" i="63" s="1"/>
  <c r="K209" i="63" s="1"/>
  <c r="M304" i="59"/>
  <c r="M309" i="59" s="1"/>
  <c r="M298" i="59"/>
  <c r="M564" i="59"/>
  <c r="M1020" i="59"/>
  <c r="M619" i="59"/>
  <c r="M453" i="59"/>
  <c r="M915" i="59"/>
  <c r="M916" i="59" s="1"/>
  <c r="M106" i="59"/>
  <c r="M111" i="59" s="1"/>
  <c r="M733" i="59"/>
  <c r="M45" i="73"/>
  <c r="M81" i="73" s="1"/>
  <c r="Q37" i="46"/>
  <c r="Q50" i="46" s="1"/>
  <c r="M678" i="59"/>
  <c r="P249" i="63"/>
  <c r="P361" i="63"/>
  <c r="P146" i="63"/>
  <c r="P181" i="63"/>
  <c r="O20" i="59"/>
  <c r="O24" i="59"/>
  <c r="O28" i="59"/>
  <c r="O23" i="59"/>
  <c r="O27" i="59"/>
  <c r="O22" i="59"/>
  <c r="O26" i="59"/>
  <c r="O1076" i="59" s="1"/>
  <c r="O21" i="59"/>
  <c r="O25" i="59"/>
  <c r="O200" i="63"/>
  <c r="O204" i="63"/>
  <c r="O201" i="63"/>
  <c r="I220" i="59"/>
  <c r="I185" i="59"/>
  <c r="I1028" i="59"/>
  <c r="I16" i="60"/>
  <c r="I112" i="60" s="1"/>
  <c r="Q5" i="68"/>
  <c r="Q5" i="73"/>
  <c r="Q5" i="63"/>
  <c r="Q5" i="59"/>
  <c r="Q6" i="60"/>
  <c r="Q7" i="60" s="1"/>
  <c r="K324" i="59"/>
  <c r="P6" i="63"/>
  <c r="P13" i="63"/>
  <c r="H193" i="59"/>
  <c r="H194" i="59"/>
  <c r="M170" i="63"/>
  <c r="K83" i="46"/>
  <c r="K90" i="46" s="1"/>
  <c r="N43" i="68"/>
  <c r="N46" i="68" s="1"/>
  <c r="N20" i="68"/>
  <c r="N21" i="68" s="1"/>
  <c r="K926" i="59"/>
  <c r="K927" i="59" s="1"/>
  <c r="I219" i="59"/>
  <c r="L80" i="46"/>
  <c r="L62" i="46"/>
  <c r="M63" i="46" s="1"/>
  <c r="T17" i="46"/>
  <c r="T123" i="59"/>
  <c r="T124" i="59" s="1"/>
  <c r="U14" i="46"/>
  <c r="T15" i="46"/>
  <c r="T178" i="59"/>
  <c r="T179" i="59" s="1"/>
  <c r="T621" i="59"/>
  <c r="T510" i="59"/>
  <c r="T566" i="59"/>
  <c r="T680" i="59"/>
  <c r="T735" i="59"/>
  <c r="T791" i="59"/>
  <c r="T846" i="59"/>
  <c r="T455" i="59"/>
  <c r="I58" i="60"/>
  <c r="I124" i="60" s="1"/>
  <c r="I156" i="60"/>
  <c r="L54" i="73"/>
  <c r="K60" i="73"/>
  <c r="K56" i="63"/>
  <c r="L56" i="63" s="1"/>
  <c r="I6" i="68"/>
  <c r="I6" i="46"/>
  <c r="I7" i="73"/>
  <c r="I7" i="63"/>
  <c r="I8" i="59"/>
  <c r="I9" i="60"/>
  <c r="N286" i="63"/>
  <c r="N289" i="63" s="1"/>
  <c r="N300" i="63"/>
  <c r="N304" i="63" s="1"/>
  <c r="N310" i="63" s="1"/>
  <c r="N343" i="63"/>
  <c r="N54" i="46"/>
  <c r="M59" i="46"/>
  <c r="I1045" i="59"/>
  <c r="L342" i="59"/>
  <c r="L216" i="59" s="1"/>
  <c r="L29" i="60"/>
  <c r="L345" i="59"/>
  <c r="L219" i="59" s="1"/>
  <c r="L32" i="60"/>
  <c r="O17" i="68"/>
  <c r="O42" i="68"/>
  <c r="O60" i="68"/>
  <c r="Q58" i="46"/>
  <c r="Q165" i="63"/>
  <c r="Q164" i="63" s="1"/>
  <c r="Q180" i="63"/>
  <c r="Q145" i="63"/>
  <c r="Q89" i="63"/>
  <c r="Q90" i="63" s="1"/>
  <c r="Q102" i="63"/>
  <c r="Q103" i="63" s="1"/>
  <c r="Q130" i="63"/>
  <c r="Q129" i="63" s="1"/>
  <c r="Q199" i="63"/>
  <c r="Q214" i="63"/>
  <c r="Q233" i="63"/>
  <c r="Q232" i="63" s="1"/>
  <c r="Q248" i="63"/>
  <c r="K323" i="59"/>
  <c r="K321" i="59"/>
  <c r="P6" i="73"/>
  <c r="P13" i="73"/>
  <c r="M135" i="63"/>
  <c r="R5" i="46"/>
  <c r="R36" i="46"/>
  <c r="R49" i="46" s="1"/>
  <c r="R24" i="46"/>
  <c r="R26" i="46" s="1"/>
  <c r="R28" i="46"/>
  <c r="O19" i="63"/>
  <c r="O23" i="63"/>
  <c r="O27" i="63"/>
  <c r="O22" i="63"/>
  <c r="O26" i="63"/>
  <c r="O21" i="63"/>
  <c r="O25" i="63"/>
  <c r="O20" i="63"/>
  <c r="O24" i="63"/>
  <c r="L31" i="60"/>
  <c r="L344" i="59"/>
  <c r="L218" i="59" s="1"/>
  <c r="Q95" i="59"/>
  <c r="Q96" i="59" s="1"/>
  <c r="Q107" i="59"/>
  <c r="Q108" i="59" s="1"/>
  <c r="Q299" i="59"/>
  <c r="K325" i="59"/>
  <c r="P16" i="68"/>
  <c r="P24" i="68"/>
  <c r="N166" i="63"/>
  <c r="N234" i="63"/>
  <c r="N131" i="63"/>
  <c r="O19" i="73"/>
  <c r="O21" i="73"/>
  <c r="O23" i="73"/>
  <c r="O25" i="73"/>
  <c r="O27" i="73"/>
  <c r="O20" i="73"/>
  <c r="O22" i="73"/>
  <c r="O24" i="73"/>
  <c r="O26" i="73"/>
  <c r="L87" i="73"/>
  <c r="R4" i="68"/>
  <c r="R4" i="59"/>
  <c r="R4" i="73"/>
  <c r="R4" i="63"/>
  <c r="R5" i="60"/>
  <c r="P215" i="63"/>
  <c r="P211" i="63" s="1"/>
  <c r="P198" i="63"/>
  <c r="R79" i="60"/>
  <c r="P11" i="80" s="1"/>
  <c r="L346" i="59"/>
  <c r="L220" i="59" s="1"/>
  <c r="J6" i="46"/>
  <c r="J6" i="68"/>
  <c r="J7" i="73"/>
  <c r="J7" i="63"/>
  <c r="J8" i="59"/>
  <c r="J9" i="60"/>
  <c r="P14" i="63"/>
  <c r="P15" i="59"/>
  <c r="P14" i="73"/>
  <c r="Q365" i="59"/>
  <c r="Q373" i="59" s="1"/>
  <c r="Q381" i="59" s="1"/>
  <c r="P6" i="59"/>
  <c r="P14" i="59"/>
  <c r="N235" i="63"/>
  <c r="N132" i="63"/>
  <c r="N167" i="63"/>
  <c r="I216" i="59"/>
  <c r="M238" i="63"/>
  <c r="N72" i="46"/>
  <c r="S4" i="46"/>
  <c r="S23" i="46"/>
  <c r="T22" i="46"/>
  <c r="S35" i="46"/>
  <c r="S7" i="59"/>
  <c r="S51" i="63"/>
  <c r="S113" i="63"/>
  <c r="S115" i="63" s="1"/>
  <c r="S118" i="63" s="1"/>
  <c r="S239" i="59"/>
  <c r="S241" i="59" s="1"/>
  <c r="S912" i="59"/>
  <c r="S8" i="60"/>
  <c r="Q3" i="80" s="1"/>
  <c r="L67" i="46"/>
  <c r="L82" i="46" s="1"/>
  <c r="I218" i="59"/>
  <c r="O182" i="59" l="1"/>
  <c r="O187" i="59" s="1"/>
  <c r="O144" i="59"/>
  <c r="N147" i="59"/>
  <c r="O146" i="59"/>
  <c r="N145" i="59"/>
  <c r="M58" i="63"/>
  <c r="M925" i="59"/>
  <c r="N922" i="59" s="1"/>
  <c r="P132" i="59"/>
  <c r="Q132" i="59"/>
  <c r="L119" i="59"/>
  <c r="N72" i="59"/>
  <c r="N56" i="59"/>
  <c r="N59" i="59" s="1"/>
  <c r="O56" i="59"/>
  <c r="O72" i="59"/>
  <c r="M115" i="59"/>
  <c r="M127" i="59" s="1"/>
  <c r="R57" i="59"/>
  <c r="R73" i="59"/>
  <c r="P173" i="59"/>
  <c r="P175" i="59" s="1"/>
  <c r="P53" i="46"/>
  <c r="O59" i="46" s="1"/>
  <c r="P285" i="63"/>
  <c r="P300" i="63" s="1"/>
  <c r="P304" i="63" s="1"/>
  <c r="P310" i="63" s="1"/>
  <c r="O286" i="63"/>
  <c r="O289" i="63" s="1"/>
  <c r="O54" i="46"/>
  <c r="P71" i="46"/>
  <c r="P72" i="46" s="1"/>
  <c r="O343" i="63"/>
  <c r="P79" i="46"/>
  <c r="P290" i="59"/>
  <c r="O256" i="59"/>
  <c r="O564" i="59"/>
  <c r="O733" i="59"/>
  <c r="O304" i="59"/>
  <c r="O309" i="59" s="1"/>
  <c r="O106" i="59"/>
  <c r="O453" i="59"/>
  <c r="O508" i="59"/>
  <c r="J206" i="63"/>
  <c r="J219" i="63" s="1"/>
  <c r="M1106" i="59"/>
  <c r="M1109" i="59" s="1"/>
  <c r="M266" i="59"/>
  <c r="M321" i="59" s="1"/>
  <c r="M342" i="59" s="1"/>
  <c r="M216" i="59" s="1"/>
  <c r="M268" i="59"/>
  <c r="M323" i="59" s="1"/>
  <c r="M344" i="59" s="1"/>
  <c r="M218" i="59" s="1"/>
  <c r="M269" i="59"/>
  <c r="M324" i="59" s="1"/>
  <c r="M345" i="59" s="1"/>
  <c r="M219" i="59" s="1"/>
  <c r="M270" i="59"/>
  <c r="M325" i="59" s="1"/>
  <c r="M346" i="59" s="1"/>
  <c r="M220" i="59" s="1"/>
  <c r="M1071" i="59"/>
  <c r="Q70" i="46"/>
  <c r="O298" i="59"/>
  <c r="Q78" i="46"/>
  <c r="O94" i="59"/>
  <c r="O678" i="59"/>
  <c r="O50" i="63"/>
  <c r="O55" i="63" s="1"/>
  <c r="O1020" i="59"/>
  <c r="O619" i="59"/>
  <c r="O45" i="73"/>
  <c r="O844" i="59"/>
  <c r="O915" i="59"/>
  <c r="O916" i="59" s="1"/>
  <c r="O789" i="59"/>
  <c r="Q14" i="73"/>
  <c r="Q14" i="63"/>
  <c r="Q15" i="59"/>
  <c r="R365" i="59"/>
  <c r="R373" i="59" s="1"/>
  <c r="R381" i="59" s="1"/>
  <c r="L210" i="63"/>
  <c r="K58" i="60"/>
  <c r="K124" i="60" s="1"/>
  <c r="K156" i="60"/>
  <c r="K6" i="46"/>
  <c r="K7" i="73"/>
  <c r="K7" i="63"/>
  <c r="K8" i="59"/>
  <c r="K6" i="68"/>
  <c r="K9" i="60"/>
  <c r="N238" i="63"/>
  <c r="M56" i="63"/>
  <c r="O167" i="63"/>
  <c r="O235" i="63"/>
  <c r="O132" i="63"/>
  <c r="R107" i="59"/>
  <c r="R108" i="59" s="1"/>
  <c r="R95" i="59"/>
  <c r="R96" i="59" s="1"/>
  <c r="R299" i="59"/>
  <c r="K342" i="59"/>
  <c r="K29" i="60"/>
  <c r="U15" i="46"/>
  <c r="U17" i="46"/>
  <c r="U123" i="59"/>
  <c r="U124" i="59" s="1"/>
  <c r="V14" i="46"/>
  <c r="U510" i="59"/>
  <c r="U566" i="59"/>
  <c r="U178" i="59"/>
  <c r="U179" i="59" s="1"/>
  <c r="U455" i="59"/>
  <c r="U680" i="59"/>
  <c r="U735" i="59"/>
  <c r="U621" i="59"/>
  <c r="U791" i="59"/>
  <c r="U846" i="59"/>
  <c r="Q6" i="73"/>
  <c r="Q13" i="73"/>
  <c r="T4" i="46"/>
  <c r="T23" i="46"/>
  <c r="U22" i="46"/>
  <c r="T35" i="46"/>
  <c r="N106" i="59"/>
  <c r="N111" i="59" s="1"/>
  <c r="N94" i="59"/>
  <c r="N97" i="59" s="1"/>
  <c r="N50" i="63"/>
  <c r="N45" i="73"/>
  <c r="N81" i="73" s="1"/>
  <c r="N256" i="59"/>
  <c r="N915" i="59"/>
  <c r="N916" i="59" s="1"/>
  <c r="N619" i="59"/>
  <c r="N564" i="59"/>
  <c r="N1020" i="59"/>
  <c r="N298" i="59"/>
  <c r="N304" i="59"/>
  <c r="N309" i="59" s="1"/>
  <c r="N453" i="59"/>
  <c r="N508" i="59"/>
  <c r="N678" i="59"/>
  <c r="N733" i="59"/>
  <c r="N789" i="59"/>
  <c r="N844" i="59"/>
  <c r="P21" i="59"/>
  <c r="P25" i="59"/>
  <c r="P20" i="59"/>
  <c r="P24" i="59"/>
  <c r="P28" i="59"/>
  <c r="P23" i="59"/>
  <c r="P27" i="59"/>
  <c r="P22" i="59"/>
  <c r="P26" i="59"/>
  <c r="P1076" i="59" s="1"/>
  <c r="P201" i="63"/>
  <c r="P200" i="63"/>
  <c r="P204" i="63"/>
  <c r="N170" i="63"/>
  <c r="O234" i="63"/>
  <c r="O131" i="63"/>
  <c r="O166" i="63"/>
  <c r="Q215" i="63"/>
  <c r="Q211" i="63" s="1"/>
  <c r="Q198" i="63"/>
  <c r="M81" i="46"/>
  <c r="M66" i="46"/>
  <c r="M67" i="46" s="1"/>
  <c r="M82" i="46" s="1"/>
  <c r="P20" i="63"/>
  <c r="P24" i="63"/>
  <c r="P19" i="63"/>
  <c r="P23" i="63"/>
  <c r="P27" i="63"/>
  <c r="P22" i="63"/>
  <c r="P26" i="63"/>
  <c r="P21" i="63"/>
  <c r="P25" i="63"/>
  <c r="Q16" i="68"/>
  <c r="Q24" i="68"/>
  <c r="S36" i="46"/>
  <c r="S49" i="46" s="1"/>
  <c r="S5" i="46"/>
  <c r="S24" i="46"/>
  <c r="S26" i="46" s="1"/>
  <c r="S28" i="46"/>
  <c r="K119" i="59"/>
  <c r="P60" i="68"/>
  <c r="P17" i="68"/>
  <c r="P42" i="68"/>
  <c r="K346" i="59"/>
  <c r="N80" i="46"/>
  <c r="N62" i="46"/>
  <c r="O63" i="46" s="1"/>
  <c r="Q71" i="46"/>
  <c r="Q53" i="46"/>
  <c r="Q285" i="63"/>
  <c r="Q79" i="46"/>
  <c r="Q173" i="59"/>
  <c r="Q175" i="59" s="1"/>
  <c r="Q290" i="59"/>
  <c r="R89" i="63"/>
  <c r="R90" i="63" s="1"/>
  <c r="R130" i="63"/>
  <c r="R129" i="63" s="1"/>
  <c r="R199" i="63"/>
  <c r="R214" i="63"/>
  <c r="R248" i="63"/>
  <c r="R58" i="46"/>
  <c r="R102" i="63"/>
  <c r="R103" i="63" s="1"/>
  <c r="R180" i="63"/>
  <c r="R233" i="63"/>
  <c r="R232" i="63" s="1"/>
  <c r="R145" i="63"/>
  <c r="R165" i="63"/>
  <c r="R164" i="63" s="1"/>
  <c r="K31" i="60"/>
  <c r="K344" i="59"/>
  <c r="Q361" i="63"/>
  <c r="Q181" i="63"/>
  <c r="Q146" i="63"/>
  <c r="Q249" i="63"/>
  <c r="O43" i="68"/>
  <c r="O46" i="68" s="1"/>
  <c r="O20" i="68"/>
  <c r="O21" i="68" s="1"/>
  <c r="M80" i="46"/>
  <c r="M62" i="46"/>
  <c r="N63" i="46" s="1"/>
  <c r="L361" i="59"/>
  <c r="L83" i="46"/>
  <c r="L90" i="46" s="1"/>
  <c r="Q6" i="59"/>
  <c r="Q14" i="59"/>
  <c r="I189" i="59"/>
  <c r="S79" i="60"/>
  <c r="Q11" i="80" s="1"/>
  <c r="S4" i="73"/>
  <c r="S4" i="63"/>
  <c r="S4" i="68"/>
  <c r="S4" i="59"/>
  <c r="S5" i="60"/>
  <c r="M87" i="73"/>
  <c r="N135" i="63"/>
  <c r="R5" i="59"/>
  <c r="R5" i="68"/>
  <c r="R5" i="73"/>
  <c r="R5" i="63"/>
  <c r="R6" i="60"/>
  <c r="R7" i="60" s="1"/>
  <c r="P20" i="73"/>
  <c r="P22" i="73"/>
  <c r="P24" i="73"/>
  <c r="P26" i="73"/>
  <c r="P19" i="73"/>
  <c r="P21" i="73"/>
  <c r="P23" i="73"/>
  <c r="P25" i="73"/>
  <c r="P27" i="73"/>
  <c r="K210" i="63"/>
  <c r="M54" i="73"/>
  <c r="L60" i="73"/>
  <c r="T51" i="63"/>
  <c r="T113" i="63"/>
  <c r="T115" i="63" s="1"/>
  <c r="T118" i="63" s="1"/>
  <c r="T7" i="59"/>
  <c r="T239" i="59"/>
  <c r="T241" i="59" s="1"/>
  <c r="T912" i="59"/>
  <c r="T8" i="60"/>
  <c r="R3" i="80" s="1"/>
  <c r="R37" i="46"/>
  <c r="K345" i="59"/>
  <c r="K32" i="60"/>
  <c r="Q6" i="63"/>
  <c r="Q13" i="63"/>
  <c r="I73" i="73"/>
  <c r="I75" i="73"/>
  <c r="I74" i="73"/>
  <c r="I192" i="59" l="1"/>
  <c r="I190" i="59"/>
  <c r="Q182" i="59"/>
  <c r="Q187" i="59" s="1"/>
  <c r="P182" i="59"/>
  <c r="P187" i="59" s="1"/>
  <c r="O147" i="59"/>
  <c r="P144" i="59"/>
  <c r="P146" i="59"/>
  <c r="O145" i="59"/>
  <c r="O59" i="59"/>
  <c r="M926" i="59"/>
  <c r="M927" i="59" s="1"/>
  <c r="O925" i="59"/>
  <c r="P922" i="59" s="1"/>
  <c r="L16" i="60"/>
  <c r="L112" i="60" s="1"/>
  <c r="L1028" i="59"/>
  <c r="L185" i="59"/>
  <c r="M119" i="59"/>
  <c r="O266" i="59"/>
  <c r="O321" i="59" s="1"/>
  <c r="O342" i="59" s="1"/>
  <c r="O216" i="59" s="1"/>
  <c r="N115" i="59"/>
  <c r="N127" i="59" s="1"/>
  <c r="P298" i="59"/>
  <c r="P56" i="59"/>
  <c r="P72" i="59"/>
  <c r="S73" i="59"/>
  <c r="S57" i="59"/>
  <c r="O97" i="59"/>
  <c r="O111" i="59"/>
  <c r="P286" i="63"/>
  <c r="P289" i="63" s="1"/>
  <c r="P343" i="63"/>
  <c r="P54" i="46"/>
  <c r="Q54" i="46" s="1"/>
  <c r="O268" i="59"/>
  <c r="O323" i="59" s="1"/>
  <c r="O31" i="60" s="1"/>
  <c r="O269" i="59"/>
  <c r="O324" i="59" s="1"/>
  <c r="O32" i="60" s="1"/>
  <c r="O270" i="59"/>
  <c r="O325" i="59" s="1"/>
  <c r="O346" i="59" s="1"/>
  <c r="O220" i="59" s="1"/>
  <c r="P1020" i="59"/>
  <c r="P106" i="59"/>
  <c r="M32" i="60"/>
  <c r="O1071" i="59"/>
  <c r="O1106" i="59"/>
  <c r="O1109" i="59" s="1"/>
  <c r="P453" i="59"/>
  <c r="P45" i="73"/>
  <c r="P256" i="59"/>
  <c r="P844" i="59"/>
  <c r="P733" i="59"/>
  <c r="P678" i="59"/>
  <c r="P304" i="59"/>
  <c r="P309" i="59" s="1"/>
  <c r="P94" i="59"/>
  <c r="M29" i="60"/>
  <c r="M31" i="60"/>
  <c r="P789" i="59"/>
  <c r="P50" i="63"/>
  <c r="P58" i="63" s="1"/>
  <c r="P915" i="59"/>
  <c r="P916" i="59" s="1"/>
  <c r="P508" i="59"/>
  <c r="P619" i="59"/>
  <c r="O58" i="63"/>
  <c r="P564" i="59"/>
  <c r="Q72" i="46"/>
  <c r="O135" i="63"/>
  <c r="O238" i="63"/>
  <c r="O170" i="63"/>
  <c r="R14" i="73"/>
  <c r="R14" i="63"/>
  <c r="R15" i="59"/>
  <c r="S365" i="59"/>
  <c r="S373" i="59" s="1"/>
  <c r="S381" i="59" s="1"/>
  <c r="L6" i="68"/>
  <c r="L7" i="73"/>
  <c r="L7" i="63"/>
  <c r="L8" i="59"/>
  <c r="L6" i="46"/>
  <c r="L9" i="60"/>
  <c r="K219" i="59"/>
  <c r="T79" i="60"/>
  <c r="R11" i="80" s="1"/>
  <c r="R14" i="59"/>
  <c r="R6" i="59"/>
  <c r="Q22" i="59"/>
  <c r="Q26" i="59"/>
  <c r="Q1076" i="59" s="1"/>
  <c r="Q21" i="59"/>
  <c r="Q25" i="59"/>
  <c r="Q20" i="59"/>
  <c r="Q24" i="59"/>
  <c r="Q28" i="59"/>
  <c r="Q23" i="59"/>
  <c r="Q27" i="59"/>
  <c r="M361" i="59"/>
  <c r="M83" i="46"/>
  <c r="M90" i="46" s="1"/>
  <c r="K218" i="59"/>
  <c r="R181" i="63"/>
  <c r="R146" i="63"/>
  <c r="R249" i="63"/>
  <c r="R361" i="63"/>
  <c r="N361" i="59"/>
  <c r="S5" i="59"/>
  <c r="S5" i="68"/>
  <c r="S5" i="73"/>
  <c r="S5" i="63"/>
  <c r="S6" i="60"/>
  <c r="S7" i="60" s="1"/>
  <c r="P235" i="63"/>
  <c r="P132" i="63"/>
  <c r="P167" i="63"/>
  <c r="Q204" i="63"/>
  <c r="Q201" i="63"/>
  <c r="Q200" i="63"/>
  <c r="U35" i="46"/>
  <c r="U4" i="46"/>
  <c r="U23" i="46"/>
  <c r="V22" i="46"/>
  <c r="Q20" i="73"/>
  <c r="Q22" i="73"/>
  <c r="Q24" i="73"/>
  <c r="Q26" i="73"/>
  <c r="Q19" i="73"/>
  <c r="Q21" i="73"/>
  <c r="Q23" i="73"/>
  <c r="Q25" i="73"/>
  <c r="Q27" i="73"/>
  <c r="U51" i="63"/>
  <c r="U113" i="63"/>
  <c r="U115" i="63" s="1"/>
  <c r="U118" i="63" s="1"/>
  <c r="U7" i="59"/>
  <c r="U912" i="59"/>
  <c r="U239" i="59"/>
  <c r="U241" i="59" s="1"/>
  <c r="U8" i="60"/>
  <c r="S3" i="80" s="1"/>
  <c r="K212" i="63"/>
  <c r="L209" i="63" s="1"/>
  <c r="R6" i="63"/>
  <c r="R13" i="63"/>
  <c r="N87" i="73"/>
  <c r="O81" i="73"/>
  <c r="P131" i="63"/>
  <c r="P234" i="63"/>
  <c r="P166" i="63"/>
  <c r="O80" i="46"/>
  <c r="O62" i="46"/>
  <c r="P63" i="46" s="1"/>
  <c r="N58" i="63"/>
  <c r="N55" i="63"/>
  <c r="T24" i="46"/>
  <c r="T26" i="46" s="1"/>
  <c r="T28" i="46"/>
  <c r="T5" i="46"/>
  <c r="T36" i="46"/>
  <c r="T49" i="46" s="1"/>
  <c r="W14" i="46"/>
  <c r="V15" i="46"/>
  <c r="V17" i="46"/>
  <c r="V123" i="59"/>
  <c r="V124" i="59" s="1"/>
  <c r="V455" i="59"/>
  <c r="V178" i="59"/>
  <c r="V179" i="59" s="1"/>
  <c r="V621" i="59"/>
  <c r="V510" i="59"/>
  <c r="V735" i="59"/>
  <c r="V791" i="59"/>
  <c r="V846" i="59"/>
  <c r="V566" i="59"/>
  <c r="V680" i="59"/>
  <c r="R6" i="73"/>
  <c r="R13" i="73"/>
  <c r="I194" i="59"/>
  <c r="I193" i="59"/>
  <c r="R215" i="63"/>
  <c r="R211" i="63" s="1"/>
  <c r="R198" i="63"/>
  <c r="Q286" i="63"/>
  <c r="Q289" i="63" s="1"/>
  <c r="Q343" i="63"/>
  <c r="Q300" i="63"/>
  <c r="Q304" i="63" s="1"/>
  <c r="Q310" i="63" s="1"/>
  <c r="K220" i="59"/>
  <c r="P20" i="68"/>
  <c r="P21" i="68" s="1"/>
  <c r="P43" i="68"/>
  <c r="P46" i="68" s="1"/>
  <c r="K1028" i="59"/>
  <c r="K185" i="59"/>
  <c r="K16" i="60"/>
  <c r="K112" i="60" s="1"/>
  <c r="S107" i="59"/>
  <c r="S108" i="59" s="1"/>
  <c r="S95" i="59"/>
  <c r="S96" i="59" s="1"/>
  <c r="S299" i="59"/>
  <c r="S102" i="63"/>
  <c r="S103" i="63" s="1"/>
  <c r="S165" i="63"/>
  <c r="S164" i="63" s="1"/>
  <c r="S199" i="63"/>
  <c r="S214" i="63"/>
  <c r="S248" i="63"/>
  <c r="S58" i="46"/>
  <c r="S89" i="63"/>
  <c r="S90" i="63" s="1"/>
  <c r="S130" i="63"/>
  <c r="S129" i="63" s="1"/>
  <c r="S180" i="63"/>
  <c r="S145" i="63"/>
  <c r="S233" i="63"/>
  <c r="S232" i="63" s="1"/>
  <c r="Q60" i="68"/>
  <c r="Q17" i="68"/>
  <c r="Q42" i="68"/>
  <c r="N1071" i="59"/>
  <c r="N1106" i="59"/>
  <c r="N1109" i="59" s="1"/>
  <c r="T4" i="73"/>
  <c r="T4" i="63"/>
  <c r="T4" i="68"/>
  <c r="T4" i="59"/>
  <c r="T5" i="60"/>
  <c r="Q21" i="63"/>
  <c r="Q25" i="63"/>
  <c r="Q20" i="63"/>
  <c r="Q24" i="63"/>
  <c r="Q19" i="63"/>
  <c r="Q23" i="63"/>
  <c r="Q27" i="63"/>
  <c r="Q22" i="63"/>
  <c r="Q26" i="63"/>
  <c r="R50" i="46"/>
  <c r="R78" i="46"/>
  <c r="R70" i="46"/>
  <c r="N54" i="73"/>
  <c r="M60" i="73"/>
  <c r="R24" i="68"/>
  <c r="R16" i="68"/>
  <c r="N81" i="46"/>
  <c r="N66" i="46"/>
  <c r="N67" i="46" s="1"/>
  <c r="N82" i="46" s="1"/>
  <c r="P59" i="46"/>
  <c r="O81" i="46"/>
  <c r="O66" i="46"/>
  <c r="N270" i="59"/>
  <c r="N325" i="59" s="1"/>
  <c r="N269" i="59"/>
  <c r="N324" i="59" s="1"/>
  <c r="N268" i="59"/>
  <c r="N323" i="59" s="1"/>
  <c r="N266" i="59"/>
  <c r="N321" i="59" s="1"/>
  <c r="K216" i="59"/>
  <c r="M210" i="63"/>
  <c r="K206" i="63"/>
  <c r="S37" i="46"/>
  <c r="P147" i="59" l="1"/>
  <c r="Q147" i="59" s="1"/>
  <c r="Q144" i="59"/>
  <c r="Q146" i="59"/>
  <c r="P145" i="59"/>
  <c r="P59" i="59"/>
  <c r="O926" i="59"/>
  <c r="O927" i="59" s="1"/>
  <c r="M58" i="60"/>
  <c r="M124" i="60" s="1"/>
  <c r="M156" i="60"/>
  <c r="P925" i="59"/>
  <c r="Q922" i="59" s="1"/>
  <c r="R132" i="59"/>
  <c r="O29" i="60"/>
  <c r="P111" i="59"/>
  <c r="P97" i="59"/>
  <c r="Q1020" i="59"/>
  <c r="Q56" i="59"/>
  <c r="Q72" i="59"/>
  <c r="T73" i="59"/>
  <c r="T57" i="59"/>
  <c r="O115" i="59"/>
  <c r="O127" i="59" s="1"/>
  <c r="P1106" i="59"/>
  <c r="P1109" i="59" s="1"/>
  <c r="M185" i="59"/>
  <c r="O345" i="59"/>
  <c r="O219" i="59" s="1"/>
  <c r="O344" i="59"/>
  <c r="O218" i="59" s="1"/>
  <c r="Q678" i="59"/>
  <c r="P1071" i="59"/>
  <c r="P266" i="59"/>
  <c r="P321" i="59" s="1"/>
  <c r="P342" i="59" s="1"/>
  <c r="P216" i="59" s="1"/>
  <c r="P268" i="59"/>
  <c r="P323" i="59" s="1"/>
  <c r="P31" i="60" s="1"/>
  <c r="P269" i="59"/>
  <c r="P324" i="59" s="1"/>
  <c r="P345" i="59" s="1"/>
  <c r="P219" i="59" s="1"/>
  <c r="P270" i="59"/>
  <c r="P325" i="59" s="1"/>
  <c r="M1028" i="59"/>
  <c r="M16" i="60"/>
  <c r="M112" i="60" s="1"/>
  <c r="Q94" i="59"/>
  <c r="Q453" i="59"/>
  <c r="Q256" i="59"/>
  <c r="P238" i="63"/>
  <c r="Q915" i="59"/>
  <c r="Q916" i="59" s="1"/>
  <c r="Q925" i="59" s="1"/>
  <c r="P55" i="63"/>
  <c r="Q304" i="59"/>
  <c r="Q309" i="59" s="1"/>
  <c r="O67" i="46"/>
  <c r="O82" i="46" s="1"/>
  <c r="O83" i="46" s="1"/>
  <c r="O90" i="46" s="1"/>
  <c r="Q508" i="59"/>
  <c r="Q50" i="63"/>
  <c r="Q58" i="63" s="1"/>
  <c r="Q564" i="59"/>
  <c r="Q844" i="59"/>
  <c r="Q298" i="59"/>
  <c r="P135" i="63"/>
  <c r="T37" i="46"/>
  <c r="T78" i="46" s="1"/>
  <c r="Q789" i="59"/>
  <c r="Q106" i="59"/>
  <c r="Q733" i="59"/>
  <c r="Q45" i="73"/>
  <c r="Q619" i="59"/>
  <c r="N83" i="46"/>
  <c r="N90" i="46" s="1"/>
  <c r="P170" i="63"/>
  <c r="M6" i="68"/>
  <c r="M6" i="46"/>
  <c r="M7" i="73"/>
  <c r="M7" i="63"/>
  <c r="M8" i="59"/>
  <c r="M9" i="60"/>
  <c r="K219" i="63"/>
  <c r="N346" i="59"/>
  <c r="P80" i="46"/>
  <c r="P62" i="46"/>
  <c r="Q63" i="46" s="1"/>
  <c r="R53" i="46"/>
  <c r="R79" i="46"/>
  <c r="R71" i="46"/>
  <c r="R285" i="63"/>
  <c r="R290" i="59"/>
  <c r="R173" i="59"/>
  <c r="R175" i="59" s="1"/>
  <c r="N119" i="59"/>
  <c r="T107" i="59"/>
  <c r="T108" i="59" s="1"/>
  <c r="T95" i="59"/>
  <c r="T96" i="59" s="1"/>
  <c r="T299" i="59"/>
  <c r="P66" i="46"/>
  <c r="P81" i="46"/>
  <c r="V4" i="46"/>
  <c r="V23" i="46"/>
  <c r="V35" i="46"/>
  <c r="W22" i="46"/>
  <c r="S6" i="63"/>
  <c r="S13" i="63"/>
  <c r="S78" i="46"/>
  <c r="S70" i="46"/>
  <c r="S50" i="46"/>
  <c r="N342" i="59"/>
  <c r="N29" i="60"/>
  <c r="N31" i="60"/>
  <c r="N344" i="59"/>
  <c r="R42" i="68"/>
  <c r="R60" i="68"/>
  <c r="R17" i="68"/>
  <c r="Q234" i="63"/>
  <c r="Q166" i="63"/>
  <c r="Q131" i="63"/>
  <c r="Q20" i="68"/>
  <c r="Q21" i="68" s="1"/>
  <c r="Q43" i="68"/>
  <c r="Q46" i="68" s="1"/>
  <c r="S181" i="63"/>
  <c r="S249" i="63"/>
  <c r="S146" i="63"/>
  <c r="S361" i="63"/>
  <c r="R19" i="73"/>
  <c r="R21" i="73"/>
  <c r="R23" i="73"/>
  <c r="R25" i="73"/>
  <c r="R27" i="73"/>
  <c r="R20" i="73"/>
  <c r="R22" i="73"/>
  <c r="R24" i="73"/>
  <c r="R26" i="73"/>
  <c r="V7" i="59"/>
  <c r="V51" i="63"/>
  <c r="V113" i="63"/>
  <c r="V115" i="63" s="1"/>
  <c r="V118" i="63" s="1"/>
  <c r="V912" i="59"/>
  <c r="V239" i="59"/>
  <c r="V241" i="59" s="1"/>
  <c r="V8" i="60"/>
  <c r="T3" i="80" s="1"/>
  <c r="T89" i="63"/>
  <c r="T90" i="63" s="1"/>
  <c r="T130" i="63"/>
  <c r="T129" i="63" s="1"/>
  <c r="T145" i="63"/>
  <c r="T233" i="63"/>
  <c r="T232" i="63" s="1"/>
  <c r="T165" i="63"/>
  <c r="T164" i="63" s="1"/>
  <c r="T199" i="63"/>
  <c r="T214" i="63"/>
  <c r="T248" i="63"/>
  <c r="T58" i="46"/>
  <c r="T102" i="63"/>
  <c r="T103" i="63" s="1"/>
  <c r="T180" i="63"/>
  <c r="O361" i="59"/>
  <c r="P81" i="73"/>
  <c r="O87" i="73"/>
  <c r="L212" i="63"/>
  <c r="M209" i="63" s="1"/>
  <c r="L206" i="63"/>
  <c r="L219" i="63" s="1"/>
  <c r="U79" i="60"/>
  <c r="S11" i="80" s="1"/>
  <c r="U24" i="46"/>
  <c r="U26" i="46" s="1"/>
  <c r="U28" i="46"/>
  <c r="U36" i="46"/>
  <c r="U49" i="46" s="1"/>
  <c r="U5" i="46"/>
  <c r="S6" i="73"/>
  <c r="S13" i="73"/>
  <c r="N345" i="59"/>
  <c r="N32" i="60"/>
  <c r="O54" i="73"/>
  <c r="N60" i="73"/>
  <c r="Q132" i="63"/>
  <c r="Q167" i="63"/>
  <c r="Q235" i="63"/>
  <c r="R204" i="63"/>
  <c r="R201" i="63"/>
  <c r="R200" i="63"/>
  <c r="X14" i="46"/>
  <c r="W15" i="46"/>
  <c r="W17" i="46"/>
  <c r="W123" i="59"/>
  <c r="W124" i="59" s="1"/>
  <c r="W178" i="59"/>
  <c r="W179" i="59" s="1"/>
  <c r="W680" i="59"/>
  <c r="W735" i="59"/>
  <c r="W791" i="59"/>
  <c r="W846" i="59"/>
  <c r="W621" i="59"/>
  <c r="W510" i="59"/>
  <c r="W566" i="59"/>
  <c r="W455" i="59"/>
  <c r="S14" i="73"/>
  <c r="S14" i="63"/>
  <c r="S15" i="59"/>
  <c r="T365" i="59"/>
  <c r="T373" i="59" s="1"/>
  <c r="T381" i="59" s="1"/>
  <c r="N56" i="63"/>
  <c r="R22" i="63"/>
  <c r="R26" i="63"/>
  <c r="R21" i="63"/>
  <c r="R25" i="63"/>
  <c r="R20" i="63"/>
  <c r="R24" i="63"/>
  <c r="R19" i="63"/>
  <c r="R23" i="63"/>
  <c r="R27" i="63"/>
  <c r="U4" i="68"/>
  <c r="U4" i="59"/>
  <c r="U4" i="73"/>
  <c r="U4" i="63"/>
  <c r="U5" i="60"/>
  <c r="S24" i="68"/>
  <c r="S16" i="68"/>
  <c r="R23" i="59"/>
  <c r="R27" i="59"/>
  <c r="R22" i="59"/>
  <c r="R26" i="59"/>
  <c r="R1076" i="59" s="1"/>
  <c r="R21" i="59"/>
  <c r="R25" i="59"/>
  <c r="R20" i="59"/>
  <c r="R24" i="59"/>
  <c r="R28" i="59"/>
  <c r="S198" i="63"/>
  <c r="S215" i="63"/>
  <c r="S211" i="63" s="1"/>
  <c r="E64" i="66"/>
  <c r="T5" i="73"/>
  <c r="T5" i="63"/>
  <c r="T5" i="59"/>
  <c r="T5" i="68"/>
  <c r="T6" i="60"/>
  <c r="T7" i="60" s="1"/>
  <c r="S14" i="59"/>
  <c r="S6" i="59"/>
  <c r="R182" i="59" l="1"/>
  <c r="R187" i="59" s="1"/>
  <c r="R147" i="59"/>
  <c r="R144" i="59"/>
  <c r="R146" i="59"/>
  <c r="Q145" i="59"/>
  <c r="Q59" i="59"/>
  <c r="O58" i="60"/>
  <c r="O124" i="60" s="1"/>
  <c r="O156" i="60"/>
  <c r="P926" i="59"/>
  <c r="P927" i="59" s="1"/>
  <c r="S132" i="59"/>
  <c r="O119" i="59"/>
  <c r="O1028" i="59"/>
  <c r="Q111" i="59"/>
  <c r="Q97" i="59"/>
  <c r="P115" i="59"/>
  <c r="P127" i="59" s="1"/>
  <c r="U73" i="59"/>
  <c r="U57" i="59"/>
  <c r="P344" i="59"/>
  <c r="P218" i="59" s="1"/>
  <c r="P32" i="60"/>
  <c r="Q1106" i="59"/>
  <c r="Q1109" i="59" s="1"/>
  <c r="Q1071" i="59"/>
  <c r="P346" i="59"/>
  <c r="P220" i="59" s="1"/>
  <c r="P29" i="60"/>
  <c r="Q268" i="59"/>
  <c r="Q323" i="59" s="1"/>
  <c r="Q344" i="59" s="1"/>
  <c r="Q218" i="59" s="1"/>
  <c r="Q269" i="59"/>
  <c r="Q324" i="59" s="1"/>
  <c r="Q345" i="59" s="1"/>
  <c r="Q219" i="59" s="1"/>
  <c r="Q270" i="59"/>
  <c r="Q325" i="59" s="1"/>
  <c r="Q266" i="59"/>
  <c r="Q321" i="59" s="1"/>
  <c r="Q342" i="59" s="1"/>
  <c r="Q216" i="59" s="1"/>
  <c r="Q55" i="63"/>
  <c r="P67" i="46"/>
  <c r="P82" i="46" s="1"/>
  <c r="P83" i="46" s="1"/>
  <c r="P90" i="46" s="1"/>
  <c r="T70" i="46"/>
  <c r="T50" i="46"/>
  <c r="R72" i="46"/>
  <c r="N7" i="73"/>
  <c r="N8" i="59"/>
  <c r="N9" i="60"/>
  <c r="N6" i="68"/>
  <c r="N6" i="46"/>
  <c r="N7" i="63"/>
  <c r="U37" i="46"/>
  <c r="U70" i="46" s="1"/>
  <c r="O6" i="46"/>
  <c r="O7" i="73"/>
  <c r="O7" i="63"/>
  <c r="O8" i="59"/>
  <c r="O6" i="68"/>
  <c r="O9" i="60"/>
  <c r="T6" i="63"/>
  <c r="T13" i="63"/>
  <c r="S200" i="63"/>
  <c r="S204" i="63"/>
  <c r="S201" i="63"/>
  <c r="S17" i="68"/>
  <c r="S42" i="68"/>
  <c r="S60" i="68"/>
  <c r="N210" i="63"/>
  <c r="O56" i="63"/>
  <c r="X17" i="46"/>
  <c r="X123" i="59"/>
  <c r="X124" i="59" s="1"/>
  <c r="Y14" i="46"/>
  <c r="X15" i="46"/>
  <c r="X621" i="59"/>
  <c r="X510" i="59"/>
  <c r="X566" i="59"/>
  <c r="X680" i="59"/>
  <c r="X735" i="59"/>
  <c r="X791" i="59"/>
  <c r="X846" i="59"/>
  <c r="X455" i="59"/>
  <c r="X178" i="59"/>
  <c r="X179" i="59" s="1"/>
  <c r="U58" i="46"/>
  <c r="U165" i="63"/>
  <c r="U164" i="63" s="1"/>
  <c r="U180" i="63"/>
  <c r="U145" i="63"/>
  <c r="U89" i="63"/>
  <c r="U90" i="63" s="1"/>
  <c r="U102" i="63"/>
  <c r="U103" i="63" s="1"/>
  <c r="U130" i="63"/>
  <c r="U129" i="63" s="1"/>
  <c r="U199" i="63"/>
  <c r="U214" i="63"/>
  <c r="U233" i="63"/>
  <c r="U232" i="63" s="1"/>
  <c r="U248" i="63"/>
  <c r="M212" i="63"/>
  <c r="N209" i="63" s="1"/>
  <c r="M206" i="63"/>
  <c r="M219" i="63" s="1"/>
  <c r="V79" i="60"/>
  <c r="T11" i="80" s="1"/>
  <c r="P361" i="59"/>
  <c r="N220" i="59"/>
  <c r="S20" i="59"/>
  <c r="S24" i="59"/>
  <c r="S28" i="59"/>
  <c r="S23" i="59"/>
  <c r="S27" i="59"/>
  <c r="S22" i="59"/>
  <c r="S26" i="59"/>
  <c r="S1076" i="59" s="1"/>
  <c r="S21" i="59"/>
  <c r="S25" i="59"/>
  <c r="T6" i="73"/>
  <c r="T13" i="73"/>
  <c r="S19" i="73"/>
  <c r="S21" i="73"/>
  <c r="S23" i="73"/>
  <c r="S25" i="73"/>
  <c r="S27" i="73"/>
  <c r="S20" i="73"/>
  <c r="S22" i="73"/>
  <c r="S24" i="73"/>
  <c r="S26" i="73"/>
  <c r="U95" i="59"/>
  <c r="U96" i="59" s="1"/>
  <c r="U107" i="59"/>
  <c r="U108" i="59" s="1"/>
  <c r="U299" i="59"/>
  <c r="Q81" i="73"/>
  <c r="P87" i="73"/>
  <c r="Q135" i="63"/>
  <c r="V5" i="46"/>
  <c r="V36" i="46"/>
  <c r="V49" i="46" s="1"/>
  <c r="V24" i="46"/>
  <c r="V26" i="46" s="1"/>
  <c r="V28" i="46"/>
  <c r="N185" i="59"/>
  <c r="N16" i="60"/>
  <c r="N112" i="60" s="1"/>
  <c r="N1028" i="59"/>
  <c r="R286" i="63"/>
  <c r="R289" i="63" s="1"/>
  <c r="R300" i="63"/>
  <c r="R304" i="63" s="1"/>
  <c r="R310" i="63" s="1"/>
  <c r="R343" i="63"/>
  <c r="R54" i="46"/>
  <c r="Q59" i="46"/>
  <c r="T16" i="68"/>
  <c r="T24" i="68"/>
  <c r="R131" i="63"/>
  <c r="R234" i="63"/>
  <c r="R166" i="63"/>
  <c r="O60" i="73"/>
  <c r="P54" i="73"/>
  <c r="T14" i="63"/>
  <c r="T15" i="59"/>
  <c r="T14" i="73"/>
  <c r="U365" i="59"/>
  <c r="U373" i="59" s="1"/>
  <c r="U381" i="59" s="1"/>
  <c r="T215" i="63"/>
  <c r="T211" i="63" s="1"/>
  <c r="T198" i="63"/>
  <c r="Q170" i="63"/>
  <c r="S19" i="63"/>
  <c r="S23" i="63"/>
  <c r="S27" i="63"/>
  <c r="S22" i="63"/>
  <c r="S26" i="63"/>
  <c r="S21" i="63"/>
  <c r="S25" i="63"/>
  <c r="S20" i="63"/>
  <c r="S24" i="63"/>
  <c r="V4" i="68"/>
  <c r="V4" i="59"/>
  <c r="V4" i="73"/>
  <c r="V4" i="63"/>
  <c r="V5" i="60"/>
  <c r="T6" i="59"/>
  <c r="T14" i="59"/>
  <c r="R235" i="63"/>
  <c r="R167" i="63"/>
  <c r="R132" i="63"/>
  <c r="W7" i="59"/>
  <c r="W51" i="63"/>
  <c r="W113" i="63"/>
  <c r="W115" i="63" s="1"/>
  <c r="W118" i="63" s="1"/>
  <c r="W239" i="59"/>
  <c r="W241" i="59" s="1"/>
  <c r="W912" i="59"/>
  <c r="W8" i="60"/>
  <c r="U3" i="80" s="1"/>
  <c r="N219" i="59"/>
  <c r="U5" i="68"/>
  <c r="U5" i="73"/>
  <c r="U5" i="63"/>
  <c r="U5" i="59"/>
  <c r="U6" i="60"/>
  <c r="U7" i="60" s="1"/>
  <c r="T249" i="63"/>
  <c r="T361" i="63"/>
  <c r="T146" i="63"/>
  <c r="T181" i="63"/>
  <c r="Q238" i="63"/>
  <c r="R43" i="68"/>
  <c r="R46" i="68" s="1"/>
  <c r="R20" i="68"/>
  <c r="R21" i="68" s="1"/>
  <c r="N218" i="59"/>
  <c r="N216" i="59"/>
  <c r="S53" i="46"/>
  <c r="S285" i="63"/>
  <c r="S79" i="46"/>
  <c r="S71" i="46"/>
  <c r="S173" i="59"/>
  <c r="S175" i="59" s="1"/>
  <c r="S290" i="59"/>
  <c r="W4" i="46"/>
  <c r="W23" i="46"/>
  <c r="X22" i="46"/>
  <c r="W35" i="46"/>
  <c r="Q81" i="46"/>
  <c r="Q66" i="46"/>
  <c r="S182" i="59" l="1"/>
  <c r="S187" i="59" s="1"/>
  <c r="S147" i="59"/>
  <c r="S144" i="59"/>
  <c r="S146" i="59"/>
  <c r="R145" i="59"/>
  <c r="P156" i="60"/>
  <c r="P58" i="60"/>
  <c r="P124" i="60" s="1"/>
  <c r="P1028" i="59"/>
  <c r="O185" i="59"/>
  <c r="O16" i="60"/>
  <c r="O112" i="60" s="1"/>
  <c r="P119" i="59"/>
  <c r="V73" i="59"/>
  <c r="V57" i="59"/>
  <c r="R94" i="59"/>
  <c r="R97" i="59" s="1"/>
  <c r="R56" i="59"/>
  <c r="R59" i="59" s="1"/>
  <c r="R72" i="59"/>
  <c r="Q115" i="59"/>
  <c r="Q127" i="59" s="1"/>
  <c r="Q67" i="46"/>
  <c r="Q82" i="46" s="1"/>
  <c r="T290" i="59"/>
  <c r="T132" i="59"/>
  <c r="R45" i="73"/>
  <c r="R81" i="73" s="1"/>
  <c r="R50" i="63"/>
  <c r="R55" i="63" s="1"/>
  <c r="T173" i="59"/>
  <c r="T175" i="59" s="1"/>
  <c r="T53" i="46"/>
  <c r="S59" i="46" s="1"/>
  <c r="T285" i="63"/>
  <c r="T343" i="63" s="1"/>
  <c r="R678" i="59"/>
  <c r="T79" i="46"/>
  <c r="Q31" i="60"/>
  <c r="Q346" i="59"/>
  <c r="Q220" i="59" s="1"/>
  <c r="Q32" i="60"/>
  <c r="Q29" i="60"/>
  <c r="R453" i="59"/>
  <c r="R256" i="59"/>
  <c r="R789" i="59"/>
  <c r="R304" i="59"/>
  <c r="R309" i="59" s="1"/>
  <c r="R508" i="59"/>
  <c r="R1020" i="59"/>
  <c r="R106" i="59"/>
  <c r="R111" i="59" s="1"/>
  <c r="R844" i="59"/>
  <c r="R564" i="59"/>
  <c r="R915" i="59"/>
  <c r="R916" i="59" s="1"/>
  <c r="R733" i="59"/>
  <c r="R619" i="59"/>
  <c r="R298" i="59"/>
  <c r="T71" i="46"/>
  <c r="U78" i="46"/>
  <c r="U50" i="46"/>
  <c r="U14" i="73"/>
  <c r="U14" i="63"/>
  <c r="U15" i="59"/>
  <c r="V365" i="59"/>
  <c r="V373" i="59" s="1"/>
  <c r="V381" i="59" s="1"/>
  <c r="W4" i="73"/>
  <c r="W4" i="63"/>
  <c r="W4" i="68"/>
  <c r="W4" i="59"/>
  <c r="W5" i="60"/>
  <c r="U6" i="73"/>
  <c r="U13" i="73"/>
  <c r="T21" i="59"/>
  <c r="T25" i="59"/>
  <c r="T20" i="59"/>
  <c r="T24" i="59"/>
  <c r="T28" i="59"/>
  <c r="T23" i="59"/>
  <c r="T27" i="59"/>
  <c r="T22" i="59"/>
  <c r="T26" i="59"/>
  <c r="T1076" i="59" s="1"/>
  <c r="Q54" i="73"/>
  <c r="P60" i="73"/>
  <c r="T60" i="68"/>
  <c r="T17" i="68"/>
  <c r="T42" i="68"/>
  <c r="V89" i="63"/>
  <c r="V90" i="63" s="1"/>
  <c r="V130" i="63"/>
  <c r="V129" i="63" s="1"/>
  <c r="V199" i="63"/>
  <c r="V214" i="63"/>
  <c r="V248" i="63"/>
  <c r="V58" i="46"/>
  <c r="V102" i="63"/>
  <c r="V103" i="63" s="1"/>
  <c r="V180" i="63"/>
  <c r="V233" i="63"/>
  <c r="V232" i="63" s="1"/>
  <c r="V145" i="63"/>
  <c r="V165" i="63"/>
  <c r="V164" i="63" s="1"/>
  <c r="Q87" i="73"/>
  <c r="T20" i="73"/>
  <c r="T22" i="73"/>
  <c r="T24" i="73"/>
  <c r="T26" i="73"/>
  <c r="T19" i="73"/>
  <c r="T21" i="73"/>
  <c r="T23" i="73"/>
  <c r="T25" i="73"/>
  <c r="T27" i="73"/>
  <c r="V37" i="46"/>
  <c r="Y15" i="46"/>
  <c r="Y17" i="46"/>
  <c r="Y123" i="59"/>
  <c r="Y124" i="59" s="1"/>
  <c r="Z14" i="46"/>
  <c r="Y178" i="59"/>
  <c r="Y179" i="59" s="1"/>
  <c r="Y510" i="59"/>
  <c r="Y566" i="59"/>
  <c r="Y455" i="59"/>
  <c r="Y680" i="59"/>
  <c r="Y735" i="59"/>
  <c r="Y621" i="59"/>
  <c r="Y791" i="59"/>
  <c r="Y846" i="59"/>
  <c r="O210" i="63"/>
  <c r="P56" i="63"/>
  <c r="U16" i="68"/>
  <c r="U24" i="68"/>
  <c r="S132" i="63"/>
  <c r="S235" i="63"/>
  <c r="S167" i="63"/>
  <c r="R170" i="63"/>
  <c r="Q80" i="46"/>
  <c r="Q62" i="46"/>
  <c r="R63" i="46" s="1"/>
  <c r="V5" i="59"/>
  <c r="V5" i="68"/>
  <c r="V5" i="73"/>
  <c r="V5" i="63"/>
  <c r="V6" i="60"/>
  <c r="V7" i="60" s="1"/>
  <c r="S72" i="46"/>
  <c r="N212" i="63"/>
  <c r="O209" i="63" s="1"/>
  <c r="N206" i="63"/>
  <c r="N219" i="63" s="1"/>
  <c r="X4" i="46"/>
  <c r="X23" i="46"/>
  <c r="Y22" i="46"/>
  <c r="X35" i="46"/>
  <c r="S343" i="63"/>
  <c r="S286" i="63"/>
  <c r="S289" i="63" s="1"/>
  <c r="S300" i="63"/>
  <c r="S304" i="63" s="1"/>
  <c r="S310" i="63" s="1"/>
  <c r="U6" i="59"/>
  <c r="U14" i="59"/>
  <c r="W79" i="60"/>
  <c r="U11" i="80" s="1"/>
  <c r="S166" i="63"/>
  <c r="S131" i="63"/>
  <c r="S234" i="63"/>
  <c r="R238" i="63"/>
  <c r="V107" i="59"/>
  <c r="V108" i="59" s="1"/>
  <c r="V95" i="59"/>
  <c r="V96" i="59" s="1"/>
  <c r="V299" i="59"/>
  <c r="U215" i="63"/>
  <c r="U211" i="63" s="1"/>
  <c r="U198" i="63"/>
  <c r="T20" i="63"/>
  <c r="T24" i="63"/>
  <c r="T19" i="63"/>
  <c r="T23" i="63"/>
  <c r="T27" i="63"/>
  <c r="T22" i="63"/>
  <c r="T26" i="63"/>
  <c r="T21" i="63"/>
  <c r="T25" i="63"/>
  <c r="W36" i="46"/>
  <c r="W49" i="46" s="1"/>
  <c r="W5" i="46"/>
  <c r="W24" i="46"/>
  <c r="W26" i="46" s="1"/>
  <c r="W28" i="46"/>
  <c r="R59" i="46"/>
  <c r="S54" i="46"/>
  <c r="U6" i="63"/>
  <c r="U13" i="63"/>
  <c r="T201" i="63"/>
  <c r="T200" i="63"/>
  <c r="T204" i="63"/>
  <c r="R135" i="63"/>
  <c r="P6" i="68"/>
  <c r="P7" i="73"/>
  <c r="P7" i="63"/>
  <c r="P8" i="59"/>
  <c r="P6" i="46"/>
  <c r="P9" i="60"/>
  <c r="U361" i="63"/>
  <c r="U181" i="63"/>
  <c r="U146" i="63"/>
  <c r="U249" i="63"/>
  <c r="X51" i="63"/>
  <c r="X113" i="63"/>
  <c r="X115" i="63" s="1"/>
  <c r="X118" i="63" s="1"/>
  <c r="X7" i="59"/>
  <c r="X239" i="59"/>
  <c r="X241" i="59" s="1"/>
  <c r="X912" i="59"/>
  <c r="X8" i="60"/>
  <c r="V3" i="80" s="1"/>
  <c r="S43" i="68"/>
  <c r="S46" i="68" s="1"/>
  <c r="S20" i="68"/>
  <c r="S21" i="68" s="1"/>
  <c r="T147" i="59" l="1"/>
  <c r="T182" i="59"/>
  <c r="T187" i="59" s="1"/>
  <c r="T144" i="59"/>
  <c r="T146" i="59"/>
  <c r="S145" i="59"/>
  <c r="R925" i="59"/>
  <c r="S922" i="59" s="1"/>
  <c r="U132" i="59"/>
  <c r="P185" i="59"/>
  <c r="P16" i="60"/>
  <c r="P112" i="60" s="1"/>
  <c r="Q119" i="59"/>
  <c r="Q185" i="59"/>
  <c r="R268" i="59"/>
  <c r="R323" i="59" s="1"/>
  <c r="R344" i="59" s="1"/>
  <c r="R218" i="59" s="1"/>
  <c r="R1106" i="59"/>
  <c r="R1109" i="59" s="1"/>
  <c r="R1071" i="59"/>
  <c r="W73" i="59"/>
  <c r="W57" i="59"/>
  <c r="R115" i="59"/>
  <c r="R127" i="59" s="1"/>
  <c r="S56" i="59"/>
  <c r="S59" i="59" s="1"/>
  <c r="S72" i="59"/>
  <c r="T300" i="63"/>
  <c r="T304" i="63" s="1"/>
  <c r="T310" i="63" s="1"/>
  <c r="T286" i="63"/>
  <c r="T289" i="63" s="1"/>
  <c r="U71" i="46"/>
  <c r="U72" i="46" s="1"/>
  <c r="R58" i="63"/>
  <c r="T54" i="46"/>
  <c r="R269" i="59"/>
  <c r="R324" i="59" s="1"/>
  <c r="R345" i="59" s="1"/>
  <c r="R219" i="59" s="1"/>
  <c r="R266" i="59"/>
  <c r="R321" i="59" s="1"/>
  <c r="R29" i="60" s="1"/>
  <c r="R270" i="59"/>
  <c r="R325" i="59" s="1"/>
  <c r="U285" i="63"/>
  <c r="U343" i="63" s="1"/>
  <c r="U53" i="46"/>
  <c r="T59" i="46" s="1"/>
  <c r="U290" i="59"/>
  <c r="U173" i="59"/>
  <c r="U175" i="59" s="1"/>
  <c r="U79" i="46"/>
  <c r="T72" i="46"/>
  <c r="S238" i="63"/>
  <c r="S135" i="63"/>
  <c r="S170" i="63"/>
  <c r="V14" i="73"/>
  <c r="V14" i="63"/>
  <c r="V15" i="59"/>
  <c r="W365" i="59"/>
  <c r="W373" i="59" s="1"/>
  <c r="W381" i="59" s="1"/>
  <c r="U204" i="63"/>
  <c r="U201" i="63"/>
  <c r="U200" i="63"/>
  <c r="Y35" i="46"/>
  <c r="Y4" i="46"/>
  <c r="Y23" i="46"/>
  <c r="Z22" i="46"/>
  <c r="V6" i="73"/>
  <c r="V13" i="73"/>
  <c r="R81" i="46"/>
  <c r="R66" i="46"/>
  <c r="R67" i="46" s="1"/>
  <c r="R82" i="46" s="1"/>
  <c r="Y51" i="63"/>
  <c r="Y113" i="63"/>
  <c r="Y115" i="63" s="1"/>
  <c r="Y118" i="63" s="1"/>
  <c r="Y7" i="59"/>
  <c r="Y912" i="59"/>
  <c r="Y239" i="59"/>
  <c r="Y241" i="59" s="1"/>
  <c r="Y8" i="60"/>
  <c r="W3" i="80" s="1"/>
  <c r="V50" i="46"/>
  <c r="V78" i="46"/>
  <c r="V70" i="46"/>
  <c r="S80" i="46"/>
  <c r="S62" i="46"/>
  <c r="T63" i="46" s="1"/>
  <c r="W5" i="59"/>
  <c r="W5" i="68"/>
  <c r="W5" i="73"/>
  <c r="W5" i="63"/>
  <c r="W6" i="60"/>
  <c r="W7" i="60" s="1"/>
  <c r="U22" i="59"/>
  <c r="U26" i="59"/>
  <c r="U1076" i="59" s="1"/>
  <c r="U21" i="59"/>
  <c r="U25" i="59"/>
  <c r="U20" i="59"/>
  <c r="U24" i="59"/>
  <c r="U28" i="59"/>
  <c r="U23" i="59"/>
  <c r="U27" i="59"/>
  <c r="X24" i="46"/>
  <c r="X26" i="46" s="1"/>
  <c r="X28" i="46"/>
  <c r="X5" i="46"/>
  <c r="X36" i="46"/>
  <c r="X49" i="46" s="1"/>
  <c r="O212" i="63"/>
  <c r="P209" i="63" s="1"/>
  <c r="O206" i="63"/>
  <c r="O219" i="63" s="1"/>
  <c r="V24" i="68"/>
  <c r="V16" i="68"/>
  <c r="Q361" i="59"/>
  <c r="Q83" i="46"/>
  <c r="Q90" i="46" s="1"/>
  <c r="P210" i="63"/>
  <c r="Q56" i="63"/>
  <c r="AA14" i="46"/>
  <c r="Z15" i="46"/>
  <c r="Z17" i="46"/>
  <c r="Z123" i="59"/>
  <c r="Z124" i="59" s="1"/>
  <c r="Z455" i="59"/>
  <c r="Z178" i="59"/>
  <c r="Z179" i="59" s="1"/>
  <c r="Z621" i="59"/>
  <c r="Z680" i="59"/>
  <c r="Z735" i="59"/>
  <c r="Z566" i="59"/>
  <c r="Z791" i="59"/>
  <c r="Z846" i="59"/>
  <c r="Z510" i="59"/>
  <c r="V215" i="63"/>
  <c r="V211" i="63" s="1"/>
  <c r="V198" i="63"/>
  <c r="U20" i="73"/>
  <c r="U22" i="73"/>
  <c r="U24" i="73"/>
  <c r="U26" i="73"/>
  <c r="U19" i="73"/>
  <c r="U21" i="73"/>
  <c r="U23" i="73"/>
  <c r="U25" i="73"/>
  <c r="U27" i="73"/>
  <c r="U21" i="63"/>
  <c r="U25" i="63"/>
  <c r="U20" i="63"/>
  <c r="U24" i="63"/>
  <c r="U19" i="63"/>
  <c r="U23" i="63"/>
  <c r="U27" i="63"/>
  <c r="U22" i="63"/>
  <c r="U26" i="63"/>
  <c r="R80" i="46"/>
  <c r="R62" i="46"/>
  <c r="S63" i="46" s="1"/>
  <c r="T235" i="63"/>
  <c r="T132" i="63"/>
  <c r="T167" i="63"/>
  <c r="X4" i="73"/>
  <c r="X4" i="63"/>
  <c r="X4" i="68"/>
  <c r="X4" i="59"/>
  <c r="X5" i="60"/>
  <c r="S45" i="73"/>
  <c r="S81" i="73" s="1"/>
  <c r="S106" i="59"/>
  <c r="S111" i="59" s="1"/>
  <c r="S94" i="59"/>
  <c r="S97" i="59" s="1"/>
  <c r="S50" i="63"/>
  <c r="S453" i="59"/>
  <c r="S256" i="59"/>
  <c r="S508" i="59"/>
  <c r="S619" i="59"/>
  <c r="S304" i="59"/>
  <c r="S309" i="59" s="1"/>
  <c r="S298" i="59"/>
  <c r="S678" i="59"/>
  <c r="S789" i="59"/>
  <c r="S844" i="59"/>
  <c r="S1020" i="59"/>
  <c r="S564" i="59"/>
  <c r="S733" i="59"/>
  <c r="S915" i="59"/>
  <c r="S916" i="59" s="1"/>
  <c r="V14" i="59"/>
  <c r="V6" i="59"/>
  <c r="U60" i="68"/>
  <c r="U17" i="68"/>
  <c r="U42" i="68"/>
  <c r="W37" i="46"/>
  <c r="T20" i="68"/>
  <c r="T21" i="68" s="1"/>
  <c r="T43" i="68"/>
  <c r="T46" i="68" s="1"/>
  <c r="R54" i="73"/>
  <c r="Q60" i="73"/>
  <c r="X79" i="60"/>
  <c r="V11" i="80" s="1"/>
  <c r="W107" i="59"/>
  <c r="W108" i="59" s="1"/>
  <c r="W95" i="59"/>
  <c r="W96" i="59" s="1"/>
  <c r="W299" i="59"/>
  <c r="W165" i="63"/>
  <c r="W164" i="63" s="1"/>
  <c r="W199" i="63"/>
  <c r="W214" i="63"/>
  <c r="W248" i="63"/>
  <c r="W58" i="46"/>
  <c r="W89" i="63"/>
  <c r="W90" i="63" s="1"/>
  <c r="W102" i="63"/>
  <c r="W103" i="63" s="1"/>
  <c r="W130" i="63"/>
  <c r="W129" i="63" s="1"/>
  <c r="W180" i="63"/>
  <c r="W145" i="63"/>
  <c r="W233" i="63"/>
  <c r="W232" i="63" s="1"/>
  <c r="T234" i="63"/>
  <c r="T131" i="63"/>
  <c r="T166" i="63"/>
  <c r="V6" i="63"/>
  <c r="V13" i="63"/>
  <c r="R87" i="73"/>
  <c r="V181" i="63"/>
  <c r="V146" i="63"/>
  <c r="V249" i="63"/>
  <c r="V361" i="63"/>
  <c r="U147" i="59" l="1"/>
  <c r="U182" i="59"/>
  <c r="U187" i="59" s="1"/>
  <c r="U144" i="59"/>
  <c r="U146" i="59"/>
  <c r="T145" i="59"/>
  <c r="R926" i="59"/>
  <c r="R927" i="59" s="1"/>
  <c r="R58" i="60" s="1"/>
  <c r="R124" i="60" s="1"/>
  <c r="S925" i="59"/>
  <c r="T922" i="59" s="1"/>
  <c r="V132" i="59"/>
  <c r="R119" i="59"/>
  <c r="R31" i="60"/>
  <c r="Q1028" i="59"/>
  <c r="Q16" i="60"/>
  <c r="Q112" i="60" s="1"/>
  <c r="S115" i="59"/>
  <c r="S127" i="59" s="1"/>
  <c r="T508" i="59"/>
  <c r="T72" i="59"/>
  <c r="T56" i="59"/>
  <c r="T59" i="59" s="1"/>
  <c r="X73" i="59"/>
  <c r="X57" i="59"/>
  <c r="U72" i="59"/>
  <c r="U56" i="59"/>
  <c r="U54" i="46"/>
  <c r="R32" i="60"/>
  <c r="R346" i="59"/>
  <c r="R220" i="59" s="1"/>
  <c r="R342" i="59"/>
  <c r="R216" i="59" s="1"/>
  <c r="U286" i="63"/>
  <c r="U289" i="63" s="1"/>
  <c r="U300" i="63"/>
  <c r="U304" i="63" s="1"/>
  <c r="U310" i="63" s="1"/>
  <c r="T170" i="63"/>
  <c r="X37" i="46"/>
  <c r="X78" i="46" s="1"/>
  <c r="T238" i="63"/>
  <c r="T844" i="59"/>
  <c r="T94" i="59"/>
  <c r="T97" i="59" s="1"/>
  <c r="T915" i="59"/>
  <c r="T916" i="59" s="1"/>
  <c r="T298" i="59"/>
  <c r="T564" i="59"/>
  <c r="T678" i="59"/>
  <c r="T106" i="59"/>
  <c r="T111" i="59" s="1"/>
  <c r="T304" i="59"/>
  <c r="T309" i="59" s="1"/>
  <c r="T619" i="59"/>
  <c r="T733" i="59"/>
  <c r="T789" i="59"/>
  <c r="T256" i="59"/>
  <c r="T453" i="59"/>
  <c r="T50" i="63"/>
  <c r="T1020" i="59"/>
  <c r="T45" i="73"/>
  <c r="T81" i="73" s="1"/>
  <c r="T135" i="63"/>
  <c r="Q6" i="68"/>
  <c r="Q6" i="46"/>
  <c r="Q7" i="73"/>
  <c r="Q7" i="63"/>
  <c r="Q8" i="59"/>
  <c r="Q9" i="60"/>
  <c r="W238" i="63"/>
  <c r="W235" i="63"/>
  <c r="W234" i="63"/>
  <c r="W215" i="63"/>
  <c r="W198" i="63"/>
  <c r="S54" i="73"/>
  <c r="R60" i="73"/>
  <c r="U94" i="59"/>
  <c r="U50" i="63"/>
  <c r="U45" i="73"/>
  <c r="U106" i="59"/>
  <c r="U453" i="59"/>
  <c r="U1020" i="59"/>
  <c r="U298" i="59"/>
  <c r="U304" i="59"/>
  <c r="U309" i="59" s="1"/>
  <c r="U508" i="59"/>
  <c r="U678" i="59"/>
  <c r="U733" i="59"/>
  <c r="U789" i="59"/>
  <c r="U844" i="59"/>
  <c r="U619" i="59"/>
  <c r="U915" i="59"/>
  <c r="U916" i="59" s="1"/>
  <c r="U256" i="59"/>
  <c r="U564" i="59"/>
  <c r="U131" i="63"/>
  <c r="U234" i="63"/>
  <c r="U166" i="63"/>
  <c r="AB14" i="46"/>
  <c r="AA15" i="46"/>
  <c r="AA17" i="46"/>
  <c r="AA123" i="59"/>
  <c r="AA124" i="59" s="1"/>
  <c r="AA178" i="59"/>
  <c r="AA179" i="59" s="1"/>
  <c r="AA680" i="59"/>
  <c r="AA735" i="59"/>
  <c r="AA791" i="59"/>
  <c r="AA846" i="59"/>
  <c r="AA621" i="59"/>
  <c r="AA510" i="59"/>
  <c r="AA566" i="59"/>
  <c r="AA455" i="59"/>
  <c r="W14" i="73"/>
  <c r="W14" i="63"/>
  <c r="W15" i="59"/>
  <c r="X365" i="59"/>
  <c r="X373" i="59" s="1"/>
  <c r="X381" i="59" s="1"/>
  <c r="W6" i="73"/>
  <c r="W13" i="73"/>
  <c r="T66" i="46"/>
  <c r="T81" i="46"/>
  <c r="V19" i="73"/>
  <c r="V21" i="73"/>
  <c r="V23" i="73"/>
  <c r="V25" i="73"/>
  <c r="V27" i="73"/>
  <c r="V20" i="73"/>
  <c r="V22" i="73"/>
  <c r="V24" i="73"/>
  <c r="V26" i="73"/>
  <c r="S87" i="73"/>
  <c r="W181" i="63"/>
  <c r="W249" i="63"/>
  <c r="W146" i="63"/>
  <c r="W361" i="63"/>
  <c r="V23" i="59"/>
  <c r="V27" i="59"/>
  <c r="V22" i="59"/>
  <c r="V26" i="59"/>
  <c r="V1076" i="59" s="1"/>
  <c r="V21" i="59"/>
  <c r="V25" i="59"/>
  <c r="V20" i="59"/>
  <c r="V24" i="59"/>
  <c r="V28" i="59"/>
  <c r="S58" i="63"/>
  <c r="S55" i="63"/>
  <c r="U167" i="63"/>
  <c r="U132" i="63"/>
  <c r="U235" i="63"/>
  <c r="Q210" i="63"/>
  <c r="X5" i="73"/>
  <c r="X5" i="63"/>
  <c r="X5" i="59"/>
  <c r="X5" i="68"/>
  <c r="X6" i="60"/>
  <c r="X7" i="60" s="1"/>
  <c r="W24" i="68"/>
  <c r="W16" i="68"/>
  <c r="S361" i="59"/>
  <c r="Z4" i="46"/>
  <c r="Z23" i="46"/>
  <c r="Z35" i="46"/>
  <c r="AA22" i="46"/>
  <c r="R56" i="63"/>
  <c r="W166" i="63"/>
  <c r="W170" i="63"/>
  <c r="W167" i="63"/>
  <c r="S1106" i="59"/>
  <c r="S1109" i="59" s="1"/>
  <c r="S1071" i="59"/>
  <c r="S81" i="46"/>
  <c r="S66" i="46"/>
  <c r="S67" i="46" s="1"/>
  <c r="S82" i="46" s="1"/>
  <c r="V42" i="68"/>
  <c r="V60" i="68"/>
  <c r="V17" i="68"/>
  <c r="P212" i="63"/>
  <c r="Q209" i="63" s="1"/>
  <c r="P206" i="63"/>
  <c r="P219" i="63" s="1"/>
  <c r="X107" i="59"/>
  <c r="X108" i="59" s="1"/>
  <c r="X95" i="59"/>
  <c r="X96" i="59" s="1"/>
  <c r="X299" i="59"/>
  <c r="W14" i="59"/>
  <c r="W6" i="59"/>
  <c r="Y79" i="60"/>
  <c r="W11" i="80" s="1"/>
  <c r="Y24" i="46"/>
  <c r="Y26" i="46" s="1"/>
  <c r="Y28" i="46"/>
  <c r="Y36" i="46"/>
  <c r="Y49" i="46" s="1"/>
  <c r="Y5" i="46"/>
  <c r="T80" i="46"/>
  <c r="T62" i="46"/>
  <c r="U63" i="46" s="1"/>
  <c r="V22" i="63"/>
  <c r="V26" i="63"/>
  <c r="V21" i="63"/>
  <c r="V25" i="63"/>
  <c r="V20" i="63"/>
  <c r="V24" i="63"/>
  <c r="V19" i="63"/>
  <c r="V23" i="63"/>
  <c r="V27" i="63"/>
  <c r="W135" i="63"/>
  <c r="W132" i="63"/>
  <c r="W131" i="63"/>
  <c r="W78" i="46"/>
  <c r="W70" i="46"/>
  <c r="W50" i="46"/>
  <c r="U20" i="68"/>
  <c r="U21" i="68" s="1"/>
  <c r="U43" i="68"/>
  <c r="U46" i="68" s="1"/>
  <c r="S270" i="59"/>
  <c r="S325" i="59" s="1"/>
  <c r="S269" i="59"/>
  <c r="S324" i="59" s="1"/>
  <c r="S266" i="59"/>
  <c r="S321" i="59" s="1"/>
  <c r="S268" i="59"/>
  <c r="S323" i="59" s="1"/>
  <c r="R361" i="59"/>
  <c r="R83" i="46"/>
  <c r="R90" i="46" s="1"/>
  <c r="V204" i="63"/>
  <c r="V201" i="63"/>
  <c r="V200" i="63"/>
  <c r="Z7" i="59"/>
  <c r="Z51" i="63"/>
  <c r="Z113" i="63"/>
  <c r="Z115" i="63" s="1"/>
  <c r="Z118" i="63" s="1"/>
  <c r="Z912" i="59"/>
  <c r="Z239" i="59"/>
  <c r="Z241" i="59" s="1"/>
  <c r="Z8" i="60"/>
  <c r="X3" i="80" s="1"/>
  <c r="X89" i="63"/>
  <c r="X90" i="63" s="1"/>
  <c r="X130" i="63"/>
  <c r="X129" i="63" s="1"/>
  <c r="X145" i="63"/>
  <c r="X233" i="63"/>
  <c r="X232" i="63" s="1"/>
  <c r="X102" i="63"/>
  <c r="X103" i="63" s="1"/>
  <c r="X165" i="63"/>
  <c r="X164" i="63" s="1"/>
  <c r="X199" i="63"/>
  <c r="X214" i="63"/>
  <c r="X248" i="63"/>
  <c r="X58" i="46"/>
  <c r="X180" i="63"/>
  <c r="W6" i="63"/>
  <c r="W13" i="63"/>
  <c r="V53" i="46"/>
  <c r="V79" i="46"/>
  <c r="V71" i="46"/>
  <c r="V285" i="63"/>
  <c r="V173" i="59"/>
  <c r="V175" i="59" s="1"/>
  <c r="V290" i="59"/>
  <c r="Y4" i="68"/>
  <c r="Y4" i="59"/>
  <c r="Y4" i="73"/>
  <c r="Y4" i="63"/>
  <c r="Y5" i="60"/>
  <c r="V147" i="59" l="1"/>
  <c r="V182" i="59"/>
  <c r="V187" i="59" s="1"/>
  <c r="V144" i="59"/>
  <c r="V146" i="59"/>
  <c r="U145" i="59"/>
  <c r="U59" i="59"/>
  <c r="S926" i="59"/>
  <c r="S927" i="59" s="1"/>
  <c r="S156" i="60" s="1"/>
  <c r="R156" i="60"/>
  <c r="T925" i="59"/>
  <c r="U922" i="59" s="1"/>
  <c r="W132" i="59"/>
  <c r="T115" i="59"/>
  <c r="T127" i="59" s="1"/>
  <c r="Y73" i="59"/>
  <c r="Y57" i="59"/>
  <c r="U97" i="59"/>
  <c r="U111" i="59"/>
  <c r="X70" i="46"/>
  <c r="X50" i="46"/>
  <c r="R16" i="60"/>
  <c r="R112" i="60" s="1"/>
  <c r="R1028" i="59"/>
  <c r="R185" i="59"/>
  <c r="T58" i="63"/>
  <c r="T55" i="63"/>
  <c r="T266" i="59"/>
  <c r="T321" i="59" s="1"/>
  <c r="T270" i="59"/>
  <c r="T325" i="59" s="1"/>
  <c r="T268" i="59"/>
  <c r="T323" i="59" s="1"/>
  <c r="T269" i="59"/>
  <c r="T324" i="59" s="1"/>
  <c r="T1106" i="59"/>
  <c r="T1109" i="59" s="1"/>
  <c r="T1071" i="59"/>
  <c r="S83" i="46"/>
  <c r="S90" i="46" s="1"/>
  <c r="W19" i="63"/>
  <c r="W201" i="63" s="1"/>
  <c r="W23" i="63"/>
  <c r="W27" i="63"/>
  <c r="W22" i="63"/>
  <c r="W26" i="63"/>
  <c r="W21" i="63"/>
  <c r="W25" i="63"/>
  <c r="W200" i="63" s="1"/>
  <c r="W20" i="63"/>
  <c r="W24" i="63"/>
  <c r="X167" i="63"/>
  <c r="X166" i="63"/>
  <c r="X170" i="63"/>
  <c r="X135" i="63"/>
  <c r="X132" i="63"/>
  <c r="X131" i="63"/>
  <c r="S342" i="59"/>
  <c r="S216" i="59" s="1"/>
  <c r="S29" i="60"/>
  <c r="V167" i="63"/>
  <c r="V132" i="63"/>
  <c r="V235" i="63"/>
  <c r="Y5" i="68"/>
  <c r="Y5" i="73"/>
  <c r="Y5" i="63"/>
  <c r="Y5" i="59"/>
  <c r="Y6" i="60"/>
  <c r="Y7" i="60" s="1"/>
  <c r="S119" i="59"/>
  <c r="Z5" i="46"/>
  <c r="Z36" i="46"/>
  <c r="Z49" i="46" s="1"/>
  <c r="Z24" i="46"/>
  <c r="Z26" i="46" s="1"/>
  <c r="Z28" i="46"/>
  <c r="X6" i="63"/>
  <c r="X13" i="63"/>
  <c r="T67" i="46"/>
  <c r="T82" i="46" s="1"/>
  <c r="T83" i="46" s="1"/>
  <c r="T90" i="46" s="1"/>
  <c r="AA7" i="59"/>
  <c r="AA51" i="63"/>
  <c r="AA113" i="63"/>
  <c r="AA115" i="63" s="1"/>
  <c r="AA118" i="63" s="1"/>
  <c r="AA239" i="59"/>
  <c r="AA241" i="59" s="1"/>
  <c r="AA912" i="59"/>
  <c r="AA8" i="60"/>
  <c r="Y3" i="80" s="1"/>
  <c r="U1071" i="59"/>
  <c r="U1106" i="59"/>
  <c r="U1109" i="59" s="1"/>
  <c r="S60" i="73"/>
  <c r="T54" i="73"/>
  <c r="X215" i="63"/>
  <c r="X198" i="63"/>
  <c r="X249" i="63"/>
  <c r="X361" i="63"/>
  <c r="X146" i="63"/>
  <c r="X181" i="63"/>
  <c r="S345" i="59"/>
  <c r="S219" i="59" s="1"/>
  <c r="S32" i="60"/>
  <c r="Y58" i="46"/>
  <c r="Y102" i="63"/>
  <c r="Y103" i="63" s="1"/>
  <c r="Y165" i="63"/>
  <c r="Y164" i="63" s="1"/>
  <c r="Y180" i="63"/>
  <c r="Y145" i="63"/>
  <c r="Y89" i="63"/>
  <c r="Y90" i="63" s="1"/>
  <c r="Y130" i="63"/>
  <c r="Y129" i="63" s="1"/>
  <c r="Y199" i="63"/>
  <c r="Y214" i="63"/>
  <c r="Y233" i="63"/>
  <c r="Y232" i="63" s="1"/>
  <c r="Y248" i="63"/>
  <c r="W20" i="59"/>
  <c r="W24" i="59"/>
  <c r="W28" i="59"/>
  <c r="W23" i="59"/>
  <c r="W27" i="59"/>
  <c r="W22" i="59"/>
  <c r="W26" i="59"/>
  <c r="W1076" i="59" s="1"/>
  <c r="W21" i="59"/>
  <c r="W25" i="59"/>
  <c r="V43" i="68"/>
  <c r="V46" i="68" s="1"/>
  <c r="V20" i="68"/>
  <c r="V21" i="68" s="1"/>
  <c r="Z4" i="68"/>
  <c r="Z4" i="59"/>
  <c r="Z4" i="73"/>
  <c r="Z4" i="63"/>
  <c r="Z5" i="60"/>
  <c r="V72" i="46"/>
  <c r="X6" i="73"/>
  <c r="X13" i="73"/>
  <c r="S56" i="63"/>
  <c r="W152" i="63"/>
  <c r="W150" i="63"/>
  <c r="AB17" i="46"/>
  <c r="AB123" i="59"/>
  <c r="AB124" i="59" s="1"/>
  <c r="AC14" i="46"/>
  <c r="AB15" i="46"/>
  <c r="AB621" i="59"/>
  <c r="AB510" i="59"/>
  <c r="AB566" i="59"/>
  <c r="AB680" i="59"/>
  <c r="AB735" i="59"/>
  <c r="AB791" i="59"/>
  <c r="AB846" i="59"/>
  <c r="AB178" i="59"/>
  <c r="AB179" i="59" s="1"/>
  <c r="AB455" i="59"/>
  <c r="U170" i="63"/>
  <c r="U270" i="59"/>
  <c r="U325" i="59" s="1"/>
  <c r="U268" i="59"/>
  <c r="U323" i="59" s="1"/>
  <c r="U269" i="59"/>
  <c r="U324" i="59" s="1"/>
  <c r="U266" i="59"/>
  <c r="U321" i="59" s="1"/>
  <c r="V286" i="63"/>
  <c r="V289" i="63" s="1"/>
  <c r="V300" i="63"/>
  <c r="V304" i="63" s="1"/>
  <c r="V310" i="63" s="1"/>
  <c r="V343" i="63"/>
  <c r="V54" i="46"/>
  <c r="U59" i="46"/>
  <c r="X234" i="63"/>
  <c r="X238" i="63"/>
  <c r="X235" i="63"/>
  <c r="Z79" i="60"/>
  <c r="X11" i="80" s="1"/>
  <c r="U81" i="46"/>
  <c r="U66" i="46"/>
  <c r="Y95" i="59"/>
  <c r="Y96" i="59" s="1"/>
  <c r="Y107" i="59"/>
  <c r="Y108" i="59" s="1"/>
  <c r="Y299" i="59"/>
  <c r="Q212" i="63"/>
  <c r="R209" i="63" s="1"/>
  <c r="Q206" i="63"/>
  <c r="Q219" i="63" s="1"/>
  <c r="AA4" i="46"/>
  <c r="AA23" i="46"/>
  <c r="AB22" i="46"/>
  <c r="AA35" i="46"/>
  <c r="W17" i="68"/>
  <c r="W42" i="68"/>
  <c r="W60" i="68"/>
  <c r="X16" i="68"/>
  <c r="X24" i="68"/>
  <c r="Y37" i="46"/>
  <c r="W19" i="73"/>
  <c r="W21" i="73"/>
  <c r="W23" i="73"/>
  <c r="W25" i="73"/>
  <c r="W27" i="73"/>
  <c r="W20" i="73"/>
  <c r="W22" i="73"/>
  <c r="W24" i="73"/>
  <c r="W26" i="73"/>
  <c r="U238" i="63"/>
  <c r="R6" i="46"/>
  <c r="R6" i="68"/>
  <c r="R7" i="73"/>
  <c r="R7" i="63"/>
  <c r="R8" i="59"/>
  <c r="R9" i="60"/>
  <c r="S31" i="60"/>
  <c r="S344" i="59"/>
  <c r="S218" i="59" s="1"/>
  <c r="S346" i="59"/>
  <c r="S220" i="59" s="1"/>
  <c r="W53" i="46"/>
  <c r="W285" i="63"/>
  <c r="W79" i="46"/>
  <c r="W71" i="46"/>
  <c r="W290" i="59"/>
  <c r="W173" i="59"/>
  <c r="W175" i="59" s="1"/>
  <c r="V166" i="63"/>
  <c r="V131" i="63"/>
  <c r="V234" i="63"/>
  <c r="T361" i="59"/>
  <c r="X14" i="63"/>
  <c r="X15" i="59"/>
  <c r="X14" i="73"/>
  <c r="Y365" i="59"/>
  <c r="Y373" i="59" s="1"/>
  <c r="Y381" i="59" s="1"/>
  <c r="R210" i="63"/>
  <c r="X6" i="59"/>
  <c r="X14" i="59"/>
  <c r="W177" i="63"/>
  <c r="U81" i="73"/>
  <c r="T87" i="73"/>
  <c r="U135" i="63"/>
  <c r="U58" i="63"/>
  <c r="U55" i="63"/>
  <c r="W147" i="59" l="1"/>
  <c r="W182" i="59"/>
  <c r="W187" i="59" s="1"/>
  <c r="W144" i="59"/>
  <c r="W146" i="59"/>
  <c r="V145" i="59"/>
  <c r="S58" i="60"/>
  <c r="S124" i="60" s="1"/>
  <c r="T926" i="59"/>
  <c r="T927" i="59" s="1"/>
  <c r="T156" i="60" s="1"/>
  <c r="X285" i="63"/>
  <c r="X286" i="63" s="1"/>
  <c r="X289" i="63" s="1"/>
  <c r="Z57" i="59"/>
  <c r="Z73" i="59"/>
  <c r="U115" i="59"/>
  <c r="U127" i="59" s="1"/>
  <c r="V72" i="59"/>
  <c r="V56" i="59"/>
  <c r="V59" i="59" s="1"/>
  <c r="X79" i="46"/>
  <c r="X290" i="59"/>
  <c r="X71" i="46"/>
  <c r="X72" i="46" s="1"/>
  <c r="X132" i="59"/>
  <c r="X173" i="59"/>
  <c r="X175" i="59" s="1"/>
  <c r="X53" i="46"/>
  <c r="W59" i="46" s="1"/>
  <c r="V170" i="63"/>
  <c r="T346" i="59"/>
  <c r="T220" i="59" s="1"/>
  <c r="T29" i="60"/>
  <c r="T342" i="59"/>
  <c r="T216" i="59" s="1"/>
  <c r="T345" i="59"/>
  <c r="T219" i="59" s="1"/>
  <c r="T32" i="60"/>
  <c r="T119" i="59"/>
  <c r="T344" i="59"/>
  <c r="T218" i="59" s="1"/>
  <c r="T31" i="60"/>
  <c r="V238" i="63"/>
  <c r="V135" i="63"/>
  <c r="U67" i="46"/>
  <c r="U82" i="46" s="1"/>
  <c r="W204" i="63"/>
  <c r="S7" i="63"/>
  <c r="S8" i="59"/>
  <c r="S6" i="68"/>
  <c r="S9" i="60"/>
  <c r="S6" i="46"/>
  <c r="S7" i="73"/>
  <c r="Z37" i="46"/>
  <c r="Z78" i="46" s="1"/>
  <c r="T6" i="68"/>
  <c r="T7" i="73"/>
  <c r="T7" i="63"/>
  <c r="T8" i="59"/>
  <c r="T6" i="46"/>
  <c r="T9" i="60"/>
  <c r="Y14" i="73"/>
  <c r="Y14" i="63"/>
  <c r="Y15" i="59"/>
  <c r="Z365" i="59"/>
  <c r="Z373" i="59" s="1"/>
  <c r="Z381" i="59" s="1"/>
  <c r="U87" i="73"/>
  <c r="V59" i="46"/>
  <c r="W54" i="46"/>
  <c r="AA36" i="46"/>
  <c r="AA49" i="46" s="1"/>
  <c r="AA5" i="46"/>
  <c r="AA24" i="46"/>
  <c r="AA26" i="46" s="1"/>
  <c r="AA28" i="46"/>
  <c r="U80" i="46"/>
  <c r="U62" i="46"/>
  <c r="V63" i="46" s="1"/>
  <c r="U345" i="59"/>
  <c r="U219" i="59" s="1"/>
  <c r="U32" i="60"/>
  <c r="S210" i="63"/>
  <c r="T56" i="63"/>
  <c r="U56" i="63" s="1"/>
  <c r="X20" i="73"/>
  <c r="X22" i="73"/>
  <c r="X24" i="73"/>
  <c r="X26" i="73"/>
  <c r="X19" i="73"/>
  <c r="X21" i="73"/>
  <c r="X23" i="73"/>
  <c r="X25" i="73"/>
  <c r="X27" i="73"/>
  <c r="AA79" i="60"/>
  <c r="Y11" i="80" s="1"/>
  <c r="X20" i="63"/>
  <c r="X24" i="63"/>
  <c r="X19" i="63"/>
  <c r="X201" i="63" s="1"/>
  <c r="X23" i="63"/>
  <c r="X27" i="63"/>
  <c r="X22" i="63"/>
  <c r="X26" i="63"/>
  <c r="X21" i="63"/>
  <c r="X25" i="63"/>
  <c r="X200" i="63" s="1"/>
  <c r="Z89" i="63"/>
  <c r="Z90" i="63" s="1"/>
  <c r="Z130" i="63"/>
  <c r="Z129" i="63" s="1"/>
  <c r="Z199" i="63"/>
  <c r="Z214" i="63"/>
  <c r="Z248" i="63"/>
  <c r="Z58" i="46"/>
  <c r="Z180" i="63"/>
  <c r="Z233" i="63"/>
  <c r="Z232" i="63" s="1"/>
  <c r="Z102" i="63"/>
  <c r="Z103" i="63" s="1"/>
  <c r="Z145" i="63"/>
  <c r="Z165" i="63"/>
  <c r="Z164" i="63" s="1"/>
  <c r="Y16" i="68"/>
  <c r="Y24" i="68"/>
  <c r="W72" i="46"/>
  <c r="X60" i="68"/>
  <c r="X17" i="68"/>
  <c r="X42" i="68"/>
  <c r="AA4" i="73"/>
  <c r="AA4" i="63"/>
  <c r="AA4" i="68"/>
  <c r="AA4" i="59"/>
  <c r="AA5" i="60"/>
  <c r="W142" i="63"/>
  <c r="W272" i="63"/>
  <c r="Y131" i="63"/>
  <c r="Y135" i="63"/>
  <c r="Y132" i="63"/>
  <c r="Y170" i="63"/>
  <c r="Y167" i="63"/>
  <c r="Y166" i="63"/>
  <c r="Z5" i="59"/>
  <c r="Z5" i="68"/>
  <c r="Z5" i="73"/>
  <c r="Z5" i="63"/>
  <c r="Z6" i="60"/>
  <c r="Z7" i="60" s="1"/>
  <c r="S1028" i="59"/>
  <c r="S185" i="59"/>
  <c r="S16" i="60"/>
  <c r="S112" i="60" s="1"/>
  <c r="Y6" i="59"/>
  <c r="Y14" i="59"/>
  <c r="W43" i="68"/>
  <c r="W46" i="68" s="1"/>
  <c r="W20" i="68"/>
  <c r="W21" i="68" s="1"/>
  <c r="R212" i="63"/>
  <c r="S209" i="63" s="1"/>
  <c r="R206" i="63"/>
  <c r="R219" i="63" s="1"/>
  <c r="U344" i="59"/>
  <c r="U218" i="59" s="1"/>
  <c r="U31" i="60"/>
  <c r="AB51" i="63"/>
  <c r="AB113" i="63"/>
  <c r="AB115" i="63" s="1"/>
  <c r="AB118" i="63" s="1"/>
  <c r="AB7" i="59"/>
  <c r="AB912" i="59"/>
  <c r="AB239" i="59"/>
  <c r="AB241" i="59" s="1"/>
  <c r="AB8" i="60"/>
  <c r="Z3" i="80" s="1"/>
  <c r="V106" i="59"/>
  <c r="V111" i="59" s="1"/>
  <c r="V94" i="59"/>
  <c r="V97" i="59" s="1"/>
  <c r="V50" i="63"/>
  <c r="V45" i="73"/>
  <c r="V81" i="73" s="1"/>
  <c r="V256" i="59"/>
  <c r="V619" i="59"/>
  <c r="V915" i="59"/>
  <c r="V916" i="59" s="1"/>
  <c r="V925" i="59" s="1"/>
  <c r="V564" i="59"/>
  <c r="V1020" i="59"/>
  <c r="V298" i="59"/>
  <c r="V304" i="59"/>
  <c r="V309" i="59" s="1"/>
  <c r="V453" i="59"/>
  <c r="V678" i="59"/>
  <c r="V733" i="59"/>
  <c r="V508" i="59"/>
  <c r="V789" i="59"/>
  <c r="V844" i="59"/>
  <c r="Y235" i="63"/>
  <c r="Y234" i="63"/>
  <c r="Y238" i="63"/>
  <c r="Y146" i="63"/>
  <c r="Y361" i="63"/>
  <c r="Y181" i="63"/>
  <c r="Y249" i="63"/>
  <c r="Y215" i="63"/>
  <c r="Y198" i="63"/>
  <c r="X177" i="63"/>
  <c r="Z107" i="59"/>
  <c r="Z108" i="59" s="1"/>
  <c r="Z95" i="59"/>
  <c r="Z96" i="59" s="1"/>
  <c r="Z299" i="59"/>
  <c r="Y6" i="63"/>
  <c r="Y13" i="63"/>
  <c r="X21" i="59"/>
  <c r="X25" i="59"/>
  <c r="X20" i="59"/>
  <c r="X24" i="59"/>
  <c r="X28" i="59"/>
  <c r="X23" i="59"/>
  <c r="X27" i="59"/>
  <c r="X22" i="59"/>
  <c r="X26" i="59"/>
  <c r="X1076" i="59" s="1"/>
  <c r="W343" i="63"/>
  <c r="W286" i="63"/>
  <c r="W289" i="63" s="1"/>
  <c r="W300" i="63"/>
  <c r="W304" i="63" s="1"/>
  <c r="W310" i="63" s="1"/>
  <c r="Y70" i="46"/>
  <c r="Y50" i="46"/>
  <c r="Y78" i="46"/>
  <c r="AB4" i="46"/>
  <c r="AB23" i="46"/>
  <c r="AC22" i="46"/>
  <c r="AB35" i="46"/>
  <c r="U342" i="59"/>
  <c r="U216" i="59" s="1"/>
  <c r="U29" i="60"/>
  <c r="U346" i="59"/>
  <c r="U220" i="59" s="1"/>
  <c r="AC15" i="46"/>
  <c r="AC17" i="46"/>
  <c r="AC123" i="59"/>
  <c r="AC124" i="59" s="1"/>
  <c r="AD14" i="46"/>
  <c r="AC510" i="59"/>
  <c r="AC566" i="59"/>
  <c r="AC455" i="59"/>
  <c r="AC680" i="59"/>
  <c r="AC735" i="59"/>
  <c r="AC621" i="59"/>
  <c r="AC178" i="59"/>
  <c r="AC179" i="59" s="1"/>
  <c r="AC791" i="59"/>
  <c r="AC846" i="59"/>
  <c r="X150" i="63"/>
  <c r="X152" i="63"/>
  <c r="U54" i="73"/>
  <c r="T60" i="73"/>
  <c r="Y6" i="73"/>
  <c r="Y13" i="73"/>
  <c r="X343" i="63" l="1"/>
  <c r="X147" i="59"/>
  <c r="X182" i="59"/>
  <c r="X187" i="59" s="1"/>
  <c r="X144" i="59"/>
  <c r="X146" i="59"/>
  <c r="X300" i="63"/>
  <c r="X304" i="63" s="1"/>
  <c r="X310" i="63" s="1"/>
  <c r="W145" i="59"/>
  <c r="T58" i="60"/>
  <c r="T124" i="60" s="1"/>
  <c r="Y132" i="59"/>
  <c r="U119" i="59"/>
  <c r="V115" i="59"/>
  <c r="V127" i="59" s="1"/>
  <c r="W56" i="59"/>
  <c r="W59" i="59" s="1"/>
  <c r="W72" i="59"/>
  <c r="X56" i="59"/>
  <c r="X72" i="59"/>
  <c r="AA57" i="59"/>
  <c r="AA73" i="59"/>
  <c r="X54" i="46"/>
  <c r="Z70" i="46"/>
  <c r="T185" i="59"/>
  <c r="T16" i="60"/>
  <c r="T112" i="60" s="1"/>
  <c r="T1028" i="59"/>
  <c r="Z50" i="46"/>
  <c r="AA37" i="46"/>
  <c r="AA78" i="46" s="1"/>
  <c r="X204" i="63"/>
  <c r="Z14" i="73"/>
  <c r="Z14" i="63"/>
  <c r="Z15" i="59"/>
  <c r="AA365" i="59"/>
  <c r="AA373" i="59" s="1"/>
  <c r="AA381" i="59" s="1"/>
  <c r="V87" i="73"/>
  <c r="AB4" i="73"/>
  <c r="AB4" i="63"/>
  <c r="AB4" i="68"/>
  <c r="AB4" i="59"/>
  <c r="AB5" i="60"/>
  <c r="Y152" i="63"/>
  <c r="Y150" i="63"/>
  <c r="Z6" i="63"/>
  <c r="Z13" i="63"/>
  <c r="W45" i="73"/>
  <c r="W81" i="73" s="1"/>
  <c r="W106" i="59"/>
  <c r="W111" i="59" s="1"/>
  <c r="W94" i="59"/>
  <c r="W97" i="59" s="1"/>
  <c r="W50" i="63"/>
  <c r="W453" i="59"/>
  <c r="W915" i="59"/>
  <c r="W916" i="59" s="1"/>
  <c r="W256" i="59"/>
  <c r="W508" i="59"/>
  <c r="W619" i="59"/>
  <c r="W564" i="59"/>
  <c r="W304" i="59"/>
  <c r="W309" i="59" s="1"/>
  <c r="W298" i="59"/>
  <c r="W678" i="59"/>
  <c r="W733" i="59"/>
  <c r="W789" i="59"/>
  <c r="W844" i="59"/>
  <c r="W1020" i="59"/>
  <c r="Z235" i="63"/>
  <c r="Z234" i="63"/>
  <c r="Z238" i="63"/>
  <c r="T210" i="63"/>
  <c r="Y20" i="73"/>
  <c r="Y22" i="73"/>
  <c r="Y24" i="73"/>
  <c r="Y26" i="73"/>
  <c r="Y19" i="73"/>
  <c r="Y21" i="73"/>
  <c r="Y23" i="73"/>
  <c r="Y25" i="73"/>
  <c r="Y27" i="73"/>
  <c r="V54" i="73"/>
  <c r="U60" i="73"/>
  <c r="AC51" i="63"/>
  <c r="AC113" i="63"/>
  <c r="AC115" i="63" s="1"/>
  <c r="AC118" i="63" s="1"/>
  <c r="AC7" i="59"/>
  <c r="AC239" i="59"/>
  <c r="AC241" i="59" s="1"/>
  <c r="AC912" i="59"/>
  <c r="AC8" i="60"/>
  <c r="AA3" i="80" s="1"/>
  <c r="V58" i="63"/>
  <c r="V55" i="63"/>
  <c r="AB79" i="60"/>
  <c r="Z11" i="80" s="1"/>
  <c r="S212" i="63"/>
  <c r="T209" i="63" s="1"/>
  <c r="S206" i="63"/>
  <c r="S219" i="63" s="1"/>
  <c r="Y22" i="59"/>
  <c r="Y26" i="59"/>
  <c r="Y1076" i="59" s="1"/>
  <c r="Y21" i="59"/>
  <c r="Y25" i="59"/>
  <c r="Y20" i="59"/>
  <c r="Y24" i="59"/>
  <c r="Y28" i="59"/>
  <c r="Y23" i="59"/>
  <c r="Y27" i="59"/>
  <c r="Z6" i="73"/>
  <c r="Z13" i="73"/>
  <c r="X20" i="68"/>
  <c r="X21" i="68" s="1"/>
  <c r="X43" i="68"/>
  <c r="X46" i="68" s="1"/>
  <c r="Z170" i="63"/>
  <c r="Z167" i="63"/>
  <c r="Z166" i="63"/>
  <c r="X50" i="63"/>
  <c r="X45" i="73"/>
  <c r="X106" i="59"/>
  <c r="X94" i="59"/>
  <c r="X298" i="59"/>
  <c r="X304" i="59"/>
  <c r="X309" i="59" s="1"/>
  <c r="X508" i="59"/>
  <c r="X619" i="59"/>
  <c r="X678" i="59"/>
  <c r="X733" i="59"/>
  <c r="X789" i="59"/>
  <c r="X844" i="59"/>
  <c r="X564" i="59"/>
  <c r="X256" i="59"/>
  <c r="X453" i="59"/>
  <c r="X915" i="59"/>
  <c r="X916" i="59" s="1"/>
  <c r="X1020" i="59"/>
  <c r="V81" i="46"/>
  <c r="V66" i="46"/>
  <c r="V67" i="46" s="1"/>
  <c r="V82" i="46" s="1"/>
  <c r="AA107" i="59"/>
  <c r="AA108" i="59" s="1"/>
  <c r="AA95" i="59"/>
  <c r="AA96" i="59" s="1"/>
  <c r="AA299" i="59"/>
  <c r="AA102" i="63"/>
  <c r="AA103" i="63" s="1"/>
  <c r="AA165" i="63"/>
  <c r="AA164" i="63" s="1"/>
  <c r="AA199" i="63"/>
  <c r="AA214" i="63"/>
  <c r="AA248" i="63"/>
  <c r="AA58" i="46"/>
  <c r="AA89" i="63"/>
  <c r="AA90" i="63" s="1"/>
  <c r="AA130" i="63"/>
  <c r="AA129" i="63" s="1"/>
  <c r="AA180" i="63"/>
  <c r="AA145" i="63"/>
  <c r="AA233" i="63"/>
  <c r="AA232" i="63" s="1"/>
  <c r="V80" i="46"/>
  <c r="V62" i="46"/>
  <c r="W63" i="46" s="1"/>
  <c r="X142" i="63"/>
  <c r="X272" i="63"/>
  <c r="AE14" i="46"/>
  <c r="AD15" i="46"/>
  <c r="AD17" i="46"/>
  <c r="AD123" i="59"/>
  <c r="AD124" i="59" s="1"/>
  <c r="AD178" i="59"/>
  <c r="AD179" i="59" s="1"/>
  <c r="AD455" i="59"/>
  <c r="AD621" i="59"/>
  <c r="AD791" i="59"/>
  <c r="AD846" i="59"/>
  <c r="AD566" i="59"/>
  <c r="AD680" i="59"/>
  <c r="AD510" i="59"/>
  <c r="AD735" i="59"/>
  <c r="AC35" i="46"/>
  <c r="AC4" i="46"/>
  <c r="AC23" i="46"/>
  <c r="AD22" i="46"/>
  <c r="Y71" i="46"/>
  <c r="Y53" i="46"/>
  <c r="Y285" i="63"/>
  <c r="Y79" i="46"/>
  <c r="Y173" i="59"/>
  <c r="Y175" i="59" s="1"/>
  <c r="Y290" i="59"/>
  <c r="Y177" i="63"/>
  <c r="V1071" i="59"/>
  <c r="V1106" i="59"/>
  <c r="V1109" i="59" s="1"/>
  <c r="W80" i="46"/>
  <c r="W62" i="46"/>
  <c r="X63" i="46" s="1"/>
  <c r="U210" i="63"/>
  <c r="Z24" i="68"/>
  <c r="Z16" i="68"/>
  <c r="Y60" i="68"/>
  <c r="Y17" i="68"/>
  <c r="Y42" i="68"/>
  <c r="Z132" i="63"/>
  <c r="Z131" i="63"/>
  <c r="Z135" i="63"/>
  <c r="U361" i="59"/>
  <c r="U83" i="46"/>
  <c r="U90" i="46" s="1"/>
  <c r="AB24" i="46"/>
  <c r="AB26" i="46" s="1"/>
  <c r="AB28" i="46"/>
  <c r="AB5" i="46"/>
  <c r="AB36" i="46"/>
  <c r="AB49" i="46" s="1"/>
  <c r="Y21" i="63"/>
  <c r="Y25" i="63"/>
  <c r="Y200" i="63" s="1"/>
  <c r="Y20" i="63"/>
  <c r="Y24" i="63"/>
  <c r="Y19" i="63"/>
  <c r="Y201" i="63" s="1"/>
  <c r="Y23" i="63"/>
  <c r="Y27" i="63"/>
  <c r="Y22" i="63"/>
  <c r="Y26" i="63"/>
  <c r="V270" i="59"/>
  <c r="V325" i="59" s="1"/>
  <c r="V269" i="59"/>
  <c r="V324" i="59" s="1"/>
  <c r="V266" i="59"/>
  <c r="V321" i="59" s="1"/>
  <c r="V268" i="59"/>
  <c r="V323" i="59" s="1"/>
  <c r="Z14" i="59"/>
  <c r="Z6" i="59"/>
  <c r="Z215" i="63"/>
  <c r="Z198" i="63"/>
  <c r="Z146" i="63"/>
  <c r="Z249" i="63"/>
  <c r="Z361" i="63"/>
  <c r="Z181" i="63"/>
  <c r="AA5" i="59"/>
  <c r="AA5" i="68"/>
  <c r="AA5" i="73"/>
  <c r="AA5" i="63"/>
  <c r="AA6" i="60"/>
  <c r="AA7" i="60" s="1"/>
  <c r="Y147" i="59" l="1"/>
  <c r="Y182" i="59"/>
  <c r="Y187" i="59" s="1"/>
  <c r="Y144" i="59"/>
  <c r="Y146" i="59"/>
  <c r="X145" i="59"/>
  <c r="X59" i="59"/>
  <c r="W925" i="59"/>
  <c r="X922" i="59" s="1"/>
  <c r="X925" i="59"/>
  <c r="Y922" i="59" s="1"/>
  <c r="U16" i="60"/>
  <c r="U112" i="60" s="1"/>
  <c r="U185" i="59"/>
  <c r="U1028" i="59"/>
  <c r="W115" i="59"/>
  <c r="W127" i="59" s="1"/>
  <c r="AB73" i="59"/>
  <c r="AB57" i="59"/>
  <c r="X97" i="59"/>
  <c r="X111" i="59"/>
  <c r="Z290" i="59"/>
  <c r="Z132" i="59"/>
  <c r="AA50" i="46"/>
  <c r="AA70" i="46"/>
  <c r="Z173" i="59"/>
  <c r="Z175" i="59" s="1"/>
  <c r="Y72" i="46"/>
  <c r="Z285" i="63"/>
  <c r="Z343" i="63" s="1"/>
  <c r="Z71" i="46"/>
  <c r="Z72" i="46" s="1"/>
  <c r="Z79" i="46"/>
  <c r="Z53" i="46"/>
  <c r="Y59" i="46" s="1"/>
  <c r="Y204" i="63"/>
  <c r="U6" i="68"/>
  <c r="U6" i="46"/>
  <c r="U7" i="73"/>
  <c r="U7" i="63"/>
  <c r="U8" i="59"/>
  <c r="U9" i="60"/>
  <c r="X81" i="73"/>
  <c r="W87" i="73"/>
  <c r="AA6" i="73"/>
  <c r="AA13" i="73"/>
  <c r="Z23" i="59"/>
  <c r="Z27" i="59"/>
  <c r="Z22" i="59"/>
  <c r="Z26" i="59"/>
  <c r="Z1076" i="59" s="1"/>
  <c r="Z21" i="59"/>
  <c r="Z25" i="59"/>
  <c r="Z20" i="59"/>
  <c r="Z24" i="59"/>
  <c r="Z28" i="59"/>
  <c r="AB89" i="63"/>
  <c r="AB90" i="63" s="1"/>
  <c r="AB130" i="63"/>
  <c r="AB129" i="63" s="1"/>
  <c r="AB145" i="63"/>
  <c r="AB233" i="63"/>
  <c r="AB232" i="63" s="1"/>
  <c r="AB102" i="63"/>
  <c r="AB103" i="63" s="1"/>
  <c r="AB165" i="63"/>
  <c r="AB164" i="63" s="1"/>
  <c r="AB199" i="63"/>
  <c r="AB214" i="63"/>
  <c r="AB248" i="63"/>
  <c r="AB58" i="46"/>
  <c r="AB180" i="63"/>
  <c r="Y286" i="63"/>
  <c r="Y289" i="63" s="1"/>
  <c r="Y343" i="63"/>
  <c r="Y300" i="63"/>
  <c r="Y304" i="63" s="1"/>
  <c r="Y310" i="63" s="1"/>
  <c r="AC4" i="68"/>
  <c r="AC4" i="59"/>
  <c r="AC4" i="73"/>
  <c r="AC4" i="63"/>
  <c r="AC5" i="60"/>
  <c r="AD7" i="59"/>
  <c r="AD51" i="63"/>
  <c r="AD113" i="63"/>
  <c r="AD115" i="63" s="1"/>
  <c r="AD118" i="63" s="1"/>
  <c r="AD912" i="59"/>
  <c r="AD239" i="59"/>
  <c r="AD241" i="59" s="1"/>
  <c r="AD8" i="60"/>
  <c r="AB3" i="80" s="1"/>
  <c r="AA135" i="63"/>
  <c r="AA132" i="63"/>
  <c r="AA131" i="63"/>
  <c r="X1071" i="59"/>
  <c r="X1106" i="59"/>
  <c r="X1109" i="59" s="1"/>
  <c r="Z19" i="73"/>
  <c r="Z21" i="73"/>
  <c r="Z23" i="73"/>
  <c r="Z25" i="73"/>
  <c r="Z27" i="73"/>
  <c r="Z20" i="73"/>
  <c r="Z22" i="73"/>
  <c r="Z24" i="73"/>
  <c r="Z26" i="73"/>
  <c r="AA24" i="68"/>
  <c r="AA16" i="68"/>
  <c r="V345" i="59"/>
  <c r="V219" i="59" s="1"/>
  <c r="V32" i="60"/>
  <c r="AA14" i="73"/>
  <c r="AA14" i="63"/>
  <c r="AA15" i="59"/>
  <c r="AB365" i="59"/>
  <c r="AB373" i="59" s="1"/>
  <c r="AB381" i="59" s="1"/>
  <c r="X66" i="46"/>
  <c r="X81" i="46"/>
  <c r="V119" i="59"/>
  <c r="X59" i="46"/>
  <c r="Y54" i="46"/>
  <c r="AF14" i="46"/>
  <c r="AE15" i="46"/>
  <c r="AE17" i="46"/>
  <c r="AE123" i="59"/>
  <c r="AE124" i="59" s="1"/>
  <c r="AE178" i="59"/>
  <c r="AE179" i="59" s="1"/>
  <c r="AE680" i="59"/>
  <c r="AE735" i="59"/>
  <c r="AE791" i="59"/>
  <c r="AE846" i="59"/>
  <c r="AE621" i="59"/>
  <c r="AE510" i="59"/>
  <c r="AE566" i="59"/>
  <c r="AE455" i="59"/>
  <c r="AA238" i="63"/>
  <c r="AA235" i="63"/>
  <c r="AA234" i="63"/>
  <c r="AA249" i="63"/>
  <c r="AA181" i="63"/>
  <c r="AA146" i="63"/>
  <c r="AA361" i="63"/>
  <c r="W54" i="73"/>
  <c r="V60" i="73"/>
  <c r="Z22" i="63"/>
  <c r="Z26" i="63"/>
  <c r="Z21" i="63"/>
  <c r="Z25" i="63"/>
  <c r="Z200" i="63" s="1"/>
  <c r="Z20" i="63"/>
  <c r="Z24" i="63"/>
  <c r="Z19" i="63"/>
  <c r="Z201" i="63" s="1"/>
  <c r="Z23" i="63"/>
  <c r="Z27" i="63"/>
  <c r="Y272" i="63"/>
  <c r="Y142" i="63"/>
  <c r="AA14" i="59"/>
  <c r="AA6" i="59"/>
  <c r="Z150" i="63"/>
  <c r="Z152" i="63"/>
  <c r="V31" i="60"/>
  <c r="V344" i="59"/>
  <c r="V218" i="59" s="1"/>
  <c r="V346" i="59"/>
  <c r="V220" i="59" s="1"/>
  <c r="AB5" i="73"/>
  <c r="AB5" i="63"/>
  <c r="AB5" i="59"/>
  <c r="AB5" i="68"/>
  <c r="AB6" i="60"/>
  <c r="AB7" i="60" s="1"/>
  <c r="Y20" i="68"/>
  <c r="Y21" i="68" s="1"/>
  <c r="Y43" i="68"/>
  <c r="Y46" i="68" s="1"/>
  <c r="Z42" i="68"/>
  <c r="Z60" i="68"/>
  <c r="Z17" i="68"/>
  <c r="W361" i="59"/>
  <c r="AD4" i="46"/>
  <c r="AD23" i="46"/>
  <c r="AD35" i="46"/>
  <c r="AE22" i="46"/>
  <c r="W81" i="46"/>
  <c r="W66" i="46"/>
  <c r="W67" i="46" s="1"/>
  <c r="W82" i="46" s="1"/>
  <c r="AA166" i="63"/>
  <c r="AA170" i="63"/>
  <c r="AA167" i="63"/>
  <c r="X270" i="59"/>
  <c r="X325" i="59" s="1"/>
  <c r="X268" i="59"/>
  <c r="X323" i="59" s="1"/>
  <c r="X269" i="59"/>
  <c r="X324" i="59" s="1"/>
  <c r="X266" i="59"/>
  <c r="X321" i="59" s="1"/>
  <c r="W58" i="63"/>
  <c r="W55" i="63"/>
  <c r="AA6" i="63"/>
  <c r="AA13" i="63"/>
  <c r="Z177" i="63"/>
  <c r="V342" i="59"/>
  <c r="V216" i="59" s="1"/>
  <c r="V29" i="60"/>
  <c r="AB107" i="59"/>
  <c r="AB108" i="59" s="1"/>
  <c r="AB95" i="59"/>
  <c r="AB96" i="59" s="1"/>
  <c r="AB299" i="59"/>
  <c r="AC24" i="46"/>
  <c r="AC26" i="46" s="1"/>
  <c r="AC28" i="46"/>
  <c r="AC36" i="46"/>
  <c r="AC49" i="46" s="1"/>
  <c r="AC5" i="46"/>
  <c r="V361" i="59"/>
  <c r="V83" i="46"/>
  <c r="V90" i="46" s="1"/>
  <c r="AA198" i="63"/>
  <c r="AA215" i="63"/>
  <c r="X58" i="63"/>
  <c r="X55" i="63"/>
  <c r="T212" i="63"/>
  <c r="U209" i="63" s="1"/>
  <c r="T206" i="63"/>
  <c r="T219" i="63" s="1"/>
  <c r="V56" i="63"/>
  <c r="AB37" i="46"/>
  <c r="AC79" i="60"/>
  <c r="AA11" i="80" s="1"/>
  <c r="W270" i="59"/>
  <c r="W325" i="59" s="1"/>
  <c r="W269" i="59"/>
  <c r="W324" i="59" s="1"/>
  <c r="W268" i="59"/>
  <c r="W323" i="59" s="1"/>
  <c r="W266" i="59"/>
  <c r="W321" i="59" s="1"/>
  <c r="W1106" i="59"/>
  <c r="W1109" i="59" s="1"/>
  <c r="W1071" i="59"/>
  <c r="Z147" i="59" l="1"/>
  <c r="Z182" i="59"/>
  <c r="Z187" i="59" s="1"/>
  <c r="Z144" i="59"/>
  <c r="Z146" i="59"/>
  <c r="Y145" i="59"/>
  <c r="W926" i="59"/>
  <c r="W927" i="59" s="1"/>
  <c r="W156" i="60" s="1"/>
  <c r="X926" i="59"/>
  <c r="X927" i="59" s="1"/>
  <c r="X58" i="60" s="1"/>
  <c r="X124" i="60" s="1"/>
  <c r="AA132" i="59"/>
  <c r="Z56" i="59"/>
  <c r="Z72" i="59"/>
  <c r="X115" i="59"/>
  <c r="X127" i="59" s="1"/>
  <c r="AC57" i="59"/>
  <c r="AC73" i="59"/>
  <c r="Y50" i="63"/>
  <c r="Y55" i="63" s="1"/>
  <c r="Y72" i="59"/>
  <c r="Y56" i="59"/>
  <c r="Y59" i="59" s="1"/>
  <c r="AA285" i="63"/>
  <c r="AA343" i="63" s="1"/>
  <c r="AA53" i="46"/>
  <c r="Z59" i="46" s="1"/>
  <c r="AA173" i="59"/>
  <c r="AA175" i="59" s="1"/>
  <c r="AA290" i="59"/>
  <c r="AA71" i="46"/>
  <c r="AA72" i="46" s="1"/>
  <c r="AA79" i="46"/>
  <c r="Z300" i="63"/>
  <c r="Z304" i="63" s="1"/>
  <c r="Z310" i="63" s="1"/>
  <c r="Y256" i="59"/>
  <c r="Y733" i="59"/>
  <c r="Y453" i="59"/>
  <c r="Y619" i="59"/>
  <c r="Y304" i="59"/>
  <c r="Y309" i="59" s="1"/>
  <c r="Y106" i="59"/>
  <c r="Y111" i="59" s="1"/>
  <c r="Y844" i="59"/>
  <c r="Y298" i="59"/>
  <c r="Y45" i="73"/>
  <c r="Y81" i="73" s="1"/>
  <c r="Y564" i="59"/>
  <c r="Y789" i="59"/>
  <c r="Y1020" i="59"/>
  <c r="Y94" i="59"/>
  <c r="Y97" i="59" s="1"/>
  <c r="Z54" i="46"/>
  <c r="Y508" i="59"/>
  <c r="Y678" i="59"/>
  <c r="Y915" i="59"/>
  <c r="Y916" i="59" s="1"/>
  <c r="Z286" i="63"/>
  <c r="Z289" i="63" s="1"/>
  <c r="W83" i="46"/>
  <c r="W90" i="46" s="1"/>
  <c r="Z204" i="63"/>
  <c r="V6" i="46"/>
  <c r="V6" i="68"/>
  <c r="V7" i="73"/>
  <c r="V7" i="63"/>
  <c r="V8" i="59"/>
  <c r="V9" i="60"/>
  <c r="W345" i="59"/>
  <c r="W219" i="59" s="1"/>
  <c r="W32" i="60"/>
  <c r="U212" i="63"/>
  <c r="V209" i="63" s="1"/>
  <c r="U206" i="63"/>
  <c r="U219" i="63" s="1"/>
  <c r="AC58" i="46"/>
  <c r="AC102" i="63"/>
  <c r="AC103" i="63" s="1"/>
  <c r="AC165" i="63"/>
  <c r="AC164" i="63" s="1"/>
  <c r="AC180" i="63"/>
  <c r="AC145" i="63"/>
  <c r="AC89" i="63"/>
  <c r="AC90" i="63" s="1"/>
  <c r="AC130" i="63"/>
  <c r="AC129" i="63" s="1"/>
  <c r="AC199" i="63"/>
  <c r="AC214" i="63"/>
  <c r="AC233" i="63"/>
  <c r="AC232" i="63" s="1"/>
  <c r="AC248" i="63"/>
  <c r="AA19" i="63"/>
  <c r="AA201" i="63" s="1"/>
  <c r="AA23" i="63"/>
  <c r="AA27" i="63"/>
  <c r="AA22" i="63"/>
  <c r="AA26" i="63"/>
  <c r="AA21" i="63"/>
  <c r="AA25" i="63"/>
  <c r="AA200" i="63" s="1"/>
  <c r="AA20" i="63"/>
  <c r="AA24" i="63"/>
  <c r="X346" i="59"/>
  <c r="X220" i="59" s="1"/>
  <c r="AE4" i="46"/>
  <c r="AE23" i="46"/>
  <c r="AF22" i="46"/>
  <c r="AE35" i="46"/>
  <c r="AB16" i="68"/>
  <c r="AB24" i="68"/>
  <c r="Z272" i="63"/>
  <c r="Z142" i="63"/>
  <c r="Z106" i="59"/>
  <c r="Z94" i="59"/>
  <c r="Z50" i="63"/>
  <c r="Z45" i="73"/>
  <c r="Z256" i="59"/>
  <c r="Z508" i="59"/>
  <c r="Z619" i="59"/>
  <c r="Z564" i="59"/>
  <c r="Z1020" i="59"/>
  <c r="Z298" i="59"/>
  <c r="Z304" i="59"/>
  <c r="Z309" i="59" s="1"/>
  <c r="Z453" i="59"/>
  <c r="Z915" i="59"/>
  <c r="Z916" i="59" s="1"/>
  <c r="Z678" i="59"/>
  <c r="Z733" i="59"/>
  <c r="Z789" i="59"/>
  <c r="Z844" i="59"/>
  <c r="AA152" i="63"/>
  <c r="AA150" i="63"/>
  <c r="X67" i="46"/>
  <c r="X82" i="46" s="1"/>
  <c r="AA19" i="73"/>
  <c r="AA21" i="73"/>
  <c r="AA23" i="73"/>
  <c r="AA25" i="73"/>
  <c r="AA27" i="73"/>
  <c r="AA20" i="73"/>
  <c r="AA22" i="73"/>
  <c r="AA24" i="73"/>
  <c r="AA26" i="73"/>
  <c r="W119" i="59"/>
  <c r="W342" i="59"/>
  <c r="W216" i="59" s="1"/>
  <c r="W29" i="60"/>
  <c r="W346" i="59"/>
  <c r="W220" i="59" s="1"/>
  <c r="AC95" i="59"/>
  <c r="AC96" i="59" s="1"/>
  <c r="AC107" i="59"/>
  <c r="AC108" i="59" s="1"/>
  <c r="AC299" i="59"/>
  <c r="AB6" i="59"/>
  <c r="AB14" i="59"/>
  <c r="AA20" i="59"/>
  <c r="AA24" i="59"/>
  <c r="AA28" i="59"/>
  <c r="AA23" i="59"/>
  <c r="AA27" i="59"/>
  <c r="AA22" i="59"/>
  <c r="AA26" i="59"/>
  <c r="AA1076" i="59" s="1"/>
  <c r="AA21" i="59"/>
  <c r="AA25" i="59"/>
  <c r="W60" i="73"/>
  <c r="X54" i="73"/>
  <c r="AA177" i="63"/>
  <c r="AE7" i="59"/>
  <c r="AE51" i="63"/>
  <c r="AE113" i="63"/>
  <c r="AE115" i="63" s="1"/>
  <c r="AE118" i="63" s="1"/>
  <c r="AE239" i="59"/>
  <c r="AE241" i="59" s="1"/>
  <c r="AE912" i="59"/>
  <c r="AE8" i="60"/>
  <c r="AC3" i="80" s="1"/>
  <c r="X80" i="46"/>
  <c r="X62" i="46"/>
  <c r="Y63" i="46" s="1"/>
  <c r="AA17" i="68"/>
  <c r="AA42" i="68"/>
  <c r="AA60" i="68"/>
  <c r="AB167" i="63"/>
  <c r="AB166" i="63"/>
  <c r="AB170" i="63"/>
  <c r="AB135" i="63"/>
  <c r="AB132" i="63"/>
  <c r="AB131" i="63"/>
  <c r="X87" i="73"/>
  <c r="W31" i="60"/>
  <c r="W344" i="59"/>
  <c r="W218" i="59" s="1"/>
  <c r="AB50" i="46"/>
  <c r="AB78" i="46"/>
  <c r="AB70" i="46"/>
  <c r="AB14" i="63"/>
  <c r="AB15" i="59"/>
  <c r="AB14" i="73"/>
  <c r="AC365" i="59"/>
  <c r="AC373" i="59" s="1"/>
  <c r="AC381" i="59" s="1"/>
  <c r="X345" i="59"/>
  <c r="X219" i="59" s="1"/>
  <c r="X32" i="60"/>
  <c r="AD5" i="46"/>
  <c r="AD36" i="46"/>
  <c r="AD49" i="46" s="1"/>
  <c r="AD24" i="46"/>
  <c r="AD26" i="46" s="1"/>
  <c r="AD28" i="46"/>
  <c r="Z43" i="68"/>
  <c r="Z46" i="68" s="1"/>
  <c r="Z20" i="68"/>
  <c r="Z21" i="68" s="1"/>
  <c r="AB6" i="63"/>
  <c r="AB13" i="63"/>
  <c r="AF17" i="46"/>
  <c r="AF123" i="59"/>
  <c r="AF124" i="59" s="1"/>
  <c r="AG14" i="46"/>
  <c r="AF15" i="46"/>
  <c r="AF621" i="59"/>
  <c r="AF178" i="59"/>
  <c r="AF179" i="59" s="1"/>
  <c r="AF510" i="59"/>
  <c r="AF566" i="59"/>
  <c r="AF680" i="59"/>
  <c r="AF735" i="59"/>
  <c r="AF791" i="59"/>
  <c r="AF846" i="59"/>
  <c r="AF455" i="59"/>
  <c r="AD79" i="60"/>
  <c r="AB11" i="80" s="1"/>
  <c r="AB215" i="63"/>
  <c r="AB198" i="63"/>
  <c r="AB249" i="63"/>
  <c r="AB361" i="63"/>
  <c r="AB146" i="63"/>
  <c r="AB181" i="63"/>
  <c r="AC5" i="68"/>
  <c r="AC5" i="73"/>
  <c r="AC5" i="63"/>
  <c r="AC5" i="59"/>
  <c r="AC6" i="60"/>
  <c r="AC7" i="60" s="1"/>
  <c r="W56" i="63"/>
  <c r="X342" i="59"/>
  <c r="X216" i="59" s="1"/>
  <c r="X29" i="60"/>
  <c r="X31" i="60"/>
  <c r="X344" i="59"/>
  <c r="X218" i="59" s="1"/>
  <c r="AD4" i="68"/>
  <c r="AD4" i="59"/>
  <c r="AD4" i="73"/>
  <c r="AD4" i="63"/>
  <c r="AD5" i="60"/>
  <c r="AB6" i="73"/>
  <c r="AB13" i="73"/>
  <c r="AC37" i="46"/>
  <c r="V185" i="59"/>
  <c r="V16" i="60"/>
  <c r="V112" i="60" s="1"/>
  <c r="V1028" i="59"/>
  <c r="Y80" i="46"/>
  <c r="Y62" i="46"/>
  <c r="Z63" i="46" s="1"/>
  <c r="AB234" i="63"/>
  <c r="AB238" i="63"/>
  <c r="AB235" i="63"/>
  <c r="AA147" i="59" l="1"/>
  <c r="AA182" i="59"/>
  <c r="AA187" i="59" s="1"/>
  <c r="Y58" i="63"/>
  <c r="AA144" i="59"/>
  <c r="AA146" i="59"/>
  <c r="Z145" i="59"/>
  <c r="W58" i="60"/>
  <c r="W124" i="60" s="1"/>
  <c r="X156" i="60"/>
  <c r="Z59" i="59"/>
  <c r="Z925" i="59"/>
  <c r="AA922" i="59" s="1"/>
  <c r="Y925" i="59"/>
  <c r="Z922" i="59" s="1"/>
  <c r="AB132" i="59"/>
  <c r="X119" i="59"/>
  <c r="AD73" i="59"/>
  <c r="AD57" i="59"/>
  <c r="AA50" i="63"/>
  <c r="AA58" i="63" s="1"/>
  <c r="AA56" i="59"/>
  <c r="AA72" i="59"/>
  <c r="Y115" i="59"/>
  <c r="Y127" i="59" s="1"/>
  <c r="Z97" i="59"/>
  <c r="Z111" i="59"/>
  <c r="Y1071" i="59"/>
  <c r="AA300" i="63"/>
  <c r="AA304" i="63" s="1"/>
  <c r="AA310" i="63" s="1"/>
  <c r="AA286" i="63"/>
  <c r="AA289" i="63" s="1"/>
  <c r="AA54" i="46"/>
  <c r="Y1106" i="59"/>
  <c r="Y1109" i="59" s="1"/>
  <c r="Y270" i="59"/>
  <c r="Y325" i="59" s="1"/>
  <c r="Y346" i="59" s="1"/>
  <c r="Y220" i="59" s="1"/>
  <c r="Y269" i="59"/>
  <c r="Y324" i="59" s="1"/>
  <c r="Y32" i="60" s="1"/>
  <c r="AA789" i="59"/>
  <c r="Y266" i="59"/>
  <c r="Y321" i="59" s="1"/>
  <c r="Y342" i="59" s="1"/>
  <c r="Y216" i="59" s="1"/>
  <c r="Y268" i="59"/>
  <c r="Y323" i="59" s="1"/>
  <c r="Y344" i="59" s="1"/>
  <c r="Y218" i="59" s="1"/>
  <c r="AA733" i="59"/>
  <c r="AA94" i="59"/>
  <c r="AA106" i="59"/>
  <c r="AA678" i="59"/>
  <c r="AA619" i="59"/>
  <c r="AA45" i="73"/>
  <c r="AA298" i="59"/>
  <c r="AA508" i="59"/>
  <c r="AA564" i="59"/>
  <c r="AA256" i="59"/>
  <c r="AA304" i="59"/>
  <c r="AA309" i="59" s="1"/>
  <c r="AA915" i="59"/>
  <c r="AA916" i="59" s="1"/>
  <c r="AA925" i="59" s="1"/>
  <c r="AA1020" i="59"/>
  <c r="AA453" i="59"/>
  <c r="AA844" i="59"/>
  <c r="AA204" i="63"/>
  <c r="Z81" i="46"/>
  <c r="Z66" i="46"/>
  <c r="AC6" i="63"/>
  <c r="AC13" i="63"/>
  <c r="AB150" i="63"/>
  <c r="AB152" i="63"/>
  <c r="AF51" i="63"/>
  <c r="AF113" i="63"/>
  <c r="AF115" i="63" s="1"/>
  <c r="AF118" i="63" s="1"/>
  <c r="AF7" i="59"/>
  <c r="AF912" i="59"/>
  <c r="AF239" i="59"/>
  <c r="AF241" i="59" s="1"/>
  <c r="AF8" i="60"/>
  <c r="AD3" i="80" s="1"/>
  <c r="AD107" i="59"/>
  <c r="AD108" i="59" s="1"/>
  <c r="AD95" i="59"/>
  <c r="AD96" i="59" s="1"/>
  <c r="AD299" i="59"/>
  <c r="AC14" i="73"/>
  <c r="AC14" i="63"/>
  <c r="AC15" i="59"/>
  <c r="AD365" i="59"/>
  <c r="AD373" i="59" s="1"/>
  <c r="AD381" i="59" s="1"/>
  <c r="Z81" i="73"/>
  <c r="Y87" i="73"/>
  <c r="Z80" i="46"/>
  <c r="Z62" i="46"/>
  <c r="AA63" i="46" s="1"/>
  <c r="X361" i="59"/>
  <c r="X83" i="46"/>
  <c r="X90" i="46" s="1"/>
  <c r="Z1071" i="59"/>
  <c r="Z1106" i="59"/>
  <c r="Z1109" i="59" s="1"/>
  <c r="AF4" i="46"/>
  <c r="AF23" i="46"/>
  <c r="AG22" i="46"/>
  <c r="AF35" i="46"/>
  <c r="AC131" i="63"/>
  <c r="AC135" i="63"/>
  <c r="AC132" i="63"/>
  <c r="AC170" i="63"/>
  <c r="AC167" i="63"/>
  <c r="AC166" i="63"/>
  <c r="Y361" i="59"/>
  <c r="AC6" i="73"/>
  <c r="AC13" i="73"/>
  <c r="AG15" i="46"/>
  <c r="AG17" i="46"/>
  <c r="AG123" i="59"/>
  <c r="AG124" i="59" s="1"/>
  <c r="AH14" i="46"/>
  <c r="AG510" i="59"/>
  <c r="AG566" i="59"/>
  <c r="AG455" i="59"/>
  <c r="AG178" i="59"/>
  <c r="AG179" i="59" s="1"/>
  <c r="AG680" i="59"/>
  <c r="AG735" i="59"/>
  <c r="AG791" i="59"/>
  <c r="AG846" i="59"/>
  <c r="AG621" i="59"/>
  <c r="AB79" i="46"/>
  <c r="AB71" i="46"/>
  <c r="AB285" i="63"/>
  <c r="AB53" i="46"/>
  <c r="AB173" i="59"/>
  <c r="AB175" i="59" s="1"/>
  <c r="AB290" i="59"/>
  <c r="Y54" i="73"/>
  <c r="X60" i="73"/>
  <c r="Z270" i="59"/>
  <c r="Z325" i="59" s="1"/>
  <c r="Z269" i="59"/>
  <c r="Z324" i="59" s="1"/>
  <c r="Z268" i="59"/>
  <c r="Z323" i="59" s="1"/>
  <c r="Z266" i="59"/>
  <c r="Z321" i="59" s="1"/>
  <c r="AB60" i="68"/>
  <c r="AB17" i="68"/>
  <c r="AB42" i="68"/>
  <c r="AE36" i="46"/>
  <c r="AE49" i="46" s="1"/>
  <c r="AE5" i="46"/>
  <c r="AE24" i="46"/>
  <c r="AE26" i="46" s="1"/>
  <c r="AE28" i="46"/>
  <c r="AC235" i="63"/>
  <c r="AC234" i="63"/>
  <c r="AC238" i="63"/>
  <c r="AC146" i="63"/>
  <c r="AC361" i="63"/>
  <c r="AC181" i="63"/>
  <c r="AC249" i="63"/>
  <c r="AC215" i="63"/>
  <c r="AC198" i="63"/>
  <c r="AC70" i="46"/>
  <c r="AC50" i="46"/>
  <c r="AC78" i="46"/>
  <c r="AB20" i="73"/>
  <c r="AB22" i="73"/>
  <c r="AB24" i="73"/>
  <c r="AB26" i="73"/>
  <c r="AB19" i="73"/>
  <c r="AB21" i="73"/>
  <c r="AB23" i="73"/>
  <c r="AB25" i="73"/>
  <c r="AB27" i="73"/>
  <c r="AC16" i="68"/>
  <c r="AC24" i="68"/>
  <c r="X56" i="63"/>
  <c r="Y56" i="63" s="1"/>
  <c r="AB20" i="63"/>
  <c r="AB24" i="63"/>
  <c r="AB19" i="63"/>
  <c r="AB201" i="63" s="1"/>
  <c r="AB23" i="63"/>
  <c r="AB27" i="63"/>
  <c r="AB22" i="63"/>
  <c r="AB26" i="63"/>
  <c r="AB21" i="63"/>
  <c r="AB25" i="63"/>
  <c r="AB200" i="63" s="1"/>
  <c r="AD89" i="63"/>
  <c r="AD90" i="63" s="1"/>
  <c r="AD130" i="63"/>
  <c r="AD129" i="63" s="1"/>
  <c r="AD199" i="63"/>
  <c r="AD214" i="63"/>
  <c r="AD248" i="63"/>
  <c r="AD58" i="46"/>
  <c r="AD180" i="63"/>
  <c r="AD233" i="63"/>
  <c r="AD232" i="63" s="1"/>
  <c r="AD102" i="63"/>
  <c r="AD103" i="63" s="1"/>
  <c r="AD145" i="63"/>
  <c r="AD165" i="63"/>
  <c r="AD164" i="63" s="1"/>
  <c r="AE79" i="60"/>
  <c r="AC11" i="80" s="1"/>
  <c r="W1028" i="59"/>
  <c r="W185" i="59"/>
  <c r="W16" i="60"/>
  <c r="W112" i="60" s="1"/>
  <c r="AA142" i="63"/>
  <c r="AA272" i="63"/>
  <c r="AE4" i="73"/>
  <c r="AE4" i="63"/>
  <c r="AE4" i="68"/>
  <c r="AE4" i="59"/>
  <c r="AE5" i="60"/>
  <c r="AC6" i="59"/>
  <c r="AC14" i="59"/>
  <c r="AB177" i="63"/>
  <c r="AD5" i="59"/>
  <c r="AD5" i="68"/>
  <c r="AD5" i="73"/>
  <c r="AD5" i="63"/>
  <c r="AD6" i="60"/>
  <c r="AD7" i="60" s="1"/>
  <c r="AA43" i="68"/>
  <c r="AA46" i="68" s="1"/>
  <c r="AA20" i="68"/>
  <c r="AA21" i="68" s="1"/>
  <c r="Y81" i="46"/>
  <c r="Y66" i="46"/>
  <c r="Y67" i="46" s="1"/>
  <c r="Y82" i="46" s="1"/>
  <c r="AB21" i="59"/>
  <c r="AB25" i="59"/>
  <c r="AB20" i="59"/>
  <c r="AB24" i="59"/>
  <c r="AB28" i="59"/>
  <c r="AB23" i="59"/>
  <c r="AB27" i="59"/>
  <c r="AB22" i="59"/>
  <c r="AB26" i="59"/>
  <c r="AB1076" i="59" s="1"/>
  <c r="W6" i="46"/>
  <c r="W7" i="73"/>
  <c r="W7" i="63"/>
  <c r="W8" i="59"/>
  <c r="W6" i="68"/>
  <c r="W9" i="60"/>
  <c r="AD37" i="46"/>
  <c r="Z58" i="63"/>
  <c r="Z55" i="63"/>
  <c r="AB147" i="59" l="1"/>
  <c r="AB182" i="59"/>
  <c r="AB187" i="59" s="1"/>
  <c r="AB144" i="59"/>
  <c r="AB146" i="59"/>
  <c r="AA145" i="59"/>
  <c r="AA59" i="59"/>
  <c r="AA55" i="63"/>
  <c r="Z926" i="59"/>
  <c r="Z927" i="59" s="1"/>
  <c r="Z156" i="60" s="1"/>
  <c r="Y926" i="59"/>
  <c r="Y927" i="59" s="1"/>
  <c r="Y58" i="60" s="1"/>
  <c r="Y124" i="60" s="1"/>
  <c r="AC132" i="59"/>
  <c r="Y119" i="59"/>
  <c r="X16" i="60"/>
  <c r="X112" i="60" s="1"/>
  <c r="X185" i="59"/>
  <c r="X1028" i="59"/>
  <c r="AA97" i="59"/>
  <c r="Z115" i="59"/>
  <c r="Z127" i="59" s="1"/>
  <c r="AE73" i="59"/>
  <c r="AE57" i="59"/>
  <c r="AA111" i="59"/>
  <c r="AE37" i="46"/>
  <c r="AE70" i="46" s="1"/>
  <c r="Y345" i="59"/>
  <c r="Y219" i="59" s="1"/>
  <c r="Y31" i="60"/>
  <c r="Y29" i="60"/>
  <c r="AA1071" i="59"/>
  <c r="AA1106" i="59"/>
  <c r="AA1109" i="59" s="1"/>
  <c r="AB72" i="46"/>
  <c r="AA268" i="59"/>
  <c r="AA323" i="59" s="1"/>
  <c r="AA31" i="60" s="1"/>
  <c r="AA269" i="59"/>
  <c r="AA324" i="59" s="1"/>
  <c r="AA345" i="59" s="1"/>
  <c r="AA219" i="59" s="1"/>
  <c r="AA270" i="59"/>
  <c r="AA325" i="59" s="1"/>
  <c r="AA346" i="59" s="1"/>
  <c r="AA220" i="59" s="1"/>
  <c r="AA266" i="59"/>
  <c r="AA321" i="59" s="1"/>
  <c r="AA342" i="59" s="1"/>
  <c r="AA216" i="59" s="1"/>
  <c r="Y83" i="46"/>
  <c r="Y90" i="46" s="1"/>
  <c r="AB204" i="63"/>
  <c r="X6" i="68"/>
  <c r="X7" i="73"/>
  <c r="X7" i="63"/>
  <c r="X8" i="59"/>
  <c r="X6" i="46"/>
  <c r="X9" i="60"/>
  <c r="AD50" i="46"/>
  <c r="AD78" i="46"/>
  <c r="AD70" i="46"/>
  <c r="AD6" i="63"/>
  <c r="AD13" i="63"/>
  <c r="AD170" i="63"/>
  <c r="AD167" i="63"/>
  <c r="AD166" i="63"/>
  <c r="AC71" i="46"/>
  <c r="AC72" i="46" s="1"/>
  <c r="AC53" i="46"/>
  <c r="AC285" i="63"/>
  <c r="AC79" i="46"/>
  <c r="AC290" i="59"/>
  <c r="AC173" i="59"/>
  <c r="AC175" i="59" s="1"/>
  <c r="AC152" i="63"/>
  <c r="AC150" i="63"/>
  <c r="AE107" i="59"/>
  <c r="AE108" i="59" s="1"/>
  <c r="AE95" i="59"/>
  <c r="AE96" i="59" s="1"/>
  <c r="AE299" i="59"/>
  <c r="AE102" i="63"/>
  <c r="AE103" i="63" s="1"/>
  <c r="AE165" i="63"/>
  <c r="AE164" i="63" s="1"/>
  <c r="AE199" i="63"/>
  <c r="AE214" i="63"/>
  <c r="AE248" i="63"/>
  <c r="AE58" i="46"/>
  <c r="AE89" i="63"/>
  <c r="AE90" i="63" s="1"/>
  <c r="AE130" i="63"/>
  <c r="AE129" i="63" s="1"/>
  <c r="AE180" i="63"/>
  <c r="AE145" i="63"/>
  <c r="AE233" i="63"/>
  <c r="AE232" i="63" s="1"/>
  <c r="AB20" i="68"/>
  <c r="AB21" i="68" s="1"/>
  <c r="AB43" i="68"/>
  <c r="AB46" i="68" s="1"/>
  <c r="Z342" i="59"/>
  <c r="Z216" i="59" s="1"/>
  <c r="Z29" i="60"/>
  <c r="Z31" i="60"/>
  <c r="Z344" i="59"/>
  <c r="Z218" i="59" s="1"/>
  <c r="AA59" i="46"/>
  <c r="AB54" i="46"/>
  <c r="AI14" i="46"/>
  <c r="AH15" i="46"/>
  <c r="AH17" i="46"/>
  <c r="AH123" i="59"/>
  <c r="AH124" i="59" s="1"/>
  <c r="AH455" i="59"/>
  <c r="AH621" i="59"/>
  <c r="AH178" i="59"/>
  <c r="AH179" i="59" s="1"/>
  <c r="AH566" i="59"/>
  <c r="AH510" i="59"/>
  <c r="AH680" i="59"/>
  <c r="AH791" i="59"/>
  <c r="AH846" i="59"/>
  <c r="AH735" i="59"/>
  <c r="AC20" i="73"/>
  <c r="AC22" i="73"/>
  <c r="AC24" i="73"/>
  <c r="AC26" i="73"/>
  <c r="AC19" i="73"/>
  <c r="AC21" i="73"/>
  <c r="AC23" i="73"/>
  <c r="AC25" i="73"/>
  <c r="AC27" i="73"/>
  <c r="Z87" i="73"/>
  <c r="AA81" i="73"/>
  <c r="AC21" i="63"/>
  <c r="AC25" i="63"/>
  <c r="AC200" i="63" s="1"/>
  <c r="AC20" i="63"/>
  <c r="AC24" i="63"/>
  <c r="AC19" i="63"/>
  <c r="AC201" i="63" s="1"/>
  <c r="AC23" i="63"/>
  <c r="AC27" i="63"/>
  <c r="AC22" i="63"/>
  <c r="AC26" i="63"/>
  <c r="AD6" i="73"/>
  <c r="AD13" i="73"/>
  <c r="AD132" i="63"/>
  <c r="AD131" i="63"/>
  <c r="AD135" i="63"/>
  <c r="AC60" i="68"/>
  <c r="AC17" i="68"/>
  <c r="AC42" i="68"/>
  <c r="Z54" i="73"/>
  <c r="Y60" i="73"/>
  <c r="AB343" i="63"/>
  <c r="AB286" i="63"/>
  <c r="AB289" i="63" s="1"/>
  <c r="AB300" i="63"/>
  <c r="AB304" i="63" s="1"/>
  <c r="AB310" i="63" s="1"/>
  <c r="AG35" i="46"/>
  <c r="AG4" i="46"/>
  <c r="AG23" i="46"/>
  <c r="AH22" i="46"/>
  <c r="AA81" i="46"/>
  <c r="AA66" i="46"/>
  <c r="Z67" i="46"/>
  <c r="Z82" i="46" s="1"/>
  <c r="Z83" i="46" s="1"/>
  <c r="Z90" i="46" s="1"/>
  <c r="Z56" i="63"/>
  <c r="AD24" i="68"/>
  <c r="AD16" i="68"/>
  <c r="AC22" i="59"/>
  <c r="AC26" i="59"/>
  <c r="AC1076" i="59" s="1"/>
  <c r="AC21" i="59"/>
  <c r="AC25" i="59"/>
  <c r="AC20" i="59"/>
  <c r="AC24" i="59"/>
  <c r="AC28" i="59"/>
  <c r="AC23" i="59"/>
  <c r="AC27" i="59"/>
  <c r="AD215" i="63"/>
  <c r="AD198" i="63"/>
  <c r="AD146" i="63"/>
  <c r="AD249" i="63"/>
  <c r="AD361" i="63"/>
  <c r="AD181" i="63"/>
  <c r="AC177" i="63"/>
  <c r="AE5" i="59"/>
  <c r="AE5" i="68"/>
  <c r="AE5" i="73"/>
  <c r="AE5" i="63"/>
  <c r="AE6" i="60"/>
  <c r="AE7" i="60" s="1"/>
  <c r="Z345" i="59"/>
  <c r="Z219" i="59" s="1"/>
  <c r="Z32" i="60"/>
  <c r="AF24" i="46"/>
  <c r="AF26" i="46" s="1"/>
  <c r="AF28" i="46"/>
  <c r="AF5" i="46"/>
  <c r="AF36" i="46"/>
  <c r="AF49" i="46" s="1"/>
  <c r="Z361" i="59"/>
  <c r="AB142" i="63"/>
  <c r="AB272" i="63"/>
  <c r="AD14" i="59"/>
  <c r="AD6" i="59"/>
  <c r="AD235" i="63"/>
  <c r="AD234" i="63"/>
  <c r="AD238" i="63"/>
  <c r="AD14" i="73"/>
  <c r="AD14" i="63"/>
  <c r="AD15" i="59"/>
  <c r="AE365" i="59"/>
  <c r="AE373" i="59" s="1"/>
  <c r="AE381" i="59" s="1"/>
  <c r="Z346" i="59"/>
  <c r="Z220" i="59" s="1"/>
  <c r="AG51" i="63"/>
  <c r="AG113" i="63"/>
  <c r="AG115" i="63" s="1"/>
  <c r="AG118" i="63" s="1"/>
  <c r="AG7" i="59"/>
  <c r="AG239" i="59"/>
  <c r="AG241" i="59" s="1"/>
  <c r="AG912" i="59"/>
  <c r="AG8" i="60"/>
  <c r="AE3" i="80" s="1"/>
  <c r="AF4" i="73"/>
  <c r="AF4" i="63"/>
  <c r="AF4" i="68"/>
  <c r="AF4" i="59"/>
  <c r="AF5" i="60"/>
  <c r="AF79" i="60"/>
  <c r="AD11" i="80" s="1"/>
  <c r="AC147" i="59" l="1"/>
  <c r="AC182" i="59"/>
  <c r="AC187" i="59" s="1"/>
  <c r="AC144" i="59"/>
  <c r="AC146" i="59"/>
  <c r="AB145" i="59"/>
  <c r="Z58" i="60"/>
  <c r="Z124" i="60" s="1"/>
  <c r="Y156" i="60"/>
  <c r="AD132" i="59"/>
  <c r="Y6" i="46"/>
  <c r="Z119" i="59"/>
  <c r="AE78" i="46"/>
  <c r="AB619" i="59"/>
  <c r="AB56" i="59"/>
  <c r="AB59" i="59" s="1"/>
  <c r="AB72" i="59"/>
  <c r="AF73" i="59"/>
  <c r="AF57" i="59"/>
  <c r="AC72" i="59"/>
  <c r="AC56" i="59"/>
  <c r="AA115" i="59"/>
  <c r="AA127" i="59" s="1"/>
  <c r="AE50" i="46"/>
  <c r="AB789" i="59"/>
  <c r="AB256" i="59"/>
  <c r="AB298" i="59"/>
  <c r="AB50" i="63"/>
  <c r="AB58" i="63" s="1"/>
  <c r="AB733" i="59"/>
  <c r="AB94" i="59"/>
  <c r="AB97" i="59" s="1"/>
  <c r="AB564" i="59"/>
  <c r="AB508" i="59"/>
  <c r="AB106" i="59"/>
  <c r="AB111" i="59" s="1"/>
  <c r="AB844" i="59"/>
  <c r="AB45" i="73"/>
  <c r="AB81" i="73" s="1"/>
  <c r="AB915" i="59"/>
  <c r="AB916" i="59" s="1"/>
  <c r="AB678" i="59"/>
  <c r="AB1020" i="59"/>
  <c r="AB304" i="59"/>
  <c r="AB309" i="59" s="1"/>
  <c r="Y1028" i="59"/>
  <c r="Y16" i="60"/>
  <c r="Y112" i="60" s="1"/>
  <c r="Y185" i="59"/>
  <c r="AB453" i="59"/>
  <c r="AA32" i="60"/>
  <c r="AA344" i="59"/>
  <c r="AA218" i="59" s="1"/>
  <c r="AA29" i="60"/>
  <c r="AC204" i="63"/>
  <c r="Y9" i="60"/>
  <c r="Y6" i="68"/>
  <c r="Y7" i="73"/>
  <c r="Y8" i="59"/>
  <c r="Y7" i="63"/>
  <c r="Z6" i="46"/>
  <c r="Z6" i="68"/>
  <c r="Z7" i="73"/>
  <c r="Z7" i="63"/>
  <c r="Z8" i="59"/>
  <c r="Z9" i="60"/>
  <c r="AD23" i="59"/>
  <c r="AD27" i="59"/>
  <c r="AD22" i="59"/>
  <c r="AD26" i="59"/>
  <c r="AD1076" i="59" s="1"/>
  <c r="AD21" i="59"/>
  <c r="AD25" i="59"/>
  <c r="AD20" i="59"/>
  <c r="AD24" i="59"/>
  <c r="AD28" i="59"/>
  <c r="AF89" i="63"/>
  <c r="AF90" i="63" s="1"/>
  <c r="AF130" i="63"/>
  <c r="AF129" i="63" s="1"/>
  <c r="AF145" i="63"/>
  <c r="AF233" i="63"/>
  <c r="AF232" i="63" s="1"/>
  <c r="AF102" i="63"/>
  <c r="AF103" i="63" s="1"/>
  <c r="AF165" i="63"/>
  <c r="AF164" i="63" s="1"/>
  <c r="AF199" i="63"/>
  <c r="AF214" i="63"/>
  <c r="AF248" i="63"/>
  <c r="AF58" i="46"/>
  <c r="AF180" i="63"/>
  <c r="AE14" i="59"/>
  <c r="AE6" i="59"/>
  <c r="AD42" i="68"/>
  <c r="AD60" i="68"/>
  <c r="AD17" i="68"/>
  <c r="AG24" i="46"/>
  <c r="AG26" i="46" s="1"/>
  <c r="AG28" i="46"/>
  <c r="AG36" i="46"/>
  <c r="AG49" i="46" s="1"/>
  <c r="AG5" i="46"/>
  <c r="AC94" i="59"/>
  <c r="AC50" i="63"/>
  <c r="AC45" i="73"/>
  <c r="AC106" i="59"/>
  <c r="AC453" i="59"/>
  <c r="AC1020" i="59"/>
  <c r="AC298" i="59"/>
  <c r="AC304" i="59"/>
  <c r="AC309" i="59" s="1"/>
  <c r="AC915" i="59"/>
  <c r="AC916" i="59" s="1"/>
  <c r="AC678" i="59"/>
  <c r="AC733" i="59"/>
  <c r="AC789" i="59"/>
  <c r="AC844" i="59"/>
  <c r="AC619" i="59"/>
  <c r="AC256" i="59"/>
  <c r="AC508" i="59"/>
  <c r="AC564" i="59"/>
  <c r="AC20" i="68"/>
  <c r="AC21" i="68" s="1"/>
  <c r="AC43" i="68"/>
  <c r="AC46" i="68" s="1"/>
  <c r="AJ14" i="46"/>
  <c r="AI15" i="46"/>
  <c r="AI17" i="46"/>
  <c r="AI123" i="59"/>
  <c r="AI124" i="59" s="1"/>
  <c r="AI178" i="59"/>
  <c r="AI179" i="59" s="1"/>
  <c r="AI680" i="59"/>
  <c r="AI735" i="59"/>
  <c r="AI791" i="59"/>
  <c r="AI846" i="59"/>
  <c r="AI621" i="59"/>
  <c r="AI510" i="59"/>
  <c r="AI566" i="59"/>
  <c r="AI455" i="59"/>
  <c r="AE135" i="63"/>
  <c r="AE132" i="63"/>
  <c r="AE131" i="63"/>
  <c r="AC272" i="63"/>
  <c r="AC142" i="63"/>
  <c r="AD22" i="63"/>
  <c r="AD26" i="63"/>
  <c r="AD21" i="63"/>
  <c r="AD25" i="63"/>
  <c r="AD200" i="63" s="1"/>
  <c r="AD20" i="63"/>
  <c r="AD24" i="63"/>
  <c r="AD19" i="63"/>
  <c r="AD201" i="63" s="1"/>
  <c r="AD23" i="63"/>
  <c r="AD27" i="63"/>
  <c r="AD53" i="46"/>
  <c r="AD79" i="46"/>
  <c r="AD71" i="46"/>
  <c r="AD285" i="63"/>
  <c r="AD173" i="59"/>
  <c r="AD175" i="59" s="1"/>
  <c r="AD290" i="59"/>
  <c r="AE14" i="73"/>
  <c r="AE14" i="63"/>
  <c r="AE15" i="59"/>
  <c r="AF365" i="59"/>
  <c r="AF373" i="59" s="1"/>
  <c r="AF381" i="59" s="1"/>
  <c r="AE6" i="63"/>
  <c r="AE13" i="63"/>
  <c r="AD150" i="63"/>
  <c r="AD152" i="63"/>
  <c r="AG4" i="68"/>
  <c r="AG4" i="59"/>
  <c r="AG4" i="73"/>
  <c r="AG4" i="63"/>
  <c r="AG5" i="60"/>
  <c r="AA80" i="46"/>
  <c r="AA62" i="46"/>
  <c r="AB63" i="46" s="1"/>
  <c r="AE238" i="63"/>
  <c r="AE235" i="63"/>
  <c r="AE234" i="63"/>
  <c r="AE249" i="63"/>
  <c r="AE181" i="63"/>
  <c r="AE146" i="63"/>
  <c r="AE361" i="63"/>
  <c r="AC286" i="63"/>
  <c r="AC289" i="63" s="1"/>
  <c r="AC343" i="63"/>
  <c r="AC300" i="63"/>
  <c r="AC304" i="63" s="1"/>
  <c r="AC310" i="63" s="1"/>
  <c r="AG79" i="60"/>
  <c r="AE11" i="80" s="1"/>
  <c r="AF5" i="73"/>
  <c r="AF5" i="63"/>
  <c r="AF5" i="59"/>
  <c r="AF5" i="68"/>
  <c r="AF6" i="60"/>
  <c r="AF7" i="60" s="1"/>
  <c r="AE6" i="73"/>
  <c r="AE13" i="73"/>
  <c r="AD177" i="63"/>
  <c r="AA54" i="73"/>
  <c r="Z60" i="73"/>
  <c r="AA87" i="73"/>
  <c r="AF37" i="46"/>
  <c r="AE166" i="63"/>
  <c r="AE170" i="63"/>
  <c r="AE167" i="63"/>
  <c r="AB59" i="46"/>
  <c r="AC54" i="46"/>
  <c r="AF107" i="59"/>
  <c r="AF108" i="59" s="1"/>
  <c r="AF95" i="59"/>
  <c r="AF96" i="59" s="1"/>
  <c r="AF299" i="59"/>
  <c r="AE24" i="68"/>
  <c r="AE16" i="68"/>
  <c r="AA67" i="46"/>
  <c r="AA82" i="46" s="1"/>
  <c r="AH4" i="46"/>
  <c r="AH23" i="46"/>
  <c r="AH35" i="46"/>
  <c r="AI22" i="46"/>
  <c r="AD19" i="73"/>
  <c r="AD21" i="73"/>
  <c r="AD23" i="73"/>
  <c r="AD25" i="73"/>
  <c r="AD27" i="73"/>
  <c r="AD20" i="73"/>
  <c r="AD22" i="73"/>
  <c r="AD24" i="73"/>
  <c r="AD26" i="73"/>
  <c r="AH7" i="59"/>
  <c r="AH51" i="63"/>
  <c r="AH113" i="63"/>
  <c r="AH115" i="63" s="1"/>
  <c r="AH118" i="63" s="1"/>
  <c r="AH912" i="59"/>
  <c r="AH239" i="59"/>
  <c r="AH241" i="59" s="1"/>
  <c r="AH8" i="60"/>
  <c r="AF3" i="80" s="1"/>
  <c r="AE198" i="63"/>
  <c r="AE215" i="63"/>
  <c r="AA56" i="63"/>
  <c r="AD147" i="59" l="1"/>
  <c r="AD182" i="59"/>
  <c r="AD187" i="59" s="1"/>
  <c r="AD144" i="59"/>
  <c r="AD146" i="59"/>
  <c r="AC145" i="59"/>
  <c r="AC59" i="59"/>
  <c r="AC925" i="59"/>
  <c r="AD922" i="59" s="1"/>
  <c r="AE132" i="59"/>
  <c r="Z16" i="60"/>
  <c r="Z112" i="60" s="1"/>
  <c r="Z1028" i="59"/>
  <c r="Z185" i="59"/>
  <c r="AA119" i="59"/>
  <c r="AG73" i="59"/>
  <c r="AG57" i="59"/>
  <c r="AB115" i="59"/>
  <c r="AB127" i="59" s="1"/>
  <c r="AC111" i="59"/>
  <c r="AC97" i="59"/>
  <c r="AB1106" i="59"/>
  <c r="AB1109" i="59" s="1"/>
  <c r="AE53" i="46"/>
  <c r="AD59" i="46" s="1"/>
  <c r="AE285" i="63"/>
  <c r="AE286" i="63" s="1"/>
  <c r="AE289" i="63" s="1"/>
  <c r="AE173" i="59"/>
  <c r="AE175" i="59" s="1"/>
  <c r="AE71" i="46"/>
  <c r="AE72" i="46" s="1"/>
  <c r="AE79" i="46"/>
  <c r="AE290" i="59"/>
  <c r="AB268" i="59"/>
  <c r="AB323" i="59" s="1"/>
  <c r="AB31" i="60" s="1"/>
  <c r="AB266" i="59"/>
  <c r="AB321" i="59" s="1"/>
  <c r="AB342" i="59" s="1"/>
  <c r="AB216" i="59" s="1"/>
  <c r="AB270" i="59"/>
  <c r="AB325" i="59" s="1"/>
  <c r="AB346" i="59" s="1"/>
  <c r="AB220" i="59" s="1"/>
  <c r="AB269" i="59"/>
  <c r="AB324" i="59" s="1"/>
  <c r="AB345" i="59" s="1"/>
  <c r="AB219" i="59" s="1"/>
  <c r="AB1071" i="59"/>
  <c r="AB55" i="63"/>
  <c r="AB56" i="63" s="1"/>
  <c r="AD72" i="46"/>
  <c r="AG37" i="46"/>
  <c r="AG70" i="46" s="1"/>
  <c r="AD204" i="63"/>
  <c r="AH4" i="68"/>
  <c r="AH4" i="59"/>
  <c r="AH4" i="73"/>
  <c r="AH4" i="63"/>
  <c r="AH5" i="60"/>
  <c r="AB80" i="46"/>
  <c r="AB62" i="46"/>
  <c r="AC63" i="46" s="1"/>
  <c r="AC81" i="73"/>
  <c r="AB87" i="73"/>
  <c r="AF6" i="73"/>
  <c r="AF13" i="73"/>
  <c r="AE177" i="63"/>
  <c r="AA361" i="59"/>
  <c r="AA83" i="46"/>
  <c r="AA90" i="46" s="1"/>
  <c r="AG5" i="68"/>
  <c r="AG5" i="73"/>
  <c r="AG5" i="63"/>
  <c r="AG5" i="59"/>
  <c r="AG6" i="60"/>
  <c r="AG7" i="60" s="1"/>
  <c r="AD43" i="68"/>
  <c r="AD46" i="68" s="1"/>
  <c r="AD20" i="68"/>
  <c r="AD21" i="68" s="1"/>
  <c r="AF167" i="63"/>
  <c r="AF166" i="63"/>
  <c r="AF170" i="63"/>
  <c r="AF135" i="63"/>
  <c r="AF132" i="63"/>
  <c r="AF131" i="63"/>
  <c r="AH79" i="60"/>
  <c r="AF11" i="80" s="1"/>
  <c r="AI4" i="46"/>
  <c r="AI23" i="46"/>
  <c r="AJ22" i="46"/>
  <c r="AI35" i="46"/>
  <c r="AE19" i="73"/>
  <c r="AE21" i="73"/>
  <c r="AE23" i="73"/>
  <c r="AE25" i="73"/>
  <c r="AE27" i="73"/>
  <c r="AE20" i="73"/>
  <c r="AE22" i="73"/>
  <c r="AE24" i="73"/>
  <c r="AE26" i="73"/>
  <c r="AF16" i="68"/>
  <c r="AF24" i="68"/>
  <c r="AD286" i="63"/>
  <c r="AD289" i="63" s="1"/>
  <c r="AD300" i="63"/>
  <c r="AD304" i="63" s="1"/>
  <c r="AD310" i="63" s="1"/>
  <c r="AD343" i="63"/>
  <c r="AD54" i="46"/>
  <c r="AC59" i="46"/>
  <c r="AI7" i="59"/>
  <c r="AI51" i="63"/>
  <c r="AI113" i="63"/>
  <c r="AI115" i="63" s="1"/>
  <c r="AI118" i="63" s="1"/>
  <c r="AI239" i="59"/>
  <c r="AI241" i="59" s="1"/>
  <c r="AI8" i="60"/>
  <c r="AG3" i="80" s="1"/>
  <c r="AI912" i="59"/>
  <c r="AC270" i="59"/>
  <c r="AC325" i="59" s="1"/>
  <c r="AC269" i="59"/>
  <c r="AC324" i="59" s="1"/>
  <c r="AC266" i="59"/>
  <c r="AC321" i="59" s="1"/>
  <c r="AC268" i="59"/>
  <c r="AC323" i="59" s="1"/>
  <c r="AG58" i="46"/>
  <c r="AG102" i="63"/>
  <c r="AG103" i="63" s="1"/>
  <c r="AG165" i="63"/>
  <c r="AG164" i="63" s="1"/>
  <c r="AG180" i="63"/>
  <c r="AG145" i="63"/>
  <c r="AG89" i="63"/>
  <c r="AG90" i="63" s="1"/>
  <c r="AG130" i="63"/>
  <c r="AG129" i="63" s="1"/>
  <c r="AG199" i="63"/>
  <c r="AG214" i="63"/>
  <c r="AG233" i="63"/>
  <c r="AG232" i="63" s="1"/>
  <c r="AG248" i="63"/>
  <c r="AF215" i="63"/>
  <c r="AF198" i="63"/>
  <c r="AF249" i="63"/>
  <c r="AF361" i="63"/>
  <c r="AF146" i="63"/>
  <c r="AF181" i="63"/>
  <c r="AE17" i="68"/>
  <c r="AE42" i="68"/>
  <c r="AE60" i="68"/>
  <c r="AA60" i="73"/>
  <c r="AB54" i="73"/>
  <c r="AF6" i="59"/>
  <c r="AF14" i="59"/>
  <c r="AE19" i="63"/>
  <c r="AE201" i="63" s="1"/>
  <c r="AE23" i="63"/>
  <c r="AE27" i="63"/>
  <c r="AE22" i="63"/>
  <c r="AE26" i="63"/>
  <c r="AE21" i="63"/>
  <c r="AE25" i="63"/>
  <c r="AE200" i="63" s="1"/>
  <c r="AE20" i="63"/>
  <c r="AE24" i="63"/>
  <c r="AJ17" i="46"/>
  <c r="AJ123" i="59"/>
  <c r="AJ124" i="59" s="1"/>
  <c r="AK14" i="46"/>
  <c r="AJ15" i="46"/>
  <c r="AJ178" i="59"/>
  <c r="AJ179" i="59" s="1"/>
  <c r="AJ621" i="59"/>
  <c r="AJ510" i="59"/>
  <c r="AJ566" i="59"/>
  <c r="AJ680" i="59"/>
  <c r="AJ735" i="59"/>
  <c r="AJ791" i="59"/>
  <c r="AJ846" i="59"/>
  <c r="AJ455" i="59"/>
  <c r="AC58" i="63"/>
  <c r="AC55" i="63"/>
  <c r="AG95" i="59"/>
  <c r="AG96" i="59" s="1"/>
  <c r="AG107" i="59"/>
  <c r="AG108" i="59" s="1"/>
  <c r="AG299" i="59"/>
  <c r="AE20" i="59"/>
  <c r="AE24" i="59"/>
  <c r="AE28" i="59"/>
  <c r="AE23" i="59"/>
  <c r="AE27" i="59"/>
  <c r="AE22" i="59"/>
  <c r="AE26" i="59"/>
  <c r="AE1076" i="59" s="1"/>
  <c r="AE21" i="59"/>
  <c r="AE25" i="59"/>
  <c r="AF234" i="63"/>
  <c r="AF238" i="63"/>
  <c r="AF235" i="63"/>
  <c r="AH5" i="46"/>
  <c r="AH36" i="46"/>
  <c r="AH49" i="46" s="1"/>
  <c r="AH24" i="46"/>
  <c r="AH26" i="46" s="1"/>
  <c r="AH28" i="46"/>
  <c r="AF50" i="46"/>
  <c r="AF78" i="46"/>
  <c r="AF70" i="46"/>
  <c r="AF6" i="63"/>
  <c r="AF13" i="63"/>
  <c r="AE152" i="63"/>
  <c r="AE150" i="63"/>
  <c r="AB66" i="46"/>
  <c r="AB67" i="46" s="1"/>
  <c r="AB82" i="46" s="1"/>
  <c r="AB81" i="46"/>
  <c r="AD272" i="63"/>
  <c r="AD142" i="63"/>
  <c r="AC1071" i="59"/>
  <c r="AC1106" i="59"/>
  <c r="AC1109" i="59" s="1"/>
  <c r="AF14" i="63"/>
  <c r="AF15" i="59"/>
  <c r="AF14" i="73"/>
  <c r="AG365" i="59"/>
  <c r="AG373" i="59" s="1"/>
  <c r="AG381" i="59" s="1"/>
  <c r="AE147" i="59" l="1"/>
  <c r="AE182" i="59"/>
  <c r="AE187" i="59" s="1"/>
  <c r="AE144" i="59"/>
  <c r="AE146" i="59"/>
  <c r="AD145" i="59"/>
  <c r="AC926" i="59"/>
  <c r="AC927" i="59" s="1"/>
  <c r="AC58" i="60" s="1"/>
  <c r="AC124" i="60" s="1"/>
  <c r="AF132" i="59"/>
  <c r="AE343" i="63"/>
  <c r="AA185" i="59"/>
  <c r="AA1028" i="59"/>
  <c r="AA16" i="60"/>
  <c r="AA112" i="60" s="1"/>
  <c r="AB119" i="59"/>
  <c r="AE300" i="63"/>
  <c r="AE304" i="63" s="1"/>
  <c r="AE310" i="63" s="1"/>
  <c r="AE54" i="46"/>
  <c r="AE453" i="59"/>
  <c r="AE56" i="59"/>
  <c r="AE72" i="59"/>
  <c r="AD106" i="59"/>
  <c r="AD111" i="59" s="1"/>
  <c r="AD72" i="59"/>
  <c r="AD56" i="59"/>
  <c r="AD59" i="59" s="1"/>
  <c r="AC115" i="59"/>
  <c r="AC127" i="59" s="1"/>
  <c r="AH57" i="59"/>
  <c r="AH73" i="59"/>
  <c r="AB344" i="59"/>
  <c r="AB218" i="59" s="1"/>
  <c r="AB29" i="60"/>
  <c r="AB32" i="60"/>
  <c r="AD304" i="59"/>
  <c r="AD309" i="59" s="1"/>
  <c r="AD45" i="73"/>
  <c r="AD81" i="73" s="1"/>
  <c r="AD50" i="63"/>
  <c r="AD55" i="63" s="1"/>
  <c r="AE298" i="59"/>
  <c r="AE508" i="59"/>
  <c r="AE45" i="73"/>
  <c r="AE50" i="63"/>
  <c r="AE58" i="63" s="1"/>
  <c r="AE1020" i="59"/>
  <c r="AE94" i="59"/>
  <c r="AE678" i="59"/>
  <c r="AE564" i="59"/>
  <c r="AE106" i="59"/>
  <c r="AE844" i="59"/>
  <c r="AE619" i="59"/>
  <c r="AE789" i="59"/>
  <c r="AE915" i="59"/>
  <c r="AE916" i="59" s="1"/>
  <c r="AE304" i="59"/>
  <c r="AE309" i="59" s="1"/>
  <c r="AE256" i="59"/>
  <c r="AE733" i="59"/>
  <c r="AD508" i="59"/>
  <c r="AD789" i="59"/>
  <c r="AD915" i="59"/>
  <c r="AD916" i="59" s="1"/>
  <c r="AD453" i="59"/>
  <c r="AD564" i="59"/>
  <c r="AG78" i="46"/>
  <c r="AD733" i="59"/>
  <c r="AD298" i="59"/>
  <c r="AD619" i="59"/>
  <c r="AD94" i="59"/>
  <c r="AD97" i="59" s="1"/>
  <c r="AD844" i="59"/>
  <c r="AD678" i="59"/>
  <c r="AD1020" i="59"/>
  <c r="AD256" i="59"/>
  <c r="AG50" i="46"/>
  <c r="AE204" i="63"/>
  <c r="AH5" i="59"/>
  <c r="AH5" i="68"/>
  <c r="AH5" i="73"/>
  <c r="AH5" i="63"/>
  <c r="AH6" i="60"/>
  <c r="AH7" i="60" s="1"/>
  <c r="AC56" i="63"/>
  <c r="AJ51" i="63"/>
  <c r="AJ113" i="63"/>
  <c r="AJ115" i="63" s="1"/>
  <c r="AJ118" i="63" s="1"/>
  <c r="AJ7" i="59"/>
  <c r="AJ239" i="59"/>
  <c r="AJ912" i="59"/>
  <c r="AJ8" i="60"/>
  <c r="AH3" i="80" s="1"/>
  <c r="AC54" i="73"/>
  <c r="AB60" i="73"/>
  <c r="AH37" i="46"/>
  <c r="AF150" i="63"/>
  <c r="AF152" i="63"/>
  <c r="AG131" i="63"/>
  <c r="AG135" i="63"/>
  <c r="AG132" i="63"/>
  <c r="AG170" i="63"/>
  <c r="AG167" i="63"/>
  <c r="AG166" i="63"/>
  <c r="AI4" i="73"/>
  <c r="AI4" i="63"/>
  <c r="AI4" i="68"/>
  <c r="AI4" i="59"/>
  <c r="AI5" i="60"/>
  <c r="AG6" i="63"/>
  <c r="AG13" i="63"/>
  <c r="AA6" i="46"/>
  <c r="AA7" i="73"/>
  <c r="AA7" i="63"/>
  <c r="AA8" i="59"/>
  <c r="AA6" i="68"/>
  <c r="AA9" i="60"/>
  <c r="AE142" i="63"/>
  <c r="AE272" i="63"/>
  <c r="AF79" i="46"/>
  <c r="AF71" i="46"/>
  <c r="AF285" i="63"/>
  <c r="AF53" i="46"/>
  <c r="AF173" i="59"/>
  <c r="AF175" i="59" s="1"/>
  <c r="AF290" i="59"/>
  <c r="AH107" i="59"/>
  <c r="AH108" i="59" s="1"/>
  <c r="AH95" i="59"/>
  <c r="AH96" i="59" s="1"/>
  <c r="AH299" i="59"/>
  <c r="AG14" i="73"/>
  <c r="AG14" i="63"/>
  <c r="AG15" i="59"/>
  <c r="AH365" i="59"/>
  <c r="AH373" i="59" s="1"/>
  <c r="AH381" i="59" s="1"/>
  <c r="AK15" i="46"/>
  <c r="AK17" i="46"/>
  <c r="AK123" i="59"/>
  <c r="AK124" i="59" s="1"/>
  <c r="AL14" i="46"/>
  <c r="AK510" i="59"/>
  <c r="AK566" i="59"/>
  <c r="AK178" i="59"/>
  <c r="AK179" i="59" s="1"/>
  <c r="AK455" i="59"/>
  <c r="AK680" i="59"/>
  <c r="AK735" i="59"/>
  <c r="AK621" i="59"/>
  <c r="AK791" i="59"/>
  <c r="AK846" i="59"/>
  <c r="AG235" i="63"/>
  <c r="AG234" i="63"/>
  <c r="AG238" i="63"/>
  <c r="AG146" i="63"/>
  <c r="AG361" i="63"/>
  <c r="AG181" i="63"/>
  <c r="AG249" i="63"/>
  <c r="AG215" i="63"/>
  <c r="AG198" i="63"/>
  <c r="AC342" i="59"/>
  <c r="AC216" i="59" s="1"/>
  <c r="AC29" i="60"/>
  <c r="AI79" i="60"/>
  <c r="AG11" i="80" s="1"/>
  <c r="AG6" i="73"/>
  <c r="AG13" i="73"/>
  <c r="AD80" i="46"/>
  <c r="AD62" i="46"/>
  <c r="AE63" i="46" s="1"/>
  <c r="AC87" i="73"/>
  <c r="AF20" i="63"/>
  <c r="AF24" i="63"/>
  <c r="AF19" i="63"/>
  <c r="AF201" i="63" s="1"/>
  <c r="AF23" i="63"/>
  <c r="AF27" i="63"/>
  <c r="AF22" i="63"/>
  <c r="AF26" i="63"/>
  <c r="AF21" i="63"/>
  <c r="AF25" i="63"/>
  <c r="AF200" i="63" s="1"/>
  <c r="AE43" i="68"/>
  <c r="AE46" i="68" s="1"/>
  <c r="AE20" i="68"/>
  <c r="AE21" i="68" s="1"/>
  <c r="AC345" i="59"/>
  <c r="AC219" i="59" s="1"/>
  <c r="AC32" i="60"/>
  <c r="AC80" i="46"/>
  <c r="AC62" i="46"/>
  <c r="AD63" i="46" s="1"/>
  <c r="AJ4" i="46"/>
  <c r="AJ23" i="46"/>
  <c r="AK22" i="46"/>
  <c r="AJ35" i="46"/>
  <c r="AG16" i="68"/>
  <c r="AG24" i="68"/>
  <c r="AF20" i="73"/>
  <c r="AF22" i="73"/>
  <c r="AF24" i="73"/>
  <c r="AF26" i="73"/>
  <c r="AF19" i="73"/>
  <c r="AF21" i="73"/>
  <c r="AF23" i="73"/>
  <c r="AF25" i="73"/>
  <c r="AF27" i="73"/>
  <c r="AC81" i="46"/>
  <c r="AC66" i="46"/>
  <c r="AC67" i="46" s="1"/>
  <c r="AC82" i="46" s="1"/>
  <c r="AH89" i="63"/>
  <c r="AH90" i="63" s="1"/>
  <c r="AH130" i="63"/>
  <c r="AH129" i="63" s="1"/>
  <c r="AH199" i="63"/>
  <c r="AH214" i="63"/>
  <c r="AH248" i="63"/>
  <c r="AH58" i="46"/>
  <c r="AH180" i="63"/>
  <c r="AH233" i="63"/>
  <c r="AH232" i="63" s="1"/>
  <c r="AH102" i="63"/>
  <c r="AH103" i="63" s="1"/>
  <c r="AH145" i="63"/>
  <c r="AH165" i="63"/>
  <c r="AH164" i="63" s="1"/>
  <c r="AF21" i="59"/>
  <c r="AF25" i="59"/>
  <c r="AF20" i="59"/>
  <c r="AF24" i="59"/>
  <c r="AF28" i="59"/>
  <c r="AF23" i="59"/>
  <c r="AF27" i="59"/>
  <c r="AF22" i="59"/>
  <c r="AF26" i="59"/>
  <c r="AF1076" i="59" s="1"/>
  <c r="AF177" i="63"/>
  <c r="AC344" i="59"/>
  <c r="AC218" i="59" s="1"/>
  <c r="AC31" i="60"/>
  <c r="AC346" i="59"/>
  <c r="AC220" i="59" s="1"/>
  <c r="AF60" i="68"/>
  <c r="AF17" i="68"/>
  <c r="AF42" i="68"/>
  <c r="AI36" i="46"/>
  <c r="AI49" i="46" s="1"/>
  <c r="AI5" i="46"/>
  <c r="AI24" i="46"/>
  <c r="AI26" i="46" s="1"/>
  <c r="AI28" i="46"/>
  <c r="AG6" i="59"/>
  <c r="AG14" i="59"/>
  <c r="AB361" i="59"/>
  <c r="AB83" i="46"/>
  <c r="AB90" i="46" s="1"/>
  <c r="AF147" i="59" l="1"/>
  <c r="AF182" i="59"/>
  <c r="AF187" i="59" s="1"/>
  <c r="AF144" i="59"/>
  <c r="AF146" i="59"/>
  <c r="AE145" i="59"/>
  <c r="AE59" i="59"/>
  <c r="AC156" i="60"/>
  <c r="AE925" i="59"/>
  <c r="AF922" i="59" s="1"/>
  <c r="AD925" i="59"/>
  <c r="AE922" i="59" s="1"/>
  <c r="AD268" i="59"/>
  <c r="AD323" i="59" s="1"/>
  <c r="AD31" i="60" s="1"/>
  <c r="AC119" i="59"/>
  <c r="AE111" i="59"/>
  <c r="AD115" i="59"/>
  <c r="AD127" i="59" s="1"/>
  <c r="AI57" i="59"/>
  <c r="AI73" i="59"/>
  <c r="AE97" i="59"/>
  <c r="AJ241" i="59"/>
  <c r="F241" i="59" s="1"/>
  <c r="AD1071" i="59"/>
  <c r="AB16" i="60"/>
  <c r="AB112" i="60" s="1"/>
  <c r="AD58" i="63"/>
  <c r="AE55" i="63"/>
  <c r="AG79" i="46"/>
  <c r="AG132" i="59"/>
  <c r="AB185" i="59"/>
  <c r="AB1028" i="59"/>
  <c r="AG53" i="46"/>
  <c r="AF59" i="46" s="1"/>
  <c r="AE1071" i="59"/>
  <c r="AE1106" i="59"/>
  <c r="AE1109" i="59" s="1"/>
  <c r="AE270" i="59"/>
  <c r="AE325" i="59" s="1"/>
  <c r="AE346" i="59" s="1"/>
  <c r="AE220" i="59" s="1"/>
  <c r="AE266" i="59"/>
  <c r="AE321" i="59" s="1"/>
  <c r="AE342" i="59" s="1"/>
  <c r="AE216" i="59" s="1"/>
  <c r="AE268" i="59"/>
  <c r="AE323" i="59" s="1"/>
  <c r="AE344" i="59" s="1"/>
  <c r="AE218" i="59" s="1"/>
  <c r="AE269" i="59"/>
  <c r="AE324" i="59" s="1"/>
  <c r="AE345" i="59" s="1"/>
  <c r="AE219" i="59" s="1"/>
  <c r="AD269" i="59"/>
  <c r="AD324" i="59" s="1"/>
  <c r="AD345" i="59" s="1"/>
  <c r="AD219" i="59" s="1"/>
  <c r="AD266" i="59"/>
  <c r="AD321" i="59" s="1"/>
  <c r="AD342" i="59" s="1"/>
  <c r="AD216" i="59" s="1"/>
  <c r="AD270" i="59"/>
  <c r="AD325" i="59" s="1"/>
  <c r="AG290" i="59"/>
  <c r="AG71" i="46"/>
  <c r="AD1106" i="59"/>
  <c r="AD1109" i="59" s="1"/>
  <c r="AG285" i="63"/>
  <c r="AG343" i="63" s="1"/>
  <c r="AG173" i="59"/>
  <c r="AG175" i="59" s="1"/>
  <c r="AF72" i="46"/>
  <c r="AF204" i="63"/>
  <c r="AH235" i="63"/>
  <c r="AH234" i="63"/>
  <c r="AH238" i="63"/>
  <c r="AG60" i="68"/>
  <c r="AG17" i="68"/>
  <c r="AG42" i="68"/>
  <c r="AJ24" i="46"/>
  <c r="AJ26" i="46" s="1"/>
  <c r="AJ28" i="46"/>
  <c r="AJ5" i="46"/>
  <c r="AJ36" i="46"/>
  <c r="AJ49" i="46" s="1"/>
  <c r="AG20" i="73"/>
  <c r="AG22" i="73"/>
  <c r="AG24" i="73"/>
  <c r="AG26" i="73"/>
  <c r="AG19" i="73"/>
  <c r="AG21" i="73"/>
  <c r="AG23" i="73"/>
  <c r="AG25" i="73"/>
  <c r="AG27" i="73"/>
  <c r="AG177" i="63"/>
  <c r="AK51" i="63"/>
  <c r="AK113" i="63"/>
  <c r="AK115" i="63" s="1"/>
  <c r="AK118" i="63" s="1"/>
  <c r="AK7" i="59"/>
  <c r="AK239" i="59"/>
  <c r="AK912" i="59"/>
  <c r="AK8" i="60"/>
  <c r="AF343" i="63"/>
  <c r="AF286" i="63"/>
  <c r="AF289" i="63" s="1"/>
  <c r="AF300" i="63"/>
  <c r="AF304" i="63" s="1"/>
  <c r="AF310" i="63" s="1"/>
  <c r="AH6" i="63"/>
  <c r="AH13" i="63"/>
  <c r="AB6" i="68"/>
  <c r="AB7" i="73"/>
  <c r="AB7" i="63"/>
  <c r="AB8" i="59"/>
  <c r="AB6" i="46"/>
  <c r="AB9" i="60"/>
  <c r="AI5" i="59"/>
  <c r="AI5" i="68"/>
  <c r="AI5" i="73"/>
  <c r="AI5" i="63"/>
  <c r="AI6" i="60"/>
  <c r="AI7" i="60" s="1"/>
  <c r="AH170" i="63"/>
  <c r="AH167" i="63"/>
  <c r="AH166" i="63"/>
  <c r="AJ4" i="73"/>
  <c r="AJ4" i="63"/>
  <c r="AJ4" i="68"/>
  <c r="AJ4" i="59"/>
  <c r="AJ5" i="60"/>
  <c r="AD81" i="46"/>
  <c r="AD66" i="46"/>
  <c r="AD67" i="46" s="1"/>
  <c r="AD82" i="46" s="1"/>
  <c r="AI37" i="46"/>
  <c r="AI50" i="46" s="1"/>
  <c r="AM14" i="46"/>
  <c r="AL15" i="46"/>
  <c r="AL17" i="46"/>
  <c r="AL123" i="59"/>
  <c r="AL124" i="59" s="1"/>
  <c r="AL455" i="59"/>
  <c r="AL178" i="59"/>
  <c r="AL179" i="59" s="1"/>
  <c r="AL621" i="59"/>
  <c r="AL510" i="59"/>
  <c r="AL735" i="59"/>
  <c r="AL791" i="59"/>
  <c r="AL846" i="59"/>
  <c r="AL566" i="59"/>
  <c r="AL680" i="59"/>
  <c r="AF142" i="63"/>
  <c r="AF272" i="63"/>
  <c r="AD54" i="73"/>
  <c r="AC60" i="73"/>
  <c r="AJ79" i="60"/>
  <c r="AH11" i="80" s="1"/>
  <c r="AH6" i="73"/>
  <c r="AH13" i="73"/>
  <c r="AH14" i="73"/>
  <c r="AH14" i="63"/>
  <c r="AH15" i="59"/>
  <c r="AI365" i="59"/>
  <c r="AI373" i="59" s="1"/>
  <c r="AI381" i="59" s="1"/>
  <c r="AH132" i="63"/>
  <c r="AH131" i="63"/>
  <c r="AH135" i="63"/>
  <c r="AC361" i="59"/>
  <c r="AC83" i="46"/>
  <c r="AC90" i="46" s="1"/>
  <c r="AE81" i="46"/>
  <c r="AE66" i="46"/>
  <c r="AG152" i="63"/>
  <c r="AG150" i="63"/>
  <c r="AG21" i="63"/>
  <c r="AG25" i="63"/>
  <c r="AG200" i="63" s="1"/>
  <c r="AG20" i="63"/>
  <c r="AG24" i="63"/>
  <c r="AG19" i="63"/>
  <c r="AG201" i="63" s="1"/>
  <c r="AG23" i="63"/>
  <c r="AG27" i="63"/>
  <c r="AG22" i="63"/>
  <c r="AG26" i="63"/>
  <c r="AH24" i="68"/>
  <c r="AH16" i="68"/>
  <c r="AG22" i="59"/>
  <c r="AG26" i="59"/>
  <c r="AG1076" i="59" s="1"/>
  <c r="AG21" i="59"/>
  <c r="AG25" i="59"/>
  <c r="AG20" i="59"/>
  <c r="AG24" i="59"/>
  <c r="AG28" i="59"/>
  <c r="AG23" i="59"/>
  <c r="AG27" i="59"/>
  <c r="AI107" i="59"/>
  <c r="AI108" i="59" s="1"/>
  <c r="AI95" i="59"/>
  <c r="AI96" i="59" s="1"/>
  <c r="AI299" i="59"/>
  <c r="AI102" i="63"/>
  <c r="AI103" i="63" s="1"/>
  <c r="AI165" i="63"/>
  <c r="AI164" i="63" s="1"/>
  <c r="AI199" i="63"/>
  <c r="AI214" i="63"/>
  <c r="AI248" i="63"/>
  <c r="AI58" i="46"/>
  <c r="AI89" i="63"/>
  <c r="AI90" i="63" s="1"/>
  <c r="AI130" i="63"/>
  <c r="AI129" i="63" s="1"/>
  <c r="AI180" i="63"/>
  <c r="AI145" i="63"/>
  <c r="AI233" i="63"/>
  <c r="AI232" i="63" s="1"/>
  <c r="AF20" i="68"/>
  <c r="AF21" i="68" s="1"/>
  <c r="AF43" i="68"/>
  <c r="AF46" i="68" s="1"/>
  <c r="AH215" i="63"/>
  <c r="AH198" i="63"/>
  <c r="AH146" i="63"/>
  <c r="AH249" i="63"/>
  <c r="AH361" i="63"/>
  <c r="AH181" i="63"/>
  <c r="AK4" i="46"/>
  <c r="AK23" i="46"/>
  <c r="AK35" i="46"/>
  <c r="AL22" i="46"/>
  <c r="AD87" i="73"/>
  <c r="AE81" i="73"/>
  <c r="AD361" i="59"/>
  <c r="AE59" i="46"/>
  <c r="AF54" i="46"/>
  <c r="AH50" i="46"/>
  <c r="AH78" i="46"/>
  <c r="AH70" i="46"/>
  <c r="AD56" i="63"/>
  <c r="AH14" i="59"/>
  <c r="AH6" i="59"/>
  <c r="AG147" i="59" l="1"/>
  <c r="AG182" i="59"/>
  <c r="AG187" i="59" s="1"/>
  <c r="AG144" i="59"/>
  <c r="AG146" i="59"/>
  <c r="AF145" i="59"/>
  <c r="AE926" i="59"/>
  <c r="AE927" i="59" s="1"/>
  <c r="AE58" i="60" s="1"/>
  <c r="AE124" i="60" s="1"/>
  <c r="AD926" i="59"/>
  <c r="AD927" i="59" s="1"/>
  <c r="AD58" i="60" s="1"/>
  <c r="AD124" i="60" s="1"/>
  <c r="AH132" i="59"/>
  <c r="AC1028" i="59"/>
  <c r="AC16" i="60"/>
  <c r="AC112" i="60" s="1"/>
  <c r="AC185" i="59"/>
  <c r="AD119" i="59"/>
  <c r="AD344" i="59"/>
  <c r="AD218" i="59" s="1"/>
  <c r="AJ73" i="59"/>
  <c r="AJ57" i="59"/>
  <c r="AF298" i="59"/>
  <c r="AF56" i="59"/>
  <c r="AF59" i="59" s="1"/>
  <c r="AF72" i="59"/>
  <c r="AE115" i="59"/>
  <c r="AE127" i="59" s="1"/>
  <c r="AF106" i="59"/>
  <c r="AF111" i="59" s="1"/>
  <c r="AF844" i="59"/>
  <c r="AF789" i="59"/>
  <c r="AG54" i="46"/>
  <c r="AF915" i="59"/>
  <c r="AF916" i="59" s="1"/>
  <c r="AF925" i="59" s="1"/>
  <c r="AG286" i="63"/>
  <c r="AG289" i="63" s="1"/>
  <c r="AG300" i="63"/>
  <c r="AG304" i="63" s="1"/>
  <c r="AG310" i="63" s="1"/>
  <c r="AE29" i="60"/>
  <c r="AE32" i="60"/>
  <c r="AE31" i="60"/>
  <c r="AG72" i="46"/>
  <c r="AD29" i="60"/>
  <c r="AD32" i="60"/>
  <c r="AD346" i="59"/>
  <c r="AD220" i="59" s="1"/>
  <c r="AE67" i="46"/>
  <c r="AE82" i="46" s="1"/>
  <c r="AF1020" i="59"/>
  <c r="AF733" i="59"/>
  <c r="AF45" i="73"/>
  <c r="AF81" i="73" s="1"/>
  <c r="AF508" i="59"/>
  <c r="AF678" i="59"/>
  <c r="AF50" i="63"/>
  <c r="AF58" i="63" s="1"/>
  <c r="AF94" i="59"/>
  <c r="AF97" i="59" s="1"/>
  <c r="AD83" i="46"/>
  <c r="AD90" i="46" s="1"/>
  <c r="AF453" i="59"/>
  <c r="AF256" i="59"/>
  <c r="AF304" i="59"/>
  <c r="AF309" i="59" s="1"/>
  <c r="AJ37" i="46"/>
  <c r="AJ50" i="46" s="1"/>
  <c r="AF619" i="59"/>
  <c r="AF564" i="59"/>
  <c r="AG204" i="63"/>
  <c r="AC6" i="68"/>
  <c r="AC6" i="46"/>
  <c r="AC7" i="73"/>
  <c r="AC7" i="63"/>
  <c r="AC8" i="59"/>
  <c r="AC9" i="60"/>
  <c r="AL4" i="46"/>
  <c r="AL23" i="46"/>
  <c r="AL35" i="46"/>
  <c r="AM22" i="46"/>
  <c r="AH150" i="63"/>
  <c r="AH152" i="63"/>
  <c r="AI166" i="63"/>
  <c r="AI170" i="63"/>
  <c r="AI167" i="63"/>
  <c r="AH19" i="73"/>
  <c r="AH21" i="73"/>
  <c r="AH23" i="73"/>
  <c r="AH25" i="73"/>
  <c r="AH27" i="73"/>
  <c r="AH20" i="73"/>
  <c r="AH22" i="73"/>
  <c r="AH24" i="73"/>
  <c r="AH26" i="73"/>
  <c r="AL7" i="59"/>
  <c r="AL51" i="63"/>
  <c r="AL113" i="63"/>
  <c r="AL115" i="63" s="1"/>
  <c r="AL118" i="63" s="1"/>
  <c r="AL912" i="59"/>
  <c r="AL239" i="59"/>
  <c r="AL8" i="60"/>
  <c r="AI24" i="68"/>
  <c r="AI16" i="68"/>
  <c r="AJ89" i="63"/>
  <c r="AJ90" i="63" s="1"/>
  <c r="AJ130" i="63"/>
  <c r="AJ129" i="63" s="1"/>
  <c r="AJ145" i="63"/>
  <c r="AJ233" i="63"/>
  <c r="AJ232" i="63" s="1"/>
  <c r="AJ102" i="63"/>
  <c r="AJ103" i="63" s="1"/>
  <c r="AJ165" i="63"/>
  <c r="AJ164" i="63" s="1"/>
  <c r="AJ199" i="63"/>
  <c r="AJ214" i="63"/>
  <c r="AJ248" i="63"/>
  <c r="AJ58" i="46"/>
  <c r="AJ180" i="63"/>
  <c r="AH23" i="59"/>
  <c r="AH27" i="59"/>
  <c r="AH22" i="59"/>
  <c r="AH26" i="59"/>
  <c r="AH1076" i="59" s="1"/>
  <c r="AH21" i="59"/>
  <c r="AH25" i="59"/>
  <c r="AH20" i="59"/>
  <c r="AH24" i="59"/>
  <c r="AH28" i="59"/>
  <c r="AH177" i="63"/>
  <c r="AI198" i="63"/>
  <c r="AI215" i="63"/>
  <c r="AE54" i="73"/>
  <c r="AD60" i="73"/>
  <c r="AN14" i="46"/>
  <c r="AM15" i="46"/>
  <c r="AM17" i="46"/>
  <c r="AM123" i="59"/>
  <c r="AM124" i="59" s="1"/>
  <c r="AM178" i="59"/>
  <c r="AM179" i="59" s="1"/>
  <c r="AM680" i="59"/>
  <c r="AM735" i="59"/>
  <c r="AM791" i="59"/>
  <c r="AM846" i="59"/>
  <c r="AM621" i="59"/>
  <c r="AM510" i="59"/>
  <c r="AM566" i="59"/>
  <c r="AM455" i="59"/>
  <c r="AI78" i="46"/>
  <c r="AI70" i="46"/>
  <c r="AI14" i="59"/>
  <c r="AI6" i="59"/>
  <c r="AE56" i="63"/>
  <c r="AK79" i="60"/>
  <c r="AI14" i="73"/>
  <c r="AI14" i="63"/>
  <c r="AI15" i="59"/>
  <c r="AJ365" i="59"/>
  <c r="AJ373" i="59" s="1"/>
  <c r="AJ381" i="59" s="1"/>
  <c r="AH53" i="46"/>
  <c r="AH79" i="46"/>
  <c r="AH71" i="46"/>
  <c r="AH285" i="63"/>
  <c r="AH173" i="59"/>
  <c r="AH175" i="59" s="1"/>
  <c r="AH290" i="59"/>
  <c r="AE87" i="73"/>
  <c r="AK24" i="46"/>
  <c r="AK26" i="46" s="1"/>
  <c r="AK28" i="46"/>
  <c r="AK5" i="46"/>
  <c r="AK36" i="46"/>
  <c r="AK49" i="46" s="1"/>
  <c r="AI135" i="63"/>
  <c r="AI132" i="63"/>
  <c r="AI131" i="63"/>
  <c r="AH42" i="68"/>
  <c r="AH60" i="68"/>
  <c r="AH17" i="68"/>
  <c r="AF80" i="46"/>
  <c r="AF62" i="46"/>
  <c r="AG63" i="46" s="1"/>
  <c r="AI6" i="63"/>
  <c r="AI13" i="63"/>
  <c r="AH22" i="63"/>
  <c r="AH26" i="63"/>
  <c r="AH21" i="63"/>
  <c r="AH25" i="63"/>
  <c r="AH200" i="63" s="1"/>
  <c r="AH20" i="63"/>
  <c r="AH24" i="63"/>
  <c r="AH19" i="63"/>
  <c r="AH201" i="63" s="1"/>
  <c r="AH23" i="63"/>
  <c r="AH27" i="63"/>
  <c r="AJ5" i="73"/>
  <c r="AJ5" i="63"/>
  <c r="AJ5" i="59"/>
  <c r="AJ5" i="68"/>
  <c r="AJ6" i="60"/>
  <c r="AJ7" i="60" s="1"/>
  <c r="AE80" i="46"/>
  <c r="AE62" i="46"/>
  <c r="AF63" i="46" s="1"/>
  <c r="AK4" i="68"/>
  <c r="AK4" i="59"/>
  <c r="AK4" i="73"/>
  <c r="AK4" i="63"/>
  <c r="AK5" i="60"/>
  <c r="AI238" i="63"/>
  <c r="AI235" i="63"/>
  <c r="AI234" i="63"/>
  <c r="AI249" i="63"/>
  <c r="AI181" i="63"/>
  <c r="AI146" i="63"/>
  <c r="AI361" i="63"/>
  <c r="AG272" i="63"/>
  <c r="AG142" i="63"/>
  <c r="AI6" i="73"/>
  <c r="AI13" i="73"/>
  <c r="AJ107" i="59"/>
  <c r="AJ108" i="59" s="1"/>
  <c r="AJ95" i="59"/>
  <c r="AJ96" i="59" s="1"/>
  <c r="AJ299" i="59"/>
  <c r="AG20" i="68"/>
  <c r="AG21" i="68" s="1"/>
  <c r="AG43" i="68"/>
  <c r="AG46" i="68" s="1"/>
  <c r="AH147" i="59" l="1"/>
  <c r="AH182" i="59"/>
  <c r="AH187" i="59" s="1"/>
  <c r="AH144" i="59"/>
  <c r="AH146" i="59"/>
  <c r="AG145" i="59"/>
  <c r="AE156" i="60"/>
  <c r="AD156" i="60"/>
  <c r="AD7" i="63"/>
  <c r="AI132" i="59"/>
  <c r="F141" i="59" s="1"/>
  <c r="AJ132" i="59"/>
  <c r="AE119" i="59"/>
  <c r="AE1028" i="59"/>
  <c r="AF115" i="59"/>
  <c r="AF127" i="59" s="1"/>
  <c r="AG789" i="59"/>
  <c r="AG56" i="59"/>
  <c r="AG59" i="59" s="1"/>
  <c r="AG72" i="59"/>
  <c r="AK73" i="59"/>
  <c r="AK57" i="59"/>
  <c r="AF1106" i="59"/>
  <c r="AF1109" i="59" s="1"/>
  <c r="AD16" i="60"/>
  <c r="AD112" i="60" s="1"/>
  <c r="AG564" i="59"/>
  <c r="AG733" i="59"/>
  <c r="AG1020" i="59"/>
  <c r="AG453" i="59"/>
  <c r="AG45" i="73"/>
  <c r="AG81" i="73" s="1"/>
  <c r="AG304" i="59"/>
  <c r="AG309" i="59" s="1"/>
  <c r="AG256" i="59"/>
  <c r="AG50" i="63"/>
  <c r="AG58" i="63" s="1"/>
  <c r="AG678" i="59"/>
  <c r="AF55" i="63"/>
  <c r="AF56" i="63" s="1"/>
  <c r="AG844" i="59"/>
  <c r="AG106" i="59"/>
  <c r="AG111" i="59" s="1"/>
  <c r="AG94" i="59"/>
  <c r="AG97" i="59" s="1"/>
  <c r="AG619" i="59"/>
  <c r="AG508" i="59"/>
  <c r="AG298" i="59"/>
  <c r="AG915" i="59"/>
  <c r="AG916" i="59" s="1"/>
  <c r="AD7" i="73"/>
  <c r="AD6" i="46"/>
  <c r="AD6" i="68"/>
  <c r="AD9" i="60"/>
  <c r="AD8" i="59"/>
  <c r="AD185" i="59"/>
  <c r="AD1028" i="59"/>
  <c r="AF1071" i="59"/>
  <c r="AF269" i="59"/>
  <c r="AF324" i="59" s="1"/>
  <c r="AF345" i="59" s="1"/>
  <c r="AF219" i="59" s="1"/>
  <c r="AF268" i="59"/>
  <c r="AF323" i="59" s="1"/>
  <c r="AF31" i="60" s="1"/>
  <c r="AF266" i="59"/>
  <c r="AF321" i="59" s="1"/>
  <c r="AF342" i="59" s="1"/>
  <c r="AF216" i="59" s="1"/>
  <c r="AF270" i="59"/>
  <c r="AF325" i="59" s="1"/>
  <c r="AJ78" i="46"/>
  <c r="AJ70" i="46"/>
  <c r="AH204" i="63"/>
  <c r="AJ6" i="59"/>
  <c r="AJ14" i="59"/>
  <c r="AI19" i="63"/>
  <c r="AI201" i="63" s="1"/>
  <c r="AI23" i="63"/>
  <c r="AI27" i="63"/>
  <c r="AI22" i="63"/>
  <c r="AI26" i="63"/>
  <c r="AI21" i="63"/>
  <c r="AI25" i="63"/>
  <c r="AI200" i="63" s="1"/>
  <c r="AI20" i="63"/>
  <c r="AI24" i="63"/>
  <c r="AF361" i="59"/>
  <c r="AK58" i="46"/>
  <c r="AK102" i="63"/>
  <c r="AK103" i="63" s="1"/>
  <c r="AK165" i="63"/>
  <c r="AK164" i="63" s="1"/>
  <c r="AK180" i="63"/>
  <c r="AK145" i="63"/>
  <c r="AK89" i="63"/>
  <c r="AK90" i="63" s="1"/>
  <c r="AK130" i="63"/>
  <c r="AK129" i="63" s="1"/>
  <c r="AK199" i="63"/>
  <c r="AK214" i="63"/>
  <c r="AK233" i="63"/>
  <c r="AK232" i="63" s="1"/>
  <c r="AK248" i="63"/>
  <c r="AE60" i="73"/>
  <c r="AF54" i="73"/>
  <c r="AJ167" i="63"/>
  <c r="AJ166" i="63"/>
  <c r="AJ170" i="63"/>
  <c r="AJ135" i="63"/>
  <c r="AJ132" i="63"/>
  <c r="AJ131" i="63"/>
  <c r="AL79" i="60"/>
  <c r="AJ6" i="63"/>
  <c r="AJ13" i="63"/>
  <c r="AJ71" i="46"/>
  <c r="AJ79" i="46"/>
  <c r="AJ90" i="46" s="1"/>
  <c r="AJ285" i="63"/>
  <c r="AJ53" i="46"/>
  <c r="AJ173" i="59"/>
  <c r="AJ175" i="59" s="1"/>
  <c r="AJ290" i="59"/>
  <c r="AK5" i="68"/>
  <c r="AK5" i="73"/>
  <c r="AK5" i="63"/>
  <c r="AK5" i="59"/>
  <c r="AK6" i="60"/>
  <c r="AK7" i="60" s="1"/>
  <c r="AF87" i="73"/>
  <c r="AI20" i="59"/>
  <c r="AI24" i="59"/>
  <c r="AI28" i="59"/>
  <c r="AI23" i="59"/>
  <c r="AI27" i="59"/>
  <c r="AI22" i="59"/>
  <c r="AI26" i="59"/>
  <c r="AI1076" i="59" s="1"/>
  <c r="AI21" i="59"/>
  <c r="AI25" i="59"/>
  <c r="AM7" i="59"/>
  <c r="AM51" i="63"/>
  <c r="AM113" i="63"/>
  <c r="AM115" i="63" s="1"/>
  <c r="AM118" i="63" s="1"/>
  <c r="AM239" i="59"/>
  <c r="AM8" i="60"/>
  <c r="AM912" i="59"/>
  <c r="AK37" i="46"/>
  <c r="AJ215" i="63"/>
  <c r="AJ198" i="63"/>
  <c r="AJ249" i="63"/>
  <c r="AJ361" i="63"/>
  <c r="AJ146" i="63"/>
  <c r="AJ181" i="63"/>
  <c r="AI17" i="68"/>
  <c r="AI42" i="68"/>
  <c r="AI60" i="68"/>
  <c r="AL5" i="46"/>
  <c r="AL36" i="46"/>
  <c r="AL49" i="46" s="1"/>
  <c r="AL24" i="46"/>
  <c r="AL26" i="46" s="1"/>
  <c r="AL28" i="46"/>
  <c r="AH72" i="46"/>
  <c r="AI19" i="73"/>
  <c r="AI21" i="73"/>
  <c r="AI23" i="73"/>
  <c r="AI25" i="73"/>
  <c r="AI27" i="73"/>
  <c r="AI20" i="73"/>
  <c r="AI22" i="73"/>
  <c r="AI24" i="73"/>
  <c r="AI26" i="73"/>
  <c r="AI152" i="63"/>
  <c r="AI150" i="63"/>
  <c r="AF66" i="46"/>
  <c r="AF67" i="46" s="1"/>
  <c r="AF82" i="46" s="1"/>
  <c r="AF81" i="46"/>
  <c r="AJ6" i="73"/>
  <c r="AJ13" i="73"/>
  <c r="AH43" i="68"/>
  <c r="AH46" i="68" s="1"/>
  <c r="AH20" i="68"/>
  <c r="AH21" i="68" s="1"/>
  <c r="AK95" i="59"/>
  <c r="AK96" i="59" s="1"/>
  <c r="AK107" i="59"/>
  <c r="AK108" i="59" s="1"/>
  <c r="AK299" i="59"/>
  <c r="AN17" i="46"/>
  <c r="F17" i="46" s="1"/>
  <c r="AN123" i="59"/>
  <c r="AN124" i="59" s="1"/>
  <c r="AN15" i="46"/>
  <c r="AN621" i="59"/>
  <c r="AN510" i="59"/>
  <c r="AN566" i="59"/>
  <c r="AN680" i="59"/>
  <c r="C685" i="59" s="1" a="1"/>
  <c r="AN735" i="59"/>
  <c r="C740" i="59" s="1" a="1"/>
  <c r="AN791" i="59"/>
  <c r="C796" i="59" s="1" a="1"/>
  <c r="AN846" i="59"/>
  <c r="C851" i="59" s="1" a="1"/>
  <c r="AN455" i="59"/>
  <c r="AN178" i="59"/>
  <c r="AN179" i="59" s="1"/>
  <c r="AJ234" i="63"/>
  <c r="AJ238" i="63"/>
  <c r="AJ235" i="63"/>
  <c r="AH272" i="63"/>
  <c r="AH142" i="63"/>
  <c r="AL4" i="68"/>
  <c r="AL4" i="59"/>
  <c r="AL4" i="73"/>
  <c r="AL4" i="63"/>
  <c r="AL5" i="60"/>
  <c r="AI177" i="63"/>
  <c r="AE361" i="59"/>
  <c r="AE83" i="46"/>
  <c r="AE90" i="46" s="1"/>
  <c r="AJ16" i="68"/>
  <c r="AJ24" i="68"/>
  <c r="AG81" i="46"/>
  <c r="AG66" i="46"/>
  <c r="AJ14" i="63"/>
  <c r="AJ15" i="59"/>
  <c r="AJ14" i="73"/>
  <c r="AK365" i="59"/>
  <c r="AK373" i="59" s="1"/>
  <c r="AK381" i="59" s="1"/>
  <c r="AH286" i="63"/>
  <c r="AH289" i="63" s="1"/>
  <c r="AH300" i="63"/>
  <c r="AH304" i="63" s="1"/>
  <c r="AH310" i="63" s="1"/>
  <c r="AH343" i="63"/>
  <c r="AH54" i="46"/>
  <c r="AG59" i="46"/>
  <c r="AI53" i="46"/>
  <c r="AI285" i="63"/>
  <c r="AI79" i="46"/>
  <c r="AI71" i="46"/>
  <c r="AI173" i="59"/>
  <c r="AI175" i="59" s="1"/>
  <c r="AI290" i="59"/>
  <c r="AM4" i="46"/>
  <c r="AM23" i="46"/>
  <c r="AM35" i="46"/>
  <c r="AN22" i="46"/>
  <c r="AI147" i="59" l="1"/>
  <c r="AJ182" i="59"/>
  <c r="AJ187" i="59" s="1"/>
  <c r="AI182" i="59"/>
  <c r="AI187" i="59" s="1"/>
  <c r="AI144" i="59"/>
  <c r="AJ147" i="59"/>
  <c r="F147" i="59" s="1"/>
  <c r="AI146" i="59"/>
  <c r="AH145" i="59"/>
  <c r="AG925" i="59"/>
  <c r="AG926" i="59" s="1"/>
  <c r="AG927" i="59" s="1"/>
  <c r="AG58" i="60" s="1"/>
  <c r="AG124" i="60" s="1"/>
  <c r="AF119" i="59"/>
  <c r="AE185" i="59"/>
  <c r="AE16" i="60"/>
  <c r="AE112" i="60" s="1"/>
  <c r="AG115" i="59"/>
  <c r="AG127" i="59" s="1"/>
  <c r="AH56" i="59"/>
  <c r="AH59" i="59" s="1"/>
  <c r="AH72" i="59"/>
  <c r="AL73" i="59"/>
  <c r="AL57" i="59"/>
  <c r="AG1071" i="59"/>
  <c r="AG55" i="63"/>
  <c r="AG56" i="63" s="1"/>
  <c r="AG270" i="59"/>
  <c r="AG325" i="59" s="1"/>
  <c r="AG346" i="59" s="1"/>
  <c r="AG220" i="59" s="1"/>
  <c r="AG269" i="59"/>
  <c r="AG324" i="59" s="1"/>
  <c r="AG345" i="59" s="1"/>
  <c r="AG219" i="59" s="1"/>
  <c r="AG266" i="59"/>
  <c r="AG321" i="59" s="1"/>
  <c r="AG342" i="59" s="1"/>
  <c r="AG216" i="59" s="1"/>
  <c r="AG268" i="59"/>
  <c r="AG323" i="59" s="1"/>
  <c r="AG344" i="59" s="1"/>
  <c r="AG218" i="59" s="1"/>
  <c r="AG1106" i="59"/>
  <c r="AG1109" i="59" s="1"/>
  <c r="AF346" i="59"/>
  <c r="AF220" i="59" s="1"/>
  <c r="AF344" i="59"/>
  <c r="AF218" i="59" s="1"/>
  <c r="AF29" i="60"/>
  <c r="AF32" i="60"/>
  <c r="AG67" i="46"/>
  <c r="AG82" i="46" s="1"/>
  <c r="AI204" i="63"/>
  <c r="AF83" i="46"/>
  <c r="AF90" i="46" s="1"/>
  <c r="AJ72" i="46"/>
  <c r="AE6" i="46"/>
  <c r="AE7" i="73"/>
  <c r="AE7" i="63"/>
  <c r="AE8" i="59"/>
  <c r="AE6" i="68"/>
  <c r="AE9" i="60"/>
  <c r="AM5" i="46"/>
  <c r="AM36" i="46"/>
  <c r="AM49" i="46" s="1"/>
  <c r="AM24" i="46"/>
  <c r="AM26" i="46" s="1"/>
  <c r="AM28" i="46"/>
  <c r="C797" i="59"/>
  <c r="C799" i="59"/>
  <c r="C801" i="59"/>
  <c r="C803" i="59"/>
  <c r="C805" i="59"/>
  <c r="C807" i="59"/>
  <c r="C809" i="59"/>
  <c r="C811" i="59"/>
  <c r="C813" i="59"/>
  <c r="C815" i="59"/>
  <c r="C817" i="59"/>
  <c r="C819" i="59"/>
  <c r="C821" i="59"/>
  <c r="C823" i="59"/>
  <c r="C825" i="59"/>
  <c r="C827" i="59"/>
  <c r="C829" i="59"/>
  <c r="C796" i="59"/>
  <c r="C800" i="59"/>
  <c r="C804" i="59"/>
  <c r="C808" i="59"/>
  <c r="C812" i="59"/>
  <c r="C816" i="59"/>
  <c r="C820" i="59"/>
  <c r="C824" i="59"/>
  <c r="C828" i="59"/>
  <c r="C798" i="59"/>
  <c r="C802" i="59"/>
  <c r="C806" i="59"/>
  <c r="C810" i="59"/>
  <c r="C814" i="59"/>
  <c r="C818" i="59"/>
  <c r="C822" i="59"/>
  <c r="C826" i="59"/>
  <c r="C515" i="59" a="1"/>
  <c r="AH106" i="59"/>
  <c r="AH111" i="59" s="1"/>
  <c r="AH94" i="59"/>
  <c r="AH97" i="59" s="1"/>
  <c r="AH50" i="63"/>
  <c r="AH45" i="73"/>
  <c r="AH81" i="73" s="1"/>
  <c r="AH256" i="59"/>
  <c r="AH915" i="59"/>
  <c r="AH916" i="59" s="1"/>
  <c r="AH619" i="59"/>
  <c r="AH564" i="59"/>
  <c r="AH1020" i="59"/>
  <c r="AH298" i="59"/>
  <c r="AH304" i="59"/>
  <c r="AH309" i="59" s="1"/>
  <c r="AH453" i="59"/>
  <c r="AH508" i="59"/>
  <c r="AH678" i="59"/>
  <c r="AH733" i="59"/>
  <c r="AH789" i="59"/>
  <c r="AH844" i="59"/>
  <c r="AI43" i="68"/>
  <c r="AI46" i="68" s="1"/>
  <c r="AI20" i="68"/>
  <c r="AI21" i="68" s="1"/>
  <c r="AK70" i="46"/>
  <c r="AK78" i="46"/>
  <c r="AK50" i="46"/>
  <c r="AK6" i="63"/>
  <c r="AK13" i="63"/>
  <c r="AI72" i="46"/>
  <c r="AK131" i="63"/>
  <c r="AK135" i="63"/>
  <c r="AK132" i="63"/>
  <c r="AK170" i="63"/>
  <c r="AK167" i="63"/>
  <c r="AK166" i="63"/>
  <c r="AM4" i="73"/>
  <c r="AM4" i="63"/>
  <c r="AM4" i="68"/>
  <c r="AM4" i="59"/>
  <c r="AM5" i="60"/>
  <c r="C741" i="59"/>
  <c r="C743" i="59"/>
  <c r="C745" i="59"/>
  <c r="C747" i="59"/>
  <c r="C749" i="59"/>
  <c r="C751" i="59"/>
  <c r="C753" i="59"/>
  <c r="C755" i="59"/>
  <c r="C757" i="59"/>
  <c r="C759" i="59"/>
  <c r="C761" i="59"/>
  <c r="C763" i="59"/>
  <c r="C765" i="59"/>
  <c r="C767" i="59"/>
  <c r="C769" i="59"/>
  <c r="C771" i="59"/>
  <c r="C773" i="59"/>
  <c r="C742" i="59"/>
  <c r="C746" i="59"/>
  <c r="C750" i="59"/>
  <c r="C754" i="59"/>
  <c r="C758" i="59"/>
  <c r="C762" i="59"/>
  <c r="C766" i="59"/>
  <c r="C770" i="59"/>
  <c r="C740" i="59"/>
  <c r="C744" i="59"/>
  <c r="C748" i="59"/>
  <c r="C752" i="59"/>
  <c r="C756" i="59"/>
  <c r="C760" i="59"/>
  <c r="C764" i="59"/>
  <c r="C768" i="59"/>
  <c r="C772" i="59"/>
  <c r="C626" i="59" a="1"/>
  <c r="AJ20" i="73"/>
  <c r="AJ22" i="73"/>
  <c r="AJ24" i="73"/>
  <c r="AJ26" i="73"/>
  <c r="AJ19" i="73"/>
  <c r="AJ21" i="73"/>
  <c r="AJ23" i="73"/>
  <c r="AJ25" i="73"/>
  <c r="AJ27" i="73"/>
  <c r="AL89" i="63"/>
  <c r="AL90" i="63" s="1"/>
  <c r="AL130" i="63"/>
  <c r="AL129" i="63" s="1"/>
  <c r="AL199" i="63"/>
  <c r="AL214" i="63"/>
  <c r="AL248" i="63"/>
  <c r="AL58" i="46"/>
  <c r="AL180" i="63"/>
  <c r="AL233" i="63"/>
  <c r="AL232" i="63" s="1"/>
  <c r="AL102" i="63"/>
  <c r="AL103" i="63" s="1"/>
  <c r="AL145" i="63"/>
  <c r="AL165" i="63"/>
  <c r="AL164" i="63" s="1"/>
  <c r="AJ177" i="63"/>
  <c r="AG87" i="73"/>
  <c r="AK6" i="73"/>
  <c r="AK13" i="73"/>
  <c r="AI59" i="46"/>
  <c r="AK235" i="63"/>
  <c r="AK234" i="63"/>
  <c r="AK238" i="63"/>
  <c r="AK146" i="63"/>
  <c r="AK361" i="63"/>
  <c r="AK364" i="63" s="1"/>
  <c r="AK375" i="63" s="1"/>
  <c r="AK181" i="63"/>
  <c r="AK249" i="63"/>
  <c r="AK215" i="63"/>
  <c r="AK211" i="63" s="1"/>
  <c r="AK198" i="63"/>
  <c r="AN4" i="46"/>
  <c r="AN23" i="46"/>
  <c r="AN35" i="46"/>
  <c r="AI343" i="63"/>
  <c r="AI286" i="63"/>
  <c r="AI289" i="63" s="1"/>
  <c r="AI300" i="63"/>
  <c r="AI304" i="63" s="1"/>
  <c r="AI310" i="63" s="1"/>
  <c r="AG80" i="46"/>
  <c r="AG62" i="46"/>
  <c r="AH63" i="46" s="1"/>
  <c r="AJ60" i="68"/>
  <c r="AJ17" i="68"/>
  <c r="AJ42" i="68"/>
  <c r="C460" i="59" a="1"/>
  <c r="C685" i="59"/>
  <c r="C687" i="59"/>
  <c r="C689" i="59"/>
  <c r="C691" i="59"/>
  <c r="C693" i="59"/>
  <c r="C695" i="59"/>
  <c r="C697" i="59"/>
  <c r="C699" i="59"/>
  <c r="C701" i="59"/>
  <c r="C703" i="59"/>
  <c r="C705" i="59"/>
  <c r="C707" i="59"/>
  <c r="C709" i="59"/>
  <c r="C711" i="59"/>
  <c r="C713" i="59"/>
  <c r="C715" i="59"/>
  <c r="C717" i="59"/>
  <c r="C688" i="59"/>
  <c r="C692" i="59"/>
  <c r="C696" i="59"/>
  <c r="C700" i="59"/>
  <c r="C704" i="59"/>
  <c r="C708" i="59"/>
  <c r="C712" i="59"/>
  <c r="C716" i="59"/>
  <c r="C686" i="59"/>
  <c r="C690" i="59"/>
  <c r="C694" i="59"/>
  <c r="C698" i="59"/>
  <c r="C702" i="59"/>
  <c r="C706" i="59"/>
  <c r="C710" i="59"/>
  <c r="C714" i="59"/>
  <c r="C718" i="59"/>
  <c r="AN51" i="63"/>
  <c r="AN113" i="63"/>
  <c r="AN115" i="63" s="1"/>
  <c r="AN7" i="59"/>
  <c r="AN239" i="59"/>
  <c r="AN912" i="59"/>
  <c r="AI142" i="63"/>
  <c r="AI272" i="63"/>
  <c r="AL5" i="59"/>
  <c r="AL5" i="68"/>
  <c r="AL5" i="73"/>
  <c r="AL5" i="63"/>
  <c r="AL6" i="60"/>
  <c r="AL7" i="60" s="1"/>
  <c r="AJ150" i="63"/>
  <c r="AJ152" i="63"/>
  <c r="AM79" i="60"/>
  <c r="AK16" i="68"/>
  <c r="AK24" i="68"/>
  <c r="AJ343" i="63"/>
  <c r="AJ286" i="63"/>
  <c r="AJ289" i="63" s="1"/>
  <c r="AJ300" i="63"/>
  <c r="AJ304" i="63" s="1"/>
  <c r="AJ310" i="63" s="1"/>
  <c r="AG54" i="73"/>
  <c r="AF60" i="73"/>
  <c r="AJ21" i="59"/>
  <c r="AJ25" i="59"/>
  <c r="AJ20" i="59"/>
  <c r="AJ24" i="59"/>
  <c r="AJ28" i="59"/>
  <c r="AJ23" i="59"/>
  <c r="AJ27" i="59"/>
  <c r="AJ22" i="59"/>
  <c r="AJ26" i="59"/>
  <c r="AJ1076" i="59" s="1"/>
  <c r="AH59" i="46"/>
  <c r="AI54" i="46"/>
  <c r="AJ54" i="46" s="1"/>
  <c r="C851" i="59"/>
  <c r="C853" i="59"/>
  <c r="C855" i="59"/>
  <c r="C857" i="59"/>
  <c r="C859" i="59"/>
  <c r="C861" i="59"/>
  <c r="C863" i="59"/>
  <c r="C865" i="59"/>
  <c r="C867" i="59"/>
  <c r="C869" i="59"/>
  <c r="C871" i="59"/>
  <c r="C873" i="59"/>
  <c r="C875" i="59"/>
  <c r="C877" i="59"/>
  <c r="C879" i="59"/>
  <c r="C881" i="59"/>
  <c r="C883" i="59"/>
  <c r="C854" i="59"/>
  <c r="C858" i="59"/>
  <c r="C862" i="59"/>
  <c r="C866" i="59"/>
  <c r="C870" i="59"/>
  <c r="C874" i="59"/>
  <c r="C878" i="59"/>
  <c r="C882" i="59"/>
  <c r="C852" i="59"/>
  <c r="C856" i="59"/>
  <c r="C860" i="59"/>
  <c r="C864" i="59"/>
  <c r="C868" i="59"/>
  <c r="C872" i="59"/>
  <c r="C876" i="59"/>
  <c r="C880" i="59"/>
  <c r="C884" i="59"/>
  <c r="C571" i="59" a="1"/>
  <c r="AL107" i="59"/>
  <c r="AL108" i="59" s="1"/>
  <c r="AL95" i="59"/>
  <c r="AL96" i="59" s="1"/>
  <c r="AL299" i="59"/>
  <c r="AK14" i="73"/>
  <c r="AK14" i="63"/>
  <c r="AK15" i="59"/>
  <c r="AL365" i="59"/>
  <c r="AL373" i="59" s="1"/>
  <c r="AL381" i="59" s="1"/>
  <c r="AK6" i="59"/>
  <c r="AK14" i="59"/>
  <c r="AJ6" i="68"/>
  <c r="AJ7" i="73"/>
  <c r="AJ7" i="63"/>
  <c r="AJ8" i="59"/>
  <c r="AJ6" i="46"/>
  <c r="AJ9" i="60"/>
  <c r="AJ20" i="63"/>
  <c r="AJ24" i="63"/>
  <c r="AJ19" i="63"/>
  <c r="AJ201" i="63" s="1"/>
  <c r="AJ23" i="63"/>
  <c r="AJ27" i="63"/>
  <c r="AJ22" i="63"/>
  <c r="AJ26" i="63"/>
  <c r="AJ21" i="63"/>
  <c r="AJ25" i="63"/>
  <c r="AJ200" i="63" s="1"/>
  <c r="AL37" i="46"/>
  <c r="AJ144" i="59" l="1"/>
  <c r="F144" i="59" s="1"/>
  <c r="AJ146" i="59"/>
  <c r="F146" i="59" s="1"/>
  <c r="AI145" i="59"/>
  <c r="H772" i="59"/>
  <c r="G772" i="59"/>
  <c r="I772" i="59"/>
  <c r="J772" i="59"/>
  <c r="K772" i="59"/>
  <c r="L772" i="59"/>
  <c r="M772" i="59"/>
  <c r="N772" i="59"/>
  <c r="O772" i="59"/>
  <c r="P772" i="59"/>
  <c r="Q772" i="59"/>
  <c r="R772" i="59"/>
  <c r="S772" i="59"/>
  <c r="T772" i="59"/>
  <c r="U772" i="59"/>
  <c r="V772" i="59"/>
  <c r="W772" i="59"/>
  <c r="X772" i="59"/>
  <c r="Y772" i="59"/>
  <c r="Z772" i="59"/>
  <c r="AA772" i="59"/>
  <c r="AB772" i="59"/>
  <c r="AC772" i="59"/>
  <c r="AD772" i="59"/>
  <c r="AE772" i="59"/>
  <c r="AF772" i="59"/>
  <c r="AG772" i="59"/>
  <c r="AH772" i="59"/>
  <c r="G740" i="59"/>
  <c r="H742" i="59"/>
  <c r="G742" i="59"/>
  <c r="H759" i="59"/>
  <c r="G759" i="59"/>
  <c r="I759" i="59"/>
  <c r="J759" i="59"/>
  <c r="K759" i="59"/>
  <c r="L759" i="59"/>
  <c r="M759" i="59"/>
  <c r="N759" i="59"/>
  <c r="O759" i="59"/>
  <c r="P759" i="59"/>
  <c r="Q759" i="59"/>
  <c r="R759" i="59"/>
  <c r="S759" i="59"/>
  <c r="T759" i="59"/>
  <c r="U759" i="59"/>
  <c r="V759" i="59"/>
  <c r="W759" i="59"/>
  <c r="X759" i="59"/>
  <c r="Y759" i="59"/>
  <c r="H743" i="59"/>
  <c r="G743" i="59"/>
  <c r="I743" i="59"/>
  <c r="AH925" i="59"/>
  <c r="AI922" i="59" s="1"/>
  <c r="H768" i="59"/>
  <c r="G768" i="59"/>
  <c r="I768" i="59"/>
  <c r="J768" i="59"/>
  <c r="K768" i="59"/>
  <c r="L768" i="59"/>
  <c r="M768" i="59"/>
  <c r="N768" i="59"/>
  <c r="O768" i="59"/>
  <c r="P768" i="59"/>
  <c r="Q768" i="59"/>
  <c r="R768" i="59"/>
  <c r="S768" i="59"/>
  <c r="T768" i="59"/>
  <c r="U768" i="59"/>
  <c r="V768" i="59"/>
  <c r="W768" i="59"/>
  <c r="X768" i="59"/>
  <c r="Y768" i="59"/>
  <c r="Z768" i="59"/>
  <c r="AA768" i="59"/>
  <c r="AB768" i="59"/>
  <c r="AC768" i="59"/>
  <c r="AD768" i="59"/>
  <c r="AE768" i="59"/>
  <c r="AF768" i="59"/>
  <c r="AG768" i="59"/>
  <c r="AH768" i="59"/>
  <c r="H770" i="59"/>
  <c r="G770" i="59"/>
  <c r="I770" i="59"/>
  <c r="J770" i="59"/>
  <c r="K770" i="59"/>
  <c r="L770" i="59"/>
  <c r="M770" i="59"/>
  <c r="N770" i="59"/>
  <c r="O770" i="59"/>
  <c r="P770" i="59"/>
  <c r="Q770" i="59"/>
  <c r="R770" i="59"/>
  <c r="S770" i="59"/>
  <c r="T770" i="59"/>
  <c r="U770" i="59"/>
  <c r="V770" i="59"/>
  <c r="W770" i="59"/>
  <c r="X770" i="59"/>
  <c r="Y770" i="59"/>
  <c r="Z770" i="59"/>
  <c r="AA770" i="59"/>
  <c r="AB770" i="59"/>
  <c r="AC770" i="59"/>
  <c r="AD770" i="59"/>
  <c r="AE770" i="59"/>
  <c r="AF770" i="59"/>
  <c r="AG770" i="59"/>
  <c r="AH770" i="59"/>
  <c r="H773" i="59"/>
  <c r="G773" i="59"/>
  <c r="I773" i="59"/>
  <c r="J773" i="59"/>
  <c r="K773" i="59"/>
  <c r="L773" i="59"/>
  <c r="M773" i="59"/>
  <c r="N773" i="59"/>
  <c r="O773" i="59"/>
  <c r="P773" i="59"/>
  <c r="Q773" i="59"/>
  <c r="R773" i="59"/>
  <c r="S773" i="59"/>
  <c r="T773" i="59"/>
  <c r="U773" i="59"/>
  <c r="V773" i="59"/>
  <c r="W773" i="59"/>
  <c r="X773" i="59"/>
  <c r="Y773" i="59"/>
  <c r="Z773" i="59"/>
  <c r="AA773" i="59"/>
  <c r="AB773" i="59"/>
  <c r="AC773" i="59"/>
  <c r="AD773" i="59"/>
  <c r="AE773" i="59"/>
  <c r="AF773" i="59"/>
  <c r="AG773" i="59"/>
  <c r="AH773" i="59"/>
  <c r="H757" i="59"/>
  <c r="G757" i="59"/>
  <c r="I757" i="59"/>
  <c r="J757" i="59"/>
  <c r="K757" i="59"/>
  <c r="L757" i="59"/>
  <c r="M757" i="59"/>
  <c r="N757" i="59"/>
  <c r="O757" i="59"/>
  <c r="P757" i="59"/>
  <c r="Q757" i="59"/>
  <c r="R757" i="59"/>
  <c r="S757" i="59"/>
  <c r="T757" i="59"/>
  <c r="U757" i="59"/>
  <c r="V757" i="59"/>
  <c r="W757" i="59"/>
  <c r="G741" i="59"/>
  <c r="H741" i="59" s="1"/>
  <c r="H764" i="59"/>
  <c r="G764" i="59"/>
  <c r="I764" i="59"/>
  <c r="J764" i="59"/>
  <c r="K764" i="59"/>
  <c r="L764" i="59"/>
  <c r="M764" i="59"/>
  <c r="N764" i="59"/>
  <c r="O764" i="59"/>
  <c r="P764" i="59"/>
  <c r="Q764" i="59"/>
  <c r="R764" i="59"/>
  <c r="S764" i="59"/>
  <c r="T764" i="59"/>
  <c r="U764" i="59"/>
  <c r="V764" i="59"/>
  <c r="W764" i="59"/>
  <c r="X764" i="59"/>
  <c r="Y764" i="59"/>
  <c r="Z764" i="59"/>
  <c r="AA764" i="59"/>
  <c r="AB764" i="59"/>
  <c r="AC764" i="59"/>
  <c r="AD764" i="59"/>
  <c r="H766" i="59"/>
  <c r="G766" i="59"/>
  <c r="I766" i="59"/>
  <c r="J766" i="59"/>
  <c r="K766" i="59"/>
  <c r="L766" i="59"/>
  <c r="M766" i="59"/>
  <c r="N766" i="59"/>
  <c r="O766" i="59"/>
  <c r="P766" i="59"/>
  <c r="Q766" i="59"/>
  <c r="R766" i="59"/>
  <c r="S766" i="59"/>
  <c r="T766" i="59"/>
  <c r="U766" i="59"/>
  <c r="V766" i="59"/>
  <c r="W766" i="59"/>
  <c r="X766" i="59"/>
  <c r="Y766" i="59"/>
  <c r="Z766" i="59"/>
  <c r="AA766" i="59"/>
  <c r="AB766" i="59"/>
  <c r="AC766" i="59"/>
  <c r="AD766" i="59"/>
  <c r="AE766" i="59"/>
  <c r="AF766" i="59"/>
  <c r="H771" i="59"/>
  <c r="G771" i="59"/>
  <c r="I771" i="59"/>
  <c r="J771" i="59"/>
  <c r="K771" i="59"/>
  <c r="L771" i="59"/>
  <c r="M771" i="59"/>
  <c r="N771" i="59"/>
  <c r="O771" i="59"/>
  <c r="P771" i="59"/>
  <c r="Q771" i="59"/>
  <c r="R771" i="59"/>
  <c r="S771" i="59"/>
  <c r="T771" i="59"/>
  <c r="U771" i="59"/>
  <c r="V771" i="59"/>
  <c r="W771" i="59"/>
  <c r="X771" i="59"/>
  <c r="Y771" i="59"/>
  <c r="Z771" i="59"/>
  <c r="AA771" i="59"/>
  <c r="AB771" i="59"/>
  <c r="AC771" i="59"/>
  <c r="AD771" i="59"/>
  <c r="AE771" i="59"/>
  <c r="AF771" i="59"/>
  <c r="AG771" i="59"/>
  <c r="AH771" i="59"/>
  <c r="H755" i="59"/>
  <c r="G755" i="59"/>
  <c r="I755" i="59"/>
  <c r="J755" i="59"/>
  <c r="K755" i="59"/>
  <c r="L755" i="59"/>
  <c r="M755" i="59"/>
  <c r="N755" i="59"/>
  <c r="O755" i="59"/>
  <c r="P755" i="59"/>
  <c r="Q755" i="59"/>
  <c r="R755" i="59"/>
  <c r="S755" i="59"/>
  <c r="T755" i="59"/>
  <c r="U755" i="59"/>
  <c r="AH922" i="59"/>
  <c r="H760" i="59"/>
  <c r="G760" i="59"/>
  <c r="I760" i="59"/>
  <c r="J760" i="59"/>
  <c r="K760" i="59"/>
  <c r="L760" i="59"/>
  <c r="M760" i="59"/>
  <c r="N760" i="59"/>
  <c r="O760" i="59"/>
  <c r="P760" i="59"/>
  <c r="Q760" i="59"/>
  <c r="R760" i="59"/>
  <c r="S760" i="59"/>
  <c r="T760" i="59"/>
  <c r="U760" i="59"/>
  <c r="V760" i="59"/>
  <c r="W760" i="59"/>
  <c r="X760" i="59"/>
  <c r="Y760" i="59"/>
  <c r="Z760" i="59"/>
  <c r="H762" i="59"/>
  <c r="G762" i="59"/>
  <c r="I762" i="59"/>
  <c r="J762" i="59"/>
  <c r="K762" i="59"/>
  <c r="L762" i="59"/>
  <c r="M762" i="59"/>
  <c r="N762" i="59"/>
  <c r="O762" i="59"/>
  <c r="P762" i="59"/>
  <c r="Q762" i="59"/>
  <c r="R762" i="59"/>
  <c r="S762" i="59"/>
  <c r="T762" i="59"/>
  <c r="U762" i="59"/>
  <c r="V762" i="59"/>
  <c r="W762" i="59"/>
  <c r="X762" i="59"/>
  <c r="Y762" i="59"/>
  <c r="Z762" i="59"/>
  <c r="AA762" i="59"/>
  <c r="AB762" i="59"/>
  <c r="H769" i="59"/>
  <c r="G769" i="59"/>
  <c r="I769" i="59"/>
  <c r="J769" i="59"/>
  <c r="K769" i="59"/>
  <c r="L769" i="59"/>
  <c r="M769" i="59"/>
  <c r="N769" i="59"/>
  <c r="O769" i="59"/>
  <c r="P769" i="59"/>
  <c r="Q769" i="59"/>
  <c r="R769" i="59"/>
  <c r="S769" i="59"/>
  <c r="T769" i="59"/>
  <c r="U769" i="59"/>
  <c r="V769" i="59"/>
  <c r="W769" i="59"/>
  <c r="X769" i="59"/>
  <c r="Y769" i="59"/>
  <c r="Z769" i="59"/>
  <c r="AA769" i="59"/>
  <c r="AB769" i="59"/>
  <c r="AC769" i="59"/>
  <c r="AD769" i="59"/>
  <c r="AE769" i="59"/>
  <c r="AF769" i="59"/>
  <c r="AG769" i="59"/>
  <c r="AH769" i="59"/>
  <c r="H753" i="59"/>
  <c r="G753" i="59"/>
  <c r="I753" i="59"/>
  <c r="J753" i="59"/>
  <c r="K753" i="59"/>
  <c r="L753" i="59"/>
  <c r="M753" i="59"/>
  <c r="N753" i="59"/>
  <c r="O753" i="59"/>
  <c r="P753" i="59"/>
  <c r="Q753" i="59"/>
  <c r="R753" i="59"/>
  <c r="S753" i="59"/>
  <c r="H756" i="59"/>
  <c r="G756" i="59"/>
  <c r="I756" i="59"/>
  <c r="J756" i="59"/>
  <c r="K756" i="59"/>
  <c r="L756" i="59"/>
  <c r="M756" i="59"/>
  <c r="N756" i="59"/>
  <c r="O756" i="59"/>
  <c r="P756" i="59"/>
  <c r="Q756" i="59"/>
  <c r="R756" i="59"/>
  <c r="S756" i="59"/>
  <c r="T756" i="59"/>
  <c r="U756" i="59"/>
  <c r="V756" i="59"/>
  <c r="H758" i="59"/>
  <c r="G758" i="59"/>
  <c r="I758" i="59"/>
  <c r="J758" i="59"/>
  <c r="K758" i="59"/>
  <c r="L758" i="59"/>
  <c r="M758" i="59"/>
  <c r="N758" i="59"/>
  <c r="O758" i="59"/>
  <c r="P758" i="59"/>
  <c r="Q758" i="59"/>
  <c r="R758" i="59"/>
  <c r="S758" i="59"/>
  <c r="T758" i="59"/>
  <c r="U758" i="59"/>
  <c r="V758" i="59"/>
  <c r="W758" i="59"/>
  <c r="X758" i="59"/>
  <c r="H767" i="59"/>
  <c r="G767" i="59"/>
  <c r="I767" i="59"/>
  <c r="J767" i="59"/>
  <c r="K767" i="59"/>
  <c r="L767" i="59"/>
  <c r="M767" i="59"/>
  <c r="N767" i="59"/>
  <c r="O767" i="59"/>
  <c r="P767" i="59"/>
  <c r="Q767" i="59"/>
  <c r="R767" i="59"/>
  <c r="S767" i="59"/>
  <c r="T767" i="59"/>
  <c r="U767" i="59"/>
  <c r="V767" i="59"/>
  <c r="W767" i="59"/>
  <c r="X767" i="59"/>
  <c r="Y767" i="59"/>
  <c r="Z767" i="59"/>
  <c r="AA767" i="59"/>
  <c r="AB767" i="59"/>
  <c r="AC767" i="59"/>
  <c r="AD767" i="59"/>
  <c r="AE767" i="59"/>
  <c r="AF767" i="59"/>
  <c r="AG767" i="59"/>
  <c r="H751" i="59"/>
  <c r="G751" i="59"/>
  <c r="I751" i="59"/>
  <c r="J751" i="59"/>
  <c r="K751" i="59"/>
  <c r="L751" i="59"/>
  <c r="M751" i="59"/>
  <c r="N751" i="59"/>
  <c r="O751" i="59"/>
  <c r="P751" i="59"/>
  <c r="Q751" i="59"/>
  <c r="H752" i="59"/>
  <c r="G752" i="59"/>
  <c r="I752" i="59"/>
  <c r="J752" i="59"/>
  <c r="K752" i="59"/>
  <c r="L752" i="59"/>
  <c r="M752" i="59"/>
  <c r="N752" i="59"/>
  <c r="O752" i="59"/>
  <c r="P752" i="59"/>
  <c r="Q752" i="59"/>
  <c r="R752" i="59"/>
  <c r="H754" i="59"/>
  <c r="G754" i="59"/>
  <c r="I754" i="59"/>
  <c r="J754" i="59"/>
  <c r="K754" i="59"/>
  <c r="L754" i="59"/>
  <c r="M754" i="59"/>
  <c r="N754" i="59"/>
  <c r="O754" i="59"/>
  <c r="P754" i="59"/>
  <c r="Q754" i="59"/>
  <c r="R754" i="59"/>
  <c r="S754" i="59"/>
  <c r="T754" i="59"/>
  <c r="H765" i="59"/>
  <c r="G765" i="59"/>
  <c r="I765" i="59"/>
  <c r="J765" i="59"/>
  <c r="K765" i="59"/>
  <c r="L765" i="59"/>
  <c r="M765" i="59"/>
  <c r="N765" i="59"/>
  <c r="O765" i="59"/>
  <c r="P765" i="59"/>
  <c r="Q765" i="59"/>
  <c r="R765" i="59"/>
  <c r="S765" i="59"/>
  <c r="T765" i="59"/>
  <c r="U765" i="59"/>
  <c r="V765" i="59"/>
  <c r="W765" i="59"/>
  <c r="X765" i="59"/>
  <c r="Y765" i="59"/>
  <c r="Z765" i="59"/>
  <c r="AA765" i="59"/>
  <c r="AB765" i="59"/>
  <c r="AC765" i="59"/>
  <c r="AD765" i="59"/>
  <c r="AE765" i="59"/>
  <c r="G749" i="59"/>
  <c r="H749" i="59"/>
  <c r="I749" i="59"/>
  <c r="J749" i="59"/>
  <c r="K749" i="59"/>
  <c r="L749" i="59"/>
  <c r="M749" i="59"/>
  <c r="N749" i="59"/>
  <c r="O749" i="59"/>
  <c r="H748" i="59"/>
  <c r="G748" i="59"/>
  <c r="I748" i="59"/>
  <c r="J748" i="59"/>
  <c r="K748" i="59"/>
  <c r="L748" i="59"/>
  <c r="M748" i="59"/>
  <c r="N748" i="59"/>
  <c r="G750" i="59"/>
  <c r="H750" i="59"/>
  <c r="I750" i="59"/>
  <c r="J750" i="59"/>
  <c r="K750" i="59"/>
  <c r="L750" i="59"/>
  <c r="M750" i="59"/>
  <c r="N750" i="59"/>
  <c r="O750" i="59"/>
  <c r="P750" i="59"/>
  <c r="H763" i="59"/>
  <c r="G763" i="59"/>
  <c r="I763" i="59"/>
  <c r="J763" i="59"/>
  <c r="K763" i="59"/>
  <c r="L763" i="59"/>
  <c r="M763" i="59"/>
  <c r="N763" i="59"/>
  <c r="O763" i="59"/>
  <c r="P763" i="59"/>
  <c r="Q763" i="59"/>
  <c r="R763" i="59"/>
  <c r="S763" i="59"/>
  <c r="T763" i="59"/>
  <c r="U763" i="59"/>
  <c r="V763" i="59"/>
  <c r="W763" i="59"/>
  <c r="X763" i="59"/>
  <c r="Y763" i="59"/>
  <c r="Z763" i="59"/>
  <c r="AA763" i="59"/>
  <c r="AB763" i="59"/>
  <c r="AC763" i="59"/>
  <c r="H747" i="59"/>
  <c r="G747" i="59"/>
  <c r="I747" i="59"/>
  <c r="J747" i="59"/>
  <c r="K747" i="59"/>
  <c r="L747" i="59"/>
  <c r="M747" i="59"/>
  <c r="H744" i="59"/>
  <c r="G744" i="59"/>
  <c r="I744" i="59"/>
  <c r="J744" i="59"/>
  <c r="H746" i="59"/>
  <c r="G746" i="59"/>
  <c r="I746" i="59"/>
  <c r="J746" i="59"/>
  <c r="K746" i="59"/>
  <c r="L746" i="59"/>
  <c r="H761" i="59"/>
  <c r="G761" i="59"/>
  <c r="I761" i="59"/>
  <c r="J761" i="59"/>
  <c r="K761" i="59"/>
  <c r="L761" i="59"/>
  <c r="M761" i="59"/>
  <c r="N761" i="59"/>
  <c r="O761" i="59"/>
  <c r="P761" i="59"/>
  <c r="Q761" i="59"/>
  <c r="R761" i="59"/>
  <c r="S761" i="59"/>
  <c r="T761" i="59"/>
  <c r="U761" i="59"/>
  <c r="V761" i="59"/>
  <c r="W761" i="59"/>
  <c r="X761" i="59"/>
  <c r="Y761" i="59"/>
  <c r="Z761" i="59"/>
  <c r="AA761" i="59"/>
  <c r="H745" i="59"/>
  <c r="G745" i="59"/>
  <c r="I745" i="59"/>
  <c r="J745" i="59"/>
  <c r="K745" i="59"/>
  <c r="AG156" i="60"/>
  <c r="AK132" i="59"/>
  <c r="AK167" i="59" s="1"/>
  <c r="AH115" i="59"/>
  <c r="AH127" i="59" s="1"/>
  <c r="AI56" i="59"/>
  <c r="AI59" i="59" s="1"/>
  <c r="AI72" i="59"/>
  <c r="AJ298" i="59"/>
  <c r="AJ72" i="59"/>
  <c r="AJ56" i="59"/>
  <c r="AM73" i="59"/>
  <c r="AM57" i="59"/>
  <c r="AG16" i="60"/>
  <c r="AG112" i="60" s="1"/>
  <c r="AG32" i="60"/>
  <c r="AG29" i="60"/>
  <c r="AG31" i="60"/>
  <c r="AG1028" i="59"/>
  <c r="AG185" i="59"/>
  <c r="AG119" i="59"/>
  <c r="AF185" i="59"/>
  <c r="AF16" i="60"/>
  <c r="AF112" i="60" s="1"/>
  <c r="AF1028" i="59"/>
  <c r="AJ789" i="59"/>
  <c r="AJ619" i="59"/>
  <c r="AJ884" i="59" s="1"/>
  <c r="AJ94" i="59"/>
  <c r="AJ106" i="59"/>
  <c r="AJ508" i="59"/>
  <c r="AJ771" i="59" s="1"/>
  <c r="AJ844" i="59"/>
  <c r="AJ733" i="59"/>
  <c r="AJ45" i="73"/>
  <c r="AM37" i="46"/>
  <c r="AM50" i="46" s="1"/>
  <c r="AJ1020" i="59"/>
  <c r="AJ678" i="59"/>
  <c r="AJ50" i="63"/>
  <c r="AJ58" i="63" s="1"/>
  <c r="AJ915" i="59"/>
  <c r="AJ256" i="59"/>
  <c r="AJ304" i="59"/>
  <c r="AJ309" i="59" s="1"/>
  <c r="AJ453" i="59"/>
  <c r="AJ716" i="59" s="1"/>
  <c r="AJ564" i="59"/>
  <c r="AJ827" i="59" s="1"/>
  <c r="AJ204" i="63"/>
  <c r="AL14" i="73"/>
  <c r="AL14" i="63"/>
  <c r="AL15" i="59"/>
  <c r="AM365" i="59"/>
  <c r="AM373" i="59" s="1"/>
  <c r="AM381" i="59" s="1"/>
  <c r="H884" i="59"/>
  <c r="G884" i="59"/>
  <c r="I884" i="59"/>
  <c r="J884" i="59"/>
  <c r="K884" i="59"/>
  <c r="L884" i="59"/>
  <c r="M884" i="59"/>
  <c r="N884" i="59"/>
  <c r="O884" i="59"/>
  <c r="P884" i="59"/>
  <c r="Q884" i="59"/>
  <c r="R884" i="59"/>
  <c r="S884" i="59"/>
  <c r="T884" i="59"/>
  <c r="U884" i="59"/>
  <c r="V884" i="59"/>
  <c r="W884" i="59"/>
  <c r="X884" i="59"/>
  <c r="Y884" i="59"/>
  <c r="Z884" i="59"/>
  <c r="AA884" i="59"/>
  <c r="AB884" i="59"/>
  <c r="AC884" i="59"/>
  <c r="AD884" i="59"/>
  <c r="AE884" i="59"/>
  <c r="AF884" i="59"/>
  <c r="AG884" i="59"/>
  <c r="AH884" i="59"/>
  <c r="H868" i="59"/>
  <c r="G868" i="59"/>
  <c r="I868" i="59"/>
  <c r="J868" i="59"/>
  <c r="K868" i="59"/>
  <c r="L868" i="59"/>
  <c r="M868" i="59"/>
  <c r="N868" i="59"/>
  <c r="O868" i="59"/>
  <c r="P868" i="59"/>
  <c r="Q868" i="59"/>
  <c r="R868" i="59"/>
  <c r="S868" i="59"/>
  <c r="T868" i="59"/>
  <c r="U868" i="59"/>
  <c r="V868" i="59"/>
  <c r="W868" i="59"/>
  <c r="G852" i="59"/>
  <c r="H852" i="59" s="1"/>
  <c r="I852" i="59" s="1"/>
  <c r="H870" i="59"/>
  <c r="G870" i="59"/>
  <c r="I870" i="59"/>
  <c r="J870" i="59"/>
  <c r="K870" i="59"/>
  <c r="L870" i="59"/>
  <c r="M870" i="59"/>
  <c r="N870" i="59"/>
  <c r="O870" i="59"/>
  <c r="P870" i="59"/>
  <c r="Q870" i="59"/>
  <c r="R870" i="59"/>
  <c r="S870" i="59"/>
  <c r="T870" i="59"/>
  <c r="U870" i="59"/>
  <c r="V870" i="59"/>
  <c r="W870" i="59"/>
  <c r="X870" i="59"/>
  <c r="Y870" i="59"/>
  <c r="H854" i="59"/>
  <c r="G854" i="59"/>
  <c r="I854" i="59"/>
  <c r="H877" i="59"/>
  <c r="G877" i="59"/>
  <c r="I877" i="59"/>
  <c r="J877" i="59"/>
  <c r="K877" i="59"/>
  <c r="L877" i="59"/>
  <c r="M877" i="59"/>
  <c r="N877" i="59"/>
  <c r="O877" i="59"/>
  <c r="P877" i="59"/>
  <c r="Q877" i="59"/>
  <c r="R877" i="59"/>
  <c r="S877" i="59"/>
  <c r="T877" i="59"/>
  <c r="U877" i="59"/>
  <c r="V877" i="59"/>
  <c r="W877" i="59"/>
  <c r="X877" i="59"/>
  <c r="Y877" i="59"/>
  <c r="Z877" i="59"/>
  <c r="AA877" i="59"/>
  <c r="AB877" i="59"/>
  <c r="AC877" i="59"/>
  <c r="AD877" i="59"/>
  <c r="AE877" i="59"/>
  <c r="AF877" i="59"/>
  <c r="H869" i="59"/>
  <c r="G869" i="59"/>
  <c r="I869" i="59"/>
  <c r="J869" i="59"/>
  <c r="K869" i="59"/>
  <c r="L869" i="59"/>
  <c r="M869" i="59"/>
  <c r="N869" i="59"/>
  <c r="O869" i="59"/>
  <c r="P869" i="59"/>
  <c r="Q869" i="59"/>
  <c r="R869" i="59"/>
  <c r="S869" i="59"/>
  <c r="T869" i="59"/>
  <c r="U869" i="59"/>
  <c r="V869" i="59"/>
  <c r="W869" i="59"/>
  <c r="X869" i="59"/>
  <c r="H861" i="59"/>
  <c r="G861" i="59"/>
  <c r="I861" i="59"/>
  <c r="J861" i="59"/>
  <c r="K861" i="59"/>
  <c r="L861" i="59"/>
  <c r="M861" i="59"/>
  <c r="N861" i="59"/>
  <c r="O861" i="59"/>
  <c r="P861" i="59"/>
  <c r="H853" i="59"/>
  <c r="G853" i="59"/>
  <c r="AH54" i="73"/>
  <c r="AG60" i="73"/>
  <c r="AJ142" i="63"/>
  <c r="AJ272" i="63"/>
  <c r="AL6" i="73"/>
  <c r="AL13" i="73"/>
  <c r="G706" i="59"/>
  <c r="H706" i="59"/>
  <c r="I706" i="59"/>
  <c r="J706" i="59"/>
  <c r="K706" i="59"/>
  <c r="L706" i="59"/>
  <c r="M706" i="59"/>
  <c r="N706" i="59"/>
  <c r="O706" i="59"/>
  <c r="P706" i="59"/>
  <c r="Q706" i="59"/>
  <c r="R706" i="59"/>
  <c r="S706" i="59"/>
  <c r="T706" i="59"/>
  <c r="U706" i="59"/>
  <c r="V706" i="59"/>
  <c r="W706" i="59"/>
  <c r="X706" i="59"/>
  <c r="Y706" i="59"/>
  <c r="Z706" i="59"/>
  <c r="AA706" i="59"/>
  <c r="G690" i="59"/>
  <c r="H690" i="59"/>
  <c r="I690" i="59"/>
  <c r="J690" i="59"/>
  <c r="K690" i="59"/>
  <c r="H708" i="59"/>
  <c r="G708" i="59"/>
  <c r="I708" i="59"/>
  <c r="J708" i="59"/>
  <c r="K708" i="59"/>
  <c r="L708" i="59"/>
  <c r="M708" i="59"/>
  <c r="N708" i="59"/>
  <c r="O708" i="59"/>
  <c r="P708" i="59"/>
  <c r="Q708" i="59"/>
  <c r="R708" i="59"/>
  <c r="S708" i="59"/>
  <c r="T708" i="59"/>
  <c r="U708" i="59"/>
  <c r="V708" i="59"/>
  <c r="W708" i="59"/>
  <c r="X708" i="59"/>
  <c r="Y708" i="59"/>
  <c r="Z708" i="59"/>
  <c r="AA708" i="59"/>
  <c r="AB708" i="59"/>
  <c r="AC708" i="59"/>
  <c r="H692" i="59"/>
  <c r="G692" i="59"/>
  <c r="I692" i="59"/>
  <c r="J692" i="59"/>
  <c r="K692" i="59"/>
  <c r="L692" i="59"/>
  <c r="M692" i="59"/>
  <c r="G713" i="59"/>
  <c r="H713" i="59"/>
  <c r="I713" i="59"/>
  <c r="J713" i="59"/>
  <c r="K713" i="59"/>
  <c r="L713" i="59"/>
  <c r="M713" i="59"/>
  <c r="N713" i="59"/>
  <c r="O713" i="59"/>
  <c r="P713" i="59"/>
  <c r="Q713" i="59"/>
  <c r="R713" i="59"/>
  <c r="S713" i="59"/>
  <c r="T713" i="59"/>
  <c r="U713" i="59"/>
  <c r="V713" i="59"/>
  <c r="W713" i="59"/>
  <c r="X713" i="59"/>
  <c r="Y713" i="59"/>
  <c r="Z713" i="59"/>
  <c r="AA713" i="59"/>
  <c r="AB713" i="59"/>
  <c r="AC713" i="59"/>
  <c r="AD713" i="59"/>
  <c r="AE713" i="59"/>
  <c r="AF713" i="59"/>
  <c r="AG713" i="59"/>
  <c r="AH713" i="59"/>
  <c r="G705" i="59"/>
  <c r="H705" i="59"/>
  <c r="I705" i="59"/>
  <c r="J705" i="59"/>
  <c r="K705" i="59"/>
  <c r="L705" i="59"/>
  <c r="M705" i="59"/>
  <c r="N705" i="59"/>
  <c r="O705" i="59"/>
  <c r="P705" i="59"/>
  <c r="Q705" i="59"/>
  <c r="R705" i="59"/>
  <c r="S705" i="59"/>
  <c r="T705" i="59"/>
  <c r="U705" i="59"/>
  <c r="V705" i="59"/>
  <c r="W705" i="59"/>
  <c r="X705" i="59"/>
  <c r="Y705" i="59"/>
  <c r="Z705" i="59"/>
  <c r="G697" i="59"/>
  <c r="H697" i="59"/>
  <c r="I697" i="59"/>
  <c r="J697" i="59"/>
  <c r="K697" i="59"/>
  <c r="L697" i="59"/>
  <c r="M697" i="59"/>
  <c r="N697" i="59"/>
  <c r="O697" i="59"/>
  <c r="P697" i="59"/>
  <c r="Q697" i="59"/>
  <c r="R697" i="59"/>
  <c r="G689" i="59"/>
  <c r="H689" i="59"/>
  <c r="I689" i="59"/>
  <c r="J689" i="59"/>
  <c r="AH81" i="46"/>
  <c r="AH66" i="46"/>
  <c r="AH67" i="46" s="1"/>
  <c r="AH82" i="46" s="1"/>
  <c r="AK204" i="63"/>
  <c r="AK201" i="63"/>
  <c r="AK200" i="63"/>
  <c r="AK382" i="63"/>
  <c r="AK20" i="73"/>
  <c r="AK22" i="73"/>
  <c r="AK24" i="73"/>
  <c r="AK26" i="73"/>
  <c r="AK19" i="73"/>
  <c r="AK21" i="73"/>
  <c r="AK23" i="73"/>
  <c r="AK25" i="73"/>
  <c r="AK27" i="73"/>
  <c r="AL235" i="63"/>
  <c r="AL234" i="63"/>
  <c r="AL238" i="63"/>
  <c r="C628" i="59"/>
  <c r="C632" i="59"/>
  <c r="C636" i="59"/>
  <c r="C640" i="59"/>
  <c r="C644" i="59"/>
  <c r="C648" i="59"/>
  <c r="C652" i="59"/>
  <c r="C656" i="59"/>
  <c r="C626" i="59"/>
  <c r="C627" i="59"/>
  <c r="C631" i="59"/>
  <c r="C635" i="59"/>
  <c r="C639" i="59"/>
  <c r="C643" i="59"/>
  <c r="C647" i="59"/>
  <c r="C651" i="59"/>
  <c r="C655" i="59"/>
  <c r="C659" i="59"/>
  <c r="C630" i="59"/>
  <c r="C634" i="59"/>
  <c r="C638" i="59"/>
  <c r="C642" i="59"/>
  <c r="C646" i="59"/>
  <c r="C650" i="59"/>
  <c r="C654" i="59"/>
  <c r="C658" i="59"/>
  <c r="C637" i="59"/>
  <c r="C653" i="59"/>
  <c r="C633" i="59"/>
  <c r="C649" i="59"/>
  <c r="C629" i="59"/>
  <c r="C645" i="59"/>
  <c r="C641" i="59"/>
  <c r="C657" i="59"/>
  <c r="AI45" i="73"/>
  <c r="AI81" i="73" s="1"/>
  <c r="AI106" i="59"/>
  <c r="AI111" i="59" s="1"/>
  <c r="AI94" i="59"/>
  <c r="AI97" i="59" s="1"/>
  <c r="AI50" i="63"/>
  <c r="AI453" i="59"/>
  <c r="AI714" i="59" s="1"/>
  <c r="AI508" i="59"/>
  <c r="AI256" i="59"/>
  <c r="AI915" i="59"/>
  <c r="AI916" i="59" s="1"/>
  <c r="AI619" i="59"/>
  <c r="AI884" i="59" s="1"/>
  <c r="AI304" i="59"/>
  <c r="AI309" i="59" s="1"/>
  <c r="AI298" i="59"/>
  <c r="AI678" i="59"/>
  <c r="AI789" i="59"/>
  <c r="AI844" i="59"/>
  <c r="AI1020" i="59"/>
  <c r="AI564" i="59"/>
  <c r="AI827" i="59" s="1"/>
  <c r="AI733" i="59"/>
  <c r="AH270" i="59"/>
  <c r="AH325" i="59" s="1"/>
  <c r="AH269" i="59"/>
  <c r="AH324" i="59" s="1"/>
  <c r="AH268" i="59"/>
  <c r="AH323" i="59" s="1"/>
  <c r="AH266" i="59"/>
  <c r="AH321" i="59" s="1"/>
  <c r="G818" i="59"/>
  <c r="H818" i="59"/>
  <c r="I818" i="59"/>
  <c r="J818" i="59"/>
  <c r="K818" i="59"/>
  <c r="L818" i="59"/>
  <c r="M818" i="59"/>
  <c r="N818" i="59"/>
  <c r="O818" i="59"/>
  <c r="P818" i="59"/>
  <c r="Q818" i="59"/>
  <c r="R818" i="59"/>
  <c r="S818" i="59"/>
  <c r="T818" i="59"/>
  <c r="U818" i="59"/>
  <c r="V818" i="59"/>
  <c r="W818" i="59"/>
  <c r="X818" i="59"/>
  <c r="Y818" i="59"/>
  <c r="Z818" i="59"/>
  <c r="AA818" i="59"/>
  <c r="AB818" i="59"/>
  <c r="G802" i="59"/>
  <c r="H802" i="59"/>
  <c r="I802" i="59"/>
  <c r="J802" i="59"/>
  <c r="K802" i="59"/>
  <c r="L802" i="59"/>
  <c r="H820" i="59"/>
  <c r="G820" i="59"/>
  <c r="I820" i="59"/>
  <c r="J820" i="59"/>
  <c r="K820" i="59"/>
  <c r="L820" i="59"/>
  <c r="M820" i="59"/>
  <c r="N820" i="59"/>
  <c r="O820" i="59"/>
  <c r="P820" i="59"/>
  <c r="Q820" i="59"/>
  <c r="R820" i="59"/>
  <c r="S820" i="59"/>
  <c r="T820" i="59"/>
  <c r="U820" i="59"/>
  <c r="V820" i="59"/>
  <c r="W820" i="59"/>
  <c r="X820" i="59"/>
  <c r="Y820" i="59"/>
  <c r="Z820" i="59"/>
  <c r="AA820" i="59"/>
  <c r="AB820" i="59"/>
  <c r="AC820" i="59"/>
  <c r="AD820" i="59"/>
  <c r="H804" i="59"/>
  <c r="G804" i="59"/>
  <c r="I804" i="59"/>
  <c r="J804" i="59"/>
  <c r="K804" i="59"/>
  <c r="L804" i="59"/>
  <c r="M804" i="59"/>
  <c r="N804" i="59"/>
  <c r="H827" i="59"/>
  <c r="G827" i="59"/>
  <c r="I827" i="59"/>
  <c r="J827" i="59"/>
  <c r="K827" i="59"/>
  <c r="L827" i="59"/>
  <c r="M827" i="59"/>
  <c r="N827" i="59"/>
  <c r="O827" i="59"/>
  <c r="P827" i="59"/>
  <c r="Q827" i="59"/>
  <c r="R827" i="59"/>
  <c r="S827" i="59"/>
  <c r="T827" i="59"/>
  <c r="U827" i="59"/>
  <c r="V827" i="59"/>
  <c r="W827" i="59"/>
  <c r="X827" i="59"/>
  <c r="Y827" i="59"/>
  <c r="Z827" i="59"/>
  <c r="AA827" i="59"/>
  <c r="AB827" i="59"/>
  <c r="AC827" i="59"/>
  <c r="AD827" i="59"/>
  <c r="AE827" i="59"/>
  <c r="AF827" i="59"/>
  <c r="AG827" i="59"/>
  <c r="AH827" i="59"/>
  <c r="H819" i="59"/>
  <c r="G819" i="59"/>
  <c r="I819" i="59"/>
  <c r="J819" i="59"/>
  <c r="K819" i="59"/>
  <c r="L819" i="59"/>
  <c r="M819" i="59"/>
  <c r="N819" i="59"/>
  <c r="O819" i="59"/>
  <c r="P819" i="59"/>
  <c r="Q819" i="59"/>
  <c r="R819" i="59"/>
  <c r="S819" i="59"/>
  <c r="T819" i="59"/>
  <c r="U819" i="59"/>
  <c r="V819" i="59"/>
  <c r="W819" i="59"/>
  <c r="X819" i="59"/>
  <c r="Y819" i="59"/>
  <c r="Z819" i="59"/>
  <c r="AA819" i="59"/>
  <c r="AB819" i="59"/>
  <c r="AC819" i="59"/>
  <c r="H811" i="59"/>
  <c r="G811" i="59"/>
  <c r="I811" i="59"/>
  <c r="J811" i="59"/>
  <c r="K811" i="59"/>
  <c r="L811" i="59"/>
  <c r="M811" i="59"/>
  <c r="N811" i="59"/>
  <c r="O811" i="59"/>
  <c r="P811" i="59"/>
  <c r="Q811" i="59"/>
  <c r="R811" i="59"/>
  <c r="S811" i="59"/>
  <c r="T811" i="59"/>
  <c r="U811" i="59"/>
  <c r="H803" i="59"/>
  <c r="G803" i="59"/>
  <c r="I803" i="59"/>
  <c r="J803" i="59"/>
  <c r="K803" i="59"/>
  <c r="L803" i="59"/>
  <c r="M803" i="59"/>
  <c r="AM5" i="59"/>
  <c r="AM5" i="68"/>
  <c r="AM5" i="73"/>
  <c r="AM5" i="63"/>
  <c r="AM6" i="60"/>
  <c r="AM7" i="60" s="1"/>
  <c r="AF6" i="68"/>
  <c r="AF7" i="73"/>
  <c r="AF7" i="63"/>
  <c r="AF8" i="59"/>
  <c r="AF6" i="46"/>
  <c r="AF9" i="60"/>
  <c r="AL50" i="46"/>
  <c r="AL78" i="46"/>
  <c r="AL70" i="46"/>
  <c r="H880" i="59"/>
  <c r="G880" i="59"/>
  <c r="I880" i="59"/>
  <c r="J880" i="59"/>
  <c r="K880" i="59"/>
  <c r="L880" i="59"/>
  <c r="M880" i="59"/>
  <c r="N880" i="59"/>
  <c r="O880" i="59"/>
  <c r="P880" i="59"/>
  <c r="Q880" i="59"/>
  <c r="R880" i="59"/>
  <c r="S880" i="59"/>
  <c r="T880" i="59"/>
  <c r="U880" i="59"/>
  <c r="V880" i="59"/>
  <c r="W880" i="59"/>
  <c r="X880" i="59"/>
  <c r="Y880" i="59"/>
  <c r="Z880" i="59"/>
  <c r="AA880" i="59"/>
  <c r="AB880" i="59"/>
  <c r="AC880" i="59"/>
  <c r="AD880" i="59"/>
  <c r="AE880" i="59"/>
  <c r="AF880" i="59"/>
  <c r="AG880" i="59"/>
  <c r="AH880" i="59"/>
  <c r="H864" i="59"/>
  <c r="G864" i="59"/>
  <c r="I864" i="59"/>
  <c r="J864" i="59"/>
  <c r="K864" i="59"/>
  <c r="L864" i="59"/>
  <c r="M864" i="59"/>
  <c r="N864" i="59"/>
  <c r="O864" i="59"/>
  <c r="P864" i="59"/>
  <c r="Q864" i="59"/>
  <c r="R864" i="59"/>
  <c r="S864" i="59"/>
  <c r="H882" i="59"/>
  <c r="G882" i="59"/>
  <c r="I882" i="59"/>
  <c r="J882" i="59"/>
  <c r="K882" i="59"/>
  <c r="L882" i="59"/>
  <c r="M882" i="59"/>
  <c r="N882" i="59"/>
  <c r="O882" i="59"/>
  <c r="P882" i="59"/>
  <c r="Q882" i="59"/>
  <c r="R882" i="59"/>
  <c r="S882" i="59"/>
  <c r="T882" i="59"/>
  <c r="U882" i="59"/>
  <c r="V882" i="59"/>
  <c r="W882" i="59"/>
  <c r="X882" i="59"/>
  <c r="Y882" i="59"/>
  <c r="Z882" i="59"/>
  <c r="AA882" i="59"/>
  <c r="AB882" i="59"/>
  <c r="AC882" i="59"/>
  <c r="AD882" i="59"/>
  <c r="AE882" i="59"/>
  <c r="AF882" i="59"/>
  <c r="AG882" i="59"/>
  <c r="AH882" i="59"/>
  <c r="H866" i="59"/>
  <c r="G866" i="59"/>
  <c r="I866" i="59"/>
  <c r="J866" i="59"/>
  <c r="K866" i="59"/>
  <c r="L866" i="59"/>
  <c r="M866" i="59"/>
  <c r="N866" i="59"/>
  <c r="O866" i="59"/>
  <c r="P866" i="59"/>
  <c r="Q866" i="59"/>
  <c r="R866" i="59"/>
  <c r="S866" i="59"/>
  <c r="T866" i="59"/>
  <c r="U866" i="59"/>
  <c r="H883" i="59"/>
  <c r="G883" i="59"/>
  <c r="I883" i="59"/>
  <c r="J883" i="59"/>
  <c r="K883" i="59"/>
  <c r="L883" i="59"/>
  <c r="M883" i="59"/>
  <c r="N883" i="59"/>
  <c r="O883" i="59"/>
  <c r="P883" i="59"/>
  <c r="Q883" i="59"/>
  <c r="R883" i="59"/>
  <c r="S883" i="59"/>
  <c r="T883" i="59"/>
  <c r="U883" i="59"/>
  <c r="V883" i="59"/>
  <c r="W883" i="59"/>
  <c r="X883" i="59"/>
  <c r="Y883" i="59"/>
  <c r="Z883" i="59"/>
  <c r="AA883" i="59"/>
  <c r="AB883" i="59"/>
  <c r="AC883" i="59"/>
  <c r="AD883" i="59"/>
  <c r="AE883" i="59"/>
  <c r="AF883" i="59"/>
  <c r="AG883" i="59"/>
  <c r="AH883" i="59"/>
  <c r="H875" i="59"/>
  <c r="G875" i="59"/>
  <c r="I875" i="59"/>
  <c r="J875" i="59"/>
  <c r="K875" i="59"/>
  <c r="L875" i="59"/>
  <c r="M875" i="59"/>
  <c r="N875" i="59"/>
  <c r="O875" i="59"/>
  <c r="P875" i="59"/>
  <c r="Q875" i="59"/>
  <c r="R875" i="59"/>
  <c r="S875" i="59"/>
  <c r="T875" i="59"/>
  <c r="U875" i="59"/>
  <c r="V875" i="59"/>
  <c r="W875" i="59"/>
  <c r="X875" i="59"/>
  <c r="Y875" i="59"/>
  <c r="Z875" i="59"/>
  <c r="AA875" i="59"/>
  <c r="AB875" i="59"/>
  <c r="AC875" i="59"/>
  <c r="AD875" i="59"/>
  <c r="H867" i="59"/>
  <c r="G867" i="59"/>
  <c r="I867" i="59"/>
  <c r="J867" i="59"/>
  <c r="K867" i="59"/>
  <c r="L867" i="59"/>
  <c r="M867" i="59"/>
  <c r="N867" i="59"/>
  <c r="O867" i="59"/>
  <c r="P867" i="59"/>
  <c r="Q867" i="59"/>
  <c r="R867" i="59"/>
  <c r="S867" i="59"/>
  <c r="T867" i="59"/>
  <c r="U867" i="59"/>
  <c r="V867" i="59"/>
  <c r="H859" i="59"/>
  <c r="G859" i="59"/>
  <c r="I859" i="59"/>
  <c r="J859" i="59"/>
  <c r="K859" i="59"/>
  <c r="L859" i="59"/>
  <c r="M859" i="59"/>
  <c r="N859" i="59"/>
  <c r="G851" i="59"/>
  <c r="H851" i="59" s="1"/>
  <c r="AH80" i="46"/>
  <c r="AH62" i="46"/>
  <c r="AI63" i="46" s="1"/>
  <c r="AK60" i="68"/>
  <c r="AK17" i="68"/>
  <c r="AK42" i="68"/>
  <c r="AL24" i="68"/>
  <c r="AL16" i="68"/>
  <c r="G718" i="59"/>
  <c r="H718" i="59"/>
  <c r="I718" i="59"/>
  <c r="J718" i="59"/>
  <c r="K718" i="59"/>
  <c r="L718" i="59"/>
  <c r="M718" i="59"/>
  <c r="N718" i="59"/>
  <c r="O718" i="59"/>
  <c r="P718" i="59"/>
  <c r="Q718" i="59"/>
  <c r="R718" i="59"/>
  <c r="S718" i="59"/>
  <c r="T718" i="59"/>
  <c r="U718" i="59"/>
  <c r="V718" i="59"/>
  <c r="W718" i="59"/>
  <c r="X718" i="59"/>
  <c r="Y718" i="59"/>
  <c r="Z718" i="59"/>
  <c r="AA718" i="59"/>
  <c r="AB718" i="59"/>
  <c r="AC718" i="59"/>
  <c r="AD718" i="59"/>
  <c r="AE718" i="59"/>
  <c r="AF718" i="59"/>
  <c r="AG718" i="59"/>
  <c r="AH718" i="59"/>
  <c r="G702" i="59"/>
  <c r="H702" i="59"/>
  <c r="I702" i="59"/>
  <c r="J702" i="59"/>
  <c r="K702" i="59"/>
  <c r="L702" i="59"/>
  <c r="M702" i="59"/>
  <c r="N702" i="59"/>
  <c r="O702" i="59"/>
  <c r="P702" i="59"/>
  <c r="Q702" i="59"/>
  <c r="R702" i="59"/>
  <c r="S702" i="59"/>
  <c r="T702" i="59"/>
  <c r="U702" i="59"/>
  <c r="V702" i="59"/>
  <c r="W702" i="59"/>
  <c r="G686" i="59"/>
  <c r="H686" i="59" s="1"/>
  <c r="I686" i="59" s="1"/>
  <c r="H704" i="59"/>
  <c r="G704" i="59"/>
  <c r="I704" i="59"/>
  <c r="J704" i="59"/>
  <c r="K704" i="59"/>
  <c r="L704" i="59"/>
  <c r="M704" i="59"/>
  <c r="N704" i="59"/>
  <c r="O704" i="59"/>
  <c r="P704" i="59"/>
  <c r="Q704" i="59"/>
  <c r="R704" i="59"/>
  <c r="S704" i="59"/>
  <c r="T704" i="59"/>
  <c r="U704" i="59"/>
  <c r="V704" i="59"/>
  <c r="W704" i="59"/>
  <c r="X704" i="59"/>
  <c r="Y704" i="59"/>
  <c r="H688" i="59"/>
  <c r="G688" i="59"/>
  <c r="I688" i="59"/>
  <c r="G711" i="59"/>
  <c r="H711" i="59"/>
  <c r="I711" i="59"/>
  <c r="J711" i="59"/>
  <c r="K711" i="59"/>
  <c r="L711" i="59"/>
  <c r="M711" i="59"/>
  <c r="N711" i="59"/>
  <c r="O711" i="59"/>
  <c r="P711" i="59"/>
  <c r="Q711" i="59"/>
  <c r="R711" i="59"/>
  <c r="S711" i="59"/>
  <c r="T711" i="59"/>
  <c r="U711" i="59"/>
  <c r="V711" i="59"/>
  <c r="W711" i="59"/>
  <c r="X711" i="59"/>
  <c r="Y711" i="59"/>
  <c r="Z711" i="59"/>
  <c r="AA711" i="59"/>
  <c r="AB711" i="59"/>
  <c r="AC711" i="59"/>
  <c r="AD711" i="59"/>
  <c r="AE711" i="59"/>
  <c r="AF711" i="59"/>
  <c r="G703" i="59"/>
  <c r="H703" i="59"/>
  <c r="I703" i="59"/>
  <c r="J703" i="59"/>
  <c r="K703" i="59"/>
  <c r="L703" i="59"/>
  <c r="M703" i="59"/>
  <c r="N703" i="59"/>
  <c r="O703" i="59"/>
  <c r="P703" i="59"/>
  <c r="Q703" i="59"/>
  <c r="R703" i="59"/>
  <c r="S703" i="59"/>
  <c r="T703" i="59"/>
  <c r="U703" i="59"/>
  <c r="V703" i="59"/>
  <c r="W703" i="59"/>
  <c r="X703" i="59"/>
  <c r="G695" i="59"/>
  <c r="H695" i="59"/>
  <c r="I695" i="59"/>
  <c r="J695" i="59"/>
  <c r="K695" i="59"/>
  <c r="L695" i="59"/>
  <c r="M695" i="59"/>
  <c r="N695" i="59"/>
  <c r="O695" i="59"/>
  <c r="P695" i="59"/>
  <c r="G687" i="59"/>
  <c r="H687" i="59"/>
  <c r="AJ20" i="68"/>
  <c r="AJ21" i="68" s="1"/>
  <c r="AJ43" i="68"/>
  <c r="AJ46" i="68" s="1"/>
  <c r="AG361" i="59"/>
  <c r="AG83" i="46"/>
  <c r="AG90" i="46" s="1"/>
  <c r="AK152" i="63"/>
  <c r="AK150" i="63"/>
  <c r="AL170" i="63"/>
  <c r="AL167" i="63"/>
  <c r="AL166" i="63"/>
  <c r="AK21" i="63"/>
  <c r="AK25" i="63"/>
  <c r="AK20" i="63"/>
  <c r="AK24" i="63"/>
  <c r="AK19" i="63"/>
  <c r="AK23" i="63"/>
  <c r="AK27" i="63"/>
  <c r="AK22" i="63"/>
  <c r="AK26" i="63"/>
  <c r="AK71" i="46"/>
  <c r="AK79" i="46"/>
  <c r="AK285" i="63"/>
  <c r="AK53" i="46"/>
  <c r="AK173" i="59"/>
  <c r="AK175" i="59" s="1"/>
  <c r="AK290" i="59"/>
  <c r="AK294" i="59" s="1"/>
  <c r="AK328" i="59" s="1"/>
  <c r="C518" i="59"/>
  <c r="C522" i="59"/>
  <c r="C526" i="59"/>
  <c r="C530" i="59"/>
  <c r="C534" i="59"/>
  <c r="C538" i="59"/>
  <c r="C542" i="59"/>
  <c r="C546" i="59"/>
  <c r="C517" i="59"/>
  <c r="C521" i="59"/>
  <c r="C525" i="59"/>
  <c r="C529" i="59"/>
  <c r="C533" i="59"/>
  <c r="C537" i="59"/>
  <c r="C541" i="59"/>
  <c r="C545" i="59"/>
  <c r="C515" i="59"/>
  <c r="C516" i="59"/>
  <c r="C520" i="59"/>
  <c r="C524" i="59"/>
  <c r="C528" i="59"/>
  <c r="C532" i="59"/>
  <c r="C536" i="59"/>
  <c r="C540" i="59"/>
  <c r="C544" i="59"/>
  <c r="C548" i="59"/>
  <c r="C519" i="59"/>
  <c r="C535" i="59"/>
  <c r="C531" i="59"/>
  <c r="C547" i="59"/>
  <c r="C527" i="59"/>
  <c r="C543" i="59"/>
  <c r="C523" i="59"/>
  <c r="C539" i="59"/>
  <c r="G814" i="59"/>
  <c r="H814" i="59"/>
  <c r="I814" i="59"/>
  <c r="J814" i="59"/>
  <c r="K814" i="59"/>
  <c r="L814" i="59"/>
  <c r="M814" i="59"/>
  <c r="N814" i="59"/>
  <c r="O814" i="59"/>
  <c r="P814" i="59"/>
  <c r="Q814" i="59"/>
  <c r="R814" i="59"/>
  <c r="S814" i="59"/>
  <c r="T814" i="59"/>
  <c r="U814" i="59"/>
  <c r="V814" i="59"/>
  <c r="W814" i="59"/>
  <c r="X814" i="59"/>
  <c r="G798" i="59"/>
  <c r="H798" i="59"/>
  <c r="H816" i="59"/>
  <c r="G816" i="59"/>
  <c r="I816" i="59"/>
  <c r="J816" i="59"/>
  <c r="K816" i="59"/>
  <c r="L816" i="59"/>
  <c r="M816" i="59"/>
  <c r="N816" i="59"/>
  <c r="O816" i="59"/>
  <c r="P816" i="59"/>
  <c r="Q816" i="59"/>
  <c r="R816" i="59"/>
  <c r="S816" i="59"/>
  <c r="T816" i="59"/>
  <c r="U816" i="59"/>
  <c r="V816" i="59"/>
  <c r="W816" i="59"/>
  <c r="X816" i="59"/>
  <c r="Y816" i="59"/>
  <c r="Z816" i="59"/>
  <c r="H800" i="59"/>
  <c r="G800" i="59"/>
  <c r="I800" i="59"/>
  <c r="J800" i="59"/>
  <c r="G825" i="59"/>
  <c r="H825" i="59"/>
  <c r="I825" i="59"/>
  <c r="J825" i="59"/>
  <c r="K825" i="59"/>
  <c r="L825" i="59"/>
  <c r="M825" i="59"/>
  <c r="N825" i="59"/>
  <c r="O825" i="59"/>
  <c r="P825" i="59"/>
  <c r="Q825" i="59"/>
  <c r="R825" i="59"/>
  <c r="S825" i="59"/>
  <c r="T825" i="59"/>
  <c r="U825" i="59"/>
  <c r="V825" i="59"/>
  <c r="W825" i="59"/>
  <c r="X825" i="59"/>
  <c r="Y825" i="59"/>
  <c r="Z825" i="59"/>
  <c r="AA825" i="59"/>
  <c r="AB825" i="59"/>
  <c r="AC825" i="59"/>
  <c r="AD825" i="59"/>
  <c r="AE825" i="59"/>
  <c r="AF825" i="59"/>
  <c r="AG825" i="59"/>
  <c r="AH825" i="59"/>
  <c r="G817" i="59"/>
  <c r="H817" i="59"/>
  <c r="I817" i="59"/>
  <c r="J817" i="59"/>
  <c r="K817" i="59"/>
  <c r="L817" i="59"/>
  <c r="M817" i="59"/>
  <c r="N817" i="59"/>
  <c r="O817" i="59"/>
  <c r="P817" i="59"/>
  <c r="Q817" i="59"/>
  <c r="R817" i="59"/>
  <c r="S817" i="59"/>
  <c r="T817" i="59"/>
  <c r="U817" i="59"/>
  <c r="V817" i="59"/>
  <c r="W817" i="59"/>
  <c r="X817" i="59"/>
  <c r="Y817" i="59"/>
  <c r="Z817" i="59"/>
  <c r="AA817" i="59"/>
  <c r="G809" i="59"/>
  <c r="H809" i="59"/>
  <c r="I809" i="59"/>
  <c r="J809" i="59"/>
  <c r="K809" i="59"/>
  <c r="L809" i="59"/>
  <c r="M809" i="59"/>
  <c r="N809" i="59"/>
  <c r="O809" i="59"/>
  <c r="P809" i="59"/>
  <c r="Q809" i="59"/>
  <c r="R809" i="59"/>
  <c r="S809" i="59"/>
  <c r="G801" i="59"/>
  <c r="H801" i="59"/>
  <c r="I801" i="59"/>
  <c r="J801" i="59"/>
  <c r="K801" i="59"/>
  <c r="AM107" i="59"/>
  <c r="AM108" i="59" s="1"/>
  <c r="AM95" i="59"/>
  <c r="AM96" i="59" s="1"/>
  <c r="AM299" i="59"/>
  <c r="AK22" i="59"/>
  <c r="AK26" i="59"/>
  <c r="AK1076" i="59" s="1"/>
  <c r="AK21" i="59"/>
  <c r="AK25" i="59"/>
  <c r="AK20" i="59"/>
  <c r="AK24" i="59"/>
  <c r="AK28" i="59"/>
  <c r="AK23" i="59"/>
  <c r="AK27" i="59"/>
  <c r="H876" i="59"/>
  <c r="G876" i="59"/>
  <c r="I876" i="59"/>
  <c r="J876" i="59"/>
  <c r="K876" i="59"/>
  <c r="L876" i="59"/>
  <c r="M876" i="59"/>
  <c r="N876" i="59"/>
  <c r="O876" i="59"/>
  <c r="P876" i="59"/>
  <c r="Q876" i="59"/>
  <c r="R876" i="59"/>
  <c r="S876" i="59"/>
  <c r="T876" i="59"/>
  <c r="U876" i="59"/>
  <c r="V876" i="59"/>
  <c r="W876" i="59"/>
  <c r="X876" i="59"/>
  <c r="Y876" i="59"/>
  <c r="Z876" i="59"/>
  <c r="AA876" i="59"/>
  <c r="AB876" i="59"/>
  <c r="AC876" i="59"/>
  <c r="AD876" i="59"/>
  <c r="AE876" i="59"/>
  <c r="H860" i="59"/>
  <c r="G860" i="59"/>
  <c r="I860" i="59"/>
  <c r="J860" i="59"/>
  <c r="K860" i="59"/>
  <c r="L860" i="59"/>
  <c r="M860" i="59"/>
  <c r="N860" i="59"/>
  <c r="O860" i="59"/>
  <c r="H878" i="59"/>
  <c r="G878" i="59"/>
  <c r="I878" i="59"/>
  <c r="J878" i="59"/>
  <c r="K878" i="59"/>
  <c r="L878" i="59"/>
  <c r="M878" i="59"/>
  <c r="N878" i="59"/>
  <c r="O878" i="59"/>
  <c r="P878" i="59"/>
  <c r="Q878" i="59"/>
  <c r="R878" i="59"/>
  <c r="S878" i="59"/>
  <c r="T878" i="59"/>
  <c r="U878" i="59"/>
  <c r="V878" i="59"/>
  <c r="W878" i="59"/>
  <c r="X878" i="59"/>
  <c r="Y878" i="59"/>
  <c r="Z878" i="59"/>
  <c r="AA878" i="59"/>
  <c r="AB878" i="59"/>
  <c r="AC878" i="59"/>
  <c r="AD878" i="59"/>
  <c r="AE878" i="59"/>
  <c r="AF878" i="59"/>
  <c r="AG878" i="59"/>
  <c r="H862" i="59"/>
  <c r="G862" i="59"/>
  <c r="I862" i="59"/>
  <c r="J862" i="59"/>
  <c r="K862" i="59"/>
  <c r="L862" i="59"/>
  <c r="M862" i="59"/>
  <c r="N862" i="59"/>
  <c r="O862" i="59"/>
  <c r="P862" i="59"/>
  <c r="Q862" i="59"/>
  <c r="H881" i="59"/>
  <c r="G881" i="59"/>
  <c r="I881" i="59"/>
  <c r="J881" i="59"/>
  <c r="K881" i="59"/>
  <c r="L881" i="59"/>
  <c r="M881" i="59"/>
  <c r="N881" i="59"/>
  <c r="O881" i="59"/>
  <c r="P881" i="59"/>
  <c r="Q881" i="59"/>
  <c r="R881" i="59"/>
  <c r="S881" i="59"/>
  <c r="T881" i="59"/>
  <c r="U881" i="59"/>
  <c r="V881" i="59"/>
  <c r="W881" i="59"/>
  <c r="X881" i="59"/>
  <c r="Y881" i="59"/>
  <c r="Z881" i="59"/>
  <c r="AA881" i="59"/>
  <c r="AB881" i="59"/>
  <c r="AC881" i="59"/>
  <c r="AD881" i="59"/>
  <c r="AE881" i="59"/>
  <c r="AF881" i="59"/>
  <c r="AG881" i="59"/>
  <c r="AH881" i="59"/>
  <c r="H873" i="59"/>
  <c r="G873" i="59"/>
  <c r="I873" i="59"/>
  <c r="J873" i="59"/>
  <c r="K873" i="59"/>
  <c r="L873" i="59"/>
  <c r="M873" i="59"/>
  <c r="N873" i="59"/>
  <c r="O873" i="59"/>
  <c r="P873" i="59"/>
  <c r="Q873" i="59"/>
  <c r="R873" i="59"/>
  <c r="S873" i="59"/>
  <c r="T873" i="59"/>
  <c r="U873" i="59"/>
  <c r="V873" i="59"/>
  <c r="W873" i="59"/>
  <c r="X873" i="59"/>
  <c r="Y873" i="59"/>
  <c r="Z873" i="59"/>
  <c r="AA873" i="59"/>
  <c r="AB873" i="59"/>
  <c r="H865" i="59"/>
  <c r="G865" i="59"/>
  <c r="I865" i="59"/>
  <c r="J865" i="59"/>
  <c r="K865" i="59"/>
  <c r="L865" i="59"/>
  <c r="M865" i="59"/>
  <c r="N865" i="59"/>
  <c r="O865" i="59"/>
  <c r="P865" i="59"/>
  <c r="Q865" i="59"/>
  <c r="R865" i="59"/>
  <c r="S865" i="59"/>
  <c r="T865" i="59"/>
  <c r="H857" i="59"/>
  <c r="G857" i="59"/>
  <c r="I857" i="59"/>
  <c r="J857" i="59"/>
  <c r="K857" i="59"/>
  <c r="L857" i="59"/>
  <c r="AL14" i="59"/>
  <c r="AL6" i="59"/>
  <c r="G714" i="59"/>
  <c r="H714" i="59"/>
  <c r="I714" i="59"/>
  <c r="J714" i="59"/>
  <c r="K714" i="59"/>
  <c r="L714" i="59"/>
  <c r="M714" i="59"/>
  <c r="N714" i="59"/>
  <c r="O714" i="59"/>
  <c r="P714" i="59"/>
  <c r="Q714" i="59"/>
  <c r="R714" i="59"/>
  <c r="S714" i="59"/>
  <c r="T714" i="59"/>
  <c r="U714" i="59"/>
  <c r="V714" i="59"/>
  <c r="W714" i="59"/>
  <c r="X714" i="59"/>
  <c r="Y714" i="59"/>
  <c r="Z714" i="59"/>
  <c r="AA714" i="59"/>
  <c r="AB714" i="59"/>
  <c r="AC714" i="59"/>
  <c r="AD714" i="59"/>
  <c r="AE714" i="59"/>
  <c r="AF714" i="59"/>
  <c r="AG714" i="59"/>
  <c r="AH714" i="59"/>
  <c r="G698" i="59"/>
  <c r="H698" i="59"/>
  <c r="I698" i="59"/>
  <c r="J698" i="59"/>
  <c r="K698" i="59"/>
  <c r="L698" i="59"/>
  <c r="M698" i="59"/>
  <c r="N698" i="59"/>
  <c r="O698" i="59"/>
  <c r="P698" i="59"/>
  <c r="Q698" i="59"/>
  <c r="R698" i="59"/>
  <c r="S698" i="59"/>
  <c r="H716" i="59"/>
  <c r="G716" i="59"/>
  <c r="I716" i="59"/>
  <c r="J716" i="59"/>
  <c r="K716" i="59"/>
  <c r="L716" i="59"/>
  <c r="M716" i="59"/>
  <c r="N716" i="59"/>
  <c r="O716" i="59"/>
  <c r="P716" i="59"/>
  <c r="Q716" i="59"/>
  <c r="R716" i="59"/>
  <c r="S716" i="59"/>
  <c r="T716" i="59"/>
  <c r="U716" i="59"/>
  <c r="V716" i="59"/>
  <c r="W716" i="59"/>
  <c r="X716" i="59"/>
  <c r="Y716" i="59"/>
  <c r="Z716" i="59"/>
  <c r="AA716" i="59"/>
  <c r="AB716" i="59"/>
  <c r="AC716" i="59"/>
  <c r="AD716" i="59"/>
  <c r="AE716" i="59"/>
  <c r="AF716" i="59"/>
  <c r="AG716" i="59"/>
  <c r="AH716" i="59"/>
  <c r="H700" i="59"/>
  <c r="G700" i="59"/>
  <c r="I700" i="59"/>
  <c r="J700" i="59"/>
  <c r="K700" i="59"/>
  <c r="L700" i="59"/>
  <c r="M700" i="59"/>
  <c r="N700" i="59"/>
  <c r="O700" i="59"/>
  <c r="P700" i="59"/>
  <c r="Q700" i="59"/>
  <c r="R700" i="59"/>
  <c r="S700" i="59"/>
  <c r="T700" i="59"/>
  <c r="U700" i="59"/>
  <c r="G717" i="59"/>
  <c r="H717" i="59"/>
  <c r="I717" i="59"/>
  <c r="J717" i="59"/>
  <c r="K717" i="59"/>
  <c r="L717" i="59"/>
  <c r="M717" i="59"/>
  <c r="N717" i="59"/>
  <c r="O717" i="59"/>
  <c r="P717" i="59"/>
  <c r="Q717" i="59"/>
  <c r="R717" i="59"/>
  <c r="S717" i="59"/>
  <c r="T717" i="59"/>
  <c r="U717" i="59"/>
  <c r="V717" i="59"/>
  <c r="W717" i="59"/>
  <c r="X717" i="59"/>
  <c r="Y717" i="59"/>
  <c r="Z717" i="59"/>
  <c r="AA717" i="59"/>
  <c r="AB717" i="59"/>
  <c r="AC717" i="59"/>
  <c r="AD717" i="59"/>
  <c r="AE717" i="59"/>
  <c r="AF717" i="59"/>
  <c r="AG717" i="59"/>
  <c r="AH717" i="59"/>
  <c r="G709" i="59"/>
  <c r="H709" i="59"/>
  <c r="I709" i="59"/>
  <c r="J709" i="59"/>
  <c r="K709" i="59"/>
  <c r="L709" i="59"/>
  <c r="M709" i="59"/>
  <c r="N709" i="59"/>
  <c r="O709" i="59"/>
  <c r="P709" i="59"/>
  <c r="Q709" i="59"/>
  <c r="R709" i="59"/>
  <c r="S709" i="59"/>
  <c r="T709" i="59"/>
  <c r="U709" i="59"/>
  <c r="V709" i="59"/>
  <c r="W709" i="59"/>
  <c r="X709" i="59"/>
  <c r="Y709" i="59"/>
  <c r="Z709" i="59"/>
  <c r="AA709" i="59"/>
  <c r="AB709" i="59"/>
  <c r="AC709" i="59"/>
  <c r="AD709" i="59"/>
  <c r="G701" i="59"/>
  <c r="H701" i="59"/>
  <c r="I701" i="59"/>
  <c r="J701" i="59"/>
  <c r="K701" i="59"/>
  <c r="L701" i="59"/>
  <c r="M701" i="59"/>
  <c r="N701" i="59"/>
  <c r="O701" i="59"/>
  <c r="P701" i="59"/>
  <c r="Q701" i="59"/>
  <c r="R701" i="59"/>
  <c r="S701" i="59"/>
  <c r="T701" i="59"/>
  <c r="U701" i="59"/>
  <c r="V701" i="59"/>
  <c r="G693" i="59"/>
  <c r="H693" i="59"/>
  <c r="I693" i="59"/>
  <c r="J693" i="59"/>
  <c r="K693" i="59"/>
  <c r="L693" i="59"/>
  <c r="M693" i="59"/>
  <c r="N693" i="59"/>
  <c r="G685" i="59"/>
  <c r="H685" i="59" s="1"/>
  <c r="AN24" i="46"/>
  <c r="AN26" i="46" s="1"/>
  <c r="AN28" i="46"/>
  <c r="AN5" i="46"/>
  <c r="AN36" i="46"/>
  <c r="AN49" i="46" s="1"/>
  <c r="AL132" i="63"/>
  <c r="AL131" i="63"/>
  <c r="AL135" i="63"/>
  <c r="AH58" i="63"/>
  <c r="AH55" i="63"/>
  <c r="G826" i="59"/>
  <c r="H826" i="59"/>
  <c r="I826" i="59"/>
  <c r="J826" i="59"/>
  <c r="K826" i="59"/>
  <c r="L826" i="59"/>
  <c r="M826" i="59"/>
  <c r="N826" i="59"/>
  <c r="O826" i="59"/>
  <c r="P826" i="59"/>
  <c r="Q826" i="59"/>
  <c r="R826" i="59"/>
  <c r="S826" i="59"/>
  <c r="T826" i="59"/>
  <c r="U826" i="59"/>
  <c r="V826" i="59"/>
  <c r="W826" i="59"/>
  <c r="X826" i="59"/>
  <c r="Y826" i="59"/>
  <c r="Z826" i="59"/>
  <c r="AA826" i="59"/>
  <c r="AB826" i="59"/>
  <c r="AC826" i="59"/>
  <c r="AD826" i="59"/>
  <c r="AE826" i="59"/>
  <c r="AF826" i="59"/>
  <c r="AG826" i="59"/>
  <c r="AH826" i="59"/>
  <c r="G810" i="59"/>
  <c r="H810" i="59"/>
  <c r="I810" i="59"/>
  <c r="J810" i="59"/>
  <c r="K810" i="59"/>
  <c r="L810" i="59"/>
  <c r="M810" i="59"/>
  <c r="N810" i="59"/>
  <c r="O810" i="59"/>
  <c r="P810" i="59"/>
  <c r="Q810" i="59"/>
  <c r="R810" i="59"/>
  <c r="S810" i="59"/>
  <c r="T810" i="59"/>
  <c r="H828" i="59"/>
  <c r="G828" i="59"/>
  <c r="I828" i="59"/>
  <c r="J828" i="59"/>
  <c r="K828" i="59"/>
  <c r="L828" i="59"/>
  <c r="M828" i="59"/>
  <c r="N828" i="59"/>
  <c r="O828" i="59"/>
  <c r="P828" i="59"/>
  <c r="Q828" i="59"/>
  <c r="R828" i="59"/>
  <c r="S828" i="59"/>
  <c r="T828" i="59"/>
  <c r="U828" i="59"/>
  <c r="V828" i="59"/>
  <c r="W828" i="59"/>
  <c r="X828" i="59"/>
  <c r="Y828" i="59"/>
  <c r="Z828" i="59"/>
  <c r="AA828" i="59"/>
  <c r="AB828" i="59"/>
  <c r="AC828" i="59"/>
  <c r="AD828" i="59"/>
  <c r="AE828" i="59"/>
  <c r="AF828" i="59"/>
  <c r="AG828" i="59"/>
  <c r="AH828" i="59"/>
  <c r="H812" i="59"/>
  <c r="G812" i="59"/>
  <c r="I812" i="59"/>
  <c r="J812" i="59"/>
  <c r="K812" i="59"/>
  <c r="L812" i="59"/>
  <c r="M812" i="59"/>
  <c r="N812" i="59"/>
  <c r="O812" i="59"/>
  <c r="P812" i="59"/>
  <c r="Q812" i="59"/>
  <c r="R812" i="59"/>
  <c r="S812" i="59"/>
  <c r="T812" i="59"/>
  <c r="U812" i="59"/>
  <c r="V812" i="59"/>
  <c r="G796" i="59"/>
  <c r="H823" i="59"/>
  <c r="G823" i="59"/>
  <c r="I823" i="59"/>
  <c r="J823" i="59"/>
  <c r="K823" i="59"/>
  <c r="L823" i="59"/>
  <c r="M823" i="59"/>
  <c r="N823" i="59"/>
  <c r="O823" i="59"/>
  <c r="P823" i="59"/>
  <c r="Q823" i="59"/>
  <c r="R823" i="59"/>
  <c r="S823" i="59"/>
  <c r="T823" i="59"/>
  <c r="U823" i="59"/>
  <c r="V823" i="59"/>
  <c r="W823" i="59"/>
  <c r="X823" i="59"/>
  <c r="Y823" i="59"/>
  <c r="Z823" i="59"/>
  <c r="AA823" i="59"/>
  <c r="AB823" i="59"/>
  <c r="AC823" i="59"/>
  <c r="AD823" i="59"/>
  <c r="AE823" i="59"/>
  <c r="AF823" i="59"/>
  <c r="AG823" i="59"/>
  <c r="H815" i="59"/>
  <c r="G815" i="59"/>
  <c r="I815" i="59"/>
  <c r="J815" i="59"/>
  <c r="K815" i="59"/>
  <c r="L815" i="59"/>
  <c r="M815" i="59"/>
  <c r="N815" i="59"/>
  <c r="O815" i="59"/>
  <c r="P815" i="59"/>
  <c r="Q815" i="59"/>
  <c r="R815" i="59"/>
  <c r="S815" i="59"/>
  <c r="T815" i="59"/>
  <c r="U815" i="59"/>
  <c r="V815" i="59"/>
  <c r="W815" i="59"/>
  <c r="X815" i="59"/>
  <c r="Y815" i="59"/>
  <c r="H807" i="59"/>
  <c r="G807" i="59"/>
  <c r="I807" i="59"/>
  <c r="J807" i="59"/>
  <c r="K807" i="59"/>
  <c r="L807" i="59"/>
  <c r="M807" i="59"/>
  <c r="N807" i="59"/>
  <c r="O807" i="59"/>
  <c r="P807" i="59"/>
  <c r="Q807" i="59"/>
  <c r="H799" i="59"/>
  <c r="G799" i="59"/>
  <c r="I799" i="59"/>
  <c r="C574" i="59"/>
  <c r="C578" i="59"/>
  <c r="C582" i="59"/>
  <c r="C586" i="59"/>
  <c r="C590" i="59"/>
  <c r="C594" i="59"/>
  <c r="C598" i="59"/>
  <c r="C602" i="59"/>
  <c r="C573" i="59"/>
  <c r="C577" i="59"/>
  <c r="C581" i="59"/>
  <c r="C585" i="59"/>
  <c r="C589" i="59"/>
  <c r="C593" i="59"/>
  <c r="C597" i="59"/>
  <c r="C601" i="59"/>
  <c r="C571" i="59"/>
  <c r="C572" i="59"/>
  <c r="C576" i="59"/>
  <c r="C580" i="59"/>
  <c r="C584" i="59"/>
  <c r="C588" i="59"/>
  <c r="C592" i="59"/>
  <c r="C596" i="59"/>
  <c r="C600" i="59"/>
  <c r="C604" i="59"/>
  <c r="C587" i="59"/>
  <c r="C603" i="59"/>
  <c r="C583" i="59"/>
  <c r="C599" i="59"/>
  <c r="C579" i="59"/>
  <c r="C595" i="59"/>
  <c r="C575" i="59"/>
  <c r="C591" i="59"/>
  <c r="H872" i="59"/>
  <c r="G872" i="59"/>
  <c r="I872" i="59"/>
  <c r="J872" i="59"/>
  <c r="K872" i="59"/>
  <c r="L872" i="59"/>
  <c r="M872" i="59"/>
  <c r="N872" i="59"/>
  <c r="O872" i="59"/>
  <c r="P872" i="59"/>
  <c r="Q872" i="59"/>
  <c r="R872" i="59"/>
  <c r="S872" i="59"/>
  <c r="T872" i="59"/>
  <c r="U872" i="59"/>
  <c r="V872" i="59"/>
  <c r="W872" i="59"/>
  <c r="X872" i="59"/>
  <c r="Y872" i="59"/>
  <c r="Z872" i="59"/>
  <c r="AA872" i="59"/>
  <c r="H856" i="59"/>
  <c r="G856" i="59"/>
  <c r="I856" i="59"/>
  <c r="J856" i="59"/>
  <c r="K856" i="59"/>
  <c r="H874" i="59"/>
  <c r="G874" i="59"/>
  <c r="I874" i="59"/>
  <c r="J874" i="59"/>
  <c r="K874" i="59"/>
  <c r="L874" i="59"/>
  <c r="M874" i="59"/>
  <c r="N874" i="59"/>
  <c r="O874" i="59"/>
  <c r="P874" i="59"/>
  <c r="Q874" i="59"/>
  <c r="R874" i="59"/>
  <c r="S874" i="59"/>
  <c r="T874" i="59"/>
  <c r="U874" i="59"/>
  <c r="V874" i="59"/>
  <c r="W874" i="59"/>
  <c r="X874" i="59"/>
  <c r="Y874" i="59"/>
  <c r="Z874" i="59"/>
  <c r="AA874" i="59"/>
  <c r="AB874" i="59"/>
  <c r="AC874" i="59"/>
  <c r="H858" i="59"/>
  <c r="G858" i="59"/>
  <c r="I858" i="59"/>
  <c r="J858" i="59"/>
  <c r="K858" i="59"/>
  <c r="L858" i="59"/>
  <c r="M858" i="59"/>
  <c r="H879" i="59"/>
  <c r="G879" i="59"/>
  <c r="I879" i="59"/>
  <c r="J879" i="59"/>
  <c r="K879" i="59"/>
  <c r="L879" i="59"/>
  <c r="M879" i="59"/>
  <c r="N879" i="59"/>
  <c r="O879" i="59"/>
  <c r="P879" i="59"/>
  <c r="Q879" i="59"/>
  <c r="R879" i="59"/>
  <c r="S879" i="59"/>
  <c r="T879" i="59"/>
  <c r="U879" i="59"/>
  <c r="V879" i="59"/>
  <c r="W879" i="59"/>
  <c r="X879" i="59"/>
  <c r="Y879" i="59"/>
  <c r="Z879" i="59"/>
  <c r="AA879" i="59"/>
  <c r="AB879" i="59"/>
  <c r="AC879" i="59"/>
  <c r="AD879" i="59"/>
  <c r="AE879" i="59"/>
  <c r="AF879" i="59"/>
  <c r="AG879" i="59"/>
  <c r="AH879" i="59"/>
  <c r="H871" i="59"/>
  <c r="G871" i="59"/>
  <c r="I871" i="59"/>
  <c r="J871" i="59"/>
  <c r="K871" i="59"/>
  <c r="L871" i="59"/>
  <c r="M871" i="59"/>
  <c r="N871" i="59"/>
  <c r="O871" i="59"/>
  <c r="P871" i="59"/>
  <c r="Q871" i="59"/>
  <c r="R871" i="59"/>
  <c r="S871" i="59"/>
  <c r="T871" i="59"/>
  <c r="U871" i="59"/>
  <c r="V871" i="59"/>
  <c r="W871" i="59"/>
  <c r="X871" i="59"/>
  <c r="Y871" i="59"/>
  <c r="Z871" i="59"/>
  <c r="H863" i="59"/>
  <c r="G863" i="59"/>
  <c r="I863" i="59"/>
  <c r="J863" i="59"/>
  <c r="K863" i="59"/>
  <c r="L863" i="59"/>
  <c r="M863" i="59"/>
  <c r="N863" i="59"/>
  <c r="O863" i="59"/>
  <c r="P863" i="59"/>
  <c r="Q863" i="59"/>
  <c r="R863" i="59"/>
  <c r="H855" i="59"/>
  <c r="G855" i="59"/>
  <c r="I855" i="59"/>
  <c r="J855" i="59"/>
  <c r="AL6" i="63"/>
  <c r="AL13" i="63"/>
  <c r="AN118" i="63"/>
  <c r="F115" i="63"/>
  <c r="G710" i="59"/>
  <c r="H710" i="59"/>
  <c r="I710" i="59"/>
  <c r="J710" i="59"/>
  <c r="K710" i="59"/>
  <c r="L710" i="59"/>
  <c r="M710" i="59"/>
  <c r="N710" i="59"/>
  <c r="O710" i="59"/>
  <c r="P710" i="59"/>
  <c r="Q710" i="59"/>
  <c r="R710" i="59"/>
  <c r="S710" i="59"/>
  <c r="T710" i="59"/>
  <c r="U710" i="59"/>
  <c r="V710" i="59"/>
  <c r="W710" i="59"/>
  <c r="X710" i="59"/>
  <c r="Y710" i="59"/>
  <c r="Z710" i="59"/>
  <c r="AA710" i="59"/>
  <c r="AB710" i="59"/>
  <c r="AC710" i="59"/>
  <c r="AD710" i="59"/>
  <c r="AE710" i="59"/>
  <c r="G694" i="59"/>
  <c r="H694" i="59"/>
  <c r="I694" i="59"/>
  <c r="J694" i="59"/>
  <c r="K694" i="59"/>
  <c r="L694" i="59"/>
  <c r="M694" i="59"/>
  <c r="N694" i="59"/>
  <c r="O694" i="59"/>
  <c r="H712" i="59"/>
  <c r="G712" i="59"/>
  <c r="I712" i="59"/>
  <c r="J712" i="59"/>
  <c r="K712" i="59"/>
  <c r="L712" i="59"/>
  <c r="M712" i="59"/>
  <c r="N712" i="59"/>
  <c r="O712" i="59"/>
  <c r="P712" i="59"/>
  <c r="Q712" i="59"/>
  <c r="R712" i="59"/>
  <c r="S712" i="59"/>
  <c r="T712" i="59"/>
  <c r="U712" i="59"/>
  <c r="V712" i="59"/>
  <c r="W712" i="59"/>
  <c r="X712" i="59"/>
  <c r="Y712" i="59"/>
  <c r="Z712" i="59"/>
  <c r="AA712" i="59"/>
  <c r="AB712" i="59"/>
  <c r="AC712" i="59"/>
  <c r="AD712" i="59"/>
  <c r="AE712" i="59"/>
  <c r="AF712" i="59"/>
  <c r="AG712" i="59"/>
  <c r="H696" i="59"/>
  <c r="G696" i="59"/>
  <c r="I696" i="59"/>
  <c r="J696" i="59"/>
  <c r="K696" i="59"/>
  <c r="L696" i="59"/>
  <c r="M696" i="59"/>
  <c r="N696" i="59"/>
  <c r="O696" i="59"/>
  <c r="P696" i="59"/>
  <c r="Q696" i="59"/>
  <c r="G715" i="59"/>
  <c r="H715" i="59"/>
  <c r="I715" i="59"/>
  <c r="J715" i="59"/>
  <c r="K715" i="59"/>
  <c r="L715" i="59"/>
  <c r="M715" i="59"/>
  <c r="N715" i="59"/>
  <c r="O715" i="59"/>
  <c r="P715" i="59"/>
  <c r="Q715" i="59"/>
  <c r="R715" i="59"/>
  <c r="S715" i="59"/>
  <c r="T715" i="59"/>
  <c r="U715" i="59"/>
  <c r="V715" i="59"/>
  <c r="W715" i="59"/>
  <c r="X715" i="59"/>
  <c r="Y715" i="59"/>
  <c r="Z715" i="59"/>
  <c r="AA715" i="59"/>
  <c r="AB715" i="59"/>
  <c r="AC715" i="59"/>
  <c r="AD715" i="59"/>
  <c r="AE715" i="59"/>
  <c r="AF715" i="59"/>
  <c r="AG715" i="59"/>
  <c r="AH715" i="59"/>
  <c r="G707" i="59"/>
  <c r="H707" i="59"/>
  <c r="I707" i="59"/>
  <c r="J707" i="59"/>
  <c r="K707" i="59"/>
  <c r="L707" i="59"/>
  <c r="M707" i="59"/>
  <c r="N707" i="59"/>
  <c r="O707" i="59"/>
  <c r="P707" i="59"/>
  <c r="Q707" i="59"/>
  <c r="R707" i="59"/>
  <c r="S707" i="59"/>
  <c r="T707" i="59"/>
  <c r="U707" i="59"/>
  <c r="V707" i="59"/>
  <c r="W707" i="59"/>
  <c r="X707" i="59"/>
  <c r="Y707" i="59"/>
  <c r="Z707" i="59"/>
  <c r="AA707" i="59"/>
  <c r="AB707" i="59"/>
  <c r="G699" i="59"/>
  <c r="H699" i="59"/>
  <c r="I699" i="59"/>
  <c r="J699" i="59"/>
  <c r="K699" i="59"/>
  <c r="L699" i="59"/>
  <c r="M699" i="59"/>
  <c r="N699" i="59"/>
  <c r="O699" i="59"/>
  <c r="P699" i="59"/>
  <c r="Q699" i="59"/>
  <c r="R699" i="59"/>
  <c r="S699" i="59"/>
  <c r="T699" i="59"/>
  <c r="G691" i="59"/>
  <c r="H691" i="59"/>
  <c r="I691" i="59"/>
  <c r="J691" i="59"/>
  <c r="K691" i="59"/>
  <c r="L691" i="59"/>
  <c r="C464" i="59"/>
  <c r="C468" i="59"/>
  <c r="C472" i="59"/>
  <c r="C476" i="59"/>
  <c r="C480" i="59"/>
  <c r="C484" i="59"/>
  <c r="C488" i="59"/>
  <c r="C492" i="59"/>
  <c r="C463" i="59"/>
  <c r="C467" i="59"/>
  <c r="C471" i="59"/>
  <c r="C475" i="59"/>
  <c r="C479" i="59"/>
  <c r="C483" i="59"/>
  <c r="C487" i="59"/>
  <c r="C491" i="59"/>
  <c r="C462" i="59"/>
  <c r="C466" i="59"/>
  <c r="C470" i="59"/>
  <c r="C474" i="59"/>
  <c r="C478" i="59"/>
  <c r="C482" i="59"/>
  <c r="C486" i="59"/>
  <c r="C490" i="59"/>
  <c r="C465" i="59"/>
  <c r="C481" i="59"/>
  <c r="C460" i="59"/>
  <c r="C461" i="59"/>
  <c r="C477" i="59"/>
  <c r="C493" i="59"/>
  <c r="C473" i="59"/>
  <c r="C489" i="59"/>
  <c r="C469" i="59"/>
  <c r="C485" i="59"/>
  <c r="AN4" i="73"/>
  <c r="AN4" i="63"/>
  <c r="AN4" i="68"/>
  <c r="AN4" i="59"/>
  <c r="AK273" i="63"/>
  <c r="AK277" i="63" s="1"/>
  <c r="AK177" i="63"/>
  <c r="AI80" i="46"/>
  <c r="AI62" i="46"/>
  <c r="AJ63" i="46" s="1"/>
  <c r="AH87" i="73"/>
  <c r="AL215" i="63"/>
  <c r="AL211" i="63" s="1"/>
  <c r="AL198" i="63"/>
  <c r="AL146" i="63"/>
  <c r="AL181" i="63"/>
  <c r="AL249" i="63"/>
  <c r="AL361" i="63"/>
  <c r="AL364" i="63" s="1"/>
  <c r="AL375" i="63" s="1"/>
  <c r="AH1071" i="59"/>
  <c r="AH1106" i="59"/>
  <c r="AH1109" i="59" s="1"/>
  <c r="G822" i="59"/>
  <c r="H822" i="59"/>
  <c r="I822" i="59"/>
  <c r="J822" i="59"/>
  <c r="K822" i="59"/>
  <c r="L822" i="59"/>
  <c r="M822" i="59"/>
  <c r="N822" i="59"/>
  <c r="O822" i="59"/>
  <c r="P822" i="59"/>
  <c r="Q822" i="59"/>
  <c r="R822" i="59"/>
  <c r="S822" i="59"/>
  <c r="T822" i="59"/>
  <c r="U822" i="59"/>
  <c r="V822" i="59"/>
  <c r="W822" i="59"/>
  <c r="X822" i="59"/>
  <c r="Y822" i="59"/>
  <c r="Z822" i="59"/>
  <c r="AA822" i="59"/>
  <c r="AB822" i="59"/>
  <c r="AC822" i="59"/>
  <c r="AD822" i="59"/>
  <c r="AE822" i="59"/>
  <c r="AF822" i="59"/>
  <c r="G806" i="59"/>
  <c r="H806" i="59"/>
  <c r="I806" i="59"/>
  <c r="J806" i="59"/>
  <c r="K806" i="59"/>
  <c r="L806" i="59"/>
  <c r="M806" i="59"/>
  <c r="N806" i="59"/>
  <c r="O806" i="59"/>
  <c r="P806" i="59"/>
  <c r="H824" i="59"/>
  <c r="G824" i="59"/>
  <c r="I824" i="59"/>
  <c r="J824" i="59"/>
  <c r="K824" i="59"/>
  <c r="L824" i="59"/>
  <c r="M824" i="59"/>
  <c r="N824" i="59"/>
  <c r="O824" i="59"/>
  <c r="P824" i="59"/>
  <c r="Q824" i="59"/>
  <c r="R824" i="59"/>
  <c r="S824" i="59"/>
  <c r="T824" i="59"/>
  <c r="U824" i="59"/>
  <c r="V824" i="59"/>
  <c r="W824" i="59"/>
  <c r="X824" i="59"/>
  <c r="Y824" i="59"/>
  <c r="Z824" i="59"/>
  <c r="AA824" i="59"/>
  <c r="AB824" i="59"/>
  <c r="AC824" i="59"/>
  <c r="AD824" i="59"/>
  <c r="AE824" i="59"/>
  <c r="AF824" i="59"/>
  <c r="AG824" i="59"/>
  <c r="AH824" i="59"/>
  <c r="H808" i="59"/>
  <c r="G808" i="59"/>
  <c r="I808" i="59"/>
  <c r="J808" i="59"/>
  <c r="K808" i="59"/>
  <c r="L808" i="59"/>
  <c r="M808" i="59"/>
  <c r="N808" i="59"/>
  <c r="O808" i="59"/>
  <c r="P808" i="59"/>
  <c r="Q808" i="59"/>
  <c r="R808" i="59"/>
  <c r="G829" i="59"/>
  <c r="H829" i="59"/>
  <c r="I829" i="59"/>
  <c r="J829" i="59"/>
  <c r="K829" i="59"/>
  <c r="L829" i="59"/>
  <c r="M829" i="59"/>
  <c r="N829" i="59"/>
  <c r="O829" i="59"/>
  <c r="P829" i="59"/>
  <c r="Q829" i="59"/>
  <c r="R829" i="59"/>
  <c r="S829" i="59"/>
  <c r="T829" i="59"/>
  <c r="U829" i="59"/>
  <c r="V829" i="59"/>
  <c r="W829" i="59"/>
  <c r="X829" i="59"/>
  <c r="Y829" i="59"/>
  <c r="Z829" i="59"/>
  <c r="AA829" i="59"/>
  <c r="AB829" i="59"/>
  <c r="AC829" i="59"/>
  <c r="AD829" i="59"/>
  <c r="AE829" i="59"/>
  <c r="AF829" i="59"/>
  <c r="AG829" i="59"/>
  <c r="AH829" i="59"/>
  <c r="G821" i="59"/>
  <c r="H821" i="59"/>
  <c r="I821" i="59"/>
  <c r="J821" i="59"/>
  <c r="K821" i="59"/>
  <c r="L821" i="59"/>
  <c r="M821" i="59"/>
  <c r="N821" i="59"/>
  <c r="O821" i="59"/>
  <c r="P821" i="59"/>
  <c r="Q821" i="59"/>
  <c r="R821" i="59"/>
  <c r="S821" i="59"/>
  <c r="T821" i="59"/>
  <c r="U821" i="59"/>
  <c r="V821" i="59"/>
  <c r="W821" i="59"/>
  <c r="X821" i="59"/>
  <c r="Y821" i="59"/>
  <c r="Z821" i="59"/>
  <c r="AA821" i="59"/>
  <c r="AB821" i="59"/>
  <c r="AC821" i="59"/>
  <c r="AD821" i="59"/>
  <c r="AE821" i="59"/>
  <c r="G813" i="59"/>
  <c r="H813" i="59"/>
  <c r="I813" i="59"/>
  <c r="J813" i="59"/>
  <c r="K813" i="59"/>
  <c r="L813" i="59"/>
  <c r="M813" i="59"/>
  <c r="N813" i="59"/>
  <c r="O813" i="59"/>
  <c r="P813" i="59"/>
  <c r="Q813" i="59"/>
  <c r="R813" i="59"/>
  <c r="S813" i="59"/>
  <c r="T813" i="59"/>
  <c r="U813" i="59"/>
  <c r="V813" i="59"/>
  <c r="W813" i="59"/>
  <c r="G805" i="59"/>
  <c r="H805" i="59"/>
  <c r="I805" i="59"/>
  <c r="J805" i="59"/>
  <c r="K805" i="59"/>
  <c r="L805" i="59"/>
  <c r="M805" i="59"/>
  <c r="N805" i="59"/>
  <c r="O805" i="59"/>
  <c r="G797" i="59"/>
  <c r="AM102" i="63"/>
  <c r="AM103" i="63" s="1"/>
  <c r="AM165" i="63"/>
  <c r="AM164" i="63" s="1"/>
  <c r="AM199" i="63"/>
  <c r="AM214" i="63"/>
  <c r="AM248" i="63"/>
  <c r="AM58" i="46"/>
  <c r="AM89" i="63"/>
  <c r="AM90" i="63" s="1"/>
  <c r="AM130" i="63"/>
  <c r="AM129" i="63" s="1"/>
  <c r="AM180" i="63"/>
  <c r="AM145" i="63"/>
  <c r="AM233" i="63"/>
  <c r="AM232" i="63" s="1"/>
  <c r="AK182" i="59" l="1"/>
  <c r="AK187" i="59" s="1"/>
  <c r="AJ145" i="59"/>
  <c r="F145" i="59" s="1"/>
  <c r="AJ59" i="59"/>
  <c r="I742" i="59"/>
  <c r="J742" i="59" s="1"/>
  <c r="K742" i="59" s="1"/>
  <c r="L742" i="59" s="1"/>
  <c r="AH926" i="59"/>
  <c r="AH927" i="59" s="1"/>
  <c r="AH58" i="60" s="1"/>
  <c r="AH124" i="60" s="1"/>
  <c r="S752" i="59"/>
  <c r="T752" i="59" s="1"/>
  <c r="U754" i="59"/>
  <c r="V754" i="59" s="1"/>
  <c r="W754" i="59" s="1"/>
  <c r="L745" i="59"/>
  <c r="M745" i="59" s="1"/>
  <c r="N745" i="59" s="1"/>
  <c r="O745" i="59" s="1"/>
  <c r="P745" i="59" s="1"/>
  <c r="J743" i="59"/>
  <c r="K743" i="59" s="1"/>
  <c r="L743" i="59" s="1"/>
  <c r="Q750" i="59"/>
  <c r="R750" i="59" s="1"/>
  <c r="S750" i="59" s="1"/>
  <c r="AH767" i="59"/>
  <c r="AI767" i="59" s="1"/>
  <c r="AJ767" i="59" s="1"/>
  <c r="P749" i="59"/>
  <c r="Q749" i="59" s="1"/>
  <c r="R749" i="59" s="1"/>
  <c r="AF765" i="59"/>
  <c r="AG765" i="59" s="1"/>
  <c r="AH765" i="59" s="1"/>
  <c r="AI765" i="59" s="1"/>
  <c r="AJ765" i="59" s="1"/>
  <c r="M746" i="59"/>
  <c r="N746" i="59" s="1"/>
  <c r="O746" i="59" s="1"/>
  <c r="AG766" i="59"/>
  <c r="AH766" i="59" s="1"/>
  <c r="AI766" i="59" s="1"/>
  <c r="AC762" i="59"/>
  <c r="AD762" i="59" s="1"/>
  <c r="AE762" i="59" s="1"/>
  <c r="AE764" i="59"/>
  <c r="N747" i="59"/>
  <c r="O747" i="59" s="1"/>
  <c r="R751" i="59"/>
  <c r="S751" i="59" s="1"/>
  <c r="Y758" i="59"/>
  <c r="Z758" i="59" s="1"/>
  <c r="AA758" i="59" s="1"/>
  <c r="AD763" i="59"/>
  <c r="AE763" i="59" s="1"/>
  <c r="O748" i="59"/>
  <c r="P748" i="59" s="1"/>
  <c r="H547" i="59"/>
  <c r="G547" i="59"/>
  <c r="I547" i="59"/>
  <c r="J547" i="59"/>
  <c r="K547" i="59"/>
  <c r="L547" i="59"/>
  <c r="M547" i="59"/>
  <c r="N547" i="59"/>
  <c r="O547" i="59"/>
  <c r="P547" i="59"/>
  <c r="Q547" i="59"/>
  <c r="R547" i="59"/>
  <c r="S547" i="59"/>
  <c r="T547" i="59"/>
  <c r="U547" i="59"/>
  <c r="V547" i="59"/>
  <c r="W547" i="59"/>
  <c r="X547" i="59"/>
  <c r="Y547" i="59"/>
  <c r="Z547" i="59"/>
  <c r="AA547" i="59"/>
  <c r="AB547" i="59"/>
  <c r="AC547" i="59"/>
  <c r="AD547" i="59"/>
  <c r="AE547" i="59"/>
  <c r="AF547" i="59"/>
  <c r="AG547" i="59"/>
  <c r="AH547" i="59"/>
  <c r="AI547" i="59"/>
  <c r="AJ547" i="59"/>
  <c r="H532" i="59"/>
  <c r="G532" i="59"/>
  <c r="I532" i="59"/>
  <c r="J532" i="59"/>
  <c r="K532" i="59"/>
  <c r="L532" i="59"/>
  <c r="M532" i="59"/>
  <c r="N532" i="59"/>
  <c r="O532" i="59"/>
  <c r="P532" i="59"/>
  <c r="Q532" i="59"/>
  <c r="R532" i="59"/>
  <c r="S532" i="59"/>
  <c r="T532" i="59"/>
  <c r="U532" i="59"/>
  <c r="V532" i="59"/>
  <c r="W532" i="59"/>
  <c r="G537" i="59"/>
  <c r="H537" i="59"/>
  <c r="I537" i="59"/>
  <c r="J537" i="59"/>
  <c r="K537" i="59"/>
  <c r="L537" i="59"/>
  <c r="M537" i="59"/>
  <c r="N537" i="59"/>
  <c r="O537" i="59"/>
  <c r="P537" i="59"/>
  <c r="Q537" i="59"/>
  <c r="R537" i="59"/>
  <c r="S537" i="59"/>
  <c r="T537" i="59"/>
  <c r="U537" i="59"/>
  <c r="V537" i="59"/>
  <c r="W537" i="59"/>
  <c r="X537" i="59"/>
  <c r="Y537" i="59"/>
  <c r="Z537" i="59"/>
  <c r="AA537" i="59"/>
  <c r="AB537" i="59"/>
  <c r="G538" i="59"/>
  <c r="H538" i="59"/>
  <c r="I538" i="59"/>
  <c r="J538" i="59"/>
  <c r="K538" i="59"/>
  <c r="L538" i="59"/>
  <c r="M538" i="59"/>
  <c r="N538" i="59"/>
  <c r="O538" i="59"/>
  <c r="P538" i="59"/>
  <c r="Q538" i="59"/>
  <c r="R538" i="59"/>
  <c r="S538" i="59"/>
  <c r="T538" i="59"/>
  <c r="U538" i="59"/>
  <c r="V538" i="59"/>
  <c r="W538" i="59"/>
  <c r="X538" i="59"/>
  <c r="Y538" i="59"/>
  <c r="Z538" i="59"/>
  <c r="AA538" i="59"/>
  <c r="AB538" i="59"/>
  <c r="AC538" i="59"/>
  <c r="K744" i="59"/>
  <c r="L744" i="59" s="1"/>
  <c r="Z759" i="59"/>
  <c r="H531" i="59"/>
  <c r="G531" i="59"/>
  <c r="I531" i="59"/>
  <c r="J531" i="59"/>
  <c r="K531" i="59"/>
  <c r="L531" i="59"/>
  <c r="M531" i="59"/>
  <c r="N531" i="59"/>
  <c r="O531" i="59"/>
  <c r="P531" i="59"/>
  <c r="Q531" i="59"/>
  <c r="R531" i="59"/>
  <c r="S531" i="59"/>
  <c r="T531" i="59"/>
  <c r="U531" i="59"/>
  <c r="V531" i="59"/>
  <c r="H528" i="59"/>
  <c r="G528" i="59"/>
  <c r="I528" i="59"/>
  <c r="J528" i="59"/>
  <c r="K528" i="59"/>
  <c r="L528" i="59"/>
  <c r="M528" i="59"/>
  <c r="N528" i="59"/>
  <c r="O528" i="59"/>
  <c r="P528" i="59"/>
  <c r="Q528" i="59"/>
  <c r="R528" i="59"/>
  <c r="S528" i="59"/>
  <c r="H533" i="59"/>
  <c r="G533" i="59"/>
  <c r="I533" i="59"/>
  <c r="J533" i="59"/>
  <c r="K533" i="59"/>
  <c r="L533" i="59"/>
  <c r="M533" i="59"/>
  <c r="N533" i="59"/>
  <c r="O533" i="59"/>
  <c r="P533" i="59"/>
  <c r="Q533" i="59"/>
  <c r="R533" i="59"/>
  <c r="S533" i="59"/>
  <c r="T533" i="59"/>
  <c r="U533" i="59"/>
  <c r="V533" i="59"/>
  <c r="W533" i="59"/>
  <c r="X533" i="59"/>
  <c r="H534" i="59"/>
  <c r="G534" i="59"/>
  <c r="I534" i="59"/>
  <c r="J534" i="59"/>
  <c r="K534" i="59"/>
  <c r="L534" i="59"/>
  <c r="M534" i="59"/>
  <c r="N534" i="59"/>
  <c r="O534" i="59"/>
  <c r="P534" i="59"/>
  <c r="Q534" i="59"/>
  <c r="R534" i="59"/>
  <c r="S534" i="59"/>
  <c r="T534" i="59"/>
  <c r="U534" i="59"/>
  <c r="V534" i="59"/>
  <c r="W534" i="59"/>
  <c r="X534" i="59"/>
  <c r="Y534" i="59"/>
  <c r="W756" i="59"/>
  <c r="T753" i="59"/>
  <c r="V755" i="59"/>
  <c r="AJ773" i="59"/>
  <c r="AJ770" i="59"/>
  <c r="AJ772" i="59"/>
  <c r="H535" i="59"/>
  <c r="G535" i="59"/>
  <c r="I535" i="59"/>
  <c r="J535" i="59"/>
  <c r="K535" i="59"/>
  <c r="L535" i="59"/>
  <c r="M535" i="59"/>
  <c r="N535" i="59"/>
  <c r="O535" i="59"/>
  <c r="P535" i="59"/>
  <c r="Q535" i="59"/>
  <c r="R535" i="59"/>
  <c r="S535" i="59"/>
  <c r="T535" i="59"/>
  <c r="U535" i="59"/>
  <c r="V535" i="59"/>
  <c r="W535" i="59"/>
  <c r="X535" i="59"/>
  <c r="Y535" i="59"/>
  <c r="Z535" i="59"/>
  <c r="G524" i="59"/>
  <c r="H524" i="59"/>
  <c r="I524" i="59"/>
  <c r="J524" i="59"/>
  <c r="K524" i="59"/>
  <c r="L524" i="59"/>
  <c r="M524" i="59"/>
  <c r="N524" i="59"/>
  <c r="O524" i="59"/>
  <c r="H529" i="59"/>
  <c r="G529" i="59"/>
  <c r="I529" i="59"/>
  <c r="J529" i="59"/>
  <c r="K529" i="59"/>
  <c r="L529" i="59"/>
  <c r="M529" i="59"/>
  <c r="N529" i="59"/>
  <c r="O529" i="59"/>
  <c r="P529" i="59"/>
  <c r="Q529" i="59"/>
  <c r="R529" i="59"/>
  <c r="S529" i="59"/>
  <c r="T529" i="59"/>
  <c r="H530" i="59"/>
  <c r="G530" i="59"/>
  <c r="I530" i="59"/>
  <c r="J530" i="59"/>
  <c r="K530" i="59"/>
  <c r="L530" i="59"/>
  <c r="M530" i="59"/>
  <c r="N530" i="59"/>
  <c r="O530" i="59"/>
  <c r="P530" i="59"/>
  <c r="Q530" i="59"/>
  <c r="R530" i="59"/>
  <c r="S530" i="59"/>
  <c r="T530" i="59"/>
  <c r="U530" i="59"/>
  <c r="AI773" i="59"/>
  <c r="AI770" i="59"/>
  <c r="AI768" i="59"/>
  <c r="AJ768" i="59" s="1"/>
  <c r="AI772" i="59"/>
  <c r="H519" i="59"/>
  <c r="G519" i="59"/>
  <c r="I519" i="59"/>
  <c r="J519" i="59"/>
  <c r="H520" i="59"/>
  <c r="G520" i="59"/>
  <c r="I520" i="59"/>
  <c r="J520" i="59"/>
  <c r="K520" i="59"/>
  <c r="H525" i="59"/>
  <c r="G525" i="59"/>
  <c r="I525" i="59"/>
  <c r="J525" i="59"/>
  <c r="K525" i="59"/>
  <c r="L525" i="59"/>
  <c r="M525" i="59"/>
  <c r="N525" i="59"/>
  <c r="O525" i="59"/>
  <c r="P525" i="59"/>
  <c r="H526" i="59"/>
  <c r="G526" i="59"/>
  <c r="I526" i="59"/>
  <c r="J526" i="59"/>
  <c r="K526" i="59"/>
  <c r="L526" i="59"/>
  <c r="M526" i="59"/>
  <c r="N526" i="59"/>
  <c r="O526" i="59"/>
  <c r="P526" i="59"/>
  <c r="Q526" i="59"/>
  <c r="AB761" i="59"/>
  <c r="AC761" i="59" s="1"/>
  <c r="AD761" i="59" s="1"/>
  <c r="AI769" i="59"/>
  <c r="AJ769" i="59" s="1"/>
  <c r="H539" i="59"/>
  <c r="G539" i="59"/>
  <c r="I539" i="59"/>
  <c r="J539" i="59"/>
  <c r="K539" i="59"/>
  <c r="L539" i="59"/>
  <c r="M539" i="59"/>
  <c r="N539" i="59"/>
  <c r="O539" i="59"/>
  <c r="P539" i="59"/>
  <c r="Q539" i="59"/>
  <c r="R539" i="59"/>
  <c r="S539" i="59"/>
  <c r="T539" i="59"/>
  <c r="U539" i="59"/>
  <c r="V539" i="59"/>
  <c r="W539" i="59"/>
  <c r="X539" i="59"/>
  <c r="Y539" i="59"/>
  <c r="Z539" i="59"/>
  <c r="AA539" i="59"/>
  <c r="AB539" i="59"/>
  <c r="AC539" i="59"/>
  <c r="AD539" i="59"/>
  <c r="G548" i="59"/>
  <c r="H548" i="59"/>
  <c r="I548" i="59"/>
  <c r="J548" i="59"/>
  <c r="K548" i="59"/>
  <c r="L548" i="59"/>
  <c r="M548" i="59"/>
  <c r="N548" i="59"/>
  <c r="O548" i="59"/>
  <c r="P548" i="59"/>
  <c r="Q548" i="59"/>
  <c r="R548" i="59"/>
  <c r="S548" i="59"/>
  <c r="T548" i="59"/>
  <c r="U548" i="59"/>
  <c r="V548" i="59"/>
  <c r="W548" i="59"/>
  <c r="X548" i="59"/>
  <c r="Y548" i="59"/>
  <c r="Z548" i="59"/>
  <c r="AA548" i="59"/>
  <c r="AB548" i="59"/>
  <c r="AC548" i="59"/>
  <c r="AD548" i="59"/>
  <c r="AE548" i="59"/>
  <c r="AF548" i="59"/>
  <c r="AG548" i="59"/>
  <c r="AH548" i="59"/>
  <c r="AI548" i="59"/>
  <c r="AJ548" i="59"/>
  <c r="G516" i="59"/>
  <c r="H516" i="59" s="1"/>
  <c r="H521" i="59"/>
  <c r="G521" i="59"/>
  <c r="I521" i="59"/>
  <c r="J521" i="59"/>
  <c r="K521" i="59"/>
  <c r="L521" i="59"/>
  <c r="H522" i="59"/>
  <c r="G522" i="59"/>
  <c r="I522" i="59"/>
  <c r="J522" i="59"/>
  <c r="K522" i="59"/>
  <c r="L522" i="59"/>
  <c r="M522" i="59"/>
  <c r="AA760" i="59"/>
  <c r="I741" i="59"/>
  <c r="J741" i="59" s="1"/>
  <c r="X757" i="59"/>
  <c r="H523" i="59"/>
  <c r="G523" i="59"/>
  <c r="I523" i="59"/>
  <c r="J523" i="59"/>
  <c r="K523" i="59"/>
  <c r="L523" i="59"/>
  <c r="M523" i="59"/>
  <c r="N523" i="59"/>
  <c r="H544" i="59"/>
  <c r="G544" i="59"/>
  <c r="I544" i="59"/>
  <c r="J544" i="59"/>
  <c r="K544" i="59"/>
  <c r="L544" i="59"/>
  <c r="M544" i="59"/>
  <c r="N544" i="59"/>
  <c r="O544" i="59"/>
  <c r="P544" i="59"/>
  <c r="Q544" i="59"/>
  <c r="R544" i="59"/>
  <c r="S544" i="59"/>
  <c r="T544" i="59"/>
  <c r="U544" i="59"/>
  <c r="V544" i="59"/>
  <c r="W544" i="59"/>
  <c r="X544" i="59"/>
  <c r="Y544" i="59"/>
  <c r="Z544" i="59"/>
  <c r="AA544" i="59"/>
  <c r="AB544" i="59"/>
  <c r="AC544" i="59"/>
  <c r="AD544" i="59"/>
  <c r="AE544" i="59"/>
  <c r="AF544" i="59"/>
  <c r="AG544" i="59"/>
  <c r="AH544" i="59"/>
  <c r="AI544" i="59"/>
  <c r="G515" i="59"/>
  <c r="H515" i="59" s="1"/>
  <c r="H517" i="59"/>
  <c r="G517" i="59"/>
  <c r="H518" i="59"/>
  <c r="G518" i="59"/>
  <c r="I518" i="59"/>
  <c r="AI771" i="59"/>
  <c r="H740" i="59"/>
  <c r="H543" i="59"/>
  <c r="G543" i="59"/>
  <c r="I543" i="59"/>
  <c r="J543" i="59"/>
  <c r="K543" i="59"/>
  <c r="L543" i="59"/>
  <c r="M543" i="59"/>
  <c r="N543" i="59"/>
  <c r="O543" i="59"/>
  <c r="P543" i="59"/>
  <c r="Q543" i="59"/>
  <c r="R543" i="59"/>
  <c r="S543" i="59"/>
  <c r="T543" i="59"/>
  <c r="U543" i="59"/>
  <c r="V543" i="59"/>
  <c r="W543" i="59"/>
  <c r="X543" i="59"/>
  <c r="Y543" i="59"/>
  <c r="Z543" i="59"/>
  <c r="AA543" i="59"/>
  <c r="AB543" i="59"/>
  <c r="AC543" i="59"/>
  <c r="AD543" i="59"/>
  <c r="AE543" i="59"/>
  <c r="AF543" i="59"/>
  <c r="AG543" i="59"/>
  <c r="AH543" i="59"/>
  <c r="H540" i="59"/>
  <c r="G540" i="59"/>
  <c r="I540" i="59"/>
  <c r="J540" i="59"/>
  <c r="K540" i="59"/>
  <c r="L540" i="59"/>
  <c r="M540" i="59"/>
  <c r="N540" i="59"/>
  <c r="O540" i="59"/>
  <c r="P540" i="59"/>
  <c r="Q540" i="59"/>
  <c r="R540" i="59"/>
  <c r="S540" i="59"/>
  <c r="T540" i="59"/>
  <c r="U540" i="59"/>
  <c r="V540" i="59"/>
  <c r="W540" i="59"/>
  <c r="X540" i="59"/>
  <c r="Y540" i="59"/>
  <c r="Z540" i="59"/>
  <c r="AA540" i="59"/>
  <c r="AB540" i="59"/>
  <c r="AC540" i="59"/>
  <c r="AD540" i="59"/>
  <c r="AE540" i="59"/>
  <c r="H545" i="59"/>
  <c r="G545" i="59"/>
  <c r="I545" i="59"/>
  <c r="J545" i="59"/>
  <c r="K545" i="59"/>
  <c r="L545" i="59"/>
  <c r="M545" i="59"/>
  <c r="N545" i="59"/>
  <c r="O545" i="59"/>
  <c r="P545" i="59"/>
  <c r="Q545" i="59"/>
  <c r="R545" i="59"/>
  <c r="S545" i="59"/>
  <c r="T545" i="59"/>
  <c r="U545" i="59"/>
  <c r="V545" i="59"/>
  <c r="W545" i="59"/>
  <c r="X545" i="59"/>
  <c r="Y545" i="59"/>
  <c r="Z545" i="59"/>
  <c r="AA545" i="59"/>
  <c r="AB545" i="59"/>
  <c r="AC545" i="59"/>
  <c r="AD545" i="59"/>
  <c r="AE545" i="59"/>
  <c r="AF545" i="59"/>
  <c r="AG545" i="59"/>
  <c r="AH545" i="59"/>
  <c r="AI545" i="59"/>
  <c r="AJ545" i="59"/>
  <c r="H546" i="59"/>
  <c r="G546" i="59"/>
  <c r="I546" i="59"/>
  <c r="J546" i="59"/>
  <c r="K546" i="59"/>
  <c r="L546" i="59"/>
  <c r="M546" i="59"/>
  <c r="N546" i="59"/>
  <c r="O546" i="59"/>
  <c r="P546" i="59"/>
  <c r="Q546" i="59"/>
  <c r="R546" i="59"/>
  <c r="S546" i="59"/>
  <c r="T546" i="59"/>
  <c r="U546" i="59"/>
  <c r="V546" i="59"/>
  <c r="W546" i="59"/>
  <c r="X546" i="59"/>
  <c r="Y546" i="59"/>
  <c r="Z546" i="59"/>
  <c r="AA546" i="59"/>
  <c r="AB546" i="59"/>
  <c r="AC546" i="59"/>
  <c r="AD546" i="59"/>
  <c r="AE546" i="59"/>
  <c r="AF546" i="59"/>
  <c r="AG546" i="59"/>
  <c r="AH546" i="59"/>
  <c r="AI546" i="59"/>
  <c r="AJ546" i="59"/>
  <c r="G527" i="59"/>
  <c r="H527" i="59"/>
  <c r="I527" i="59"/>
  <c r="J527" i="59"/>
  <c r="K527" i="59"/>
  <c r="L527" i="59"/>
  <c r="M527" i="59"/>
  <c r="N527" i="59"/>
  <c r="O527" i="59"/>
  <c r="P527" i="59"/>
  <c r="Q527" i="59"/>
  <c r="R527" i="59"/>
  <c r="H536" i="59"/>
  <c r="G536" i="59"/>
  <c r="I536" i="59"/>
  <c r="J536" i="59"/>
  <c r="K536" i="59"/>
  <c r="L536" i="59"/>
  <c r="M536" i="59"/>
  <c r="N536" i="59"/>
  <c r="O536" i="59"/>
  <c r="P536" i="59"/>
  <c r="Q536" i="59"/>
  <c r="R536" i="59"/>
  <c r="S536" i="59"/>
  <c r="T536" i="59"/>
  <c r="U536" i="59"/>
  <c r="V536" i="59"/>
  <c r="W536" i="59"/>
  <c r="X536" i="59"/>
  <c r="Y536" i="59"/>
  <c r="Z536" i="59"/>
  <c r="AA536" i="59"/>
  <c r="G541" i="59"/>
  <c r="H541" i="59"/>
  <c r="I541" i="59"/>
  <c r="J541" i="59"/>
  <c r="K541" i="59"/>
  <c r="L541" i="59"/>
  <c r="M541" i="59"/>
  <c r="N541" i="59"/>
  <c r="O541" i="59"/>
  <c r="P541" i="59"/>
  <c r="Q541" i="59"/>
  <c r="R541" i="59"/>
  <c r="S541" i="59"/>
  <c r="T541" i="59"/>
  <c r="U541" i="59"/>
  <c r="V541" i="59"/>
  <c r="W541" i="59"/>
  <c r="X541" i="59"/>
  <c r="Y541" i="59"/>
  <c r="Z541" i="59"/>
  <c r="AA541" i="59"/>
  <c r="AB541" i="59"/>
  <c r="AC541" i="59"/>
  <c r="AD541" i="59"/>
  <c r="AE541" i="59"/>
  <c r="AF541" i="59"/>
  <c r="G542" i="59"/>
  <c r="H542" i="59"/>
  <c r="I542" i="59"/>
  <c r="J542" i="59"/>
  <c r="K542" i="59"/>
  <c r="L542" i="59"/>
  <c r="M542" i="59"/>
  <c r="N542" i="59"/>
  <c r="O542" i="59"/>
  <c r="P542" i="59"/>
  <c r="Q542" i="59"/>
  <c r="R542" i="59"/>
  <c r="S542" i="59"/>
  <c r="T542" i="59"/>
  <c r="U542" i="59"/>
  <c r="V542" i="59"/>
  <c r="W542" i="59"/>
  <c r="X542" i="59"/>
  <c r="Y542" i="59"/>
  <c r="Z542" i="59"/>
  <c r="AA542" i="59"/>
  <c r="AB542" i="59"/>
  <c r="AC542" i="59"/>
  <c r="AD542" i="59"/>
  <c r="AE542" i="59"/>
  <c r="AF542" i="59"/>
  <c r="AG542" i="59"/>
  <c r="AJ916" i="59"/>
  <c r="AJ925" i="59" s="1"/>
  <c r="AK922" i="59" s="1"/>
  <c r="AM132" i="59"/>
  <c r="AM167" i="59" s="1"/>
  <c r="AL132" i="59"/>
  <c r="AL167" i="59" s="1"/>
  <c r="AJ268" i="59"/>
  <c r="AJ323" i="59" s="1"/>
  <c r="AJ344" i="59" s="1"/>
  <c r="AJ218" i="59" s="1"/>
  <c r="AJ111" i="59"/>
  <c r="AI115" i="59"/>
  <c r="AI127" i="59" s="1"/>
  <c r="AN73" i="59"/>
  <c r="AN57" i="59"/>
  <c r="AJ97" i="59"/>
  <c r="AJ1071" i="59"/>
  <c r="AJ55" i="63"/>
  <c r="AI829" i="59"/>
  <c r="AI826" i="59"/>
  <c r="AJ269" i="59"/>
  <c r="AJ324" i="59" s="1"/>
  <c r="AJ345" i="59" s="1"/>
  <c r="AJ219" i="59" s="1"/>
  <c r="AI828" i="59"/>
  <c r="AJ270" i="59"/>
  <c r="AJ325" i="59" s="1"/>
  <c r="AI825" i="59"/>
  <c r="AJ825" i="59" s="1"/>
  <c r="AJ882" i="59"/>
  <c r="AJ883" i="59"/>
  <c r="AJ881" i="59"/>
  <c r="AJ1106" i="59"/>
  <c r="AJ1109" i="59" s="1"/>
  <c r="AI716" i="59"/>
  <c r="AI717" i="59"/>
  <c r="AI715" i="59"/>
  <c r="AI881" i="59"/>
  <c r="AK72" i="46"/>
  <c r="AJ717" i="59"/>
  <c r="J688" i="59"/>
  <c r="K688" i="59" s="1"/>
  <c r="AJ718" i="59"/>
  <c r="T864" i="59"/>
  <c r="U864" i="59" s="1"/>
  <c r="V864" i="59" s="1"/>
  <c r="W864" i="59" s="1"/>
  <c r="AJ715" i="59"/>
  <c r="J799" i="59"/>
  <c r="K799" i="59" s="1"/>
  <c r="AM78" i="46"/>
  <c r="AJ826" i="59"/>
  <c r="AM70" i="46"/>
  <c r="AJ829" i="59"/>
  <c r="AJ828" i="59"/>
  <c r="Q695" i="59"/>
  <c r="R695" i="59" s="1"/>
  <c r="AJ266" i="59"/>
  <c r="AJ321" i="59" s="1"/>
  <c r="P860" i="59"/>
  <c r="Q860" i="59" s="1"/>
  <c r="AI824" i="59"/>
  <c r="AJ824" i="59" s="1"/>
  <c r="L690" i="59"/>
  <c r="M690" i="59" s="1"/>
  <c r="N690" i="59" s="1"/>
  <c r="AF821" i="59"/>
  <c r="AG821" i="59" s="1"/>
  <c r="N858" i="59"/>
  <c r="O858" i="59" s="1"/>
  <c r="U810" i="59"/>
  <c r="V810" i="59" s="1"/>
  <c r="K800" i="59"/>
  <c r="L800" i="59" s="1"/>
  <c r="AI883" i="59"/>
  <c r="AI880" i="59"/>
  <c r="AJ880" i="59" s="1"/>
  <c r="Y869" i="59"/>
  <c r="Z869" i="59" s="1"/>
  <c r="AA869" i="59" s="1"/>
  <c r="AB869" i="59" s="1"/>
  <c r="S863" i="59"/>
  <c r="T863" i="59" s="1"/>
  <c r="AD819" i="59"/>
  <c r="AE819" i="59" s="1"/>
  <c r="AF819" i="59" s="1"/>
  <c r="W812" i="59"/>
  <c r="X812" i="59" s="1"/>
  <c r="AG822" i="59"/>
  <c r="AH822" i="59" s="1"/>
  <c r="L856" i="59"/>
  <c r="M856" i="59" s="1"/>
  <c r="U699" i="59"/>
  <c r="V699" i="59" s="1"/>
  <c r="P805" i="59"/>
  <c r="R862" i="59"/>
  <c r="S862" i="59" s="1"/>
  <c r="W867" i="59"/>
  <c r="X867" i="59" s="1"/>
  <c r="Y867" i="59" s="1"/>
  <c r="Z867" i="59" s="1"/>
  <c r="AI882" i="59"/>
  <c r="AC707" i="59"/>
  <c r="AD707" i="59" s="1"/>
  <c r="AE707" i="59" s="1"/>
  <c r="AI879" i="59"/>
  <c r="AJ879" i="59" s="1"/>
  <c r="AD874" i="59"/>
  <c r="AE874" i="59" s="1"/>
  <c r="AH878" i="59"/>
  <c r="AI878" i="59" s="1"/>
  <c r="AJ878" i="59" s="1"/>
  <c r="AI713" i="59"/>
  <c r="AJ713" i="59" s="1"/>
  <c r="Q861" i="59"/>
  <c r="R861" i="59" s="1"/>
  <c r="S861" i="59" s="1"/>
  <c r="J854" i="59"/>
  <c r="K854" i="59" s="1"/>
  <c r="T809" i="59"/>
  <c r="U809" i="59" s="1"/>
  <c r="AB817" i="59"/>
  <c r="AC817" i="59" s="1"/>
  <c r="AD817" i="59" s="1"/>
  <c r="T698" i="59"/>
  <c r="U698" i="59" s="1"/>
  <c r="O859" i="59"/>
  <c r="P859" i="59" s="1"/>
  <c r="Q859" i="59" s="1"/>
  <c r="AC818" i="59"/>
  <c r="AD818" i="59" s="1"/>
  <c r="P694" i="59"/>
  <c r="Q694" i="59" s="1"/>
  <c r="W701" i="59"/>
  <c r="X701" i="59" s="1"/>
  <c r="AF876" i="59"/>
  <c r="AG876" i="59" s="1"/>
  <c r="AH876" i="59" s="1"/>
  <c r="V866" i="59"/>
  <c r="W866" i="59" s="1"/>
  <c r="V811" i="59"/>
  <c r="W811" i="59" s="1"/>
  <c r="Z870" i="59"/>
  <c r="AA870" i="59" s="1"/>
  <c r="AB872" i="59"/>
  <c r="AC872" i="59" s="1"/>
  <c r="AD872" i="59" s="1"/>
  <c r="O693" i="59"/>
  <c r="P693" i="59" s="1"/>
  <c r="Q693" i="59" s="1"/>
  <c r="Y703" i="59"/>
  <c r="Z703" i="59" s="1"/>
  <c r="AA703" i="59" s="1"/>
  <c r="AB703" i="59" s="1"/>
  <c r="AI718" i="59"/>
  <c r="AE820" i="59"/>
  <c r="AF820" i="59" s="1"/>
  <c r="K689" i="59"/>
  <c r="L689" i="59" s="1"/>
  <c r="M689" i="59" s="1"/>
  <c r="AA871" i="59"/>
  <c r="AB871" i="59" s="1"/>
  <c r="X813" i="59"/>
  <c r="Y813" i="59" s="1"/>
  <c r="Z813" i="59" s="1"/>
  <c r="M857" i="59"/>
  <c r="N857" i="59" s="1"/>
  <c r="AG711" i="59"/>
  <c r="R807" i="59"/>
  <c r="S807" i="59" s="1"/>
  <c r="T807" i="59" s="1"/>
  <c r="M802" i="59"/>
  <c r="N802" i="59" s="1"/>
  <c r="O802" i="59" s="1"/>
  <c r="S697" i="59"/>
  <c r="T697" i="59" s="1"/>
  <c r="J852" i="59"/>
  <c r="K852" i="59" s="1"/>
  <c r="L852" i="59" s="1"/>
  <c r="J686" i="59"/>
  <c r="K686" i="59" s="1"/>
  <c r="H719" i="59"/>
  <c r="H673" i="59" s="1"/>
  <c r="AG6" i="68"/>
  <c r="AG6" i="46"/>
  <c r="AG7" i="73"/>
  <c r="AG7" i="63"/>
  <c r="AG8" i="59"/>
  <c r="AG9" i="60"/>
  <c r="AM166" i="63"/>
  <c r="AM170" i="63"/>
  <c r="AM167" i="63"/>
  <c r="AL150" i="63"/>
  <c r="AL152" i="63"/>
  <c r="AK77" i="63"/>
  <c r="AK66" i="60"/>
  <c r="AK354" i="63" s="1"/>
  <c r="H473" i="59"/>
  <c r="G473" i="59"/>
  <c r="I473" i="59"/>
  <c r="J473" i="59"/>
  <c r="K473" i="59"/>
  <c r="L473" i="59"/>
  <c r="M473" i="59"/>
  <c r="N473" i="59"/>
  <c r="O473" i="59"/>
  <c r="P473" i="59"/>
  <c r="Q473" i="59"/>
  <c r="R473" i="59"/>
  <c r="S473" i="59"/>
  <c r="G460" i="59"/>
  <c r="H460" i="59" s="1"/>
  <c r="G486" i="59"/>
  <c r="H486" i="59"/>
  <c r="I486" i="59"/>
  <c r="J486" i="59"/>
  <c r="K486" i="59"/>
  <c r="L486" i="59"/>
  <c r="M486" i="59"/>
  <c r="N486" i="59"/>
  <c r="O486" i="59"/>
  <c r="P486" i="59"/>
  <c r="Q486" i="59"/>
  <c r="R486" i="59"/>
  <c r="S486" i="59"/>
  <c r="T486" i="59"/>
  <c r="U486" i="59"/>
  <c r="V486" i="59"/>
  <c r="W486" i="59"/>
  <c r="X486" i="59"/>
  <c r="Y486" i="59"/>
  <c r="Z486" i="59"/>
  <c r="AA486" i="59"/>
  <c r="AB486" i="59"/>
  <c r="AC486" i="59"/>
  <c r="AD486" i="59"/>
  <c r="AE486" i="59"/>
  <c r="AF486" i="59"/>
  <c r="G470" i="59"/>
  <c r="H470" i="59"/>
  <c r="I470" i="59"/>
  <c r="J470" i="59"/>
  <c r="K470" i="59"/>
  <c r="L470" i="59"/>
  <c r="M470" i="59"/>
  <c r="N470" i="59"/>
  <c r="O470" i="59"/>
  <c r="P470" i="59"/>
  <c r="G487" i="59"/>
  <c r="H487" i="59"/>
  <c r="I487" i="59"/>
  <c r="J487" i="59"/>
  <c r="K487" i="59"/>
  <c r="L487" i="59"/>
  <c r="M487" i="59"/>
  <c r="N487" i="59"/>
  <c r="O487" i="59"/>
  <c r="P487" i="59"/>
  <c r="Q487" i="59"/>
  <c r="R487" i="59"/>
  <c r="S487" i="59"/>
  <c r="T487" i="59"/>
  <c r="U487" i="59"/>
  <c r="V487" i="59"/>
  <c r="W487" i="59"/>
  <c r="X487" i="59"/>
  <c r="Y487" i="59"/>
  <c r="Z487" i="59"/>
  <c r="AA487" i="59"/>
  <c r="AB487" i="59"/>
  <c r="AC487" i="59"/>
  <c r="AD487" i="59"/>
  <c r="AE487" i="59"/>
  <c r="AF487" i="59"/>
  <c r="AG487" i="59"/>
  <c r="G471" i="59"/>
  <c r="H471" i="59"/>
  <c r="I471" i="59"/>
  <c r="J471" i="59"/>
  <c r="K471" i="59"/>
  <c r="L471" i="59"/>
  <c r="M471" i="59"/>
  <c r="N471" i="59"/>
  <c r="O471" i="59"/>
  <c r="P471" i="59"/>
  <c r="Q471" i="59"/>
  <c r="G488" i="59"/>
  <c r="H488" i="59"/>
  <c r="I488" i="59"/>
  <c r="J488" i="59"/>
  <c r="K488" i="59"/>
  <c r="L488" i="59"/>
  <c r="M488" i="59"/>
  <c r="N488" i="59"/>
  <c r="O488" i="59"/>
  <c r="P488" i="59"/>
  <c r="Q488" i="59"/>
  <c r="R488" i="59"/>
  <c r="S488" i="59"/>
  <c r="T488" i="59"/>
  <c r="U488" i="59"/>
  <c r="V488" i="59"/>
  <c r="W488" i="59"/>
  <c r="X488" i="59"/>
  <c r="Y488" i="59"/>
  <c r="Z488" i="59"/>
  <c r="AA488" i="59"/>
  <c r="AB488" i="59"/>
  <c r="AC488" i="59"/>
  <c r="AD488" i="59"/>
  <c r="AE488" i="59"/>
  <c r="AF488" i="59"/>
  <c r="AG488" i="59"/>
  <c r="AH488" i="59"/>
  <c r="G472" i="59"/>
  <c r="H472" i="59"/>
  <c r="I472" i="59"/>
  <c r="J472" i="59"/>
  <c r="K472" i="59"/>
  <c r="L472" i="59"/>
  <c r="M472" i="59"/>
  <c r="N472" i="59"/>
  <c r="O472" i="59"/>
  <c r="P472" i="59"/>
  <c r="Q472" i="59"/>
  <c r="R472" i="59"/>
  <c r="R696" i="59"/>
  <c r="G579" i="59"/>
  <c r="H579" i="59"/>
  <c r="I579" i="59"/>
  <c r="J579" i="59"/>
  <c r="K579" i="59"/>
  <c r="L579" i="59"/>
  <c r="M579" i="59"/>
  <c r="N579" i="59"/>
  <c r="G587" i="59"/>
  <c r="H587" i="59"/>
  <c r="I587" i="59"/>
  <c r="J587" i="59"/>
  <c r="K587" i="59"/>
  <c r="L587" i="59"/>
  <c r="M587" i="59"/>
  <c r="N587" i="59"/>
  <c r="O587" i="59"/>
  <c r="P587" i="59"/>
  <c r="Q587" i="59"/>
  <c r="R587" i="59"/>
  <c r="S587" i="59"/>
  <c r="T587" i="59"/>
  <c r="U587" i="59"/>
  <c r="V587" i="59"/>
  <c r="H592" i="59"/>
  <c r="G592" i="59"/>
  <c r="I592" i="59"/>
  <c r="J592" i="59"/>
  <c r="K592" i="59"/>
  <c r="L592" i="59"/>
  <c r="M592" i="59"/>
  <c r="N592" i="59"/>
  <c r="O592" i="59"/>
  <c r="P592" i="59"/>
  <c r="Q592" i="59"/>
  <c r="R592" i="59"/>
  <c r="S592" i="59"/>
  <c r="T592" i="59"/>
  <c r="U592" i="59"/>
  <c r="V592" i="59"/>
  <c r="W592" i="59"/>
  <c r="X592" i="59"/>
  <c r="Y592" i="59"/>
  <c r="Z592" i="59"/>
  <c r="AA592" i="59"/>
  <c r="H576" i="59"/>
  <c r="G576" i="59"/>
  <c r="I576" i="59"/>
  <c r="J576" i="59"/>
  <c r="K576" i="59"/>
  <c r="G597" i="59"/>
  <c r="H597" i="59"/>
  <c r="I597" i="59"/>
  <c r="J597" i="59"/>
  <c r="K597" i="59"/>
  <c r="L597" i="59"/>
  <c r="M597" i="59"/>
  <c r="N597" i="59"/>
  <c r="O597" i="59"/>
  <c r="P597" i="59"/>
  <c r="Q597" i="59"/>
  <c r="R597" i="59"/>
  <c r="S597" i="59"/>
  <c r="T597" i="59"/>
  <c r="U597" i="59"/>
  <c r="V597" i="59"/>
  <c r="W597" i="59"/>
  <c r="X597" i="59"/>
  <c r="Y597" i="59"/>
  <c r="Z597" i="59"/>
  <c r="AA597" i="59"/>
  <c r="AB597" i="59"/>
  <c r="AC597" i="59"/>
  <c r="AD597" i="59"/>
  <c r="AE597" i="59"/>
  <c r="AF597" i="59"/>
  <c r="G581" i="59"/>
  <c r="H581" i="59"/>
  <c r="I581" i="59"/>
  <c r="J581" i="59"/>
  <c r="K581" i="59"/>
  <c r="L581" i="59"/>
  <c r="M581" i="59"/>
  <c r="N581" i="59"/>
  <c r="O581" i="59"/>
  <c r="P581" i="59"/>
  <c r="G598" i="59"/>
  <c r="H598" i="59"/>
  <c r="I598" i="59"/>
  <c r="J598" i="59"/>
  <c r="K598" i="59"/>
  <c r="L598" i="59"/>
  <c r="M598" i="59"/>
  <c r="N598" i="59"/>
  <c r="O598" i="59"/>
  <c r="P598" i="59"/>
  <c r="Q598" i="59"/>
  <c r="R598" i="59"/>
  <c r="S598" i="59"/>
  <c r="T598" i="59"/>
  <c r="U598" i="59"/>
  <c r="V598" i="59"/>
  <c r="W598" i="59"/>
  <c r="X598" i="59"/>
  <c r="Y598" i="59"/>
  <c r="Z598" i="59"/>
  <c r="AA598" i="59"/>
  <c r="AB598" i="59"/>
  <c r="AC598" i="59"/>
  <c r="AD598" i="59"/>
  <c r="AE598" i="59"/>
  <c r="AF598" i="59"/>
  <c r="AG598" i="59"/>
  <c r="G582" i="59"/>
  <c r="H582" i="59"/>
  <c r="I582" i="59"/>
  <c r="J582" i="59"/>
  <c r="K582" i="59"/>
  <c r="L582" i="59"/>
  <c r="M582" i="59"/>
  <c r="N582" i="59"/>
  <c r="O582" i="59"/>
  <c r="P582" i="59"/>
  <c r="Q582" i="59"/>
  <c r="Z815" i="59"/>
  <c r="AA815" i="59" s="1"/>
  <c r="G830" i="59"/>
  <c r="G784" i="59" s="1"/>
  <c r="AN107" i="59"/>
  <c r="AN108" i="59" s="1"/>
  <c r="AN95" i="59"/>
  <c r="AN96" i="59" s="1"/>
  <c r="AN299" i="59"/>
  <c r="I685" i="59"/>
  <c r="J685" i="59" s="1"/>
  <c r="V700" i="59"/>
  <c r="AL23" i="59"/>
  <c r="AL27" i="59"/>
  <c r="AL22" i="59"/>
  <c r="AL26" i="59"/>
  <c r="AL1076" i="59" s="1"/>
  <c r="AL21" i="59"/>
  <c r="AL25" i="59"/>
  <c r="AL20" i="59"/>
  <c r="AL24" i="59"/>
  <c r="AL28" i="59"/>
  <c r="U865" i="59"/>
  <c r="I798" i="59"/>
  <c r="J798" i="59" s="1"/>
  <c r="AK286" i="63"/>
  <c r="AK289" i="63" s="1"/>
  <c r="AK343" i="63"/>
  <c r="AK300" i="63"/>
  <c r="AK304" i="63" s="1"/>
  <c r="AK310" i="63" s="1"/>
  <c r="AL42" i="68"/>
  <c r="AL60" i="68"/>
  <c r="AL17" i="68"/>
  <c r="AI81" i="46"/>
  <c r="AI66" i="46"/>
  <c r="AI67" i="46" s="1"/>
  <c r="AI82" i="46" s="1"/>
  <c r="I851" i="59"/>
  <c r="J851" i="59" s="1"/>
  <c r="AM14" i="59"/>
  <c r="AM6" i="59"/>
  <c r="N803" i="59"/>
  <c r="O803" i="59" s="1"/>
  <c r="AH346" i="59"/>
  <c r="AH220" i="59" s="1"/>
  <c r="AI270" i="59"/>
  <c r="AI325" i="59" s="1"/>
  <c r="AI269" i="59"/>
  <c r="AI324" i="59" s="1"/>
  <c r="AI268" i="59"/>
  <c r="AI323" i="59" s="1"/>
  <c r="AI266" i="59"/>
  <c r="AI321" i="59" s="1"/>
  <c r="AI1106" i="59"/>
  <c r="AI1109" i="59" s="1"/>
  <c r="AI1071" i="59"/>
  <c r="H645" i="59"/>
  <c r="G645" i="59"/>
  <c r="I645" i="59"/>
  <c r="J645" i="59"/>
  <c r="K645" i="59"/>
  <c r="L645" i="59"/>
  <c r="M645" i="59"/>
  <c r="N645" i="59"/>
  <c r="O645" i="59"/>
  <c r="P645" i="59"/>
  <c r="Q645" i="59"/>
  <c r="R645" i="59"/>
  <c r="S645" i="59"/>
  <c r="T645" i="59"/>
  <c r="U645" i="59"/>
  <c r="V645" i="59"/>
  <c r="W645" i="59"/>
  <c r="X645" i="59"/>
  <c r="Y645" i="59"/>
  <c r="H653" i="59"/>
  <c r="G653" i="59"/>
  <c r="I653" i="59"/>
  <c r="J653" i="59"/>
  <c r="K653" i="59"/>
  <c r="L653" i="59"/>
  <c r="M653" i="59"/>
  <c r="N653" i="59"/>
  <c r="O653" i="59"/>
  <c r="P653" i="59"/>
  <c r="Q653" i="59"/>
  <c r="R653" i="59"/>
  <c r="S653" i="59"/>
  <c r="T653" i="59"/>
  <c r="U653" i="59"/>
  <c r="V653" i="59"/>
  <c r="W653" i="59"/>
  <c r="X653" i="59"/>
  <c r="Y653" i="59"/>
  <c r="Z653" i="59"/>
  <c r="AA653" i="59"/>
  <c r="AB653" i="59"/>
  <c r="AC653" i="59"/>
  <c r="AD653" i="59"/>
  <c r="AE653" i="59"/>
  <c r="AF653" i="59"/>
  <c r="AG653" i="59"/>
  <c r="H650" i="59"/>
  <c r="G650" i="59"/>
  <c r="I650" i="59"/>
  <c r="J650" i="59"/>
  <c r="K650" i="59"/>
  <c r="L650" i="59"/>
  <c r="M650" i="59"/>
  <c r="N650" i="59"/>
  <c r="O650" i="59"/>
  <c r="P650" i="59"/>
  <c r="Q650" i="59"/>
  <c r="R650" i="59"/>
  <c r="S650" i="59"/>
  <c r="T650" i="59"/>
  <c r="U650" i="59"/>
  <c r="V650" i="59"/>
  <c r="W650" i="59"/>
  <c r="X650" i="59"/>
  <c r="Y650" i="59"/>
  <c r="Z650" i="59"/>
  <c r="AA650" i="59"/>
  <c r="AB650" i="59"/>
  <c r="AC650" i="59"/>
  <c r="AD650" i="59"/>
  <c r="H634" i="59"/>
  <c r="G634" i="59"/>
  <c r="I634" i="59"/>
  <c r="J634" i="59"/>
  <c r="K634" i="59"/>
  <c r="L634" i="59"/>
  <c r="M634" i="59"/>
  <c r="N634" i="59"/>
  <c r="H651" i="59"/>
  <c r="G651" i="59"/>
  <c r="I651" i="59"/>
  <c r="J651" i="59"/>
  <c r="K651" i="59"/>
  <c r="L651" i="59"/>
  <c r="M651" i="59"/>
  <c r="N651" i="59"/>
  <c r="O651" i="59"/>
  <c r="P651" i="59"/>
  <c r="Q651" i="59"/>
  <c r="R651" i="59"/>
  <c r="S651" i="59"/>
  <c r="T651" i="59"/>
  <c r="U651" i="59"/>
  <c r="V651" i="59"/>
  <c r="W651" i="59"/>
  <c r="X651" i="59"/>
  <c r="Y651" i="59"/>
  <c r="Z651" i="59"/>
  <c r="AA651" i="59"/>
  <c r="AB651" i="59"/>
  <c r="AC651" i="59"/>
  <c r="AD651" i="59"/>
  <c r="AE651" i="59"/>
  <c r="H635" i="59"/>
  <c r="G635" i="59"/>
  <c r="I635" i="59"/>
  <c r="J635" i="59"/>
  <c r="K635" i="59"/>
  <c r="L635" i="59"/>
  <c r="M635" i="59"/>
  <c r="N635" i="59"/>
  <c r="O635" i="59"/>
  <c r="H656" i="59"/>
  <c r="G656" i="59"/>
  <c r="I656" i="59"/>
  <c r="J656" i="59"/>
  <c r="K656" i="59"/>
  <c r="L656" i="59"/>
  <c r="M656" i="59"/>
  <c r="N656" i="59"/>
  <c r="O656" i="59"/>
  <c r="P656" i="59"/>
  <c r="Q656" i="59"/>
  <c r="R656" i="59"/>
  <c r="S656" i="59"/>
  <c r="T656" i="59"/>
  <c r="U656" i="59"/>
  <c r="V656" i="59"/>
  <c r="W656" i="59"/>
  <c r="X656" i="59"/>
  <c r="Y656" i="59"/>
  <c r="Z656" i="59"/>
  <c r="AA656" i="59"/>
  <c r="AB656" i="59"/>
  <c r="AC656" i="59"/>
  <c r="AD656" i="59"/>
  <c r="AE656" i="59"/>
  <c r="AF656" i="59"/>
  <c r="AG656" i="59"/>
  <c r="AH656" i="59"/>
  <c r="AI656" i="59"/>
  <c r="AJ656" i="59"/>
  <c r="H640" i="59"/>
  <c r="G640" i="59"/>
  <c r="I640" i="59"/>
  <c r="J640" i="59"/>
  <c r="K640" i="59"/>
  <c r="L640" i="59"/>
  <c r="M640" i="59"/>
  <c r="N640" i="59"/>
  <c r="O640" i="59"/>
  <c r="P640" i="59"/>
  <c r="Q640" i="59"/>
  <c r="R640" i="59"/>
  <c r="S640" i="59"/>
  <c r="T640" i="59"/>
  <c r="N692" i="59"/>
  <c r="O692" i="59" s="1"/>
  <c r="AM198" i="63"/>
  <c r="AM215" i="63"/>
  <c r="AM211" i="63" s="1"/>
  <c r="S808" i="59"/>
  <c r="Q806" i="59"/>
  <c r="AL382" i="63"/>
  <c r="AL204" i="63"/>
  <c r="AL201" i="63"/>
  <c r="AL200" i="63"/>
  <c r="AJ66" i="46"/>
  <c r="AJ81" i="46"/>
  <c r="H485" i="59"/>
  <c r="G485" i="59"/>
  <c r="I485" i="59"/>
  <c r="J485" i="59"/>
  <c r="K485" i="59"/>
  <c r="L485" i="59"/>
  <c r="M485" i="59"/>
  <c r="N485" i="59"/>
  <c r="O485" i="59"/>
  <c r="P485" i="59"/>
  <c r="Q485" i="59"/>
  <c r="R485" i="59"/>
  <c r="S485" i="59"/>
  <c r="T485" i="59"/>
  <c r="U485" i="59"/>
  <c r="V485" i="59"/>
  <c r="W485" i="59"/>
  <c r="X485" i="59"/>
  <c r="Y485" i="59"/>
  <c r="Z485" i="59"/>
  <c r="AA485" i="59"/>
  <c r="AB485" i="59"/>
  <c r="AC485" i="59"/>
  <c r="AD485" i="59"/>
  <c r="AE485" i="59"/>
  <c r="H493" i="59"/>
  <c r="G493" i="59"/>
  <c r="I493" i="59"/>
  <c r="J493" i="59"/>
  <c r="K493" i="59"/>
  <c r="L493" i="59"/>
  <c r="M493" i="59"/>
  <c r="N493" i="59"/>
  <c r="O493" i="59"/>
  <c r="P493" i="59"/>
  <c r="Q493" i="59"/>
  <c r="R493" i="59"/>
  <c r="S493" i="59"/>
  <c r="T493" i="59"/>
  <c r="U493" i="59"/>
  <c r="V493" i="59"/>
  <c r="W493" i="59"/>
  <c r="X493" i="59"/>
  <c r="Y493" i="59"/>
  <c r="Z493" i="59"/>
  <c r="AA493" i="59"/>
  <c r="AB493" i="59"/>
  <c r="AC493" i="59"/>
  <c r="AD493" i="59"/>
  <c r="AE493" i="59"/>
  <c r="AF493" i="59"/>
  <c r="AG493" i="59"/>
  <c r="AH493" i="59"/>
  <c r="AI493" i="59"/>
  <c r="AJ493" i="59"/>
  <c r="H481" i="59"/>
  <c r="G481" i="59"/>
  <c r="I481" i="59"/>
  <c r="J481" i="59"/>
  <c r="K481" i="59"/>
  <c r="L481" i="59"/>
  <c r="M481" i="59"/>
  <c r="N481" i="59"/>
  <c r="O481" i="59"/>
  <c r="P481" i="59"/>
  <c r="Q481" i="59"/>
  <c r="R481" i="59"/>
  <c r="S481" i="59"/>
  <c r="T481" i="59"/>
  <c r="U481" i="59"/>
  <c r="V481" i="59"/>
  <c r="W481" i="59"/>
  <c r="X481" i="59"/>
  <c r="Y481" i="59"/>
  <c r="Z481" i="59"/>
  <c r="AA481" i="59"/>
  <c r="G482" i="59"/>
  <c r="H482" i="59"/>
  <c r="I482" i="59"/>
  <c r="J482" i="59"/>
  <c r="K482" i="59"/>
  <c r="L482" i="59"/>
  <c r="M482" i="59"/>
  <c r="N482" i="59"/>
  <c r="O482" i="59"/>
  <c r="P482" i="59"/>
  <c r="Q482" i="59"/>
  <c r="R482" i="59"/>
  <c r="S482" i="59"/>
  <c r="T482" i="59"/>
  <c r="U482" i="59"/>
  <c r="V482" i="59"/>
  <c r="W482" i="59"/>
  <c r="X482" i="59"/>
  <c r="Y482" i="59"/>
  <c r="Z482" i="59"/>
  <c r="AA482" i="59"/>
  <c r="AB482" i="59"/>
  <c r="G466" i="59"/>
  <c r="H466" i="59"/>
  <c r="I466" i="59"/>
  <c r="J466" i="59"/>
  <c r="K466" i="59"/>
  <c r="L466" i="59"/>
  <c r="G483" i="59"/>
  <c r="H483" i="59"/>
  <c r="I483" i="59"/>
  <c r="J483" i="59"/>
  <c r="K483" i="59"/>
  <c r="L483" i="59"/>
  <c r="M483" i="59"/>
  <c r="N483" i="59"/>
  <c r="O483" i="59"/>
  <c r="P483" i="59"/>
  <c r="Q483" i="59"/>
  <c r="R483" i="59"/>
  <c r="S483" i="59"/>
  <c r="T483" i="59"/>
  <c r="U483" i="59"/>
  <c r="V483" i="59"/>
  <c r="W483" i="59"/>
  <c r="X483" i="59"/>
  <c r="Y483" i="59"/>
  <c r="Z483" i="59"/>
  <c r="AA483" i="59"/>
  <c r="AB483" i="59"/>
  <c r="AC483" i="59"/>
  <c r="G467" i="59"/>
  <c r="H467" i="59"/>
  <c r="I467" i="59"/>
  <c r="J467" i="59"/>
  <c r="K467" i="59"/>
  <c r="L467" i="59"/>
  <c r="M467" i="59"/>
  <c r="G484" i="59"/>
  <c r="H484" i="59"/>
  <c r="I484" i="59"/>
  <c r="J484" i="59"/>
  <c r="K484" i="59"/>
  <c r="L484" i="59"/>
  <c r="M484" i="59"/>
  <c r="N484" i="59"/>
  <c r="O484" i="59"/>
  <c r="P484" i="59"/>
  <c r="Q484" i="59"/>
  <c r="R484" i="59"/>
  <c r="S484" i="59"/>
  <c r="T484" i="59"/>
  <c r="U484" i="59"/>
  <c r="V484" i="59"/>
  <c r="W484" i="59"/>
  <c r="X484" i="59"/>
  <c r="Y484" i="59"/>
  <c r="Z484" i="59"/>
  <c r="AA484" i="59"/>
  <c r="AB484" i="59"/>
  <c r="AC484" i="59"/>
  <c r="AD484" i="59"/>
  <c r="G468" i="59"/>
  <c r="H468" i="59"/>
  <c r="I468" i="59"/>
  <c r="J468" i="59"/>
  <c r="K468" i="59"/>
  <c r="L468" i="59"/>
  <c r="M468" i="59"/>
  <c r="N468" i="59"/>
  <c r="M691" i="59"/>
  <c r="AH712" i="59"/>
  <c r="AF710" i="59"/>
  <c r="K855" i="59"/>
  <c r="G591" i="59"/>
  <c r="H591" i="59"/>
  <c r="I591" i="59"/>
  <c r="J591" i="59"/>
  <c r="K591" i="59"/>
  <c r="L591" i="59"/>
  <c r="M591" i="59"/>
  <c r="N591" i="59"/>
  <c r="O591" i="59"/>
  <c r="P591" i="59"/>
  <c r="Q591" i="59"/>
  <c r="R591" i="59"/>
  <c r="S591" i="59"/>
  <c r="T591" i="59"/>
  <c r="U591" i="59"/>
  <c r="V591" i="59"/>
  <c r="W591" i="59"/>
  <c r="X591" i="59"/>
  <c r="Y591" i="59"/>
  <c r="Z591" i="59"/>
  <c r="G599" i="59"/>
  <c r="H599" i="59"/>
  <c r="I599" i="59"/>
  <c r="J599" i="59"/>
  <c r="K599" i="59"/>
  <c r="L599" i="59"/>
  <c r="M599" i="59"/>
  <c r="N599" i="59"/>
  <c r="O599" i="59"/>
  <c r="P599" i="59"/>
  <c r="Q599" i="59"/>
  <c r="R599" i="59"/>
  <c r="S599" i="59"/>
  <c r="T599" i="59"/>
  <c r="U599" i="59"/>
  <c r="V599" i="59"/>
  <c r="W599" i="59"/>
  <c r="X599" i="59"/>
  <c r="Y599" i="59"/>
  <c r="Z599" i="59"/>
  <c r="AA599" i="59"/>
  <c r="AB599" i="59"/>
  <c r="AC599" i="59"/>
  <c r="AD599" i="59"/>
  <c r="AE599" i="59"/>
  <c r="AF599" i="59"/>
  <c r="AG599" i="59"/>
  <c r="AH599" i="59"/>
  <c r="H604" i="59"/>
  <c r="G604" i="59"/>
  <c r="I604" i="59"/>
  <c r="J604" i="59"/>
  <c r="K604" i="59"/>
  <c r="L604" i="59"/>
  <c r="M604" i="59"/>
  <c r="N604" i="59"/>
  <c r="O604" i="59"/>
  <c r="P604" i="59"/>
  <c r="Q604" i="59"/>
  <c r="R604" i="59"/>
  <c r="S604" i="59"/>
  <c r="T604" i="59"/>
  <c r="U604" i="59"/>
  <c r="V604" i="59"/>
  <c r="W604" i="59"/>
  <c r="X604" i="59"/>
  <c r="Y604" i="59"/>
  <c r="Z604" i="59"/>
  <c r="AA604" i="59"/>
  <c r="AB604" i="59"/>
  <c r="AC604" i="59"/>
  <c r="AD604" i="59"/>
  <c r="AE604" i="59"/>
  <c r="AF604" i="59"/>
  <c r="AG604" i="59"/>
  <c r="AH604" i="59"/>
  <c r="AI604" i="59"/>
  <c r="AJ604" i="59"/>
  <c r="H588" i="59"/>
  <c r="G588" i="59"/>
  <c r="I588" i="59"/>
  <c r="J588" i="59"/>
  <c r="K588" i="59"/>
  <c r="L588" i="59"/>
  <c r="M588" i="59"/>
  <c r="N588" i="59"/>
  <c r="O588" i="59"/>
  <c r="P588" i="59"/>
  <c r="Q588" i="59"/>
  <c r="R588" i="59"/>
  <c r="S588" i="59"/>
  <c r="T588" i="59"/>
  <c r="U588" i="59"/>
  <c r="V588" i="59"/>
  <c r="W588" i="59"/>
  <c r="G572" i="59"/>
  <c r="H572" i="59" s="1"/>
  <c r="G593" i="59"/>
  <c r="H593" i="59"/>
  <c r="I593" i="59"/>
  <c r="J593" i="59"/>
  <c r="K593" i="59"/>
  <c r="L593" i="59"/>
  <c r="M593" i="59"/>
  <c r="N593" i="59"/>
  <c r="O593" i="59"/>
  <c r="P593" i="59"/>
  <c r="Q593" i="59"/>
  <c r="R593" i="59"/>
  <c r="S593" i="59"/>
  <c r="T593" i="59"/>
  <c r="U593" i="59"/>
  <c r="V593" i="59"/>
  <c r="W593" i="59"/>
  <c r="X593" i="59"/>
  <c r="Y593" i="59"/>
  <c r="Z593" i="59"/>
  <c r="AA593" i="59"/>
  <c r="AB593" i="59"/>
  <c r="G577" i="59"/>
  <c r="H577" i="59"/>
  <c r="I577" i="59"/>
  <c r="J577" i="59"/>
  <c r="K577" i="59"/>
  <c r="L577" i="59"/>
  <c r="G594" i="59"/>
  <c r="H594" i="59"/>
  <c r="I594" i="59"/>
  <c r="J594" i="59"/>
  <c r="K594" i="59"/>
  <c r="L594" i="59"/>
  <c r="M594" i="59"/>
  <c r="N594" i="59"/>
  <c r="O594" i="59"/>
  <c r="P594" i="59"/>
  <c r="Q594" i="59"/>
  <c r="R594" i="59"/>
  <c r="S594" i="59"/>
  <c r="T594" i="59"/>
  <c r="U594" i="59"/>
  <c r="V594" i="59"/>
  <c r="W594" i="59"/>
  <c r="X594" i="59"/>
  <c r="Y594" i="59"/>
  <c r="Z594" i="59"/>
  <c r="AA594" i="59"/>
  <c r="AB594" i="59"/>
  <c r="AC594" i="59"/>
  <c r="G578" i="59"/>
  <c r="H578" i="59"/>
  <c r="I578" i="59"/>
  <c r="J578" i="59"/>
  <c r="K578" i="59"/>
  <c r="L578" i="59"/>
  <c r="M578" i="59"/>
  <c r="AH823" i="59"/>
  <c r="AI823" i="59" s="1"/>
  <c r="H796" i="59"/>
  <c r="I796" i="59" s="1"/>
  <c r="AM14" i="73"/>
  <c r="AM14" i="63"/>
  <c r="AM15" i="59"/>
  <c r="AN365" i="59"/>
  <c r="AN367" i="59" s="1"/>
  <c r="AE709" i="59"/>
  <c r="AF709" i="59" s="1"/>
  <c r="AJ714" i="59"/>
  <c r="AC873" i="59"/>
  <c r="AA816" i="59"/>
  <c r="Y814" i="59"/>
  <c r="Z814" i="59" s="1"/>
  <c r="AK349" i="59"/>
  <c r="AK35" i="60"/>
  <c r="I687" i="59"/>
  <c r="Z704" i="59"/>
  <c r="X702" i="59"/>
  <c r="AH361" i="59"/>
  <c r="AH83" i="46"/>
  <c r="AH90" i="46" s="1"/>
  <c r="G885" i="59"/>
  <c r="G839" i="59" s="1"/>
  <c r="AE875" i="59"/>
  <c r="AL53" i="46"/>
  <c r="AL79" i="46"/>
  <c r="AL71" i="46"/>
  <c r="AL72" i="46" s="1"/>
  <c r="AL285" i="63"/>
  <c r="AL173" i="59"/>
  <c r="AL175" i="59" s="1"/>
  <c r="AL290" i="59"/>
  <c r="AL294" i="59" s="1"/>
  <c r="AL328" i="59" s="1"/>
  <c r="AM6" i="63"/>
  <c r="AM13" i="63"/>
  <c r="H629" i="59"/>
  <c r="G629" i="59"/>
  <c r="I629" i="59"/>
  <c r="H637" i="59"/>
  <c r="G637" i="59"/>
  <c r="I637" i="59"/>
  <c r="J637" i="59"/>
  <c r="K637" i="59"/>
  <c r="L637" i="59"/>
  <c r="M637" i="59"/>
  <c r="N637" i="59"/>
  <c r="O637" i="59"/>
  <c r="P637" i="59"/>
  <c r="Q637" i="59"/>
  <c r="H646" i="59"/>
  <c r="G646" i="59"/>
  <c r="I646" i="59"/>
  <c r="J646" i="59"/>
  <c r="K646" i="59"/>
  <c r="L646" i="59"/>
  <c r="M646" i="59"/>
  <c r="N646" i="59"/>
  <c r="O646" i="59"/>
  <c r="P646" i="59"/>
  <c r="Q646" i="59"/>
  <c r="R646" i="59"/>
  <c r="S646" i="59"/>
  <c r="T646" i="59"/>
  <c r="U646" i="59"/>
  <c r="V646" i="59"/>
  <c r="W646" i="59"/>
  <c r="X646" i="59"/>
  <c r="Y646" i="59"/>
  <c r="Z646" i="59"/>
  <c r="H630" i="59"/>
  <c r="G630" i="59"/>
  <c r="I630" i="59"/>
  <c r="J630" i="59"/>
  <c r="H647" i="59"/>
  <c r="G647" i="59"/>
  <c r="I647" i="59"/>
  <c r="J647" i="59"/>
  <c r="K647" i="59"/>
  <c r="L647" i="59"/>
  <c r="M647" i="59"/>
  <c r="N647" i="59"/>
  <c r="O647" i="59"/>
  <c r="P647" i="59"/>
  <c r="Q647" i="59"/>
  <c r="R647" i="59"/>
  <c r="S647" i="59"/>
  <c r="T647" i="59"/>
  <c r="U647" i="59"/>
  <c r="V647" i="59"/>
  <c r="W647" i="59"/>
  <c r="X647" i="59"/>
  <c r="Y647" i="59"/>
  <c r="Z647" i="59"/>
  <c r="AA647" i="59"/>
  <c r="H631" i="59"/>
  <c r="G631" i="59"/>
  <c r="I631" i="59"/>
  <c r="J631" i="59"/>
  <c r="K631" i="59"/>
  <c r="H652" i="59"/>
  <c r="G652" i="59"/>
  <c r="I652" i="59"/>
  <c r="J652" i="59"/>
  <c r="K652" i="59"/>
  <c r="L652" i="59"/>
  <c r="M652" i="59"/>
  <c r="N652" i="59"/>
  <c r="O652" i="59"/>
  <c r="P652" i="59"/>
  <c r="Q652" i="59"/>
  <c r="R652" i="59"/>
  <c r="S652" i="59"/>
  <c r="T652" i="59"/>
  <c r="U652" i="59"/>
  <c r="V652" i="59"/>
  <c r="W652" i="59"/>
  <c r="X652" i="59"/>
  <c r="Y652" i="59"/>
  <c r="Z652" i="59"/>
  <c r="AA652" i="59"/>
  <c r="AB652" i="59"/>
  <c r="AC652" i="59"/>
  <c r="AD652" i="59"/>
  <c r="AE652" i="59"/>
  <c r="AF652" i="59"/>
  <c r="H636" i="59"/>
  <c r="G636" i="59"/>
  <c r="I636" i="59"/>
  <c r="J636" i="59"/>
  <c r="K636" i="59"/>
  <c r="L636" i="59"/>
  <c r="M636" i="59"/>
  <c r="N636" i="59"/>
  <c r="O636" i="59"/>
  <c r="P636" i="59"/>
  <c r="AA705" i="59"/>
  <c r="AB705" i="59" s="1"/>
  <c r="AD708" i="59"/>
  <c r="AB706" i="59"/>
  <c r="AL19" i="73"/>
  <c r="AL21" i="73"/>
  <c r="AL23" i="73"/>
  <c r="AL25" i="73"/>
  <c r="AL27" i="73"/>
  <c r="AL20" i="73"/>
  <c r="AL22" i="73"/>
  <c r="AL24" i="73"/>
  <c r="AL26" i="73"/>
  <c r="AG877" i="59"/>
  <c r="AH119" i="59"/>
  <c r="AI361" i="59"/>
  <c r="H469" i="59"/>
  <c r="G469" i="59"/>
  <c r="I469" i="59"/>
  <c r="J469" i="59"/>
  <c r="K469" i="59"/>
  <c r="L469" i="59"/>
  <c r="M469" i="59"/>
  <c r="N469" i="59"/>
  <c r="O469" i="59"/>
  <c r="H477" i="59"/>
  <c r="G477" i="59"/>
  <c r="I477" i="59"/>
  <c r="J477" i="59"/>
  <c r="K477" i="59"/>
  <c r="L477" i="59"/>
  <c r="M477" i="59"/>
  <c r="N477" i="59"/>
  <c r="O477" i="59"/>
  <c r="P477" i="59"/>
  <c r="Q477" i="59"/>
  <c r="R477" i="59"/>
  <c r="S477" i="59"/>
  <c r="T477" i="59"/>
  <c r="U477" i="59"/>
  <c r="V477" i="59"/>
  <c r="W477" i="59"/>
  <c r="H465" i="59"/>
  <c r="G465" i="59"/>
  <c r="I465" i="59"/>
  <c r="J465" i="59"/>
  <c r="K465" i="59"/>
  <c r="H478" i="59"/>
  <c r="G478" i="59"/>
  <c r="I478" i="59"/>
  <c r="J478" i="59"/>
  <c r="K478" i="59"/>
  <c r="L478" i="59"/>
  <c r="M478" i="59"/>
  <c r="N478" i="59"/>
  <c r="O478" i="59"/>
  <c r="P478" i="59"/>
  <c r="Q478" i="59"/>
  <c r="R478" i="59"/>
  <c r="S478" i="59"/>
  <c r="T478" i="59"/>
  <c r="U478" i="59"/>
  <c r="V478" i="59"/>
  <c r="W478" i="59"/>
  <c r="X478" i="59"/>
  <c r="H462" i="59"/>
  <c r="G462" i="59"/>
  <c r="G479" i="59"/>
  <c r="H479" i="59"/>
  <c r="I479" i="59"/>
  <c r="J479" i="59"/>
  <c r="K479" i="59"/>
  <c r="L479" i="59"/>
  <c r="M479" i="59"/>
  <c r="N479" i="59"/>
  <c r="O479" i="59"/>
  <c r="P479" i="59"/>
  <c r="Q479" i="59"/>
  <c r="R479" i="59"/>
  <c r="S479" i="59"/>
  <c r="T479" i="59"/>
  <c r="U479" i="59"/>
  <c r="V479" i="59"/>
  <c r="W479" i="59"/>
  <c r="X479" i="59"/>
  <c r="Y479" i="59"/>
  <c r="G463" i="59"/>
  <c r="H463" i="59"/>
  <c r="I463" i="59"/>
  <c r="G480" i="59"/>
  <c r="H480" i="59"/>
  <c r="I480" i="59"/>
  <c r="J480" i="59"/>
  <c r="K480" i="59"/>
  <c r="L480" i="59"/>
  <c r="M480" i="59"/>
  <c r="N480" i="59"/>
  <c r="O480" i="59"/>
  <c r="P480" i="59"/>
  <c r="Q480" i="59"/>
  <c r="R480" i="59"/>
  <c r="S480" i="59"/>
  <c r="T480" i="59"/>
  <c r="U480" i="59"/>
  <c r="V480" i="59"/>
  <c r="W480" i="59"/>
  <c r="X480" i="59"/>
  <c r="Y480" i="59"/>
  <c r="Z480" i="59"/>
  <c r="G464" i="59"/>
  <c r="H464" i="59"/>
  <c r="I464" i="59"/>
  <c r="J464" i="59"/>
  <c r="G575" i="59"/>
  <c r="H575" i="59"/>
  <c r="I575" i="59"/>
  <c r="J575" i="59"/>
  <c r="G583" i="59"/>
  <c r="H583" i="59"/>
  <c r="I583" i="59"/>
  <c r="J583" i="59"/>
  <c r="K583" i="59"/>
  <c r="L583" i="59"/>
  <c r="M583" i="59"/>
  <c r="N583" i="59"/>
  <c r="O583" i="59"/>
  <c r="P583" i="59"/>
  <c r="Q583" i="59"/>
  <c r="R583" i="59"/>
  <c r="H600" i="59"/>
  <c r="G600" i="59"/>
  <c r="I600" i="59"/>
  <c r="J600" i="59"/>
  <c r="K600" i="59"/>
  <c r="L600" i="59"/>
  <c r="M600" i="59"/>
  <c r="N600" i="59"/>
  <c r="O600" i="59"/>
  <c r="P600" i="59"/>
  <c r="Q600" i="59"/>
  <c r="R600" i="59"/>
  <c r="S600" i="59"/>
  <c r="T600" i="59"/>
  <c r="U600" i="59"/>
  <c r="V600" i="59"/>
  <c r="W600" i="59"/>
  <c r="X600" i="59"/>
  <c r="Y600" i="59"/>
  <c r="Z600" i="59"/>
  <c r="AA600" i="59"/>
  <c r="AB600" i="59"/>
  <c r="AC600" i="59"/>
  <c r="AD600" i="59"/>
  <c r="AE600" i="59"/>
  <c r="AF600" i="59"/>
  <c r="AG600" i="59"/>
  <c r="AH600" i="59"/>
  <c r="AI600" i="59"/>
  <c r="H584" i="59"/>
  <c r="G584" i="59"/>
  <c r="I584" i="59"/>
  <c r="J584" i="59"/>
  <c r="K584" i="59"/>
  <c r="L584" i="59"/>
  <c r="M584" i="59"/>
  <c r="N584" i="59"/>
  <c r="O584" i="59"/>
  <c r="P584" i="59"/>
  <c r="Q584" i="59"/>
  <c r="R584" i="59"/>
  <c r="S584" i="59"/>
  <c r="G571" i="59"/>
  <c r="H571" i="59" s="1"/>
  <c r="G589" i="59"/>
  <c r="H589" i="59"/>
  <c r="I589" i="59"/>
  <c r="J589" i="59"/>
  <c r="K589" i="59"/>
  <c r="L589" i="59"/>
  <c r="M589" i="59"/>
  <c r="N589" i="59"/>
  <c r="O589" i="59"/>
  <c r="P589" i="59"/>
  <c r="Q589" i="59"/>
  <c r="R589" i="59"/>
  <c r="S589" i="59"/>
  <c r="T589" i="59"/>
  <c r="U589" i="59"/>
  <c r="V589" i="59"/>
  <c r="W589" i="59"/>
  <c r="X589" i="59"/>
  <c r="G573" i="59"/>
  <c r="H573" i="59"/>
  <c r="G590" i="59"/>
  <c r="H590" i="59"/>
  <c r="I590" i="59"/>
  <c r="J590" i="59"/>
  <c r="K590" i="59"/>
  <c r="L590" i="59"/>
  <c r="M590" i="59"/>
  <c r="N590" i="59"/>
  <c r="O590" i="59"/>
  <c r="P590" i="59"/>
  <c r="Q590" i="59"/>
  <c r="R590" i="59"/>
  <c r="S590" i="59"/>
  <c r="T590" i="59"/>
  <c r="U590" i="59"/>
  <c r="V590" i="59"/>
  <c r="W590" i="59"/>
  <c r="X590" i="59"/>
  <c r="Y590" i="59"/>
  <c r="G574" i="59"/>
  <c r="H574" i="59"/>
  <c r="I574" i="59"/>
  <c r="AH56" i="63"/>
  <c r="AN89" i="63"/>
  <c r="AN90" i="63" s="1"/>
  <c r="AN130" i="63"/>
  <c r="AN129" i="63" s="1"/>
  <c r="AN145" i="63"/>
  <c r="AN233" i="63"/>
  <c r="AN232" i="63" s="1"/>
  <c r="AN102" i="63"/>
  <c r="AN103" i="63" s="1"/>
  <c r="AN165" i="63"/>
  <c r="AN164" i="63" s="1"/>
  <c r="AN199" i="63"/>
  <c r="AN214" i="63"/>
  <c r="AN248" i="63"/>
  <c r="AN58" i="46"/>
  <c r="AN180" i="63"/>
  <c r="G719" i="59"/>
  <c r="G673" i="59" s="1"/>
  <c r="G774" i="59"/>
  <c r="G728" i="59" s="1"/>
  <c r="AN37" i="46"/>
  <c r="H885" i="59"/>
  <c r="H839" i="59" s="1"/>
  <c r="AM6" i="73"/>
  <c r="AM13" i="73"/>
  <c r="AH31" i="60"/>
  <c r="AH344" i="59"/>
  <c r="AH218" i="59" s="1"/>
  <c r="H657" i="59"/>
  <c r="G657" i="59"/>
  <c r="I657" i="59"/>
  <c r="J657" i="59"/>
  <c r="K657" i="59"/>
  <c r="L657" i="59"/>
  <c r="M657" i="59"/>
  <c r="N657" i="59"/>
  <c r="O657" i="59"/>
  <c r="P657" i="59"/>
  <c r="Q657" i="59"/>
  <c r="R657" i="59"/>
  <c r="S657" i="59"/>
  <c r="T657" i="59"/>
  <c r="U657" i="59"/>
  <c r="V657" i="59"/>
  <c r="W657" i="59"/>
  <c r="X657" i="59"/>
  <c r="Y657" i="59"/>
  <c r="Z657" i="59"/>
  <c r="AA657" i="59"/>
  <c r="AB657" i="59"/>
  <c r="AC657" i="59"/>
  <c r="AD657" i="59"/>
  <c r="AE657" i="59"/>
  <c r="AF657" i="59"/>
  <c r="AG657" i="59"/>
  <c r="AH657" i="59"/>
  <c r="AI657" i="59"/>
  <c r="AJ657" i="59"/>
  <c r="H649" i="59"/>
  <c r="G649" i="59"/>
  <c r="I649" i="59"/>
  <c r="J649" i="59"/>
  <c r="K649" i="59"/>
  <c r="L649" i="59"/>
  <c r="M649" i="59"/>
  <c r="N649" i="59"/>
  <c r="O649" i="59"/>
  <c r="P649" i="59"/>
  <c r="Q649" i="59"/>
  <c r="R649" i="59"/>
  <c r="S649" i="59"/>
  <c r="T649" i="59"/>
  <c r="U649" i="59"/>
  <c r="V649" i="59"/>
  <c r="W649" i="59"/>
  <c r="X649" i="59"/>
  <c r="Y649" i="59"/>
  <c r="Z649" i="59"/>
  <c r="AA649" i="59"/>
  <c r="AB649" i="59"/>
  <c r="AC649" i="59"/>
  <c r="G658" i="59"/>
  <c r="H658" i="59"/>
  <c r="I658" i="59"/>
  <c r="J658" i="59"/>
  <c r="K658" i="59"/>
  <c r="L658" i="59"/>
  <c r="M658" i="59"/>
  <c r="N658" i="59"/>
  <c r="O658" i="59"/>
  <c r="P658" i="59"/>
  <c r="Q658" i="59"/>
  <c r="R658" i="59"/>
  <c r="S658" i="59"/>
  <c r="T658" i="59"/>
  <c r="U658" i="59"/>
  <c r="V658" i="59"/>
  <c r="W658" i="59"/>
  <c r="X658" i="59"/>
  <c r="Y658" i="59"/>
  <c r="Z658" i="59"/>
  <c r="AA658" i="59"/>
  <c r="AB658" i="59"/>
  <c r="AC658" i="59"/>
  <c r="AD658" i="59"/>
  <c r="AE658" i="59"/>
  <c r="AF658" i="59"/>
  <c r="AG658" i="59"/>
  <c r="AH658" i="59"/>
  <c r="AI658" i="59"/>
  <c r="AJ658" i="59"/>
  <c r="G642" i="59"/>
  <c r="H642" i="59"/>
  <c r="I642" i="59"/>
  <c r="J642" i="59"/>
  <c r="K642" i="59"/>
  <c r="L642" i="59"/>
  <c r="M642" i="59"/>
  <c r="N642" i="59"/>
  <c r="O642" i="59"/>
  <c r="P642" i="59"/>
  <c r="Q642" i="59"/>
  <c r="R642" i="59"/>
  <c r="S642" i="59"/>
  <c r="T642" i="59"/>
  <c r="U642" i="59"/>
  <c r="V642" i="59"/>
  <c r="H659" i="59"/>
  <c r="G659" i="59"/>
  <c r="I659" i="59"/>
  <c r="J659" i="59"/>
  <c r="K659" i="59"/>
  <c r="L659" i="59"/>
  <c r="M659" i="59"/>
  <c r="N659" i="59"/>
  <c r="O659" i="59"/>
  <c r="P659" i="59"/>
  <c r="Q659" i="59"/>
  <c r="R659" i="59"/>
  <c r="S659" i="59"/>
  <c r="T659" i="59"/>
  <c r="U659" i="59"/>
  <c r="V659" i="59"/>
  <c r="W659" i="59"/>
  <c r="X659" i="59"/>
  <c r="Y659" i="59"/>
  <c r="Z659" i="59"/>
  <c r="AA659" i="59"/>
  <c r="AB659" i="59"/>
  <c r="AC659" i="59"/>
  <c r="AD659" i="59"/>
  <c r="AE659" i="59"/>
  <c r="AF659" i="59"/>
  <c r="AG659" i="59"/>
  <c r="AH659" i="59"/>
  <c r="AI659" i="59"/>
  <c r="AJ659" i="59"/>
  <c r="H643" i="59"/>
  <c r="G643" i="59"/>
  <c r="I643" i="59"/>
  <c r="J643" i="59"/>
  <c r="K643" i="59"/>
  <c r="L643" i="59"/>
  <c r="M643" i="59"/>
  <c r="N643" i="59"/>
  <c r="O643" i="59"/>
  <c r="P643" i="59"/>
  <c r="Q643" i="59"/>
  <c r="R643" i="59"/>
  <c r="S643" i="59"/>
  <c r="T643" i="59"/>
  <c r="U643" i="59"/>
  <c r="V643" i="59"/>
  <c r="W643" i="59"/>
  <c r="G627" i="59"/>
  <c r="H648" i="59"/>
  <c r="G648" i="59"/>
  <c r="I648" i="59"/>
  <c r="J648" i="59"/>
  <c r="K648" i="59"/>
  <c r="L648" i="59"/>
  <c r="M648" i="59"/>
  <c r="N648" i="59"/>
  <c r="O648" i="59"/>
  <c r="P648" i="59"/>
  <c r="Q648" i="59"/>
  <c r="R648" i="59"/>
  <c r="S648" i="59"/>
  <c r="T648" i="59"/>
  <c r="U648" i="59"/>
  <c r="V648" i="59"/>
  <c r="W648" i="59"/>
  <c r="X648" i="59"/>
  <c r="Y648" i="59"/>
  <c r="Z648" i="59"/>
  <c r="AA648" i="59"/>
  <c r="AB648" i="59"/>
  <c r="H632" i="59"/>
  <c r="G632" i="59"/>
  <c r="I632" i="59"/>
  <c r="J632" i="59"/>
  <c r="K632" i="59"/>
  <c r="L632" i="59"/>
  <c r="AI54" i="73"/>
  <c r="AH60" i="73"/>
  <c r="I853" i="59"/>
  <c r="X868" i="59"/>
  <c r="AM135" i="63"/>
  <c r="AM132" i="63"/>
  <c r="AM131" i="63"/>
  <c r="AM238" i="63"/>
  <c r="AM235" i="63"/>
  <c r="AM234" i="63"/>
  <c r="AM181" i="63"/>
  <c r="AM249" i="63"/>
  <c r="AM146" i="63"/>
  <c r="AM361" i="63"/>
  <c r="AM364" i="63" s="1"/>
  <c r="AM375" i="63" s="1"/>
  <c r="H797" i="59"/>
  <c r="AL177" i="63"/>
  <c r="AL273" i="63"/>
  <c r="AL277" i="63" s="1"/>
  <c r="AI87" i="73"/>
  <c r="AJ81" i="73"/>
  <c r="H489" i="59"/>
  <c r="G489" i="59"/>
  <c r="I489" i="59"/>
  <c r="J489" i="59"/>
  <c r="K489" i="59"/>
  <c r="L489" i="59"/>
  <c r="M489" i="59"/>
  <c r="N489" i="59"/>
  <c r="O489" i="59"/>
  <c r="P489" i="59"/>
  <c r="Q489" i="59"/>
  <c r="R489" i="59"/>
  <c r="S489" i="59"/>
  <c r="T489" i="59"/>
  <c r="U489" i="59"/>
  <c r="V489" i="59"/>
  <c r="W489" i="59"/>
  <c r="X489" i="59"/>
  <c r="Y489" i="59"/>
  <c r="Z489" i="59"/>
  <c r="AA489" i="59"/>
  <c r="AB489" i="59"/>
  <c r="AC489" i="59"/>
  <c r="AD489" i="59"/>
  <c r="AE489" i="59"/>
  <c r="AF489" i="59"/>
  <c r="AG489" i="59"/>
  <c r="AH489" i="59"/>
  <c r="AI489" i="59"/>
  <c r="G461" i="59"/>
  <c r="H461" i="59" s="1"/>
  <c r="G490" i="59"/>
  <c r="H490" i="59"/>
  <c r="I490" i="59"/>
  <c r="J490" i="59"/>
  <c r="K490" i="59"/>
  <c r="L490" i="59"/>
  <c r="M490" i="59"/>
  <c r="N490" i="59"/>
  <c r="O490" i="59"/>
  <c r="P490" i="59"/>
  <c r="Q490" i="59"/>
  <c r="R490" i="59"/>
  <c r="S490" i="59"/>
  <c r="T490" i="59"/>
  <c r="U490" i="59"/>
  <c r="V490" i="59"/>
  <c r="W490" i="59"/>
  <c r="X490" i="59"/>
  <c r="Y490" i="59"/>
  <c r="Z490" i="59"/>
  <c r="AA490" i="59"/>
  <c r="AB490" i="59"/>
  <c r="AC490" i="59"/>
  <c r="AD490" i="59"/>
  <c r="AE490" i="59"/>
  <c r="AF490" i="59"/>
  <c r="AG490" i="59"/>
  <c r="AH490" i="59"/>
  <c r="AI490" i="59"/>
  <c r="AJ490" i="59"/>
  <c r="G474" i="59"/>
  <c r="H474" i="59"/>
  <c r="I474" i="59"/>
  <c r="J474" i="59"/>
  <c r="K474" i="59"/>
  <c r="L474" i="59"/>
  <c r="M474" i="59"/>
  <c r="N474" i="59"/>
  <c r="O474" i="59"/>
  <c r="P474" i="59"/>
  <c r="Q474" i="59"/>
  <c r="R474" i="59"/>
  <c r="S474" i="59"/>
  <c r="T474" i="59"/>
  <c r="G491" i="59"/>
  <c r="H491" i="59"/>
  <c r="I491" i="59"/>
  <c r="J491" i="59"/>
  <c r="K491" i="59"/>
  <c r="L491" i="59"/>
  <c r="M491" i="59"/>
  <c r="N491" i="59"/>
  <c r="O491" i="59"/>
  <c r="P491" i="59"/>
  <c r="Q491" i="59"/>
  <c r="R491" i="59"/>
  <c r="S491" i="59"/>
  <c r="T491" i="59"/>
  <c r="U491" i="59"/>
  <c r="V491" i="59"/>
  <c r="W491" i="59"/>
  <c r="X491" i="59"/>
  <c r="Y491" i="59"/>
  <c r="Z491" i="59"/>
  <c r="AA491" i="59"/>
  <c r="AB491" i="59"/>
  <c r="AC491" i="59"/>
  <c r="AD491" i="59"/>
  <c r="AE491" i="59"/>
  <c r="AF491" i="59"/>
  <c r="AG491" i="59"/>
  <c r="AH491" i="59"/>
  <c r="AI491" i="59"/>
  <c r="AJ491" i="59"/>
  <c r="G475" i="59"/>
  <c r="H475" i="59"/>
  <c r="I475" i="59"/>
  <c r="J475" i="59"/>
  <c r="K475" i="59"/>
  <c r="L475" i="59"/>
  <c r="M475" i="59"/>
  <c r="N475" i="59"/>
  <c r="O475" i="59"/>
  <c r="P475" i="59"/>
  <c r="Q475" i="59"/>
  <c r="R475" i="59"/>
  <c r="S475" i="59"/>
  <c r="T475" i="59"/>
  <c r="U475" i="59"/>
  <c r="G492" i="59"/>
  <c r="H492" i="59"/>
  <c r="I492" i="59"/>
  <c r="J492" i="59"/>
  <c r="K492" i="59"/>
  <c r="L492" i="59"/>
  <c r="M492" i="59"/>
  <c r="N492" i="59"/>
  <c r="O492" i="59"/>
  <c r="P492" i="59"/>
  <c r="Q492" i="59"/>
  <c r="R492" i="59"/>
  <c r="S492" i="59"/>
  <c r="T492" i="59"/>
  <c r="U492" i="59"/>
  <c r="V492" i="59"/>
  <c r="W492" i="59"/>
  <c r="X492" i="59"/>
  <c r="Y492" i="59"/>
  <c r="Z492" i="59"/>
  <c r="AA492" i="59"/>
  <c r="AB492" i="59"/>
  <c r="AC492" i="59"/>
  <c r="AD492" i="59"/>
  <c r="AE492" i="59"/>
  <c r="AF492" i="59"/>
  <c r="AG492" i="59"/>
  <c r="AH492" i="59"/>
  <c r="AI492" i="59"/>
  <c r="AJ492" i="59"/>
  <c r="G476" i="59"/>
  <c r="H476" i="59"/>
  <c r="I476" i="59"/>
  <c r="J476" i="59"/>
  <c r="K476" i="59"/>
  <c r="L476" i="59"/>
  <c r="M476" i="59"/>
  <c r="N476" i="59"/>
  <c r="O476" i="59"/>
  <c r="P476" i="59"/>
  <c r="Q476" i="59"/>
  <c r="R476" i="59"/>
  <c r="S476" i="59"/>
  <c r="T476" i="59"/>
  <c r="U476" i="59"/>
  <c r="V476" i="59"/>
  <c r="AL22" i="63"/>
  <c r="AL26" i="63"/>
  <c r="AL21" i="63"/>
  <c r="AL25" i="63"/>
  <c r="AL20" i="63"/>
  <c r="AL24" i="63"/>
  <c r="AL19" i="63"/>
  <c r="AL23" i="63"/>
  <c r="AL27" i="63"/>
  <c r="AM79" i="46"/>
  <c r="AM285" i="63"/>
  <c r="AM53" i="46"/>
  <c r="AM71" i="46"/>
  <c r="AM290" i="59"/>
  <c r="AM294" i="59" s="1"/>
  <c r="AM328" i="59" s="1"/>
  <c r="AM173" i="59"/>
  <c r="AM175" i="59" s="1"/>
  <c r="G595" i="59"/>
  <c r="H595" i="59"/>
  <c r="I595" i="59"/>
  <c r="J595" i="59"/>
  <c r="K595" i="59"/>
  <c r="L595" i="59"/>
  <c r="M595" i="59"/>
  <c r="N595" i="59"/>
  <c r="O595" i="59"/>
  <c r="P595" i="59"/>
  <c r="Q595" i="59"/>
  <c r="R595" i="59"/>
  <c r="S595" i="59"/>
  <c r="T595" i="59"/>
  <c r="U595" i="59"/>
  <c r="V595" i="59"/>
  <c r="W595" i="59"/>
  <c r="X595" i="59"/>
  <c r="Y595" i="59"/>
  <c r="Z595" i="59"/>
  <c r="AA595" i="59"/>
  <c r="AB595" i="59"/>
  <c r="AC595" i="59"/>
  <c r="AD595" i="59"/>
  <c r="G603" i="59"/>
  <c r="H603" i="59"/>
  <c r="I603" i="59"/>
  <c r="J603" i="59"/>
  <c r="K603" i="59"/>
  <c r="L603" i="59"/>
  <c r="M603" i="59"/>
  <c r="N603" i="59"/>
  <c r="O603" i="59"/>
  <c r="P603" i="59"/>
  <c r="Q603" i="59"/>
  <c r="R603" i="59"/>
  <c r="S603" i="59"/>
  <c r="T603" i="59"/>
  <c r="U603" i="59"/>
  <c r="V603" i="59"/>
  <c r="W603" i="59"/>
  <c r="X603" i="59"/>
  <c r="Y603" i="59"/>
  <c r="Z603" i="59"/>
  <c r="AA603" i="59"/>
  <c r="AB603" i="59"/>
  <c r="AC603" i="59"/>
  <c r="AD603" i="59"/>
  <c r="AE603" i="59"/>
  <c r="AF603" i="59"/>
  <c r="AG603" i="59"/>
  <c r="AH603" i="59"/>
  <c r="AI603" i="59"/>
  <c r="AJ603" i="59"/>
  <c r="H596" i="59"/>
  <c r="G596" i="59"/>
  <c r="I596" i="59"/>
  <c r="J596" i="59"/>
  <c r="K596" i="59"/>
  <c r="L596" i="59"/>
  <c r="M596" i="59"/>
  <c r="N596" i="59"/>
  <c r="O596" i="59"/>
  <c r="P596" i="59"/>
  <c r="Q596" i="59"/>
  <c r="R596" i="59"/>
  <c r="S596" i="59"/>
  <c r="T596" i="59"/>
  <c r="U596" i="59"/>
  <c r="V596" i="59"/>
  <c r="W596" i="59"/>
  <c r="X596" i="59"/>
  <c r="Y596" i="59"/>
  <c r="Z596" i="59"/>
  <c r="AA596" i="59"/>
  <c r="AB596" i="59"/>
  <c r="AC596" i="59"/>
  <c r="AD596" i="59"/>
  <c r="AE596" i="59"/>
  <c r="H580" i="59"/>
  <c r="G580" i="59"/>
  <c r="I580" i="59"/>
  <c r="J580" i="59"/>
  <c r="K580" i="59"/>
  <c r="L580" i="59"/>
  <c r="M580" i="59"/>
  <c r="N580" i="59"/>
  <c r="O580" i="59"/>
  <c r="G601" i="59"/>
  <c r="H601" i="59"/>
  <c r="I601" i="59"/>
  <c r="J601" i="59"/>
  <c r="K601" i="59"/>
  <c r="L601" i="59"/>
  <c r="M601" i="59"/>
  <c r="N601" i="59"/>
  <c r="O601" i="59"/>
  <c r="P601" i="59"/>
  <c r="Q601" i="59"/>
  <c r="R601" i="59"/>
  <c r="S601" i="59"/>
  <c r="T601" i="59"/>
  <c r="U601" i="59"/>
  <c r="V601" i="59"/>
  <c r="W601" i="59"/>
  <c r="X601" i="59"/>
  <c r="Y601" i="59"/>
  <c r="Z601" i="59"/>
  <c r="AA601" i="59"/>
  <c r="AB601" i="59"/>
  <c r="AC601" i="59"/>
  <c r="AD601" i="59"/>
  <c r="AE601" i="59"/>
  <c r="AF601" i="59"/>
  <c r="AG601" i="59"/>
  <c r="AH601" i="59"/>
  <c r="AI601" i="59"/>
  <c r="AJ601" i="59"/>
  <c r="G585" i="59"/>
  <c r="H585" i="59"/>
  <c r="I585" i="59"/>
  <c r="J585" i="59"/>
  <c r="K585" i="59"/>
  <c r="L585" i="59"/>
  <c r="M585" i="59"/>
  <c r="N585" i="59"/>
  <c r="O585" i="59"/>
  <c r="P585" i="59"/>
  <c r="Q585" i="59"/>
  <c r="R585" i="59"/>
  <c r="S585" i="59"/>
  <c r="T585" i="59"/>
  <c r="G602" i="59"/>
  <c r="H602" i="59"/>
  <c r="I602" i="59"/>
  <c r="J602" i="59"/>
  <c r="K602" i="59"/>
  <c r="L602" i="59"/>
  <c r="M602" i="59"/>
  <c r="N602" i="59"/>
  <c r="O602" i="59"/>
  <c r="P602" i="59"/>
  <c r="Q602" i="59"/>
  <c r="R602" i="59"/>
  <c r="S602" i="59"/>
  <c r="T602" i="59"/>
  <c r="U602" i="59"/>
  <c r="V602" i="59"/>
  <c r="W602" i="59"/>
  <c r="X602" i="59"/>
  <c r="Y602" i="59"/>
  <c r="Z602" i="59"/>
  <c r="AA602" i="59"/>
  <c r="AB602" i="59"/>
  <c r="AC602" i="59"/>
  <c r="AD602" i="59"/>
  <c r="AE602" i="59"/>
  <c r="AF602" i="59"/>
  <c r="AG602" i="59"/>
  <c r="AH602" i="59"/>
  <c r="AI602" i="59"/>
  <c r="AJ602" i="59"/>
  <c r="G586" i="59"/>
  <c r="H586" i="59"/>
  <c r="I586" i="59"/>
  <c r="J586" i="59"/>
  <c r="K586" i="59"/>
  <c r="L586" i="59"/>
  <c r="M586" i="59"/>
  <c r="N586" i="59"/>
  <c r="O586" i="59"/>
  <c r="P586" i="59"/>
  <c r="Q586" i="59"/>
  <c r="R586" i="59"/>
  <c r="S586" i="59"/>
  <c r="T586" i="59"/>
  <c r="U586" i="59"/>
  <c r="AN5" i="73"/>
  <c r="AN5" i="63"/>
  <c r="AN5" i="68"/>
  <c r="AN5" i="59"/>
  <c r="L801" i="59"/>
  <c r="AJ59" i="46"/>
  <c r="AK54" i="46"/>
  <c r="AK272" i="63"/>
  <c r="AK142" i="63"/>
  <c r="AK20" i="68"/>
  <c r="AK21" i="68" s="1"/>
  <c r="AK43" i="68"/>
  <c r="AK46" i="68" s="1"/>
  <c r="AM24" i="68"/>
  <c r="AM16" i="68"/>
  <c r="O804" i="59"/>
  <c r="AH342" i="59"/>
  <c r="AH216" i="59" s="1"/>
  <c r="AH29" i="60"/>
  <c r="AH345" i="59"/>
  <c r="AH219" i="59" s="1"/>
  <c r="AH32" i="60"/>
  <c r="AI58" i="63"/>
  <c r="AI55" i="63"/>
  <c r="H641" i="59"/>
  <c r="G641" i="59"/>
  <c r="I641" i="59"/>
  <c r="J641" i="59"/>
  <c r="K641" i="59"/>
  <c r="L641" i="59"/>
  <c r="M641" i="59"/>
  <c r="N641" i="59"/>
  <c r="O641" i="59"/>
  <c r="P641" i="59"/>
  <c r="Q641" i="59"/>
  <c r="R641" i="59"/>
  <c r="S641" i="59"/>
  <c r="T641" i="59"/>
  <c r="U641" i="59"/>
  <c r="H633" i="59"/>
  <c r="G633" i="59"/>
  <c r="I633" i="59"/>
  <c r="J633" i="59"/>
  <c r="K633" i="59"/>
  <c r="L633" i="59"/>
  <c r="M633" i="59"/>
  <c r="G654" i="59"/>
  <c r="H654" i="59"/>
  <c r="I654" i="59"/>
  <c r="J654" i="59"/>
  <c r="K654" i="59"/>
  <c r="L654" i="59"/>
  <c r="M654" i="59"/>
  <c r="N654" i="59"/>
  <c r="O654" i="59"/>
  <c r="P654" i="59"/>
  <c r="Q654" i="59"/>
  <c r="R654" i="59"/>
  <c r="S654" i="59"/>
  <c r="T654" i="59"/>
  <c r="U654" i="59"/>
  <c r="V654" i="59"/>
  <c r="W654" i="59"/>
  <c r="X654" i="59"/>
  <c r="Y654" i="59"/>
  <c r="Z654" i="59"/>
  <c r="AA654" i="59"/>
  <c r="AB654" i="59"/>
  <c r="AC654" i="59"/>
  <c r="AD654" i="59"/>
  <c r="AE654" i="59"/>
  <c r="AF654" i="59"/>
  <c r="AG654" i="59"/>
  <c r="AH654" i="59"/>
  <c r="G638" i="59"/>
  <c r="H638" i="59"/>
  <c r="I638" i="59"/>
  <c r="J638" i="59"/>
  <c r="K638" i="59"/>
  <c r="L638" i="59"/>
  <c r="M638" i="59"/>
  <c r="N638" i="59"/>
  <c r="O638" i="59"/>
  <c r="P638" i="59"/>
  <c r="Q638" i="59"/>
  <c r="R638" i="59"/>
  <c r="H655" i="59"/>
  <c r="G655" i="59"/>
  <c r="I655" i="59"/>
  <c r="J655" i="59"/>
  <c r="K655" i="59"/>
  <c r="L655" i="59"/>
  <c r="M655" i="59"/>
  <c r="N655" i="59"/>
  <c r="O655" i="59"/>
  <c r="P655" i="59"/>
  <c r="Q655" i="59"/>
  <c r="R655" i="59"/>
  <c r="S655" i="59"/>
  <c r="T655" i="59"/>
  <c r="U655" i="59"/>
  <c r="V655" i="59"/>
  <c r="W655" i="59"/>
  <c r="X655" i="59"/>
  <c r="Y655" i="59"/>
  <c r="Z655" i="59"/>
  <c r="AA655" i="59"/>
  <c r="AB655" i="59"/>
  <c r="AC655" i="59"/>
  <c r="AD655" i="59"/>
  <c r="AE655" i="59"/>
  <c r="AF655" i="59"/>
  <c r="AG655" i="59"/>
  <c r="AH655" i="59"/>
  <c r="AI655" i="59"/>
  <c r="H639" i="59"/>
  <c r="G639" i="59"/>
  <c r="I639" i="59"/>
  <c r="J639" i="59"/>
  <c r="K639" i="59"/>
  <c r="L639" i="59"/>
  <c r="M639" i="59"/>
  <c r="N639" i="59"/>
  <c r="O639" i="59"/>
  <c r="P639" i="59"/>
  <c r="Q639" i="59"/>
  <c r="R639" i="59"/>
  <c r="S639" i="59"/>
  <c r="H644" i="59"/>
  <c r="G644" i="59"/>
  <c r="I644" i="59"/>
  <c r="J644" i="59"/>
  <c r="K644" i="59"/>
  <c r="L644" i="59"/>
  <c r="M644" i="59"/>
  <c r="N644" i="59"/>
  <c r="O644" i="59"/>
  <c r="P644" i="59"/>
  <c r="Q644" i="59"/>
  <c r="R644" i="59"/>
  <c r="S644" i="59"/>
  <c r="T644" i="59"/>
  <c r="U644" i="59"/>
  <c r="V644" i="59"/>
  <c r="W644" i="59"/>
  <c r="X644" i="59"/>
  <c r="H628" i="59"/>
  <c r="G628" i="59"/>
  <c r="AM182" i="59" l="1"/>
  <c r="AM187" i="59" s="1"/>
  <c r="AL182" i="59"/>
  <c r="AL187" i="59" s="1"/>
  <c r="AH156" i="60"/>
  <c r="AJ926" i="59"/>
  <c r="AJ927" i="59" s="1"/>
  <c r="AF763" i="59"/>
  <c r="AG763" i="59" s="1"/>
  <c r="P747" i="59"/>
  <c r="Q747" i="59" s="1"/>
  <c r="R747" i="59" s="1"/>
  <c r="AF764" i="59"/>
  <c r="AG764" i="59" s="1"/>
  <c r="AH764" i="59" s="1"/>
  <c r="AI764" i="59" s="1"/>
  <c r="M521" i="59"/>
  <c r="N521" i="59" s="1"/>
  <c r="O521" i="59" s="1"/>
  <c r="T751" i="59"/>
  <c r="U751" i="59" s="1"/>
  <c r="V751" i="59" s="1"/>
  <c r="AF540" i="59"/>
  <c r="AG540" i="59" s="1"/>
  <c r="AH540" i="59" s="1"/>
  <c r="AI540" i="59" s="1"/>
  <c r="Z534" i="59"/>
  <c r="AA534" i="59" s="1"/>
  <c r="W531" i="59"/>
  <c r="X531" i="59" s="1"/>
  <c r="AJ544" i="59"/>
  <c r="AA535" i="59"/>
  <c r="AB535" i="59" s="1"/>
  <c r="AC535" i="59" s="1"/>
  <c r="AD538" i="59"/>
  <c r="AE538" i="59" s="1"/>
  <c r="AF538" i="59" s="1"/>
  <c r="Q525" i="59"/>
  <c r="R525" i="59" s="1"/>
  <c r="S525" i="59" s="1"/>
  <c r="AC537" i="59"/>
  <c r="AD537" i="59" s="1"/>
  <c r="AE537" i="59" s="1"/>
  <c r="AG541" i="59"/>
  <c r="AH541" i="59" s="1"/>
  <c r="AI541" i="59" s="1"/>
  <c r="AJ541" i="59" s="1"/>
  <c r="AI543" i="59"/>
  <c r="AJ543" i="59" s="1"/>
  <c r="P524" i="59"/>
  <c r="Q524" i="59" s="1"/>
  <c r="T528" i="59"/>
  <c r="U528" i="59" s="1"/>
  <c r="V528" i="59" s="1"/>
  <c r="W528" i="59" s="1"/>
  <c r="AB536" i="59"/>
  <c r="AC536" i="59" s="1"/>
  <c r="AD536" i="59" s="1"/>
  <c r="AE536" i="59" s="1"/>
  <c r="AE539" i="59"/>
  <c r="AF539" i="59" s="1"/>
  <c r="AG539" i="59" s="1"/>
  <c r="AH539" i="59" s="1"/>
  <c r="K519" i="59"/>
  <c r="L519" i="59" s="1"/>
  <c r="AH542" i="59"/>
  <c r="AI542" i="59" s="1"/>
  <c r="AJ542" i="59" s="1"/>
  <c r="X532" i="59"/>
  <c r="Y532" i="59" s="1"/>
  <c r="Z532" i="59" s="1"/>
  <c r="Y533" i="59"/>
  <c r="Z533" i="59" s="1"/>
  <c r="L520" i="59"/>
  <c r="I515" i="59"/>
  <c r="J515" i="59" s="1"/>
  <c r="K515" i="59" s="1"/>
  <c r="I516" i="59"/>
  <c r="J516" i="59" s="1"/>
  <c r="M744" i="59"/>
  <c r="N744" i="59" s="1"/>
  <c r="O744" i="59" s="1"/>
  <c r="P744" i="59" s="1"/>
  <c r="Q744" i="59" s="1"/>
  <c r="AB758" i="59"/>
  <c r="AC758" i="59" s="1"/>
  <c r="AD758" i="59" s="1"/>
  <c r="U529" i="59"/>
  <c r="M742" i="59"/>
  <c r="S527" i="59"/>
  <c r="K741" i="59"/>
  <c r="V530" i="59"/>
  <c r="U752" i="59"/>
  <c r="V752" i="59" s="1"/>
  <c r="J518" i="59"/>
  <c r="X754" i="59"/>
  <c r="Y754" i="59" s="1"/>
  <c r="Z754" i="59" s="1"/>
  <c r="AA754" i="59" s="1"/>
  <c r="AF762" i="59"/>
  <c r="Q748" i="59"/>
  <c r="R748" i="59" s="1"/>
  <c r="I740" i="59"/>
  <c r="J740" i="59" s="1"/>
  <c r="I517" i="59"/>
  <c r="O523" i="59"/>
  <c r="P523" i="59" s="1"/>
  <c r="Q523" i="59" s="1"/>
  <c r="R526" i="59"/>
  <c r="S526" i="59" s="1"/>
  <c r="W755" i="59"/>
  <c r="X755" i="59" s="1"/>
  <c r="Y755" i="59" s="1"/>
  <c r="Z755" i="59" s="1"/>
  <c r="S749" i="59"/>
  <c r="T749" i="59" s="1"/>
  <c r="U749" i="59" s="1"/>
  <c r="V749" i="59" s="1"/>
  <c r="N522" i="59"/>
  <c r="O522" i="59" s="1"/>
  <c r="P746" i="59"/>
  <c r="Q746" i="59" s="1"/>
  <c r="R746" i="59" s="1"/>
  <c r="S746" i="59" s="1"/>
  <c r="T746" i="59" s="1"/>
  <c r="U746" i="59" s="1"/>
  <c r="Y757" i="59"/>
  <c r="Z757" i="59" s="1"/>
  <c r="AA757" i="59" s="1"/>
  <c r="AJ766" i="59"/>
  <c r="U753" i="59"/>
  <c r="V753" i="59" s="1"/>
  <c r="AA759" i="59"/>
  <c r="AB760" i="59"/>
  <c r="T750" i="59"/>
  <c r="M743" i="59"/>
  <c r="N743" i="59" s="1"/>
  <c r="O743" i="59" s="1"/>
  <c r="X756" i="59"/>
  <c r="AE761" i="59"/>
  <c r="AF761" i="59" s="1"/>
  <c r="AG761" i="59" s="1"/>
  <c r="AH761" i="59" s="1"/>
  <c r="AI761" i="59" s="1"/>
  <c r="AJ761" i="59" s="1"/>
  <c r="Q745" i="59"/>
  <c r="R745" i="59" s="1"/>
  <c r="S745" i="59" s="1"/>
  <c r="AJ31" i="60"/>
  <c r="AK50" i="63"/>
  <c r="AK55" i="63" s="1"/>
  <c r="AK72" i="59"/>
  <c r="AK56" i="59"/>
  <c r="AK59" i="59" s="1"/>
  <c r="AL72" i="59"/>
  <c r="AL56" i="59"/>
  <c r="AJ115" i="59"/>
  <c r="AJ127" i="59" s="1"/>
  <c r="AK298" i="59"/>
  <c r="AK300" i="59" s="1"/>
  <c r="AK329" i="59" s="1"/>
  <c r="AK350" i="59" s="1"/>
  <c r="AK256" i="59"/>
  <c r="AK265" i="59" s="1"/>
  <c r="AK320" i="59" s="1"/>
  <c r="AJ346" i="59"/>
  <c r="AJ220" i="59" s="1"/>
  <c r="AK564" i="59"/>
  <c r="AK604" i="59" s="1"/>
  <c r="AK304" i="59"/>
  <c r="AK309" i="59" s="1"/>
  <c r="AK94" i="59"/>
  <c r="AK97" i="59" s="1"/>
  <c r="AK619" i="59"/>
  <c r="AK657" i="59" s="1"/>
  <c r="AK1020" i="59"/>
  <c r="AK915" i="59"/>
  <c r="AK916" i="59" s="1"/>
  <c r="AK925" i="59" s="1"/>
  <c r="AK508" i="59"/>
  <c r="AK844" i="59"/>
  <c r="AK453" i="59"/>
  <c r="AK492" i="59" s="1"/>
  <c r="AK789" i="59"/>
  <c r="AK106" i="59"/>
  <c r="AK111" i="59" s="1"/>
  <c r="AK733" i="59"/>
  <c r="AK45" i="73"/>
  <c r="AK81" i="73" s="1"/>
  <c r="AK678" i="59"/>
  <c r="AJ67" i="46"/>
  <c r="AJ82" i="46" s="1"/>
  <c r="AJ32" i="60"/>
  <c r="AI83" i="46"/>
  <c r="AI90" i="46" s="1"/>
  <c r="AC871" i="59"/>
  <c r="AD871" i="59" s="1"/>
  <c r="I573" i="59"/>
  <c r="J573" i="59" s="1"/>
  <c r="Q805" i="59"/>
  <c r="R805" i="59" s="1"/>
  <c r="R471" i="59"/>
  <c r="J574" i="59"/>
  <c r="K574" i="59" s="1"/>
  <c r="AJ342" i="59"/>
  <c r="AJ216" i="59" s="1"/>
  <c r="AJ29" i="60"/>
  <c r="I462" i="59"/>
  <c r="J462" i="59" s="1"/>
  <c r="K462" i="59" s="1"/>
  <c r="AB592" i="59"/>
  <c r="AC592" i="59" s="1"/>
  <c r="AD592" i="59" s="1"/>
  <c r="AA480" i="59"/>
  <c r="AB480" i="59" s="1"/>
  <c r="J463" i="59"/>
  <c r="K463" i="59" s="1"/>
  <c r="L463" i="59" s="1"/>
  <c r="AD594" i="59"/>
  <c r="AE594" i="59" s="1"/>
  <c r="AF594" i="59" s="1"/>
  <c r="AG594" i="59" s="1"/>
  <c r="R582" i="59"/>
  <c r="S582" i="59" s="1"/>
  <c r="T582" i="59" s="1"/>
  <c r="AF874" i="59"/>
  <c r="AG874" i="59" s="1"/>
  <c r="AH874" i="59" s="1"/>
  <c r="AI874" i="59" s="1"/>
  <c r="AJ874" i="59" s="1"/>
  <c r="T473" i="59"/>
  <c r="U473" i="59" s="1"/>
  <c r="V473" i="59" s="1"/>
  <c r="T584" i="59"/>
  <c r="U584" i="59" s="1"/>
  <c r="W476" i="59"/>
  <c r="X476" i="59" s="1"/>
  <c r="Y476" i="59" s="1"/>
  <c r="I571" i="59"/>
  <c r="J571" i="59" s="1"/>
  <c r="K571" i="59" s="1"/>
  <c r="AF485" i="59"/>
  <c r="AG485" i="59" s="1"/>
  <c r="AH485" i="59" s="1"/>
  <c r="P580" i="59"/>
  <c r="Q580" i="59" s="1"/>
  <c r="AB481" i="59"/>
  <c r="AC481" i="59" s="1"/>
  <c r="Q581" i="59"/>
  <c r="R581" i="59" s="1"/>
  <c r="AD483" i="59"/>
  <c r="AE483" i="59" s="1"/>
  <c r="AF483" i="59" s="1"/>
  <c r="O468" i="59"/>
  <c r="P468" i="59" s="1"/>
  <c r="Q468" i="59" s="1"/>
  <c r="O579" i="59"/>
  <c r="P579" i="59" s="1"/>
  <c r="AG820" i="59"/>
  <c r="AH820" i="59" s="1"/>
  <c r="AI820" i="59" s="1"/>
  <c r="O857" i="59"/>
  <c r="P857" i="59" s="1"/>
  <c r="X866" i="59"/>
  <c r="Y866" i="59" s="1"/>
  <c r="Z866" i="59" s="1"/>
  <c r="V475" i="59"/>
  <c r="W475" i="59" s="1"/>
  <c r="X475" i="59" s="1"/>
  <c r="AC593" i="59"/>
  <c r="AD593" i="59" s="1"/>
  <c r="AE593" i="59" s="1"/>
  <c r="AJ489" i="59"/>
  <c r="Y589" i="59"/>
  <c r="Z589" i="59" s="1"/>
  <c r="P469" i="59"/>
  <c r="Q469" i="59" s="1"/>
  <c r="R469" i="59" s="1"/>
  <c r="AH711" i="59"/>
  <c r="AI711" i="59" s="1"/>
  <c r="AA591" i="59"/>
  <c r="AB591" i="59" s="1"/>
  <c r="AI488" i="59"/>
  <c r="AJ488" i="59" s="1"/>
  <c r="S583" i="59"/>
  <c r="T583" i="59" s="1"/>
  <c r="K464" i="59"/>
  <c r="L464" i="59" s="1"/>
  <c r="M466" i="59"/>
  <c r="N466" i="59" s="1"/>
  <c r="AE484" i="59"/>
  <c r="AF484" i="59" s="1"/>
  <c r="AG484" i="59" s="1"/>
  <c r="M577" i="59"/>
  <c r="N577" i="59" s="1"/>
  <c r="AG597" i="59"/>
  <c r="AH597" i="59" s="1"/>
  <c r="AI597" i="59" s="1"/>
  <c r="Q470" i="59"/>
  <c r="R470" i="59" s="1"/>
  <c r="S470" i="59" s="1"/>
  <c r="AI876" i="59"/>
  <c r="AJ876" i="59" s="1"/>
  <c r="AE872" i="59"/>
  <c r="AF872" i="59" s="1"/>
  <c r="AF596" i="59"/>
  <c r="AG596" i="59" s="1"/>
  <c r="AE595" i="59"/>
  <c r="AF595" i="59" s="1"/>
  <c r="AG595" i="59" s="1"/>
  <c r="AH595" i="59" s="1"/>
  <c r="AJ600" i="59"/>
  <c r="AI599" i="59"/>
  <c r="AJ599" i="59" s="1"/>
  <c r="AC482" i="59"/>
  <c r="AD482" i="59" s="1"/>
  <c r="AE482" i="59" s="1"/>
  <c r="W587" i="59"/>
  <c r="X587" i="59" s="1"/>
  <c r="S472" i="59"/>
  <c r="T472" i="59" s="1"/>
  <c r="AG486" i="59"/>
  <c r="AH486" i="59" s="1"/>
  <c r="U585" i="59"/>
  <c r="V585" i="59" s="1"/>
  <c r="W585" i="59" s="1"/>
  <c r="K575" i="59"/>
  <c r="L575" i="59" s="1"/>
  <c r="M575" i="59" s="1"/>
  <c r="Z479" i="59"/>
  <c r="AA479" i="59" s="1"/>
  <c r="AB479" i="59" s="1"/>
  <c r="L465" i="59"/>
  <c r="M465" i="59" s="1"/>
  <c r="N465" i="59" s="1"/>
  <c r="K685" i="59"/>
  <c r="L685" i="59" s="1"/>
  <c r="AH6" i="46"/>
  <c r="AH6" i="68"/>
  <c r="AH7" i="73"/>
  <c r="AH7" i="63"/>
  <c r="AH8" i="59"/>
  <c r="AH9" i="60"/>
  <c r="H494" i="59"/>
  <c r="H448" i="59" s="1"/>
  <c r="I460" i="59"/>
  <c r="J460" i="59" s="1"/>
  <c r="K460" i="59" s="1"/>
  <c r="L460" i="59" s="1"/>
  <c r="AG819" i="59"/>
  <c r="AH819" i="59" s="1"/>
  <c r="AC703" i="59"/>
  <c r="AD703" i="59" s="1"/>
  <c r="AE703" i="59" s="1"/>
  <c r="AM17" i="68"/>
  <c r="AM42" i="68"/>
  <c r="AM60" i="68"/>
  <c r="L688" i="59"/>
  <c r="M688" i="59" s="1"/>
  <c r="AJ80" i="46"/>
  <c r="AJ62" i="46"/>
  <c r="AK63" i="46" s="1"/>
  <c r="AN6" i="59"/>
  <c r="AN14" i="59"/>
  <c r="AJ16" i="59" s="1"/>
  <c r="V586" i="59"/>
  <c r="W586" i="59" s="1"/>
  <c r="U474" i="59"/>
  <c r="I461" i="59"/>
  <c r="AL77" i="63"/>
  <c r="AL66" i="60"/>
  <c r="AL354" i="63" s="1"/>
  <c r="AM273" i="63"/>
  <c r="AM277" i="63" s="1"/>
  <c r="AM177" i="63"/>
  <c r="G729" i="59"/>
  <c r="H726" i="59" s="1"/>
  <c r="AN234" i="63"/>
  <c r="AN238" i="63"/>
  <c r="AN235" i="63"/>
  <c r="F232" i="63"/>
  <c r="Z590" i="59"/>
  <c r="H605" i="59"/>
  <c r="H559" i="59" s="1"/>
  <c r="Y478" i="59"/>
  <c r="Y868" i="59"/>
  <c r="Z868" i="59" s="1"/>
  <c r="AL286" i="63"/>
  <c r="AL289" i="63" s="1"/>
  <c r="AL300" i="63"/>
  <c r="AL304" i="63" s="1"/>
  <c r="AL310" i="63" s="1"/>
  <c r="AL343" i="63"/>
  <c r="AK59" i="46"/>
  <c r="AL54" i="46"/>
  <c r="G840" i="59"/>
  <c r="H837" i="59" s="1"/>
  <c r="H840" i="59" s="1"/>
  <c r="I837" i="59" s="1"/>
  <c r="N578" i="59"/>
  <c r="X588" i="59"/>
  <c r="N467" i="59"/>
  <c r="AI342" i="59"/>
  <c r="AI216" i="59" s="1"/>
  <c r="AI29" i="60"/>
  <c r="I885" i="59"/>
  <c r="I839" i="59" s="1"/>
  <c r="K851" i="59"/>
  <c r="L851" i="59" s="1"/>
  <c r="K798" i="59"/>
  <c r="L798" i="59" s="1"/>
  <c r="AB815" i="59"/>
  <c r="AC815" i="59" s="1"/>
  <c r="U807" i="59"/>
  <c r="AH598" i="59"/>
  <c r="L576" i="59"/>
  <c r="AH487" i="59"/>
  <c r="AL272" i="63"/>
  <c r="AL142" i="63"/>
  <c r="R806" i="59"/>
  <c r="S806" i="59" s="1"/>
  <c r="R859" i="59"/>
  <c r="W700" i="59"/>
  <c r="X700" i="59" s="1"/>
  <c r="W699" i="59"/>
  <c r="T808" i="59"/>
  <c r="AB870" i="59"/>
  <c r="AC870" i="59" s="1"/>
  <c r="AD870" i="59" s="1"/>
  <c r="AE708" i="59"/>
  <c r="AF708" i="59" s="1"/>
  <c r="S695" i="59"/>
  <c r="T695" i="59" s="1"/>
  <c r="AI822" i="59"/>
  <c r="AA813" i="59"/>
  <c r="AB813" i="59" s="1"/>
  <c r="J853" i="59"/>
  <c r="J885" i="59" s="1"/>
  <c r="J839" i="59" s="1"/>
  <c r="X811" i="59"/>
  <c r="Y811" i="59" s="1"/>
  <c r="AA867" i="59"/>
  <c r="Y701" i="59"/>
  <c r="L854" i="59"/>
  <c r="U697" i="59"/>
  <c r="V697" i="59" s="1"/>
  <c r="V698" i="59"/>
  <c r="AF707" i="59"/>
  <c r="AL106" i="59"/>
  <c r="AL94" i="59"/>
  <c r="AL50" i="63"/>
  <c r="AL45" i="73"/>
  <c r="AL256" i="59"/>
  <c r="AL265" i="59" s="1"/>
  <c r="AL320" i="59" s="1"/>
  <c r="AL915" i="59"/>
  <c r="AL916" i="59" s="1"/>
  <c r="AL619" i="59"/>
  <c r="AL564" i="59"/>
  <c r="AL1020" i="59"/>
  <c r="AL298" i="59"/>
  <c r="AL300" i="59" s="1"/>
  <c r="AL329" i="59" s="1"/>
  <c r="AL304" i="59"/>
  <c r="AL453" i="59"/>
  <c r="AL508" i="59"/>
  <c r="AL678" i="59"/>
  <c r="AL733" i="59"/>
  <c r="AL789" i="59"/>
  <c r="AL844" i="59"/>
  <c r="M801" i="59"/>
  <c r="N801" i="59" s="1"/>
  <c r="O801" i="59" s="1"/>
  <c r="AL59" i="46"/>
  <c r="AM54" i="46"/>
  <c r="I797" i="59"/>
  <c r="I830" i="59" s="1"/>
  <c r="I784" i="59" s="1"/>
  <c r="AM382" i="63"/>
  <c r="AI60" i="73"/>
  <c r="AJ54" i="73"/>
  <c r="G605" i="59"/>
  <c r="G559" i="59" s="1"/>
  <c r="X477" i="59"/>
  <c r="O690" i="59"/>
  <c r="I572" i="59"/>
  <c r="AM200" i="63"/>
  <c r="AM204" i="63"/>
  <c r="AM201" i="63"/>
  <c r="AI345" i="59"/>
  <c r="AI219" i="59" s="1"/>
  <c r="AI32" i="60"/>
  <c r="AD873" i="59"/>
  <c r="R693" i="59"/>
  <c r="Y812" i="59"/>
  <c r="U863" i="59"/>
  <c r="V863" i="59" s="1"/>
  <c r="AG710" i="59"/>
  <c r="N691" i="59"/>
  <c r="G494" i="59"/>
  <c r="G448" i="59" s="1"/>
  <c r="AH821" i="59"/>
  <c r="AI821" i="59" s="1"/>
  <c r="AC869" i="59"/>
  <c r="T861" i="59"/>
  <c r="AJ823" i="59"/>
  <c r="AA814" i="59"/>
  <c r="AC705" i="59"/>
  <c r="AE817" i="59"/>
  <c r="AF817" i="59" s="1"/>
  <c r="AB816" i="59"/>
  <c r="W810" i="59"/>
  <c r="AN6" i="63"/>
  <c r="AN13" i="63"/>
  <c r="AM15" i="63" s="1"/>
  <c r="AM349" i="59"/>
  <c r="AM35" i="60"/>
  <c r="AM343" i="63"/>
  <c r="AM286" i="63"/>
  <c r="AM289" i="63" s="1"/>
  <c r="AM300" i="63"/>
  <c r="AJ87" i="73"/>
  <c r="AM152" i="63"/>
  <c r="AM150" i="63"/>
  <c r="AM19" i="73"/>
  <c r="AM21" i="73"/>
  <c r="AM23" i="73"/>
  <c r="AM25" i="73"/>
  <c r="AM27" i="73"/>
  <c r="AM20" i="73"/>
  <c r="AM22" i="73"/>
  <c r="AM24" i="73"/>
  <c r="AM26" i="73"/>
  <c r="G904" i="59"/>
  <c r="G674" i="59"/>
  <c r="H671" i="59" s="1"/>
  <c r="H674" i="59" s="1"/>
  <c r="I671" i="59" s="1"/>
  <c r="AN167" i="63"/>
  <c r="AN166" i="63"/>
  <c r="AN170" i="63"/>
  <c r="F164" i="63"/>
  <c r="AN135" i="63"/>
  <c r="AN132" i="63"/>
  <c r="AN131" i="63"/>
  <c r="F129" i="63"/>
  <c r="AM72" i="46"/>
  <c r="AH877" i="59"/>
  <c r="AL349" i="59"/>
  <c r="AL35" i="60"/>
  <c r="H774" i="59"/>
  <c r="H728" i="59" s="1"/>
  <c r="AN373" i="59"/>
  <c r="AN381" i="59" s="1"/>
  <c r="H830" i="59"/>
  <c r="H784" i="59" s="1"/>
  <c r="J796" i="59"/>
  <c r="K796" i="59" s="1"/>
  <c r="P692" i="59"/>
  <c r="N689" i="59"/>
  <c r="AI119" i="59"/>
  <c r="AI346" i="59"/>
  <c r="AI220" i="59" s="1"/>
  <c r="P803" i="59"/>
  <c r="AM20" i="59"/>
  <c r="AM24" i="59"/>
  <c r="AM28" i="59"/>
  <c r="AM23" i="59"/>
  <c r="AM27" i="59"/>
  <c r="AM22" i="59"/>
  <c r="AM26" i="59"/>
  <c r="AM1076" i="59" s="1"/>
  <c r="AM21" i="59"/>
  <c r="AM25" i="59"/>
  <c r="H549" i="59"/>
  <c r="H503" i="59" s="1"/>
  <c r="R860" i="59"/>
  <c r="G785" i="59"/>
  <c r="H782" i="59" s="1"/>
  <c r="N856" i="59"/>
  <c r="O856" i="59" s="1"/>
  <c r="P856" i="59" s="1"/>
  <c r="L855" i="59"/>
  <c r="M855" i="59" s="1"/>
  <c r="N855" i="59" s="1"/>
  <c r="AE818" i="59"/>
  <c r="S696" i="59"/>
  <c r="P802" i="59"/>
  <c r="X864" i="59"/>
  <c r="AG709" i="59"/>
  <c r="L686" i="59"/>
  <c r="M800" i="59"/>
  <c r="V809" i="59"/>
  <c r="R694" i="59"/>
  <c r="AI56" i="63"/>
  <c r="P804" i="59"/>
  <c r="AN6" i="73"/>
  <c r="AN13" i="73"/>
  <c r="AI15" i="73" s="1"/>
  <c r="AN78" i="46"/>
  <c r="AN50" i="46"/>
  <c r="AN70" i="46"/>
  <c r="F37" i="46"/>
  <c r="F70" i="46" s="1"/>
  <c r="AN198" i="63"/>
  <c r="AN215" i="63"/>
  <c r="F102" i="63"/>
  <c r="AN146" i="63"/>
  <c r="AN361" i="63"/>
  <c r="AN181" i="63"/>
  <c r="AN249" i="63"/>
  <c r="F89" i="63"/>
  <c r="AH185" i="59"/>
  <c r="AH1028" i="59"/>
  <c r="AH16" i="60"/>
  <c r="AH112" i="60" s="1"/>
  <c r="AM19" i="63"/>
  <c r="AM23" i="63"/>
  <c r="AM27" i="63"/>
  <c r="AM22" i="63"/>
  <c r="AM26" i="63"/>
  <c r="AM21" i="63"/>
  <c r="AM25" i="63"/>
  <c r="AM20" i="63"/>
  <c r="AM24" i="63"/>
  <c r="AF875" i="59"/>
  <c r="AA704" i="59"/>
  <c r="AB704" i="59" s="1"/>
  <c r="AI31" i="60"/>
  <c r="AI344" i="59"/>
  <c r="AI218" i="59" s="1"/>
  <c r="AL43" i="68"/>
  <c r="AL46" i="68" s="1"/>
  <c r="AL20" i="68"/>
  <c r="AL21" i="68" s="1"/>
  <c r="J687" i="59"/>
  <c r="J719" i="59" s="1"/>
  <c r="J673" i="59" s="1"/>
  <c r="G549" i="59"/>
  <c r="G503" i="59" s="1"/>
  <c r="I719" i="59"/>
  <c r="I673" i="59" s="1"/>
  <c r="P858" i="59"/>
  <c r="Y702" i="59"/>
  <c r="L799" i="59"/>
  <c r="M852" i="59"/>
  <c r="AC706" i="59"/>
  <c r="T862" i="59"/>
  <c r="V865" i="59"/>
  <c r="AI712" i="59"/>
  <c r="AL341" i="59" l="1"/>
  <c r="AL28" i="60"/>
  <c r="AK341" i="59"/>
  <c r="AK28" i="60"/>
  <c r="AL59" i="59"/>
  <c r="I774" i="59"/>
  <c r="I728" i="59" s="1"/>
  <c r="I904" i="59" s="1"/>
  <c r="AH763" i="59"/>
  <c r="AI763" i="59" s="1"/>
  <c r="AJ58" i="60"/>
  <c r="AJ124" i="60" s="1"/>
  <c r="AJ156" i="60"/>
  <c r="AA533" i="59"/>
  <c r="AB533" i="59" s="1"/>
  <c r="AB757" i="59"/>
  <c r="AC757" i="59" s="1"/>
  <c r="L515" i="59"/>
  <c r="M515" i="59" s="1"/>
  <c r="W752" i="59"/>
  <c r="X752" i="59" s="1"/>
  <c r="Y752" i="59" s="1"/>
  <c r="Y531" i="59"/>
  <c r="AB534" i="59"/>
  <c r="W751" i="59"/>
  <c r="X751" i="59" s="1"/>
  <c r="AI539" i="59"/>
  <c r="AJ539" i="59" s="1"/>
  <c r="AF537" i="59"/>
  <c r="AG537" i="59" s="1"/>
  <c r="AJ540" i="59"/>
  <c r="AK540" i="59" s="1"/>
  <c r="AL540" i="59" s="1"/>
  <c r="M520" i="59"/>
  <c r="N520" i="59" s="1"/>
  <c r="O520" i="59" s="1"/>
  <c r="AJ764" i="59"/>
  <c r="AK764" i="59" s="1"/>
  <c r="AL764" i="59" s="1"/>
  <c r="P743" i="59"/>
  <c r="Q743" i="59" s="1"/>
  <c r="K516" i="59"/>
  <c r="L516" i="59" s="1"/>
  <c r="S748" i="59"/>
  <c r="T748" i="59" s="1"/>
  <c r="T745" i="59"/>
  <c r="U745" i="59" s="1"/>
  <c r="W753" i="59"/>
  <c r="X753" i="59" s="1"/>
  <c r="Y753" i="59" s="1"/>
  <c r="Y756" i="59"/>
  <c r="Z756" i="59" s="1"/>
  <c r="AA756" i="59" s="1"/>
  <c r="AB756" i="59" s="1"/>
  <c r="AC756" i="59" s="1"/>
  <c r="L741" i="59"/>
  <c r="M741" i="59" s="1"/>
  <c r="T527" i="59"/>
  <c r="AE758" i="59"/>
  <c r="AF758" i="59" s="1"/>
  <c r="AG758" i="59" s="1"/>
  <c r="AH758" i="59" s="1"/>
  <c r="AI758" i="59" s="1"/>
  <c r="AJ758" i="59" s="1"/>
  <c r="AK758" i="59" s="1"/>
  <c r="AL758" i="59" s="1"/>
  <c r="M519" i="59"/>
  <c r="N519" i="59" s="1"/>
  <c r="O519" i="59" s="1"/>
  <c r="P519" i="59" s="1"/>
  <c r="Q519" i="59" s="1"/>
  <c r="R519" i="59" s="1"/>
  <c r="S519" i="59" s="1"/>
  <c r="T519" i="59" s="1"/>
  <c r="AB759" i="59"/>
  <c r="V746" i="59"/>
  <c r="W746" i="59" s="1"/>
  <c r="X746" i="59" s="1"/>
  <c r="Y746" i="59" s="1"/>
  <c r="Z746" i="59" s="1"/>
  <c r="AA746" i="59" s="1"/>
  <c r="AB746" i="59" s="1"/>
  <c r="AC746" i="59" s="1"/>
  <c r="AD746" i="59" s="1"/>
  <c r="AE746" i="59" s="1"/>
  <c r="AF746" i="59" s="1"/>
  <c r="AG746" i="59" s="1"/>
  <c r="AH746" i="59" s="1"/>
  <c r="AI746" i="59" s="1"/>
  <c r="AJ746" i="59" s="1"/>
  <c r="AK746" i="59" s="1"/>
  <c r="AL746" i="59" s="1"/>
  <c r="AK766" i="59"/>
  <c r="AL766" i="59" s="1"/>
  <c r="P522" i="59"/>
  <c r="Q522" i="59" s="1"/>
  <c r="AA532" i="59"/>
  <c r="AB532" i="59" s="1"/>
  <c r="W749" i="59"/>
  <c r="X749" i="59" s="1"/>
  <c r="Y749" i="59" s="1"/>
  <c r="Z749" i="59" s="1"/>
  <c r="J517" i="59"/>
  <c r="K517" i="59" s="1"/>
  <c r="L517" i="59" s="1"/>
  <c r="AC760" i="59"/>
  <c r="AD760" i="59" s="1"/>
  <c r="AE760" i="59" s="1"/>
  <c r="N742" i="59"/>
  <c r="O742" i="59" s="1"/>
  <c r="P742" i="59" s="1"/>
  <c r="T526" i="59"/>
  <c r="U526" i="59" s="1"/>
  <c r="AK761" i="59"/>
  <c r="AL761" i="59" s="1"/>
  <c r="AK771" i="59"/>
  <c r="AL771" i="59" s="1"/>
  <c r="AK769" i="59"/>
  <c r="AL769" i="59" s="1"/>
  <c r="AK772" i="59"/>
  <c r="AK770" i="59"/>
  <c r="AL770" i="59" s="1"/>
  <c r="AK773" i="59"/>
  <c r="AK548" i="59"/>
  <c r="AK543" i="59"/>
  <c r="AL543" i="59" s="1"/>
  <c r="AK542" i="59"/>
  <c r="AL542" i="59" s="1"/>
  <c r="AK541" i="59"/>
  <c r="AL541" i="59" s="1"/>
  <c r="AK547" i="59"/>
  <c r="AK546" i="59"/>
  <c r="AL546" i="59" s="1"/>
  <c r="AK544" i="59"/>
  <c r="AL544" i="59" s="1"/>
  <c r="AK545" i="59"/>
  <c r="AL545" i="59" s="1"/>
  <c r="AK765" i="59"/>
  <c r="AL765" i="59" s="1"/>
  <c r="K518" i="59"/>
  <c r="L518" i="59" s="1"/>
  <c r="M518" i="59" s="1"/>
  <c r="N518" i="59" s="1"/>
  <c r="O518" i="59" s="1"/>
  <c r="P518" i="59" s="1"/>
  <c r="AG538" i="59"/>
  <c r="AD535" i="59"/>
  <c r="AE535" i="59" s="1"/>
  <c r="AF535" i="59" s="1"/>
  <c r="AG535" i="59" s="1"/>
  <c r="AL925" i="59"/>
  <c r="AM922" i="59" s="1"/>
  <c r="S747" i="59"/>
  <c r="AF536" i="59"/>
  <c r="AG536" i="59" s="1"/>
  <c r="AH536" i="59" s="1"/>
  <c r="AI536" i="59" s="1"/>
  <c r="AJ536" i="59" s="1"/>
  <c r="AK536" i="59" s="1"/>
  <c r="AL536" i="59" s="1"/>
  <c r="AL772" i="59"/>
  <c r="AL773" i="59"/>
  <c r="AL548" i="59"/>
  <c r="AL547" i="59"/>
  <c r="U750" i="59"/>
  <c r="V750" i="59" s="1"/>
  <c r="AG762" i="59"/>
  <c r="AH762" i="59" s="1"/>
  <c r="X528" i="59"/>
  <c r="Y528" i="59" s="1"/>
  <c r="AA755" i="59"/>
  <c r="AB755" i="59" s="1"/>
  <c r="AC755" i="59" s="1"/>
  <c r="K740" i="59"/>
  <c r="K774" i="59" s="1"/>
  <c r="K728" i="59" s="1"/>
  <c r="P521" i="59"/>
  <c r="V529" i="59"/>
  <c r="R524" i="59"/>
  <c r="R744" i="59"/>
  <c r="S744" i="59" s="1"/>
  <c r="T744" i="59" s="1"/>
  <c r="U744" i="59" s="1"/>
  <c r="V744" i="59" s="1"/>
  <c r="W744" i="59" s="1"/>
  <c r="X744" i="59" s="1"/>
  <c r="Y744" i="59" s="1"/>
  <c r="Z744" i="59" s="1"/>
  <c r="AA744" i="59" s="1"/>
  <c r="AB744" i="59" s="1"/>
  <c r="AC744" i="59" s="1"/>
  <c r="AD744" i="59" s="1"/>
  <c r="AE744" i="59" s="1"/>
  <c r="AF744" i="59" s="1"/>
  <c r="AG744" i="59" s="1"/>
  <c r="AH744" i="59" s="1"/>
  <c r="AI744" i="59" s="1"/>
  <c r="AJ744" i="59" s="1"/>
  <c r="AK744" i="59" s="1"/>
  <c r="AL744" i="59" s="1"/>
  <c r="AK768" i="59"/>
  <c r="AL768" i="59" s="1"/>
  <c r="W530" i="59"/>
  <c r="AK767" i="59"/>
  <c r="AL767" i="59" s="1"/>
  <c r="AB754" i="59"/>
  <c r="AC754" i="59" s="1"/>
  <c r="AD754" i="59" s="1"/>
  <c r="AE754" i="59" s="1"/>
  <c r="AF754" i="59" s="1"/>
  <c r="R523" i="59"/>
  <c r="S523" i="59" s="1"/>
  <c r="T523" i="59" s="1"/>
  <c r="U523" i="59" s="1"/>
  <c r="V523" i="59" s="1"/>
  <c r="W523" i="59" s="1"/>
  <c r="X523" i="59" s="1"/>
  <c r="Y523" i="59" s="1"/>
  <c r="Z523" i="59" s="1"/>
  <c r="AA523" i="59" s="1"/>
  <c r="AB523" i="59" s="1"/>
  <c r="AC523" i="59" s="1"/>
  <c r="AD523" i="59" s="1"/>
  <c r="AE523" i="59" s="1"/>
  <c r="AF523" i="59" s="1"/>
  <c r="AG523" i="59" s="1"/>
  <c r="AH523" i="59" s="1"/>
  <c r="AI523" i="59" s="1"/>
  <c r="AJ523" i="59" s="1"/>
  <c r="AK523" i="59" s="1"/>
  <c r="AL523" i="59" s="1"/>
  <c r="T525" i="59"/>
  <c r="U525" i="59" s="1"/>
  <c r="AI6" i="46"/>
  <c r="AN132" i="59"/>
  <c r="AN167" i="59" s="1"/>
  <c r="AJ119" i="59"/>
  <c r="AJ1028" i="59"/>
  <c r="AK58" i="63"/>
  <c r="AK269" i="59"/>
  <c r="AK324" i="59" s="1"/>
  <c r="AK345" i="59" s="1"/>
  <c r="AK219" i="59" s="1"/>
  <c r="AK271" i="59"/>
  <c r="AK326" i="59" s="1"/>
  <c r="AK33" i="60" s="1"/>
  <c r="AK262" i="59"/>
  <c r="AK317" i="59" s="1"/>
  <c r="AK338" i="59" s="1"/>
  <c r="AK213" i="59" s="1"/>
  <c r="AK115" i="59"/>
  <c r="AK127" i="59" s="1"/>
  <c r="AM56" i="59"/>
  <c r="AM72" i="59"/>
  <c r="AL111" i="59"/>
  <c r="AL97" i="59"/>
  <c r="AL305" i="59"/>
  <c r="AL330" i="59" s="1"/>
  <c r="AL351" i="59" s="1"/>
  <c r="AL309" i="59"/>
  <c r="AK36" i="60"/>
  <c r="AK268" i="59"/>
  <c r="AK323" i="59" s="1"/>
  <c r="AK31" i="60" s="1"/>
  <c r="AK263" i="59"/>
  <c r="AK318" i="59" s="1"/>
  <c r="AK26" i="60" s="1"/>
  <c r="AK267" i="59"/>
  <c r="AK322" i="59" s="1"/>
  <c r="AK343" i="59" s="1"/>
  <c r="AK217" i="59" s="1"/>
  <c r="AK260" i="59"/>
  <c r="AK315" i="59" s="1"/>
  <c r="AK23" i="60" s="1"/>
  <c r="AK264" i="59"/>
  <c r="AK319" i="59" s="1"/>
  <c r="AK340" i="59" s="1"/>
  <c r="AK215" i="59" s="1"/>
  <c r="AK259" i="59"/>
  <c r="AK314" i="59" s="1"/>
  <c r="AK266" i="59"/>
  <c r="AK321" i="59" s="1"/>
  <c r="AK342" i="59" s="1"/>
  <c r="AK216" i="59" s="1"/>
  <c r="AK261" i="59"/>
  <c r="AK270" i="59"/>
  <c r="AK325" i="59" s="1"/>
  <c r="AK346" i="59" s="1"/>
  <c r="AK220" i="59" s="1"/>
  <c r="AK829" i="59"/>
  <c r="AI9" i="60"/>
  <c r="AK883" i="59"/>
  <c r="AI6" i="68"/>
  <c r="AK882" i="59"/>
  <c r="AL882" i="59" s="1"/>
  <c r="AK884" i="59"/>
  <c r="AI7" i="63"/>
  <c r="AI7" i="73"/>
  <c r="AK879" i="59"/>
  <c r="AL879" i="59" s="1"/>
  <c r="AI8" i="59"/>
  <c r="AK600" i="59"/>
  <c r="AL600" i="59" s="1"/>
  <c r="AK1106" i="59"/>
  <c r="AK1109" i="59" s="1"/>
  <c r="AK1071" i="59"/>
  <c r="AK490" i="59"/>
  <c r="AL490" i="59" s="1"/>
  <c r="AK489" i="59"/>
  <c r="AL489" i="59" s="1"/>
  <c r="AK716" i="59"/>
  <c r="AL716" i="59" s="1"/>
  <c r="AK715" i="59"/>
  <c r="AL715" i="59" s="1"/>
  <c r="AK827" i="59"/>
  <c r="AL827" i="59" s="1"/>
  <c r="AK828" i="59"/>
  <c r="AK601" i="59"/>
  <c r="AL601" i="59" s="1"/>
  <c r="AK718" i="59"/>
  <c r="AK823" i="59"/>
  <c r="AL823" i="59" s="1"/>
  <c r="AK493" i="59"/>
  <c r="AK881" i="59"/>
  <c r="AL881" i="59" s="1"/>
  <c r="AK880" i="59"/>
  <c r="AL880" i="59" s="1"/>
  <c r="AK825" i="59"/>
  <c r="AL825" i="59" s="1"/>
  <c r="AK603" i="59"/>
  <c r="AK491" i="59"/>
  <c r="AL491" i="59" s="1"/>
  <c r="AK717" i="59"/>
  <c r="AK824" i="59"/>
  <c r="AL824" i="59" s="1"/>
  <c r="AK714" i="59"/>
  <c r="AL714" i="59" s="1"/>
  <c r="AK826" i="59"/>
  <c r="AL826" i="59" s="1"/>
  <c r="AK713" i="59"/>
  <c r="AL713" i="59" s="1"/>
  <c r="AK602" i="59"/>
  <c r="AL602" i="59" s="1"/>
  <c r="AK659" i="59"/>
  <c r="AK658" i="59"/>
  <c r="AK874" i="59"/>
  <c r="AL874" i="59" s="1"/>
  <c r="AK878" i="59"/>
  <c r="AL878" i="59" s="1"/>
  <c r="AM16" i="59"/>
  <c r="I605" i="59"/>
  <c r="I559" i="59" s="1"/>
  <c r="Q579" i="59"/>
  <c r="R579" i="59" s="1"/>
  <c r="S581" i="59"/>
  <c r="T581" i="59" s="1"/>
  <c r="AK876" i="59"/>
  <c r="AL876" i="59" s="1"/>
  <c r="S471" i="59"/>
  <c r="T471" i="59" s="1"/>
  <c r="K573" i="59"/>
  <c r="L573" i="59" s="1"/>
  <c r="AK15" i="63"/>
  <c r="H904" i="59"/>
  <c r="AD481" i="59"/>
  <c r="AE481" i="59" s="1"/>
  <c r="AF481" i="59" s="1"/>
  <c r="H785" i="59"/>
  <c r="I782" i="59" s="1"/>
  <c r="I785" i="59" s="1"/>
  <c r="J782" i="59" s="1"/>
  <c r="M685" i="59"/>
  <c r="N685" i="59" s="1"/>
  <c r="U583" i="59"/>
  <c r="V583" i="59" s="1"/>
  <c r="W583" i="59" s="1"/>
  <c r="S805" i="59"/>
  <c r="T805" i="59" s="1"/>
  <c r="U805" i="59" s="1"/>
  <c r="V805" i="59" s="1"/>
  <c r="K687" i="59"/>
  <c r="K719" i="59" s="1"/>
  <c r="K673" i="59" s="1"/>
  <c r="S694" i="59"/>
  <c r="T694" i="59" s="1"/>
  <c r="T806" i="59"/>
  <c r="O465" i="59"/>
  <c r="P465" i="59" s="1"/>
  <c r="AH596" i="59"/>
  <c r="AC591" i="59"/>
  <c r="M464" i="59"/>
  <c r="N464" i="59" s="1"/>
  <c r="O464" i="59" s="1"/>
  <c r="P464" i="59" s="1"/>
  <c r="AK488" i="59"/>
  <c r="AL488" i="59" s="1"/>
  <c r="L574" i="59"/>
  <c r="M574" i="59" s="1"/>
  <c r="N574" i="59" s="1"/>
  <c r="AF703" i="59"/>
  <c r="AG703" i="59" s="1"/>
  <c r="AH703" i="59" s="1"/>
  <c r="AI703" i="59" s="1"/>
  <c r="AJ703" i="59" s="1"/>
  <c r="AK703" i="59" s="1"/>
  <c r="AL703" i="59" s="1"/>
  <c r="AG872" i="59"/>
  <c r="AH872" i="59" s="1"/>
  <c r="W698" i="59"/>
  <c r="X698" i="59" s="1"/>
  <c r="Y698" i="59" s="1"/>
  <c r="K853" i="59"/>
  <c r="K885" i="59" s="1"/>
  <c r="K839" i="59" s="1"/>
  <c r="P690" i="59"/>
  <c r="Q690" i="59" s="1"/>
  <c r="R690" i="59" s="1"/>
  <c r="S690" i="59" s="1"/>
  <c r="T690" i="59" s="1"/>
  <c r="U690" i="59" s="1"/>
  <c r="V690" i="59" s="1"/>
  <c r="W690" i="59" s="1"/>
  <c r="X690" i="59" s="1"/>
  <c r="Y690" i="59" s="1"/>
  <c r="Z690" i="59" s="1"/>
  <c r="AA690" i="59" s="1"/>
  <c r="AB690" i="59" s="1"/>
  <c r="AC690" i="59" s="1"/>
  <c r="AD690" i="59" s="1"/>
  <c r="AE690" i="59" s="1"/>
  <c r="AF690" i="59" s="1"/>
  <c r="AG690" i="59" s="1"/>
  <c r="AH690" i="59" s="1"/>
  <c r="AI690" i="59" s="1"/>
  <c r="AJ690" i="59" s="1"/>
  <c r="AK690" i="59" s="1"/>
  <c r="AL690" i="59" s="1"/>
  <c r="AF482" i="59"/>
  <c r="AG482" i="59" s="1"/>
  <c r="Q857" i="59"/>
  <c r="R857" i="59" s="1"/>
  <c r="AJ711" i="59"/>
  <c r="AK711" i="59" s="1"/>
  <c r="AL711" i="59" s="1"/>
  <c r="AC813" i="59"/>
  <c r="AD813" i="59" s="1"/>
  <c r="M460" i="59"/>
  <c r="N460" i="59" s="1"/>
  <c r="O460" i="59" s="1"/>
  <c r="P460" i="59" s="1"/>
  <c r="AA868" i="59"/>
  <c r="AB868" i="59" s="1"/>
  <c r="AC868" i="59" s="1"/>
  <c r="R468" i="59"/>
  <c r="S469" i="59"/>
  <c r="AI595" i="59"/>
  <c r="AF593" i="59"/>
  <c r="AG593" i="59" s="1"/>
  <c r="Q856" i="59"/>
  <c r="R856" i="59" s="1"/>
  <c r="S856" i="59" s="1"/>
  <c r="T856" i="59" s="1"/>
  <c r="T470" i="59"/>
  <c r="U470" i="59" s="1"/>
  <c r="U695" i="59"/>
  <c r="V695" i="59" s="1"/>
  <c r="M463" i="59"/>
  <c r="N463" i="59" s="1"/>
  <c r="N852" i="59"/>
  <c r="G504" i="59"/>
  <c r="H501" i="59" s="1"/>
  <c r="M799" i="59"/>
  <c r="N799" i="59" s="1"/>
  <c r="AN177" i="63"/>
  <c r="AN211" i="63"/>
  <c r="AN273" i="63" s="1"/>
  <c r="AN277" i="63" s="1"/>
  <c r="AN77" i="63" s="1"/>
  <c r="F78" i="46"/>
  <c r="N800" i="59"/>
  <c r="O800" i="59" s="1"/>
  <c r="Q802" i="59"/>
  <c r="AI1028" i="59"/>
  <c r="AI185" i="59"/>
  <c r="AI16" i="60"/>
  <c r="AI112" i="60" s="1"/>
  <c r="L796" i="59"/>
  <c r="M796" i="59" s="1"/>
  <c r="N796" i="59" s="1"/>
  <c r="AK15" i="73"/>
  <c r="AL81" i="73"/>
  <c r="AK87" i="73"/>
  <c r="AJ820" i="59"/>
  <c r="AK820" i="59" s="1"/>
  <c r="AD869" i="59"/>
  <c r="AD815" i="59"/>
  <c r="AE815" i="59" s="1"/>
  <c r="AF815" i="59" s="1"/>
  <c r="AG815" i="59" s="1"/>
  <c r="AH815" i="59" s="1"/>
  <c r="AI815" i="59" s="1"/>
  <c r="AJ815" i="59" s="1"/>
  <c r="AK815" i="59" s="1"/>
  <c r="AL815" i="59" s="1"/>
  <c r="AL80" i="46"/>
  <c r="AL62" i="46"/>
  <c r="AM63" i="46" s="1"/>
  <c r="AL1048" i="59"/>
  <c r="AL1031" i="59"/>
  <c r="AL262" i="59"/>
  <c r="AL317" i="59" s="1"/>
  <c r="AL269" i="59"/>
  <c r="AL324" i="59" s="1"/>
  <c r="AL259" i="59"/>
  <c r="AL261" i="59"/>
  <c r="AL268" i="59"/>
  <c r="AL323" i="59" s="1"/>
  <c r="AL271" i="59"/>
  <c r="AL326" i="59" s="1"/>
  <c r="AL260" i="59"/>
  <c r="AL315" i="59" s="1"/>
  <c r="AL264" i="59"/>
  <c r="AL319" i="59" s="1"/>
  <c r="AL267" i="59"/>
  <c r="AL322" i="59" s="1"/>
  <c r="AL263" i="59"/>
  <c r="AL318" i="59" s="1"/>
  <c r="AL270" i="59"/>
  <c r="AL325" i="59" s="1"/>
  <c r="AL266" i="59"/>
  <c r="AL321" i="59" s="1"/>
  <c r="Z701" i="59"/>
  <c r="AA866" i="59"/>
  <c r="AB866" i="59" s="1"/>
  <c r="AC866" i="59" s="1"/>
  <c r="AD866" i="59" s="1"/>
  <c r="Q804" i="59"/>
  <c r="AI487" i="59"/>
  <c r="AJ487" i="59" s="1"/>
  <c r="V807" i="59"/>
  <c r="AG817" i="59"/>
  <c r="AH817" i="59" s="1"/>
  <c r="AI817" i="59" s="1"/>
  <c r="AJ817" i="59" s="1"/>
  <c r="AK817" i="59" s="1"/>
  <c r="AL817" i="59" s="1"/>
  <c r="I840" i="59"/>
  <c r="J837" i="59" s="1"/>
  <c r="J840" i="59" s="1"/>
  <c r="K837" i="59" s="1"/>
  <c r="AK80" i="46"/>
  <c r="AK62" i="46"/>
  <c r="AL63" i="46" s="1"/>
  <c r="Y475" i="59"/>
  <c r="R580" i="59"/>
  <c r="S580" i="59" s="1"/>
  <c r="AK81" i="46"/>
  <c r="AK66" i="46"/>
  <c r="AK67" i="46" s="1"/>
  <c r="AK82" i="46" s="1"/>
  <c r="AI486" i="59"/>
  <c r="AJ486" i="59" s="1"/>
  <c r="J774" i="59"/>
  <c r="J728" i="59" s="1"/>
  <c r="AI877" i="59"/>
  <c r="U472" i="59"/>
  <c r="V472" i="59" s="1"/>
  <c r="L462" i="59"/>
  <c r="M462" i="59" s="1"/>
  <c r="X585" i="59"/>
  <c r="J461" i="59"/>
  <c r="J494" i="59" s="1"/>
  <c r="J448" i="59" s="1"/>
  <c r="Y587" i="59"/>
  <c r="O466" i="59"/>
  <c r="P466" i="59" s="1"/>
  <c r="AH709" i="59"/>
  <c r="AC704" i="59"/>
  <c r="AL15" i="73"/>
  <c r="AN364" i="63"/>
  <c r="AN375" i="63" s="1"/>
  <c r="F361" i="63"/>
  <c r="AN201" i="63"/>
  <c r="AN200" i="63"/>
  <c r="AN204" i="63"/>
  <c r="F198" i="63"/>
  <c r="Z702" i="59"/>
  <c r="AA702" i="59" s="1"/>
  <c r="W863" i="59"/>
  <c r="X863" i="59" s="1"/>
  <c r="AJ15" i="73"/>
  <c r="I674" i="59"/>
  <c r="J671" i="59" s="1"/>
  <c r="J674" i="59" s="1"/>
  <c r="K671" i="59" s="1"/>
  <c r="AM304" i="63"/>
  <c r="AM310" i="63" s="1"/>
  <c r="AM301" i="63" a="1"/>
  <c r="AM301" i="63" s="1"/>
  <c r="AM303" i="63" s="1"/>
  <c r="U862" i="59"/>
  <c r="V862" i="59" s="1"/>
  <c r="W862" i="59" s="1"/>
  <c r="X862" i="59" s="1"/>
  <c r="Z812" i="59"/>
  <c r="S693" i="59"/>
  <c r="T693" i="59" s="1"/>
  <c r="AD705" i="59"/>
  <c r="AE705" i="59" s="1"/>
  <c r="AF705" i="59" s="1"/>
  <c r="AG705" i="59" s="1"/>
  <c r="G560" i="59"/>
  <c r="H557" i="59" s="1"/>
  <c r="H560" i="59" s="1"/>
  <c r="I557" i="59" s="1"/>
  <c r="P801" i="59"/>
  <c r="AL717" i="59"/>
  <c r="AL718" i="59"/>
  <c r="AL493" i="59"/>
  <c r="AL492" i="59"/>
  <c r="AL829" i="59"/>
  <c r="AL828" i="59"/>
  <c r="AL604" i="59"/>
  <c r="AL603" i="59"/>
  <c r="AG707" i="59"/>
  <c r="AH710" i="59"/>
  <c r="U808" i="59"/>
  <c r="S859" i="59"/>
  <c r="W865" i="59"/>
  <c r="AI819" i="59"/>
  <c r="AE870" i="59"/>
  <c r="AC479" i="59"/>
  <c r="AN21" i="59"/>
  <c r="AN25" i="59"/>
  <c r="AN20" i="59"/>
  <c r="AN24" i="59"/>
  <c r="AN28" i="59"/>
  <c r="AN16" i="59"/>
  <c r="AN23" i="59"/>
  <c r="AN27" i="59"/>
  <c r="AN22" i="59"/>
  <c r="AN26" i="59"/>
  <c r="AN1076" i="59" s="1"/>
  <c r="G16" i="59"/>
  <c r="H16" i="59"/>
  <c r="I16" i="59"/>
  <c r="K16" i="59"/>
  <c r="J16" i="59"/>
  <c r="L16" i="59"/>
  <c r="M16" i="59"/>
  <c r="O16" i="59"/>
  <c r="N16" i="59"/>
  <c r="P16" i="59"/>
  <c r="R16" i="59"/>
  <c r="Q16" i="59"/>
  <c r="T16" i="59"/>
  <c r="V16" i="59"/>
  <c r="S16" i="59"/>
  <c r="W16" i="59"/>
  <c r="U16" i="59"/>
  <c r="X16" i="59"/>
  <c r="Y16" i="59"/>
  <c r="Z16" i="59"/>
  <c r="AB16" i="59"/>
  <c r="AA16" i="59"/>
  <c r="AD16" i="59"/>
  <c r="AC16" i="59"/>
  <c r="AF16" i="59"/>
  <c r="AE16" i="59"/>
  <c r="AH16" i="59"/>
  <c r="AK16" i="59"/>
  <c r="AI16" i="59"/>
  <c r="AG16" i="59"/>
  <c r="AJ361" i="59"/>
  <c r="AJ83" i="46"/>
  <c r="N688" i="59"/>
  <c r="AJ597" i="59"/>
  <c r="AK597" i="59" s="1"/>
  <c r="Q803" i="59"/>
  <c r="AH484" i="59"/>
  <c r="AI484" i="59" s="1"/>
  <c r="AK599" i="59"/>
  <c r="AL599" i="59" s="1"/>
  <c r="AI485" i="59"/>
  <c r="AJ485" i="59" s="1"/>
  <c r="AG483" i="59"/>
  <c r="AH594" i="59"/>
  <c r="AI594" i="59" s="1"/>
  <c r="L91" i="63"/>
  <c r="P91" i="63"/>
  <c r="T91" i="63"/>
  <c r="G91" i="63"/>
  <c r="Y91" i="63"/>
  <c r="AC91" i="63"/>
  <c r="AG91" i="63"/>
  <c r="AK91" i="63"/>
  <c r="K91" i="63"/>
  <c r="O91" i="63"/>
  <c r="S91" i="63"/>
  <c r="H91" i="63"/>
  <c r="Z91" i="63"/>
  <c r="AD91" i="63"/>
  <c r="AH91" i="63"/>
  <c r="AL91" i="63"/>
  <c r="J91" i="63"/>
  <c r="N91" i="63"/>
  <c r="R91" i="63"/>
  <c r="V91" i="63"/>
  <c r="W91" i="63"/>
  <c r="AA91" i="63"/>
  <c r="AE91" i="63"/>
  <c r="AI91" i="63"/>
  <c r="AM91" i="63"/>
  <c r="I91" i="63"/>
  <c r="M91" i="63"/>
  <c r="Q91" i="63"/>
  <c r="U91" i="63"/>
  <c r="X91" i="63"/>
  <c r="AB91" i="63"/>
  <c r="AF91" i="63"/>
  <c r="AJ91" i="63"/>
  <c r="AN91" i="63"/>
  <c r="AN152" i="63"/>
  <c r="AN150" i="63"/>
  <c r="AN15" i="73"/>
  <c r="AN20" i="73"/>
  <c r="AN22" i="73"/>
  <c r="AN24" i="73"/>
  <c r="AN26" i="73"/>
  <c r="AN19" i="73"/>
  <c r="AN21" i="73"/>
  <c r="AN23" i="73"/>
  <c r="AN25" i="73"/>
  <c r="AN27" i="73"/>
  <c r="G15" i="73"/>
  <c r="I15" i="73"/>
  <c r="H15" i="73"/>
  <c r="J15" i="73"/>
  <c r="K15" i="73"/>
  <c r="L15" i="73"/>
  <c r="M15" i="73"/>
  <c r="N15" i="73"/>
  <c r="O15" i="73"/>
  <c r="Q15" i="73"/>
  <c r="P15" i="73"/>
  <c r="R15" i="73"/>
  <c r="S15" i="73"/>
  <c r="T15" i="73"/>
  <c r="V15" i="73"/>
  <c r="U15" i="73"/>
  <c r="X15" i="73"/>
  <c r="W15" i="73"/>
  <c r="Y15" i="73"/>
  <c r="AC15" i="73"/>
  <c r="Z15" i="73"/>
  <c r="AA15" i="73"/>
  <c r="AB15" i="73"/>
  <c r="AF15" i="73"/>
  <c r="AD15" i="73"/>
  <c r="AE15" i="73"/>
  <c r="AJ56" i="63"/>
  <c r="W809" i="59"/>
  <c r="M686" i="59"/>
  <c r="AE871" i="59"/>
  <c r="AG15" i="73"/>
  <c r="AM15" i="73"/>
  <c r="AM142" i="63"/>
  <c r="AM272" i="63"/>
  <c r="AN20" i="63"/>
  <c r="AN24" i="63"/>
  <c r="AN19" i="63"/>
  <c r="AN23" i="63"/>
  <c r="AN27" i="63"/>
  <c r="AN15" i="63"/>
  <c r="AN22" i="63"/>
  <c r="AN26" i="63"/>
  <c r="AN21" i="63"/>
  <c r="AN25" i="63"/>
  <c r="G15" i="63"/>
  <c r="H15" i="63"/>
  <c r="J15" i="63"/>
  <c r="I15" i="63"/>
  <c r="L15" i="63"/>
  <c r="K15" i="63"/>
  <c r="N15" i="63"/>
  <c r="M15" i="63"/>
  <c r="O15" i="63"/>
  <c r="P15" i="63"/>
  <c r="Q15" i="63"/>
  <c r="R15" i="63"/>
  <c r="S15" i="63"/>
  <c r="U15" i="63"/>
  <c r="T15" i="63"/>
  <c r="V15" i="63"/>
  <c r="X15" i="63"/>
  <c r="W15" i="63"/>
  <c r="AA15" i="63"/>
  <c r="Y15" i="63"/>
  <c r="AB15" i="63"/>
  <c r="Z15" i="63"/>
  <c r="AD15" i="63"/>
  <c r="AC15" i="63"/>
  <c r="AE15" i="63"/>
  <c r="AL15" i="63"/>
  <c r="AH15" i="63"/>
  <c r="AI15" i="63"/>
  <c r="AJ15" i="63"/>
  <c r="AG15" i="63"/>
  <c r="AF15" i="63"/>
  <c r="X810" i="59"/>
  <c r="Y810" i="59" s="1"/>
  <c r="AC816" i="59"/>
  <c r="AJ712" i="59"/>
  <c r="AK712" i="59" s="1"/>
  <c r="AL712" i="59" s="1"/>
  <c r="AF818" i="59"/>
  <c r="U861" i="59"/>
  <c r="AE873" i="59"/>
  <c r="M798" i="59"/>
  <c r="N798" i="59" s="1"/>
  <c r="AL883" i="59"/>
  <c r="AL884" i="59"/>
  <c r="AL658" i="59"/>
  <c r="AL659" i="59"/>
  <c r="AL58" i="63"/>
  <c r="AL55" i="63"/>
  <c r="Q692" i="59"/>
  <c r="AB867" i="59"/>
  <c r="AJ822" i="59"/>
  <c r="AK822" i="59" s="1"/>
  <c r="AL822" i="59" s="1"/>
  <c r="Y700" i="59"/>
  <c r="AJ821" i="59"/>
  <c r="O855" i="59"/>
  <c r="Y477" i="59"/>
  <c r="Z477" i="59" s="1"/>
  <c r="V584" i="59"/>
  <c r="W584" i="59" s="1"/>
  <c r="H729" i="59"/>
  <c r="I726" i="59" s="1"/>
  <c r="AM77" i="63"/>
  <c r="AM66" i="60"/>
  <c r="AM354" i="63" s="1"/>
  <c r="W473" i="59"/>
  <c r="O577" i="59"/>
  <c r="AA589" i="59"/>
  <c r="I494" i="59"/>
  <c r="I448" i="59" s="1"/>
  <c r="AE592" i="59"/>
  <c r="N575" i="59"/>
  <c r="L571" i="59"/>
  <c r="U582" i="59"/>
  <c r="V582" i="59" s="1"/>
  <c r="AL16" i="59"/>
  <c r="Y588" i="59"/>
  <c r="O578" i="59"/>
  <c r="AG875" i="59"/>
  <c r="AA590" i="59"/>
  <c r="AN253" i="63"/>
  <c r="AN258" i="63" s="1"/>
  <c r="I104" i="63"/>
  <c r="I216" i="63" s="1"/>
  <c r="M104" i="63"/>
  <c r="M216" i="63" s="1"/>
  <c r="Q104" i="63"/>
  <c r="Q216" i="63" s="1"/>
  <c r="U104" i="63"/>
  <c r="U216" i="63" s="1"/>
  <c r="AM104" i="63"/>
  <c r="AM216" i="63" s="1"/>
  <c r="W104" i="63"/>
  <c r="W216" i="63" s="1"/>
  <c r="X104" i="63"/>
  <c r="X216" i="63" s="1"/>
  <c r="Y104" i="63"/>
  <c r="Y216" i="63" s="1"/>
  <c r="Z104" i="63"/>
  <c r="Z216" i="63" s="1"/>
  <c r="AA104" i="63"/>
  <c r="AA216" i="63" s="1"/>
  <c r="AB104" i="63"/>
  <c r="AB216" i="63" s="1"/>
  <c r="AC104" i="63"/>
  <c r="AC216" i="63" s="1"/>
  <c r="AD104" i="63"/>
  <c r="AD216" i="63" s="1"/>
  <c r="AE104" i="63"/>
  <c r="AE216" i="63" s="1"/>
  <c r="AF104" i="63"/>
  <c r="AF216" i="63" s="1"/>
  <c r="AG104" i="63"/>
  <c r="AG216" i="63" s="1"/>
  <c r="AH104" i="63"/>
  <c r="AH216" i="63" s="1"/>
  <c r="AI104" i="63"/>
  <c r="AI216" i="63" s="1"/>
  <c r="AJ104" i="63"/>
  <c r="AJ216" i="63" s="1"/>
  <c r="J104" i="63"/>
  <c r="J216" i="63" s="1"/>
  <c r="N104" i="63"/>
  <c r="N216" i="63" s="1"/>
  <c r="R104" i="63"/>
  <c r="R216" i="63" s="1"/>
  <c r="V104" i="63"/>
  <c r="V216" i="63" s="1"/>
  <c r="AN104" i="63"/>
  <c r="AN216" i="63" s="1"/>
  <c r="G104" i="63"/>
  <c r="G216" i="63" s="1"/>
  <c r="K104" i="63"/>
  <c r="K216" i="63" s="1"/>
  <c r="O104" i="63"/>
  <c r="O216" i="63" s="1"/>
  <c r="S104" i="63"/>
  <c r="S216" i="63" s="1"/>
  <c r="AK104" i="63"/>
  <c r="AK216" i="63" s="1"/>
  <c r="H104" i="63"/>
  <c r="H216" i="63" s="1"/>
  <c r="L104" i="63"/>
  <c r="L216" i="63" s="1"/>
  <c r="P104" i="63"/>
  <c r="P216" i="63" s="1"/>
  <c r="T104" i="63"/>
  <c r="T216" i="63" s="1"/>
  <c r="AL104" i="63"/>
  <c r="AL216" i="63" s="1"/>
  <c r="AN71" i="46"/>
  <c r="AN79" i="46"/>
  <c r="F79" i="46" s="1"/>
  <c r="AN285" i="63"/>
  <c r="AN53" i="46"/>
  <c r="AN173" i="59"/>
  <c r="AN175" i="59" s="1"/>
  <c r="AN182" i="59" s="1"/>
  <c r="AN290" i="59"/>
  <c r="AN294" i="59" s="1"/>
  <c r="F50" i="46"/>
  <c r="Y864" i="59"/>
  <c r="AD706" i="59"/>
  <c r="AE706" i="59" s="1"/>
  <c r="O689" i="59"/>
  <c r="AM45" i="73"/>
  <c r="AM106" i="59"/>
  <c r="AM94" i="59"/>
  <c r="AM50" i="63"/>
  <c r="AM453" i="59"/>
  <c r="AM508" i="59"/>
  <c r="AM256" i="59"/>
  <c r="AM265" i="59" s="1"/>
  <c r="AM320" i="59" s="1"/>
  <c r="AM915" i="59"/>
  <c r="AM916" i="59" s="1"/>
  <c r="AM619" i="59"/>
  <c r="AM564" i="59"/>
  <c r="AM304" i="59"/>
  <c r="AM298" i="59"/>
  <c r="AM300" i="59" s="1"/>
  <c r="AM329" i="59" s="1"/>
  <c r="AM678" i="59"/>
  <c r="AM733" i="59"/>
  <c r="AM789" i="59"/>
  <c r="AM844" i="59"/>
  <c r="AM1020" i="59"/>
  <c r="G905" i="59"/>
  <c r="H902" i="59" s="1"/>
  <c r="AH15" i="73"/>
  <c r="Q858" i="59"/>
  <c r="G449" i="59"/>
  <c r="H446" i="59" s="1"/>
  <c r="H449" i="59" s="1"/>
  <c r="I446" i="59" s="1"/>
  <c r="T696" i="59"/>
  <c r="AB814" i="59"/>
  <c r="AK54" i="73"/>
  <c r="AJ60" i="73"/>
  <c r="AL350" i="59"/>
  <c r="AL36" i="60"/>
  <c r="AL1071" i="59"/>
  <c r="AL1106" i="59"/>
  <c r="AL1109" i="59" s="1"/>
  <c r="M854" i="59"/>
  <c r="Z811" i="59"/>
  <c r="AI598" i="59"/>
  <c r="M851" i="59"/>
  <c r="W697" i="59"/>
  <c r="X697" i="59" s="1"/>
  <c r="Y697" i="59" s="1"/>
  <c r="J797" i="59"/>
  <c r="J572" i="59"/>
  <c r="AG708" i="59"/>
  <c r="AH708" i="59" s="1"/>
  <c r="AC480" i="59"/>
  <c r="AD480" i="59" s="1"/>
  <c r="X586" i="59"/>
  <c r="AM43" i="68"/>
  <c r="AM46" i="68" s="1"/>
  <c r="AM20" i="68"/>
  <c r="AM21" i="68" s="1"/>
  <c r="X699" i="59"/>
  <c r="O467" i="59"/>
  <c r="Z478" i="59"/>
  <c r="M576" i="59"/>
  <c r="I549" i="59"/>
  <c r="I503" i="59" s="1"/>
  <c r="Z476" i="59"/>
  <c r="O691" i="59"/>
  <c r="S860" i="59"/>
  <c r="V474" i="59"/>
  <c r="AM59" i="59" l="1"/>
  <c r="I729" i="59"/>
  <c r="J726" i="59" s="1"/>
  <c r="J729" i="59" s="1"/>
  <c r="K726" i="59" s="1"/>
  <c r="K729" i="59" s="1"/>
  <c r="L726" i="59" s="1"/>
  <c r="AM341" i="59"/>
  <c r="AM28" i="60"/>
  <c r="AM523" i="59"/>
  <c r="AM536" i="59"/>
  <c r="AM546" i="59"/>
  <c r="AJ763" i="59"/>
  <c r="AK763" i="59" s="1"/>
  <c r="AL926" i="59"/>
  <c r="AL927" i="59" s="1"/>
  <c r="AL58" i="60" s="1"/>
  <c r="AL124" i="60" s="1"/>
  <c r="R522" i="59"/>
  <c r="S522" i="59" s="1"/>
  <c r="T522" i="59" s="1"/>
  <c r="U522" i="59" s="1"/>
  <c r="V522" i="59" s="1"/>
  <c r="W522" i="59" s="1"/>
  <c r="X522" i="59" s="1"/>
  <c r="Y522" i="59" s="1"/>
  <c r="Z522" i="59" s="1"/>
  <c r="AA522" i="59" s="1"/>
  <c r="AB522" i="59" s="1"/>
  <c r="AC522" i="59" s="1"/>
  <c r="AD522" i="59" s="1"/>
  <c r="AE522" i="59" s="1"/>
  <c r="AF522" i="59" s="1"/>
  <c r="AG522" i="59" s="1"/>
  <c r="AH522" i="59" s="1"/>
  <c r="AI522" i="59" s="1"/>
  <c r="AJ522" i="59" s="1"/>
  <c r="AK522" i="59" s="1"/>
  <c r="AL522" i="59" s="1"/>
  <c r="AM522" i="59" s="1"/>
  <c r="AD757" i="59"/>
  <c r="AE757" i="59" s="1"/>
  <c r="AF757" i="59" s="1"/>
  <c r="AG757" i="59" s="1"/>
  <c r="AH757" i="59" s="1"/>
  <c r="AI757" i="59" s="1"/>
  <c r="AJ757" i="59" s="1"/>
  <c r="AK757" i="59" s="1"/>
  <c r="AL757" i="59" s="1"/>
  <c r="AM757" i="59" s="1"/>
  <c r="AK539" i="59"/>
  <c r="AL539" i="59" s="1"/>
  <c r="AC533" i="59"/>
  <c r="AD533" i="59" s="1"/>
  <c r="R743" i="59"/>
  <c r="S743" i="59" s="1"/>
  <c r="T743" i="59" s="1"/>
  <c r="U743" i="59" s="1"/>
  <c r="V743" i="59" s="1"/>
  <c r="W743" i="59" s="1"/>
  <c r="X743" i="59" s="1"/>
  <c r="Y743" i="59" s="1"/>
  <c r="Z743" i="59" s="1"/>
  <c r="AA743" i="59" s="1"/>
  <c r="AB743" i="59" s="1"/>
  <c r="AC743" i="59" s="1"/>
  <c r="AD743" i="59" s="1"/>
  <c r="AE743" i="59" s="1"/>
  <c r="AF743" i="59" s="1"/>
  <c r="AG743" i="59" s="1"/>
  <c r="AH743" i="59" s="1"/>
  <c r="AI743" i="59" s="1"/>
  <c r="AJ743" i="59" s="1"/>
  <c r="AK743" i="59" s="1"/>
  <c r="AL743" i="59" s="1"/>
  <c r="Z531" i="59"/>
  <c r="AA531" i="59" s="1"/>
  <c r="AB531" i="59" s="1"/>
  <c r="AA749" i="59"/>
  <c r="AB749" i="59" s="1"/>
  <c r="AC749" i="59" s="1"/>
  <c r="AD749" i="59" s="1"/>
  <c r="AE749" i="59" s="1"/>
  <c r="AF749" i="59" s="1"/>
  <c r="AG749" i="59" s="1"/>
  <c r="AH749" i="59" s="1"/>
  <c r="AI749" i="59" s="1"/>
  <c r="AJ749" i="59" s="1"/>
  <c r="AK749" i="59" s="1"/>
  <c r="AL749" i="59" s="1"/>
  <c r="AM749" i="59" s="1"/>
  <c r="N515" i="59"/>
  <c r="O515" i="59" s="1"/>
  <c r="AH537" i="59"/>
  <c r="AI537" i="59" s="1"/>
  <c r="AJ537" i="59" s="1"/>
  <c r="AC534" i="59"/>
  <c r="AD534" i="59" s="1"/>
  <c r="Y751" i="59"/>
  <c r="Z751" i="59" s="1"/>
  <c r="AA751" i="59" s="1"/>
  <c r="AB751" i="59" s="1"/>
  <c r="AC751" i="59" s="1"/>
  <c r="AD751" i="59" s="1"/>
  <c r="AE751" i="59" s="1"/>
  <c r="AF751" i="59" s="1"/>
  <c r="AG751" i="59" s="1"/>
  <c r="AH751" i="59" s="1"/>
  <c r="AI751" i="59" s="1"/>
  <c r="AJ751" i="59" s="1"/>
  <c r="Z752" i="59"/>
  <c r="AA752" i="59" s="1"/>
  <c r="AB752" i="59" s="1"/>
  <c r="AC752" i="59" s="1"/>
  <c r="P520" i="59"/>
  <c r="Q520" i="59" s="1"/>
  <c r="R520" i="59" s="1"/>
  <c r="AG754" i="59"/>
  <c r="AH754" i="59" s="1"/>
  <c r="AI754" i="59" s="1"/>
  <c r="AJ754" i="59" s="1"/>
  <c r="AK754" i="59" s="1"/>
  <c r="AL754" i="59" s="1"/>
  <c r="AI762" i="59"/>
  <c r="AJ762" i="59" s="1"/>
  <c r="V745" i="59"/>
  <c r="W745" i="59" s="1"/>
  <c r="X745" i="59" s="1"/>
  <c r="Y745" i="59" s="1"/>
  <c r="Z745" i="59" s="1"/>
  <c r="AA745" i="59" s="1"/>
  <c r="AB745" i="59" s="1"/>
  <c r="AC745" i="59" s="1"/>
  <c r="AD745" i="59" s="1"/>
  <c r="AE745" i="59" s="1"/>
  <c r="AF745" i="59" s="1"/>
  <c r="AG745" i="59" s="1"/>
  <c r="AH745" i="59" s="1"/>
  <c r="AI745" i="59" s="1"/>
  <c r="AJ745" i="59" s="1"/>
  <c r="AK745" i="59" s="1"/>
  <c r="AL745" i="59" s="1"/>
  <c r="AM745" i="59" s="1"/>
  <c r="V526" i="59"/>
  <c r="W526" i="59" s="1"/>
  <c r="X526" i="59" s="1"/>
  <c r="Y526" i="59" s="1"/>
  <c r="Z526" i="59" s="1"/>
  <c r="AA526" i="59" s="1"/>
  <c r="AB526" i="59" s="1"/>
  <c r="AC526" i="59" s="1"/>
  <c r="AD526" i="59" s="1"/>
  <c r="AE526" i="59" s="1"/>
  <c r="AF526" i="59" s="1"/>
  <c r="AG526" i="59" s="1"/>
  <c r="AH526" i="59" s="1"/>
  <c r="AI526" i="59" s="1"/>
  <c r="AJ526" i="59" s="1"/>
  <c r="AK526" i="59" s="1"/>
  <c r="AL526" i="59" s="1"/>
  <c r="AM526" i="59" s="1"/>
  <c r="Q742" i="59"/>
  <c r="R742" i="59" s="1"/>
  <c r="S742" i="59" s="1"/>
  <c r="T742" i="59" s="1"/>
  <c r="AF760" i="59"/>
  <c r="AG760" i="59" s="1"/>
  <c r="AH760" i="59" s="1"/>
  <c r="AI760" i="59" s="1"/>
  <c r="AJ760" i="59" s="1"/>
  <c r="W750" i="59"/>
  <c r="X750" i="59" s="1"/>
  <c r="Y750" i="59" s="1"/>
  <c r="Z750" i="59" s="1"/>
  <c r="AA750" i="59" s="1"/>
  <c r="AB750" i="59" s="1"/>
  <c r="AC750" i="59" s="1"/>
  <c r="AD750" i="59" s="1"/>
  <c r="AE750" i="59" s="1"/>
  <c r="AF750" i="59" s="1"/>
  <c r="AG750" i="59" s="1"/>
  <c r="AH750" i="59" s="1"/>
  <c r="AI750" i="59" s="1"/>
  <c r="AJ750" i="59" s="1"/>
  <c r="AK750" i="59" s="1"/>
  <c r="AL750" i="59" s="1"/>
  <c r="AM750" i="59" s="1"/>
  <c r="U748" i="59"/>
  <c r="V748" i="59" s="1"/>
  <c r="W748" i="59" s="1"/>
  <c r="X748" i="59" s="1"/>
  <c r="Y748" i="59" s="1"/>
  <c r="Z748" i="59" s="1"/>
  <c r="AA748" i="59" s="1"/>
  <c r="AB748" i="59" s="1"/>
  <c r="AC748" i="59" s="1"/>
  <c r="AD748" i="59" s="1"/>
  <c r="AE748" i="59" s="1"/>
  <c r="AF748" i="59" s="1"/>
  <c r="AG748" i="59" s="1"/>
  <c r="AH748" i="59" s="1"/>
  <c r="AI748" i="59" s="1"/>
  <c r="AJ748" i="59" s="1"/>
  <c r="AK748" i="59" s="1"/>
  <c r="AL748" i="59" s="1"/>
  <c r="AM748" i="59" s="1"/>
  <c r="L740" i="59"/>
  <c r="M740" i="59" s="1"/>
  <c r="N740" i="59" s="1"/>
  <c r="O740" i="59" s="1"/>
  <c r="P740" i="59" s="1"/>
  <c r="AM746" i="59"/>
  <c r="AM925" i="59"/>
  <c r="AN922" i="59" s="1"/>
  <c r="Q518" i="59"/>
  <c r="R518" i="59" s="1"/>
  <c r="AH538" i="59"/>
  <c r="M516" i="59"/>
  <c r="N516" i="59" s="1"/>
  <c r="AD755" i="59"/>
  <c r="AE755" i="59" s="1"/>
  <c r="AF755" i="59" s="1"/>
  <c r="AG755" i="59" s="1"/>
  <c r="AH755" i="59" s="1"/>
  <c r="AI755" i="59" s="1"/>
  <c r="AJ755" i="59" s="1"/>
  <c r="AK755" i="59" s="1"/>
  <c r="AL755" i="59" s="1"/>
  <c r="AM755" i="59" s="1"/>
  <c r="Z753" i="59"/>
  <c r="AA753" i="59" s="1"/>
  <c r="AB753" i="59" s="1"/>
  <c r="AC753" i="59" s="1"/>
  <c r="AD753" i="59" s="1"/>
  <c r="AE753" i="59" s="1"/>
  <c r="AF753" i="59" s="1"/>
  <c r="AG753" i="59" s="1"/>
  <c r="AH753" i="59" s="1"/>
  <c r="AI753" i="59" s="1"/>
  <c r="AJ753" i="59" s="1"/>
  <c r="AK753" i="59" s="1"/>
  <c r="AL753" i="59" s="1"/>
  <c r="AM753" i="59" s="1"/>
  <c r="AM765" i="59"/>
  <c r="AM761" i="59"/>
  <c r="AM768" i="59"/>
  <c r="AM764" i="59"/>
  <c r="AM769" i="59"/>
  <c r="AM772" i="59"/>
  <c r="AM773" i="59"/>
  <c r="AM771" i="59"/>
  <c r="AM767" i="59"/>
  <c r="AM548" i="59"/>
  <c r="AM542" i="59"/>
  <c r="AM543" i="59"/>
  <c r="AM541" i="59"/>
  <c r="AM547" i="59"/>
  <c r="X530" i="59"/>
  <c r="Y530" i="59" s="1"/>
  <c r="Z530" i="59" s="1"/>
  <c r="AA530" i="59" s="1"/>
  <c r="AB530" i="59" s="1"/>
  <c r="AC530" i="59" s="1"/>
  <c r="AH535" i="59"/>
  <c r="AI535" i="59" s="1"/>
  <c r="AJ535" i="59" s="1"/>
  <c r="AM758" i="59"/>
  <c r="AC759" i="59"/>
  <c r="AD759" i="59" s="1"/>
  <c r="AE759" i="59" s="1"/>
  <c r="AF759" i="59" s="1"/>
  <c r="AG759" i="59" s="1"/>
  <c r="AH759" i="59" s="1"/>
  <c r="AI759" i="59" s="1"/>
  <c r="AJ759" i="59" s="1"/>
  <c r="AK759" i="59" s="1"/>
  <c r="AL759" i="59" s="1"/>
  <c r="AM759" i="59" s="1"/>
  <c r="AC532" i="59"/>
  <c r="AD532" i="59" s="1"/>
  <c r="AE532" i="59" s="1"/>
  <c r="AF532" i="59" s="1"/>
  <c r="AG532" i="59" s="1"/>
  <c r="AH532" i="59" s="1"/>
  <c r="AI532" i="59" s="1"/>
  <c r="AJ532" i="59" s="1"/>
  <c r="AK532" i="59" s="1"/>
  <c r="AL532" i="59" s="1"/>
  <c r="AM532" i="59" s="1"/>
  <c r="S524" i="59"/>
  <c r="T524" i="59" s="1"/>
  <c r="U524" i="59" s="1"/>
  <c r="V524" i="59" s="1"/>
  <c r="W524" i="59" s="1"/>
  <c r="X524" i="59" s="1"/>
  <c r="Y524" i="59" s="1"/>
  <c r="Z524" i="59" s="1"/>
  <c r="AA524" i="59" s="1"/>
  <c r="AB524" i="59" s="1"/>
  <c r="AC524" i="59" s="1"/>
  <c r="AD524" i="59" s="1"/>
  <c r="AE524" i="59" s="1"/>
  <c r="AF524" i="59" s="1"/>
  <c r="AG524" i="59" s="1"/>
  <c r="AH524" i="59" s="1"/>
  <c r="AI524" i="59" s="1"/>
  <c r="AJ524" i="59" s="1"/>
  <c r="AK524" i="59" s="1"/>
  <c r="AL524" i="59" s="1"/>
  <c r="AM524" i="59" s="1"/>
  <c r="AM770" i="59"/>
  <c r="M517" i="59"/>
  <c r="N741" i="59"/>
  <c r="O741" i="59" s="1"/>
  <c r="P741" i="59" s="1"/>
  <c r="Q741" i="59" s="1"/>
  <c r="R741" i="59" s="1"/>
  <c r="S741" i="59" s="1"/>
  <c r="T741" i="59" s="1"/>
  <c r="U741" i="59" s="1"/>
  <c r="V741" i="59" s="1"/>
  <c r="W741" i="59" s="1"/>
  <c r="X741" i="59" s="1"/>
  <c r="Y741" i="59" s="1"/>
  <c r="Z741" i="59" s="1"/>
  <c r="AA741" i="59" s="1"/>
  <c r="AB741" i="59" s="1"/>
  <c r="AC741" i="59" s="1"/>
  <c r="AD741" i="59" s="1"/>
  <c r="AE741" i="59" s="1"/>
  <c r="AF741" i="59" s="1"/>
  <c r="AG741" i="59" s="1"/>
  <c r="AH741" i="59" s="1"/>
  <c r="AI741" i="59" s="1"/>
  <c r="AJ741" i="59" s="1"/>
  <c r="AK741" i="59" s="1"/>
  <c r="AL741" i="59" s="1"/>
  <c r="AM741" i="59" s="1"/>
  <c r="W529" i="59"/>
  <c r="X529" i="59" s="1"/>
  <c r="U519" i="59"/>
  <c r="V519" i="59" s="1"/>
  <c r="W519" i="59" s="1"/>
  <c r="X519" i="59" s="1"/>
  <c r="Y519" i="59" s="1"/>
  <c r="Z519" i="59" s="1"/>
  <c r="AA519" i="59" s="1"/>
  <c r="AB519" i="59" s="1"/>
  <c r="AC519" i="59" s="1"/>
  <c r="AD519" i="59" s="1"/>
  <c r="AE519" i="59" s="1"/>
  <c r="AF519" i="59" s="1"/>
  <c r="AG519" i="59" s="1"/>
  <c r="AH519" i="59" s="1"/>
  <c r="AI519" i="59" s="1"/>
  <c r="AJ519" i="59" s="1"/>
  <c r="AK519" i="59" s="1"/>
  <c r="AL519" i="59" s="1"/>
  <c r="AM519" i="59" s="1"/>
  <c r="Q521" i="59"/>
  <c r="R521" i="59" s="1"/>
  <c r="S521" i="59" s="1"/>
  <c r="T521" i="59" s="1"/>
  <c r="U521" i="59" s="1"/>
  <c r="V521" i="59" s="1"/>
  <c r="Z528" i="59"/>
  <c r="AA528" i="59" s="1"/>
  <c r="AB528" i="59" s="1"/>
  <c r="AC528" i="59" s="1"/>
  <c r="AD528" i="59" s="1"/>
  <c r="AE528" i="59" s="1"/>
  <c r="AF528" i="59" s="1"/>
  <c r="AG528" i="59" s="1"/>
  <c r="AH528" i="59" s="1"/>
  <c r="AI528" i="59" s="1"/>
  <c r="AJ528" i="59" s="1"/>
  <c r="AK528" i="59" s="1"/>
  <c r="AL528" i="59" s="1"/>
  <c r="AM528" i="59" s="1"/>
  <c r="AM744" i="59"/>
  <c r="AM540" i="59"/>
  <c r="T747" i="59"/>
  <c r="AM545" i="59"/>
  <c r="U527" i="59"/>
  <c r="V525" i="59"/>
  <c r="AM544" i="59"/>
  <c r="AM766" i="59"/>
  <c r="AD756" i="59"/>
  <c r="AE756" i="59" s="1"/>
  <c r="AF756" i="59" s="1"/>
  <c r="AG756" i="59" s="1"/>
  <c r="AH756" i="59" s="1"/>
  <c r="AI756" i="59" s="1"/>
  <c r="AJ756" i="59" s="1"/>
  <c r="AK756" i="59" s="1"/>
  <c r="AL756" i="59" s="1"/>
  <c r="AM756" i="59" s="1"/>
  <c r="AK339" i="59"/>
  <c r="AK214" i="59" s="1"/>
  <c r="F132" i="59"/>
  <c r="AK119" i="59"/>
  <c r="AK32" i="60"/>
  <c r="AK347" i="59"/>
  <c r="AK221" i="59" s="1"/>
  <c r="AK25" i="60"/>
  <c r="AL316" i="59"/>
  <c r="AL24" i="60" s="1"/>
  <c r="AK316" i="59"/>
  <c r="AK337" i="59" s="1"/>
  <c r="AK212" i="59" s="1"/>
  <c r="AJ185" i="59"/>
  <c r="AJ16" i="60"/>
  <c r="AJ112" i="60" s="1"/>
  <c r="AL115" i="59"/>
  <c r="AL127" i="59" s="1"/>
  <c r="AK344" i="59"/>
  <c r="AK218" i="59" s="1"/>
  <c r="AL37" i="60"/>
  <c r="AM97" i="59"/>
  <c r="AM111" i="59"/>
  <c r="AM305" i="59"/>
  <c r="AM330" i="59" s="1"/>
  <c r="AM37" i="60" s="1"/>
  <c r="AM309" i="59"/>
  <c r="AK30" i="60"/>
  <c r="AK336" i="59"/>
  <c r="AK382" i="59" s="1"/>
  <c r="AK383" i="59" s="1"/>
  <c r="AK27" i="60"/>
  <c r="AK29" i="60"/>
  <c r="AK273" i="59"/>
  <c r="H905" i="59"/>
  <c r="I902" i="59" s="1"/>
  <c r="I905" i="59" s="1"/>
  <c r="J902" i="59" s="1"/>
  <c r="U581" i="59"/>
  <c r="V581" i="59" s="1"/>
  <c r="W581" i="59" s="1"/>
  <c r="AM824" i="59"/>
  <c r="S579" i="59"/>
  <c r="T579" i="59" s="1"/>
  <c r="AK17" i="60"/>
  <c r="AK113" i="60" s="1"/>
  <c r="K461" i="59"/>
  <c r="K494" i="59" s="1"/>
  <c r="K448" i="59" s="1"/>
  <c r="I560" i="59"/>
  <c r="J557" i="59" s="1"/>
  <c r="K674" i="59"/>
  <c r="L671" i="59" s="1"/>
  <c r="L687" i="59"/>
  <c r="L719" i="59" s="1"/>
  <c r="L673" i="59" s="1"/>
  <c r="M573" i="59"/>
  <c r="N573" i="59" s="1"/>
  <c r="O573" i="59" s="1"/>
  <c r="P573" i="59" s="1"/>
  <c r="L853" i="59"/>
  <c r="M853" i="59" s="1"/>
  <c r="U471" i="59"/>
  <c r="V471" i="59" s="1"/>
  <c r="W471" i="59" s="1"/>
  <c r="W472" i="59"/>
  <c r="X472" i="59" s="1"/>
  <c r="I449" i="59"/>
  <c r="J446" i="59" s="1"/>
  <c r="J449" i="59" s="1"/>
  <c r="K446" i="59" s="1"/>
  <c r="X583" i="59"/>
  <c r="Y583" i="59" s="1"/>
  <c r="Z583" i="59" s="1"/>
  <c r="AA583" i="59" s="1"/>
  <c r="AB583" i="59" s="1"/>
  <c r="AC583" i="59" s="1"/>
  <c r="AD583" i="59" s="1"/>
  <c r="AE583" i="59" s="1"/>
  <c r="AF583" i="59" s="1"/>
  <c r="AG583" i="59" s="1"/>
  <c r="AH583" i="59" s="1"/>
  <c r="AI583" i="59" s="1"/>
  <c r="AJ583" i="59" s="1"/>
  <c r="AK583" i="59" s="1"/>
  <c r="AL583" i="59" s="1"/>
  <c r="AM583" i="59" s="1"/>
  <c r="O685" i="59"/>
  <c r="P685" i="59" s="1"/>
  <c r="U694" i="59"/>
  <c r="V694" i="59" s="1"/>
  <c r="AE813" i="59"/>
  <c r="AF813" i="59" s="1"/>
  <c r="AG813" i="59" s="1"/>
  <c r="AM882" i="59"/>
  <c r="AM883" i="59"/>
  <c r="AH593" i="59"/>
  <c r="AI593" i="59" s="1"/>
  <c r="AM690" i="59"/>
  <c r="AM815" i="59"/>
  <c r="Q465" i="59"/>
  <c r="Q464" i="59"/>
  <c r="R464" i="59" s="1"/>
  <c r="AM703" i="59"/>
  <c r="AM817" i="59"/>
  <c r="AM716" i="59"/>
  <c r="AM717" i="59"/>
  <c r="S857" i="59"/>
  <c r="AM712" i="59"/>
  <c r="AM599" i="59"/>
  <c r="AI872" i="59"/>
  <c r="AJ872" i="59" s="1"/>
  <c r="AK872" i="59" s="1"/>
  <c r="AL872" i="59" s="1"/>
  <c r="AM872" i="59" s="1"/>
  <c r="W805" i="59"/>
  <c r="AH482" i="59"/>
  <c r="AI482" i="59" s="1"/>
  <c r="AD591" i="59"/>
  <c r="AI596" i="59"/>
  <c r="AM715" i="59"/>
  <c r="U806" i="59"/>
  <c r="V806" i="59" s="1"/>
  <c r="AM879" i="59"/>
  <c r="AL17" i="60"/>
  <c r="AL113" i="60" s="1"/>
  <c r="Y863" i="59"/>
  <c r="Z863" i="59" s="1"/>
  <c r="AA863" i="59" s="1"/>
  <c r="AB863" i="59" s="1"/>
  <c r="AC863" i="59" s="1"/>
  <c r="U856" i="59"/>
  <c r="V856" i="59" s="1"/>
  <c r="AD868" i="59"/>
  <c r="AE868" i="59" s="1"/>
  <c r="AF868" i="59" s="1"/>
  <c r="AG868" i="59" s="1"/>
  <c r="AH868" i="59" s="1"/>
  <c r="AI868" i="59" s="1"/>
  <c r="AJ868" i="59" s="1"/>
  <c r="AK868" i="59" s="1"/>
  <c r="AL868" i="59" s="1"/>
  <c r="AM868" i="59" s="1"/>
  <c r="AK487" i="59"/>
  <c r="AH705" i="59"/>
  <c r="AI705" i="59" s="1"/>
  <c r="AJ705" i="59" s="1"/>
  <c r="AK705" i="59" s="1"/>
  <c r="AL705" i="59" s="1"/>
  <c r="AM705" i="59" s="1"/>
  <c r="P691" i="59"/>
  <c r="Q691" i="59" s="1"/>
  <c r="R691" i="59" s="1"/>
  <c r="AM491" i="59"/>
  <c r="AM490" i="59"/>
  <c r="AJ598" i="59"/>
  <c r="AK598" i="59" s="1"/>
  <c r="AL598" i="59" s="1"/>
  <c r="AE480" i="59"/>
  <c r="AF480" i="59" s="1"/>
  <c r="R858" i="59"/>
  <c r="S858" i="59" s="1"/>
  <c r="T858" i="59" s="1"/>
  <c r="AM1048" i="59"/>
  <c r="AM1031" i="59"/>
  <c r="AM884" i="59"/>
  <c r="AM659" i="59"/>
  <c r="AM718" i="59"/>
  <c r="AM493" i="59"/>
  <c r="AN328" i="59"/>
  <c r="AM713" i="59"/>
  <c r="AM711" i="59"/>
  <c r="AM826" i="59"/>
  <c r="AA477" i="59"/>
  <c r="AB477" i="59" s="1"/>
  <c r="AN72" i="46"/>
  <c r="AN182" i="63"/>
  <c r="AN147" i="63"/>
  <c r="X182" i="63"/>
  <c r="X147" i="63"/>
  <c r="I182" i="63"/>
  <c r="I147" i="63"/>
  <c r="AA182" i="63"/>
  <c r="AA147" i="63"/>
  <c r="N147" i="63"/>
  <c r="N182" i="63"/>
  <c r="AD147" i="63"/>
  <c r="AD182" i="63"/>
  <c r="O147" i="63"/>
  <c r="O182" i="63"/>
  <c r="AC182" i="63"/>
  <c r="AC147" i="63"/>
  <c r="P182" i="63"/>
  <c r="P147" i="63"/>
  <c r="AM828" i="59"/>
  <c r="AM600" i="59"/>
  <c r="X473" i="59"/>
  <c r="Y473" i="59" s="1"/>
  <c r="AD479" i="59"/>
  <c r="V808" i="59"/>
  <c r="AM602" i="59"/>
  <c r="AA476" i="59"/>
  <c r="AB476" i="59" s="1"/>
  <c r="U693" i="59"/>
  <c r="V693" i="59" s="1"/>
  <c r="W693" i="59" s="1"/>
  <c r="X693" i="59" s="1"/>
  <c r="Y693" i="59" s="1"/>
  <c r="Z693" i="59" s="1"/>
  <c r="AA693" i="59" s="1"/>
  <c r="AB693" i="59" s="1"/>
  <c r="AC693" i="59" s="1"/>
  <c r="AD693" i="59" s="1"/>
  <c r="AE693" i="59" s="1"/>
  <c r="AF693" i="59" s="1"/>
  <c r="AG693" i="59" s="1"/>
  <c r="AH693" i="59" s="1"/>
  <c r="AI693" i="59" s="1"/>
  <c r="AJ693" i="59" s="1"/>
  <c r="AK693" i="59" s="1"/>
  <c r="AL693" i="59" s="1"/>
  <c r="AM693" i="59" s="1"/>
  <c r="AM305" i="63"/>
  <c r="AM307" i="63" s="1"/>
  <c r="AM311" i="63"/>
  <c r="AM827" i="59"/>
  <c r="AK486" i="59"/>
  <c r="AL486" i="59" s="1"/>
  <c r="AM486" i="59" s="1"/>
  <c r="Z475" i="59"/>
  <c r="AK361" i="59"/>
  <c r="AK83" i="46"/>
  <c r="AK90" i="46" s="1"/>
  <c r="O796" i="59"/>
  <c r="P796" i="59" s="1"/>
  <c r="AL597" i="59"/>
  <c r="AM597" i="59" s="1"/>
  <c r="AL346" i="59"/>
  <c r="AL220" i="59" s="1"/>
  <c r="AL336" i="59"/>
  <c r="AL23" i="60"/>
  <c r="AL338" i="59"/>
  <c r="AL213" i="59" s="1"/>
  <c r="AL25" i="60"/>
  <c r="AM66" i="46"/>
  <c r="AM81" i="46"/>
  <c r="AM880" i="59"/>
  <c r="P855" i="59"/>
  <c r="Q855" i="59" s="1"/>
  <c r="X865" i="59"/>
  <c r="Y865" i="59" s="1"/>
  <c r="Z865" i="59" s="1"/>
  <c r="AA865" i="59" s="1"/>
  <c r="AB865" i="59" s="1"/>
  <c r="AC865" i="59" s="1"/>
  <c r="AD865" i="59" s="1"/>
  <c r="O463" i="59"/>
  <c r="P463" i="59" s="1"/>
  <c r="Q463" i="59" s="1"/>
  <c r="R463" i="59" s="1"/>
  <c r="S463" i="59" s="1"/>
  <c r="T463" i="59" s="1"/>
  <c r="U463" i="59" s="1"/>
  <c r="V463" i="59" s="1"/>
  <c r="W463" i="59" s="1"/>
  <c r="X463" i="59" s="1"/>
  <c r="Y463" i="59" s="1"/>
  <c r="Z463" i="59" s="1"/>
  <c r="AA463" i="59" s="1"/>
  <c r="AB463" i="59" s="1"/>
  <c r="AC463" i="59" s="1"/>
  <c r="AD463" i="59" s="1"/>
  <c r="AE463" i="59" s="1"/>
  <c r="AF463" i="59" s="1"/>
  <c r="AG463" i="59" s="1"/>
  <c r="AH463" i="59" s="1"/>
  <c r="AI463" i="59" s="1"/>
  <c r="AJ463" i="59" s="1"/>
  <c r="AK463" i="59" s="1"/>
  <c r="AL463" i="59" s="1"/>
  <c r="AM463" i="59" s="1"/>
  <c r="AJ594" i="59"/>
  <c r="AK594" i="59" s="1"/>
  <c r="AL594" i="59" s="1"/>
  <c r="AM594" i="59" s="1"/>
  <c r="AI709" i="59"/>
  <c r="AJ709" i="59" s="1"/>
  <c r="AK709" i="59" s="1"/>
  <c r="AM488" i="59"/>
  <c r="AC814" i="59"/>
  <c r="AD814" i="59" s="1"/>
  <c r="AE814" i="59" s="1"/>
  <c r="AF814" i="59" s="1"/>
  <c r="AG814" i="59" s="1"/>
  <c r="AH814" i="59" s="1"/>
  <c r="AI814" i="59" s="1"/>
  <c r="AJ814" i="59" s="1"/>
  <c r="AK814" i="59" s="1"/>
  <c r="AL814" i="59" s="1"/>
  <c r="AM814" i="59" s="1"/>
  <c r="AM878" i="59"/>
  <c r="AA811" i="59"/>
  <c r="N854" i="59"/>
  <c r="N851" i="59"/>
  <c r="O851" i="59" s="1"/>
  <c r="AL54" i="73"/>
  <c r="AK60" i="73"/>
  <c r="AM36" i="60"/>
  <c r="AM350" i="59"/>
  <c r="AM58" i="63"/>
  <c r="AM55" i="63"/>
  <c r="AN187" i="59"/>
  <c r="F187" i="59" s="1"/>
  <c r="F182" i="59"/>
  <c r="Y862" i="59"/>
  <c r="Z862" i="59" s="1"/>
  <c r="AA862" i="59" s="1"/>
  <c r="AB862" i="59" s="1"/>
  <c r="AC862" i="59" s="1"/>
  <c r="W582" i="59"/>
  <c r="X582" i="59" s="1"/>
  <c r="AM601" i="59"/>
  <c r="M571" i="59"/>
  <c r="N571" i="59" s="1"/>
  <c r="AB590" i="59"/>
  <c r="Z588" i="59"/>
  <c r="AM822" i="59"/>
  <c r="AC867" i="59"/>
  <c r="AD867" i="59" s="1"/>
  <c r="AE867" i="59" s="1"/>
  <c r="AF873" i="59"/>
  <c r="G32" i="63"/>
  <c r="H32" i="63" s="1"/>
  <c r="I32" i="63" s="1"/>
  <c r="J32" i="63" s="1"/>
  <c r="K32" i="63" s="1"/>
  <c r="L32" i="63" s="1"/>
  <c r="M32" i="63" s="1"/>
  <c r="N32" i="63" s="1"/>
  <c r="O32" i="63" s="1"/>
  <c r="P32" i="63" s="1"/>
  <c r="Q32" i="63" s="1"/>
  <c r="R32" i="63" s="1"/>
  <c r="S32" i="63" s="1"/>
  <c r="T32" i="63" s="1"/>
  <c r="U32" i="63" s="1"/>
  <c r="V32" i="63" s="1"/>
  <c r="W32" i="63" s="1"/>
  <c r="X32" i="63" s="1"/>
  <c r="Y32" i="63" s="1"/>
  <c r="Z32" i="63" s="1"/>
  <c r="AA32" i="63" s="1"/>
  <c r="AB32" i="63" s="1"/>
  <c r="AC32" i="63" s="1"/>
  <c r="AD32" i="63" s="1"/>
  <c r="AE32" i="63" s="1"/>
  <c r="AF32" i="63" s="1"/>
  <c r="AG32" i="63" s="1"/>
  <c r="AH32" i="63" s="1"/>
  <c r="AI32" i="63" s="1"/>
  <c r="AJ32" i="63" s="1"/>
  <c r="AK32" i="63" s="1"/>
  <c r="AL32" i="63" s="1"/>
  <c r="AM32" i="63" s="1"/>
  <c r="AN32" i="63" s="1"/>
  <c r="G34" i="63"/>
  <c r="H34" i="63" s="1"/>
  <c r="I34" i="63" s="1"/>
  <c r="J34" i="63" s="1"/>
  <c r="K34" i="63" s="1"/>
  <c r="L34" i="63" s="1"/>
  <c r="M34" i="63" s="1"/>
  <c r="N34" i="63" s="1"/>
  <c r="O34" i="63" s="1"/>
  <c r="P34" i="63" s="1"/>
  <c r="Q34" i="63" s="1"/>
  <c r="R34" i="63" s="1"/>
  <c r="S34" i="63" s="1"/>
  <c r="T34" i="63" s="1"/>
  <c r="U34" i="63" s="1"/>
  <c r="V34" i="63" s="1"/>
  <c r="W34" i="63" s="1"/>
  <c r="X34" i="63" s="1"/>
  <c r="Y34" i="63" s="1"/>
  <c r="Z34" i="63" s="1"/>
  <c r="AA34" i="63" s="1"/>
  <c r="AB34" i="63" s="1"/>
  <c r="AC34" i="63" s="1"/>
  <c r="AD34" i="63" s="1"/>
  <c r="AE34" i="63" s="1"/>
  <c r="AF34" i="63" s="1"/>
  <c r="AG34" i="63" s="1"/>
  <c r="AH34" i="63" s="1"/>
  <c r="AI34" i="63" s="1"/>
  <c r="AJ34" i="63" s="1"/>
  <c r="AK34" i="63" s="1"/>
  <c r="AL34" i="63" s="1"/>
  <c r="AM34" i="63" s="1"/>
  <c r="AN34" i="63" s="1"/>
  <c r="G38" i="63"/>
  <c r="H38" i="63" s="1"/>
  <c r="I38" i="63" s="1"/>
  <c r="J38" i="63" s="1"/>
  <c r="K38" i="63" s="1"/>
  <c r="L38" i="63" s="1"/>
  <c r="M38" i="63" s="1"/>
  <c r="N38" i="63" s="1"/>
  <c r="O38" i="63" s="1"/>
  <c r="P38" i="63" s="1"/>
  <c r="Q38" i="63" s="1"/>
  <c r="R38" i="63" s="1"/>
  <c r="S38" i="63" s="1"/>
  <c r="T38" i="63" s="1"/>
  <c r="U38" i="63" s="1"/>
  <c r="V38" i="63" s="1"/>
  <c r="W38" i="63" s="1"/>
  <c r="X38" i="63" s="1"/>
  <c r="Y38" i="63" s="1"/>
  <c r="Z38" i="63" s="1"/>
  <c r="AA38" i="63" s="1"/>
  <c r="AB38" i="63" s="1"/>
  <c r="AC38" i="63" s="1"/>
  <c r="AD38" i="63" s="1"/>
  <c r="AE38" i="63" s="1"/>
  <c r="AF38" i="63" s="1"/>
  <c r="AG38" i="63" s="1"/>
  <c r="AH38" i="63" s="1"/>
  <c r="AI38" i="63" s="1"/>
  <c r="AJ38" i="63" s="1"/>
  <c r="AK38" i="63" s="1"/>
  <c r="AL38" i="63" s="1"/>
  <c r="AM38" i="63" s="1"/>
  <c r="AN38" i="63" s="1"/>
  <c r="G35" i="63"/>
  <c r="H35" i="63" s="1"/>
  <c r="I35" i="63" s="1"/>
  <c r="J35" i="63" s="1"/>
  <c r="K35" i="63" s="1"/>
  <c r="L35" i="63" s="1"/>
  <c r="M35" i="63" s="1"/>
  <c r="N35" i="63" s="1"/>
  <c r="O35" i="63" s="1"/>
  <c r="P35" i="63" s="1"/>
  <c r="Q35" i="63" s="1"/>
  <c r="R35" i="63" s="1"/>
  <c r="S35" i="63" s="1"/>
  <c r="T35" i="63" s="1"/>
  <c r="U35" i="63" s="1"/>
  <c r="V35" i="63" s="1"/>
  <c r="W35" i="63" s="1"/>
  <c r="X35" i="63" s="1"/>
  <c r="Y35" i="63" s="1"/>
  <c r="Z35" i="63" s="1"/>
  <c r="AA35" i="63" s="1"/>
  <c r="AB35" i="63" s="1"/>
  <c r="AC35" i="63" s="1"/>
  <c r="AD35" i="63" s="1"/>
  <c r="AE35" i="63" s="1"/>
  <c r="AF35" i="63" s="1"/>
  <c r="AG35" i="63" s="1"/>
  <c r="AH35" i="63" s="1"/>
  <c r="AI35" i="63" s="1"/>
  <c r="AJ35" i="63" s="1"/>
  <c r="AK35" i="63" s="1"/>
  <c r="AL35" i="63" s="1"/>
  <c r="AM35" i="63" s="1"/>
  <c r="AN35" i="63" s="1"/>
  <c r="G37" i="63"/>
  <c r="H37" i="63" s="1"/>
  <c r="I37" i="63" s="1"/>
  <c r="J37" i="63" s="1"/>
  <c r="K37" i="63" s="1"/>
  <c r="L37" i="63" s="1"/>
  <c r="M37" i="63" s="1"/>
  <c r="N37" i="63" s="1"/>
  <c r="O37" i="63" s="1"/>
  <c r="P37" i="63" s="1"/>
  <c r="Q37" i="63" s="1"/>
  <c r="R37" i="63" s="1"/>
  <c r="S37" i="63" s="1"/>
  <c r="T37" i="63" s="1"/>
  <c r="U37" i="63" s="1"/>
  <c r="V37" i="63" s="1"/>
  <c r="W37" i="63" s="1"/>
  <c r="X37" i="63" s="1"/>
  <c r="Y37" i="63" s="1"/>
  <c r="Z37" i="63" s="1"/>
  <c r="AA37" i="63" s="1"/>
  <c r="AB37" i="63" s="1"/>
  <c r="AC37" i="63" s="1"/>
  <c r="AD37" i="63" s="1"/>
  <c r="AE37" i="63" s="1"/>
  <c r="AF37" i="63" s="1"/>
  <c r="AG37" i="63" s="1"/>
  <c r="AH37" i="63" s="1"/>
  <c r="AI37" i="63" s="1"/>
  <c r="AJ37" i="63" s="1"/>
  <c r="AK37" i="63" s="1"/>
  <c r="AL37" i="63" s="1"/>
  <c r="AM37" i="63" s="1"/>
  <c r="AN37" i="63" s="1"/>
  <c r="G36" i="63"/>
  <c r="H36" i="63" s="1"/>
  <c r="I36" i="63" s="1"/>
  <c r="J36" i="63" s="1"/>
  <c r="K36" i="63" s="1"/>
  <c r="L36" i="63" s="1"/>
  <c r="M36" i="63" s="1"/>
  <c r="N36" i="63" s="1"/>
  <c r="O36" i="63" s="1"/>
  <c r="P36" i="63" s="1"/>
  <c r="Q36" i="63" s="1"/>
  <c r="R36" i="63" s="1"/>
  <c r="S36" i="63" s="1"/>
  <c r="T36" i="63" s="1"/>
  <c r="U36" i="63" s="1"/>
  <c r="V36" i="63" s="1"/>
  <c r="W36" i="63" s="1"/>
  <c r="X36" i="63" s="1"/>
  <c r="Y36" i="63" s="1"/>
  <c r="Z36" i="63" s="1"/>
  <c r="AA36" i="63" s="1"/>
  <c r="AB36" i="63" s="1"/>
  <c r="AC36" i="63" s="1"/>
  <c r="AD36" i="63" s="1"/>
  <c r="AE36" i="63" s="1"/>
  <c r="AF36" i="63" s="1"/>
  <c r="AG36" i="63" s="1"/>
  <c r="AH36" i="63" s="1"/>
  <c r="AI36" i="63" s="1"/>
  <c r="AJ36" i="63" s="1"/>
  <c r="AK36" i="63" s="1"/>
  <c r="AL36" i="63" s="1"/>
  <c r="AM36" i="63" s="1"/>
  <c r="AN36" i="63" s="1"/>
  <c r="G30" i="63"/>
  <c r="H30" i="63" s="1"/>
  <c r="I30" i="63" s="1"/>
  <c r="J30" i="63" s="1"/>
  <c r="K30" i="63" s="1"/>
  <c r="L30" i="63" s="1"/>
  <c r="M30" i="63" s="1"/>
  <c r="N30" i="63" s="1"/>
  <c r="O30" i="63" s="1"/>
  <c r="P30" i="63" s="1"/>
  <c r="Q30" i="63" s="1"/>
  <c r="R30" i="63" s="1"/>
  <c r="S30" i="63" s="1"/>
  <c r="T30" i="63" s="1"/>
  <c r="U30" i="63" s="1"/>
  <c r="V30" i="63" s="1"/>
  <c r="W30" i="63" s="1"/>
  <c r="X30" i="63" s="1"/>
  <c r="Y30" i="63" s="1"/>
  <c r="Z30" i="63" s="1"/>
  <c r="AA30" i="63" s="1"/>
  <c r="AB30" i="63" s="1"/>
  <c r="AC30" i="63" s="1"/>
  <c r="AD30" i="63" s="1"/>
  <c r="AE30" i="63" s="1"/>
  <c r="AF30" i="63" s="1"/>
  <c r="AG30" i="63" s="1"/>
  <c r="AH30" i="63" s="1"/>
  <c r="AI30" i="63" s="1"/>
  <c r="AJ30" i="63" s="1"/>
  <c r="AK30" i="63" s="1"/>
  <c r="AL30" i="63" s="1"/>
  <c r="AM30" i="63" s="1"/>
  <c r="AN30" i="63" s="1"/>
  <c r="G31" i="63"/>
  <c r="H31" i="63" s="1"/>
  <c r="I31" i="63" s="1"/>
  <c r="J31" i="63" s="1"/>
  <c r="K31" i="63" s="1"/>
  <c r="L31" i="63" s="1"/>
  <c r="M31" i="63" s="1"/>
  <c r="N31" i="63" s="1"/>
  <c r="O31" i="63" s="1"/>
  <c r="P31" i="63" s="1"/>
  <c r="Q31" i="63" s="1"/>
  <c r="R31" i="63" s="1"/>
  <c r="S31" i="63" s="1"/>
  <c r="T31" i="63" s="1"/>
  <c r="U31" i="63" s="1"/>
  <c r="V31" i="63" s="1"/>
  <c r="W31" i="63" s="1"/>
  <c r="X31" i="63" s="1"/>
  <c r="Y31" i="63" s="1"/>
  <c r="Z31" i="63" s="1"/>
  <c r="AA31" i="63" s="1"/>
  <c r="AB31" i="63" s="1"/>
  <c r="AC31" i="63" s="1"/>
  <c r="AD31" i="63" s="1"/>
  <c r="AE31" i="63" s="1"/>
  <c r="AF31" i="63" s="1"/>
  <c r="AG31" i="63" s="1"/>
  <c r="AH31" i="63" s="1"/>
  <c r="AI31" i="63" s="1"/>
  <c r="AJ31" i="63" s="1"/>
  <c r="AK31" i="63" s="1"/>
  <c r="AL31" i="63" s="1"/>
  <c r="AM31" i="63" s="1"/>
  <c r="AN31" i="63" s="1"/>
  <c r="G33" i="63"/>
  <c r="H33" i="63" s="1"/>
  <c r="I33" i="63" s="1"/>
  <c r="J33" i="63" s="1"/>
  <c r="K33" i="63" s="1"/>
  <c r="L33" i="63" s="1"/>
  <c r="M33" i="63" s="1"/>
  <c r="N33" i="63" s="1"/>
  <c r="O33" i="63" s="1"/>
  <c r="P33" i="63" s="1"/>
  <c r="Q33" i="63" s="1"/>
  <c r="R33" i="63" s="1"/>
  <c r="S33" i="63" s="1"/>
  <c r="T33" i="63" s="1"/>
  <c r="U33" i="63" s="1"/>
  <c r="V33" i="63" s="1"/>
  <c r="W33" i="63" s="1"/>
  <c r="X33" i="63" s="1"/>
  <c r="Y33" i="63" s="1"/>
  <c r="Z33" i="63" s="1"/>
  <c r="AA33" i="63" s="1"/>
  <c r="AB33" i="63" s="1"/>
  <c r="AC33" i="63" s="1"/>
  <c r="AD33" i="63" s="1"/>
  <c r="AE33" i="63" s="1"/>
  <c r="AF33" i="63" s="1"/>
  <c r="AG33" i="63" s="1"/>
  <c r="AH33" i="63" s="1"/>
  <c r="AI33" i="63" s="1"/>
  <c r="AJ33" i="63" s="1"/>
  <c r="AK33" i="63" s="1"/>
  <c r="AL33" i="63" s="1"/>
  <c r="AM33" i="63" s="1"/>
  <c r="AN33" i="63" s="1"/>
  <c r="AF871" i="59"/>
  <c r="AJ182" i="63"/>
  <c r="AJ147" i="63"/>
  <c r="U182" i="63"/>
  <c r="U147" i="63"/>
  <c r="AM182" i="63"/>
  <c r="AM147" i="63"/>
  <c r="W182" i="63"/>
  <c r="W147" i="63"/>
  <c r="J147" i="63"/>
  <c r="J182" i="63"/>
  <c r="Z147" i="63"/>
  <c r="Z182" i="63"/>
  <c r="K147" i="63"/>
  <c r="K182" i="63"/>
  <c r="Y182" i="63"/>
  <c r="Y147" i="63"/>
  <c r="L182" i="63"/>
  <c r="L147" i="63"/>
  <c r="AA478" i="59"/>
  <c r="AI708" i="59"/>
  <c r="AJ708" i="59" s="1"/>
  <c r="AK708" i="59" s="1"/>
  <c r="AL708" i="59" s="1"/>
  <c r="AM708" i="59" s="1"/>
  <c r="AK335" i="59"/>
  <c r="AK22" i="60"/>
  <c r="O798" i="59"/>
  <c r="P798" i="59" s="1"/>
  <c r="Q798" i="59" s="1"/>
  <c r="R798" i="59" s="1"/>
  <c r="S798" i="59" s="1"/>
  <c r="T798" i="59" s="1"/>
  <c r="U798" i="59" s="1"/>
  <c r="V798" i="59" s="1"/>
  <c r="W798" i="59" s="1"/>
  <c r="X798" i="59" s="1"/>
  <c r="Y798" i="59" s="1"/>
  <c r="Z798" i="59" s="1"/>
  <c r="AA798" i="59" s="1"/>
  <c r="AB798" i="59" s="1"/>
  <c r="AC798" i="59" s="1"/>
  <c r="AD798" i="59" s="1"/>
  <c r="AE798" i="59" s="1"/>
  <c r="AF798" i="59" s="1"/>
  <c r="AG798" i="59" s="1"/>
  <c r="AH798" i="59" s="1"/>
  <c r="AI798" i="59" s="1"/>
  <c r="AJ798" i="59" s="1"/>
  <c r="AK798" i="59" s="1"/>
  <c r="AL798" i="59" s="1"/>
  <c r="AM798" i="59" s="1"/>
  <c r="T859" i="59"/>
  <c r="U859" i="59" s="1"/>
  <c r="V859" i="59" s="1"/>
  <c r="AH707" i="59"/>
  <c r="AF706" i="59"/>
  <c r="AG706" i="59" s="1"/>
  <c r="AB589" i="59"/>
  <c r="AC589" i="59" s="1"/>
  <c r="AD589" i="59" s="1"/>
  <c r="AJ877" i="59"/>
  <c r="AK877" i="59" s="1"/>
  <c r="AL877" i="59" s="1"/>
  <c r="AM877" i="59" s="1"/>
  <c r="K840" i="59"/>
  <c r="L837" i="59" s="1"/>
  <c r="P578" i="59"/>
  <c r="Q578" i="59" s="1"/>
  <c r="W807" i="59"/>
  <c r="R804" i="59"/>
  <c r="S804" i="59" s="1"/>
  <c r="AA701" i="59"/>
  <c r="AB701" i="59" s="1"/>
  <c r="AC701" i="59" s="1"/>
  <c r="AD701" i="59" s="1"/>
  <c r="AE701" i="59" s="1"/>
  <c r="AF701" i="59" s="1"/>
  <c r="AG701" i="59" s="1"/>
  <c r="AH701" i="59" s="1"/>
  <c r="AI701" i="59" s="1"/>
  <c r="AJ701" i="59" s="1"/>
  <c r="AK701" i="59" s="1"/>
  <c r="AL701" i="59" s="1"/>
  <c r="AM701" i="59" s="1"/>
  <c r="AL339" i="59"/>
  <c r="AL214" i="59" s="1"/>
  <c r="AL26" i="60"/>
  <c r="AL347" i="59"/>
  <c r="AL221" i="59" s="1"/>
  <c r="AL33" i="60"/>
  <c r="AL314" i="59"/>
  <c r="AL273" i="59"/>
  <c r="AL361" i="59"/>
  <c r="AE869" i="59"/>
  <c r="AL87" i="73"/>
  <c r="AM81" i="73"/>
  <c r="R802" i="59"/>
  <c r="P800" i="59"/>
  <c r="Q800" i="59" s="1"/>
  <c r="R800" i="59" s="1"/>
  <c r="S800" i="59" s="1"/>
  <c r="T800" i="59" s="1"/>
  <c r="U800" i="59" s="1"/>
  <c r="V800" i="59" s="1"/>
  <c r="W800" i="59" s="1"/>
  <c r="X800" i="59" s="1"/>
  <c r="Y800" i="59" s="1"/>
  <c r="Z800" i="59" s="1"/>
  <c r="AA800" i="59" s="1"/>
  <c r="AB800" i="59" s="1"/>
  <c r="AC800" i="59" s="1"/>
  <c r="AD800" i="59" s="1"/>
  <c r="AE800" i="59" s="1"/>
  <c r="AF800" i="59" s="1"/>
  <c r="AG800" i="59" s="1"/>
  <c r="AH800" i="59" s="1"/>
  <c r="AI800" i="59" s="1"/>
  <c r="AJ800" i="59" s="1"/>
  <c r="AK800" i="59" s="1"/>
  <c r="AL800" i="59" s="1"/>
  <c r="AM800" i="59" s="1"/>
  <c r="Z698" i="59"/>
  <c r="AA698" i="59" s="1"/>
  <c r="AB698" i="59" s="1"/>
  <c r="AC698" i="59" s="1"/>
  <c r="AD698" i="59" s="1"/>
  <c r="AE698" i="59" s="1"/>
  <c r="AF698" i="59" s="1"/>
  <c r="AG698" i="59" s="1"/>
  <c r="AH698" i="59" s="1"/>
  <c r="AI698" i="59" s="1"/>
  <c r="AJ698" i="59" s="1"/>
  <c r="AK698" i="59" s="1"/>
  <c r="AL698" i="59" s="1"/>
  <c r="AM698" i="59" s="1"/>
  <c r="O852" i="59"/>
  <c r="W695" i="59"/>
  <c r="AM876" i="59"/>
  <c r="AF592" i="59"/>
  <c r="AG592" i="59" s="1"/>
  <c r="AH592" i="59" s="1"/>
  <c r="S468" i="59"/>
  <c r="Y585" i="59"/>
  <c r="AF870" i="59"/>
  <c r="AG870" i="59" s="1"/>
  <c r="AH870" i="59" s="1"/>
  <c r="AI870" i="59" s="1"/>
  <c r="AJ870" i="59" s="1"/>
  <c r="AK870" i="59" s="1"/>
  <c r="AL870" i="59" s="1"/>
  <c r="AM870" i="59" s="1"/>
  <c r="AM874" i="59"/>
  <c r="AM489" i="59"/>
  <c r="K572" i="59"/>
  <c r="J605" i="59"/>
  <c r="J559" i="59" s="1"/>
  <c r="K797" i="59"/>
  <c r="K830" i="59" s="1"/>
  <c r="K784" i="59" s="1"/>
  <c r="K904" i="59" s="1"/>
  <c r="N576" i="59"/>
  <c r="O576" i="59" s="1"/>
  <c r="AM262" i="59"/>
  <c r="AM317" i="59" s="1"/>
  <c r="AM269" i="59"/>
  <c r="AM324" i="59" s="1"/>
  <c r="AM261" i="59"/>
  <c r="AM268" i="59"/>
  <c r="AM323" i="59" s="1"/>
  <c r="AM271" i="59"/>
  <c r="AM326" i="59" s="1"/>
  <c r="AM259" i="59"/>
  <c r="AM260" i="59"/>
  <c r="AM315" i="59" s="1"/>
  <c r="AM264" i="59"/>
  <c r="AM319" i="59" s="1"/>
  <c r="AM267" i="59"/>
  <c r="AM322" i="59" s="1"/>
  <c r="AM266" i="59"/>
  <c r="AM321" i="59" s="1"/>
  <c r="AM263" i="59"/>
  <c r="AM318" i="59" s="1"/>
  <c r="AM270" i="59"/>
  <c r="AM325" i="59" s="1"/>
  <c r="AM1071" i="59"/>
  <c r="AM1106" i="59"/>
  <c r="AM1109" i="59" s="1"/>
  <c r="T860" i="59"/>
  <c r="U860" i="59" s="1"/>
  <c r="V860" i="59" s="1"/>
  <c r="W860" i="59" s="1"/>
  <c r="X860" i="59" s="1"/>
  <c r="Y860" i="59" s="1"/>
  <c r="Z860" i="59" s="1"/>
  <c r="AA860" i="59" s="1"/>
  <c r="AB860" i="59" s="1"/>
  <c r="AC860" i="59" s="1"/>
  <c r="AD860" i="59" s="1"/>
  <c r="AE860" i="59" s="1"/>
  <c r="AF860" i="59" s="1"/>
  <c r="AG860" i="59" s="1"/>
  <c r="AH860" i="59" s="1"/>
  <c r="AI860" i="59" s="1"/>
  <c r="AJ860" i="59" s="1"/>
  <c r="AK860" i="59" s="1"/>
  <c r="AL860" i="59" s="1"/>
  <c r="AM860" i="59" s="1"/>
  <c r="P689" i="59"/>
  <c r="Q689" i="59" s="1"/>
  <c r="R689" i="59" s="1"/>
  <c r="S689" i="59" s="1"/>
  <c r="T689" i="59" s="1"/>
  <c r="U689" i="59" s="1"/>
  <c r="V689" i="59" s="1"/>
  <c r="W689" i="59" s="1"/>
  <c r="X689" i="59" s="1"/>
  <c r="Y689" i="59" s="1"/>
  <c r="Z689" i="59" s="1"/>
  <c r="AA689" i="59" s="1"/>
  <c r="AB689" i="59" s="1"/>
  <c r="AC689" i="59" s="1"/>
  <c r="AD689" i="59" s="1"/>
  <c r="AE689" i="59" s="1"/>
  <c r="AF689" i="59" s="1"/>
  <c r="AG689" i="59" s="1"/>
  <c r="AH689" i="59" s="1"/>
  <c r="AI689" i="59" s="1"/>
  <c r="AJ689" i="59" s="1"/>
  <c r="AK689" i="59" s="1"/>
  <c r="AL689" i="59" s="1"/>
  <c r="AM689" i="59" s="1"/>
  <c r="Z864" i="59"/>
  <c r="AN59" i="46"/>
  <c r="AN54" i="46"/>
  <c r="AM59" i="46"/>
  <c r="F53" i="46"/>
  <c r="F71" i="46" s="1"/>
  <c r="AM881" i="59"/>
  <c r="AK821" i="59"/>
  <c r="AL821" i="59" s="1"/>
  <c r="AM821" i="59" s="1"/>
  <c r="Z810" i="59"/>
  <c r="N686" i="59"/>
  <c r="X809" i="59"/>
  <c r="Y809" i="59" s="1"/>
  <c r="Z809" i="59" s="1"/>
  <c r="AA809" i="59" s="1"/>
  <c r="AB809" i="59" s="1"/>
  <c r="AC809" i="59" s="1"/>
  <c r="AD809" i="59" s="1"/>
  <c r="AE809" i="59" s="1"/>
  <c r="AF182" i="63"/>
  <c r="AF147" i="63"/>
  <c r="Q182" i="63"/>
  <c r="Q147" i="63"/>
  <c r="AI182" i="63"/>
  <c r="AI147" i="63"/>
  <c r="V147" i="63"/>
  <c r="V182" i="63"/>
  <c r="AL147" i="63"/>
  <c r="AL182" i="63"/>
  <c r="H147" i="63"/>
  <c r="H182" i="63"/>
  <c r="AK182" i="63"/>
  <c r="AK147" i="63"/>
  <c r="G182" i="63"/>
  <c r="G147" i="63"/>
  <c r="R803" i="59"/>
  <c r="S803" i="59" s="1"/>
  <c r="T803" i="59" s="1"/>
  <c r="V470" i="59"/>
  <c r="W470" i="59" s="1"/>
  <c r="AM603" i="59"/>
  <c r="AJ819" i="59"/>
  <c r="AK819" i="59" s="1"/>
  <c r="AL819" i="59" s="1"/>
  <c r="AM819" i="59" s="1"/>
  <c r="AB702" i="59"/>
  <c r="AC702" i="59" s="1"/>
  <c r="AD702" i="59" s="1"/>
  <c r="AE702" i="59" s="1"/>
  <c r="AF702" i="59" s="1"/>
  <c r="AG702" i="59" s="1"/>
  <c r="AH702" i="59" s="1"/>
  <c r="AI702" i="59" s="1"/>
  <c r="AJ702" i="59" s="1"/>
  <c r="AK702" i="59" s="1"/>
  <c r="AL702" i="59" s="1"/>
  <c r="AM702" i="59" s="1"/>
  <c r="Q466" i="59"/>
  <c r="R466" i="59" s="1"/>
  <c r="AD704" i="59"/>
  <c r="AE866" i="59"/>
  <c r="AF866" i="59" s="1"/>
  <c r="AG866" i="59" s="1"/>
  <c r="AH866" i="59" s="1"/>
  <c r="AI866" i="59" s="1"/>
  <c r="AJ866" i="59" s="1"/>
  <c r="AK866" i="59" s="1"/>
  <c r="AL866" i="59" s="1"/>
  <c r="AM866" i="59" s="1"/>
  <c r="AL343" i="59"/>
  <c r="AL217" i="59" s="1"/>
  <c r="AL30" i="60"/>
  <c r="AL31" i="60"/>
  <c r="AL344" i="59"/>
  <c r="AL218" i="59" s="1"/>
  <c r="AL345" i="59"/>
  <c r="AL219" i="59" s="1"/>
  <c r="AL32" i="60"/>
  <c r="Q801" i="59"/>
  <c r="J830" i="59"/>
  <c r="J784" i="59" s="1"/>
  <c r="O799" i="59"/>
  <c r="AM714" i="59"/>
  <c r="Z700" i="59"/>
  <c r="Y699" i="59"/>
  <c r="Z699" i="59" s="1"/>
  <c r="AA699" i="59" s="1"/>
  <c r="AB699" i="59" s="1"/>
  <c r="W474" i="59"/>
  <c r="Z697" i="59"/>
  <c r="AA697" i="59" s="1"/>
  <c r="AB697" i="59" s="1"/>
  <c r="AC697" i="59" s="1"/>
  <c r="AD697" i="59" s="1"/>
  <c r="AE697" i="59" s="1"/>
  <c r="AF697" i="59" s="1"/>
  <c r="AG697" i="59" s="1"/>
  <c r="AH697" i="59" s="1"/>
  <c r="AI697" i="59" s="1"/>
  <c r="AJ697" i="59" s="1"/>
  <c r="AK697" i="59" s="1"/>
  <c r="AL697" i="59" s="1"/>
  <c r="AM697" i="59" s="1"/>
  <c r="AM829" i="59"/>
  <c r="AM604" i="59"/>
  <c r="F285" i="63"/>
  <c r="F173" i="59"/>
  <c r="AN300" i="63"/>
  <c r="AN304" i="63" s="1"/>
  <c r="AN343" i="63"/>
  <c r="AN345" i="63" s="1"/>
  <c r="AN286" i="63"/>
  <c r="AG481" i="59"/>
  <c r="O574" i="59"/>
  <c r="P574" i="59" s="1"/>
  <c r="O575" i="59"/>
  <c r="P575" i="59" s="1"/>
  <c r="K549" i="59"/>
  <c r="K503" i="59" s="1"/>
  <c r="AM825" i="59"/>
  <c r="P577" i="59"/>
  <c r="R692" i="59"/>
  <c r="V861" i="59"/>
  <c r="AG818" i="59"/>
  <c r="AH818" i="59" s="1"/>
  <c r="AI818" i="59" s="1"/>
  <c r="AJ818" i="59" s="1"/>
  <c r="AK818" i="59" s="1"/>
  <c r="AL818" i="59" s="1"/>
  <c r="AM818" i="59" s="1"/>
  <c r="AD816" i="59"/>
  <c r="G37" i="73"/>
  <c r="H37" i="73" s="1"/>
  <c r="I37" i="73" s="1"/>
  <c r="J37" i="73" s="1"/>
  <c r="K37" i="73" s="1"/>
  <c r="L37" i="73" s="1"/>
  <c r="M37" i="73" s="1"/>
  <c r="N37" i="73" s="1"/>
  <c r="O37" i="73" s="1"/>
  <c r="P37" i="73" s="1"/>
  <c r="Q37" i="73" s="1"/>
  <c r="R37" i="73" s="1"/>
  <c r="S37" i="73" s="1"/>
  <c r="T37" i="73" s="1"/>
  <c r="U37" i="73" s="1"/>
  <c r="V37" i="73" s="1"/>
  <c r="W37" i="73" s="1"/>
  <c r="X37" i="73" s="1"/>
  <c r="Y37" i="73" s="1"/>
  <c r="Z37" i="73" s="1"/>
  <c r="AA37" i="73" s="1"/>
  <c r="AB37" i="73" s="1"/>
  <c r="AC37" i="73" s="1"/>
  <c r="AD37" i="73" s="1"/>
  <c r="AE37" i="73" s="1"/>
  <c r="AF37" i="73" s="1"/>
  <c r="AG37" i="73" s="1"/>
  <c r="AH37" i="73" s="1"/>
  <c r="AI37" i="73" s="1"/>
  <c r="AJ37" i="73" s="1"/>
  <c r="AK37" i="73" s="1"/>
  <c r="AL37" i="73" s="1"/>
  <c r="AM37" i="73" s="1"/>
  <c r="AN37" i="73" s="1"/>
  <c r="G36" i="73"/>
  <c r="H36" i="73" s="1"/>
  <c r="I36" i="73" s="1"/>
  <c r="J36" i="73" s="1"/>
  <c r="K36" i="73" s="1"/>
  <c r="L36" i="73" s="1"/>
  <c r="M36" i="73" s="1"/>
  <c r="N36" i="73" s="1"/>
  <c r="O36" i="73" s="1"/>
  <c r="P36" i="73" s="1"/>
  <c r="Q36" i="73" s="1"/>
  <c r="R36" i="73" s="1"/>
  <c r="S36" i="73" s="1"/>
  <c r="T36" i="73" s="1"/>
  <c r="U36" i="73" s="1"/>
  <c r="V36" i="73" s="1"/>
  <c r="W36" i="73" s="1"/>
  <c r="X36" i="73" s="1"/>
  <c r="Y36" i="73" s="1"/>
  <c r="Z36" i="73" s="1"/>
  <c r="AA36" i="73" s="1"/>
  <c r="AB36" i="73" s="1"/>
  <c r="AC36" i="73" s="1"/>
  <c r="AD36" i="73" s="1"/>
  <c r="AE36" i="73" s="1"/>
  <c r="AF36" i="73" s="1"/>
  <c r="AG36" i="73" s="1"/>
  <c r="AH36" i="73" s="1"/>
  <c r="AI36" i="73" s="1"/>
  <c r="AJ36" i="73" s="1"/>
  <c r="AK36" i="73" s="1"/>
  <c r="AL36" i="73" s="1"/>
  <c r="AM36" i="73" s="1"/>
  <c r="AN36" i="73" s="1"/>
  <c r="G33" i="73"/>
  <c r="H33" i="73" s="1"/>
  <c r="I33" i="73" s="1"/>
  <c r="J33" i="73" s="1"/>
  <c r="K33" i="73" s="1"/>
  <c r="L33" i="73" s="1"/>
  <c r="M33" i="73" s="1"/>
  <c r="N33" i="73" s="1"/>
  <c r="O33" i="73" s="1"/>
  <c r="P33" i="73" s="1"/>
  <c r="Q33" i="73" s="1"/>
  <c r="R33" i="73" s="1"/>
  <c r="S33" i="73" s="1"/>
  <c r="T33" i="73" s="1"/>
  <c r="U33" i="73" s="1"/>
  <c r="V33" i="73" s="1"/>
  <c r="W33" i="73" s="1"/>
  <c r="X33" i="73" s="1"/>
  <c r="Y33" i="73" s="1"/>
  <c r="Z33" i="73" s="1"/>
  <c r="AA33" i="73" s="1"/>
  <c r="AB33" i="73" s="1"/>
  <c r="AC33" i="73" s="1"/>
  <c r="AD33" i="73" s="1"/>
  <c r="AE33" i="73" s="1"/>
  <c r="AF33" i="73" s="1"/>
  <c r="AG33" i="73" s="1"/>
  <c r="AH33" i="73" s="1"/>
  <c r="AI33" i="73" s="1"/>
  <c r="AJ33" i="73" s="1"/>
  <c r="AK33" i="73" s="1"/>
  <c r="AL33" i="73" s="1"/>
  <c r="AM33" i="73" s="1"/>
  <c r="AN33" i="73" s="1"/>
  <c r="G34" i="73"/>
  <c r="H34" i="73" s="1"/>
  <c r="I34" i="73" s="1"/>
  <c r="J34" i="73" s="1"/>
  <c r="K34" i="73" s="1"/>
  <c r="L34" i="73" s="1"/>
  <c r="M34" i="73" s="1"/>
  <c r="N34" i="73" s="1"/>
  <c r="O34" i="73" s="1"/>
  <c r="P34" i="73" s="1"/>
  <c r="Q34" i="73" s="1"/>
  <c r="R34" i="73" s="1"/>
  <c r="S34" i="73" s="1"/>
  <c r="T34" i="73" s="1"/>
  <c r="U34" i="73" s="1"/>
  <c r="V34" i="73" s="1"/>
  <c r="W34" i="73" s="1"/>
  <c r="X34" i="73" s="1"/>
  <c r="Y34" i="73" s="1"/>
  <c r="Z34" i="73" s="1"/>
  <c r="AA34" i="73" s="1"/>
  <c r="AB34" i="73" s="1"/>
  <c r="AC34" i="73" s="1"/>
  <c r="AD34" i="73" s="1"/>
  <c r="AE34" i="73" s="1"/>
  <c r="AF34" i="73" s="1"/>
  <c r="AG34" i="73" s="1"/>
  <c r="AH34" i="73" s="1"/>
  <c r="AI34" i="73" s="1"/>
  <c r="AJ34" i="73" s="1"/>
  <c r="AK34" i="73" s="1"/>
  <c r="AL34" i="73" s="1"/>
  <c r="AM34" i="73" s="1"/>
  <c r="AN34" i="73" s="1"/>
  <c r="G38" i="73"/>
  <c r="H38" i="73" s="1"/>
  <c r="I38" i="73" s="1"/>
  <c r="J38" i="73" s="1"/>
  <c r="K38" i="73" s="1"/>
  <c r="L38" i="73" s="1"/>
  <c r="M38" i="73" s="1"/>
  <c r="N38" i="73" s="1"/>
  <c r="O38" i="73" s="1"/>
  <c r="P38" i="73" s="1"/>
  <c r="Q38" i="73" s="1"/>
  <c r="R38" i="73" s="1"/>
  <c r="S38" i="73" s="1"/>
  <c r="T38" i="73" s="1"/>
  <c r="U38" i="73" s="1"/>
  <c r="V38" i="73" s="1"/>
  <c r="W38" i="73" s="1"/>
  <c r="X38" i="73" s="1"/>
  <c r="Y38" i="73" s="1"/>
  <c r="Z38" i="73" s="1"/>
  <c r="AA38" i="73" s="1"/>
  <c r="AB38" i="73" s="1"/>
  <c r="AC38" i="73" s="1"/>
  <c r="AD38" i="73" s="1"/>
  <c r="AE38" i="73" s="1"/>
  <c r="AF38" i="73" s="1"/>
  <c r="AG38" i="73" s="1"/>
  <c r="AH38" i="73" s="1"/>
  <c r="AI38" i="73" s="1"/>
  <c r="AJ38" i="73" s="1"/>
  <c r="AK38" i="73" s="1"/>
  <c r="AL38" i="73" s="1"/>
  <c r="AM38" i="73" s="1"/>
  <c r="AN38" i="73" s="1"/>
  <c r="G35" i="73"/>
  <c r="H35" i="73" s="1"/>
  <c r="I35" i="73" s="1"/>
  <c r="J35" i="73" s="1"/>
  <c r="K35" i="73" s="1"/>
  <c r="L35" i="73" s="1"/>
  <c r="M35" i="73" s="1"/>
  <c r="N35" i="73" s="1"/>
  <c r="O35" i="73" s="1"/>
  <c r="P35" i="73" s="1"/>
  <c r="Q35" i="73" s="1"/>
  <c r="R35" i="73" s="1"/>
  <c r="S35" i="73" s="1"/>
  <c r="T35" i="73" s="1"/>
  <c r="U35" i="73" s="1"/>
  <c r="V35" i="73" s="1"/>
  <c r="W35" i="73" s="1"/>
  <c r="X35" i="73" s="1"/>
  <c r="Y35" i="73" s="1"/>
  <c r="Z35" i="73" s="1"/>
  <c r="AA35" i="73" s="1"/>
  <c r="AB35" i="73" s="1"/>
  <c r="AC35" i="73" s="1"/>
  <c r="AD35" i="73" s="1"/>
  <c r="AE35" i="73" s="1"/>
  <c r="AF35" i="73" s="1"/>
  <c r="AG35" i="73" s="1"/>
  <c r="AH35" i="73" s="1"/>
  <c r="AI35" i="73" s="1"/>
  <c r="AJ35" i="73" s="1"/>
  <c r="AK35" i="73" s="1"/>
  <c r="AL35" i="73" s="1"/>
  <c r="AM35" i="73" s="1"/>
  <c r="AN35" i="73" s="1"/>
  <c r="G30" i="73"/>
  <c r="H30" i="73" s="1"/>
  <c r="I30" i="73" s="1"/>
  <c r="J30" i="73" s="1"/>
  <c r="K30" i="73" s="1"/>
  <c r="L30" i="73" s="1"/>
  <c r="M30" i="73" s="1"/>
  <c r="N30" i="73" s="1"/>
  <c r="O30" i="73" s="1"/>
  <c r="P30" i="73" s="1"/>
  <c r="Q30" i="73" s="1"/>
  <c r="R30" i="73" s="1"/>
  <c r="S30" i="73" s="1"/>
  <c r="T30" i="73" s="1"/>
  <c r="U30" i="73" s="1"/>
  <c r="V30" i="73" s="1"/>
  <c r="W30" i="73" s="1"/>
  <c r="X30" i="73" s="1"/>
  <c r="Y30" i="73" s="1"/>
  <c r="Z30" i="73" s="1"/>
  <c r="AA30" i="73" s="1"/>
  <c r="AB30" i="73" s="1"/>
  <c r="AC30" i="73" s="1"/>
  <c r="AD30" i="73" s="1"/>
  <c r="AE30" i="73" s="1"/>
  <c r="AF30" i="73" s="1"/>
  <c r="AG30" i="73" s="1"/>
  <c r="AH30" i="73" s="1"/>
  <c r="AI30" i="73" s="1"/>
  <c r="AJ30" i="73" s="1"/>
  <c r="AK30" i="73" s="1"/>
  <c r="AL30" i="73" s="1"/>
  <c r="AM30" i="73" s="1"/>
  <c r="AN30" i="73" s="1"/>
  <c r="G32" i="73"/>
  <c r="H32" i="73" s="1"/>
  <c r="I32" i="73" s="1"/>
  <c r="J32" i="73" s="1"/>
  <c r="K32" i="73" s="1"/>
  <c r="L32" i="73" s="1"/>
  <c r="M32" i="73" s="1"/>
  <c r="N32" i="73" s="1"/>
  <c r="O32" i="73" s="1"/>
  <c r="P32" i="73" s="1"/>
  <c r="Q32" i="73" s="1"/>
  <c r="R32" i="73" s="1"/>
  <c r="S32" i="73" s="1"/>
  <c r="T32" i="73" s="1"/>
  <c r="U32" i="73" s="1"/>
  <c r="V32" i="73" s="1"/>
  <c r="W32" i="73" s="1"/>
  <c r="X32" i="73" s="1"/>
  <c r="Y32" i="73" s="1"/>
  <c r="Z32" i="73" s="1"/>
  <c r="AA32" i="73" s="1"/>
  <c r="AB32" i="73" s="1"/>
  <c r="AC32" i="73" s="1"/>
  <c r="AD32" i="73" s="1"/>
  <c r="AE32" i="73" s="1"/>
  <c r="AF32" i="73" s="1"/>
  <c r="AG32" i="73" s="1"/>
  <c r="AH32" i="73" s="1"/>
  <c r="AI32" i="73" s="1"/>
  <c r="AJ32" i="73" s="1"/>
  <c r="AK32" i="73" s="1"/>
  <c r="AL32" i="73" s="1"/>
  <c r="AM32" i="73" s="1"/>
  <c r="AN32" i="73" s="1"/>
  <c r="G31" i="73"/>
  <c r="H31" i="73" s="1"/>
  <c r="I31" i="73" s="1"/>
  <c r="J31" i="73" s="1"/>
  <c r="K31" i="73" s="1"/>
  <c r="L31" i="73" s="1"/>
  <c r="M31" i="73" s="1"/>
  <c r="N31" i="73" s="1"/>
  <c r="O31" i="73" s="1"/>
  <c r="P31" i="73" s="1"/>
  <c r="Q31" i="73" s="1"/>
  <c r="R31" i="73" s="1"/>
  <c r="S31" i="73" s="1"/>
  <c r="T31" i="73" s="1"/>
  <c r="U31" i="73" s="1"/>
  <c r="V31" i="73" s="1"/>
  <c r="W31" i="73" s="1"/>
  <c r="X31" i="73" s="1"/>
  <c r="Y31" i="73" s="1"/>
  <c r="Z31" i="73" s="1"/>
  <c r="AA31" i="73" s="1"/>
  <c r="AB31" i="73" s="1"/>
  <c r="AC31" i="73" s="1"/>
  <c r="AD31" i="73" s="1"/>
  <c r="AE31" i="73" s="1"/>
  <c r="AF31" i="73" s="1"/>
  <c r="AG31" i="73" s="1"/>
  <c r="AH31" i="73" s="1"/>
  <c r="AI31" i="73" s="1"/>
  <c r="AJ31" i="73" s="1"/>
  <c r="AK31" i="73" s="1"/>
  <c r="AL31" i="73" s="1"/>
  <c r="AM31" i="73" s="1"/>
  <c r="AN31" i="73" s="1"/>
  <c r="AN142" i="63"/>
  <c r="AN272" i="63"/>
  <c r="AB182" i="63"/>
  <c r="AB147" i="63"/>
  <c r="M182" i="63"/>
  <c r="M147" i="63"/>
  <c r="AE182" i="63"/>
  <c r="AE147" i="63"/>
  <c r="R147" i="63"/>
  <c r="R182" i="63"/>
  <c r="AH147" i="63"/>
  <c r="AH182" i="63"/>
  <c r="S147" i="63"/>
  <c r="S182" i="63"/>
  <c r="AG182" i="63"/>
  <c r="AG147" i="63"/>
  <c r="T182" i="63"/>
  <c r="T147" i="63"/>
  <c r="AK485" i="59"/>
  <c r="AL485" i="59" s="1"/>
  <c r="AM485" i="59" s="1"/>
  <c r="G33" i="59"/>
  <c r="H33" i="59" s="1"/>
  <c r="I33" i="59" s="1"/>
  <c r="J33" i="59" s="1"/>
  <c r="K33" i="59" s="1"/>
  <c r="L33" i="59" s="1"/>
  <c r="M33" i="59" s="1"/>
  <c r="N33" i="59" s="1"/>
  <c r="O33" i="59" s="1"/>
  <c r="P33" i="59" s="1"/>
  <c r="Q33" i="59" s="1"/>
  <c r="R33" i="59" s="1"/>
  <c r="S33" i="59" s="1"/>
  <c r="T33" i="59" s="1"/>
  <c r="U33" i="59" s="1"/>
  <c r="V33" i="59" s="1"/>
  <c r="W33" i="59" s="1"/>
  <c r="X33" i="59" s="1"/>
  <c r="Y33" i="59" s="1"/>
  <c r="Z33" i="59" s="1"/>
  <c r="AA33" i="59" s="1"/>
  <c r="AB33" i="59" s="1"/>
  <c r="AC33" i="59" s="1"/>
  <c r="AD33" i="59" s="1"/>
  <c r="AE33" i="59" s="1"/>
  <c r="AF33" i="59" s="1"/>
  <c r="AG33" i="59" s="1"/>
  <c r="AH33" i="59" s="1"/>
  <c r="AI33" i="59" s="1"/>
  <c r="AJ33" i="59" s="1"/>
  <c r="AK33" i="59" s="1"/>
  <c r="AL33" i="59" s="1"/>
  <c r="AM33" i="59" s="1"/>
  <c r="AN33" i="59" s="1"/>
  <c r="G37" i="59"/>
  <c r="H37" i="59" s="1"/>
  <c r="I37" i="59" s="1"/>
  <c r="J37" i="59" s="1"/>
  <c r="K37" i="59" s="1"/>
  <c r="L37" i="59" s="1"/>
  <c r="M37" i="59" s="1"/>
  <c r="N37" i="59" s="1"/>
  <c r="O37" i="59" s="1"/>
  <c r="P37" i="59" s="1"/>
  <c r="Q37" i="59" s="1"/>
  <c r="R37" i="59" s="1"/>
  <c r="S37" i="59" s="1"/>
  <c r="T37" i="59" s="1"/>
  <c r="U37" i="59" s="1"/>
  <c r="V37" i="59" s="1"/>
  <c r="W37" i="59" s="1"/>
  <c r="X37" i="59" s="1"/>
  <c r="Y37" i="59" s="1"/>
  <c r="Z37" i="59" s="1"/>
  <c r="AA37" i="59" s="1"/>
  <c r="AB37" i="59" s="1"/>
  <c r="AC37" i="59" s="1"/>
  <c r="AD37" i="59" s="1"/>
  <c r="AE37" i="59" s="1"/>
  <c r="AF37" i="59" s="1"/>
  <c r="AG37" i="59" s="1"/>
  <c r="AH37" i="59" s="1"/>
  <c r="AI37" i="59" s="1"/>
  <c r="AJ37" i="59" s="1"/>
  <c r="AK37" i="59" s="1"/>
  <c r="AL37" i="59" s="1"/>
  <c r="AM37" i="59" s="1"/>
  <c r="AN37" i="59" s="1"/>
  <c r="G39" i="59"/>
  <c r="H39" i="59" s="1"/>
  <c r="G38" i="59"/>
  <c r="H38" i="59" s="1"/>
  <c r="I38" i="59" s="1"/>
  <c r="J38" i="59" s="1"/>
  <c r="K38" i="59" s="1"/>
  <c r="L38" i="59" s="1"/>
  <c r="M38" i="59" s="1"/>
  <c r="N38" i="59" s="1"/>
  <c r="O38" i="59" s="1"/>
  <c r="P38" i="59" s="1"/>
  <c r="Q38" i="59" s="1"/>
  <c r="R38" i="59" s="1"/>
  <c r="S38" i="59" s="1"/>
  <c r="T38" i="59" s="1"/>
  <c r="U38" i="59" s="1"/>
  <c r="V38" i="59" s="1"/>
  <c r="W38" i="59" s="1"/>
  <c r="X38" i="59" s="1"/>
  <c r="Y38" i="59" s="1"/>
  <c r="Z38" i="59" s="1"/>
  <c r="AA38" i="59" s="1"/>
  <c r="AB38" i="59" s="1"/>
  <c r="AC38" i="59" s="1"/>
  <c r="AD38" i="59" s="1"/>
  <c r="AE38" i="59" s="1"/>
  <c r="AF38" i="59" s="1"/>
  <c r="AG38" i="59" s="1"/>
  <c r="AH38" i="59" s="1"/>
  <c r="AI38" i="59" s="1"/>
  <c r="AJ38" i="59" s="1"/>
  <c r="AK38" i="59" s="1"/>
  <c r="AL38" i="59" s="1"/>
  <c r="AM38" i="59" s="1"/>
  <c r="AN38" i="59" s="1"/>
  <c r="G31" i="59"/>
  <c r="G34" i="59"/>
  <c r="H34" i="59" s="1"/>
  <c r="I34" i="59" s="1"/>
  <c r="J34" i="59" s="1"/>
  <c r="K34" i="59" s="1"/>
  <c r="L34" i="59" s="1"/>
  <c r="M34" i="59" s="1"/>
  <c r="N34" i="59" s="1"/>
  <c r="O34" i="59" s="1"/>
  <c r="P34" i="59" s="1"/>
  <c r="Q34" i="59" s="1"/>
  <c r="R34" i="59" s="1"/>
  <c r="S34" i="59" s="1"/>
  <c r="T34" i="59" s="1"/>
  <c r="U34" i="59" s="1"/>
  <c r="V34" i="59" s="1"/>
  <c r="W34" i="59" s="1"/>
  <c r="X34" i="59" s="1"/>
  <c r="Y34" i="59" s="1"/>
  <c r="Z34" i="59" s="1"/>
  <c r="AA34" i="59" s="1"/>
  <c r="AB34" i="59" s="1"/>
  <c r="AC34" i="59" s="1"/>
  <c r="AD34" i="59" s="1"/>
  <c r="AE34" i="59" s="1"/>
  <c r="AF34" i="59" s="1"/>
  <c r="AG34" i="59" s="1"/>
  <c r="AH34" i="59" s="1"/>
  <c r="AI34" i="59" s="1"/>
  <c r="AJ34" i="59" s="1"/>
  <c r="AK34" i="59" s="1"/>
  <c r="AL34" i="59" s="1"/>
  <c r="AM34" i="59" s="1"/>
  <c r="AN34" i="59" s="1"/>
  <c r="G36" i="59"/>
  <c r="H36" i="59" s="1"/>
  <c r="I36" i="59" s="1"/>
  <c r="J36" i="59" s="1"/>
  <c r="K36" i="59" s="1"/>
  <c r="L36" i="59" s="1"/>
  <c r="M36" i="59" s="1"/>
  <c r="N36" i="59" s="1"/>
  <c r="O36" i="59" s="1"/>
  <c r="P36" i="59" s="1"/>
  <c r="Q36" i="59" s="1"/>
  <c r="R36" i="59" s="1"/>
  <c r="S36" i="59" s="1"/>
  <c r="T36" i="59" s="1"/>
  <c r="U36" i="59" s="1"/>
  <c r="V36" i="59" s="1"/>
  <c r="W36" i="59" s="1"/>
  <c r="X36" i="59" s="1"/>
  <c r="Y36" i="59" s="1"/>
  <c r="Z36" i="59" s="1"/>
  <c r="AA36" i="59" s="1"/>
  <c r="AB36" i="59" s="1"/>
  <c r="AC36" i="59" s="1"/>
  <c r="AD36" i="59" s="1"/>
  <c r="AE36" i="59" s="1"/>
  <c r="AF36" i="59" s="1"/>
  <c r="AG36" i="59" s="1"/>
  <c r="AH36" i="59" s="1"/>
  <c r="AI36" i="59" s="1"/>
  <c r="AJ36" i="59" s="1"/>
  <c r="AK36" i="59" s="1"/>
  <c r="AL36" i="59" s="1"/>
  <c r="AM36" i="59" s="1"/>
  <c r="AN36" i="59" s="1"/>
  <c r="G32" i="59"/>
  <c r="H32" i="59" s="1"/>
  <c r="I32" i="59" s="1"/>
  <c r="J32" i="59" s="1"/>
  <c r="K32" i="59" s="1"/>
  <c r="L32" i="59" s="1"/>
  <c r="M32" i="59" s="1"/>
  <c r="N32" i="59" s="1"/>
  <c r="O32" i="59" s="1"/>
  <c r="P32" i="59" s="1"/>
  <c r="Q32" i="59" s="1"/>
  <c r="R32" i="59" s="1"/>
  <c r="S32" i="59" s="1"/>
  <c r="T32" i="59" s="1"/>
  <c r="U32" i="59" s="1"/>
  <c r="V32" i="59" s="1"/>
  <c r="W32" i="59" s="1"/>
  <c r="X32" i="59" s="1"/>
  <c r="Y32" i="59" s="1"/>
  <c r="Z32" i="59" s="1"/>
  <c r="AA32" i="59" s="1"/>
  <c r="AB32" i="59" s="1"/>
  <c r="AC32" i="59" s="1"/>
  <c r="AD32" i="59" s="1"/>
  <c r="AE32" i="59" s="1"/>
  <c r="AF32" i="59" s="1"/>
  <c r="AG32" i="59" s="1"/>
  <c r="AH32" i="59" s="1"/>
  <c r="AI32" i="59" s="1"/>
  <c r="AJ32" i="59" s="1"/>
  <c r="AK32" i="59" s="1"/>
  <c r="AL32" i="59" s="1"/>
  <c r="AM32" i="59" s="1"/>
  <c r="AN32" i="59" s="1"/>
  <c r="G35" i="59"/>
  <c r="H35" i="59" s="1"/>
  <c r="I35" i="59" s="1"/>
  <c r="J35" i="59" s="1"/>
  <c r="K35" i="59" s="1"/>
  <c r="L35" i="59" s="1"/>
  <c r="M35" i="59" s="1"/>
  <c r="N35" i="59" s="1"/>
  <c r="O35" i="59" s="1"/>
  <c r="P35" i="59" s="1"/>
  <c r="Q35" i="59" s="1"/>
  <c r="R35" i="59" s="1"/>
  <c r="S35" i="59" s="1"/>
  <c r="T35" i="59" s="1"/>
  <c r="U35" i="59" s="1"/>
  <c r="V35" i="59" s="1"/>
  <c r="W35" i="59" s="1"/>
  <c r="X35" i="59" s="1"/>
  <c r="Y35" i="59" s="1"/>
  <c r="Z35" i="59" s="1"/>
  <c r="AA35" i="59" s="1"/>
  <c r="AB35" i="59" s="1"/>
  <c r="AC35" i="59" s="1"/>
  <c r="AD35" i="59" s="1"/>
  <c r="AE35" i="59" s="1"/>
  <c r="AF35" i="59" s="1"/>
  <c r="AG35" i="59" s="1"/>
  <c r="AH35" i="59" s="1"/>
  <c r="AI35" i="59" s="1"/>
  <c r="AJ35" i="59" s="1"/>
  <c r="AK35" i="59" s="1"/>
  <c r="AL35" i="59" s="1"/>
  <c r="AM35" i="59" s="1"/>
  <c r="AN35" i="59" s="1"/>
  <c r="AJ484" i="59"/>
  <c r="AK484" i="59" s="1"/>
  <c r="AL484" i="59" s="1"/>
  <c r="AM484" i="59" s="1"/>
  <c r="P467" i="59"/>
  <c r="Q467" i="59" s="1"/>
  <c r="AM492" i="59"/>
  <c r="O688" i="59"/>
  <c r="AA812" i="59"/>
  <c r="AB812" i="59" s="1"/>
  <c r="AK56" i="63"/>
  <c r="AL56" i="63" s="1"/>
  <c r="U696" i="59"/>
  <c r="AN376" i="63"/>
  <c r="AN382" i="63"/>
  <c r="AN383" i="63" s="1"/>
  <c r="Z587" i="59"/>
  <c r="AA587" i="59" s="1"/>
  <c r="AB587" i="59" s="1"/>
  <c r="AC587" i="59" s="1"/>
  <c r="Y586" i="59"/>
  <c r="Z586" i="59" s="1"/>
  <c r="AA586" i="59" s="1"/>
  <c r="AH483" i="59"/>
  <c r="Q460" i="59"/>
  <c r="R460" i="59" s="1"/>
  <c r="N462" i="59"/>
  <c r="AL81" i="46"/>
  <c r="AL66" i="46"/>
  <c r="AL67" i="46" s="1"/>
  <c r="AL82" i="46" s="1"/>
  <c r="J549" i="59"/>
  <c r="J503" i="59" s="1"/>
  <c r="AL342" i="59"/>
  <c r="AL216" i="59" s="1"/>
  <c r="AL29" i="60"/>
  <c r="AL340" i="59"/>
  <c r="AL215" i="59" s="1"/>
  <c r="AL27" i="60"/>
  <c r="T580" i="59"/>
  <c r="U580" i="59" s="1"/>
  <c r="X584" i="59"/>
  <c r="Y584" i="59" s="1"/>
  <c r="AL820" i="59"/>
  <c r="AM820" i="59" s="1"/>
  <c r="AH875" i="59"/>
  <c r="AI875" i="59" s="1"/>
  <c r="AJ875" i="59" s="1"/>
  <c r="AK875" i="59" s="1"/>
  <c r="H504" i="59"/>
  <c r="I501" i="59" s="1"/>
  <c r="AI710" i="59"/>
  <c r="AJ710" i="59" s="1"/>
  <c r="AK710" i="59" s="1"/>
  <c r="AL710" i="59" s="1"/>
  <c r="AJ595" i="59"/>
  <c r="AK595" i="59" s="1"/>
  <c r="T469" i="59"/>
  <c r="AM823" i="59"/>
  <c r="AL156" i="60" l="1"/>
  <c r="AM539" i="59"/>
  <c r="AL763" i="59"/>
  <c r="AM763" i="59" s="1"/>
  <c r="AM743" i="59"/>
  <c r="L774" i="59"/>
  <c r="L728" i="59" s="1"/>
  <c r="L729" i="59" s="1"/>
  <c r="M726" i="59" s="1"/>
  <c r="AK537" i="59"/>
  <c r="AL537" i="59" s="1"/>
  <c r="AM537" i="59" s="1"/>
  <c r="S518" i="59"/>
  <c r="T518" i="59" s="1"/>
  <c r="U518" i="59" s="1"/>
  <c r="V518" i="59" s="1"/>
  <c r="W518" i="59" s="1"/>
  <c r="X518" i="59" s="1"/>
  <c r="Y518" i="59" s="1"/>
  <c r="Z518" i="59" s="1"/>
  <c r="AA518" i="59" s="1"/>
  <c r="AB518" i="59" s="1"/>
  <c r="AC518" i="59" s="1"/>
  <c r="AD518" i="59" s="1"/>
  <c r="AE518" i="59" s="1"/>
  <c r="AF518" i="59" s="1"/>
  <c r="AG518" i="59" s="1"/>
  <c r="AH518" i="59" s="1"/>
  <c r="AI518" i="59" s="1"/>
  <c r="AJ518" i="59" s="1"/>
  <c r="AK518" i="59" s="1"/>
  <c r="AL518" i="59" s="1"/>
  <c r="AM518" i="59" s="1"/>
  <c r="U742" i="59"/>
  <c r="V742" i="59" s="1"/>
  <c r="W742" i="59" s="1"/>
  <c r="X742" i="59" s="1"/>
  <c r="Y742" i="59" s="1"/>
  <c r="Z742" i="59" s="1"/>
  <c r="AA742" i="59" s="1"/>
  <c r="AB742" i="59" s="1"/>
  <c r="AC742" i="59" s="1"/>
  <c r="AD742" i="59" s="1"/>
  <c r="AE742" i="59" s="1"/>
  <c r="AF742" i="59" s="1"/>
  <c r="AG742" i="59" s="1"/>
  <c r="AH742" i="59" s="1"/>
  <c r="AI742" i="59" s="1"/>
  <c r="AJ742" i="59" s="1"/>
  <c r="AK742" i="59" s="1"/>
  <c r="AL742" i="59" s="1"/>
  <c r="AM742" i="59" s="1"/>
  <c r="AM926" i="59"/>
  <c r="AM927" i="59" s="1"/>
  <c r="AM156" i="60" s="1"/>
  <c r="AE533" i="59"/>
  <c r="AF533" i="59" s="1"/>
  <c r="AG533" i="59" s="1"/>
  <c r="AH533" i="59" s="1"/>
  <c r="AI533" i="59" s="1"/>
  <c r="AJ533" i="59" s="1"/>
  <c r="AK533" i="59" s="1"/>
  <c r="AL533" i="59" s="1"/>
  <c r="AM533" i="59" s="1"/>
  <c r="AK762" i="59"/>
  <c r="AL762" i="59" s="1"/>
  <c r="AM762" i="59" s="1"/>
  <c r="AM754" i="59"/>
  <c r="S520" i="59"/>
  <c r="T520" i="59" s="1"/>
  <c r="U520" i="59" s="1"/>
  <c r="V520" i="59" s="1"/>
  <c r="W520" i="59" s="1"/>
  <c r="X520" i="59" s="1"/>
  <c r="Y520" i="59" s="1"/>
  <c r="Z520" i="59" s="1"/>
  <c r="AA520" i="59" s="1"/>
  <c r="AB520" i="59" s="1"/>
  <c r="AC520" i="59" s="1"/>
  <c r="AD520" i="59" s="1"/>
  <c r="AE520" i="59" s="1"/>
  <c r="AF520" i="59" s="1"/>
  <c r="AG520" i="59" s="1"/>
  <c r="AH520" i="59" s="1"/>
  <c r="AI520" i="59" s="1"/>
  <c r="AJ520" i="59" s="1"/>
  <c r="AK520" i="59" s="1"/>
  <c r="AL520" i="59" s="1"/>
  <c r="AM520" i="59" s="1"/>
  <c r="O516" i="59"/>
  <c r="P516" i="59" s="1"/>
  <c r="Q516" i="59" s="1"/>
  <c r="R516" i="59" s="1"/>
  <c r="S516" i="59" s="1"/>
  <c r="T516" i="59" s="1"/>
  <c r="U516" i="59" s="1"/>
  <c r="V516" i="59" s="1"/>
  <c r="W516" i="59" s="1"/>
  <c r="X516" i="59" s="1"/>
  <c r="Y516" i="59" s="1"/>
  <c r="Z516" i="59" s="1"/>
  <c r="AA516" i="59" s="1"/>
  <c r="AB516" i="59" s="1"/>
  <c r="AC516" i="59" s="1"/>
  <c r="AD516" i="59" s="1"/>
  <c r="AE516" i="59" s="1"/>
  <c r="AF516" i="59" s="1"/>
  <c r="AG516" i="59" s="1"/>
  <c r="AH516" i="59" s="1"/>
  <c r="AI516" i="59" s="1"/>
  <c r="AJ516" i="59" s="1"/>
  <c r="AK516" i="59" s="1"/>
  <c r="AL516" i="59" s="1"/>
  <c r="AM516" i="59" s="1"/>
  <c r="AC531" i="59"/>
  <c r="AD531" i="59" s="1"/>
  <c r="AE531" i="59" s="1"/>
  <c r="AF531" i="59" s="1"/>
  <c r="AG531" i="59" s="1"/>
  <c r="AH531" i="59" s="1"/>
  <c r="AI531" i="59" s="1"/>
  <c r="AJ531" i="59" s="1"/>
  <c r="AK531" i="59" s="1"/>
  <c r="AL531" i="59" s="1"/>
  <c r="AM531" i="59" s="1"/>
  <c r="AE534" i="59"/>
  <c r="P515" i="59"/>
  <c r="AD752" i="59"/>
  <c r="AE752" i="59" s="1"/>
  <c r="AF752" i="59" s="1"/>
  <c r="AG752" i="59" s="1"/>
  <c r="AH752" i="59" s="1"/>
  <c r="AI752" i="59" s="1"/>
  <c r="AJ752" i="59" s="1"/>
  <c r="AK752" i="59" s="1"/>
  <c r="AL752" i="59" s="1"/>
  <c r="AM752" i="59" s="1"/>
  <c r="AI538" i="59"/>
  <c r="AJ538" i="59" s="1"/>
  <c r="AK538" i="59" s="1"/>
  <c r="Q740" i="59"/>
  <c r="R740" i="59" s="1"/>
  <c r="S740" i="59" s="1"/>
  <c r="T740" i="59" s="1"/>
  <c r="U740" i="59" s="1"/>
  <c r="V740" i="59" s="1"/>
  <c r="W740" i="59" s="1"/>
  <c r="X740" i="59" s="1"/>
  <c r="Y740" i="59" s="1"/>
  <c r="Z740" i="59" s="1"/>
  <c r="AA740" i="59" s="1"/>
  <c r="AB740" i="59" s="1"/>
  <c r="AC740" i="59" s="1"/>
  <c r="AD740" i="59" s="1"/>
  <c r="AE740" i="59" s="1"/>
  <c r="AF740" i="59" s="1"/>
  <c r="AG740" i="59" s="1"/>
  <c r="AH740" i="59" s="1"/>
  <c r="AI740" i="59" s="1"/>
  <c r="AJ740" i="59" s="1"/>
  <c r="AK740" i="59" s="1"/>
  <c r="AL740" i="59" s="1"/>
  <c r="AM740" i="59" s="1"/>
  <c r="W521" i="59"/>
  <c r="X521" i="59" s="1"/>
  <c r="Y521" i="59" s="1"/>
  <c r="Z521" i="59" s="1"/>
  <c r="AA521" i="59" s="1"/>
  <c r="AB521" i="59" s="1"/>
  <c r="AC521" i="59" s="1"/>
  <c r="AD521" i="59" s="1"/>
  <c r="AE521" i="59" s="1"/>
  <c r="AF521" i="59" s="1"/>
  <c r="AG521" i="59" s="1"/>
  <c r="AH521" i="59" s="1"/>
  <c r="AI521" i="59" s="1"/>
  <c r="AJ521" i="59" s="1"/>
  <c r="AK521" i="59" s="1"/>
  <c r="AL521" i="59" s="1"/>
  <c r="AM521" i="59" s="1"/>
  <c r="AK751" i="59"/>
  <c r="AK535" i="59"/>
  <c r="AL535" i="59" s="1"/>
  <c r="AM535" i="59" s="1"/>
  <c r="W525" i="59"/>
  <c r="X525" i="59" s="1"/>
  <c r="Y525" i="59" s="1"/>
  <c r="Z525" i="59" s="1"/>
  <c r="AA525" i="59" s="1"/>
  <c r="AB525" i="59" s="1"/>
  <c r="AC525" i="59" s="1"/>
  <c r="AD525" i="59" s="1"/>
  <c r="AE525" i="59" s="1"/>
  <c r="AF525" i="59" s="1"/>
  <c r="AG525" i="59" s="1"/>
  <c r="AH525" i="59" s="1"/>
  <c r="AI525" i="59" s="1"/>
  <c r="AJ525" i="59" s="1"/>
  <c r="AK525" i="59" s="1"/>
  <c r="AL525" i="59" s="1"/>
  <c r="AM525" i="59" s="1"/>
  <c r="Y529" i="59"/>
  <c r="Z529" i="59" s="1"/>
  <c r="AA529" i="59" s="1"/>
  <c r="AB529" i="59" s="1"/>
  <c r="AC529" i="59" s="1"/>
  <c r="AD529" i="59" s="1"/>
  <c r="AE529" i="59" s="1"/>
  <c r="AF529" i="59" s="1"/>
  <c r="AG529" i="59" s="1"/>
  <c r="AH529" i="59" s="1"/>
  <c r="AI529" i="59" s="1"/>
  <c r="AJ529" i="59" s="1"/>
  <c r="AK529" i="59" s="1"/>
  <c r="AL529" i="59" s="1"/>
  <c r="AM529" i="59" s="1"/>
  <c r="N517" i="59"/>
  <c r="O517" i="59" s="1"/>
  <c r="P517" i="59" s="1"/>
  <c r="Q517" i="59" s="1"/>
  <c r="R517" i="59" s="1"/>
  <c r="S517" i="59" s="1"/>
  <c r="T517" i="59" s="1"/>
  <c r="U517" i="59" s="1"/>
  <c r="V517" i="59" s="1"/>
  <c r="W517" i="59" s="1"/>
  <c r="X517" i="59" s="1"/>
  <c r="Y517" i="59" s="1"/>
  <c r="Z517" i="59" s="1"/>
  <c r="AA517" i="59" s="1"/>
  <c r="AB517" i="59" s="1"/>
  <c r="AC517" i="59" s="1"/>
  <c r="AD517" i="59" s="1"/>
  <c r="AE517" i="59" s="1"/>
  <c r="AF517" i="59" s="1"/>
  <c r="AG517" i="59" s="1"/>
  <c r="AH517" i="59" s="1"/>
  <c r="AI517" i="59" s="1"/>
  <c r="AJ517" i="59" s="1"/>
  <c r="AK517" i="59" s="1"/>
  <c r="AL517" i="59" s="1"/>
  <c r="AM517" i="59" s="1"/>
  <c r="AD530" i="59"/>
  <c r="AE530" i="59" s="1"/>
  <c r="AF530" i="59" s="1"/>
  <c r="AG530" i="59" s="1"/>
  <c r="AH530" i="59" s="1"/>
  <c r="AI530" i="59" s="1"/>
  <c r="AJ530" i="59" s="1"/>
  <c r="AK530" i="59" s="1"/>
  <c r="AL530" i="59" s="1"/>
  <c r="AM530" i="59" s="1"/>
  <c r="AK760" i="59"/>
  <c r="AL760" i="59" s="1"/>
  <c r="AM760" i="59" s="1"/>
  <c r="U747" i="59"/>
  <c r="V747" i="59" s="1"/>
  <c r="W747" i="59" s="1"/>
  <c r="X747" i="59" s="1"/>
  <c r="Y747" i="59" s="1"/>
  <c r="Z747" i="59" s="1"/>
  <c r="AA747" i="59" s="1"/>
  <c r="AB747" i="59" s="1"/>
  <c r="AC747" i="59" s="1"/>
  <c r="AD747" i="59" s="1"/>
  <c r="AE747" i="59" s="1"/>
  <c r="AF747" i="59" s="1"/>
  <c r="AG747" i="59" s="1"/>
  <c r="AH747" i="59" s="1"/>
  <c r="AI747" i="59" s="1"/>
  <c r="AJ747" i="59" s="1"/>
  <c r="AK747" i="59" s="1"/>
  <c r="AL747" i="59" s="1"/>
  <c r="AM747" i="59" s="1"/>
  <c r="V527" i="59"/>
  <c r="W527" i="59" s="1"/>
  <c r="X527" i="59" s="1"/>
  <c r="Y527" i="59" s="1"/>
  <c r="Z527" i="59" s="1"/>
  <c r="AA527" i="59" s="1"/>
  <c r="AB527" i="59" s="1"/>
  <c r="AC527" i="59" s="1"/>
  <c r="AD527" i="59" s="1"/>
  <c r="AE527" i="59" s="1"/>
  <c r="AF527" i="59" s="1"/>
  <c r="AG527" i="59" s="1"/>
  <c r="AH527" i="59" s="1"/>
  <c r="AI527" i="59" s="1"/>
  <c r="AJ527" i="59" s="1"/>
  <c r="AK527" i="59" s="1"/>
  <c r="AL527" i="59" s="1"/>
  <c r="AM527" i="59" s="1"/>
  <c r="AN1110" i="59"/>
  <c r="AN1108" i="59"/>
  <c r="AL119" i="59"/>
  <c r="AL70" i="73"/>
  <c r="AL332" i="59"/>
  <c r="AL337" i="59"/>
  <c r="AL212" i="59" s="1"/>
  <c r="AK24" i="60"/>
  <c r="AM316" i="59"/>
  <c r="AM337" i="59" s="1"/>
  <c r="AM212" i="59" s="1"/>
  <c r="AM351" i="59"/>
  <c r="AN56" i="59"/>
  <c r="AN59" i="59" s="1"/>
  <c r="AN72" i="59"/>
  <c r="AM115" i="59"/>
  <c r="AM127" i="59" s="1"/>
  <c r="AK211" i="59"/>
  <c r="AK185" i="59"/>
  <c r="AK70" i="73"/>
  <c r="AK75" i="73" s="1"/>
  <c r="AK1028" i="59"/>
  <c r="AK16" i="60"/>
  <c r="AK112" i="60" s="1"/>
  <c r="U579" i="59"/>
  <c r="V579" i="59" s="1"/>
  <c r="L461" i="59"/>
  <c r="M461" i="59" s="1"/>
  <c r="M494" i="59" s="1"/>
  <c r="M448" i="59" s="1"/>
  <c r="J560" i="59"/>
  <c r="K557" i="59" s="1"/>
  <c r="L885" i="59"/>
  <c r="L839" i="59" s="1"/>
  <c r="L840" i="59" s="1"/>
  <c r="M837" i="59" s="1"/>
  <c r="L674" i="59"/>
  <c r="M671" i="59" s="1"/>
  <c r="M687" i="59"/>
  <c r="M719" i="59" s="1"/>
  <c r="M673" i="59" s="1"/>
  <c r="AK186" i="59"/>
  <c r="AK240" i="59" s="1"/>
  <c r="U858" i="59"/>
  <c r="V858" i="59" s="1"/>
  <c r="W858" i="59" s="1"/>
  <c r="X858" i="59" s="1"/>
  <c r="Y858" i="59" s="1"/>
  <c r="Z858" i="59" s="1"/>
  <c r="AA858" i="59" s="1"/>
  <c r="AB858" i="59" s="1"/>
  <c r="AC858" i="59" s="1"/>
  <c r="AD858" i="59" s="1"/>
  <c r="AE858" i="59" s="1"/>
  <c r="AF858" i="59" s="1"/>
  <c r="AG858" i="59" s="1"/>
  <c r="Q685" i="59"/>
  <c r="R685" i="59" s="1"/>
  <c r="S685" i="59" s="1"/>
  <c r="AH813" i="59"/>
  <c r="AI813" i="59" s="1"/>
  <c r="W694" i="59"/>
  <c r="X694" i="59" s="1"/>
  <c r="Y694" i="59" s="1"/>
  <c r="Z694" i="59" s="1"/>
  <c r="AA694" i="59" s="1"/>
  <c r="AB694" i="59" s="1"/>
  <c r="R855" i="59"/>
  <c r="S855" i="59" s="1"/>
  <c r="T855" i="59" s="1"/>
  <c r="U855" i="59" s="1"/>
  <c r="V855" i="59" s="1"/>
  <c r="W855" i="59" s="1"/>
  <c r="X855" i="59" s="1"/>
  <c r="Y855" i="59" s="1"/>
  <c r="Z855" i="59" s="1"/>
  <c r="AA855" i="59" s="1"/>
  <c r="AB855" i="59" s="1"/>
  <c r="AC855" i="59" s="1"/>
  <c r="AD855" i="59" s="1"/>
  <c r="AE855" i="59" s="1"/>
  <c r="AF855" i="59" s="1"/>
  <c r="AG855" i="59" s="1"/>
  <c r="AJ593" i="59"/>
  <c r="AK593" i="59" s="1"/>
  <c r="AL593" i="59" s="1"/>
  <c r="AM593" i="59" s="1"/>
  <c r="L797" i="59"/>
  <c r="M797" i="59" s="1"/>
  <c r="AC476" i="59"/>
  <c r="AD476" i="59" s="1"/>
  <c r="AC477" i="59"/>
  <c r="AD863" i="59"/>
  <c r="AE863" i="59" s="1"/>
  <c r="AF863" i="59" s="1"/>
  <c r="AG863" i="59" s="1"/>
  <c r="AH863" i="59" s="1"/>
  <c r="AI863" i="59" s="1"/>
  <c r="AJ863" i="59" s="1"/>
  <c r="AK863" i="59" s="1"/>
  <c r="AL863" i="59" s="1"/>
  <c r="AM863" i="59" s="1"/>
  <c r="AL83" i="46"/>
  <c r="AL90" i="46" s="1"/>
  <c r="AJ596" i="59"/>
  <c r="AK596" i="59" s="1"/>
  <c r="AL596" i="59" s="1"/>
  <c r="P576" i="59"/>
  <c r="Q576" i="59" s="1"/>
  <c r="X805" i="59"/>
  <c r="Y805" i="59" s="1"/>
  <c r="Z805" i="59" s="1"/>
  <c r="AA805" i="59" s="1"/>
  <c r="AB805" i="59" s="1"/>
  <c r="T857" i="59"/>
  <c r="Q575" i="59"/>
  <c r="R575" i="59" s="1"/>
  <c r="W856" i="59"/>
  <c r="R578" i="59"/>
  <c r="S578" i="59" s="1"/>
  <c r="R465" i="59"/>
  <c r="AL709" i="59"/>
  <c r="AM709" i="59" s="1"/>
  <c r="W806" i="59"/>
  <c r="X806" i="59" s="1"/>
  <c r="Y806" i="59" s="1"/>
  <c r="Z806" i="59" s="1"/>
  <c r="S464" i="59"/>
  <c r="X470" i="59"/>
  <c r="Y470" i="59" s="1"/>
  <c r="AH706" i="59"/>
  <c r="AI706" i="59" s="1"/>
  <c r="AJ706" i="59" s="1"/>
  <c r="AK706" i="59" s="1"/>
  <c r="AL706" i="59" s="1"/>
  <c r="AM706" i="59" s="1"/>
  <c r="AE591" i="59"/>
  <c r="AJ482" i="59"/>
  <c r="AK482" i="59" s="1"/>
  <c r="AL186" i="59"/>
  <c r="AL240" i="59" s="1"/>
  <c r="AK6" i="46"/>
  <c r="AK6" i="68"/>
  <c r="AK7" i="73"/>
  <c r="AK7" i="63"/>
  <c r="AK8" i="59"/>
  <c r="AK9" i="60"/>
  <c r="S691" i="59"/>
  <c r="T691" i="59" s="1"/>
  <c r="U691" i="59" s="1"/>
  <c r="V691" i="59" s="1"/>
  <c r="W691" i="59" s="1"/>
  <c r="X691" i="59" s="1"/>
  <c r="Y691" i="59" s="1"/>
  <c r="Z691" i="59" s="1"/>
  <c r="AA691" i="59" s="1"/>
  <c r="AB691" i="59" s="1"/>
  <c r="AC691" i="59" s="1"/>
  <c r="AD691" i="59" s="1"/>
  <c r="AE691" i="59" s="1"/>
  <c r="AF691" i="59" s="1"/>
  <c r="AG691" i="59" s="1"/>
  <c r="AH691" i="59" s="1"/>
  <c r="AI691" i="59" s="1"/>
  <c r="AJ691" i="59" s="1"/>
  <c r="AK691" i="59" s="1"/>
  <c r="AL691" i="59" s="1"/>
  <c r="AM691" i="59" s="1"/>
  <c r="AI592" i="59"/>
  <c r="AJ592" i="59" s="1"/>
  <c r="AK592" i="59" s="1"/>
  <c r="AL592" i="59" s="1"/>
  <c r="AM592" i="59" s="1"/>
  <c r="AM598" i="59"/>
  <c r="V580" i="59"/>
  <c r="W580" i="59" s="1"/>
  <c r="X580" i="59" s="1"/>
  <c r="Y580" i="59" s="1"/>
  <c r="Z580" i="59" s="1"/>
  <c r="AA580" i="59" s="1"/>
  <c r="AB580" i="59" s="1"/>
  <c r="AC580" i="59" s="1"/>
  <c r="AD580" i="59" s="1"/>
  <c r="AE580" i="59" s="1"/>
  <c r="AF580" i="59" s="1"/>
  <c r="AG580" i="59" s="1"/>
  <c r="AH580" i="59" s="1"/>
  <c r="AI580" i="59" s="1"/>
  <c r="AJ580" i="59" s="1"/>
  <c r="AK580" i="59" s="1"/>
  <c r="AL580" i="59" s="1"/>
  <c r="AM580" i="59" s="1"/>
  <c r="U803" i="59"/>
  <c r="V803" i="59" s="1"/>
  <c r="W803" i="59" s="1"/>
  <c r="Y582" i="59"/>
  <c r="Z582" i="59" s="1"/>
  <c r="I39" i="59"/>
  <c r="H180" i="59"/>
  <c r="H125" i="59"/>
  <c r="AN310" i="63"/>
  <c r="AN305" i="63"/>
  <c r="AN307" i="63" s="1"/>
  <c r="AN80" i="46"/>
  <c r="AN62" i="46"/>
  <c r="F59" i="46"/>
  <c r="AM346" i="59"/>
  <c r="AM220" i="59" s="1"/>
  <c r="AM31" i="60"/>
  <c r="F31" i="60" s="1"/>
  <c r="AM344" i="59"/>
  <c r="AM218" i="59" s="1"/>
  <c r="AG871" i="59"/>
  <c r="AH871" i="59" s="1"/>
  <c r="AK1045" i="59"/>
  <c r="N853" i="59"/>
  <c r="O853" i="59" s="1"/>
  <c r="P853" i="59" s="1"/>
  <c r="Q853" i="59" s="1"/>
  <c r="R853" i="59" s="1"/>
  <c r="S853" i="59" s="1"/>
  <c r="T853" i="59" s="1"/>
  <c r="U853" i="59" s="1"/>
  <c r="V853" i="59" s="1"/>
  <c r="W853" i="59" s="1"/>
  <c r="X853" i="59" s="1"/>
  <c r="Y853" i="59" s="1"/>
  <c r="Z853" i="59" s="1"/>
  <c r="AA853" i="59" s="1"/>
  <c r="AB853" i="59" s="1"/>
  <c r="AC853" i="59" s="1"/>
  <c r="AD853" i="59" s="1"/>
  <c r="AE853" i="59" s="1"/>
  <c r="AF853" i="59" s="1"/>
  <c r="AG853" i="59" s="1"/>
  <c r="AH853" i="59" s="1"/>
  <c r="AI853" i="59" s="1"/>
  <c r="AJ853" i="59" s="1"/>
  <c r="AK853" i="59" s="1"/>
  <c r="AL853" i="59" s="1"/>
  <c r="AM853" i="59" s="1"/>
  <c r="W861" i="59"/>
  <c r="X861" i="59" s="1"/>
  <c r="AA700" i="59"/>
  <c r="Q574" i="59"/>
  <c r="X474" i="59"/>
  <c r="J785" i="59"/>
  <c r="K782" i="59" s="1"/>
  <c r="K785" i="59" s="1"/>
  <c r="L782" i="59" s="1"/>
  <c r="S466" i="59"/>
  <c r="T466" i="59" s="1"/>
  <c r="AA864" i="59"/>
  <c r="AB864" i="59" s="1"/>
  <c r="AM339" i="59"/>
  <c r="AM214" i="59" s="1"/>
  <c r="AM26" i="60"/>
  <c r="AM336" i="59"/>
  <c r="AM23" i="60"/>
  <c r="AM338" i="59"/>
  <c r="AM213" i="59" s="1"/>
  <c r="AM25" i="60"/>
  <c r="Z585" i="59"/>
  <c r="AA585" i="59" s="1"/>
  <c r="AB585" i="59" s="1"/>
  <c r="AC585" i="59" s="1"/>
  <c r="AD585" i="59" s="1"/>
  <c r="AE585" i="59" s="1"/>
  <c r="AF585" i="59" s="1"/>
  <c r="AG585" i="59" s="1"/>
  <c r="AH585" i="59" s="1"/>
  <c r="AI585" i="59" s="1"/>
  <c r="AJ585" i="59" s="1"/>
  <c r="AK585" i="59" s="1"/>
  <c r="AL585" i="59" s="1"/>
  <c r="AM585" i="59" s="1"/>
  <c r="T468" i="59"/>
  <c r="AM87" i="73"/>
  <c r="AL335" i="59"/>
  <c r="AL22" i="60"/>
  <c r="AA588" i="59"/>
  <c r="AL875" i="59"/>
  <c r="AM875" i="59" s="1"/>
  <c r="AK384" i="59"/>
  <c r="AM345" i="63"/>
  <c r="W808" i="59"/>
  <c r="X808" i="59" s="1"/>
  <c r="Y808" i="59" s="1"/>
  <c r="S692" i="59"/>
  <c r="T692" i="59" s="1"/>
  <c r="U692" i="59" s="1"/>
  <c r="V692" i="59" s="1"/>
  <c r="W692" i="59" s="1"/>
  <c r="X692" i="59" s="1"/>
  <c r="Y692" i="59" s="1"/>
  <c r="Z692" i="59" s="1"/>
  <c r="AA692" i="59" s="1"/>
  <c r="AB692" i="59" s="1"/>
  <c r="AC692" i="59" s="1"/>
  <c r="AD692" i="59" s="1"/>
  <c r="AE692" i="59" s="1"/>
  <c r="AF692" i="59" s="1"/>
  <c r="AG692" i="59" s="1"/>
  <c r="AH692" i="59" s="1"/>
  <c r="AI692" i="59" s="1"/>
  <c r="AJ692" i="59" s="1"/>
  <c r="AK692" i="59" s="1"/>
  <c r="AL692" i="59" s="1"/>
  <c r="AM692" i="59" s="1"/>
  <c r="Q577" i="59"/>
  <c r="R577" i="59" s="1"/>
  <c r="S577" i="59" s="1"/>
  <c r="T577" i="59" s="1"/>
  <c r="AE589" i="59"/>
  <c r="AF589" i="59" s="1"/>
  <c r="P688" i="59"/>
  <c r="Q688" i="59" s="1"/>
  <c r="R688" i="59" s="1"/>
  <c r="S688" i="59" s="1"/>
  <c r="T688" i="59" s="1"/>
  <c r="U688" i="59" s="1"/>
  <c r="V688" i="59" s="1"/>
  <c r="W688" i="59" s="1"/>
  <c r="X688" i="59" s="1"/>
  <c r="Y688" i="59" s="1"/>
  <c r="Z688" i="59" s="1"/>
  <c r="AA688" i="59" s="1"/>
  <c r="AB688" i="59" s="1"/>
  <c r="AC688" i="59" s="1"/>
  <c r="AD688" i="59" s="1"/>
  <c r="AE688" i="59" s="1"/>
  <c r="AF688" i="59" s="1"/>
  <c r="AG688" i="59" s="1"/>
  <c r="AH688" i="59" s="1"/>
  <c r="AI688" i="59" s="1"/>
  <c r="AJ688" i="59" s="1"/>
  <c r="AK688" i="59" s="1"/>
  <c r="AL688" i="59" s="1"/>
  <c r="AM688" i="59" s="1"/>
  <c r="AE816" i="59"/>
  <c r="AF816" i="59" s="1"/>
  <c r="AG816" i="59" s="1"/>
  <c r="AH816" i="59" s="1"/>
  <c r="AI816" i="59" s="1"/>
  <c r="AJ816" i="59" s="1"/>
  <c r="AK816" i="59" s="1"/>
  <c r="AL816" i="59" s="1"/>
  <c r="AM816" i="59" s="1"/>
  <c r="R801" i="59"/>
  <c r="S801" i="59" s="1"/>
  <c r="T801" i="59" s="1"/>
  <c r="U801" i="59" s="1"/>
  <c r="V801" i="59" s="1"/>
  <c r="W801" i="59" s="1"/>
  <c r="X801" i="59" s="1"/>
  <c r="AL1045" i="59"/>
  <c r="K605" i="59"/>
  <c r="K559" i="59" s="1"/>
  <c r="P851" i="59"/>
  <c r="AM54" i="73"/>
  <c r="AL60" i="73"/>
  <c r="AB811" i="59"/>
  <c r="AC811" i="59" s="1"/>
  <c r="AN50" i="63"/>
  <c r="AN45" i="73"/>
  <c r="AN81" i="73" s="1"/>
  <c r="AN87" i="73" s="1"/>
  <c r="AN106" i="59"/>
  <c r="AN111" i="59" s="1"/>
  <c r="AN94" i="59"/>
  <c r="AN97" i="59" s="1"/>
  <c r="AN298" i="59"/>
  <c r="AN300" i="59" s="1"/>
  <c r="AN304" i="59"/>
  <c r="AN678" i="59"/>
  <c r="AN733" i="59"/>
  <c r="AN789" i="59"/>
  <c r="AN844" i="59"/>
  <c r="AN915" i="59"/>
  <c r="AN916" i="59" s="1"/>
  <c r="AN925" i="59" s="1"/>
  <c r="AN619" i="59"/>
  <c r="AN256" i="59"/>
  <c r="AN265" i="59" s="1"/>
  <c r="AN564" i="59"/>
  <c r="AN597" i="59" s="1"/>
  <c r="AN1020" i="59"/>
  <c r="AN508" i="59"/>
  <c r="AN453" i="59"/>
  <c r="AN713" i="59" s="1"/>
  <c r="F72" i="46"/>
  <c r="U469" i="59"/>
  <c r="V469" i="59" s="1"/>
  <c r="W469" i="59" s="1"/>
  <c r="X469" i="59" s="1"/>
  <c r="Y469" i="59" s="1"/>
  <c r="Z469" i="59" s="1"/>
  <c r="AA469" i="59" s="1"/>
  <c r="AB469" i="59" s="1"/>
  <c r="AC469" i="59" s="1"/>
  <c r="AD469" i="59" s="1"/>
  <c r="AE469" i="59" s="1"/>
  <c r="AF469" i="59" s="1"/>
  <c r="AG469" i="59" s="1"/>
  <c r="AH469" i="59" s="1"/>
  <c r="AI469" i="59" s="1"/>
  <c r="AJ469" i="59" s="1"/>
  <c r="AK469" i="59" s="1"/>
  <c r="AL469" i="59" s="1"/>
  <c r="AM469" i="59" s="1"/>
  <c r="AL595" i="59"/>
  <c r="AM595" i="59" s="1"/>
  <c r="AM186" i="59"/>
  <c r="AM240" i="59" s="1"/>
  <c r="AM17" i="60"/>
  <c r="AM113" i="60" s="1"/>
  <c r="O462" i="59"/>
  <c r="P462" i="59" s="1"/>
  <c r="Q462" i="59" s="1"/>
  <c r="R462" i="59" s="1"/>
  <c r="S462" i="59" s="1"/>
  <c r="T462" i="59" s="1"/>
  <c r="U462" i="59" s="1"/>
  <c r="V462" i="59" s="1"/>
  <c r="W462" i="59" s="1"/>
  <c r="X462" i="59" s="1"/>
  <c r="Y462" i="59" s="1"/>
  <c r="Z462" i="59" s="1"/>
  <c r="AA462" i="59" s="1"/>
  <c r="AB462" i="59" s="1"/>
  <c r="AC462" i="59" s="1"/>
  <c r="AD462" i="59" s="1"/>
  <c r="AE462" i="59" s="1"/>
  <c r="AF462" i="59" s="1"/>
  <c r="AG462" i="59" s="1"/>
  <c r="AH462" i="59" s="1"/>
  <c r="AI462" i="59" s="1"/>
  <c r="AJ462" i="59" s="1"/>
  <c r="AK462" i="59" s="1"/>
  <c r="AL462" i="59" s="1"/>
  <c r="AM462" i="59" s="1"/>
  <c r="S460" i="59"/>
  <c r="AB586" i="59"/>
  <c r="AC586" i="59" s="1"/>
  <c r="AD586" i="59" s="1"/>
  <c r="AE586" i="59" s="1"/>
  <c r="AF586" i="59" s="1"/>
  <c r="AG586" i="59" s="1"/>
  <c r="AH586" i="59" s="1"/>
  <c r="AI586" i="59" s="1"/>
  <c r="H31" i="59"/>
  <c r="AI483" i="59"/>
  <c r="AH481" i="59"/>
  <c r="AI481" i="59" s="1"/>
  <c r="AJ481" i="59" s="1"/>
  <c r="AK481" i="59" s="1"/>
  <c r="AL481" i="59" s="1"/>
  <c r="AM481" i="59" s="1"/>
  <c r="AN289" i="63"/>
  <c r="F286" i="63"/>
  <c r="F300" i="63"/>
  <c r="F343" i="63"/>
  <c r="AB478" i="59"/>
  <c r="P799" i="59"/>
  <c r="Q799" i="59" s="1"/>
  <c r="AF809" i="59"/>
  <c r="AG809" i="59" s="1"/>
  <c r="AH809" i="59" s="1"/>
  <c r="AI809" i="59" s="1"/>
  <c r="X581" i="59"/>
  <c r="Y581" i="59" s="1"/>
  <c r="Z581" i="59" s="1"/>
  <c r="AA581" i="59" s="1"/>
  <c r="AB581" i="59" s="1"/>
  <c r="AC581" i="59" s="1"/>
  <c r="AD581" i="59" s="1"/>
  <c r="AE581" i="59" s="1"/>
  <c r="AF581" i="59" s="1"/>
  <c r="AG581" i="59" s="1"/>
  <c r="AH581" i="59" s="1"/>
  <c r="AI581" i="59" s="1"/>
  <c r="AJ581" i="59" s="1"/>
  <c r="AK581" i="59" s="1"/>
  <c r="AL581" i="59" s="1"/>
  <c r="AM581" i="59" s="1"/>
  <c r="Z473" i="59"/>
  <c r="AA473" i="59" s="1"/>
  <c r="AB473" i="59" s="1"/>
  <c r="AC473" i="59" s="1"/>
  <c r="AD473" i="59" s="1"/>
  <c r="AE473" i="59" s="1"/>
  <c r="AF473" i="59" s="1"/>
  <c r="AG473" i="59" s="1"/>
  <c r="AH473" i="59" s="1"/>
  <c r="AI473" i="59" s="1"/>
  <c r="AJ473" i="59" s="1"/>
  <c r="AK473" i="59" s="1"/>
  <c r="AL473" i="59" s="1"/>
  <c r="AM473" i="59" s="1"/>
  <c r="AM80" i="46"/>
  <c r="AM62" i="46"/>
  <c r="AN63" i="46" s="1"/>
  <c r="AM342" i="59"/>
  <c r="AM216" i="59" s="1"/>
  <c r="AM29" i="60"/>
  <c r="F29" i="60" s="1"/>
  <c r="AM314" i="59"/>
  <c r="AM273" i="59"/>
  <c r="V696" i="59"/>
  <c r="W696" i="59" s="1"/>
  <c r="X696" i="59" s="1"/>
  <c r="Y696" i="59" s="1"/>
  <c r="Z696" i="59" s="1"/>
  <c r="AA696" i="59" s="1"/>
  <c r="AB696" i="59" s="1"/>
  <c r="AC696" i="59" s="1"/>
  <c r="AD696" i="59" s="1"/>
  <c r="AE696" i="59" s="1"/>
  <c r="AF696" i="59" s="1"/>
  <c r="AG696" i="59" s="1"/>
  <c r="AH696" i="59" s="1"/>
  <c r="AI696" i="59" s="1"/>
  <c r="AJ696" i="59" s="1"/>
  <c r="AK696" i="59" s="1"/>
  <c r="AL696" i="59" s="1"/>
  <c r="AM696" i="59" s="1"/>
  <c r="AG873" i="59"/>
  <c r="AC590" i="59"/>
  <c r="AD590" i="59" s="1"/>
  <c r="AE590" i="59" s="1"/>
  <c r="AF590" i="59" s="1"/>
  <c r="AG590" i="59" s="1"/>
  <c r="AH590" i="59" s="1"/>
  <c r="AI590" i="59" s="1"/>
  <c r="O571" i="59"/>
  <c r="K449" i="59"/>
  <c r="L446" i="59" s="1"/>
  <c r="AL211" i="59"/>
  <c r="AL382" i="59"/>
  <c r="AL383" i="59" s="1"/>
  <c r="AL384" i="59" s="1"/>
  <c r="AA475" i="59"/>
  <c r="AE479" i="59"/>
  <c r="M885" i="59"/>
  <c r="M839" i="59" s="1"/>
  <c r="J904" i="59"/>
  <c r="AL487" i="59"/>
  <c r="AM487" i="59" s="1"/>
  <c r="X471" i="59"/>
  <c r="Y471" i="59" s="1"/>
  <c r="Z471" i="59" s="1"/>
  <c r="AA471" i="59" s="1"/>
  <c r="AB471" i="59" s="1"/>
  <c r="AC471" i="59" s="1"/>
  <c r="AD471" i="59" s="1"/>
  <c r="AE471" i="59" s="1"/>
  <c r="AF471" i="59" s="1"/>
  <c r="AG471" i="59" s="1"/>
  <c r="AH471" i="59" s="1"/>
  <c r="AI471" i="59" s="1"/>
  <c r="AJ471" i="59" s="1"/>
  <c r="AK471" i="59" s="1"/>
  <c r="AL471" i="59" s="1"/>
  <c r="AM471" i="59" s="1"/>
  <c r="O686" i="59"/>
  <c r="AL210" i="63"/>
  <c r="AM340" i="59"/>
  <c r="AM215" i="59" s="1"/>
  <c r="AM27" i="60"/>
  <c r="P852" i="59"/>
  <c r="Q852" i="59" s="1"/>
  <c r="AF869" i="59"/>
  <c r="AG869" i="59" s="1"/>
  <c r="AH869" i="59" s="1"/>
  <c r="AI869" i="59" s="1"/>
  <c r="AJ869" i="59" s="1"/>
  <c r="AK869" i="59" s="1"/>
  <c r="AL869" i="59" s="1"/>
  <c r="AM869" i="59" s="1"/>
  <c r="L549" i="59"/>
  <c r="L503" i="59" s="1"/>
  <c r="AM710" i="59"/>
  <c r="I504" i="59"/>
  <c r="J501" i="59" s="1"/>
  <c r="Z584" i="59"/>
  <c r="AA584" i="59" s="1"/>
  <c r="AB584" i="59" s="1"/>
  <c r="AC584" i="59" s="1"/>
  <c r="AD584" i="59" s="1"/>
  <c r="AE584" i="59" s="1"/>
  <c r="AF584" i="59" s="1"/>
  <c r="AG584" i="59" s="1"/>
  <c r="AH584" i="59" s="1"/>
  <c r="AI584" i="59" s="1"/>
  <c r="AJ584" i="59" s="1"/>
  <c r="AK584" i="59" s="1"/>
  <c r="AL584" i="59" s="1"/>
  <c r="AM584" i="59" s="1"/>
  <c r="AD587" i="59"/>
  <c r="AE587" i="59" s="1"/>
  <c r="AF587" i="59" s="1"/>
  <c r="AG587" i="59" s="1"/>
  <c r="AH587" i="59" s="1"/>
  <c r="AI587" i="59" s="1"/>
  <c r="AJ587" i="59" s="1"/>
  <c r="AK587" i="59" s="1"/>
  <c r="AL587" i="59" s="1"/>
  <c r="AM587" i="59" s="1"/>
  <c r="AC812" i="59"/>
  <c r="AD812" i="59" s="1"/>
  <c r="AE812" i="59" s="1"/>
  <c r="AF812" i="59" s="1"/>
  <c r="AG812" i="59" s="1"/>
  <c r="AH812" i="59" s="1"/>
  <c r="AI812" i="59" s="1"/>
  <c r="AJ812" i="59" s="1"/>
  <c r="AK812" i="59" s="1"/>
  <c r="AL812" i="59" s="1"/>
  <c r="AM812" i="59" s="1"/>
  <c r="AC699" i="59"/>
  <c r="AD699" i="59" s="1"/>
  <c r="AE699" i="59" s="1"/>
  <c r="AF699" i="59" s="1"/>
  <c r="AG699" i="59" s="1"/>
  <c r="AH699" i="59" s="1"/>
  <c r="AI699" i="59" s="1"/>
  <c r="AJ699" i="59" s="1"/>
  <c r="AK699" i="59" s="1"/>
  <c r="AL699" i="59" s="1"/>
  <c r="AM699" i="59" s="1"/>
  <c r="AG480" i="59"/>
  <c r="AA810" i="59"/>
  <c r="AB810" i="59" s="1"/>
  <c r="AC810" i="59" s="1"/>
  <c r="AD810" i="59" s="1"/>
  <c r="AE810" i="59" s="1"/>
  <c r="AF810" i="59" s="1"/>
  <c r="AG810" i="59" s="1"/>
  <c r="AH810" i="59" s="1"/>
  <c r="AI810" i="59" s="1"/>
  <c r="AJ810" i="59" s="1"/>
  <c r="AK810" i="59" s="1"/>
  <c r="AL810" i="59" s="1"/>
  <c r="AM810" i="59" s="1"/>
  <c r="AM343" i="59"/>
  <c r="AM217" i="59" s="1"/>
  <c r="AM30" i="60"/>
  <c r="AM33" i="60"/>
  <c r="AM347" i="59"/>
  <c r="AM221" i="59" s="1"/>
  <c r="AM345" i="59"/>
  <c r="AM219" i="59" s="1"/>
  <c r="AM32" i="60"/>
  <c r="Q573" i="59"/>
  <c r="X695" i="59"/>
  <c r="Y695" i="59" s="1"/>
  <c r="Z695" i="59" s="1"/>
  <c r="AA695" i="59" s="1"/>
  <c r="AB695" i="59" s="1"/>
  <c r="AC695" i="59" s="1"/>
  <c r="AD695" i="59" s="1"/>
  <c r="AE695" i="59" s="1"/>
  <c r="AF695" i="59" s="1"/>
  <c r="AG695" i="59" s="1"/>
  <c r="AH695" i="59" s="1"/>
  <c r="AI695" i="59" s="1"/>
  <c r="AJ695" i="59" s="1"/>
  <c r="AK695" i="59" s="1"/>
  <c r="AL695" i="59" s="1"/>
  <c r="AM695" i="59" s="1"/>
  <c r="S802" i="59"/>
  <c r="T802" i="59" s="1"/>
  <c r="U802" i="59" s="1"/>
  <c r="V802" i="59" s="1"/>
  <c r="W802" i="59" s="1"/>
  <c r="X802" i="59" s="1"/>
  <c r="Y802" i="59" s="1"/>
  <c r="Z802" i="59" s="1"/>
  <c r="AA802" i="59" s="1"/>
  <c r="AB802" i="59" s="1"/>
  <c r="AC802" i="59" s="1"/>
  <c r="AD802" i="59" s="1"/>
  <c r="AE802" i="59" s="1"/>
  <c r="AF802" i="59" s="1"/>
  <c r="AG802" i="59" s="1"/>
  <c r="AH802" i="59" s="1"/>
  <c r="AI802" i="59" s="1"/>
  <c r="AJ802" i="59" s="1"/>
  <c r="AK802" i="59" s="1"/>
  <c r="AL802" i="59" s="1"/>
  <c r="AM802" i="59" s="1"/>
  <c r="T804" i="59"/>
  <c r="X807" i="59"/>
  <c r="Y807" i="59" s="1"/>
  <c r="AE704" i="59"/>
  <c r="AF704" i="59" s="1"/>
  <c r="AG704" i="59" s="1"/>
  <c r="AH704" i="59" s="1"/>
  <c r="AI704" i="59" s="1"/>
  <c r="AJ704" i="59" s="1"/>
  <c r="AK704" i="59" s="1"/>
  <c r="AL704" i="59" s="1"/>
  <c r="AM704" i="59" s="1"/>
  <c r="AI707" i="59"/>
  <c r="AJ707" i="59" s="1"/>
  <c r="AK707" i="59" s="1"/>
  <c r="AL707" i="59" s="1"/>
  <c r="AM707" i="59" s="1"/>
  <c r="W859" i="59"/>
  <c r="X859" i="59" s="1"/>
  <c r="Y859" i="59" s="1"/>
  <c r="Z859" i="59" s="1"/>
  <c r="AA859" i="59" s="1"/>
  <c r="AB859" i="59" s="1"/>
  <c r="AC859" i="59" s="1"/>
  <c r="AD859" i="59" s="1"/>
  <c r="AE859" i="59" s="1"/>
  <c r="AF859" i="59" s="1"/>
  <c r="AG859" i="59" s="1"/>
  <c r="AH859" i="59" s="1"/>
  <c r="AI859" i="59" s="1"/>
  <c r="AJ859" i="59" s="1"/>
  <c r="AK859" i="59" s="1"/>
  <c r="AL859" i="59" s="1"/>
  <c r="AM859" i="59" s="1"/>
  <c r="AK374" i="59"/>
  <c r="AK210" i="59"/>
  <c r="AF867" i="59"/>
  <c r="AG867" i="59" s="1"/>
  <c r="AH867" i="59" s="1"/>
  <c r="AI867" i="59" s="1"/>
  <c r="AJ867" i="59" s="1"/>
  <c r="AK867" i="59" s="1"/>
  <c r="AL867" i="59" s="1"/>
  <c r="AM867" i="59" s="1"/>
  <c r="L572" i="59"/>
  <c r="AD862" i="59"/>
  <c r="AE862" i="59" s="1"/>
  <c r="AF862" i="59" s="1"/>
  <c r="AG862" i="59" s="1"/>
  <c r="AH862" i="59" s="1"/>
  <c r="AI862" i="59" s="1"/>
  <c r="AJ862" i="59" s="1"/>
  <c r="AK862" i="59" s="1"/>
  <c r="AL862" i="59" s="1"/>
  <c r="AM862" i="59" s="1"/>
  <c r="AM56" i="63"/>
  <c r="O854" i="59"/>
  <c r="AE865" i="59"/>
  <c r="AF865" i="59" s="1"/>
  <c r="AG865" i="59" s="1"/>
  <c r="AH865" i="59" s="1"/>
  <c r="AI865" i="59" s="1"/>
  <c r="AJ865" i="59" s="1"/>
  <c r="AK865" i="59" s="1"/>
  <c r="AL865" i="59" s="1"/>
  <c r="AM865" i="59" s="1"/>
  <c r="AM67" i="46"/>
  <c r="AM82" i="46" s="1"/>
  <c r="Y472" i="59"/>
  <c r="Z472" i="59" s="1"/>
  <c r="AA472" i="59" s="1"/>
  <c r="AB472" i="59" s="1"/>
  <c r="AC472" i="59" s="1"/>
  <c r="AD472" i="59" s="1"/>
  <c r="AN349" i="59"/>
  <c r="R467" i="59"/>
  <c r="S467" i="59" s="1"/>
  <c r="T467" i="59" s="1"/>
  <c r="U467" i="59" s="1"/>
  <c r="V467" i="59" s="1"/>
  <c r="W467" i="59" s="1"/>
  <c r="X467" i="59" s="1"/>
  <c r="Y467" i="59" s="1"/>
  <c r="Z467" i="59" s="1"/>
  <c r="AA467" i="59" s="1"/>
  <c r="AB467" i="59" s="1"/>
  <c r="AC467" i="59" s="1"/>
  <c r="AD467" i="59" s="1"/>
  <c r="AE467" i="59" s="1"/>
  <c r="AF467" i="59" s="1"/>
  <c r="AG467" i="59" s="1"/>
  <c r="AH467" i="59" s="1"/>
  <c r="AI467" i="59" s="1"/>
  <c r="AJ467" i="59" s="1"/>
  <c r="AK467" i="59" s="1"/>
  <c r="AL467" i="59" s="1"/>
  <c r="AM467" i="59" s="1"/>
  <c r="Q796" i="59"/>
  <c r="AK246" i="59" l="1"/>
  <c r="AL244" i="59"/>
  <c r="AM246" i="59"/>
  <c r="AN244" i="59"/>
  <c r="AL246" i="59"/>
  <c r="AL248" i="59" s="1"/>
  <c r="AL196" i="59" s="1"/>
  <c r="AM244" i="59"/>
  <c r="AN320" i="59"/>
  <c r="AM58" i="60"/>
  <c r="AM124" i="60" s="1"/>
  <c r="AN525" i="59"/>
  <c r="AN517" i="59"/>
  <c r="AN529" i="59"/>
  <c r="AN535" i="59"/>
  <c r="AN527" i="59"/>
  <c r="AN747" i="59"/>
  <c r="AN530" i="59"/>
  <c r="Q515" i="59"/>
  <c r="R515" i="59" s="1"/>
  <c r="AF534" i="59"/>
  <c r="AG534" i="59" s="1"/>
  <c r="AH534" i="59" s="1"/>
  <c r="AI534" i="59" s="1"/>
  <c r="AJ534" i="59" s="1"/>
  <c r="AK534" i="59" s="1"/>
  <c r="AL534" i="59" s="1"/>
  <c r="AL751" i="59"/>
  <c r="AM751" i="59" s="1"/>
  <c r="AN751" i="59" s="1"/>
  <c r="AL538" i="59"/>
  <c r="AM538" i="59" s="1"/>
  <c r="AN538" i="59" s="1"/>
  <c r="AN754" i="59"/>
  <c r="AN766" i="59"/>
  <c r="AN765" i="59"/>
  <c r="AN773" i="59"/>
  <c r="AN548" i="59"/>
  <c r="AN522" i="59"/>
  <c r="AN546" i="59"/>
  <c r="AN531" i="59"/>
  <c r="AN749" i="59"/>
  <c r="AN745" i="59"/>
  <c r="AN523" i="59"/>
  <c r="AN536" i="59"/>
  <c r="AN526" i="59"/>
  <c r="AN540" i="59"/>
  <c r="AN742" i="59"/>
  <c r="AN762" i="59"/>
  <c r="AN743" i="59"/>
  <c r="AN533" i="59"/>
  <c r="AN752" i="59"/>
  <c r="AN760" i="59"/>
  <c r="AN763" i="59"/>
  <c r="AN772" i="59"/>
  <c r="AN524" i="59"/>
  <c r="AN748" i="59"/>
  <c r="AN771" i="59"/>
  <c r="AN770" i="59"/>
  <c r="AN744" i="59"/>
  <c r="AN740" i="59"/>
  <c r="AN761" i="59"/>
  <c r="AN741" i="59"/>
  <c r="AN750" i="59"/>
  <c r="AN746" i="59"/>
  <c r="AN544" i="59"/>
  <c r="AN769" i="59"/>
  <c r="AN542" i="59"/>
  <c r="AN543" i="59"/>
  <c r="AN755" i="59"/>
  <c r="AN764" i="59"/>
  <c r="AN532" i="59"/>
  <c r="AN767" i="59"/>
  <c r="AN753" i="59"/>
  <c r="AN539" i="59"/>
  <c r="AN528" i="59"/>
  <c r="AN545" i="59"/>
  <c r="AN759" i="59"/>
  <c r="AN519" i="59"/>
  <c r="AN537" i="59"/>
  <c r="AN768" i="59"/>
  <c r="AN520" i="59"/>
  <c r="AN518" i="59"/>
  <c r="AN757" i="59"/>
  <c r="AN521" i="59"/>
  <c r="AN547" i="59"/>
  <c r="AN758" i="59"/>
  <c r="AN541" i="59"/>
  <c r="AN756" i="59"/>
  <c r="AN516" i="59"/>
  <c r="AM24" i="60"/>
  <c r="AN115" i="59"/>
  <c r="AN127" i="59" s="1"/>
  <c r="AM119" i="59"/>
  <c r="AM70" i="73"/>
  <c r="AL353" i="59"/>
  <c r="AL356" i="59" s="1"/>
  <c r="AL1028" i="59"/>
  <c r="AL16" i="60"/>
  <c r="AL112" i="60" s="1"/>
  <c r="AM332" i="59"/>
  <c r="AL185" i="59"/>
  <c r="AL233" i="59" s="1"/>
  <c r="AL195" i="59" s="1"/>
  <c r="AK223" i="59"/>
  <c r="AK231" i="59" s="1"/>
  <c r="AK233" i="59" s="1"/>
  <c r="AK195" i="59" s="1"/>
  <c r="F72" i="59"/>
  <c r="F56" i="59"/>
  <c r="F94" i="59"/>
  <c r="AN305" i="59"/>
  <c r="AN330" i="59" s="1"/>
  <c r="AN309" i="59"/>
  <c r="AK375" i="59"/>
  <c r="AK376" i="59" s="1"/>
  <c r="AK74" i="73"/>
  <c r="AK73" i="73"/>
  <c r="AN802" i="59"/>
  <c r="L494" i="59"/>
  <c r="L448" i="59" s="1"/>
  <c r="L449" i="59" s="1"/>
  <c r="M446" i="59" s="1"/>
  <c r="M449" i="59" s="1"/>
  <c r="N446" i="59" s="1"/>
  <c r="W579" i="59"/>
  <c r="X579" i="59" s="1"/>
  <c r="Y579" i="59" s="1"/>
  <c r="Z579" i="59" s="1"/>
  <c r="AA579" i="59" s="1"/>
  <c r="AB579" i="59" s="1"/>
  <c r="AC579" i="59" s="1"/>
  <c r="AD579" i="59" s="1"/>
  <c r="AE579" i="59" s="1"/>
  <c r="AF579" i="59" s="1"/>
  <c r="AG579" i="59" s="1"/>
  <c r="AH579" i="59" s="1"/>
  <c r="AI579" i="59" s="1"/>
  <c r="AJ579" i="59" s="1"/>
  <c r="AK579" i="59" s="1"/>
  <c r="AL579" i="59" s="1"/>
  <c r="AM579" i="59" s="1"/>
  <c r="K560" i="59"/>
  <c r="L557" i="59" s="1"/>
  <c r="N461" i="59"/>
  <c r="O461" i="59" s="1"/>
  <c r="AN718" i="59"/>
  <c r="AN471" i="59"/>
  <c r="M674" i="59"/>
  <c r="N671" i="59" s="1"/>
  <c r="N687" i="59"/>
  <c r="O687" i="59" s="1"/>
  <c r="P687" i="59" s="1"/>
  <c r="Q687" i="59" s="1"/>
  <c r="R687" i="59" s="1"/>
  <c r="S687" i="59" s="1"/>
  <c r="T687" i="59" s="1"/>
  <c r="U687" i="59" s="1"/>
  <c r="V687" i="59" s="1"/>
  <c r="W687" i="59" s="1"/>
  <c r="X687" i="59" s="1"/>
  <c r="Y687" i="59" s="1"/>
  <c r="Z687" i="59" s="1"/>
  <c r="AA687" i="59" s="1"/>
  <c r="AB687" i="59" s="1"/>
  <c r="AC687" i="59" s="1"/>
  <c r="AD687" i="59" s="1"/>
  <c r="AE687" i="59" s="1"/>
  <c r="AF687" i="59" s="1"/>
  <c r="AG687" i="59" s="1"/>
  <c r="AH687" i="59" s="1"/>
  <c r="AI687" i="59" s="1"/>
  <c r="AJ687" i="59" s="1"/>
  <c r="AK687" i="59" s="1"/>
  <c r="AL687" i="59" s="1"/>
  <c r="AM687" i="59" s="1"/>
  <c r="O885" i="59"/>
  <c r="O839" i="59" s="1"/>
  <c r="AN880" i="59"/>
  <c r="AK189" i="59"/>
  <c r="AK192" i="59" s="1"/>
  <c r="AN812" i="59"/>
  <c r="M840" i="59"/>
  <c r="N837" i="59" s="1"/>
  <c r="L830" i="59"/>
  <c r="L784" i="59" s="1"/>
  <c r="L785" i="59" s="1"/>
  <c r="M782" i="59" s="1"/>
  <c r="AN691" i="59"/>
  <c r="AN867" i="59"/>
  <c r="AN707" i="59"/>
  <c r="AN592" i="59"/>
  <c r="AN467" i="59"/>
  <c r="AD477" i="59"/>
  <c r="AE477" i="59" s="1"/>
  <c r="AN704" i="59"/>
  <c r="AN487" i="59"/>
  <c r="X803" i="59"/>
  <c r="Y803" i="59" s="1"/>
  <c r="Z803" i="59" s="1"/>
  <c r="AA803" i="59" s="1"/>
  <c r="AB803" i="59" s="1"/>
  <c r="AC803" i="59" s="1"/>
  <c r="AD803" i="59" s="1"/>
  <c r="AE803" i="59" s="1"/>
  <c r="AF803" i="59" s="1"/>
  <c r="AG803" i="59" s="1"/>
  <c r="AH803" i="59" s="1"/>
  <c r="AI803" i="59" s="1"/>
  <c r="AJ803" i="59" s="1"/>
  <c r="AK803" i="59" s="1"/>
  <c r="AL803" i="59" s="1"/>
  <c r="AM803" i="59" s="1"/>
  <c r="AN803" i="59" s="1"/>
  <c r="AN692" i="59"/>
  <c r="AJ813" i="59"/>
  <c r="AK813" i="59" s="1"/>
  <c r="AL813" i="59" s="1"/>
  <c r="AM813" i="59" s="1"/>
  <c r="AG589" i="59"/>
  <c r="AH589" i="59" s="1"/>
  <c r="AI589" i="59" s="1"/>
  <c r="AJ589" i="59" s="1"/>
  <c r="AK589" i="59" s="1"/>
  <c r="AL589" i="59" s="1"/>
  <c r="AM589" i="59" s="1"/>
  <c r="AN589" i="59" s="1"/>
  <c r="AJ809" i="59"/>
  <c r="AK809" i="59" s="1"/>
  <c r="AL809" i="59" s="1"/>
  <c r="AM809" i="59" s="1"/>
  <c r="AN809" i="59" s="1"/>
  <c r="AL482" i="59"/>
  <c r="AM482" i="59" s="1"/>
  <c r="AN482" i="59" s="1"/>
  <c r="AL6" i="46"/>
  <c r="AL6" i="68"/>
  <c r="AL7" i="73"/>
  <c r="AL7" i="63"/>
  <c r="AL9" i="60"/>
  <c r="AN859" i="59"/>
  <c r="AN862" i="59"/>
  <c r="R852" i="59"/>
  <c r="S852" i="59" s="1"/>
  <c r="T852" i="59" s="1"/>
  <c r="U852" i="59" s="1"/>
  <c r="V852" i="59" s="1"/>
  <c r="W852" i="59" s="1"/>
  <c r="X852" i="59" s="1"/>
  <c r="Y852" i="59" s="1"/>
  <c r="Z852" i="59" s="1"/>
  <c r="AA852" i="59" s="1"/>
  <c r="AB852" i="59" s="1"/>
  <c r="AC852" i="59" s="1"/>
  <c r="AD852" i="59" s="1"/>
  <c r="AE852" i="59" s="1"/>
  <c r="AF852" i="59" s="1"/>
  <c r="AG852" i="59" s="1"/>
  <c r="AH852" i="59" s="1"/>
  <c r="AI852" i="59" s="1"/>
  <c r="AJ852" i="59" s="1"/>
  <c r="AK852" i="59" s="1"/>
  <c r="AL852" i="59" s="1"/>
  <c r="AM852" i="59" s="1"/>
  <c r="AN852" i="59" s="1"/>
  <c r="AN869" i="59"/>
  <c r="Z808" i="59"/>
  <c r="AA808" i="59" s="1"/>
  <c r="AB808" i="59" s="1"/>
  <c r="AC808" i="59" s="1"/>
  <c r="AD808" i="59" s="1"/>
  <c r="AE808" i="59" s="1"/>
  <c r="AF808" i="59" s="1"/>
  <c r="AG808" i="59" s="1"/>
  <c r="AH808" i="59" s="1"/>
  <c r="AI808" i="59" s="1"/>
  <c r="AJ808" i="59" s="1"/>
  <c r="AK808" i="59" s="1"/>
  <c r="AL808" i="59" s="1"/>
  <c r="AM808" i="59" s="1"/>
  <c r="AD811" i="59"/>
  <c r="AE811" i="59" s="1"/>
  <c r="AF811" i="59" s="1"/>
  <c r="AG811" i="59" s="1"/>
  <c r="AH811" i="59" s="1"/>
  <c r="AI811" i="59" s="1"/>
  <c r="AJ811" i="59" s="1"/>
  <c r="AK811" i="59" s="1"/>
  <c r="AL811" i="59" s="1"/>
  <c r="AM811" i="59" s="1"/>
  <c r="N885" i="59"/>
  <c r="N839" i="59" s="1"/>
  <c r="AC694" i="59"/>
  <c r="AD694" i="59" s="1"/>
  <c r="AE694" i="59" s="1"/>
  <c r="AF694" i="59" s="1"/>
  <c r="AG694" i="59" s="1"/>
  <c r="AH694" i="59" s="1"/>
  <c r="AI694" i="59" s="1"/>
  <c r="AJ694" i="59" s="1"/>
  <c r="AK694" i="59" s="1"/>
  <c r="AL694" i="59" s="1"/>
  <c r="AM694" i="59" s="1"/>
  <c r="AH855" i="59"/>
  <c r="AI855" i="59" s="1"/>
  <c r="AJ855" i="59" s="1"/>
  <c r="AK855" i="59" s="1"/>
  <c r="AL855" i="59" s="1"/>
  <c r="AM855" i="59" s="1"/>
  <c r="Z470" i="59"/>
  <c r="AA470" i="59" s="1"/>
  <c r="AB470" i="59" s="1"/>
  <c r="AC470" i="59" s="1"/>
  <c r="AN810" i="59"/>
  <c r="AN581" i="59"/>
  <c r="AN853" i="59"/>
  <c r="AH858" i="59"/>
  <c r="AI858" i="59" s="1"/>
  <c r="AJ858" i="59" s="1"/>
  <c r="AK858" i="59" s="1"/>
  <c r="AL858" i="59" s="1"/>
  <c r="AM858" i="59" s="1"/>
  <c r="AN858" i="59" s="1"/>
  <c r="AN865" i="59"/>
  <c r="AN829" i="59"/>
  <c r="AA582" i="59"/>
  <c r="AB582" i="59" s="1"/>
  <c r="AC582" i="59" s="1"/>
  <c r="AD582" i="59" s="1"/>
  <c r="AE582" i="59" s="1"/>
  <c r="AF582" i="59" s="1"/>
  <c r="AG582" i="59" s="1"/>
  <c r="AH582" i="59" s="1"/>
  <c r="AI582" i="59" s="1"/>
  <c r="AJ582" i="59" s="1"/>
  <c r="AK582" i="59" s="1"/>
  <c r="AL582" i="59" s="1"/>
  <c r="AM582" i="59" s="1"/>
  <c r="AN582" i="59" s="1"/>
  <c r="AN816" i="59"/>
  <c r="AC864" i="59"/>
  <c r="AD864" i="59" s="1"/>
  <c r="AE864" i="59" s="1"/>
  <c r="AF864" i="59" s="1"/>
  <c r="AG864" i="59" s="1"/>
  <c r="AH864" i="59" s="1"/>
  <c r="AI864" i="59" s="1"/>
  <c r="AJ864" i="59" s="1"/>
  <c r="AK864" i="59" s="1"/>
  <c r="AL864" i="59" s="1"/>
  <c r="AM864" i="59" s="1"/>
  <c r="AN587" i="59"/>
  <c r="AN874" i="59"/>
  <c r="AN875" i="59"/>
  <c r="AN695" i="59"/>
  <c r="U466" i="59"/>
  <c r="V466" i="59" s="1"/>
  <c r="W466" i="59" s="1"/>
  <c r="X466" i="59" s="1"/>
  <c r="Y466" i="59" s="1"/>
  <c r="Z466" i="59" s="1"/>
  <c r="AA466" i="59" s="1"/>
  <c r="AB466" i="59" s="1"/>
  <c r="AC466" i="59" s="1"/>
  <c r="AD466" i="59" s="1"/>
  <c r="AE466" i="59" s="1"/>
  <c r="AF466" i="59" s="1"/>
  <c r="AG466" i="59" s="1"/>
  <c r="AH466" i="59" s="1"/>
  <c r="AI466" i="59" s="1"/>
  <c r="AJ466" i="59" s="1"/>
  <c r="AK466" i="59" s="1"/>
  <c r="AL466" i="59" s="1"/>
  <c r="AM466" i="59" s="1"/>
  <c r="AN466" i="59" s="1"/>
  <c r="AN481" i="59"/>
  <c r="AN709" i="59"/>
  <c r="AN585" i="59"/>
  <c r="Y861" i="59"/>
  <c r="Z861" i="59" s="1"/>
  <c r="AA861" i="59" s="1"/>
  <c r="AB861" i="59" s="1"/>
  <c r="AC861" i="59" s="1"/>
  <c r="AD861" i="59" s="1"/>
  <c r="AE861" i="59" s="1"/>
  <c r="AF861" i="59" s="1"/>
  <c r="AG861" i="59" s="1"/>
  <c r="AH861" i="59" s="1"/>
  <c r="AI861" i="59" s="1"/>
  <c r="AJ861" i="59" s="1"/>
  <c r="AK861" i="59" s="1"/>
  <c r="AL861" i="59" s="1"/>
  <c r="AM861" i="59" s="1"/>
  <c r="AN861" i="59" s="1"/>
  <c r="AI871" i="59"/>
  <c r="AJ871" i="59" s="1"/>
  <c r="AK871" i="59" s="1"/>
  <c r="AL871" i="59" s="1"/>
  <c r="AN711" i="59"/>
  <c r="X856" i="59"/>
  <c r="Y856" i="59" s="1"/>
  <c r="S465" i="59"/>
  <c r="AN696" i="59"/>
  <c r="Z807" i="59"/>
  <c r="AN699" i="59"/>
  <c r="AN462" i="59"/>
  <c r="AN688" i="59"/>
  <c r="AL8" i="59"/>
  <c r="AC805" i="59"/>
  <c r="AD805" i="59" s="1"/>
  <c r="AE805" i="59" s="1"/>
  <c r="AF805" i="59" s="1"/>
  <c r="AG805" i="59" s="1"/>
  <c r="AH805" i="59" s="1"/>
  <c r="AI805" i="59" s="1"/>
  <c r="AJ805" i="59" s="1"/>
  <c r="AK805" i="59" s="1"/>
  <c r="AL805" i="59" s="1"/>
  <c r="AM805" i="59" s="1"/>
  <c r="AM596" i="59"/>
  <c r="AN596" i="59" s="1"/>
  <c r="U857" i="59"/>
  <c r="AF591" i="59"/>
  <c r="AG591" i="59" s="1"/>
  <c r="U468" i="59"/>
  <c r="V468" i="59" s="1"/>
  <c r="AN710" i="59"/>
  <c r="AN473" i="59"/>
  <c r="R799" i="59"/>
  <c r="AN469" i="59"/>
  <c r="Y801" i="59"/>
  <c r="Z801" i="59" s="1"/>
  <c r="AA801" i="59" s="1"/>
  <c r="AB801" i="59" s="1"/>
  <c r="AC801" i="59" s="1"/>
  <c r="AD801" i="59" s="1"/>
  <c r="AE801" i="59" s="1"/>
  <c r="AF801" i="59" s="1"/>
  <c r="AG801" i="59" s="1"/>
  <c r="AH801" i="59" s="1"/>
  <c r="AI801" i="59" s="1"/>
  <c r="AJ801" i="59" s="1"/>
  <c r="AN884" i="59"/>
  <c r="AN580" i="59"/>
  <c r="AA806" i="59"/>
  <c r="AB806" i="59" s="1"/>
  <c r="AC806" i="59" s="1"/>
  <c r="AD806" i="59" s="1"/>
  <c r="AE806" i="59" s="1"/>
  <c r="AF806" i="59" s="1"/>
  <c r="AG806" i="59" s="1"/>
  <c r="AH806" i="59" s="1"/>
  <c r="AI806" i="59" s="1"/>
  <c r="AJ806" i="59" s="1"/>
  <c r="AK806" i="59" s="1"/>
  <c r="AL806" i="59" s="1"/>
  <c r="AM806" i="59" s="1"/>
  <c r="T464" i="59"/>
  <c r="AL385" i="59"/>
  <c r="AL390" i="59" s="1"/>
  <c r="T685" i="59"/>
  <c r="P854" i="59"/>
  <c r="Q854" i="59" s="1"/>
  <c r="R854" i="59" s="1"/>
  <c r="S854" i="59" s="1"/>
  <c r="T854" i="59" s="1"/>
  <c r="U854" i="59" s="1"/>
  <c r="V854" i="59" s="1"/>
  <c r="W854" i="59" s="1"/>
  <c r="X854" i="59" s="1"/>
  <c r="Y854" i="59" s="1"/>
  <c r="Z854" i="59" s="1"/>
  <c r="AA854" i="59" s="1"/>
  <c r="AB854" i="59" s="1"/>
  <c r="AC854" i="59" s="1"/>
  <c r="AD854" i="59" s="1"/>
  <c r="AE854" i="59" s="1"/>
  <c r="AF854" i="59" s="1"/>
  <c r="AG854" i="59" s="1"/>
  <c r="AH854" i="59" s="1"/>
  <c r="AI854" i="59" s="1"/>
  <c r="AJ854" i="59" s="1"/>
  <c r="AK854" i="59" s="1"/>
  <c r="AL854" i="59" s="1"/>
  <c r="AM854" i="59" s="1"/>
  <c r="AN854" i="59" s="1"/>
  <c r="J504" i="59"/>
  <c r="K501" i="59" s="1"/>
  <c r="J905" i="59"/>
  <c r="K902" i="59" s="1"/>
  <c r="K905" i="59" s="1"/>
  <c r="L902" i="59" s="1"/>
  <c r="T578" i="59"/>
  <c r="U578" i="59" s="1"/>
  <c r="V578" i="59" s="1"/>
  <c r="W578" i="59" s="1"/>
  <c r="AM335" i="59"/>
  <c r="AM353" i="59" s="1"/>
  <c r="AM22" i="60"/>
  <c r="AM361" i="59"/>
  <c r="AM83" i="46"/>
  <c r="AM90" i="46" s="1"/>
  <c r="AN714" i="59"/>
  <c r="F289" i="63"/>
  <c r="F310" i="63"/>
  <c r="AN825" i="59"/>
  <c r="T460" i="59"/>
  <c r="AN595" i="59"/>
  <c r="AN1031" i="59"/>
  <c r="AN1048" i="59"/>
  <c r="F916" i="59"/>
  <c r="R576" i="59"/>
  <c r="S576" i="59" s="1"/>
  <c r="T576" i="59" s="1"/>
  <c r="U576" i="59" s="1"/>
  <c r="V576" i="59" s="1"/>
  <c r="W576" i="59" s="1"/>
  <c r="X576" i="59" s="1"/>
  <c r="Y576" i="59" s="1"/>
  <c r="Z576" i="59" s="1"/>
  <c r="AN827" i="59"/>
  <c r="AN488" i="59"/>
  <c r="AL73" i="73"/>
  <c r="AL75" i="73"/>
  <c r="AL74" i="73"/>
  <c r="R574" i="59"/>
  <c r="S574" i="59" s="1"/>
  <c r="T574" i="59" s="1"/>
  <c r="U574" i="59" s="1"/>
  <c r="V574" i="59" s="1"/>
  <c r="W574" i="59" s="1"/>
  <c r="X574" i="59" s="1"/>
  <c r="Y574" i="59" s="1"/>
  <c r="Z574" i="59" s="1"/>
  <c r="AA574" i="59" s="1"/>
  <c r="AB574" i="59" s="1"/>
  <c r="AC574" i="59" s="1"/>
  <c r="AD574" i="59" s="1"/>
  <c r="AE574" i="59" s="1"/>
  <c r="AF574" i="59" s="1"/>
  <c r="AG574" i="59" s="1"/>
  <c r="AH574" i="59" s="1"/>
  <c r="AI574" i="59" s="1"/>
  <c r="AJ574" i="59" s="1"/>
  <c r="AK574" i="59" s="1"/>
  <c r="AL574" i="59" s="1"/>
  <c r="AM574" i="59" s="1"/>
  <c r="AN574" i="59" s="1"/>
  <c r="AN600" i="59"/>
  <c r="AN361" i="59"/>
  <c r="F80" i="46"/>
  <c r="M549" i="59"/>
  <c r="M503" i="59" s="1"/>
  <c r="AN877" i="59"/>
  <c r="AN484" i="59"/>
  <c r="AN601" i="59"/>
  <c r="AN598" i="59"/>
  <c r="AN708" i="59"/>
  <c r="AN693" i="59"/>
  <c r="R573" i="59"/>
  <c r="S573" i="59" s="1"/>
  <c r="T573" i="59" s="1"/>
  <c r="U573" i="59" s="1"/>
  <c r="V573" i="59" s="1"/>
  <c r="W573" i="59" s="1"/>
  <c r="X573" i="59" s="1"/>
  <c r="Y573" i="59" s="1"/>
  <c r="Z573" i="59" s="1"/>
  <c r="AA573" i="59" s="1"/>
  <c r="AB573" i="59" s="1"/>
  <c r="AC573" i="59" s="1"/>
  <c r="AD573" i="59" s="1"/>
  <c r="AE573" i="59" s="1"/>
  <c r="AF573" i="59" s="1"/>
  <c r="AG573" i="59" s="1"/>
  <c r="AH573" i="59" s="1"/>
  <c r="AI573" i="59" s="1"/>
  <c r="AJ573" i="59" s="1"/>
  <c r="AK573" i="59" s="1"/>
  <c r="AL573" i="59" s="1"/>
  <c r="AM573" i="59" s="1"/>
  <c r="AN573" i="59" s="1"/>
  <c r="P686" i="59"/>
  <c r="P571" i="59"/>
  <c r="AC478" i="59"/>
  <c r="AD478" i="59" s="1"/>
  <c r="AE478" i="59" s="1"/>
  <c r="AF478" i="59" s="1"/>
  <c r="AG478" i="59" s="1"/>
  <c r="AH478" i="59" s="1"/>
  <c r="AI478" i="59" s="1"/>
  <c r="AJ478" i="59" s="1"/>
  <c r="AK478" i="59" s="1"/>
  <c r="AL478" i="59" s="1"/>
  <c r="AM478" i="59" s="1"/>
  <c r="AJ586" i="59"/>
  <c r="AK586" i="59" s="1"/>
  <c r="AL586" i="59" s="1"/>
  <c r="AM586" i="59" s="1"/>
  <c r="AN586" i="59" s="1"/>
  <c r="AM1045" i="59"/>
  <c r="AM1047" i="59" s="1"/>
  <c r="F106" i="59"/>
  <c r="F50" i="63"/>
  <c r="F45" i="73"/>
  <c r="F256" i="59"/>
  <c r="F619" i="59"/>
  <c r="F564" i="59"/>
  <c r="F1020" i="59"/>
  <c r="F298" i="59"/>
  <c r="F304" i="59"/>
  <c r="F453" i="59"/>
  <c r="F508" i="59"/>
  <c r="F678" i="59"/>
  <c r="F733" i="59"/>
  <c r="F915" i="59"/>
  <c r="F789" i="59"/>
  <c r="F844" i="59"/>
  <c r="F290" i="59"/>
  <c r="AN815" i="59"/>
  <c r="AN604" i="59"/>
  <c r="AN817" i="59"/>
  <c r="AN824" i="59"/>
  <c r="AN599" i="59"/>
  <c r="AN603" i="59"/>
  <c r="AN822" i="59"/>
  <c r="AM60" i="73"/>
  <c r="AN54" i="73"/>
  <c r="AN60" i="73" s="1"/>
  <c r="Q851" i="59"/>
  <c r="AL210" i="59"/>
  <c r="AL223" i="59" s="1"/>
  <c r="AL231" i="59" s="1"/>
  <c r="AL374" i="59"/>
  <c r="AN870" i="59"/>
  <c r="AN486" i="59"/>
  <c r="AN866" i="59"/>
  <c r="AN818" i="59"/>
  <c r="AN702" i="59"/>
  <c r="AN863" i="59"/>
  <c r="AN798" i="59"/>
  <c r="AN819" i="59"/>
  <c r="AN821" i="59"/>
  <c r="L605" i="59"/>
  <c r="L559" i="59" s="1"/>
  <c r="M572" i="59"/>
  <c r="U804" i="59"/>
  <c r="V804" i="59" s="1"/>
  <c r="W804" i="59" s="1"/>
  <c r="X804" i="59" s="1"/>
  <c r="Y804" i="59" s="1"/>
  <c r="Z804" i="59" s="1"/>
  <c r="AA804" i="59" s="1"/>
  <c r="AB804" i="59" s="1"/>
  <c r="AC804" i="59" s="1"/>
  <c r="AN584" i="59"/>
  <c r="AF479" i="59"/>
  <c r="AG479" i="59" s="1"/>
  <c r="AB475" i="59"/>
  <c r="AC475" i="59" s="1"/>
  <c r="AH873" i="59"/>
  <c r="AI873" i="59" s="1"/>
  <c r="S575" i="59"/>
  <c r="T575" i="59" s="1"/>
  <c r="U575" i="59" s="1"/>
  <c r="V575" i="59" s="1"/>
  <c r="W575" i="59" s="1"/>
  <c r="X575" i="59" s="1"/>
  <c r="Y575" i="59" s="1"/>
  <c r="Z575" i="59" s="1"/>
  <c r="AA575" i="59" s="1"/>
  <c r="AB575" i="59" s="1"/>
  <c r="AC575" i="59" s="1"/>
  <c r="AD575" i="59" s="1"/>
  <c r="AE575" i="59" s="1"/>
  <c r="AF575" i="59" s="1"/>
  <c r="AG575" i="59" s="1"/>
  <c r="AH575" i="59" s="1"/>
  <c r="AI575" i="59" s="1"/>
  <c r="AJ575" i="59" s="1"/>
  <c r="AK575" i="59" s="1"/>
  <c r="AL575" i="59" s="1"/>
  <c r="AM575" i="59" s="1"/>
  <c r="AN575" i="59" s="1"/>
  <c r="AN703" i="59"/>
  <c r="AN493" i="59"/>
  <c r="AN715" i="59"/>
  <c r="AN690" i="59"/>
  <c r="AN490" i="59"/>
  <c r="AN716" i="59"/>
  <c r="AN717" i="59"/>
  <c r="AN491" i="59"/>
  <c r="AN712" i="59"/>
  <c r="AN262" i="59"/>
  <c r="AN269" i="59"/>
  <c r="AN261" i="59"/>
  <c r="AN268" i="59"/>
  <c r="AN271" i="59"/>
  <c r="AN326" i="59" s="1"/>
  <c r="AN347" i="59" s="1"/>
  <c r="AN221" i="59" s="1"/>
  <c r="AN260" i="59"/>
  <c r="AN264" i="59"/>
  <c r="AN267" i="59"/>
  <c r="AN270" i="59"/>
  <c r="AN266" i="59"/>
  <c r="AN263" i="59"/>
  <c r="AN259" i="59"/>
  <c r="AN329" i="59"/>
  <c r="AN58" i="63"/>
  <c r="AN55" i="63"/>
  <c r="U577" i="59"/>
  <c r="V577" i="59" s="1"/>
  <c r="W577" i="59" s="1"/>
  <c r="X577" i="59" s="1"/>
  <c r="Y577" i="59" s="1"/>
  <c r="Z577" i="59" s="1"/>
  <c r="AN828" i="59"/>
  <c r="AE476" i="59"/>
  <c r="AF476" i="59" s="1"/>
  <c r="AG476" i="59" s="1"/>
  <c r="AH476" i="59" s="1"/>
  <c r="AI476" i="59" s="1"/>
  <c r="AJ476" i="59" s="1"/>
  <c r="AK476" i="59" s="1"/>
  <c r="AL476" i="59" s="1"/>
  <c r="AM476" i="59" s="1"/>
  <c r="AN476" i="59" s="1"/>
  <c r="AN876" i="59"/>
  <c r="J39" i="59"/>
  <c r="I180" i="59"/>
  <c r="I125" i="59"/>
  <c r="AN593" i="59"/>
  <c r="AN872" i="59"/>
  <c r="AN706" i="59"/>
  <c r="AB700" i="59"/>
  <c r="AC700" i="59" s="1"/>
  <c r="AD700" i="59" s="1"/>
  <c r="AE700" i="59" s="1"/>
  <c r="AF700" i="59" s="1"/>
  <c r="AG700" i="59" s="1"/>
  <c r="AH700" i="59" s="1"/>
  <c r="AI700" i="59" s="1"/>
  <c r="AJ700" i="59" s="1"/>
  <c r="AK700" i="59" s="1"/>
  <c r="AL700" i="59" s="1"/>
  <c r="AM700" i="59" s="1"/>
  <c r="AN700" i="59" s="1"/>
  <c r="AN492" i="59"/>
  <c r="AN800" i="59"/>
  <c r="AN701" i="59"/>
  <c r="AN489" i="59"/>
  <c r="AN705" i="59"/>
  <c r="AN689" i="59"/>
  <c r="R796" i="59"/>
  <c r="AE472" i="59"/>
  <c r="AF472" i="59" s="1"/>
  <c r="AG472" i="59" s="1"/>
  <c r="AH472" i="59" s="1"/>
  <c r="AI472" i="59" s="1"/>
  <c r="AJ472" i="59" s="1"/>
  <c r="AK472" i="59" s="1"/>
  <c r="AL472" i="59" s="1"/>
  <c r="AM472" i="59" s="1"/>
  <c r="AN472" i="59" s="1"/>
  <c r="M774" i="59"/>
  <c r="M728" i="59" s="1"/>
  <c r="AM210" i="63"/>
  <c r="N797" i="59"/>
  <c r="M830" i="59"/>
  <c r="M784" i="59" s="1"/>
  <c r="AJ590" i="59"/>
  <c r="AK590" i="59" s="1"/>
  <c r="AL590" i="59" s="1"/>
  <c r="AM590" i="59" s="1"/>
  <c r="AN590" i="59" s="1"/>
  <c r="AN81" i="46"/>
  <c r="F81" i="46" s="1"/>
  <c r="AN66" i="46"/>
  <c r="AN67" i="46" s="1"/>
  <c r="AN82" i="46" s="1"/>
  <c r="F82" i="46" s="1"/>
  <c r="F63" i="46"/>
  <c r="F66" i="46" s="1"/>
  <c r="F304" i="63"/>
  <c r="I31" i="59"/>
  <c r="AJ483" i="59"/>
  <c r="AK483" i="59" s="1"/>
  <c r="AL483" i="59" s="1"/>
  <c r="AM483" i="59" s="1"/>
  <c r="AN483" i="59" s="1"/>
  <c r="AN879" i="59"/>
  <c r="AN882" i="59"/>
  <c r="AN883" i="59"/>
  <c r="AN1106" i="59"/>
  <c r="AN1109" i="59" s="1"/>
  <c r="AN1071" i="59"/>
  <c r="AN698" i="59"/>
  <c r="AN826" i="59"/>
  <c r="AB588" i="59"/>
  <c r="AC588" i="59" s="1"/>
  <c r="AD588" i="59" s="1"/>
  <c r="AE588" i="59" s="1"/>
  <c r="AF588" i="59" s="1"/>
  <c r="AG588" i="59" s="1"/>
  <c r="AH588" i="59" s="1"/>
  <c r="AI588" i="59" s="1"/>
  <c r="AJ588" i="59" s="1"/>
  <c r="AK588" i="59" s="1"/>
  <c r="AL588" i="59" s="1"/>
  <c r="AM588" i="59" s="1"/>
  <c r="AN588" i="59" s="1"/>
  <c r="N549" i="59"/>
  <c r="N503" i="59" s="1"/>
  <c r="AM382" i="59"/>
  <c r="AM383" i="59" s="1"/>
  <c r="AM211" i="59"/>
  <c r="AN881" i="59"/>
  <c r="Y474" i="59"/>
  <c r="Z474" i="59" s="1"/>
  <c r="AA474" i="59" s="1"/>
  <c r="AB474" i="59" s="1"/>
  <c r="AC474" i="59" s="1"/>
  <c r="AD474" i="59" s="1"/>
  <c r="AE474" i="59" s="1"/>
  <c r="AF474" i="59" s="1"/>
  <c r="AG474" i="59" s="1"/>
  <c r="AH474" i="59" s="1"/>
  <c r="AI474" i="59" s="1"/>
  <c r="AJ474" i="59" s="1"/>
  <c r="AK474" i="59" s="1"/>
  <c r="AL474" i="59" s="1"/>
  <c r="AM474" i="59" s="1"/>
  <c r="AN474" i="59" s="1"/>
  <c r="AN823" i="59"/>
  <c r="AN594" i="59"/>
  <c r="AN860" i="59"/>
  <c r="AN485" i="59"/>
  <c r="AN814" i="59"/>
  <c r="AN868" i="59"/>
  <c r="AN878" i="59"/>
  <c r="AN697" i="59"/>
  <c r="AH480" i="59"/>
  <c r="AI480" i="59" s="1"/>
  <c r="AJ480" i="59" s="1"/>
  <c r="AK480" i="59" s="1"/>
  <c r="AL480" i="59" s="1"/>
  <c r="AM480" i="59" s="1"/>
  <c r="AN480" i="59" s="1"/>
  <c r="AN583" i="59"/>
  <c r="AN602" i="59"/>
  <c r="AN463" i="59"/>
  <c r="AN820" i="59"/>
  <c r="AM248" i="59" l="1"/>
  <c r="AM196" i="59" s="1"/>
  <c r="AK193" i="59"/>
  <c r="AN341" i="59"/>
  <c r="S515" i="59"/>
  <c r="AM534" i="59"/>
  <c r="AN534" i="59" s="1"/>
  <c r="F59" i="59"/>
  <c r="F361" i="59"/>
  <c r="AL189" i="59"/>
  <c r="AL192" i="59" s="1"/>
  <c r="AM1028" i="59"/>
  <c r="AM16" i="60"/>
  <c r="AM112" i="60" s="1"/>
  <c r="AM185" i="59"/>
  <c r="AM233" i="59" s="1"/>
  <c r="AM195" i="59" s="1"/>
  <c r="AN351" i="59"/>
  <c r="AL1047" i="59"/>
  <c r="AK1047" i="59"/>
  <c r="AK1048" i="59" s="1"/>
  <c r="AL375" i="59"/>
  <c r="AL376" i="59" s="1"/>
  <c r="N494" i="59"/>
  <c r="N448" i="59" s="1"/>
  <c r="N449" i="59" s="1"/>
  <c r="O446" i="59" s="1"/>
  <c r="AN579" i="59"/>
  <c r="AL144" i="60"/>
  <c r="AL27" i="68" s="1"/>
  <c r="O719" i="59"/>
  <c r="O673" i="59" s="1"/>
  <c r="N719" i="59"/>
  <c r="N673" i="59" s="1"/>
  <c r="N674" i="59" s="1"/>
  <c r="O671" i="59" s="1"/>
  <c r="AN687" i="59"/>
  <c r="AN811" i="59"/>
  <c r="N840" i="59"/>
  <c r="O837" i="59" s="1"/>
  <c r="O840" i="59" s="1"/>
  <c r="P837" i="59" s="1"/>
  <c r="AN694" i="59"/>
  <c r="AN864" i="59"/>
  <c r="P885" i="59"/>
  <c r="P839" i="59" s="1"/>
  <c r="L904" i="59"/>
  <c r="L905" i="59" s="1"/>
  <c r="M902" i="59" s="1"/>
  <c r="AK194" i="59"/>
  <c r="AN805" i="59"/>
  <c r="AN808" i="59"/>
  <c r="AN855" i="59"/>
  <c r="AF477" i="59"/>
  <c r="AG477" i="59" s="1"/>
  <c r="AH477" i="59" s="1"/>
  <c r="AI477" i="59" s="1"/>
  <c r="AJ477" i="59" s="1"/>
  <c r="AK477" i="59" s="1"/>
  <c r="AL477" i="59" s="1"/>
  <c r="AM477" i="59" s="1"/>
  <c r="AN813" i="59"/>
  <c r="AJ873" i="59"/>
  <c r="AK873" i="59" s="1"/>
  <c r="AL873" i="59" s="1"/>
  <c r="AM873" i="59" s="1"/>
  <c r="AN873" i="59" s="1"/>
  <c r="AN478" i="59"/>
  <c r="W468" i="59"/>
  <c r="X468" i="59" s="1"/>
  <c r="Y468" i="59" s="1"/>
  <c r="Z468" i="59" s="1"/>
  <c r="AA468" i="59" s="1"/>
  <c r="AB468" i="59" s="1"/>
  <c r="AC468" i="59" s="1"/>
  <c r="AD468" i="59" s="1"/>
  <c r="AE468" i="59" s="1"/>
  <c r="AF468" i="59" s="1"/>
  <c r="AG468" i="59" s="1"/>
  <c r="AH468" i="59" s="1"/>
  <c r="AI468" i="59" s="1"/>
  <c r="AJ468" i="59" s="1"/>
  <c r="AK468" i="59" s="1"/>
  <c r="AL468" i="59" s="1"/>
  <c r="AM468" i="59" s="1"/>
  <c r="AN468" i="59" s="1"/>
  <c r="AA576" i="59"/>
  <c r="AB576" i="59" s="1"/>
  <c r="AC576" i="59" s="1"/>
  <c r="AD576" i="59" s="1"/>
  <c r="AE576" i="59" s="1"/>
  <c r="AF576" i="59" s="1"/>
  <c r="AG576" i="59" s="1"/>
  <c r="AH576" i="59" s="1"/>
  <c r="AI576" i="59" s="1"/>
  <c r="AJ576" i="59" s="1"/>
  <c r="AK576" i="59" s="1"/>
  <c r="AL576" i="59" s="1"/>
  <c r="AM576" i="59" s="1"/>
  <c r="AN576" i="59" s="1"/>
  <c r="AD804" i="59"/>
  <c r="AE804" i="59" s="1"/>
  <c r="AF804" i="59" s="1"/>
  <c r="AG804" i="59" s="1"/>
  <c r="AH804" i="59" s="1"/>
  <c r="AI804" i="59" s="1"/>
  <c r="AJ804" i="59" s="1"/>
  <c r="AK804" i="59" s="1"/>
  <c r="AL804" i="59" s="1"/>
  <c r="AM804" i="59" s="1"/>
  <c r="AN804" i="59" s="1"/>
  <c r="AN806" i="59"/>
  <c r="X578" i="59"/>
  <c r="Y578" i="59" s="1"/>
  <c r="Z578" i="59" s="1"/>
  <c r="AA578" i="59" s="1"/>
  <c r="AB578" i="59" s="1"/>
  <c r="AC578" i="59" s="1"/>
  <c r="AD578" i="59" s="1"/>
  <c r="AE578" i="59" s="1"/>
  <c r="AF578" i="59" s="1"/>
  <c r="AG578" i="59" s="1"/>
  <c r="AH578" i="59" s="1"/>
  <c r="AI578" i="59" s="1"/>
  <c r="AJ578" i="59" s="1"/>
  <c r="AK578" i="59" s="1"/>
  <c r="AL578" i="59" s="1"/>
  <c r="AM578" i="59" s="1"/>
  <c r="AN578" i="59" s="1"/>
  <c r="AH479" i="59"/>
  <c r="AI479" i="59" s="1"/>
  <c r="AJ479" i="59" s="1"/>
  <c r="AK479" i="59" s="1"/>
  <c r="AL479" i="59" s="1"/>
  <c r="AM479" i="59" s="1"/>
  <c r="AN479" i="59" s="1"/>
  <c r="AH591" i="59"/>
  <c r="AI591" i="59" s="1"/>
  <c r="AJ591" i="59" s="1"/>
  <c r="AD470" i="59"/>
  <c r="AE470" i="59" s="1"/>
  <c r="AF470" i="59" s="1"/>
  <c r="AG470" i="59" s="1"/>
  <c r="AH470" i="59" s="1"/>
  <c r="AI470" i="59" s="1"/>
  <c r="AJ470" i="59" s="1"/>
  <c r="AK470" i="59" s="1"/>
  <c r="AL470" i="59" s="1"/>
  <c r="AM470" i="59" s="1"/>
  <c r="AN470" i="59" s="1"/>
  <c r="Z856" i="59"/>
  <c r="AD475" i="59"/>
  <c r="AE475" i="59" s="1"/>
  <c r="AF475" i="59" s="1"/>
  <c r="AG475" i="59" s="1"/>
  <c r="AH475" i="59" s="1"/>
  <c r="AI475" i="59" s="1"/>
  <c r="AJ475" i="59" s="1"/>
  <c r="AK475" i="59" s="1"/>
  <c r="AL475" i="59" s="1"/>
  <c r="AM475" i="59" s="1"/>
  <c r="AN475" i="59" s="1"/>
  <c r="AA577" i="59"/>
  <c r="AB577" i="59" s="1"/>
  <c r="AC577" i="59" s="1"/>
  <c r="AD577" i="59" s="1"/>
  <c r="AE577" i="59" s="1"/>
  <c r="AF577" i="59" s="1"/>
  <c r="AG577" i="59" s="1"/>
  <c r="AH577" i="59" s="1"/>
  <c r="AI577" i="59" s="1"/>
  <c r="AJ577" i="59" s="1"/>
  <c r="AK577" i="59" s="1"/>
  <c r="AL577" i="59" s="1"/>
  <c r="AM577" i="59" s="1"/>
  <c r="AN577" i="59" s="1"/>
  <c r="AA807" i="59"/>
  <c r="AB807" i="59" s="1"/>
  <c r="AC807" i="59" s="1"/>
  <c r="AM871" i="59"/>
  <c r="AN871" i="59" s="1"/>
  <c r="T465" i="59"/>
  <c r="U464" i="59"/>
  <c r="V464" i="59" s="1"/>
  <c r="W464" i="59" s="1"/>
  <c r="X464" i="59" s="1"/>
  <c r="Y464" i="59" s="1"/>
  <c r="Z464" i="59" s="1"/>
  <c r="AA464" i="59" s="1"/>
  <c r="AB464" i="59" s="1"/>
  <c r="AC464" i="59" s="1"/>
  <c r="AD464" i="59" s="1"/>
  <c r="AE464" i="59" s="1"/>
  <c r="AF464" i="59" s="1"/>
  <c r="AG464" i="59" s="1"/>
  <c r="AH464" i="59" s="1"/>
  <c r="AI464" i="59" s="1"/>
  <c r="S799" i="59"/>
  <c r="T799" i="59" s="1"/>
  <c r="U799" i="59" s="1"/>
  <c r="V857" i="59"/>
  <c r="W857" i="59" s="1"/>
  <c r="X857" i="59" s="1"/>
  <c r="Y857" i="59" s="1"/>
  <c r="Z857" i="59" s="1"/>
  <c r="AA857" i="59" s="1"/>
  <c r="AK801" i="59"/>
  <c r="J31" i="59"/>
  <c r="M904" i="59"/>
  <c r="M729" i="59"/>
  <c r="N726" i="59" s="1"/>
  <c r="K39" i="59"/>
  <c r="J125" i="59"/>
  <c r="J180" i="59"/>
  <c r="AN318" i="59"/>
  <c r="AN319" i="59"/>
  <c r="AN317" i="59"/>
  <c r="O494" i="59"/>
  <c r="O448" i="59" s="1"/>
  <c r="P461" i="59"/>
  <c r="AN63" i="73"/>
  <c r="AN368" i="59"/>
  <c r="AN186" i="59"/>
  <c r="M785" i="59"/>
  <c r="N782" i="59" s="1"/>
  <c r="AN926" i="59"/>
  <c r="AN927" i="59" s="1"/>
  <c r="U460" i="59"/>
  <c r="AM7" i="73"/>
  <c r="AM7" i="63"/>
  <c r="AM8" i="59"/>
  <c r="AM6" i="46"/>
  <c r="AM6" i="68"/>
  <c r="AM9" i="60"/>
  <c r="O549" i="59"/>
  <c r="O503" i="59" s="1"/>
  <c r="F1109" i="59"/>
  <c r="N774" i="59"/>
  <c r="N728" i="59" s="1"/>
  <c r="S796" i="59"/>
  <c r="AN321" i="59"/>
  <c r="F321" i="59" s="1"/>
  <c r="F266" i="59"/>
  <c r="AN315" i="59"/>
  <c r="AN316" i="59"/>
  <c r="F1071" i="59"/>
  <c r="F1106" i="59"/>
  <c r="Q686" i="59"/>
  <c r="P719" i="59"/>
  <c r="P673" i="59" s="1"/>
  <c r="U685" i="59"/>
  <c r="L560" i="59"/>
  <c r="M557" i="59" s="1"/>
  <c r="AN350" i="59"/>
  <c r="AN325" i="59"/>
  <c r="F325" i="59" s="1"/>
  <c r="F270" i="59"/>
  <c r="AN324" i="59"/>
  <c r="Q885" i="59"/>
  <c r="Q839" i="59" s="1"/>
  <c r="R851" i="59"/>
  <c r="AN83" i="46"/>
  <c r="F83" i="46" s="1"/>
  <c r="K504" i="59"/>
  <c r="L501" i="59" s="1"/>
  <c r="AM74" i="73"/>
  <c r="AM73" i="73"/>
  <c r="AM75" i="73"/>
  <c r="N830" i="59"/>
  <c r="N784" i="59" s="1"/>
  <c r="O797" i="59"/>
  <c r="AN56" i="63"/>
  <c r="AN314" i="59"/>
  <c r="AN273" i="59"/>
  <c r="AN322" i="59"/>
  <c r="AN323" i="59"/>
  <c r="F323" i="59" s="1"/>
  <c r="F268" i="59"/>
  <c r="N572" i="59"/>
  <c r="M605" i="59"/>
  <c r="M559" i="59" s="1"/>
  <c r="Q571" i="59"/>
  <c r="AM384" i="59"/>
  <c r="AM210" i="59"/>
  <c r="AM223" i="59" s="1"/>
  <c r="AM231" i="59" s="1"/>
  <c r="AM356" i="59"/>
  <c r="AM374" i="59"/>
  <c r="AL193" i="59" l="1"/>
  <c r="T515" i="59"/>
  <c r="U515" i="59" s="1"/>
  <c r="V515" i="59" s="1"/>
  <c r="W515" i="59" s="1"/>
  <c r="X515" i="59" s="1"/>
  <c r="Y515" i="59" s="1"/>
  <c r="Z515" i="59" s="1"/>
  <c r="AA515" i="59" s="1"/>
  <c r="AB515" i="59" s="1"/>
  <c r="AC515" i="59" s="1"/>
  <c r="AD515" i="59" s="1"/>
  <c r="AE515" i="59" s="1"/>
  <c r="AF515" i="59" s="1"/>
  <c r="AG515" i="59" s="1"/>
  <c r="AH515" i="59" s="1"/>
  <c r="AI515" i="59" s="1"/>
  <c r="AJ515" i="59" s="1"/>
  <c r="AK515" i="59" s="1"/>
  <c r="AL515" i="59" s="1"/>
  <c r="AM515" i="59" s="1"/>
  <c r="AL194" i="59"/>
  <c r="AM189" i="59"/>
  <c r="AM192" i="59" s="1"/>
  <c r="AN332" i="59"/>
  <c r="AL377" i="59"/>
  <c r="AL389" i="59" s="1"/>
  <c r="AM375" i="59"/>
  <c r="AM376" i="59" s="1"/>
  <c r="O674" i="59"/>
  <c r="P671" i="59" s="1"/>
  <c r="P674" i="59" s="1"/>
  <c r="Q671" i="59" s="1"/>
  <c r="P840" i="59"/>
  <c r="Q837" i="59" s="1"/>
  <c r="Q840" i="59" s="1"/>
  <c r="R837" i="59" s="1"/>
  <c r="AM144" i="60"/>
  <c r="AM27" i="68" s="1"/>
  <c r="M905" i="59"/>
  <c r="N902" i="59" s="1"/>
  <c r="AN477" i="59"/>
  <c r="V799" i="59"/>
  <c r="W799" i="59" s="1"/>
  <c r="X799" i="59" s="1"/>
  <c r="Y799" i="59" s="1"/>
  <c r="Z799" i="59" s="1"/>
  <c r="AA799" i="59" s="1"/>
  <c r="AB799" i="59" s="1"/>
  <c r="AC799" i="59" s="1"/>
  <c r="AD799" i="59" s="1"/>
  <c r="AE799" i="59" s="1"/>
  <c r="AF799" i="59" s="1"/>
  <c r="AG799" i="59" s="1"/>
  <c r="AH799" i="59" s="1"/>
  <c r="AI799" i="59" s="1"/>
  <c r="AJ799" i="59" s="1"/>
  <c r="AK799" i="59" s="1"/>
  <c r="AL799" i="59" s="1"/>
  <c r="AM799" i="59" s="1"/>
  <c r="AN799" i="59" s="1"/>
  <c r="U465" i="59"/>
  <c r="AA856" i="59"/>
  <c r="AB856" i="59" s="1"/>
  <c r="AC856" i="59" s="1"/>
  <c r="AD856" i="59" s="1"/>
  <c r="AE856" i="59" s="1"/>
  <c r="AF856" i="59" s="1"/>
  <c r="AG856" i="59" s="1"/>
  <c r="AH856" i="59" s="1"/>
  <c r="AI856" i="59" s="1"/>
  <c r="AJ856" i="59" s="1"/>
  <c r="AK856" i="59" s="1"/>
  <c r="AL856" i="59" s="1"/>
  <c r="AM856" i="59" s="1"/>
  <c r="AB857" i="59"/>
  <c r="AC857" i="59" s="1"/>
  <c r="AD857" i="59" s="1"/>
  <c r="AE857" i="59" s="1"/>
  <c r="AF857" i="59" s="1"/>
  <c r="AG857" i="59" s="1"/>
  <c r="AH857" i="59" s="1"/>
  <c r="AI857" i="59" s="1"/>
  <c r="AJ857" i="59" s="1"/>
  <c r="AK857" i="59" s="1"/>
  <c r="AL857" i="59" s="1"/>
  <c r="AM857" i="59" s="1"/>
  <c r="AL801" i="59"/>
  <c r="AM801" i="59" s="1"/>
  <c r="AD807" i="59"/>
  <c r="AE807" i="59" s="1"/>
  <c r="AF807" i="59" s="1"/>
  <c r="AG807" i="59" s="1"/>
  <c r="AH807" i="59" s="1"/>
  <c r="AI807" i="59" s="1"/>
  <c r="AJ807" i="59" s="1"/>
  <c r="AK807" i="59" s="1"/>
  <c r="AL807" i="59" s="1"/>
  <c r="AM807" i="59" s="1"/>
  <c r="AN807" i="59" s="1"/>
  <c r="AK591" i="59"/>
  <c r="AL591" i="59" s="1"/>
  <c r="AM591" i="59" s="1"/>
  <c r="AJ464" i="59"/>
  <c r="AK464" i="59" s="1"/>
  <c r="AL464" i="59" s="1"/>
  <c r="AM464" i="59" s="1"/>
  <c r="AN464" i="59" s="1"/>
  <c r="R571" i="59"/>
  <c r="AN210" i="63"/>
  <c r="AN345" i="59"/>
  <c r="AN90" i="46"/>
  <c r="AN337" i="59"/>
  <c r="AN342" i="59"/>
  <c r="N904" i="59"/>
  <c r="P549" i="59"/>
  <c r="P503" i="59" s="1"/>
  <c r="P494" i="59"/>
  <c r="P448" i="59" s="1"/>
  <c r="Q461" i="59"/>
  <c r="AN338" i="59"/>
  <c r="AN340" i="59"/>
  <c r="N729" i="59"/>
  <c r="O726" i="59" s="1"/>
  <c r="K31" i="59"/>
  <c r="O572" i="59"/>
  <c r="N605" i="59"/>
  <c r="N559" i="59" s="1"/>
  <c r="AN344" i="59"/>
  <c r="AN119" i="59"/>
  <c r="AN70" i="73"/>
  <c r="M560" i="59"/>
  <c r="N557" i="59" s="1"/>
  <c r="T796" i="59"/>
  <c r="V460" i="59"/>
  <c r="N785" i="59"/>
  <c r="O782" i="59" s="1"/>
  <c r="AM385" i="59"/>
  <c r="AM390" i="59" s="1"/>
  <c r="AN335" i="59"/>
  <c r="P797" i="59"/>
  <c r="O830" i="59"/>
  <c r="O784" i="59" s="1"/>
  <c r="R885" i="59"/>
  <c r="R839" i="59" s="1"/>
  <c r="S851" i="59"/>
  <c r="AN346" i="59"/>
  <c r="V685" i="59"/>
  <c r="AN336" i="59"/>
  <c r="AN339" i="59"/>
  <c r="O449" i="59"/>
  <c r="P446" i="59" s="1"/>
  <c r="AN343" i="59"/>
  <c r="R686" i="59"/>
  <c r="Q719" i="59"/>
  <c r="Q673" i="59" s="1"/>
  <c r="O774" i="59"/>
  <c r="O728" i="59" s="1"/>
  <c r="AN240" i="59"/>
  <c r="AN246" i="59" s="1"/>
  <c r="AN248" i="59" s="1"/>
  <c r="L39" i="59"/>
  <c r="K125" i="59"/>
  <c r="K180" i="59"/>
  <c r="AM193" i="59" l="1"/>
  <c r="AN515" i="59"/>
  <c r="M922" i="59"/>
  <c r="M923" i="59" s="1"/>
  <c r="N920" i="59" s="1"/>
  <c r="AL198" i="59"/>
  <c r="AL18" i="60" s="1"/>
  <c r="AM194" i="59"/>
  <c r="AN353" i="59"/>
  <c r="AN356" i="59" s="1"/>
  <c r="AM377" i="59"/>
  <c r="AM389" i="59" s="1"/>
  <c r="N905" i="59"/>
  <c r="O902" i="59" s="1"/>
  <c r="O904" i="59"/>
  <c r="Q674" i="59"/>
  <c r="R671" i="59" s="1"/>
  <c r="N560" i="59"/>
  <c r="O557" i="59" s="1"/>
  <c r="R840" i="59"/>
  <c r="S837" i="59" s="1"/>
  <c r="AN857" i="59"/>
  <c r="P449" i="59"/>
  <c r="Q446" i="59" s="1"/>
  <c r="V465" i="59"/>
  <c r="AN591" i="59"/>
  <c r="AN801" i="59"/>
  <c r="AN856" i="59"/>
  <c r="M39" i="59"/>
  <c r="L125" i="59"/>
  <c r="L180" i="59"/>
  <c r="AN211" i="59"/>
  <c r="AN382" i="59"/>
  <c r="AN210" i="59"/>
  <c r="AN374" i="59"/>
  <c r="AN375" i="59" s="1"/>
  <c r="O785" i="59"/>
  <c r="P782" i="59" s="1"/>
  <c r="AN218" i="59"/>
  <c r="F218" i="59" s="1"/>
  <c r="F344" i="59"/>
  <c r="L31" i="59"/>
  <c r="AN215" i="59"/>
  <c r="Q549" i="59"/>
  <c r="Q503" i="59" s="1"/>
  <c r="AN216" i="59"/>
  <c r="F216" i="59" s="1"/>
  <c r="F342" i="59"/>
  <c r="S571" i="59"/>
  <c r="P774" i="59"/>
  <c r="P728" i="59" s="1"/>
  <c r="L926" i="59"/>
  <c r="L927" i="59" s="1"/>
  <c r="L58" i="60" s="1"/>
  <c r="L124" i="60" s="1"/>
  <c r="AN220" i="59"/>
  <c r="F220" i="59" s="1"/>
  <c r="F346" i="59"/>
  <c r="W460" i="59"/>
  <c r="AN1028" i="59"/>
  <c r="AN185" i="59"/>
  <c r="O729" i="59"/>
  <c r="P726" i="59" s="1"/>
  <c r="AN214" i="59"/>
  <c r="W685" i="59"/>
  <c r="S885" i="59"/>
  <c r="S839" i="59" s="1"/>
  <c r="T851" i="59"/>
  <c r="P830" i="59"/>
  <c r="P784" i="59" s="1"/>
  <c r="Q797" i="59"/>
  <c r="P572" i="59"/>
  <c r="O605" i="59"/>
  <c r="O559" i="59" s="1"/>
  <c r="AN213" i="59"/>
  <c r="AN212" i="59"/>
  <c r="AN219" i="59"/>
  <c r="S686" i="59"/>
  <c r="R719" i="59"/>
  <c r="R673" i="59" s="1"/>
  <c r="AN217" i="59"/>
  <c r="U796" i="59"/>
  <c r="Q494" i="59"/>
  <c r="Q448" i="59" s="1"/>
  <c r="R461" i="59"/>
  <c r="AN6" i="46"/>
  <c r="AN6" i="68"/>
  <c r="AN7" i="73"/>
  <c r="AN7" i="63"/>
  <c r="AN8" i="59"/>
  <c r="AL19" i="60" l="1"/>
  <c r="AL366" i="59" s="1"/>
  <c r="AL367" i="59" s="1"/>
  <c r="AL368" i="59" s="1"/>
  <c r="AL114" i="60"/>
  <c r="AL115" i="60" s="1"/>
  <c r="N923" i="59"/>
  <c r="O920" i="59" s="1"/>
  <c r="N925" i="59"/>
  <c r="AM198" i="59"/>
  <c r="AM18" i="60" s="1"/>
  <c r="O905" i="59"/>
  <c r="P902" i="59" s="1"/>
  <c r="Q449" i="59"/>
  <c r="R446" i="59" s="1"/>
  <c r="S840" i="59"/>
  <c r="T837" i="59" s="1"/>
  <c r="P729" i="59"/>
  <c r="Q726" i="59" s="1"/>
  <c r="O560" i="59"/>
  <c r="P557" i="59" s="1"/>
  <c r="W465" i="59"/>
  <c r="V796" i="59"/>
  <c r="R797" i="59"/>
  <c r="Q830" i="59"/>
  <c r="Q784" i="59" s="1"/>
  <c r="X685" i="59"/>
  <c r="AN1030" i="59"/>
  <c r="H1030" i="59"/>
  <c r="H1031" i="59" s="1"/>
  <c r="I1030" i="59"/>
  <c r="I1031" i="59" s="1"/>
  <c r="L1030" i="59"/>
  <c r="L1031" i="59" s="1"/>
  <c r="M1030" i="59"/>
  <c r="M1031" i="59" s="1"/>
  <c r="J1030" i="59"/>
  <c r="J1031" i="59" s="1"/>
  <c r="K1030" i="59"/>
  <c r="K1031" i="59" s="1"/>
  <c r="Q1030" i="59"/>
  <c r="Q1031" i="59" s="1"/>
  <c r="P1030" i="59"/>
  <c r="P1031" i="59" s="1"/>
  <c r="O1030" i="59"/>
  <c r="O1031" i="59" s="1"/>
  <c r="N1030" i="59"/>
  <c r="N1031" i="59" s="1"/>
  <c r="R1030" i="59"/>
  <c r="R1031" i="59" s="1"/>
  <c r="T1030" i="59"/>
  <c r="T1031" i="59" s="1"/>
  <c r="U1030" i="59"/>
  <c r="U1031" i="59" s="1"/>
  <c r="S1030" i="59"/>
  <c r="S1031" i="59" s="1"/>
  <c r="Y1030" i="59"/>
  <c r="Y1031" i="59" s="1"/>
  <c r="X1030" i="59"/>
  <c r="X1031" i="59" s="1"/>
  <c r="V1030" i="59"/>
  <c r="V1031" i="59" s="1"/>
  <c r="W1030" i="59"/>
  <c r="W1031" i="59" s="1"/>
  <c r="AC1030" i="59"/>
  <c r="AC1031" i="59" s="1"/>
  <c r="AA1030" i="59"/>
  <c r="AA1031" i="59" s="1"/>
  <c r="Z1030" i="59"/>
  <c r="Z1031" i="59" s="1"/>
  <c r="AB1030" i="59"/>
  <c r="AB1031" i="59" s="1"/>
  <c r="AL1030" i="59"/>
  <c r="AI1030" i="59"/>
  <c r="AI1031" i="59" s="1"/>
  <c r="AD1030" i="59"/>
  <c r="AD1031" i="59" s="1"/>
  <c r="AK1030" i="59"/>
  <c r="AK1031" i="59" s="1"/>
  <c r="AG1030" i="59"/>
  <c r="AG1031" i="59" s="1"/>
  <c r="AE1030" i="59"/>
  <c r="AE1031" i="59" s="1"/>
  <c r="AM1030" i="59"/>
  <c r="AF1030" i="59"/>
  <c r="AF1031" i="59" s="1"/>
  <c r="AJ1030" i="59"/>
  <c r="AJ1031" i="59" s="1"/>
  <c r="AH1030" i="59"/>
  <c r="AH1031" i="59" s="1"/>
  <c r="Q774" i="59"/>
  <c r="Q728" i="59" s="1"/>
  <c r="T571" i="59"/>
  <c r="P785" i="59"/>
  <c r="Q782" i="59" s="1"/>
  <c r="N39" i="59"/>
  <c r="M125" i="59"/>
  <c r="M180" i="59"/>
  <c r="T686" i="59"/>
  <c r="S719" i="59"/>
  <c r="S673" i="59" s="1"/>
  <c r="AN74" i="73"/>
  <c r="AN73" i="73"/>
  <c r="AN75" i="73"/>
  <c r="M31" i="59"/>
  <c r="AN223" i="59"/>
  <c r="AN231" i="59" s="1"/>
  <c r="AN383" i="59"/>
  <c r="AN384" i="59" s="1"/>
  <c r="AN385" i="59" s="1"/>
  <c r="AN390" i="59" s="1"/>
  <c r="R494" i="59"/>
  <c r="R448" i="59" s="1"/>
  <c r="S461" i="59"/>
  <c r="T885" i="59"/>
  <c r="T839" i="59" s="1"/>
  <c r="U851" i="59"/>
  <c r="L156" i="60"/>
  <c r="R549" i="59"/>
  <c r="R503" i="59" s="1"/>
  <c r="R674" i="59"/>
  <c r="S671" i="59" s="1"/>
  <c r="Q572" i="59"/>
  <c r="P605" i="59"/>
  <c r="P559" i="59" s="1"/>
  <c r="AN189" i="59"/>
  <c r="AN192" i="59" s="1"/>
  <c r="AN233" i="59"/>
  <c r="AN195" i="59" s="1"/>
  <c r="X460" i="59"/>
  <c r="L504" i="59"/>
  <c r="M501" i="59" s="1"/>
  <c r="P904" i="59"/>
  <c r="AN196" i="59"/>
  <c r="AN376" i="59"/>
  <c r="AN377" i="59" s="1"/>
  <c r="AN389" i="59" s="1"/>
  <c r="AL143" i="60" l="1"/>
  <c r="AL26" i="68" s="1"/>
  <c r="AM19" i="60"/>
  <c r="AM366" i="59" s="1"/>
  <c r="AM367" i="59" s="1"/>
  <c r="AM368" i="59" s="1"/>
  <c r="AN369" i="59" s="1"/>
  <c r="AN388" i="59" s="1"/>
  <c r="AN391" i="59" s="1"/>
  <c r="AM114" i="60"/>
  <c r="AM115" i="60" s="1"/>
  <c r="P905" i="59"/>
  <c r="Q902" i="59" s="1"/>
  <c r="T840" i="59"/>
  <c r="U837" i="59" s="1"/>
  <c r="Q785" i="59"/>
  <c r="R782" i="59" s="1"/>
  <c r="S674" i="59"/>
  <c r="T671" i="59" s="1"/>
  <c r="P560" i="59"/>
  <c r="Q557" i="59" s="1"/>
  <c r="Q729" i="59"/>
  <c r="R726" i="59" s="1"/>
  <c r="Q904" i="59"/>
  <c r="X465" i="59"/>
  <c r="Y465" i="59" s="1"/>
  <c r="Z465" i="59" s="1"/>
  <c r="AA465" i="59" s="1"/>
  <c r="AB465" i="59" s="1"/>
  <c r="AC465" i="59" s="1"/>
  <c r="AD465" i="59" s="1"/>
  <c r="AE465" i="59" s="1"/>
  <c r="AF465" i="59" s="1"/>
  <c r="AG465" i="59" s="1"/>
  <c r="AH465" i="59" s="1"/>
  <c r="AI465" i="59" s="1"/>
  <c r="AJ465" i="59" s="1"/>
  <c r="AK465" i="59" s="1"/>
  <c r="AL465" i="59" s="1"/>
  <c r="AM465" i="59" s="1"/>
  <c r="AN465" i="59" s="1"/>
  <c r="Y460" i="59"/>
  <c r="AN193" i="59"/>
  <c r="AN194" i="59"/>
  <c r="S549" i="59"/>
  <c r="S503" i="59" s="1"/>
  <c r="T461" i="59"/>
  <c r="S494" i="59"/>
  <c r="S448" i="59" s="1"/>
  <c r="N31" i="59"/>
  <c r="R774" i="59"/>
  <c r="R728" i="59" s="1"/>
  <c r="R572" i="59"/>
  <c r="Q605" i="59"/>
  <c r="Q559" i="59" s="1"/>
  <c r="U885" i="59"/>
  <c r="U839" i="59" s="1"/>
  <c r="V851" i="59"/>
  <c r="AN78" i="73"/>
  <c r="AN90" i="73" s="1"/>
  <c r="U686" i="59"/>
  <c r="T719" i="59"/>
  <c r="T673" i="59" s="1"/>
  <c r="O39" i="59"/>
  <c r="N180" i="59"/>
  <c r="N125" i="59"/>
  <c r="U571" i="59"/>
  <c r="Y685" i="59"/>
  <c r="S797" i="59"/>
  <c r="R830" i="59"/>
  <c r="R784" i="59" s="1"/>
  <c r="W796" i="59"/>
  <c r="R449" i="59"/>
  <c r="S446" i="59" s="1"/>
  <c r="M504" i="59"/>
  <c r="N501" i="59" s="1"/>
  <c r="AM143" i="60" l="1"/>
  <c r="AM26" i="68" s="1"/>
  <c r="O922" i="59"/>
  <c r="O923" i="59" s="1"/>
  <c r="P920" i="59" s="1"/>
  <c r="P923" i="59" s="1"/>
  <c r="Q920" i="59" s="1"/>
  <c r="Q923" i="59" s="1"/>
  <c r="R920" i="59" s="1"/>
  <c r="N926" i="59"/>
  <c r="N927" i="59" s="1"/>
  <c r="AM369" i="59"/>
  <c r="AM388" i="59" s="1"/>
  <c r="AM391" i="59" s="1"/>
  <c r="AM42" i="60" s="1"/>
  <c r="Q905" i="59"/>
  <c r="R902" i="59" s="1"/>
  <c r="AK305" i="59"/>
  <c r="AK330" i="59" s="1"/>
  <c r="AK332" i="59" s="1"/>
  <c r="R785" i="59"/>
  <c r="S782" i="59" s="1"/>
  <c r="U840" i="59"/>
  <c r="V837" i="59" s="1"/>
  <c r="Q560" i="59"/>
  <c r="R557" i="59" s="1"/>
  <c r="R729" i="59"/>
  <c r="S726" i="59" s="1"/>
  <c r="S449" i="59"/>
  <c r="T446" i="59" s="1"/>
  <c r="T797" i="59"/>
  <c r="S830" i="59"/>
  <c r="S784" i="59" s="1"/>
  <c r="V571" i="59"/>
  <c r="P39" i="59"/>
  <c r="O180" i="59"/>
  <c r="O125" i="59"/>
  <c r="U461" i="59"/>
  <c r="T494" i="59"/>
  <c r="T448" i="59" s="1"/>
  <c r="Z460" i="59"/>
  <c r="X796" i="59"/>
  <c r="Z685" i="59"/>
  <c r="V686" i="59"/>
  <c r="U719" i="59"/>
  <c r="U673" i="59" s="1"/>
  <c r="T674" i="59"/>
  <c r="U671" i="59" s="1"/>
  <c r="R904" i="59"/>
  <c r="O31" i="59"/>
  <c r="T549" i="59"/>
  <c r="T503" i="59" s="1"/>
  <c r="V885" i="59"/>
  <c r="V839" i="59" s="1"/>
  <c r="W851" i="59"/>
  <c r="S572" i="59"/>
  <c r="R605" i="59"/>
  <c r="R559" i="59" s="1"/>
  <c r="S774" i="59"/>
  <c r="S728" i="59" s="1"/>
  <c r="AN198" i="59"/>
  <c r="AM29" i="68" l="1"/>
  <c r="AM118" i="60"/>
  <c r="N504" i="59"/>
  <c r="O501" i="59" s="1"/>
  <c r="O504" i="59" s="1"/>
  <c r="P501" i="59" s="1"/>
  <c r="R905" i="59"/>
  <c r="S902" i="59" s="1"/>
  <c r="S904" i="59"/>
  <c r="S785" i="59"/>
  <c r="T782" i="59" s="1"/>
  <c r="V840" i="59"/>
  <c r="W837" i="59" s="1"/>
  <c r="AK351" i="59"/>
  <c r="AK37" i="60"/>
  <c r="T449" i="59"/>
  <c r="U446" i="59" s="1"/>
  <c r="S729" i="59"/>
  <c r="T726" i="59" s="1"/>
  <c r="U674" i="59"/>
  <c r="V671" i="59" s="1"/>
  <c r="T572" i="59"/>
  <c r="S605" i="59"/>
  <c r="S559" i="59" s="1"/>
  <c r="P31" i="59"/>
  <c r="Y796" i="59"/>
  <c r="W885" i="59"/>
  <c r="W839" i="59" s="1"/>
  <c r="X851" i="59"/>
  <c r="U549" i="59"/>
  <c r="U503" i="59" s="1"/>
  <c r="W686" i="59"/>
  <c r="V719" i="59"/>
  <c r="V673" i="59" s="1"/>
  <c r="AA460" i="59"/>
  <c r="V461" i="59"/>
  <c r="U494" i="59"/>
  <c r="U448" i="59" s="1"/>
  <c r="Q39" i="59"/>
  <c r="P180" i="59"/>
  <c r="P125" i="59"/>
  <c r="U797" i="59"/>
  <c r="T830" i="59"/>
  <c r="T784" i="59" s="1"/>
  <c r="T774" i="59"/>
  <c r="T728" i="59" s="1"/>
  <c r="AA685" i="59"/>
  <c r="R560" i="59"/>
  <c r="S557" i="59" s="1"/>
  <c r="W571" i="59"/>
  <c r="N156" i="60" l="1"/>
  <c r="N58" i="60"/>
  <c r="N124" i="60" s="1"/>
  <c r="AK353" i="59"/>
  <c r="AK356" i="59" s="1"/>
  <c r="AK144" i="60" s="1"/>
  <c r="S905" i="59"/>
  <c r="T902" i="59" s="1"/>
  <c r="T785" i="59"/>
  <c r="U782" i="59" s="1"/>
  <c r="W840" i="59"/>
  <c r="X837" i="59" s="1"/>
  <c r="S560" i="59"/>
  <c r="T557" i="59" s="1"/>
  <c r="U449" i="59"/>
  <c r="V446" i="59" s="1"/>
  <c r="T904" i="59"/>
  <c r="W461" i="59"/>
  <c r="V494" i="59"/>
  <c r="V448" i="59" s="1"/>
  <c r="X686" i="59"/>
  <c r="W719" i="59"/>
  <c r="W673" i="59" s="1"/>
  <c r="V549" i="59"/>
  <c r="V503" i="59" s="1"/>
  <c r="AB460" i="59"/>
  <c r="Z796" i="59"/>
  <c r="T729" i="59"/>
  <c r="U726" i="59" s="1"/>
  <c r="AB685" i="59"/>
  <c r="R39" i="59"/>
  <c r="Q180" i="59"/>
  <c r="Q125" i="59"/>
  <c r="P504" i="59"/>
  <c r="Q501" i="59" s="1"/>
  <c r="X885" i="59"/>
  <c r="X839" i="59" s="1"/>
  <c r="Y851" i="59"/>
  <c r="Q31" i="59"/>
  <c r="U572" i="59"/>
  <c r="T605" i="59"/>
  <c r="T559" i="59" s="1"/>
  <c r="X571" i="59"/>
  <c r="U774" i="59"/>
  <c r="U728" i="59" s="1"/>
  <c r="V797" i="59"/>
  <c r="U830" i="59"/>
  <c r="U784" i="59" s="1"/>
  <c r="V674" i="59"/>
  <c r="W671" i="59" s="1"/>
  <c r="T905" i="59" l="1"/>
  <c r="U902" i="59" s="1"/>
  <c r="U785" i="59"/>
  <c r="V782" i="59" s="1"/>
  <c r="X840" i="59"/>
  <c r="Y837" i="59" s="1"/>
  <c r="V449" i="59"/>
  <c r="W446" i="59" s="1"/>
  <c r="W674" i="59"/>
  <c r="X671" i="59" s="1"/>
  <c r="Y571" i="59"/>
  <c r="S39" i="59"/>
  <c r="R180" i="59"/>
  <c r="R125" i="59"/>
  <c r="AA796" i="59"/>
  <c r="V572" i="59"/>
  <c r="U605" i="59"/>
  <c r="U559" i="59" s="1"/>
  <c r="Y885" i="59"/>
  <c r="Y839" i="59" s="1"/>
  <c r="Z851" i="59"/>
  <c r="AC460" i="59"/>
  <c r="U904" i="59"/>
  <c r="U729" i="59"/>
  <c r="V726" i="59" s="1"/>
  <c r="W549" i="59"/>
  <c r="W503" i="59" s="1"/>
  <c r="Y686" i="59"/>
  <c r="X719" i="59"/>
  <c r="X673" i="59" s="1"/>
  <c r="X461" i="59"/>
  <c r="W494" i="59"/>
  <c r="W448" i="59" s="1"/>
  <c r="W797" i="59"/>
  <c r="V830" i="59"/>
  <c r="V784" i="59" s="1"/>
  <c r="V774" i="59"/>
  <c r="V728" i="59" s="1"/>
  <c r="R31" i="59"/>
  <c r="AC685" i="59"/>
  <c r="T560" i="59"/>
  <c r="U557" i="59" s="1"/>
  <c r="R922" i="59" l="1"/>
  <c r="R923" i="59" s="1"/>
  <c r="S920" i="59" s="1"/>
  <c r="S923" i="59" s="1"/>
  <c r="T920" i="59" s="1"/>
  <c r="T923" i="59" s="1"/>
  <c r="U920" i="59" s="1"/>
  <c r="U905" i="59"/>
  <c r="V902" i="59" s="1"/>
  <c r="V785" i="59"/>
  <c r="W782" i="59" s="1"/>
  <c r="Y840" i="59"/>
  <c r="Z837" i="59" s="1"/>
  <c r="W449" i="59"/>
  <c r="X446" i="59" s="1"/>
  <c r="U560" i="59"/>
  <c r="V557" i="59" s="1"/>
  <c r="V904" i="59"/>
  <c r="Y461" i="59"/>
  <c r="X494" i="59"/>
  <c r="X448" i="59" s="1"/>
  <c r="V729" i="59"/>
  <c r="W726" i="59" s="1"/>
  <c r="Z571" i="59"/>
  <c r="S31" i="59"/>
  <c r="X797" i="59"/>
  <c r="W830" i="59"/>
  <c r="W784" i="59" s="1"/>
  <c r="X549" i="59"/>
  <c r="X503" i="59" s="1"/>
  <c r="Q926" i="59"/>
  <c r="Q927" i="59" s="1"/>
  <c r="Z885" i="59"/>
  <c r="Z839" i="59" s="1"/>
  <c r="AA851" i="59"/>
  <c r="W572" i="59"/>
  <c r="V605" i="59"/>
  <c r="V559" i="59" s="1"/>
  <c r="Z686" i="59"/>
  <c r="Y719" i="59"/>
  <c r="Y673" i="59" s="1"/>
  <c r="AD685" i="59"/>
  <c r="W774" i="59"/>
  <c r="W728" i="59" s="1"/>
  <c r="X674" i="59"/>
  <c r="Y671" i="59" s="1"/>
  <c r="AD460" i="59"/>
  <c r="AB796" i="59"/>
  <c r="T39" i="59"/>
  <c r="S180" i="59"/>
  <c r="S125" i="59"/>
  <c r="U923" i="59" l="1"/>
  <c r="V920" i="59" s="1"/>
  <c r="U925" i="59"/>
  <c r="V905" i="59"/>
  <c r="W902" i="59" s="1"/>
  <c r="Z840" i="59"/>
  <c r="AA837" i="59" s="1"/>
  <c r="W785" i="59"/>
  <c r="X782" i="59" s="1"/>
  <c r="V560" i="59"/>
  <c r="W557" i="59" s="1"/>
  <c r="X449" i="59"/>
  <c r="Y446" i="59" s="1"/>
  <c r="Y674" i="59"/>
  <c r="Z671" i="59" s="1"/>
  <c r="W904" i="59"/>
  <c r="X774" i="59"/>
  <c r="X728" i="59" s="1"/>
  <c r="AA686" i="59"/>
  <c r="Z719" i="59"/>
  <c r="Z673" i="59" s="1"/>
  <c r="Q504" i="59"/>
  <c r="R501" i="59" s="1"/>
  <c r="Y549" i="59"/>
  <c r="Y503" i="59" s="1"/>
  <c r="Z461" i="59"/>
  <c r="Y494" i="59"/>
  <c r="Y448" i="59" s="1"/>
  <c r="AC796" i="59"/>
  <c r="AE460" i="59"/>
  <c r="AE685" i="59"/>
  <c r="X572" i="59"/>
  <c r="W605" i="59"/>
  <c r="W559" i="59" s="1"/>
  <c r="Q58" i="60"/>
  <c r="Q124" i="60" s="1"/>
  <c r="Q156" i="60"/>
  <c r="U39" i="59"/>
  <c r="T180" i="59"/>
  <c r="T125" i="59"/>
  <c r="AA885" i="59"/>
  <c r="AA839" i="59" s="1"/>
  <c r="AB851" i="59"/>
  <c r="Y797" i="59"/>
  <c r="X830" i="59"/>
  <c r="X784" i="59" s="1"/>
  <c r="T31" i="59"/>
  <c r="AA571" i="59"/>
  <c r="W729" i="59"/>
  <c r="X726" i="59" s="1"/>
  <c r="W905" i="59" l="1"/>
  <c r="X902" i="59" s="1"/>
  <c r="AA840" i="59"/>
  <c r="AB837" i="59" s="1"/>
  <c r="Y449" i="59"/>
  <c r="Z446" i="59" s="1"/>
  <c r="X785" i="59"/>
  <c r="Y782" i="59" s="1"/>
  <c r="Z674" i="59"/>
  <c r="AA671" i="59" s="1"/>
  <c r="X729" i="59"/>
  <c r="Y726" i="59" s="1"/>
  <c r="AB571" i="59"/>
  <c r="AF685" i="59"/>
  <c r="AA461" i="59"/>
  <c r="Z494" i="59"/>
  <c r="Z448" i="59" s="1"/>
  <c r="R504" i="59"/>
  <c r="S501" i="59" s="1"/>
  <c r="Z797" i="59"/>
  <c r="Y830" i="59"/>
  <c r="Y784" i="59" s="1"/>
  <c r="AB885" i="59"/>
  <c r="AB839" i="59" s="1"/>
  <c r="AC851" i="59"/>
  <c r="AD796" i="59"/>
  <c r="X904" i="59"/>
  <c r="V39" i="59"/>
  <c r="U180" i="59"/>
  <c r="U125" i="59"/>
  <c r="Y572" i="59"/>
  <c r="X605" i="59"/>
  <c r="X559" i="59" s="1"/>
  <c r="AB686" i="59"/>
  <c r="AA719" i="59"/>
  <c r="AA673" i="59" s="1"/>
  <c r="Y774" i="59"/>
  <c r="Y728" i="59" s="1"/>
  <c r="W560" i="59"/>
  <c r="X557" i="59" s="1"/>
  <c r="U31" i="59"/>
  <c r="AF460" i="59"/>
  <c r="Z549" i="59"/>
  <c r="Z503" i="59" s="1"/>
  <c r="X905" i="59" l="1"/>
  <c r="Y902" i="59" s="1"/>
  <c r="Y785" i="59"/>
  <c r="Z782" i="59" s="1"/>
  <c r="AB840" i="59"/>
  <c r="AC837" i="59" s="1"/>
  <c r="Y904" i="59"/>
  <c r="X560" i="59"/>
  <c r="Y557" i="59" s="1"/>
  <c r="AA549" i="59"/>
  <c r="AA503" i="59" s="1"/>
  <c r="V31" i="59"/>
  <c r="Z774" i="59"/>
  <c r="Z728" i="59" s="1"/>
  <c r="Z572" i="59"/>
  <c r="Y605" i="59"/>
  <c r="Y559" i="59" s="1"/>
  <c r="S504" i="59"/>
  <c r="T501" i="59" s="1"/>
  <c r="AG685" i="59"/>
  <c r="AC571" i="59"/>
  <c r="Z449" i="59"/>
  <c r="AA446" i="59" s="1"/>
  <c r="W39" i="59"/>
  <c r="V180" i="59"/>
  <c r="V125" i="59"/>
  <c r="AB461" i="59"/>
  <c r="AA494" i="59"/>
  <c r="AA448" i="59" s="1"/>
  <c r="AC686" i="59"/>
  <c r="AB719" i="59"/>
  <c r="AB673" i="59" s="1"/>
  <c r="Y729" i="59"/>
  <c r="Z726" i="59" s="1"/>
  <c r="AA797" i="59"/>
  <c r="Z830" i="59"/>
  <c r="Z784" i="59" s="1"/>
  <c r="AA674" i="59"/>
  <c r="AB671" i="59" s="1"/>
  <c r="AG460" i="59"/>
  <c r="AE796" i="59"/>
  <c r="AC885" i="59"/>
  <c r="AC839" i="59" s="1"/>
  <c r="AD851" i="59"/>
  <c r="Y905" i="59" l="1"/>
  <c r="Z902" i="59" s="1"/>
  <c r="Z785" i="59"/>
  <c r="AA782" i="59" s="1"/>
  <c r="AC840" i="59"/>
  <c r="AD837" i="59" s="1"/>
  <c r="Y560" i="59"/>
  <c r="Z557" i="59" s="1"/>
  <c r="Z729" i="59"/>
  <c r="AA726" i="59" s="1"/>
  <c r="AB674" i="59"/>
  <c r="AC671" i="59" s="1"/>
  <c r="AD885" i="59"/>
  <c r="AD839" i="59" s="1"/>
  <c r="AE851" i="59"/>
  <c r="AC461" i="59"/>
  <c r="AB494" i="59"/>
  <c r="AB448" i="59" s="1"/>
  <c r="AD571" i="59"/>
  <c r="AA572" i="59"/>
  <c r="Z605" i="59"/>
  <c r="Z559" i="59" s="1"/>
  <c r="AB549" i="59"/>
  <c r="AB503" i="59" s="1"/>
  <c r="AD686" i="59"/>
  <c r="AC719" i="59"/>
  <c r="AC673" i="59" s="1"/>
  <c r="Z904" i="59"/>
  <c r="W31" i="59"/>
  <c r="AF796" i="59"/>
  <c r="AB797" i="59"/>
  <c r="AA830" i="59"/>
  <c r="AA784" i="59" s="1"/>
  <c r="AA449" i="59"/>
  <c r="AB446" i="59" s="1"/>
  <c r="AH685" i="59"/>
  <c r="T504" i="59"/>
  <c r="U501" i="59" s="1"/>
  <c r="AA774" i="59"/>
  <c r="AA728" i="59" s="1"/>
  <c r="AH460" i="59"/>
  <c r="X39" i="59"/>
  <c r="W180" i="59"/>
  <c r="W125" i="59"/>
  <c r="Z905" i="59" l="1"/>
  <c r="AA902" i="59" s="1"/>
  <c r="AA785" i="59"/>
  <c r="AB782" i="59" s="1"/>
  <c r="AD840" i="59"/>
  <c r="AE837" i="59" s="1"/>
  <c r="AA729" i="59"/>
  <c r="AB726" i="59" s="1"/>
  <c r="AB449" i="59"/>
  <c r="AC446" i="59" s="1"/>
  <c r="AC674" i="59"/>
  <c r="AD671" i="59" s="1"/>
  <c r="Z560" i="59"/>
  <c r="AA557" i="59" s="1"/>
  <c r="AB774" i="59"/>
  <c r="AB728" i="59" s="1"/>
  <c r="AG796" i="59"/>
  <c r="AE686" i="59"/>
  <c r="AD719" i="59"/>
  <c r="AD673" i="59" s="1"/>
  <c r="AC549" i="59"/>
  <c r="AC503" i="59" s="1"/>
  <c r="AD461" i="59"/>
  <c r="AC494" i="59"/>
  <c r="AC448" i="59" s="1"/>
  <c r="AI685" i="59"/>
  <c r="X31" i="59"/>
  <c r="AB572" i="59"/>
  <c r="AA605" i="59"/>
  <c r="AA559" i="59" s="1"/>
  <c r="Y39" i="59"/>
  <c r="X125" i="59"/>
  <c r="X180" i="59"/>
  <c r="AI460" i="59"/>
  <c r="AE571" i="59"/>
  <c r="AE885" i="59"/>
  <c r="AE839" i="59" s="1"/>
  <c r="AF851" i="59"/>
  <c r="AA904" i="59"/>
  <c r="AC797" i="59"/>
  <c r="AB830" i="59"/>
  <c r="AB784" i="59" s="1"/>
  <c r="V922" i="59" l="1"/>
  <c r="V923" i="59" s="1"/>
  <c r="W920" i="59" s="1"/>
  <c r="U926" i="59"/>
  <c r="U927" i="59" s="1"/>
  <c r="U504" i="59"/>
  <c r="V501" i="59" s="1"/>
  <c r="AB785" i="59"/>
  <c r="AC782" i="59" s="1"/>
  <c r="AA905" i="59"/>
  <c r="AB902" i="59" s="1"/>
  <c r="AE840" i="59"/>
  <c r="AF837" i="59" s="1"/>
  <c r="AA560" i="59"/>
  <c r="AB557" i="59" s="1"/>
  <c r="AC449" i="59"/>
  <c r="AD446" i="59" s="1"/>
  <c r="AD674" i="59"/>
  <c r="AE671" i="59" s="1"/>
  <c r="AF885" i="59"/>
  <c r="AF839" i="59" s="1"/>
  <c r="AG851" i="59"/>
  <c r="AF571" i="59"/>
  <c r="AC572" i="59"/>
  <c r="AB605" i="59"/>
  <c r="AB559" i="59" s="1"/>
  <c r="Y31" i="59"/>
  <c r="AE461" i="59"/>
  <c r="AD494" i="59"/>
  <c r="AD448" i="59" s="1"/>
  <c r="AB904" i="59"/>
  <c r="AC774" i="59"/>
  <c r="AC728" i="59" s="1"/>
  <c r="AD797" i="59"/>
  <c r="AC830" i="59"/>
  <c r="AC784" i="59" s="1"/>
  <c r="AJ460" i="59"/>
  <c r="Z39" i="59"/>
  <c r="Y125" i="59"/>
  <c r="Y180" i="59"/>
  <c r="AJ685" i="59"/>
  <c r="AF686" i="59"/>
  <c r="AE719" i="59"/>
  <c r="AE673" i="59" s="1"/>
  <c r="AH796" i="59"/>
  <c r="AD549" i="59"/>
  <c r="AD503" i="59" s="1"/>
  <c r="AB729" i="59"/>
  <c r="AC726" i="59" s="1"/>
  <c r="W922" i="59" l="1"/>
  <c r="W923" i="59" s="1"/>
  <c r="X920" i="59" s="1"/>
  <c r="X923" i="59" s="1"/>
  <c r="Y920" i="59" s="1"/>
  <c r="Y923" i="59" s="1"/>
  <c r="Z920" i="59" s="1"/>
  <c r="Z923" i="59" s="1"/>
  <c r="AA920" i="59" s="1"/>
  <c r="AA923" i="59" s="1"/>
  <c r="AB920" i="59" s="1"/>
  <c r="AB925" i="59" s="1"/>
  <c r="U58" i="60"/>
  <c r="U124" i="60" s="1"/>
  <c r="U156" i="60"/>
  <c r="AC785" i="59"/>
  <c r="AD782" i="59" s="1"/>
  <c r="AB905" i="59"/>
  <c r="AC902" i="59" s="1"/>
  <c r="AF840" i="59"/>
  <c r="AG837" i="59" s="1"/>
  <c r="AD449" i="59"/>
  <c r="AE446" i="59" s="1"/>
  <c r="AE674" i="59"/>
  <c r="AF671" i="59" s="1"/>
  <c r="AC729" i="59"/>
  <c r="AD726" i="59" s="1"/>
  <c r="AI796" i="59"/>
  <c r="AA39" i="59"/>
  <c r="Z125" i="59"/>
  <c r="Z180" i="59"/>
  <c r="AE797" i="59"/>
  <c r="AD830" i="59"/>
  <c r="AD784" i="59" s="1"/>
  <c r="AF461" i="59"/>
  <c r="AE494" i="59"/>
  <c r="AE448" i="59" s="1"/>
  <c r="Z31" i="59"/>
  <c r="AK460" i="59"/>
  <c r="AG885" i="59"/>
  <c r="AG839" i="59" s="1"/>
  <c r="AH851" i="59"/>
  <c r="AK685" i="59"/>
  <c r="AC904" i="59"/>
  <c r="AD572" i="59"/>
  <c r="AC605" i="59"/>
  <c r="AC559" i="59" s="1"/>
  <c r="AB560" i="59"/>
  <c r="AC557" i="59" s="1"/>
  <c r="AE549" i="59"/>
  <c r="AE503" i="59" s="1"/>
  <c r="AG686" i="59"/>
  <c r="AF719" i="59"/>
  <c r="AF673" i="59" s="1"/>
  <c r="AD774" i="59"/>
  <c r="AD728" i="59" s="1"/>
  <c r="V926" i="59"/>
  <c r="V927" i="59" s="1"/>
  <c r="AG571" i="59"/>
  <c r="AD785" i="59" l="1"/>
  <c r="AE782" i="59" s="1"/>
  <c r="AC905" i="59"/>
  <c r="AD902" i="59" s="1"/>
  <c r="AG840" i="59"/>
  <c r="AH837" i="59" s="1"/>
  <c r="AD904" i="59"/>
  <c r="AH571" i="59"/>
  <c r="AC560" i="59"/>
  <c r="AD557" i="59" s="1"/>
  <c r="AD729" i="59"/>
  <c r="AE726" i="59" s="1"/>
  <c r="AL460" i="59"/>
  <c r="AB39" i="59"/>
  <c r="AA180" i="59"/>
  <c r="AA125" i="59"/>
  <c r="V504" i="59"/>
  <c r="W501" i="59" s="1"/>
  <c r="AE774" i="59"/>
  <c r="AE728" i="59" s="1"/>
  <c r="AH686" i="59"/>
  <c r="AG719" i="59"/>
  <c r="AG673" i="59" s="1"/>
  <c r="AL685" i="59"/>
  <c r="AA31" i="59"/>
  <c r="AJ796" i="59"/>
  <c r="V58" i="60"/>
  <c r="V124" i="60" s="1"/>
  <c r="V156" i="60"/>
  <c r="AF549" i="59"/>
  <c r="AF503" i="59" s="1"/>
  <c r="AE572" i="59"/>
  <c r="AD605" i="59"/>
  <c r="AD559" i="59" s="1"/>
  <c r="AH885" i="59"/>
  <c r="AH839" i="59" s="1"/>
  <c r="AI851" i="59"/>
  <c r="AF674" i="59"/>
  <c r="AG671" i="59" s="1"/>
  <c r="AG461" i="59"/>
  <c r="AF494" i="59"/>
  <c r="AF448" i="59" s="1"/>
  <c r="AF797" i="59"/>
  <c r="AE830" i="59"/>
  <c r="AE784" i="59" s="1"/>
  <c r="AE449" i="59"/>
  <c r="AF446" i="59" s="1"/>
  <c r="AH840" i="59" l="1"/>
  <c r="AI837" i="59" s="1"/>
  <c r="AE785" i="59"/>
  <c r="AF782" i="59" s="1"/>
  <c r="AD905" i="59"/>
  <c r="AE902" i="59" s="1"/>
  <c r="AG674" i="59"/>
  <c r="AH671" i="59" s="1"/>
  <c r="AF449" i="59"/>
  <c r="AG446" i="59" s="1"/>
  <c r="AF774" i="59"/>
  <c r="AF728" i="59" s="1"/>
  <c r="AI571" i="59"/>
  <c r="AG797" i="59"/>
  <c r="AF830" i="59"/>
  <c r="AF784" i="59" s="1"/>
  <c r="AF572" i="59"/>
  <c r="AE605" i="59"/>
  <c r="AE559" i="59" s="1"/>
  <c r="W504" i="59"/>
  <c r="X501" i="59" s="1"/>
  <c r="AE729" i="59"/>
  <c r="AF726" i="59" s="1"/>
  <c r="AD560" i="59"/>
  <c r="AE557" i="59" s="1"/>
  <c r="AI885" i="59"/>
  <c r="AI839" i="59" s="1"/>
  <c r="AJ851" i="59"/>
  <c r="AG549" i="59"/>
  <c r="AG503" i="59" s="1"/>
  <c r="AB31" i="59"/>
  <c r="AI686" i="59"/>
  <c r="AH719" i="59"/>
  <c r="AH673" i="59" s="1"/>
  <c r="AC39" i="59"/>
  <c r="AB125" i="59"/>
  <c r="AB180" i="59"/>
  <c r="AH461" i="59"/>
  <c r="AG494" i="59"/>
  <c r="AG448" i="59" s="1"/>
  <c r="AK796" i="59"/>
  <c r="AM685" i="59"/>
  <c r="AE904" i="59"/>
  <c r="AM460" i="59"/>
  <c r="AI840" i="59" l="1"/>
  <c r="AJ837" i="59" s="1"/>
  <c r="AF785" i="59"/>
  <c r="AG782" i="59" s="1"/>
  <c r="AE905" i="59"/>
  <c r="AF902" i="59" s="1"/>
  <c r="AH674" i="59"/>
  <c r="AI671" i="59" s="1"/>
  <c r="AE560" i="59"/>
  <c r="AF557" i="59" s="1"/>
  <c r="AF729" i="59"/>
  <c r="AG726" i="59" s="1"/>
  <c r="AD39" i="59"/>
  <c r="AC125" i="59"/>
  <c r="AC180" i="59"/>
  <c r="AJ686" i="59"/>
  <c r="AI719" i="59"/>
  <c r="AI673" i="59" s="1"/>
  <c r="AC31" i="59"/>
  <c r="AJ885" i="59"/>
  <c r="AJ839" i="59" s="1"/>
  <c r="AK851" i="59"/>
  <c r="AL796" i="59"/>
  <c r="AG449" i="59"/>
  <c r="AH446" i="59" s="1"/>
  <c r="AH797" i="59"/>
  <c r="AG830" i="59"/>
  <c r="AG784" i="59" s="1"/>
  <c r="AJ571" i="59"/>
  <c r="AF904" i="59"/>
  <c r="AN460" i="59"/>
  <c r="AN685" i="59"/>
  <c r="AI461" i="59"/>
  <c r="AH494" i="59"/>
  <c r="AH448" i="59" s="1"/>
  <c r="AG774" i="59"/>
  <c r="AG728" i="59" s="1"/>
  <c r="AH549" i="59"/>
  <c r="AH503" i="59" s="1"/>
  <c r="X504" i="59"/>
  <c r="Y501" i="59" s="1"/>
  <c r="AG572" i="59"/>
  <c r="AF605" i="59"/>
  <c r="AF559" i="59" s="1"/>
  <c r="AJ840" i="59" l="1"/>
  <c r="AK837" i="59" s="1"/>
  <c r="AG785" i="59"/>
  <c r="AH782" i="59" s="1"/>
  <c r="AF905" i="59"/>
  <c r="AG902" i="59" s="1"/>
  <c r="AF560" i="59"/>
  <c r="AG557" i="59" s="1"/>
  <c r="AI674" i="59"/>
  <c r="AJ671" i="59" s="1"/>
  <c r="AG904" i="59"/>
  <c r="AG729" i="59"/>
  <c r="AH726" i="59" s="1"/>
  <c r="Y504" i="59"/>
  <c r="Z501" i="59" s="1"/>
  <c r="AK571" i="59"/>
  <c r="AK686" i="59"/>
  <c r="AJ719" i="59"/>
  <c r="AJ673" i="59" s="1"/>
  <c r="AJ461" i="59"/>
  <c r="AI494" i="59"/>
  <c r="AI448" i="59" s="1"/>
  <c r="AH449" i="59"/>
  <c r="AI446" i="59" s="1"/>
  <c r="AM796" i="59"/>
  <c r="AD31" i="59"/>
  <c r="AH572" i="59"/>
  <c r="AG605" i="59"/>
  <c r="AG559" i="59" s="1"/>
  <c r="AI549" i="59"/>
  <c r="AI503" i="59" s="1"/>
  <c r="AH774" i="59"/>
  <c r="AH728" i="59" s="1"/>
  <c r="AI797" i="59"/>
  <c r="AH830" i="59"/>
  <c r="AH784" i="59" s="1"/>
  <c r="AK885" i="59"/>
  <c r="AK839" i="59" s="1"/>
  <c r="AL851" i="59"/>
  <c r="AE39" i="59"/>
  <c r="AD180" i="59"/>
  <c r="AD125" i="59"/>
  <c r="AK840" i="59" l="1"/>
  <c r="AL837" i="59" s="1"/>
  <c r="AH785" i="59"/>
  <c r="AI782" i="59" s="1"/>
  <c r="AG905" i="59"/>
  <c r="AH902" i="59" s="1"/>
  <c r="AI449" i="59"/>
  <c r="AJ446" i="59" s="1"/>
  <c r="AH904" i="59"/>
  <c r="AF39" i="59"/>
  <c r="AE125" i="59"/>
  <c r="AE180" i="59"/>
  <c r="AI774" i="59"/>
  <c r="AI728" i="59" s="1"/>
  <c r="AL686" i="59"/>
  <c r="AK719" i="59"/>
  <c r="AK673" i="59" s="1"/>
  <c r="Z504" i="59"/>
  <c r="AA501" i="59" s="1"/>
  <c r="AJ674" i="59"/>
  <c r="AK671" i="59" s="1"/>
  <c r="AJ797" i="59"/>
  <c r="AI830" i="59"/>
  <c r="AI784" i="59" s="1"/>
  <c r="AI572" i="59"/>
  <c r="AH605" i="59"/>
  <c r="AH559" i="59" s="1"/>
  <c r="AN796" i="59"/>
  <c r="AK461" i="59"/>
  <c r="AJ494" i="59"/>
  <c r="AJ448" i="59" s="1"/>
  <c r="AL571" i="59"/>
  <c r="AL885" i="59"/>
  <c r="AL839" i="59" s="1"/>
  <c r="AM851" i="59"/>
  <c r="AJ549" i="59"/>
  <c r="AJ503" i="59" s="1"/>
  <c r="AE31" i="59"/>
  <c r="AH729" i="59"/>
  <c r="AI726" i="59" s="1"/>
  <c r="AG560" i="59"/>
  <c r="AH557" i="59" s="1"/>
  <c r="AL840" i="59" l="1"/>
  <c r="AM837" i="59" s="1"/>
  <c r="AI785" i="59"/>
  <c r="AJ782" i="59" s="1"/>
  <c r="AH905" i="59"/>
  <c r="AI902" i="59" s="1"/>
  <c r="AJ449" i="59"/>
  <c r="AK446" i="59" s="1"/>
  <c r="AI729" i="59"/>
  <c r="AJ726" i="59" s="1"/>
  <c r="AH560" i="59"/>
  <c r="AI557" i="59" s="1"/>
  <c r="AL461" i="59"/>
  <c r="AK494" i="59"/>
  <c r="AK448" i="59" s="1"/>
  <c r="AJ572" i="59"/>
  <c r="AI605" i="59"/>
  <c r="AI559" i="59" s="1"/>
  <c r="AK674" i="59"/>
  <c r="AL671" i="59" s="1"/>
  <c r="AF31" i="59"/>
  <c r="AI904" i="59"/>
  <c r="AG39" i="59"/>
  <c r="AF125" i="59"/>
  <c r="AF180" i="59"/>
  <c r="AK549" i="59"/>
  <c r="AK503" i="59" s="1"/>
  <c r="AM885" i="59"/>
  <c r="AM839" i="59" s="1"/>
  <c r="AN851" i="59"/>
  <c r="AN885" i="59" s="1"/>
  <c r="AN839" i="59" s="1"/>
  <c r="AJ774" i="59"/>
  <c r="AJ728" i="59" s="1"/>
  <c r="AM571" i="59"/>
  <c r="AK797" i="59"/>
  <c r="AJ830" i="59"/>
  <c r="AJ784" i="59" s="1"/>
  <c r="AM686" i="59"/>
  <c r="AL719" i="59"/>
  <c r="AL673" i="59" s="1"/>
  <c r="AM840" i="59" l="1"/>
  <c r="AN837" i="59" s="1"/>
  <c r="AN840" i="59" s="1"/>
  <c r="AB922" i="59"/>
  <c r="AB923" i="59" s="1"/>
  <c r="AC920" i="59" s="1"/>
  <c r="AJ785" i="59"/>
  <c r="AK782" i="59" s="1"/>
  <c r="AI905" i="59"/>
  <c r="AJ902" i="59" s="1"/>
  <c r="AI560" i="59"/>
  <c r="AJ557" i="59" s="1"/>
  <c r="F839" i="59"/>
  <c r="AL797" i="59"/>
  <c r="AK830" i="59"/>
  <c r="AK784" i="59" s="1"/>
  <c r="AN571" i="59"/>
  <c r="AJ904" i="59"/>
  <c r="AK774" i="59"/>
  <c r="AK728" i="59" s="1"/>
  <c r="AL549" i="59"/>
  <c r="AL503" i="59" s="1"/>
  <c r="AL674" i="59"/>
  <c r="AM671" i="59" s="1"/>
  <c r="AK572" i="59"/>
  <c r="AJ605" i="59"/>
  <c r="AJ559" i="59" s="1"/>
  <c r="AA926" i="59"/>
  <c r="AA927" i="59" s="1"/>
  <c r="AM461" i="59"/>
  <c r="AL494" i="59"/>
  <c r="AL448" i="59" s="1"/>
  <c r="AN686" i="59"/>
  <c r="AN719" i="59" s="1"/>
  <c r="AN673" i="59" s="1"/>
  <c r="AM719" i="59"/>
  <c r="AM673" i="59" s="1"/>
  <c r="AJ729" i="59"/>
  <c r="AK726" i="59" s="1"/>
  <c r="AH39" i="59"/>
  <c r="AG125" i="59"/>
  <c r="AG180" i="59"/>
  <c r="AG31" i="59"/>
  <c r="AK449" i="59"/>
  <c r="AL446" i="59" s="1"/>
  <c r="AK785" i="59" l="1"/>
  <c r="AL782" i="59" s="1"/>
  <c r="AJ905" i="59"/>
  <c r="AK902" i="59" s="1"/>
  <c r="AK729" i="59"/>
  <c r="AL726" i="59" s="1"/>
  <c r="AK904" i="59"/>
  <c r="AA58" i="60"/>
  <c r="AA124" i="60" s="1"/>
  <c r="AA156" i="60"/>
  <c r="AN461" i="59"/>
  <c r="AN494" i="59" s="1"/>
  <c r="AN448" i="59" s="1"/>
  <c r="AM494" i="59"/>
  <c r="AM448" i="59" s="1"/>
  <c r="AL449" i="59"/>
  <c r="AM446" i="59" s="1"/>
  <c r="AH31" i="59"/>
  <c r="AL572" i="59"/>
  <c r="AK605" i="59"/>
  <c r="AK559" i="59" s="1"/>
  <c r="AA504" i="59"/>
  <c r="AB501" i="59" s="1"/>
  <c r="AM674" i="59"/>
  <c r="AN671" i="59" s="1"/>
  <c r="AN674" i="59" s="1"/>
  <c r="AI39" i="59"/>
  <c r="AH180" i="59"/>
  <c r="AH125" i="59"/>
  <c r="F673" i="59"/>
  <c r="AM549" i="59"/>
  <c r="AM503" i="59" s="1"/>
  <c r="AN549" i="59"/>
  <c r="AN503" i="59" s="1"/>
  <c r="AL774" i="59"/>
  <c r="AL728" i="59" s="1"/>
  <c r="AJ560" i="59"/>
  <c r="AK557" i="59" s="1"/>
  <c r="AM797" i="59"/>
  <c r="AL830" i="59"/>
  <c r="AL784" i="59" s="1"/>
  <c r="AL785" i="59" l="1"/>
  <c r="AM782" i="59" s="1"/>
  <c r="AK905" i="59"/>
  <c r="AL902" i="59" s="1"/>
  <c r="AK560" i="59"/>
  <c r="AL557" i="59" s="1"/>
  <c r="AM449" i="59"/>
  <c r="AN446" i="59" s="1"/>
  <c r="AN449" i="59" s="1"/>
  <c r="AL904" i="59"/>
  <c r="AJ39" i="59"/>
  <c r="AI125" i="59"/>
  <c r="AI180" i="59"/>
  <c r="AI31" i="59"/>
  <c r="AN797" i="59"/>
  <c r="AN830" i="59" s="1"/>
  <c r="AN784" i="59" s="1"/>
  <c r="AM830" i="59"/>
  <c r="AM784" i="59" s="1"/>
  <c r="AN774" i="59"/>
  <c r="AN728" i="59" s="1"/>
  <c r="AM774" i="59"/>
  <c r="AM728" i="59" s="1"/>
  <c r="AL729" i="59"/>
  <c r="AM726" i="59" s="1"/>
  <c r="F448" i="59"/>
  <c r="AM572" i="59"/>
  <c r="AL605" i="59"/>
  <c r="AL559" i="59" s="1"/>
  <c r="AC922" i="59" l="1"/>
  <c r="AC923" i="59" s="1"/>
  <c r="AD920" i="59" s="1"/>
  <c r="AD923" i="59" s="1"/>
  <c r="AE920" i="59" s="1"/>
  <c r="AE923" i="59" s="1"/>
  <c r="AF920" i="59" s="1"/>
  <c r="AF923" i="59" s="1"/>
  <c r="AG920" i="59" s="1"/>
  <c r="AB926" i="59"/>
  <c r="AB927" i="59" s="1"/>
  <c r="AB504" i="59"/>
  <c r="AC501" i="59" s="1"/>
  <c r="AM785" i="59"/>
  <c r="AN782" i="59" s="1"/>
  <c r="AN785" i="59" s="1"/>
  <c r="AL905" i="59"/>
  <c r="AM902" i="59" s="1"/>
  <c r="F784" i="59"/>
  <c r="AM904" i="59"/>
  <c r="AK39" i="59"/>
  <c r="AJ180" i="59"/>
  <c r="AJ125" i="59"/>
  <c r="AM729" i="59"/>
  <c r="AN726" i="59" s="1"/>
  <c r="AN729" i="59" s="1"/>
  <c r="AN572" i="59"/>
  <c r="AN605" i="59" s="1"/>
  <c r="AN559" i="59" s="1"/>
  <c r="AM605" i="59"/>
  <c r="AM559" i="59" s="1"/>
  <c r="AL560" i="59"/>
  <c r="AM557" i="59" s="1"/>
  <c r="F728" i="59"/>
  <c r="AN904" i="59"/>
  <c r="AJ31" i="59"/>
  <c r="AC504" i="59" l="1"/>
  <c r="AD501" i="59" s="1"/>
  <c r="AD504" i="59" s="1"/>
  <c r="AE501" i="59" s="1"/>
  <c r="AB156" i="60"/>
  <c r="AB58" i="60"/>
  <c r="AB124" i="60" s="1"/>
  <c r="AM905" i="59"/>
  <c r="AN902" i="59" s="1"/>
  <c r="AN905" i="59" s="1"/>
  <c r="F904" i="59"/>
  <c r="AM560" i="59"/>
  <c r="AN557" i="59" s="1"/>
  <c r="AN560" i="59" s="1"/>
  <c r="AL39" i="59"/>
  <c r="AK180" i="59"/>
  <c r="AK125" i="59"/>
  <c r="F559" i="59"/>
  <c r="AK31" i="59"/>
  <c r="AL31" i="59" l="1"/>
  <c r="AE504" i="59"/>
  <c r="AF501" i="59" s="1"/>
  <c r="AM39" i="59"/>
  <c r="AL180" i="59"/>
  <c r="AL125" i="59"/>
  <c r="AN39" i="59" l="1"/>
  <c r="AM180" i="59"/>
  <c r="AM125" i="59"/>
  <c r="AM31" i="59"/>
  <c r="AG922" i="59" l="1"/>
  <c r="AG923" i="59" s="1"/>
  <c r="AH920" i="59" s="1"/>
  <c r="AH923" i="59" s="1"/>
  <c r="AI920" i="59" s="1"/>
  <c r="AN31" i="59"/>
  <c r="AF926" i="59"/>
  <c r="AN180" i="59"/>
  <c r="AN125" i="59"/>
  <c r="AI923" i="59" l="1"/>
  <c r="AJ920" i="59" s="1"/>
  <c r="AI925" i="59"/>
  <c r="AK27" i="68"/>
  <c r="AF927" i="59"/>
  <c r="AF504" i="59"/>
  <c r="AG501" i="59" s="1"/>
  <c r="AF58" i="60" l="1"/>
  <c r="AF124" i="60" s="1"/>
  <c r="AF156" i="60"/>
  <c r="AG504" i="59"/>
  <c r="AH501" i="59" s="1"/>
  <c r="AH504" i="59" l="1"/>
  <c r="AI501" i="59" s="1"/>
  <c r="AJ922" i="59" l="1"/>
  <c r="AJ923" i="59" s="1"/>
  <c r="AK920" i="59" s="1"/>
  <c r="AK923" i="59" s="1"/>
  <c r="AL920" i="59" s="1"/>
  <c r="AI926" i="59"/>
  <c r="AI927" i="59" s="1"/>
  <c r="AI504" i="59"/>
  <c r="AJ501" i="59" s="1"/>
  <c r="AJ504" i="59" s="1"/>
  <c r="AK501" i="59" s="1"/>
  <c r="AI58" i="60" l="1"/>
  <c r="AI124" i="60" s="1"/>
  <c r="AI156" i="60"/>
  <c r="AL922" i="59" l="1"/>
  <c r="AL923" i="59" s="1"/>
  <c r="AM920" i="59" s="1"/>
  <c r="AM923" i="59" s="1"/>
  <c r="AN920" i="59" s="1"/>
  <c r="AN923" i="59" s="1"/>
  <c r="AK926" i="59"/>
  <c r="F925" i="59"/>
  <c r="AK927" i="59" l="1"/>
  <c r="F926" i="59"/>
  <c r="F503" i="59"/>
  <c r="AK504" i="59"/>
  <c r="AL501" i="59" s="1"/>
  <c r="AL504" i="59" l="1"/>
  <c r="AM501" i="59" s="1"/>
  <c r="AK156" i="60"/>
  <c r="F156" i="60" s="1"/>
  <c r="AK58" i="60"/>
  <c r="AK124" i="60" s="1"/>
  <c r="F124" i="60" s="1"/>
  <c r="F927" i="59"/>
  <c r="AM504" i="59" l="1"/>
  <c r="AN501" i="59" s="1"/>
  <c r="F58" i="60"/>
  <c r="AN504" i="59" l="1"/>
  <c r="G96" i="59" l="1"/>
  <c r="G97" i="59" s="1"/>
  <c r="G108" i="59"/>
  <c r="G111" i="59" s="1"/>
  <c r="F111" i="59" l="1"/>
  <c r="D210" i="24" l="1"/>
  <c r="F214" i="24" l="1"/>
  <c r="I300" i="59" s="1"/>
  <c r="I329" i="59" s="1"/>
  <c r="D214" i="24"/>
  <c r="G300" i="59" s="1"/>
  <c r="G329" i="59" s="1"/>
  <c r="E214" i="24"/>
  <c r="H300" i="59" s="1"/>
  <c r="H329" i="59" s="1"/>
  <c r="G214" i="24"/>
  <c r="G36" i="60" l="1"/>
  <c r="G350" i="59"/>
  <c r="K300" i="59"/>
  <c r="K329" i="59" s="1"/>
  <c r="S300" i="59"/>
  <c r="S329" i="59" s="1"/>
  <c r="AA300" i="59"/>
  <c r="AA329" i="59" s="1"/>
  <c r="AJ300" i="59"/>
  <c r="AJ329" i="59" s="1"/>
  <c r="J300" i="59"/>
  <c r="L300" i="59"/>
  <c r="L329" i="59" s="1"/>
  <c r="T300" i="59"/>
  <c r="T329" i="59" s="1"/>
  <c r="AB300" i="59"/>
  <c r="AB329" i="59" s="1"/>
  <c r="AI300" i="59"/>
  <c r="AI329" i="59" s="1"/>
  <c r="M300" i="59"/>
  <c r="M329" i="59" s="1"/>
  <c r="U300" i="59"/>
  <c r="U329" i="59" s="1"/>
  <c r="AC300" i="59"/>
  <c r="AC329" i="59" s="1"/>
  <c r="Z300" i="59"/>
  <c r="Z329" i="59" s="1"/>
  <c r="N300" i="59"/>
  <c r="N329" i="59" s="1"/>
  <c r="V300" i="59"/>
  <c r="V329" i="59" s="1"/>
  <c r="AD300" i="59"/>
  <c r="AD329" i="59" s="1"/>
  <c r="P300" i="59"/>
  <c r="P329" i="59" s="1"/>
  <c r="W300" i="59"/>
  <c r="W329" i="59" s="1"/>
  <c r="AE300" i="59"/>
  <c r="AE329" i="59" s="1"/>
  <c r="O300" i="59"/>
  <c r="O329" i="59" s="1"/>
  <c r="X300" i="59"/>
  <c r="X329" i="59" s="1"/>
  <c r="AF300" i="59"/>
  <c r="AF329" i="59" s="1"/>
  <c r="AH300" i="59"/>
  <c r="AH329" i="59" s="1"/>
  <c r="Q300" i="59"/>
  <c r="Q329" i="59" s="1"/>
  <c r="Y300" i="59"/>
  <c r="Y329" i="59" s="1"/>
  <c r="AG300" i="59"/>
  <c r="AG329" i="59" s="1"/>
  <c r="R300" i="59"/>
  <c r="R329" i="59" s="1"/>
  <c r="H350" i="59"/>
  <c r="H36" i="60"/>
  <c r="I36" i="60"/>
  <c r="I350" i="59"/>
  <c r="Q350" i="59" l="1"/>
  <c r="Q36" i="60"/>
  <c r="T36" i="60"/>
  <c r="T350" i="59"/>
  <c r="AF350" i="59"/>
  <c r="AF36" i="60"/>
  <c r="N350" i="59"/>
  <c r="N36" i="60"/>
  <c r="L350" i="59"/>
  <c r="L36" i="60"/>
  <c r="X350" i="59"/>
  <c r="X36" i="60"/>
  <c r="Z350" i="59"/>
  <c r="Z36" i="60"/>
  <c r="J329" i="59"/>
  <c r="F329" i="59" s="1"/>
  <c r="F300" i="59"/>
  <c r="AH350" i="59"/>
  <c r="AH36" i="60"/>
  <c r="O36" i="60"/>
  <c r="O350" i="59"/>
  <c r="AC350" i="59"/>
  <c r="AC36" i="60"/>
  <c r="AJ350" i="59"/>
  <c r="AJ36" i="60"/>
  <c r="AD350" i="59"/>
  <c r="AD36" i="60"/>
  <c r="R350" i="59"/>
  <c r="R36" i="60"/>
  <c r="AE36" i="60"/>
  <c r="AE350" i="59"/>
  <c r="U36" i="60"/>
  <c r="U350" i="59"/>
  <c r="AA36" i="60"/>
  <c r="AA350" i="59"/>
  <c r="AB350" i="59"/>
  <c r="AB36" i="60"/>
  <c r="AG36" i="60"/>
  <c r="AG350" i="59"/>
  <c r="W350" i="59"/>
  <c r="W36" i="60"/>
  <c r="M36" i="60"/>
  <c r="M350" i="59"/>
  <c r="S350" i="59"/>
  <c r="S36" i="60"/>
  <c r="V350" i="59"/>
  <c r="V36" i="60"/>
  <c r="Y350" i="59"/>
  <c r="Y36" i="60"/>
  <c r="P350" i="59"/>
  <c r="P36" i="60"/>
  <c r="AI350" i="59"/>
  <c r="AI36" i="60"/>
  <c r="K350" i="59"/>
  <c r="K36" i="60"/>
  <c r="J36" i="60" l="1"/>
  <c r="F36" i="60" s="1"/>
  <c r="J350" i="59"/>
  <c r="F350" i="59" s="1"/>
  <c r="D292" i="59" l="1"/>
  <c r="H294" i="59" l="1"/>
  <c r="H328" i="59" s="1"/>
  <c r="I294" i="59"/>
  <c r="I328" i="59" s="1"/>
  <c r="J294" i="59"/>
  <c r="J328" i="59" s="1"/>
  <c r="K294" i="59"/>
  <c r="K328" i="59" s="1"/>
  <c r="L294" i="59"/>
  <c r="L328" i="59" s="1"/>
  <c r="M294" i="59"/>
  <c r="M328" i="59" s="1"/>
  <c r="N294" i="59"/>
  <c r="N328" i="59" s="1"/>
  <c r="O294" i="59"/>
  <c r="O328" i="59" s="1"/>
  <c r="Q294" i="59"/>
  <c r="Q328" i="59" s="1"/>
  <c r="P294" i="59"/>
  <c r="P328" i="59" s="1"/>
  <c r="R294" i="59"/>
  <c r="R328" i="59" s="1"/>
  <c r="S294" i="59"/>
  <c r="S328" i="59" s="1"/>
  <c r="T294" i="59"/>
  <c r="T328" i="59" s="1"/>
  <c r="U294" i="59"/>
  <c r="U328" i="59" s="1"/>
  <c r="V294" i="59"/>
  <c r="V328" i="59" s="1"/>
  <c r="W294" i="59"/>
  <c r="W328" i="59" s="1"/>
  <c r="X294" i="59"/>
  <c r="X328" i="59" s="1"/>
  <c r="Y294" i="59"/>
  <c r="Y328" i="59" s="1"/>
  <c r="Z294" i="59"/>
  <c r="Z328" i="59" s="1"/>
  <c r="AA294" i="59"/>
  <c r="AA328" i="59" s="1"/>
  <c r="AB294" i="59"/>
  <c r="AB328" i="59" s="1"/>
  <c r="AC294" i="59"/>
  <c r="AC328" i="59" s="1"/>
  <c r="AD294" i="59"/>
  <c r="AD328" i="59" s="1"/>
  <c r="AE294" i="59"/>
  <c r="AE328" i="59" s="1"/>
  <c r="AF294" i="59"/>
  <c r="AF328" i="59" s="1"/>
  <c r="AG294" i="59"/>
  <c r="AG328" i="59" s="1"/>
  <c r="AH294" i="59"/>
  <c r="AH328" i="59" s="1"/>
  <c r="AI294" i="59"/>
  <c r="AI328" i="59" s="1"/>
  <c r="AJ294" i="59"/>
  <c r="AJ328" i="59" s="1"/>
  <c r="I49" i="24"/>
  <c r="J49" i="24"/>
  <c r="L407" i="59" l="1"/>
  <c r="L1010" i="59" s="1"/>
  <c r="L1035" i="59" s="1"/>
  <c r="I231" i="24"/>
  <c r="I232" i="24" s="1"/>
  <c r="M407" i="59"/>
  <c r="M1010" i="59" s="1"/>
  <c r="M1035" i="59" s="1"/>
  <c r="M1040" i="59" s="1"/>
  <c r="J231" i="24"/>
  <c r="J232" i="24" s="1"/>
  <c r="F328" i="59"/>
  <c r="AC349" i="59"/>
  <c r="AC35" i="60"/>
  <c r="AB35" i="60"/>
  <c r="AB349" i="59"/>
  <c r="K349" i="59"/>
  <c r="K35" i="60"/>
  <c r="O349" i="59"/>
  <c r="O35" i="60"/>
  <c r="V349" i="59"/>
  <c r="V35" i="60"/>
  <c r="U35" i="60"/>
  <c r="U349" i="59"/>
  <c r="T349" i="59"/>
  <c r="T35" i="60"/>
  <c r="AA349" i="59"/>
  <c r="AA35" i="60"/>
  <c r="AH35" i="60"/>
  <c r="AH349" i="59"/>
  <c r="J35" i="60"/>
  <c r="J349" i="59"/>
  <c r="AE35" i="60"/>
  <c r="AE349" i="59"/>
  <c r="AD349" i="59"/>
  <c r="AD35" i="60"/>
  <c r="M349" i="59"/>
  <c r="M35" i="60"/>
  <c r="AG349" i="59"/>
  <c r="AG35" i="60"/>
  <c r="Y349" i="59"/>
  <c r="Y35" i="60"/>
  <c r="P349" i="59"/>
  <c r="P35" i="60"/>
  <c r="I349" i="59"/>
  <c r="I35" i="60"/>
  <c r="W35" i="60"/>
  <c r="W349" i="59"/>
  <c r="N349" i="59"/>
  <c r="N35" i="60"/>
  <c r="AJ349" i="59"/>
  <c r="AJ35" i="60"/>
  <c r="L349" i="59"/>
  <c r="L35" i="60"/>
  <c r="AI35" i="60"/>
  <c r="AI349" i="59"/>
  <c r="S35" i="60"/>
  <c r="S349" i="59"/>
  <c r="Z35" i="60"/>
  <c r="Z349" i="59"/>
  <c r="R349" i="59"/>
  <c r="R35" i="60"/>
  <c r="AF349" i="59"/>
  <c r="AF35" i="60"/>
  <c r="X35" i="60"/>
  <c r="X349" i="59"/>
  <c r="Q349" i="59"/>
  <c r="Q35" i="60"/>
  <c r="F294" i="59"/>
  <c r="L412" i="59" l="1"/>
  <c r="L47" i="60" s="1"/>
  <c r="L49" i="60" s="1"/>
  <c r="L122" i="60" s="1"/>
  <c r="M412" i="59"/>
  <c r="M414" i="59" s="1"/>
  <c r="M310" i="59"/>
  <c r="M331" i="59" s="1"/>
  <c r="M352" i="59" s="1"/>
  <c r="M38" i="60" s="1"/>
  <c r="L310" i="59"/>
  <c r="L331" i="59" s="1"/>
  <c r="L352" i="59" s="1"/>
  <c r="L38" i="60" s="1"/>
  <c r="H35" i="60"/>
  <c r="F35" i="60" s="1"/>
  <c r="H349" i="59"/>
  <c r="L1040" i="59"/>
  <c r="M146" i="60"/>
  <c r="M153" i="60"/>
  <c r="M47" i="60" l="1"/>
  <c r="M49" i="60" s="1"/>
  <c r="M122" i="60" s="1"/>
  <c r="L414" i="59"/>
  <c r="L203" i="59" s="1"/>
  <c r="L205" i="59" s="1"/>
  <c r="L230" i="59" s="1"/>
  <c r="L47" i="73"/>
  <c r="F349" i="59"/>
  <c r="L30" i="68"/>
  <c r="L51" i="68"/>
  <c r="J6" i="80"/>
  <c r="M46" i="63"/>
  <c r="M203" i="59"/>
  <c r="M205" i="59" s="1"/>
  <c r="M230" i="59" s="1"/>
  <c r="L153" i="60"/>
  <c r="L146" i="60"/>
  <c r="M47" i="73" l="1"/>
  <c r="L46" i="63"/>
  <c r="M51" i="68"/>
  <c r="M62" i="68" s="1"/>
  <c r="K6" i="80"/>
  <c r="M30" i="68"/>
  <c r="L62" i="68"/>
  <c r="V60" i="63" l="1"/>
  <c r="V65" i="63" s="1"/>
  <c r="W60" i="63" l="1"/>
  <c r="W65" i="63" l="1"/>
  <c r="W67" i="63" s="1"/>
  <c r="W210" i="63" s="1"/>
  <c r="X60" i="63"/>
  <c r="X65" i="63" s="1"/>
  <c r="V67" i="63"/>
  <c r="V68" i="63" s="1"/>
  <c r="V52" i="60" s="1"/>
  <c r="V210" i="63" l="1"/>
  <c r="V76" i="63"/>
  <c r="V53" i="60"/>
  <c r="V54" i="60" s="1"/>
  <c r="V71" i="63"/>
  <c r="V1056" i="59"/>
  <c r="Y60" i="63"/>
  <c r="W68" i="63"/>
  <c r="W71" i="63"/>
  <c r="W53" i="60"/>
  <c r="U19" i="80" s="1"/>
  <c r="W76" i="63"/>
  <c r="W176" i="63" l="1"/>
  <c r="W244" i="63"/>
  <c r="W141" i="63"/>
  <c r="X67" i="63"/>
  <c r="X68" i="63" s="1"/>
  <c r="X52" i="60" s="1"/>
  <c r="T19" i="80"/>
  <c r="V151" i="60"/>
  <c r="V39" i="60"/>
  <c r="W151" i="60"/>
  <c r="W39" i="60"/>
  <c r="W52" i="60"/>
  <c r="V176" i="63"/>
  <c r="V244" i="63"/>
  <c r="V141" i="63"/>
  <c r="Y65" i="63"/>
  <c r="Z60" i="63"/>
  <c r="Z65" i="63" s="1"/>
  <c r="V212" i="63"/>
  <c r="W209" i="63" s="1"/>
  <c r="W220" i="63" s="1"/>
  <c r="V206" i="63"/>
  <c r="X210" i="63" l="1"/>
  <c r="X53" i="60"/>
  <c r="X54" i="60" s="1"/>
  <c r="X71" i="63"/>
  <c r="X76" i="63"/>
  <c r="W206" i="63"/>
  <c r="W219" i="63" s="1"/>
  <c r="AA60" i="63"/>
  <c r="W1056" i="59"/>
  <c r="W54" i="60"/>
  <c r="Y67" i="63"/>
  <c r="Y210" i="63" s="1"/>
  <c r="V219" i="63"/>
  <c r="X1056" i="59"/>
  <c r="Y68" i="63" l="1"/>
  <c r="Y52" i="60" s="1"/>
  <c r="Z67" i="63"/>
  <c r="Z210" i="63" s="1"/>
  <c r="W211" i="63"/>
  <c r="AA65" i="63"/>
  <c r="AA67" i="63" s="1"/>
  <c r="AA210" i="63" s="1"/>
  <c r="AB60" i="63"/>
  <c r="AB65" i="63" s="1"/>
  <c r="X176" i="63"/>
  <c r="X141" i="63"/>
  <c r="X244" i="63"/>
  <c r="Y76" i="63"/>
  <c r="Y71" i="63"/>
  <c r="Y53" i="60"/>
  <c r="W19" i="80" s="1"/>
  <c r="X39" i="60"/>
  <c r="X151" i="60"/>
  <c r="V19" i="80"/>
  <c r="Y1056" i="59" l="1"/>
  <c r="Y54" i="60"/>
  <c r="W273" i="63"/>
  <c r="W277" i="63" s="1"/>
  <c r="W212" i="63"/>
  <c r="X209" i="63" s="1"/>
  <c r="X220" i="63" s="1"/>
  <c r="Y39" i="60"/>
  <c r="Y151" i="60"/>
  <c r="Y176" i="63"/>
  <c r="Y141" i="63"/>
  <c r="Y244" i="63"/>
  <c r="AA68" i="63"/>
  <c r="AA52" i="60" s="1"/>
  <c r="AA76" i="63"/>
  <c r="AA53" i="60"/>
  <c r="Y19" i="80" s="1"/>
  <c r="AA71" i="63"/>
  <c r="Z68" i="63"/>
  <c r="Z53" i="60"/>
  <c r="Z71" i="63"/>
  <c r="Z76" i="63"/>
  <c r="AC60" i="63"/>
  <c r="AA1056" i="59" l="1"/>
  <c r="AA54" i="60"/>
  <c r="Z176" i="63"/>
  <c r="Z244" i="63"/>
  <c r="Z141" i="63"/>
  <c r="X19" i="80"/>
  <c r="AC65" i="63"/>
  <c r="AC67" i="63" s="1"/>
  <c r="AC210" i="63" s="1"/>
  <c r="AD60" i="63"/>
  <c r="AA39" i="60"/>
  <c r="AA151" i="60"/>
  <c r="AB67" i="63"/>
  <c r="AB210" i="63" s="1"/>
  <c r="AA176" i="63"/>
  <c r="AA141" i="63"/>
  <c r="AA244" i="63"/>
  <c r="X206" i="63"/>
  <c r="W66" i="60"/>
  <c r="W77" i="63"/>
  <c r="Z151" i="60"/>
  <c r="Z39" i="60"/>
  <c r="Z52" i="60"/>
  <c r="AD65" i="63" l="1"/>
  <c r="AD67" i="63" s="1"/>
  <c r="AD210" i="63" s="1"/>
  <c r="AE60" i="63"/>
  <c r="X219" i="63"/>
  <c r="U10" i="80"/>
  <c r="W354" i="63"/>
  <c r="X211" i="63"/>
  <c r="Z1056" i="59"/>
  <c r="Z54" i="60"/>
  <c r="AB68" i="63"/>
  <c r="AB76" i="63"/>
  <c r="AB71" i="63"/>
  <c r="AB53" i="60"/>
  <c r="AC68" i="63"/>
  <c r="AC52" i="60" s="1"/>
  <c r="AC76" i="63"/>
  <c r="AC71" i="63"/>
  <c r="AC53" i="60"/>
  <c r="AA19" i="80" s="1"/>
  <c r="Z19" i="80" l="1"/>
  <c r="AE65" i="63"/>
  <c r="AE67" i="63" s="1"/>
  <c r="AE210" i="63" s="1"/>
  <c r="AF60" i="63"/>
  <c r="AB151" i="60"/>
  <c r="AB39" i="60"/>
  <c r="AD68" i="63"/>
  <c r="AD52" i="60" s="1"/>
  <c r="AD76" i="63"/>
  <c r="AD53" i="60"/>
  <c r="AB19" i="80" s="1"/>
  <c r="AD71" i="63"/>
  <c r="AC39" i="60"/>
  <c r="AC151" i="60"/>
  <c r="AB176" i="63"/>
  <c r="AB244" i="63"/>
  <c r="AB141" i="63"/>
  <c r="AC176" i="63"/>
  <c r="AC244" i="63"/>
  <c r="AC141" i="63"/>
  <c r="AB52" i="60"/>
  <c r="AC1056" i="59"/>
  <c r="AC54" i="60"/>
  <c r="X273" i="63"/>
  <c r="X277" i="63" s="1"/>
  <c r="X212" i="63"/>
  <c r="Y209" i="63" s="1"/>
  <c r="Y220" i="63" s="1"/>
  <c r="X77" i="63" l="1"/>
  <c r="X66" i="60"/>
  <c r="AD176" i="63"/>
  <c r="AD244" i="63"/>
  <c r="AD141" i="63"/>
  <c r="AD1056" i="59"/>
  <c r="AD54" i="60"/>
  <c r="AB1056" i="59"/>
  <c r="AB54" i="60"/>
  <c r="Y206" i="63"/>
  <c r="AD151" i="60"/>
  <c r="AD39" i="60"/>
  <c r="AF65" i="63"/>
  <c r="AF67" i="63" s="1"/>
  <c r="AF210" i="63" s="1"/>
  <c r="AG60" i="63"/>
  <c r="AE68" i="63"/>
  <c r="AE71" i="63"/>
  <c r="AE76" i="63"/>
  <c r="AE53" i="60"/>
  <c r="AE176" i="63" l="1"/>
  <c r="AE141" i="63"/>
  <c r="AE244" i="63"/>
  <c r="AE39" i="60"/>
  <c r="AE151" i="60"/>
  <c r="AE52" i="60"/>
  <c r="AG65" i="63"/>
  <c r="AG67" i="63" s="1"/>
  <c r="AG210" i="63" s="1"/>
  <c r="AH60" i="63"/>
  <c r="V10" i="80"/>
  <c r="X354" i="63"/>
  <c r="Y219" i="63"/>
  <c r="Y211" i="63"/>
  <c r="AC19" i="80"/>
  <c r="AF68" i="63"/>
  <c r="AF52" i="60" s="1"/>
  <c r="AF71" i="63"/>
  <c r="AF76" i="63"/>
  <c r="AF53" i="60"/>
  <c r="AD19" i="80" s="1"/>
  <c r="AF176" i="63" l="1"/>
  <c r="AF141" i="63"/>
  <c r="AF244" i="63"/>
  <c r="AE1056" i="59"/>
  <c r="AE54" i="60"/>
  <c r="AH65" i="63"/>
  <c r="AH67" i="63" s="1"/>
  <c r="AH210" i="63" s="1"/>
  <c r="AI60" i="63"/>
  <c r="AG68" i="63"/>
  <c r="AG52" i="60" s="1"/>
  <c r="AG71" i="63"/>
  <c r="AG76" i="63"/>
  <c r="AG53" i="60"/>
  <c r="AE19" i="80" s="1"/>
  <c r="Y273" i="63"/>
  <c r="Y277" i="63" s="1"/>
  <c r="Y212" i="63"/>
  <c r="Z209" i="63" s="1"/>
  <c r="Z220" i="63" s="1"/>
  <c r="AF151" i="60"/>
  <c r="AF39" i="60"/>
  <c r="AF1056" i="59"/>
  <c r="AF54" i="60"/>
  <c r="AG39" i="60" l="1"/>
  <c r="AG151" i="60"/>
  <c r="AG1056" i="59"/>
  <c r="AG54" i="60"/>
  <c r="Y66" i="60"/>
  <c r="Y77" i="63"/>
  <c r="Z206" i="63"/>
  <c r="AJ60" i="63"/>
  <c r="AI65" i="63"/>
  <c r="AI67" i="63" s="1"/>
  <c r="AI210" i="63" s="1"/>
  <c r="AG176" i="63"/>
  <c r="AG244" i="63"/>
  <c r="AG141" i="63"/>
  <c r="AH68" i="63"/>
  <c r="AH52" i="60" s="1"/>
  <c r="AH76" i="63"/>
  <c r="AH53" i="60"/>
  <c r="AF19" i="80" s="1"/>
  <c r="AH71" i="63"/>
  <c r="AI68" i="63" l="1"/>
  <c r="AI52" i="60" s="1"/>
  <c r="AI53" i="60"/>
  <c r="AG19" i="80" s="1"/>
  <c r="AI71" i="63"/>
  <c r="AI76" i="63"/>
  <c r="AH39" i="60"/>
  <c r="AH151" i="60"/>
  <c r="Z211" i="63"/>
  <c r="AH176" i="63"/>
  <c r="AH244" i="63"/>
  <c r="AH141" i="63"/>
  <c r="AH1056" i="59"/>
  <c r="AH54" i="60"/>
  <c r="Y354" i="63"/>
  <c r="W10" i="80"/>
  <c r="Z219" i="63"/>
  <c r="AJ65" i="63"/>
  <c r="AK60" i="63"/>
  <c r="Z273" i="63" l="1"/>
  <c r="Z277" i="63" s="1"/>
  <c r="Z212" i="63"/>
  <c r="AA209" i="63" s="1"/>
  <c r="AA220" i="63" s="1"/>
  <c r="AI176" i="63"/>
  <c r="AI141" i="63"/>
  <c r="AI244" i="63"/>
  <c r="AI151" i="60"/>
  <c r="AI39" i="60"/>
  <c r="AK65" i="63"/>
  <c r="AK67" i="63" s="1"/>
  <c r="AK210" i="63" s="1"/>
  <c r="AL60" i="63"/>
  <c r="AJ67" i="63"/>
  <c r="AJ68" i="63" s="1"/>
  <c r="AJ52" i="60" s="1"/>
  <c r="AI1056" i="59"/>
  <c r="AI54" i="60"/>
  <c r="AA206" i="63" l="1"/>
  <c r="AA219" i="63" s="1"/>
  <c r="AJ210" i="63"/>
  <c r="AJ71" i="63"/>
  <c r="AJ76" i="63"/>
  <c r="AJ53" i="60"/>
  <c r="AH19" i="80" s="1"/>
  <c r="AK68" i="63"/>
  <c r="AK52" i="60" s="1"/>
  <c r="AK76" i="63"/>
  <c r="AK71" i="63"/>
  <c r="AK53" i="60"/>
  <c r="AJ1056" i="59"/>
  <c r="AL65" i="63"/>
  <c r="AL67" i="63" s="1"/>
  <c r="AM60" i="63"/>
  <c r="Z77" i="63"/>
  <c r="Z66" i="60"/>
  <c r="F210" i="63" l="1"/>
  <c r="AK1056" i="59"/>
  <c r="AK54" i="60"/>
  <c r="AJ54" i="60"/>
  <c r="AM65" i="63"/>
  <c r="AM67" i="63" s="1"/>
  <c r="AN60" i="63"/>
  <c r="AN65" i="63" s="1"/>
  <c r="AA211" i="63"/>
  <c r="AJ39" i="60"/>
  <c r="AJ151" i="60"/>
  <c r="X10" i="80"/>
  <c r="Z354" i="63"/>
  <c r="AK39" i="60"/>
  <c r="AK40" i="60" s="1"/>
  <c r="AK117" i="60" s="1"/>
  <c r="AK151" i="60"/>
  <c r="AL68" i="63"/>
  <c r="AL52" i="60" s="1"/>
  <c r="AL71" i="63"/>
  <c r="AL53" i="60"/>
  <c r="AL76" i="63"/>
  <c r="AK176" i="63"/>
  <c r="AK141" i="63"/>
  <c r="AK244" i="63"/>
  <c r="AJ176" i="63"/>
  <c r="AJ141" i="63"/>
  <c r="AJ244" i="63"/>
  <c r="AL1056" i="59" l="1"/>
  <c r="AK48" i="73"/>
  <c r="AL39" i="60"/>
  <c r="AL40" i="60" s="1"/>
  <c r="AL117" i="60" s="1"/>
  <c r="AL151" i="60"/>
  <c r="AA273" i="63"/>
  <c r="AA277" i="63" s="1"/>
  <c r="AA212" i="63"/>
  <c r="AB209" i="63" s="1"/>
  <c r="AB220" i="63" s="1"/>
  <c r="AL141" i="63"/>
  <c r="AL176" i="63"/>
  <c r="AL244" i="63"/>
  <c r="AN67" i="63"/>
  <c r="AN68" i="63" s="1"/>
  <c r="AL54" i="60"/>
  <c r="AM68" i="63"/>
  <c r="AM52" i="60" s="1"/>
  <c r="AM76" i="63"/>
  <c r="AM71" i="63"/>
  <c r="AM53" i="60"/>
  <c r="AA77" i="63" l="1"/>
  <c r="AA66" i="60"/>
  <c r="AN71" i="63"/>
  <c r="AN76" i="63"/>
  <c r="AM1056" i="59"/>
  <c r="AM54" i="60"/>
  <c r="AB211" i="63"/>
  <c r="AB273" i="63" s="1"/>
  <c r="AB277" i="63" s="1"/>
  <c r="AB206" i="63"/>
  <c r="AB219" i="63" s="1"/>
  <c r="AM151" i="60"/>
  <c r="AM39" i="60"/>
  <c r="AM141" i="63"/>
  <c r="AM244" i="63"/>
  <c r="AM176" i="63"/>
  <c r="AL48" i="73"/>
  <c r="AB212" i="63" l="1"/>
  <c r="AC209" i="63" s="1"/>
  <c r="AN141" i="63"/>
  <c r="AN244" i="63"/>
  <c r="AN176" i="63"/>
  <c r="AM40" i="60"/>
  <c r="AM117" i="60" s="1"/>
  <c r="AM120" i="60" s="1"/>
  <c r="Y10" i="80"/>
  <c r="AA354" i="63"/>
  <c r="AB77" i="63"/>
  <c r="AB66" i="60"/>
  <c r="AC220" i="63" l="1"/>
  <c r="AC211" i="63" s="1"/>
  <c r="AC206" i="63"/>
  <c r="AC219" i="63" s="1"/>
  <c r="AM48" i="73"/>
  <c r="AM44" i="60"/>
  <c r="AB354" i="63"/>
  <c r="Z10" i="80"/>
  <c r="AC273" i="63" l="1"/>
  <c r="AC277" i="63" s="1"/>
  <c r="AC212" i="63"/>
  <c r="AD209" i="63" s="1"/>
  <c r="AD206" i="63" s="1"/>
  <c r="AD219" i="63" s="1"/>
  <c r="AM56" i="60"/>
  <c r="AM252" i="63"/>
  <c r="AM253" i="63" s="1"/>
  <c r="AD220" i="63" l="1"/>
  <c r="AD211" i="63" s="1"/>
  <c r="AC66" i="60"/>
  <c r="AC77" i="63"/>
  <c r="AM258" i="63"/>
  <c r="AD273" i="63" l="1"/>
  <c r="AD277" i="63" s="1"/>
  <c r="AD212" i="63"/>
  <c r="AE209" i="63" s="1"/>
  <c r="AC354" i="63"/>
  <c r="AA10" i="80"/>
  <c r="AE220" i="63" l="1"/>
  <c r="AE211" i="63" s="1"/>
  <c r="AE206" i="63"/>
  <c r="AE219" i="63" s="1"/>
  <c r="AD77" i="63"/>
  <c r="AD66" i="60"/>
  <c r="AB10" i="80" l="1"/>
  <c r="AD354" i="63"/>
  <c r="AE273" i="63"/>
  <c r="AE277" i="63" s="1"/>
  <c r="AE212" i="63"/>
  <c r="AF209" i="63" s="1"/>
  <c r="AF220" i="63" l="1"/>
  <c r="AF211" i="63" s="1"/>
  <c r="AF206" i="63"/>
  <c r="AF219" i="63" s="1"/>
  <c r="AE77" i="63"/>
  <c r="AE66" i="60"/>
  <c r="AC10" i="80" l="1"/>
  <c r="AE354" i="63"/>
  <c r="AF273" i="63"/>
  <c r="AF277" i="63" s="1"/>
  <c r="AF212" i="63"/>
  <c r="AG209" i="63" s="1"/>
  <c r="AF66" i="60" l="1"/>
  <c r="AF77" i="63"/>
  <c r="AG220" i="63"/>
  <c r="AG211" i="63" s="1"/>
  <c r="AG206" i="63"/>
  <c r="AG219" i="63" s="1"/>
  <c r="AG273" i="63" l="1"/>
  <c r="AG277" i="63" s="1"/>
  <c r="AG212" i="63"/>
  <c r="AH209" i="63" s="1"/>
  <c r="AD10" i="80"/>
  <c r="AF354" i="63"/>
  <c r="AH206" i="63" l="1"/>
  <c r="AH219" i="63" s="1"/>
  <c r="AH220" i="63"/>
  <c r="AH211" i="63" s="1"/>
  <c r="AH273" i="63" s="1"/>
  <c r="AH277" i="63" s="1"/>
  <c r="AG77" i="63"/>
  <c r="AG66" i="60"/>
  <c r="AH212" i="63" l="1"/>
  <c r="AI209" i="63" s="1"/>
  <c r="AI220" i="63" s="1"/>
  <c r="AH77" i="63"/>
  <c r="AH66" i="60"/>
  <c r="AE10" i="80"/>
  <c r="AG354" i="63"/>
  <c r="AI206" i="63" l="1"/>
  <c r="AI219" i="63" s="1"/>
  <c r="AF10" i="80"/>
  <c r="AH354" i="63"/>
  <c r="AI211" i="63"/>
  <c r="AI273" i="63" l="1"/>
  <c r="AI277" i="63" s="1"/>
  <c r="AI212" i="63"/>
  <c r="AJ209" i="63" s="1"/>
  <c r="AJ220" i="63" l="1"/>
  <c r="AJ206" i="63"/>
  <c r="AJ219" i="63" s="1"/>
  <c r="AI66" i="60"/>
  <c r="AI77" i="63"/>
  <c r="AI354" i="63" l="1"/>
  <c r="AG10" i="80"/>
  <c r="AJ211" i="63"/>
  <c r="F220" i="63"/>
  <c r="AJ273" i="63" l="1"/>
  <c r="AJ277" i="63" s="1"/>
  <c r="F211" i="63"/>
  <c r="AJ212" i="63"/>
  <c r="AK209" i="63" s="1"/>
  <c r="AK212" i="63" l="1"/>
  <c r="AL209" i="63" s="1"/>
  <c r="AK206" i="63"/>
  <c r="AJ66" i="60"/>
  <c r="AJ77" i="63"/>
  <c r="F97" i="59"/>
  <c r="AH10" i="80" l="1"/>
  <c r="AJ354" i="63"/>
  <c r="AK219" i="63"/>
  <c r="AL206" i="63"/>
  <c r="AL219" i="63" s="1"/>
  <c r="AL212" i="63"/>
  <c r="AM209" i="63" s="1"/>
  <c r="G119" i="59"/>
  <c r="F115" i="59"/>
  <c r="G16" i="60"/>
  <c r="AM206" i="63" l="1"/>
  <c r="AM212" i="63"/>
  <c r="AN209" i="63" s="1"/>
  <c r="G112" i="60"/>
  <c r="F112" i="60" s="1"/>
  <c r="F127" i="59"/>
  <c r="G70" i="73"/>
  <c r="G1028" i="59"/>
  <c r="AN206" i="63" l="1"/>
  <c r="AN219" i="63" s="1"/>
  <c r="AN212" i="63"/>
  <c r="AM219" i="63"/>
  <c r="G189" i="59"/>
  <c r="F185" i="59"/>
  <c r="F16" i="60"/>
  <c r="E62" i="66" s="1"/>
  <c r="G1030" i="59"/>
  <c r="F1028" i="59"/>
  <c r="G74" i="73"/>
  <c r="G75" i="73"/>
  <c r="G73" i="73"/>
  <c r="F206" i="63" l="1"/>
  <c r="F219" i="63"/>
  <c r="G192" i="59"/>
  <c r="G190" i="59"/>
  <c r="G194" i="59"/>
  <c r="G193" i="59"/>
  <c r="E65" i="66"/>
  <c r="F1030" i="59"/>
  <c r="G1031" i="59"/>
  <c r="G1025" i="59" s="1"/>
  <c r="G1026" i="59" l="1"/>
  <c r="G175" i="60" s="1"/>
  <c r="H1022" i="59" l="1"/>
  <c r="H1024" i="59" l="1"/>
  <c r="H1025" i="59"/>
  <c r="H1026" i="59" l="1"/>
  <c r="I1022" i="59" s="1"/>
  <c r="H175" i="60" l="1"/>
  <c r="I1025" i="59"/>
  <c r="I1024" i="59"/>
  <c r="I1026" i="59" l="1"/>
  <c r="J1022" i="59" s="1"/>
  <c r="I175" i="60" l="1"/>
  <c r="J1025" i="59"/>
  <c r="J1024" i="59"/>
  <c r="J1026" i="59" l="1"/>
  <c r="J175" i="60" l="1"/>
  <c r="K1022" i="59"/>
  <c r="K1025" i="59" l="1"/>
  <c r="K1024" i="59"/>
  <c r="K1026" i="59" l="1"/>
  <c r="K175" i="60" l="1"/>
  <c r="L1022" i="59"/>
  <c r="L1025" i="59" l="1"/>
  <c r="L1024" i="59"/>
  <c r="L1026" i="59" l="1"/>
  <c r="M1022" i="59" l="1"/>
  <c r="L175" i="60"/>
  <c r="M1025" i="59" l="1"/>
  <c r="M1024" i="59"/>
  <c r="M1026" i="59" l="1"/>
  <c r="M175" i="60" l="1"/>
  <c r="N1022" i="59"/>
  <c r="N1025" i="59" l="1"/>
  <c r="N1024" i="59"/>
  <c r="N1026" i="59" l="1"/>
  <c r="N175" i="60" s="1"/>
  <c r="O1022" i="59" l="1"/>
  <c r="O1025" i="59" s="1"/>
  <c r="O1024" i="59" l="1"/>
  <c r="O1026" i="59" s="1"/>
  <c r="O175" i="60" l="1"/>
  <c r="P1022" i="59"/>
  <c r="P1025" i="59" l="1"/>
  <c r="P1024" i="59"/>
  <c r="P1026" i="59" l="1"/>
  <c r="Q1022" i="59" s="1"/>
  <c r="P175" i="60" l="1"/>
  <c r="Q1025" i="59"/>
  <c r="Q1024" i="59"/>
  <c r="Q1026" i="59" l="1"/>
  <c r="Q175" i="60" l="1"/>
  <c r="R1022" i="59"/>
  <c r="R1025" i="59" l="1"/>
  <c r="R1024" i="59"/>
  <c r="R1026" i="59" l="1"/>
  <c r="R175" i="60" l="1"/>
  <c r="S1022" i="59"/>
  <c r="S1025" i="59" l="1"/>
  <c r="S1024" i="59"/>
  <c r="S1026" i="59" l="1"/>
  <c r="S175" i="60" l="1"/>
  <c r="T1022" i="59"/>
  <c r="T1025" i="59" l="1"/>
  <c r="T1024" i="59"/>
  <c r="T1026" i="59" l="1"/>
  <c r="T175" i="60" l="1"/>
  <c r="U1022" i="59"/>
  <c r="U1025" i="59" l="1"/>
  <c r="U1024" i="59"/>
  <c r="U1026" i="59" l="1"/>
  <c r="U175" i="60" l="1"/>
  <c r="V1022" i="59"/>
  <c r="V1025" i="59" l="1"/>
  <c r="V1024" i="59"/>
  <c r="V1026" i="59" l="1"/>
  <c r="V175" i="60" s="1"/>
  <c r="W1022" i="59" l="1"/>
  <c r="W1025" i="59" s="1"/>
  <c r="W1024" i="59" l="1"/>
  <c r="W1026" i="59" s="1"/>
  <c r="W175" i="60" l="1"/>
  <c r="X1022" i="59"/>
  <c r="X1025" i="59" l="1"/>
  <c r="X1024" i="59"/>
  <c r="X1026" i="59" l="1"/>
  <c r="X175" i="60" s="1"/>
  <c r="Y1022" i="59" l="1"/>
  <c r="Y1025" i="59" s="1"/>
  <c r="Y1024" i="59" l="1"/>
  <c r="Y1026" i="59" s="1"/>
  <c r="Y175" i="60" l="1"/>
  <c r="Z1022" i="59"/>
  <c r="Z1025" i="59" l="1"/>
  <c r="Z1024" i="59"/>
  <c r="Z1026" i="59" l="1"/>
  <c r="Z175" i="60" l="1"/>
  <c r="AA1022" i="59"/>
  <c r="AA1025" i="59" l="1"/>
  <c r="AA1024" i="59"/>
  <c r="AA1026" i="59" l="1"/>
  <c r="AA175" i="60" l="1"/>
  <c r="AB1022" i="59"/>
  <c r="AB1025" i="59" l="1"/>
  <c r="AB1024" i="59"/>
  <c r="AB1026" i="59" l="1"/>
  <c r="AB175" i="60" s="1"/>
  <c r="AC1022" i="59" l="1"/>
  <c r="AC1025" i="59" s="1"/>
  <c r="AC1024" i="59" l="1"/>
  <c r="AC1026" i="59" s="1"/>
  <c r="AD1022" i="59" s="1"/>
  <c r="AC175" i="60" l="1"/>
  <c r="AD1025" i="59"/>
  <c r="AD1024" i="59"/>
  <c r="AD1026" i="59" l="1"/>
  <c r="AD175" i="60" l="1"/>
  <c r="AE1022" i="59"/>
  <c r="AE1025" i="59" l="1"/>
  <c r="AE1024" i="59"/>
  <c r="AE1026" i="59" l="1"/>
  <c r="AE175" i="60" l="1"/>
  <c r="AF1022" i="59"/>
  <c r="AF1025" i="59" l="1"/>
  <c r="AF1024" i="59"/>
  <c r="AF1026" i="59" l="1"/>
  <c r="AF175" i="60" l="1"/>
  <c r="AG1022" i="59"/>
  <c r="AG1025" i="59" l="1"/>
  <c r="AG1024" i="59"/>
  <c r="AG1026" i="59" l="1"/>
  <c r="AG175" i="60" s="1"/>
  <c r="AH1022" i="59" l="1"/>
  <c r="AH1024" i="59" l="1"/>
  <c r="AH1025" i="59" l="1"/>
  <c r="AH1026" i="59" s="1"/>
  <c r="AI1022" i="59" l="1"/>
  <c r="AI1024" i="59" s="1"/>
  <c r="AH175" i="60"/>
  <c r="AI1025" i="59" l="1"/>
  <c r="AI1026" i="59" s="1"/>
  <c r="AJ1022" i="59" l="1"/>
  <c r="AJ1024" i="59" s="1"/>
  <c r="AI175" i="60"/>
  <c r="AJ1025" i="59"/>
  <c r="AJ1026" i="59" l="1"/>
  <c r="AK1022" i="59" s="1"/>
  <c r="AJ175" i="60" l="1"/>
  <c r="AK1024" i="59"/>
  <c r="AK1025" i="59" l="1"/>
  <c r="AK1026" i="59" l="1"/>
  <c r="AL1022" i="59" l="1"/>
  <c r="AL1024" i="59" s="1"/>
  <c r="AL1025" i="59" l="1"/>
  <c r="AL1026" i="59" l="1"/>
  <c r="AM1022" i="59" l="1"/>
  <c r="AM1024" i="59" s="1"/>
  <c r="AM1025" i="59" l="1"/>
  <c r="AM1026" i="59" l="1"/>
  <c r="AN1022" i="59" l="1"/>
  <c r="AN1024" i="59" l="1"/>
  <c r="AN1025" i="59" l="1"/>
  <c r="AN1026" i="59" s="1"/>
  <c r="E60" i="89" l="1"/>
  <c r="E7" i="89" s="1"/>
  <c r="G426" i="59" l="1"/>
  <c r="AH108" i="79"/>
  <c r="D49" i="24"/>
  <c r="AM49" i="24" l="1"/>
  <c r="G407" i="59"/>
  <c r="F407" i="59" s="1"/>
  <c r="D231" i="24"/>
  <c r="AH7" i="79"/>
  <c r="AG226" i="79"/>
  <c r="F426" i="59"/>
  <c r="G427" i="59"/>
  <c r="F427" i="59" s="1"/>
  <c r="G613" i="59"/>
  <c r="C2" i="79" l="1"/>
  <c r="AI7" i="79"/>
  <c r="AJ7" i="79" s="1"/>
  <c r="AJ8" i="79" s="1"/>
  <c r="G412" i="59"/>
  <c r="G47" i="60" s="1"/>
  <c r="G1010" i="59"/>
  <c r="F1010" i="59" s="1"/>
  <c r="D232" i="24"/>
  <c r="D2" i="79"/>
  <c r="E2" i="79"/>
  <c r="F2" i="79"/>
  <c r="G2" i="79"/>
  <c r="J2" i="79"/>
  <c r="K2" i="79"/>
  <c r="L2" i="79"/>
  <c r="M2" i="79"/>
  <c r="N2" i="79"/>
  <c r="O2" i="79"/>
  <c r="P2" i="79"/>
  <c r="Q2" i="79"/>
  <c r="R2" i="79"/>
  <c r="S2" i="79"/>
  <c r="T2" i="79"/>
  <c r="U2" i="79"/>
  <c r="W2" i="79"/>
  <c r="V2" i="79"/>
  <c r="X2" i="79"/>
  <c r="Y2" i="79"/>
  <c r="Z2" i="79"/>
  <c r="AA2" i="79"/>
  <c r="AB2" i="79"/>
  <c r="AC2" i="79"/>
  <c r="AD2" i="79"/>
  <c r="AE2" i="79"/>
  <c r="AF2" i="79"/>
  <c r="I2" i="79"/>
  <c r="H2" i="79"/>
  <c r="E626" i="59" a="1"/>
  <c r="F613" i="59"/>
  <c r="G895" i="59"/>
  <c r="G1035" i="59" l="1"/>
  <c r="F1035" i="59" s="1"/>
  <c r="G414" i="59"/>
  <c r="G203" i="59" s="1"/>
  <c r="G205" i="59" s="1"/>
  <c r="F412" i="59"/>
  <c r="G310" i="59"/>
  <c r="D310" i="59"/>
  <c r="E649" i="59"/>
  <c r="E628" i="59"/>
  <c r="E634" i="59"/>
  <c r="E648" i="59"/>
  <c r="E637" i="59"/>
  <c r="E652" i="59"/>
  <c r="E646" i="59"/>
  <c r="E655" i="59"/>
  <c r="E658" i="59"/>
  <c r="E640" i="59"/>
  <c r="E653" i="59"/>
  <c r="E636" i="59"/>
  <c r="E631" i="59"/>
  <c r="E656" i="59"/>
  <c r="E635" i="59"/>
  <c r="E641" i="59"/>
  <c r="E639" i="59"/>
  <c r="E627" i="59"/>
  <c r="E659" i="59"/>
  <c r="E644" i="59"/>
  <c r="E643" i="59"/>
  <c r="E642" i="59"/>
  <c r="E638" i="59"/>
  <c r="E650" i="59"/>
  <c r="E630" i="59"/>
  <c r="E633" i="59"/>
  <c r="E657" i="59"/>
  <c r="E651" i="59"/>
  <c r="E654" i="59"/>
  <c r="E629" i="59"/>
  <c r="E645" i="59"/>
  <c r="E647" i="59"/>
  <c r="E632" i="59"/>
  <c r="E626" i="59"/>
  <c r="F47" i="60"/>
  <c r="G47" i="73"/>
  <c r="G49" i="60"/>
  <c r="G122" i="60" s="1"/>
  <c r="F122" i="60" s="1"/>
  <c r="F895" i="59"/>
  <c r="F654" i="59" l="1"/>
  <c r="AI654" i="59" s="1"/>
  <c r="AJ654" i="59" s="1"/>
  <c r="AK654" i="59" s="1"/>
  <c r="F643" i="59"/>
  <c r="F631" i="59"/>
  <c r="F637" i="59"/>
  <c r="F651" i="59"/>
  <c r="AF651" i="59" s="1"/>
  <c r="AG651" i="59" s="1"/>
  <c r="AH651" i="59" s="1"/>
  <c r="F644" i="59"/>
  <c r="Y644" i="59" s="1"/>
  <c r="Z644" i="59" s="1"/>
  <c r="AA644" i="59" s="1"/>
  <c r="F636" i="59"/>
  <c r="Q636" i="59" s="1"/>
  <c r="R636" i="59" s="1"/>
  <c r="F648" i="59"/>
  <c r="F659" i="59"/>
  <c r="AN659" i="59" s="1"/>
  <c r="F634" i="59"/>
  <c r="F627" i="59"/>
  <c r="H627" i="59" s="1"/>
  <c r="I627" i="59" s="1"/>
  <c r="F640" i="59"/>
  <c r="U640" i="59" s="1"/>
  <c r="V640" i="59" s="1"/>
  <c r="F632" i="59"/>
  <c r="M632" i="59" s="1"/>
  <c r="N632" i="59" s="1"/>
  <c r="F630" i="59"/>
  <c r="K630" i="59" s="1"/>
  <c r="L630" i="59" s="1"/>
  <c r="F639" i="59"/>
  <c r="T639" i="59" s="1"/>
  <c r="U639" i="59" s="1"/>
  <c r="V639" i="59" s="1"/>
  <c r="F658" i="59"/>
  <c r="AM658" i="59" s="1"/>
  <c r="AN658" i="59" s="1"/>
  <c r="F649" i="59"/>
  <c r="AD649" i="59" s="1"/>
  <c r="AE649" i="59" s="1"/>
  <c r="AF649" i="59" s="1"/>
  <c r="F647" i="59"/>
  <c r="AB647" i="59" s="1"/>
  <c r="AC647" i="59" s="1"/>
  <c r="AD647" i="59" s="1"/>
  <c r="F650" i="59"/>
  <c r="AE650" i="59" s="1"/>
  <c r="AF650" i="59" s="1"/>
  <c r="AG650" i="59" s="1"/>
  <c r="AH650" i="59" s="1"/>
  <c r="F641" i="59"/>
  <c r="F655" i="59"/>
  <c r="AJ655" i="59" s="1"/>
  <c r="AK655" i="59" s="1"/>
  <c r="AL655" i="59" s="1"/>
  <c r="AM655" i="59" s="1"/>
  <c r="F657" i="59"/>
  <c r="AL657" i="59" s="1"/>
  <c r="AM657" i="59" s="1"/>
  <c r="AN657" i="59" s="1"/>
  <c r="F653" i="59"/>
  <c r="F626" i="59"/>
  <c r="F633" i="59"/>
  <c r="N633" i="59" s="1"/>
  <c r="O633" i="59" s="1"/>
  <c r="F628" i="59"/>
  <c r="F645" i="59"/>
  <c r="F638" i="59"/>
  <c r="S638" i="59" s="1"/>
  <c r="F635" i="59"/>
  <c r="P635" i="59" s="1"/>
  <c r="Q635" i="59" s="1"/>
  <c r="R635" i="59" s="1"/>
  <c r="F646" i="59"/>
  <c r="AA646" i="59" s="1"/>
  <c r="AB646" i="59" s="1"/>
  <c r="AC646" i="59" s="1"/>
  <c r="AD646" i="59" s="1"/>
  <c r="F629" i="59"/>
  <c r="J629" i="59" s="1"/>
  <c r="F642" i="59"/>
  <c r="W642" i="59" s="1"/>
  <c r="X642" i="59" s="1"/>
  <c r="Y642" i="59" s="1"/>
  <c r="F656" i="59"/>
  <c r="AK656" i="59" s="1"/>
  <c r="AL656" i="59" s="1"/>
  <c r="F652" i="59"/>
  <c r="AG652" i="59" s="1"/>
  <c r="AH652" i="59" s="1"/>
  <c r="G1040" i="59"/>
  <c r="G153" i="60" s="1"/>
  <c r="F153" i="60" s="1"/>
  <c r="G46" i="63"/>
  <c r="G60" i="63" s="1"/>
  <c r="F414" i="59"/>
  <c r="F203" i="59" s="1"/>
  <c r="G331" i="59"/>
  <c r="F331" i="59" s="1"/>
  <c r="F310" i="59"/>
  <c r="F47" i="73"/>
  <c r="D64" i="73"/>
  <c r="G30" i="68"/>
  <c r="F30" i="68" s="1"/>
  <c r="G51" i="68"/>
  <c r="G62" i="68" s="1"/>
  <c r="E6" i="80"/>
  <c r="F49" i="60"/>
  <c r="F205" i="59"/>
  <c r="G230" i="59"/>
  <c r="C227" i="79" l="1"/>
  <c r="G626" i="59"/>
  <c r="G660" i="59" s="1"/>
  <c r="G614" i="59" s="1"/>
  <c r="G896" i="59" s="1"/>
  <c r="AC648" i="59"/>
  <c r="AD648" i="59" s="1"/>
  <c r="K629" i="59"/>
  <c r="L629" i="59" s="1"/>
  <c r="M629" i="59" s="1"/>
  <c r="Z645" i="59"/>
  <c r="AH653" i="59"/>
  <c r="L631" i="59"/>
  <c r="I628" i="59"/>
  <c r="J628" i="59" s="1"/>
  <c r="K628" i="59" s="1"/>
  <c r="O634" i="59"/>
  <c r="P634" i="59" s="1"/>
  <c r="Q634" i="59" s="1"/>
  <c r="X643" i="59"/>
  <c r="Y643" i="59" s="1"/>
  <c r="T638" i="59"/>
  <c r="U638" i="59" s="1"/>
  <c r="V641" i="59"/>
  <c r="W641" i="59" s="1"/>
  <c r="R637" i="59"/>
  <c r="F46" i="63"/>
  <c r="E437" i="59"/>
  <c r="G146" i="60"/>
  <c r="F146" i="60" s="1"/>
  <c r="H60" i="63"/>
  <c r="I60" i="63" s="1"/>
  <c r="E66" i="66"/>
  <c r="D140" i="24" s="1"/>
  <c r="D159" i="24" s="1"/>
  <c r="G352" i="59"/>
  <c r="AI652" i="59"/>
  <c r="AJ652" i="59" s="1"/>
  <c r="AK652" i="59" s="1"/>
  <c r="AL652" i="59" s="1"/>
  <c r="AG649" i="59"/>
  <c r="AH649" i="59" s="1"/>
  <c r="AI649" i="59" s="1"/>
  <c r="AE647" i="59"/>
  <c r="AE646" i="59"/>
  <c r="AN655" i="59"/>
  <c r="AI650" i="59"/>
  <c r="AJ650" i="59" s="1"/>
  <c r="AI651" i="59"/>
  <c r="AM656" i="59"/>
  <c r="AN656" i="59" s="1"/>
  <c r="F51" i="68"/>
  <c r="AB644" i="59"/>
  <c r="AC644" i="59" s="1"/>
  <c r="AL654" i="59"/>
  <c r="AM654" i="59" s="1"/>
  <c r="AN654" i="59" s="1"/>
  <c r="Z642" i="59"/>
  <c r="AA642" i="59" s="1"/>
  <c r="S635" i="59"/>
  <c r="T635" i="59" s="1"/>
  <c r="W639" i="59"/>
  <c r="O632" i="59"/>
  <c r="J627" i="59"/>
  <c r="F230" i="59"/>
  <c r="W640" i="59"/>
  <c r="S636" i="59"/>
  <c r="M630" i="59"/>
  <c r="P633" i="59"/>
  <c r="D6" i="80"/>
  <c r="E35" i="66"/>
  <c r="H288" i="24" l="1"/>
  <c r="G62" i="63" s="1"/>
  <c r="G65" i="63" s="1"/>
  <c r="G67" i="63" s="1"/>
  <c r="G68" i="63" s="1"/>
  <c r="G52" i="60" s="1"/>
  <c r="O227" i="79"/>
  <c r="T288" i="24" s="1"/>
  <c r="S62" i="63" s="1"/>
  <c r="M227" i="79"/>
  <c r="R288" i="24" s="1"/>
  <c r="Q62" i="63" s="1"/>
  <c r="L227" i="79"/>
  <c r="Q288" i="24" s="1"/>
  <c r="P62" i="63" s="1"/>
  <c r="K227" i="79"/>
  <c r="P288" i="24" s="1"/>
  <c r="O62" i="63" s="1"/>
  <c r="G227" i="79"/>
  <c r="L288" i="24" s="1"/>
  <c r="K62" i="63" s="1"/>
  <c r="Q227" i="79"/>
  <c r="V288" i="24" s="1"/>
  <c r="U62" i="63" s="1"/>
  <c r="E227" i="79"/>
  <c r="J288" i="24" s="1"/>
  <c r="I62" i="63" s="1"/>
  <c r="I65" i="63" s="1"/>
  <c r="H227" i="79"/>
  <c r="M288" i="24" s="1"/>
  <c r="L62" i="63" s="1"/>
  <c r="I227" i="79"/>
  <c r="N288" i="24" s="1"/>
  <c r="M62" i="63" s="1"/>
  <c r="D227" i="79"/>
  <c r="I288" i="24" s="1"/>
  <c r="H62" i="63" s="1"/>
  <c r="J227" i="79"/>
  <c r="O288" i="24" s="1"/>
  <c r="N62" i="63" s="1"/>
  <c r="N227" i="79"/>
  <c r="S288" i="24" s="1"/>
  <c r="R62" i="63" s="1"/>
  <c r="P227" i="79"/>
  <c r="U288" i="24" s="1"/>
  <c r="T62" i="63" s="1"/>
  <c r="F227" i="79"/>
  <c r="K288" i="24" s="1"/>
  <c r="J62" i="63" s="1"/>
  <c r="AB159" i="24"/>
  <c r="T159" i="24"/>
  <c r="L159" i="24"/>
  <c r="O159" i="24"/>
  <c r="AA159" i="24"/>
  <c r="S159" i="24"/>
  <c r="K159" i="24"/>
  <c r="G159" i="24"/>
  <c r="Z159" i="24"/>
  <c r="R159" i="24"/>
  <c r="J159" i="24"/>
  <c r="AG159" i="24"/>
  <c r="Y159" i="24"/>
  <c r="Q159" i="24"/>
  <c r="I159" i="24"/>
  <c r="AE159" i="24"/>
  <c r="AF159" i="24"/>
  <c r="X159" i="24"/>
  <c r="P159" i="24"/>
  <c r="H159" i="24"/>
  <c r="W159" i="24"/>
  <c r="AD159" i="24"/>
  <c r="V159" i="24"/>
  <c r="N159" i="24"/>
  <c r="F159" i="24"/>
  <c r="AC159" i="24"/>
  <c r="U159" i="24"/>
  <c r="M159" i="24"/>
  <c r="E159" i="24"/>
  <c r="G615" i="59"/>
  <c r="H612" i="59" s="1"/>
  <c r="N629" i="59"/>
  <c r="O629" i="59" s="1"/>
  <c r="X641" i="59"/>
  <c r="Y641" i="59" s="1"/>
  <c r="Z643" i="59"/>
  <c r="AA643" i="59" s="1"/>
  <c r="AB643" i="59" s="1"/>
  <c r="M631" i="59"/>
  <c r="N631" i="59" s="1"/>
  <c r="O631" i="59" s="1"/>
  <c r="AA645" i="59"/>
  <c r="AB645" i="59" s="1"/>
  <c r="R634" i="59"/>
  <c r="S634" i="59" s="1"/>
  <c r="AE648" i="59"/>
  <c r="AF648" i="59" s="1"/>
  <c r="AI653" i="59"/>
  <c r="AJ653" i="59" s="1"/>
  <c r="S637" i="59"/>
  <c r="T637" i="59" s="1"/>
  <c r="U637" i="59" s="1"/>
  <c r="V637" i="59" s="1"/>
  <c r="H626" i="59"/>
  <c r="L628" i="59"/>
  <c r="M628" i="59" s="1"/>
  <c r="D218" i="24"/>
  <c r="D221" i="24" s="1"/>
  <c r="D225" i="24" s="1"/>
  <c r="H65" i="63"/>
  <c r="H67" i="63" s="1"/>
  <c r="H68" i="63" s="1"/>
  <c r="G38" i="60"/>
  <c r="F38" i="60" s="1"/>
  <c r="F352" i="59"/>
  <c r="AF647" i="59"/>
  <c r="AG647" i="59" s="1"/>
  <c r="AK650" i="59"/>
  <c r="AL650" i="59" s="1"/>
  <c r="AJ651" i="59"/>
  <c r="AF646" i="59"/>
  <c r="AG646" i="59" s="1"/>
  <c r="AM652" i="59"/>
  <c r="AN652" i="59" s="1"/>
  <c r="G897" i="59"/>
  <c r="H894" i="59" s="1"/>
  <c r="AJ649" i="59"/>
  <c r="T636" i="59"/>
  <c r="AD644" i="59"/>
  <c r="V638" i="59"/>
  <c r="W638" i="59" s="1"/>
  <c r="U635" i="59"/>
  <c r="V635" i="59" s="1"/>
  <c r="AB642" i="59"/>
  <c r="AC642" i="59" s="1"/>
  <c r="AD642" i="59" s="1"/>
  <c r="K627" i="59"/>
  <c r="N630" i="59"/>
  <c r="X640" i="59"/>
  <c r="P632" i="59"/>
  <c r="J60" i="63"/>
  <c r="F62" i="68"/>
  <c r="X639" i="59"/>
  <c r="Q633" i="59"/>
  <c r="G53" i="60" l="1"/>
  <c r="G54" i="60" s="1"/>
  <c r="G76" i="63"/>
  <c r="G176" i="63" s="1"/>
  <c r="G71" i="63"/>
  <c r="G39" i="60" s="1"/>
  <c r="F62" i="63"/>
  <c r="P629" i="59"/>
  <c r="Q629" i="59" s="1"/>
  <c r="Z641" i="59"/>
  <c r="AA641" i="59" s="1"/>
  <c r="AC645" i="59"/>
  <c r="AD645" i="59" s="1"/>
  <c r="AE645" i="59" s="1"/>
  <c r="AG648" i="59"/>
  <c r="AH648" i="59" s="1"/>
  <c r="AC643" i="59"/>
  <c r="AD643" i="59" s="1"/>
  <c r="AK653" i="59"/>
  <c r="H660" i="59"/>
  <c r="H614" i="59" s="1"/>
  <c r="I626" i="59"/>
  <c r="I660" i="59" s="1"/>
  <c r="I614" i="59" s="1"/>
  <c r="P631" i="59"/>
  <c r="D305" i="59"/>
  <c r="AA305" i="59" s="1"/>
  <c r="AA330" i="59" s="1"/>
  <c r="AA351" i="59" s="1"/>
  <c r="AH647" i="59"/>
  <c r="AI647" i="59" s="1"/>
  <c r="W635" i="59"/>
  <c r="X635" i="59" s="1"/>
  <c r="AM650" i="59"/>
  <c r="AN650" i="59" s="1"/>
  <c r="T634" i="59"/>
  <c r="AH646" i="59"/>
  <c r="AI646" i="59" s="1"/>
  <c r="AK649" i="59"/>
  <c r="AL649" i="59" s="1"/>
  <c r="AM649" i="59" s="1"/>
  <c r="AN649" i="59" s="1"/>
  <c r="AK651" i="59"/>
  <c r="AL651" i="59" s="1"/>
  <c r="H52" i="60"/>
  <c r="Y639" i="59"/>
  <c r="Y640" i="59"/>
  <c r="L627" i="59"/>
  <c r="J65" i="63"/>
  <c r="K60" i="63"/>
  <c r="Q632" i="59"/>
  <c r="R632" i="59" s="1"/>
  <c r="I67" i="63"/>
  <c r="I68" i="63" s="1"/>
  <c r="I52" i="60" s="1"/>
  <c r="G1056" i="59"/>
  <c r="H71" i="63"/>
  <c r="H39" i="60" s="1"/>
  <c r="H53" i="60"/>
  <c r="F19" i="80" s="1"/>
  <c r="H76" i="63"/>
  <c r="H141" i="63" s="1"/>
  <c r="O630" i="59"/>
  <c r="AE642" i="59"/>
  <c r="AF642" i="59" s="1"/>
  <c r="X638" i="59"/>
  <c r="Y638" i="59" s="1"/>
  <c r="AE644" i="59"/>
  <c r="W637" i="59"/>
  <c r="U636" i="59"/>
  <c r="N628" i="59"/>
  <c r="R633" i="59"/>
  <c r="E19" i="80" l="1"/>
  <c r="G244" i="63"/>
  <c r="G240" i="63" s="1"/>
  <c r="G141" i="63"/>
  <c r="G78" i="63"/>
  <c r="G184" i="60" s="1"/>
  <c r="G109" i="63" s="1"/>
  <c r="G110" i="63" s="1"/>
  <c r="G118" i="63" s="1"/>
  <c r="AA37" i="60"/>
  <c r="T305" i="59"/>
  <c r="T330" i="59" s="1"/>
  <c r="T351" i="59" s="1"/>
  <c r="AF645" i="59"/>
  <c r="AG645" i="59" s="1"/>
  <c r="AH645" i="59" s="1"/>
  <c r="K305" i="59"/>
  <c r="K330" i="59" s="1"/>
  <c r="K351" i="59" s="1"/>
  <c r="Z305" i="59"/>
  <c r="Z330" i="59" s="1"/>
  <c r="Z37" i="60" s="1"/>
  <c r="X305" i="59"/>
  <c r="X330" i="59" s="1"/>
  <c r="X37" i="60" s="1"/>
  <c r="AG305" i="59"/>
  <c r="AG330" i="59" s="1"/>
  <c r="AG351" i="59" s="1"/>
  <c r="AD305" i="59"/>
  <c r="AD330" i="59" s="1"/>
  <c r="AD351" i="59" s="1"/>
  <c r="O305" i="59"/>
  <c r="O330" i="59" s="1"/>
  <c r="O37" i="60" s="1"/>
  <c r="AB641" i="59"/>
  <c r="AC641" i="59" s="1"/>
  <c r="J626" i="59"/>
  <c r="J660" i="59" s="1"/>
  <c r="J614" i="59" s="1"/>
  <c r="J896" i="59" s="1"/>
  <c r="AE305" i="59"/>
  <c r="AE330" i="59" s="1"/>
  <c r="AE351" i="59" s="1"/>
  <c r="L305" i="59"/>
  <c r="L330" i="59" s="1"/>
  <c r="L37" i="60" s="1"/>
  <c r="AC305" i="59"/>
  <c r="AC330" i="59" s="1"/>
  <c r="AC37" i="60" s="1"/>
  <c r="AB305" i="59"/>
  <c r="AB330" i="59" s="1"/>
  <c r="AB351" i="59" s="1"/>
  <c r="AJ305" i="59"/>
  <c r="AJ330" i="59" s="1"/>
  <c r="AJ37" i="60" s="1"/>
  <c r="U305" i="59"/>
  <c r="U330" i="59" s="1"/>
  <c r="U37" i="60" s="1"/>
  <c r="W305" i="59"/>
  <c r="W330" i="59" s="1"/>
  <c r="W37" i="60" s="1"/>
  <c r="M305" i="59"/>
  <c r="M330" i="59" s="1"/>
  <c r="M351" i="59" s="1"/>
  <c r="AH305" i="59"/>
  <c r="AH330" i="59" s="1"/>
  <c r="AH351" i="59" s="1"/>
  <c r="Q305" i="59"/>
  <c r="Q330" i="59" s="1"/>
  <c r="Y305" i="59"/>
  <c r="Y330" i="59" s="1"/>
  <c r="S305" i="59"/>
  <c r="S330" i="59" s="1"/>
  <c r="P305" i="59"/>
  <c r="P330" i="59" s="1"/>
  <c r="P37" i="60" s="1"/>
  <c r="H896" i="59"/>
  <c r="H897" i="59" s="1"/>
  <c r="I894" i="59" s="1"/>
  <c r="H615" i="59"/>
  <c r="I612" i="59" s="1"/>
  <c r="I615" i="59" s="1"/>
  <c r="J612" i="59" s="1"/>
  <c r="Q631" i="59"/>
  <c r="I896" i="59"/>
  <c r="AL653" i="59"/>
  <c r="AM653" i="59" s="1"/>
  <c r="AN653" i="59" s="1"/>
  <c r="AJ271" i="59"/>
  <c r="AJ326" i="59" s="1"/>
  <c r="AJ33" i="60" s="1"/>
  <c r="J271" i="59"/>
  <c r="J326" i="59" s="1"/>
  <c r="J347" i="59" s="1"/>
  <c r="J221" i="59" s="1"/>
  <c r="U271" i="59"/>
  <c r="U326" i="59" s="1"/>
  <c r="U33" i="60" s="1"/>
  <c r="I271" i="59"/>
  <c r="I326" i="59" s="1"/>
  <c r="I33" i="60" s="1"/>
  <c r="L271" i="59"/>
  <c r="L326" i="59" s="1"/>
  <c r="L347" i="59" s="1"/>
  <c r="L221" i="59" s="1"/>
  <c r="AA271" i="59"/>
  <c r="AA326" i="59" s="1"/>
  <c r="AA347" i="59" s="1"/>
  <c r="AA221" i="59" s="1"/>
  <c r="X271" i="59"/>
  <c r="X326" i="59" s="1"/>
  <c r="X347" i="59" s="1"/>
  <c r="X221" i="59" s="1"/>
  <c r="AH271" i="59"/>
  <c r="AH326" i="59" s="1"/>
  <c r="AH33" i="60" s="1"/>
  <c r="Q271" i="59"/>
  <c r="Q326" i="59" s="1"/>
  <c r="Q33" i="60" s="1"/>
  <c r="K271" i="59"/>
  <c r="K326" i="59" s="1"/>
  <c r="K347" i="59" s="1"/>
  <c r="K221" i="59" s="1"/>
  <c r="AB271" i="59"/>
  <c r="AB326" i="59" s="1"/>
  <c r="AB33" i="60" s="1"/>
  <c r="Z271" i="59"/>
  <c r="Z326" i="59" s="1"/>
  <c r="Z33" i="60" s="1"/>
  <c r="AI271" i="59"/>
  <c r="AI326" i="59" s="1"/>
  <c r="AI33" i="60" s="1"/>
  <c r="G271" i="59"/>
  <c r="G326" i="59" s="1"/>
  <c r="G347" i="59" s="1"/>
  <c r="N271" i="59"/>
  <c r="N326" i="59" s="1"/>
  <c r="N347" i="59" s="1"/>
  <c r="N221" i="59" s="1"/>
  <c r="W271" i="59"/>
  <c r="W326" i="59" s="1"/>
  <c r="W33" i="60" s="1"/>
  <c r="AG271" i="59"/>
  <c r="AG326" i="59" s="1"/>
  <c r="AG33" i="60" s="1"/>
  <c r="V271" i="59"/>
  <c r="V326" i="59" s="1"/>
  <c r="V347" i="59" s="1"/>
  <c r="V221" i="59" s="1"/>
  <c r="AC271" i="59"/>
  <c r="AC326" i="59" s="1"/>
  <c r="AC347" i="59" s="1"/>
  <c r="AC221" i="59" s="1"/>
  <c r="P271" i="59"/>
  <c r="P326" i="59" s="1"/>
  <c r="P33" i="60" s="1"/>
  <c r="H271" i="59"/>
  <c r="H326" i="59" s="1"/>
  <c r="H33" i="60" s="1"/>
  <c r="O271" i="59"/>
  <c r="O326" i="59" s="1"/>
  <c r="O33" i="60" s="1"/>
  <c r="AI305" i="59"/>
  <c r="AI330" i="59" s="1"/>
  <c r="S271" i="59"/>
  <c r="S326" i="59" s="1"/>
  <c r="S33" i="60" s="1"/>
  <c r="R271" i="59"/>
  <c r="R326" i="59" s="1"/>
  <c r="R33" i="60" s="1"/>
  <c r="AD271" i="59"/>
  <c r="AD326" i="59" s="1"/>
  <c r="AD33" i="60" s="1"/>
  <c r="AE271" i="59"/>
  <c r="AE326" i="59" s="1"/>
  <c r="AE33" i="60" s="1"/>
  <c r="R305" i="59"/>
  <c r="R330" i="59" s="1"/>
  <c r="H305" i="59"/>
  <c r="H330" i="59" s="1"/>
  <c r="H351" i="59" s="1"/>
  <c r="G305" i="59"/>
  <c r="G330" i="59" s="1"/>
  <c r="AF305" i="59"/>
  <c r="AF330" i="59" s="1"/>
  <c r="T271" i="59"/>
  <c r="T326" i="59" s="1"/>
  <c r="T33" i="60" s="1"/>
  <c r="M271" i="59"/>
  <c r="M326" i="59" s="1"/>
  <c r="M33" i="60" s="1"/>
  <c r="Y271" i="59"/>
  <c r="Y326" i="59" s="1"/>
  <c r="Y33" i="60" s="1"/>
  <c r="AF271" i="59"/>
  <c r="AF326" i="59" s="1"/>
  <c r="AF33" i="60" s="1"/>
  <c r="V305" i="59"/>
  <c r="V330" i="59" s="1"/>
  <c r="N305" i="59"/>
  <c r="N330" i="59" s="1"/>
  <c r="J305" i="59"/>
  <c r="J330" i="59" s="1"/>
  <c r="I305" i="59"/>
  <c r="I330" i="59" s="1"/>
  <c r="AJ646" i="59"/>
  <c r="AK646" i="59" s="1"/>
  <c r="AL646" i="59" s="1"/>
  <c r="AM646" i="59" s="1"/>
  <c r="AN646" i="59" s="1"/>
  <c r="AJ647" i="59"/>
  <c r="AK647" i="59" s="1"/>
  <c r="AL647" i="59" s="1"/>
  <c r="AM647" i="59" s="1"/>
  <c r="Y635" i="59"/>
  <c r="AM651" i="59"/>
  <c r="AN651" i="59" s="1"/>
  <c r="U634" i="59"/>
  <c r="V634" i="59" s="1"/>
  <c r="G137" i="63"/>
  <c r="G143" i="63"/>
  <c r="H140" i="63" s="1"/>
  <c r="P630" i="59"/>
  <c r="Q630" i="59" s="1"/>
  <c r="X637" i="59"/>
  <c r="H176" i="63"/>
  <c r="H244" i="63"/>
  <c r="H1056" i="59"/>
  <c r="H54" i="60"/>
  <c r="V636" i="59"/>
  <c r="W636" i="59" s="1"/>
  <c r="AG642" i="59"/>
  <c r="AH642" i="59" s="1"/>
  <c r="AI642" i="59" s="1"/>
  <c r="AE643" i="59"/>
  <c r="AF643" i="59" s="1"/>
  <c r="AI648" i="59"/>
  <c r="AJ648" i="59" s="1"/>
  <c r="R629" i="59"/>
  <c r="S632" i="59"/>
  <c r="K65" i="63"/>
  <c r="L60" i="63"/>
  <c r="Z638" i="59"/>
  <c r="S633" i="59"/>
  <c r="T633" i="59" s="1"/>
  <c r="G178" i="63"/>
  <c r="G172" i="63"/>
  <c r="I1056" i="59"/>
  <c r="J67" i="63"/>
  <c r="J68" i="63" s="1"/>
  <c r="J52" i="60" s="1"/>
  <c r="AF644" i="59"/>
  <c r="I76" i="63"/>
  <c r="I53" i="60"/>
  <c r="G19" i="80" s="1"/>
  <c r="I71" i="63"/>
  <c r="I39" i="60" s="1"/>
  <c r="Z640" i="59"/>
  <c r="Z639" i="59"/>
  <c r="O628" i="59"/>
  <c r="M627" i="59"/>
  <c r="H75" i="63" l="1"/>
  <c r="H78" i="63" s="1"/>
  <c r="T37" i="60"/>
  <c r="AI645" i="59"/>
  <c r="AJ645" i="59" s="1"/>
  <c r="Z351" i="59"/>
  <c r="AG37" i="60"/>
  <c r="K37" i="60"/>
  <c r="AD37" i="60"/>
  <c r="X351" i="59"/>
  <c r="AE37" i="60"/>
  <c r="AH37" i="60"/>
  <c r="O351" i="59"/>
  <c r="W351" i="59"/>
  <c r="J615" i="59"/>
  <c r="K612" i="59" s="1"/>
  <c r="AB347" i="59"/>
  <c r="AB221" i="59" s="1"/>
  <c r="K626" i="59"/>
  <c r="K660" i="59" s="1"/>
  <c r="K614" i="59" s="1"/>
  <c r="K896" i="59" s="1"/>
  <c r="U347" i="59"/>
  <c r="U221" i="59" s="1"/>
  <c r="M37" i="60"/>
  <c r="N33" i="60"/>
  <c r="H37" i="60"/>
  <c r="L351" i="59"/>
  <c r="AC351" i="59"/>
  <c r="AD641" i="59"/>
  <c r="AE641" i="59" s="1"/>
  <c r="AJ351" i="59"/>
  <c r="U351" i="59"/>
  <c r="AB37" i="60"/>
  <c r="J33" i="60"/>
  <c r="Y347" i="59"/>
  <c r="Y221" i="59" s="1"/>
  <c r="R347" i="59"/>
  <c r="R221" i="59" s="1"/>
  <c r="P347" i="59"/>
  <c r="P221" i="59" s="1"/>
  <c r="X33" i="60"/>
  <c r="T347" i="59"/>
  <c r="T221" i="59" s="1"/>
  <c r="I347" i="59"/>
  <c r="I221" i="59" s="1"/>
  <c r="Y351" i="59"/>
  <c r="Y37" i="60"/>
  <c r="M347" i="59"/>
  <c r="M221" i="59" s="1"/>
  <c r="P351" i="59"/>
  <c r="Q37" i="60"/>
  <c r="Q351" i="59"/>
  <c r="AF347" i="59"/>
  <c r="AF221" i="59" s="1"/>
  <c r="I897" i="59"/>
  <c r="J894" i="59" s="1"/>
  <c r="J897" i="59" s="1"/>
  <c r="K894" i="59" s="1"/>
  <c r="S347" i="59"/>
  <c r="S221" i="59" s="1"/>
  <c r="S37" i="60"/>
  <c r="S351" i="59"/>
  <c r="AH347" i="59"/>
  <c r="AH221" i="59" s="1"/>
  <c r="R631" i="59"/>
  <c r="S631" i="59" s="1"/>
  <c r="F271" i="59"/>
  <c r="K33" i="60"/>
  <c r="F330" i="59"/>
  <c r="AI347" i="59"/>
  <c r="AI221" i="59" s="1"/>
  <c r="AA33" i="60"/>
  <c r="AE347" i="59"/>
  <c r="AE221" i="59" s="1"/>
  <c r="W347" i="59"/>
  <c r="W221" i="59" s="1"/>
  <c r="Z347" i="59"/>
  <c r="Z221" i="59" s="1"/>
  <c r="AJ347" i="59"/>
  <c r="AJ221" i="59" s="1"/>
  <c r="L33" i="60"/>
  <c r="AD347" i="59"/>
  <c r="AD221" i="59" s="1"/>
  <c r="H347" i="59"/>
  <c r="H221" i="59" s="1"/>
  <c r="AG347" i="59"/>
  <c r="AG221" i="59" s="1"/>
  <c r="AC33" i="60"/>
  <c r="V33" i="60"/>
  <c r="Q347" i="59"/>
  <c r="Q221" i="59" s="1"/>
  <c r="O347" i="59"/>
  <c r="O221" i="59" s="1"/>
  <c r="F305" i="59"/>
  <c r="R37" i="60"/>
  <c r="R351" i="59"/>
  <c r="I351" i="59"/>
  <c r="I37" i="60"/>
  <c r="AI37" i="60"/>
  <c r="AI351" i="59"/>
  <c r="J37" i="60"/>
  <c r="J351" i="59"/>
  <c r="N37" i="60"/>
  <c r="N351" i="59"/>
  <c r="V351" i="59"/>
  <c r="V37" i="60"/>
  <c r="AF351" i="59"/>
  <c r="AF37" i="60"/>
  <c r="G351" i="59"/>
  <c r="G37" i="60"/>
  <c r="G33" i="60"/>
  <c r="F326" i="59"/>
  <c r="H175" i="63"/>
  <c r="H172" i="63" s="1"/>
  <c r="AK648" i="59"/>
  <c r="AL648" i="59" s="1"/>
  <c r="AM648" i="59" s="1"/>
  <c r="AN648" i="59" s="1"/>
  <c r="AN647" i="59"/>
  <c r="Z635" i="59"/>
  <c r="W634" i="59"/>
  <c r="AJ642" i="59"/>
  <c r="AK642" i="59" s="1"/>
  <c r="T632" i="59"/>
  <c r="U632" i="59" s="1"/>
  <c r="V632" i="59" s="1"/>
  <c r="W632" i="59" s="1"/>
  <c r="X636" i="59"/>
  <c r="Y636" i="59" s="1"/>
  <c r="P628" i="59"/>
  <c r="J1056" i="59"/>
  <c r="G185" i="63"/>
  <c r="G268" i="63"/>
  <c r="AG643" i="59"/>
  <c r="AH643" i="59" s="1"/>
  <c r="AI643" i="59" s="1"/>
  <c r="AJ643" i="59" s="1"/>
  <c r="AK643" i="59" s="1"/>
  <c r="AL643" i="59" s="1"/>
  <c r="AM643" i="59" s="1"/>
  <c r="AN643" i="59" s="1"/>
  <c r="J71" i="63"/>
  <c r="J39" i="60" s="1"/>
  <c r="J76" i="63"/>
  <c r="J53" i="60"/>
  <c r="H19" i="80" s="1"/>
  <c r="R630" i="59"/>
  <c r="H137" i="63"/>
  <c r="H267" i="63" s="1"/>
  <c r="H143" i="63"/>
  <c r="I140" i="63" s="1"/>
  <c r="I176" i="63"/>
  <c r="I141" i="63"/>
  <c r="I244" i="63"/>
  <c r="G151" i="63"/>
  <c r="G267" i="63"/>
  <c r="AA638" i="59"/>
  <c r="G259" i="63"/>
  <c r="N627" i="59"/>
  <c r="AA640" i="59"/>
  <c r="U633" i="59"/>
  <c r="Y637" i="59"/>
  <c r="Z637" i="59" s="1"/>
  <c r="AA637" i="59" s="1"/>
  <c r="G151" i="60"/>
  <c r="G79" i="60"/>
  <c r="L65" i="63"/>
  <c r="M60" i="63"/>
  <c r="AA639" i="59"/>
  <c r="H184" i="60"/>
  <c r="H109" i="63" s="1"/>
  <c r="H110" i="63" s="1"/>
  <c r="H118" i="63" s="1"/>
  <c r="I75" i="63"/>
  <c r="AG644" i="59"/>
  <c r="I54" i="60"/>
  <c r="K67" i="63"/>
  <c r="K68" i="63" s="1"/>
  <c r="K52" i="60" s="1"/>
  <c r="S629" i="59"/>
  <c r="L626" i="59" l="1"/>
  <c r="M626" i="59" s="1"/>
  <c r="N626" i="59" s="1"/>
  <c r="N660" i="59" s="1"/>
  <c r="N614" i="59" s="1"/>
  <c r="K897" i="59"/>
  <c r="L894" i="59" s="1"/>
  <c r="K615" i="59"/>
  <c r="L612" i="59" s="1"/>
  <c r="AF641" i="59"/>
  <c r="AG641" i="59" s="1"/>
  <c r="AH641" i="59" s="1"/>
  <c r="AI641" i="59" s="1"/>
  <c r="AJ641" i="59" s="1"/>
  <c r="AK641" i="59" s="1"/>
  <c r="AL641" i="59" s="1"/>
  <c r="AM641" i="59" s="1"/>
  <c r="AN641" i="59" s="1"/>
  <c r="T631" i="59"/>
  <c r="F37" i="60"/>
  <c r="F351" i="59"/>
  <c r="F33" i="60"/>
  <c r="G221" i="59"/>
  <c r="F221" i="59" s="1"/>
  <c r="F347" i="59"/>
  <c r="H178" i="63"/>
  <c r="I175" i="63" s="1"/>
  <c r="I186" i="63" s="1"/>
  <c r="Q628" i="59"/>
  <c r="R628" i="59" s="1"/>
  <c r="AK645" i="59"/>
  <c r="AL645" i="59" s="1"/>
  <c r="AM645" i="59" s="1"/>
  <c r="AN645" i="59" s="1"/>
  <c r="J54" i="60"/>
  <c r="AA635" i="59"/>
  <c r="AB635" i="59" s="1"/>
  <c r="AL642" i="59"/>
  <c r="AM642" i="59" s="1"/>
  <c r="AN642" i="59" s="1"/>
  <c r="X634" i="59"/>
  <c r="Y634" i="59" s="1"/>
  <c r="Z634" i="59" s="1"/>
  <c r="AA634" i="59" s="1"/>
  <c r="AB639" i="59"/>
  <c r="AC639" i="59" s="1"/>
  <c r="G269" i="63"/>
  <c r="T629" i="59"/>
  <c r="U629" i="59" s="1"/>
  <c r="V629" i="59" s="1"/>
  <c r="W629" i="59" s="1"/>
  <c r="X629" i="59" s="1"/>
  <c r="Y629" i="59" s="1"/>
  <c r="Z629" i="59" s="1"/>
  <c r="AA629" i="59" s="1"/>
  <c r="AB629" i="59" s="1"/>
  <c r="AC629" i="59" s="1"/>
  <c r="AD629" i="59" s="1"/>
  <c r="AE629" i="59" s="1"/>
  <c r="AF629" i="59" s="1"/>
  <c r="AG629" i="59" s="1"/>
  <c r="AH629" i="59" s="1"/>
  <c r="AI629" i="59" s="1"/>
  <c r="AJ629" i="59" s="1"/>
  <c r="AK629" i="59" s="1"/>
  <c r="AL629" i="59" s="1"/>
  <c r="AM629" i="59" s="1"/>
  <c r="AN629" i="59" s="1"/>
  <c r="M65" i="63"/>
  <c r="N60" i="63"/>
  <c r="Z636" i="59"/>
  <c r="AA636" i="59" s="1"/>
  <c r="AB636" i="59" s="1"/>
  <c r="AC636" i="59" s="1"/>
  <c r="AD636" i="59" s="1"/>
  <c r="AE636" i="59" s="1"/>
  <c r="AF636" i="59" s="1"/>
  <c r="AG636" i="59" s="1"/>
  <c r="AH636" i="59" s="1"/>
  <c r="AI636" i="59" s="1"/>
  <c r="AJ636" i="59" s="1"/>
  <c r="AK636" i="59" s="1"/>
  <c r="AL636" i="59" s="1"/>
  <c r="AM636" i="59" s="1"/>
  <c r="AN636" i="59" s="1"/>
  <c r="AB637" i="59"/>
  <c r="AC637" i="59" s="1"/>
  <c r="AD637" i="59" s="1"/>
  <c r="AE637" i="59" s="1"/>
  <c r="AF637" i="59" s="1"/>
  <c r="AG637" i="59" s="1"/>
  <c r="AH637" i="59" s="1"/>
  <c r="AI637" i="59" s="1"/>
  <c r="AJ637" i="59" s="1"/>
  <c r="AK637" i="59" s="1"/>
  <c r="AL637" i="59" s="1"/>
  <c r="AM637" i="59" s="1"/>
  <c r="AN637" i="59" s="1"/>
  <c r="O627" i="59"/>
  <c r="L67" i="63"/>
  <c r="L68" i="63" s="1"/>
  <c r="L52" i="60" s="1"/>
  <c r="E11" i="80"/>
  <c r="S630" i="59"/>
  <c r="H185" i="63"/>
  <c r="H268" i="63"/>
  <c r="H276" i="63" s="1"/>
  <c r="H65" i="60" s="1"/>
  <c r="G276" i="63"/>
  <c r="I137" i="63"/>
  <c r="K1056" i="59"/>
  <c r="V633" i="59"/>
  <c r="W633" i="59" s="1"/>
  <c r="X633" i="59" s="1"/>
  <c r="Y633" i="59" s="1"/>
  <c r="Z633" i="59" s="1"/>
  <c r="AA633" i="59" s="1"/>
  <c r="AB633" i="59" s="1"/>
  <c r="AC633" i="59" s="1"/>
  <c r="H151" i="63"/>
  <c r="AB638" i="59"/>
  <c r="AC638" i="59" s="1"/>
  <c r="AD638" i="59" s="1"/>
  <c r="AE638" i="59" s="1"/>
  <c r="AF638" i="59" s="1"/>
  <c r="AG638" i="59" s="1"/>
  <c r="AH638" i="59" s="1"/>
  <c r="AI638" i="59" s="1"/>
  <c r="AJ638" i="59" s="1"/>
  <c r="AK638" i="59" s="1"/>
  <c r="AL638" i="59" s="1"/>
  <c r="AM638" i="59" s="1"/>
  <c r="AN638" i="59" s="1"/>
  <c r="K53" i="60"/>
  <c r="K54" i="60" s="1"/>
  <c r="K71" i="63"/>
  <c r="K76" i="63"/>
  <c r="J141" i="63"/>
  <c r="J176" i="63"/>
  <c r="J244" i="63"/>
  <c r="AH644" i="59"/>
  <c r="AI644" i="59" s="1"/>
  <c r="AJ644" i="59" s="1"/>
  <c r="AK644" i="59" s="1"/>
  <c r="AL644" i="59" s="1"/>
  <c r="H79" i="60"/>
  <c r="F11" i="80" s="1"/>
  <c r="H151" i="60"/>
  <c r="AB640" i="59"/>
  <c r="AC640" i="59" s="1"/>
  <c r="AD640" i="59" s="1"/>
  <c r="AE640" i="59" s="1"/>
  <c r="AF640" i="59" s="1"/>
  <c r="AG640" i="59" s="1"/>
  <c r="AH640" i="59" s="1"/>
  <c r="AI640" i="59" s="1"/>
  <c r="AJ640" i="59" s="1"/>
  <c r="AK640" i="59" s="1"/>
  <c r="AL640" i="59" s="1"/>
  <c r="AM640" i="59" s="1"/>
  <c r="AN640" i="59" s="1"/>
  <c r="X632" i="59"/>
  <c r="L660" i="59" l="1"/>
  <c r="L614" i="59" s="1"/>
  <c r="L896" i="59" s="1"/>
  <c r="L897" i="59" s="1"/>
  <c r="M894" i="59" s="1"/>
  <c r="O626" i="59"/>
  <c r="P626" i="59" s="1"/>
  <c r="M660" i="59"/>
  <c r="M614" i="59" s="1"/>
  <c r="M896" i="59" s="1"/>
  <c r="U631" i="59"/>
  <c r="V631" i="59" s="1"/>
  <c r="I172" i="63"/>
  <c r="I185" i="63" s="1"/>
  <c r="I273" i="63"/>
  <c r="AD639" i="59"/>
  <c r="AE639" i="59" s="1"/>
  <c r="AF639" i="59" s="1"/>
  <c r="AG639" i="59" s="1"/>
  <c r="AH639" i="59" s="1"/>
  <c r="AI639" i="59" s="1"/>
  <c r="AJ639" i="59" s="1"/>
  <c r="AK639" i="59" s="1"/>
  <c r="AL639" i="59" s="1"/>
  <c r="AM639" i="59" s="1"/>
  <c r="AN639" i="59" s="1"/>
  <c r="P627" i="59"/>
  <c r="Q627" i="59" s="1"/>
  <c r="R627" i="59" s="1"/>
  <c r="S627" i="59" s="1"/>
  <c r="T627" i="59" s="1"/>
  <c r="U627" i="59" s="1"/>
  <c r="V627" i="59" s="1"/>
  <c r="W627" i="59" s="1"/>
  <c r="X627" i="59" s="1"/>
  <c r="Y627" i="59" s="1"/>
  <c r="Z627" i="59" s="1"/>
  <c r="AA627" i="59" s="1"/>
  <c r="AB627" i="59" s="1"/>
  <c r="AC627" i="59" s="1"/>
  <c r="AD627" i="59" s="1"/>
  <c r="AE627" i="59" s="1"/>
  <c r="AF627" i="59" s="1"/>
  <c r="AG627" i="59" s="1"/>
  <c r="AH627" i="59" s="1"/>
  <c r="AI627" i="59" s="1"/>
  <c r="AJ627" i="59" s="1"/>
  <c r="AK627" i="59" s="1"/>
  <c r="AL627" i="59" s="1"/>
  <c r="AM627" i="59" s="1"/>
  <c r="AN627" i="59" s="1"/>
  <c r="AB634" i="59"/>
  <c r="AC634" i="59" s="1"/>
  <c r="AD634" i="59" s="1"/>
  <c r="AE634" i="59" s="1"/>
  <c r="AF634" i="59" s="1"/>
  <c r="AG634" i="59" s="1"/>
  <c r="AH634" i="59" s="1"/>
  <c r="AI634" i="59" s="1"/>
  <c r="AJ634" i="59" s="1"/>
  <c r="AK634" i="59" s="1"/>
  <c r="AL634" i="59" s="1"/>
  <c r="AM634" i="59" s="1"/>
  <c r="AN634" i="59" s="1"/>
  <c r="AC635" i="59"/>
  <c r="AD635" i="59" s="1"/>
  <c r="AE635" i="59" s="1"/>
  <c r="AF635" i="59" s="1"/>
  <c r="AG635" i="59" s="1"/>
  <c r="AH635" i="59" s="1"/>
  <c r="AI635" i="59" s="1"/>
  <c r="AJ635" i="59" s="1"/>
  <c r="AK635" i="59" s="1"/>
  <c r="AL635" i="59" s="1"/>
  <c r="AM635" i="59" s="1"/>
  <c r="AN635" i="59" s="1"/>
  <c r="S628" i="59"/>
  <c r="T628" i="59" s="1"/>
  <c r="U628" i="59" s="1"/>
  <c r="V628" i="59" s="1"/>
  <c r="W628" i="59" s="1"/>
  <c r="X628" i="59" s="1"/>
  <c r="Y628" i="59" s="1"/>
  <c r="Z628" i="59" s="1"/>
  <c r="AA628" i="59" s="1"/>
  <c r="AB628" i="59" s="1"/>
  <c r="AC628" i="59" s="1"/>
  <c r="AD628" i="59" s="1"/>
  <c r="AE628" i="59" s="1"/>
  <c r="AF628" i="59" s="1"/>
  <c r="AG628" i="59" s="1"/>
  <c r="AH628" i="59" s="1"/>
  <c r="AI628" i="59" s="1"/>
  <c r="AJ628" i="59" s="1"/>
  <c r="AK628" i="59" s="1"/>
  <c r="AL628" i="59" s="1"/>
  <c r="AM628" i="59" s="1"/>
  <c r="AN628" i="59" s="1"/>
  <c r="K39" i="60"/>
  <c r="N65" i="63"/>
  <c r="O60" i="63"/>
  <c r="I19" i="80"/>
  <c r="M67" i="63"/>
  <c r="M68" i="63" s="1"/>
  <c r="M52" i="60" s="1"/>
  <c r="I267" i="63"/>
  <c r="I151" i="63"/>
  <c r="I150" i="63"/>
  <c r="L1056" i="59"/>
  <c r="G65" i="60"/>
  <c r="G150" i="60"/>
  <c r="L53" i="60"/>
  <c r="J19" i="80" s="1"/>
  <c r="L71" i="63"/>
  <c r="L39" i="60" s="1"/>
  <c r="L76" i="63"/>
  <c r="Y632" i="59"/>
  <c r="Z632" i="59" s="1"/>
  <c r="AA632" i="59" s="1"/>
  <c r="AB632" i="59" s="1"/>
  <c r="AC632" i="59" s="1"/>
  <c r="AD632" i="59" s="1"/>
  <c r="AE632" i="59" s="1"/>
  <c r="AF632" i="59" s="1"/>
  <c r="AG632" i="59" s="1"/>
  <c r="AH632" i="59" s="1"/>
  <c r="AI632" i="59" s="1"/>
  <c r="AJ632" i="59" s="1"/>
  <c r="AK632" i="59" s="1"/>
  <c r="AL632" i="59" s="1"/>
  <c r="AM632" i="59" s="1"/>
  <c r="AN632" i="59" s="1"/>
  <c r="AM644" i="59"/>
  <c r="AN644" i="59" s="1"/>
  <c r="AD633" i="59"/>
  <c r="AE633" i="59" s="1"/>
  <c r="AF633" i="59" s="1"/>
  <c r="AG633" i="59" s="1"/>
  <c r="AH633" i="59" s="1"/>
  <c r="AI633" i="59" s="1"/>
  <c r="AJ633" i="59" s="1"/>
  <c r="AK633" i="59" s="1"/>
  <c r="AL633" i="59" s="1"/>
  <c r="AM633" i="59" s="1"/>
  <c r="AN633" i="59" s="1"/>
  <c r="H150" i="60"/>
  <c r="T630" i="59"/>
  <c r="K141" i="63"/>
  <c r="K244" i="63"/>
  <c r="K176" i="63"/>
  <c r="N896" i="59"/>
  <c r="Q626" i="59" l="1"/>
  <c r="R626" i="59" s="1"/>
  <c r="M897" i="59"/>
  <c r="N894" i="59" s="1"/>
  <c r="N897" i="59" s="1"/>
  <c r="O894" i="59" s="1"/>
  <c r="L615" i="59"/>
  <c r="M612" i="59" s="1"/>
  <c r="M615" i="59" s="1"/>
  <c r="N612" i="59" s="1"/>
  <c r="N615" i="59" s="1"/>
  <c r="O612" i="59" s="1"/>
  <c r="O660" i="59"/>
  <c r="O614" i="59" s="1"/>
  <c r="O896" i="59" s="1"/>
  <c r="W631" i="59"/>
  <c r="X631" i="59" s="1"/>
  <c r="Y631" i="59" s="1"/>
  <c r="Z631" i="59" s="1"/>
  <c r="AA631" i="59" s="1"/>
  <c r="AB631" i="59" s="1"/>
  <c r="AC631" i="59" s="1"/>
  <c r="AD631" i="59" s="1"/>
  <c r="AE631" i="59" s="1"/>
  <c r="AF631" i="59" s="1"/>
  <c r="AG631" i="59" s="1"/>
  <c r="AH631" i="59" s="1"/>
  <c r="AI631" i="59" s="1"/>
  <c r="AJ631" i="59" s="1"/>
  <c r="AK631" i="59" s="1"/>
  <c r="AL631" i="59" s="1"/>
  <c r="AM631" i="59" s="1"/>
  <c r="AN631" i="59" s="1"/>
  <c r="I268" i="63"/>
  <c r="I276" i="63" s="1"/>
  <c r="I150" i="60" s="1"/>
  <c r="I177" i="63"/>
  <c r="I178" i="63" s="1"/>
  <c r="P660" i="59"/>
  <c r="P614" i="59" s="1"/>
  <c r="P896" i="59" s="1"/>
  <c r="I152" i="63"/>
  <c r="N67" i="63"/>
  <c r="N68" i="63" s="1"/>
  <c r="N52" i="60" s="1"/>
  <c r="L54" i="60"/>
  <c r="M1056" i="59"/>
  <c r="F9" i="80"/>
  <c r="H353" i="63"/>
  <c r="H355" i="63" s="1"/>
  <c r="H358" i="63" s="1"/>
  <c r="H67" i="60"/>
  <c r="H388" i="63" s="1"/>
  <c r="M76" i="63"/>
  <c r="M53" i="60"/>
  <c r="K19" i="80" s="1"/>
  <c r="M71" i="63"/>
  <c r="M39" i="60" s="1"/>
  <c r="I277" i="63"/>
  <c r="U630" i="59"/>
  <c r="V630" i="59" s="1"/>
  <c r="G67" i="60"/>
  <c r="G388" i="63" s="1"/>
  <c r="E9" i="80"/>
  <c r="G353" i="63"/>
  <c r="G355" i="63" s="1"/>
  <c r="L141" i="63"/>
  <c r="L244" i="63"/>
  <c r="L176" i="63"/>
  <c r="O65" i="63"/>
  <c r="P60" i="63"/>
  <c r="Q660" i="59" l="1"/>
  <c r="Q614" i="59" s="1"/>
  <c r="Q896" i="59" s="1"/>
  <c r="O897" i="59"/>
  <c r="P894" i="59" s="1"/>
  <c r="P897" i="59" s="1"/>
  <c r="Q894" i="59" s="1"/>
  <c r="O615" i="59"/>
  <c r="P612" i="59" s="1"/>
  <c r="P615" i="59" s="1"/>
  <c r="Q612" i="59" s="1"/>
  <c r="I65" i="60"/>
  <c r="I353" i="63" s="1"/>
  <c r="J175" i="63"/>
  <c r="J186" i="63" s="1"/>
  <c r="M54" i="60"/>
  <c r="W630" i="59"/>
  <c r="X630" i="59" s="1"/>
  <c r="Y630" i="59" s="1"/>
  <c r="Z630" i="59" s="1"/>
  <c r="AA630" i="59" s="1"/>
  <c r="AB630" i="59" s="1"/>
  <c r="AC630" i="59" s="1"/>
  <c r="AD630" i="59" s="1"/>
  <c r="AE630" i="59" s="1"/>
  <c r="AF630" i="59" s="1"/>
  <c r="AG630" i="59" s="1"/>
  <c r="AH630" i="59" s="1"/>
  <c r="AI630" i="59" s="1"/>
  <c r="AJ630" i="59" s="1"/>
  <c r="AK630" i="59" s="1"/>
  <c r="AL630" i="59" s="1"/>
  <c r="AM630" i="59" s="1"/>
  <c r="AN630" i="59" s="1"/>
  <c r="G358" i="63"/>
  <c r="G369" i="63" s="1"/>
  <c r="G370" i="63" s="1"/>
  <c r="G299" i="63"/>
  <c r="G31" i="68"/>
  <c r="I77" i="63"/>
  <c r="I66" i="60"/>
  <c r="R660" i="59"/>
  <c r="R614" i="59" s="1"/>
  <c r="R896" i="59" s="1"/>
  <c r="S626" i="59"/>
  <c r="H31" i="68"/>
  <c r="H299" i="63"/>
  <c r="G301" i="63" s="1" a="1"/>
  <c r="G301" i="63" s="1"/>
  <c r="G303" i="63" s="1"/>
  <c r="N1056" i="59"/>
  <c r="I142" i="63"/>
  <c r="I272" i="63"/>
  <c r="P65" i="63"/>
  <c r="Q60" i="63"/>
  <c r="O67" i="63"/>
  <c r="O68" i="63" s="1"/>
  <c r="O52" i="60" s="1"/>
  <c r="M141" i="63"/>
  <c r="M176" i="63"/>
  <c r="M244" i="63"/>
  <c r="H369" i="63"/>
  <c r="H370" i="63" s="1"/>
  <c r="H374" i="63" s="1"/>
  <c r="N76" i="63"/>
  <c r="N53" i="60"/>
  <c r="L19" i="80" s="1"/>
  <c r="N71" i="63"/>
  <c r="N39" i="60" s="1"/>
  <c r="Q615" i="59" l="1"/>
  <c r="R612" i="59" s="1"/>
  <c r="R615" i="59" s="1"/>
  <c r="S612" i="59" s="1"/>
  <c r="I67" i="60"/>
  <c r="I388" i="63" s="1"/>
  <c r="G9" i="80"/>
  <c r="J172" i="63"/>
  <c r="J268" i="63" s="1"/>
  <c r="I78" i="63"/>
  <c r="S660" i="59"/>
  <c r="S614" i="59" s="1"/>
  <c r="S896" i="59" s="1"/>
  <c r="T626" i="59"/>
  <c r="G374" i="63"/>
  <c r="G305" i="63"/>
  <c r="G307" i="63" s="1"/>
  <c r="G311" i="63"/>
  <c r="G313" i="63" s="1"/>
  <c r="J273" i="63"/>
  <c r="J177" i="63"/>
  <c r="O76" i="63"/>
  <c r="O71" i="63"/>
  <c r="O39" i="60" s="1"/>
  <c r="O53" i="60"/>
  <c r="M19" i="80" s="1"/>
  <c r="P67" i="63"/>
  <c r="P68" i="63" s="1"/>
  <c r="P52" i="60" s="1"/>
  <c r="Q897" i="59"/>
  <c r="R894" i="59" s="1"/>
  <c r="R897" i="59" s="1"/>
  <c r="S894" i="59" s="1"/>
  <c r="O1056" i="59"/>
  <c r="Q65" i="63"/>
  <c r="R60" i="63"/>
  <c r="F301" i="63" a="1"/>
  <c r="F301" i="63" s="1"/>
  <c r="F303" i="63" s="1"/>
  <c r="H381" i="63"/>
  <c r="H383" i="63" s="1"/>
  <c r="H376" i="63"/>
  <c r="I143" i="63"/>
  <c r="J140" i="63" s="1"/>
  <c r="N141" i="63"/>
  <c r="N176" i="63"/>
  <c r="N244" i="63"/>
  <c r="N54" i="60"/>
  <c r="I354" i="63"/>
  <c r="I355" i="63" s="1"/>
  <c r="G10" i="80"/>
  <c r="H1108" i="59" l="1"/>
  <c r="H1110" i="59"/>
  <c r="I31" i="68"/>
  <c r="I299" i="63"/>
  <c r="H301" i="63" s="1" a="1"/>
  <c r="H301" i="63" s="1"/>
  <c r="H303" i="63" s="1"/>
  <c r="H305" i="63" s="1"/>
  <c r="H307" i="63" s="1"/>
  <c r="J185" i="63"/>
  <c r="S615" i="59"/>
  <c r="T612" i="59" s="1"/>
  <c r="S897" i="59"/>
  <c r="T894" i="59" s="1"/>
  <c r="I358" i="63"/>
  <c r="J137" i="63"/>
  <c r="G316" i="63"/>
  <c r="G339" i="63" s="1"/>
  <c r="G315" i="63"/>
  <c r="O54" i="60"/>
  <c r="J178" i="63"/>
  <c r="I184" i="60"/>
  <c r="I109" i="63" s="1"/>
  <c r="I110" i="63" s="1"/>
  <c r="I118" i="63" s="1"/>
  <c r="J75" i="63"/>
  <c r="O141" i="63"/>
  <c r="O176" i="63"/>
  <c r="O244" i="63"/>
  <c r="P1056" i="59"/>
  <c r="J277" i="63"/>
  <c r="G381" i="63"/>
  <c r="G383" i="63" s="1"/>
  <c r="G376" i="63"/>
  <c r="J276" i="63"/>
  <c r="R65" i="63"/>
  <c r="S60" i="63"/>
  <c r="P71" i="63"/>
  <c r="P39" i="60" s="1"/>
  <c r="P76" i="63"/>
  <c r="P53" i="60"/>
  <c r="N19" i="80" s="1"/>
  <c r="F311" i="63"/>
  <c r="F345" i="63" s="1"/>
  <c r="F305" i="63"/>
  <c r="F307" i="63" s="1"/>
  <c r="Q67" i="63"/>
  <c r="Q68" i="63" s="1"/>
  <c r="Q52" i="60" s="1"/>
  <c r="T660" i="59"/>
  <c r="T614" i="59" s="1"/>
  <c r="T896" i="59" s="1"/>
  <c r="U626" i="59"/>
  <c r="H311" i="63" l="1"/>
  <c r="H345" i="63" s="1"/>
  <c r="K175" i="63"/>
  <c r="G1110" i="59"/>
  <c r="J66" i="60"/>
  <c r="J77" i="63"/>
  <c r="T897" i="59"/>
  <c r="U894" i="59" s="1"/>
  <c r="Q1056" i="59"/>
  <c r="T615" i="59"/>
  <c r="U612" i="59" s="1"/>
  <c r="I151" i="60"/>
  <c r="I79" i="60"/>
  <c r="P244" i="63"/>
  <c r="P141" i="63"/>
  <c r="P176" i="63"/>
  <c r="T60" i="63"/>
  <c r="S65" i="63"/>
  <c r="P54" i="60"/>
  <c r="U660" i="59"/>
  <c r="U614" i="59" s="1"/>
  <c r="U896" i="59" s="1"/>
  <c r="V626" i="59"/>
  <c r="J150" i="60"/>
  <c r="J65" i="60"/>
  <c r="J267" i="63"/>
  <c r="J151" i="63"/>
  <c r="J150" i="63"/>
  <c r="Q71" i="63"/>
  <c r="Q76" i="63"/>
  <c r="Q53" i="60"/>
  <c r="O19" i="80" s="1"/>
  <c r="R67" i="63"/>
  <c r="R68" i="63" s="1"/>
  <c r="R52" i="60" s="1"/>
  <c r="G1108" i="59"/>
  <c r="G345" i="63"/>
  <c r="G330" i="63"/>
  <c r="I369" i="63"/>
  <c r="I370" i="63" s="1"/>
  <c r="K172" i="63" l="1"/>
  <c r="K268" i="63" s="1"/>
  <c r="K186" i="63"/>
  <c r="K177" i="63" s="1"/>
  <c r="Q54" i="60"/>
  <c r="U897" i="59"/>
  <c r="V894" i="59" s="1"/>
  <c r="J78" i="63"/>
  <c r="H10" i="80"/>
  <c r="J354" i="63"/>
  <c r="R1056" i="59"/>
  <c r="V660" i="59"/>
  <c r="V614" i="59" s="1"/>
  <c r="V896" i="59" s="1"/>
  <c r="W626" i="59"/>
  <c r="Q176" i="63"/>
  <c r="Q141" i="63"/>
  <c r="Q244" i="63"/>
  <c r="H9" i="80"/>
  <c r="J353" i="63"/>
  <c r="J67" i="60"/>
  <c r="J388" i="63" s="1"/>
  <c r="S67" i="63"/>
  <c r="S68" i="63" s="1"/>
  <c r="S52" i="60" s="1"/>
  <c r="G11" i="80"/>
  <c r="U615" i="59"/>
  <c r="V612" i="59" s="1"/>
  <c r="J152" i="63"/>
  <c r="R76" i="63"/>
  <c r="R71" i="63"/>
  <c r="R53" i="60"/>
  <c r="P19" i="80" s="1"/>
  <c r="I374" i="63"/>
  <c r="I381" i="63" s="1"/>
  <c r="Q39" i="60"/>
  <c r="Q151" i="60"/>
  <c r="T65" i="63"/>
  <c r="U60" i="63"/>
  <c r="U65" i="63" s="1"/>
  <c r="K185" i="63" l="1"/>
  <c r="K273" i="63"/>
  <c r="K277" i="63" s="1"/>
  <c r="J355" i="63"/>
  <c r="J358" i="63" s="1"/>
  <c r="R54" i="60"/>
  <c r="K178" i="63"/>
  <c r="S1056" i="59"/>
  <c r="S76" i="63"/>
  <c r="S71" i="63"/>
  <c r="S53" i="60"/>
  <c r="Q19" i="80" s="1"/>
  <c r="V897" i="59"/>
  <c r="W894" i="59" s="1"/>
  <c r="J142" i="63"/>
  <c r="J272" i="63"/>
  <c r="K276" i="63"/>
  <c r="J184" i="60"/>
  <c r="J109" i="63" s="1"/>
  <c r="J110" i="63" s="1"/>
  <c r="J118" i="63" s="1"/>
  <c r="K75" i="63"/>
  <c r="T67" i="63"/>
  <c r="T68" i="63" s="1"/>
  <c r="T52" i="60" s="1"/>
  <c r="R151" i="60"/>
  <c r="R39" i="60"/>
  <c r="R244" i="63"/>
  <c r="R176" i="63"/>
  <c r="R141" i="63"/>
  <c r="V615" i="59"/>
  <c r="W612" i="59" s="1"/>
  <c r="U67" i="63"/>
  <c r="U68" i="63" s="1"/>
  <c r="F65" i="63"/>
  <c r="J31" i="68"/>
  <c r="J299" i="63"/>
  <c r="W660" i="59"/>
  <c r="W614" i="59" s="1"/>
  <c r="W896" i="59" s="1"/>
  <c r="X626" i="59"/>
  <c r="L175" i="63" l="1"/>
  <c r="L186" i="63" s="1"/>
  <c r="S54" i="60"/>
  <c r="W615" i="59"/>
  <c r="X612" i="59" s="1"/>
  <c r="K150" i="60"/>
  <c r="K65" i="60"/>
  <c r="S244" i="63"/>
  <c r="S176" i="63"/>
  <c r="S141" i="63"/>
  <c r="J369" i="63"/>
  <c r="J370" i="63" s="1"/>
  <c r="W897" i="59"/>
  <c r="X894" i="59" s="1"/>
  <c r="T71" i="63"/>
  <c r="T76" i="63"/>
  <c r="T53" i="60"/>
  <c r="R19" i="80" s="1"/>
  <c r="U53" i="60"/>
  <c r="U76" i="63"/>
  <c r="U71" i="63"/>
  <c r="F67" i="63"/>
  <c r="U52" i="60"/>
  <c r="F68" i="63"/>
  <c r="T1056" i="59"/>
  <c r="K77" i="63"/>
  <c r="K66" i="60"/>
  <c r="J151" i="60"/>
  <c r="J79" i="60"/>
  <c r="J143" i="63"/>
  <c r="K140" i="63" s="1"/>
  <c r="X660" i="59"/>
  <c r="X614" i="59" s="1"/>
  <c r="X896" i="59" s="1"/>
  <c r="Y626" i="59"/>
  <c r="I301" i="63" a="1"/>
  <c r="I301" i="63" s="1"/>
  <c r="I303" i="63" s="1"/>
  <c r="S151" i="60"/>
  <c r="S39" i="60"/>
  <c r="L172" i="63" l="1"/>
  <c r="L185" i="63" s="1"/>
  <c r="T54" i="60"/>
  <c r="F69" i="63"/>
  <c r="Y660" i="59"/>
  <c r="Y614" i="59" s="1"/>
  <c r="Y896" i="59" s="1"/>
  <c r="Z626" i="59"/>
  <c r="K137" i="63"/>
  <c r="U176" i="63"/>
  <c r="U244" i="63"/>
  <c r="U141" i="63"/>
  <c r="F76" i="63"/>
  <c r="X897" i="59"/>
  <c r="Y894" i="59" s="1"/>
  <c r="S19" i="80"/>
  <c r="F53" i="60"/>
  <c r="X615" i="59"/>
  <c r="Y612" i="59" s="1"/>
  <c r="K78" i="63"/>
  <c r="U151" i="60"/>
  <c r="U39" i="60"/>
  <c r="F71" i="63"/>
  <c r="T176" i="63"/>
  <c r="T141" i="63"/>
  <c r="T244" i="63"/>
  <c r="I305" i="63"/>
  <c r="I307" i="63" s="1"/>
  <c r="I311" i="63"/>
  <c r="U1056" i="59"/>
  <c r="F1056" i="59" s="1"/>
  <c r="U54" i="60"/>
  <c r="F52" i="60"/>
  <c r="T39" i="60"/>
  <c r="T151" i="60"/>
  <c r="K353" i="63"/>
  <c r="I9" i="80"/>
  <c r="K67" i="60"/>
  <c r="K388" i="63" s="1"/>
  <c r="H11" i="80"/>
  <c r="L177" i="63"/>
  <c r="L273" i="63"/>
  <c r="K354" i="63"/>
  <c r="I10" i="80"/>
  <c r="J374" i="63"/>
  <c r="J381" i="63" s="1"/>
  <c r="L268" i="63" l="1"/>
  <c r="L276" i="63" s="1"/>
  <c r="L150" i="60" s="1"/>
  <c r="Y897" i="59"/>
  <c r="Z894" i="59" s="1"/>
  <c r="F54" i="60"/>
  <c r="Y615" i="59"/>
  <c r="Z612" i="59" s="1"/>
  <c r="K355" i="63"/>
  <c r="K358" i="63" s="1"/>
  <c r="F141" i="63"/>
  <c r="L277" i="63"/>
  <c r="F39" i="60"/>
  <c r="K184" i="60"/>
  <c r="K109" i="63" s="1"/>
  <c r="K110" i="63" s="1"/>
  <c r="K118" i="63" s="1"/>
  <c r="L75" i="63"/>
  <c r="F244" i="63"/>
  <c r="K31" i="68"/>
  <c r="K299" i="63"/>
  <c r="F176" i="63"/>
  <c r="K151" i="63"/>
  <c r="K150" i="63"/>
  <c r="K267" i="63"/>
  <c r="L178" i="63"/>
  <c r="Z660" i="59"/>
  <c r="Z614" i="59" s="1"/>
  <c r="Z896" i="59" s="1"/>
  <c r="AA626" i="59"/>
  <c r="I345" i="63"/>
  <c r="E23" i="66"/>
  <c r="D19" i="80"/>
  <c r="L65" i="60" l="1"/>
  <c r="J9" i="80" s="1"/>
  <c r="M175" i="63"/>
  <c r="M186" i="63" s="1"/>
  <c r="Z897" i="59"/>
  <c r="AA894" i="59" s="1"/>
  <c r="Z615" i="59"/>
  <c r="AA612" i="59" s="1"/>
  <c r="K151" i="60"/>
  <c r="K79" i="60"/>
  <c r="K369" i="63"/>
  <c r="K370" i="63" s="1"/>
  <c r="L66" i="60"/>
  <c r="L77" i="63"/>
  <c r="L78" i="63" s="1"/>
  <c r="K152" i="63"/>
  <c r="J301" i="63" a="1"/>
  <c r="J301" i="63" s="1"/>
  <c r="J303" i="63" s="1"/>
  <c r="AA660" i="59"/>
  <c r="AA614" i="59" s="1"/>
  <c r="AA896" i="59" s="1"/>
  <c r="AB626" i="59"/>
  <c r="L67" i="60" l="1"/>
  <c r="L388" i="63" s="1"/>
  <c r="L353" i="63"/>
  <c r="M172" i="63"/>
  <c r="M268" i="63" s="1"/>
  <c r="M276" i="63" s="1"/>
  <c r="L184" i="60"/>
  <c r="L109" i="63" s="1"/>
  <c r="L110" i="63" s="1"/>
  <c r="L118" i="63" s="1"/>
  <c r="M75" i="63"/>
  <c r="AA897" i="59"/>
  <c r="AB894" i="59" s="1"/>
  <c r="K374" i="63"/>
  <c r="K381" i="63" s="1"/>
  <c r="K142" i="63"/>
  <c r="K272" i="63"/>
  <c r="J10" i="80"/>
  <c r="L354" i="63"/>
  <c r="I11" i="80"/>
  <c r="J305" i="63"/>
  <c r="J307" i="63" s="1"/>
  <c r="J311" i="63"/>
  <c r="M177" i="63"/>
  <c r="M273" i="63"/>
  <c r="AB660" i="59"/>
  <c r="AB614" i="59" s="1"/>
  <c r="AB896" i="59" s="1"/>
  <c r="AC626" i="59"/>
  <c r="AA615" i="59"/>
  <c r="AB612" i="59" s="1"/>
  <c r="L299" i="63" l="1"/>
  <c r="K301" i="63" s="1" a="1"/>
  <c r="K301" i="63" s="1"/>
  <c r="K303" i="63" s="1"/>
  <c r="L31" i="68"/>
  <c r="M185" i="63"/>
  <c r="L355" i="63"/>
  <c r="L358" i="63" s="1"/>
  <c r="AB615" i="59"/>
  <c r="AC612" i="59" s="1"/>
  <c r="AB897" i="59"/>
  <c r="AC894" i="59" s="1"/>
  <c r="M178" i="63"/>
  <c r="K143" i="63"/>
  <c r="L140" i="63" s="1"/>
  <c r="M150" i="60"/>
  <c r="M65" i="60"/>
  <c r="L79" i="60"/>
  <c r="J11" i="80" s="1"/>
  <c r="L151" i="60"/>
  <c r="AC660" i="59"/>
  <c r="AC614" i="59" s="1"/>
  <c r="AC896" i="59" s="1"/>
  <c r="AD626" i="59"/>
  <c r="J345" i="63"/>
  <c r="M277" i="63"/>
  <c r="N175" i="63" l="1"/>
  <c r="N186" i="63" s="1"/>
  <c r="AC615" i="59"/>
  <c r="AD612" i="59" s="1"/>
  <c r="K305" i="63"/>
  <c r="K307" i="63" s="1"/>
  <c r="K311" i="63"/>
  <c r="AD660" i="59"/>
  <c r="AD614" i="59" s="1"/>
  <c r="AD896" i="59" s="1"/>
  <c r="AE626" i="59"/>
  <c r="L137" i="63"/>
  <c r="K9" i="80"/>
  <c r="M353" i="63"/>
  <c r="M66" i="60"/>
  <c r="M67" i="60" s="1"/>
  <c r="M388" i="63" s="1"/>
  <c r="M77" i="63"/>
  <c r="M78" i="63" s="1"/>
  <c r="AC897" i="59"/>
  <c r="AD894" i="59" s="1"/>
  <c r="L369" i="63"/>
  <c r="L370" i="63" s="1"/>
  <c r="N172" i="63" l="1"/>
  <c r="N185" i="63" s="1"/>
  <c r="M31" i="68"/>
  <c r="M299" i="63"/>
  <c r="N177" i="63"/>
  <c r="N178" i="63" s="1"/>
  <c r="N273" i="63"/>
  <c r="N277" i="63" s="1"/>
  <c r="AE660" i="59"/>
  <c r="AE614" i="59" s="1"/>
  <c r="AE896" i="59" s="1"/>
  <c r="AF626" i="59"/>
  <c r="AD897" i="59"/>
  <c r="AE894" i="59" s="1"/>
  <c r="K345" i="63"/>
  <c r="AD615" i="59"/>
  <c r="AE612" i="59" s="1"/>
  <c r="L151" i="63"/>
  <c r="L267" i="63"/>
  <c r="L150" i="63"/>
  <c r="M354" i="63"/>
  <c r="M355" i="63" s="1"/>
  <c r="M358" i="63" s="1"/>
  <c r="K10" i="80"/>
  <c r="L374" i="63"/>
  <c r="L381" i="63" s="1"/>
  <c r="M184" i="60"/>
  <c r="M109" i="63" s="1"/>
  <c r="M110" i="63" s="1"/>
  <c r="M118" i="63" s="1"/>
  <c r="N75" i="63"/>
  <c r="N268" i="63" l="1"/>
  <c r="N276" i="63" s="1"/>
  <c r="N150" i="60" s="1"/>
  <c r="O175" i="63"/>
  <c r="O186" i="63" s="1"/>
  <c r="AE897" i="59"/>
  <c r="AF894" i="59" s="1"/>
  <c r="AF660" i="59"/>
  <c r="AF614" i="59" s="1"/>
  <c r="AF896" i="59" s="1"/>
  <c r="AG626" i="59"/>
  <c r="L152" i="63"/>
  <c r="M79" i="60"/>
  <c r="K11" i="80" s="1"/>
  <c r="M151" i="60"/>
  <c r="M369" i="63"/>
  <c r="M370" i="63" s="1"/>
  <c r="M374" i="63" s="1"/>
  <c r="M381" i="63" s="1"/>
  <c r="N77" i="63"/>
  <c r="N78" i="63" s="1"/>
  <c r="N66" i="60"/>
  <c r="L301" i="63" a="1"/>
  <c r="L301" i="63" s="1"/>
  <c r="L303" i="63" s="1"/>
  <c r="AE615" i="59"/>
  <c r="AF612" i="59" s="1"/>
  <c r="O172" i="63" l="1"/>
  <c r="O185" i="63" s="1"/>
  <c r="N65" i="60"/>
  <c r="L9" i="80" s="1"/>
  <c r="AF615" i="59"/>
  <c r="AG612" i="59" s="1"/>
  <c r="N184" i="60"/>
  <c r="N109" i="63" s="1"/>
  <c r="N110" i="63" s="1"/>
  <c r="N118" i="63" s="1"/>
  <c r="O75" i="63"/>
  <c r="L305" i="63"/>
  <c r="L307" i="63" s="1"/>
  <c r="L311" i="63"/>
  <c r="AG660" i="59"/>
  <c r="AG614" i="59" s="1"/>
  <c r="AG896" i="59" s="1"/>
  <c r="AH626" i="59"/>
  <c r="O177" i="63"/>
  <c r="O178" i="63" s="1"/>
  <c r="O273" i="63"/>
  <c r="O277" i="63" s="1"/>
  <c r="N354" i="63"/>
  <c r="L10" i="80"/>
  <c r="AF897" i="59"/>
  <c r="AG894" i="59" s="1"/>
  <c r="L272" i="63"/>
  <c r="L142" i="63"/>
  <c r="N67" i="60" l="1"/>
  <c r="N388" i="63" s="1"/>
  <c r="O268" i="63"/>
  <c r="O276" i="63" s="1"/>
  <c r="O150" i="60" s="1"/>
  <c r="N353" i="63"/>
  <c r="N355" i="63" s="1"/>
  <c r="N358" i="63" s="1"/>
  <c r="N369" i="63" s="1"/>
  <c r="N370" i="63" s="1"/>
  <c r="N374" i="63" s="1"/>
  <c r="N381" i="63" s="1"/>
  <c r="P175" i="63"/>
  <c r="AH660" i="59"/>
  <c r="AH614" i="59" s="1"/>
  <c r="AH896" i="59" s="1"/>
  <c r="AI626" i="59"/>
  <c r="AG897" i="59"/>
  <c r="AH894" i="59" s="1"/>
  <c r="O77" i="63"/>
  <c r="O78" i="63" s="1"/>
  <c r="O66" i="60"/>
  <c r="N151" i="60"/>
  <c r="N79" i="60"/>
  <c r="L11" i="80" s="1"/>
  <c r="AG615" i="59"/>
  <c r="AH612" i="59" s="1"/>
  <c r="L345" i="63"/>
  <c r="L143" i="63"/>
  <c r="M140" i="63" s="1"/>
  <c r="P172" i="63" l="1"/>
  <c r="P268" i="63" s="1"/>
  <c r="P276" i="63" s="1"/>
  <c r="P186" i="63"/>
  <c r="P177" i="63" s="1"/>
  <c r="P178" i="63" s="1"/>
  <c r="N299" i="63"/>
  <c r="M301" i="63" s="1" a="1"/>
  <c r="M301" i="63" s="1"/>
  <c r="M303" i="63" s="1"/>
  <c r="M311" i="63" s="1"/>
  <c r="N31" i="68"/>
  <c r="O65" i="60"/>
  <c r="O67" i="60" s="1"/>
  <c r="O388" i="63" s="1"/>
  <c r="O184" i="60"/>
  <c r="O109" i="63" s="1"/>
  <c r="O110" i="63" s="1"/>
  <c r="O118" i="63" s="1"/>
  <c r="P75" i="63"/>
  <c r="AI660" i="59"/>
  <c r="AI614" i="59" s="1"/>
  <c r="AI896" i="59" s="1"/>
  <c r="AJ626" i="59"/>
  <c r="M10" i="80"/>
  <c r="O354" i="63"/>
  <c r="AH897" i="59"/>
  <c r="AI894" i="59" s="1"/>
  <c r="AH615" i="59"/>
  <c r="AI612" i="59" s="1"/>
  <c r="M137" i="63"/>
  <c r="P185" i="63" l="1"/>
  <c r="M305" i="63"/>
  <c r="M307" i="63" s="1"/>
  <c r="O353" i="63"/>
  <c r="O355" i="63" s="1"/>
  <c r="O358" i="63" s="1"/>
  <c r="M9" i="80"/>
  <c r="P273" i="63"/>
  <c r="P277" i="63" s="1"/>
  <c r="P66" i="60" s="1"/>
  <c r="Q175" i="63"/>
  <c r="Q186" i="63" s="1"/>
  <c r="AI615" i="59"/>
  <c r="AJ612" i="59" s="1"/>
  <c r="AI897" i="59"/>
  <c r="AJ894" i="59" s="1"/>
  <c r="P150" i="60"/>
  <c r="P65" i="60"/>
  <c r="M151" i="63"/>
  <c r="M267" i="63"/>
  <c r="M150" i="63"/>
  <c r="AJ660" i="59"/>
  <c r="AJ614" i="59" s="1"/>
  <c r="AJ896" i="59" s="1"/>
  <c r="AK626" i="59"/>
  <c r="M345" i="63"/>
  <c r="O31" i="68"/>
  <c r="O299" i="63"/>
  <c r="N301" i="63" s="1" a="1"/>
  <c r="N301" i="63" s="1"/>
  <c r="N303" i="63" s="1"/>
  <c r="O79" i="60"/>
  <c r="M11" i="80" s="1"/>
  <c r="O151" i="60"/>
  <c r="P77" i="63" l="1"/>
  <c r="P78" i="63" s="1"/>
  <c r="Q75" i="63" s="1"/>
  <c r="Q172" i="63"/>
  <c r="Q268" i="63" s="1"/>
  <c r="Q276" i="63" s="1"/>
  <c r="AJ615" i="59"/>
  <c r="AK612" i="59" s="1"/>
  <c r="M152" i="63"/>
  <c r="AK660" i="59"/>
  <c r="AK614" i="59" s="1"/>
  <c r="AK896" i="59" s="1"/>
  <c r="AL626" i="59"/>
  <c r="N305" i="63"/>
  <c r="N307" i="63" s="1"/>
  <c r="N311" i="63"/>
  <c r="P353" i="63"/>
  <c r="N9" i="80"/>
  <c r="P67" i="60"/>
  <c r="P388" i="63" s="1"/>
  <c r="AJ897" i="59"/>
  <c r="AJ32" i="68" s="1"/>
  <c r="Q177" i="63"/>
  <c r="Q178" i="63" s="1"/>
  <c r="Q273" i="63"/>
  <c r="Q277" i="63" s="1"/>
  <c r="O369" i="63"/>
  <c r="O370" i="63" s="1"/>
  <c r="O374" i="63" s="1"/>
  <c r="O381" i="63" s="1"/>
  <c r="P354" i="63"/>
  <c r="N10" i="80"/>
  <c r="P184" i="60" l="1"/>
  <c r="P109" i="63" s="1"/>
  <c r="P110" i="63" s="1"/>
  <c r="P118" i="63" s="1"/>
  <c r="P151" i="60" s="1"/>
  <c r="Q185" i="63"/>
  <c r="R175" i="63"/>
  <c r="R186" i="63" s="1"/>
  <c r="AK615" i="59"/>
  <c r="AL612" i="59" s="1"/>
  <c r="Q77" i="63"/>
  <c r="Q78" i="63" s="1"/>
  <c r="Q66" i="60"/>
  <c r="P355" i="63"/>
  <c r="P358" i="63" s="1"/>
  <c r="N345" i="63"/>
  <c r="M142" i="63"/>
  <c r="M272" i="63"/>
  <c r="F32" i="68"/>
  <c r="AK894" i="59"/>
  <c r="AK897" i="59" s="1"/>
  <c r="AL894" i="59" s="1"/>
  <c r="P31" i="68"/>
  <c r="P299" i="63"/>
  <c r="O301" i="63" s="1" a="1"/>
  <c r="O301" i="63" s="1"/>
  <c r="O303" i="63" s="1"/>
  <c r="AL660" i="59"/>
  <c r="AL614" i="59" s="1"/>
  <c r="AL896" i="59" s="1"/>
  <c r="AL942" i="59" s="1"/>
  <c r="AM626" i="59"/>
  <c r="Q150" i="60"/>
  <c r="Q65" i="60"/>
  <c r="P79" i="60" l="1"/>
  <c r="F79" i="60" s="1"/>
  <c r="F118" i="63"/>
  <c r="R172" i="63"/>
  <c r="R185" i="63" s="1"/>
  <c r="Q184" i="60"/>
  <c r="Q109" i="63" s="1"/>
  <c r="Q110" i="63" s="1"/>
  <c r="R75" i="63"/>
  <c r="R273" i="63"/>
  <c r="R277" i="63" s="1"/>
  <c r="R177" i="63"/>
  <c r="R178" i="63" s="1"/>
  <c r="O305" i="63"/>
  <c r="O307" i="63" s="1"/>
  <c r="O311" i="63"/>
  <c r="AL615" i="59"/>
  <c r="AM612" i="59" s="1"/>
  <c r="O10" i="80"/>
  <c r="Q354" i="63"/>
  <c r="P369" i="63"/>
  <c r="P370" i="63" s="1"/>
  <c r="P374" i="63" s="1"/>
  <c r="P381" i="63" s="1"/>
  <c r="AL954" i="59"/>
  <c r="AL897" i="59"/>
  <c r="AM894" i="59" s="1"/>
  <c r="Q353" i="63"/>
  <c r="O9" i="80"/>
  <c r="Q67" i="60"/>
  <c r="Q388" i="63" s="1"/>
  <c r="M143" i="63"/>
  <c r="N140" i="63" s="1"/>
  <c r="F151" i="60"/>
  <c r="AM660" i="59"/>
  <c r="AM614" i="59" s="1"/>
  <c r="AM896" i="59" s="1"/>
  <c r="AM942" i="59" s="1"/>
  <c r="AN626" i="59"/>
  <c r="AN660" i="59" s="1"/>
  <c r="AN614" i="59" s="1"/>
  <c r="N11" i="80" l="1"/>
  <c r="D11" i="80" s="1"/>
  <c r="R268" i="63"/>
  <c r="R276" i="63" s="1"/>
  <c r="R150" i="60" s="1"/>
  <c r="S175" i="63"/>
  <c r="S186" i="63" s="1"/>
  <c r="AM897" i="59"/>
  <c r="AN894" i="59" s="1"/>
  <c r="Q355" i="63"/>
  <c r="Q358" i="63" s="1"/>
  <c r="Q369" i="63" s="1"/>
  <c r="Q370" i="63" s="1"/>
  <c r="Q374" i="63" s="1"/>
  <c r="Q381" i="63" s="1"/>
  <c r="N137" i="63"/>
  <c r="O345" i="63"/>
  <c r="R66" i="60"/>
  <c r="R77" i="63"/>
  <c r="R78" i="63" s="1"/>
  <c r="AN896" i="59"/>
  <c r="F614" i="59"/>
  <c r="AM954" i="59"/>
  <c r="Q31" i="68"/>
  <c r="Q299" i="63"/>
  <c r="P301" i="63" s="1" a="1"/>
  <c r="P301" i="63" s="1"/>
  <c r="P303" i="63" s="1"/>
  <c r="AM615" i="59"/>
  <c r="AN612" i="59" s="1"/>
  <c r="AN615" i="59" s="1"/>
  <c r="E40" i="66" l="1"/>
  <c r="R65" i="60"/>
  <c r="R353" i="63" s="1"/>
  <c r="S172" i="63"/>
  <c r="S268" i="63" s="1"/>
  <c r="S276" i="63" s="1"/>
  <c r="AN897" i="59"/>
  <c r="R184" i="60"/>
  <c r="R109" i="63" s="1"/>
  <c r="R110" i="63" s="1"/>
  <c r="S75" i="63"/>
  <c r="AN942" i="59"/>
  <c r="F896" i="59"/>
  <c r="R354" i="63"/>
  <c r="P10" i="80"/>
  <c r="P305" i="63"/>
  <c r="P307" i="63" s="1"/>
  <c r="P311" i="63"/>
  <c r="N267" i="63"/>
  <c r="N151" i="63"/>
  <c r="N150" i="63"/>
  <c r="S273" i="63"/>
  <c r="S277" i="63" s="1"/>
  <c r="S177" i="63"/>
  <c r="S178" i="63" s="1"/>
  <c r="P9" i="80" l="1"/>
  <c r="R67" i="60"/>
  <c r="R388" i="63" s="1"/>
  <c r="S185" i="63"/>
  <c r="T175" i="63"/>
  <c r="T186" i="63" s="1"/>
  <c r="R355" i="63"/>
  <c r="R358" i="63" s="1"/>
  <c r="R369" i="63" s="1"/>
  <c r="R370" i="63" s="1"/>
  <c r="R374" i="63" s="1"/>
  <c r="R381" i="63" s="1"/>
  <c r="N152" i="63"/>
  <c r="N272" i="63" s="1"/>
  <c r="S150" i="60"/>
  <c r="S65" i="60"/>
  <c r="P345" i="63"/>
  <c r="S77" i="63"/>
  <c r="S78" i="63" s="1"/>
  <c r="S66" i="60"/>
  <c r="AN954" i="59"/>
  <c r="AN945" i="59"/>
  <c r="R299" i="63" l="1"/>
  <c r="Q301" i="63" s="1" a="1"/>
  <c r="Q301" i="63" s="1"/>
  <c r="Q303" i="63" s="1"/>
  <c r="Q311" i="63" s="1"/>
  <c r="R31" i="68"/>
  <c r="T172" i="63"/>
  <c r="T185" i="63" s="1"/>
  <c r="N142" i="63"/>
  <c r="N143" i="63" s="1"/>
  <c r="O140" i="63" s="1"/>
  <c r="O137" i="63" s="1"/>
  <c r="S184" i="60"/>
  <c r="S109" i="63" s="1"/>
  <c r="S110" i="63" s="1"/>
  <c r="T75" i="63"/>
  <c r="AN948" i="59"/>
  <c r="AN949" i="59"/>
  <c r="AN947" i="59"/>
  <c r="Q10" i="80"/>
  <c r="S354" i="63"/>
  <c r="Q9" i="80"/>
  <c r="S353" i="63"/>
  <c r="S67" i="60"/>
  <c r="S388" i="63" s="1"/>
  <c r="T273" i="63"/>
  <c r="T277" i="63" s="1"/>
  <c r="T177" i="63"/>
  <c r="T178" i="63" s="1"/>
  <c r="Q305" i="63" l="1"/>
  <c r="Q307" i="63" s="1"/>
  <c r="T268" i="63"/>
  <c r="T276" i="63" s="1"/>
  <c r="T65" i="60" s="1"/>
  <c r="U175" i="63"/>
  <c r="U186" i="63" s="1"/>
  <c r="S355" i="63"/>
  <c r="S358" i="63" s="1"/>
  <c r="S369" i="63" s="1"/>
  <c r="S370" i="63" s="1"/>
  <c r="S374" i="63" s="1"/>
  <c r="S381" i="63" s="1"/>
  <c r="Q345" i="63"/>
  <c r="AN951" i="59"/>
  <c r="T77" i="63"/>
  <c r="T78" i="63" s="1"/>
  <c r="T66" i="60"/>
  <c r="S31" i="68"/>
  <c r="S299" i="63"/>
  <c r="R301" i="63" s="1" a="1"/>
  <c r="R301" i="63" s="1"/>
  <c r="R303" i="63" s="1"/>
  <c r="O151" i="63"/>
  <c r="O150" i="63"/>
  <c r="O267" i="63"/>
  <c r="T150" i="60" l="1"/>
  <c r="U172" i="63"/>
  <c r="U268" i="63" s="1"/>
  <c r="U276" i="63" s="1"/>
  <c r="O152" i="63"/>
  <c r="O142" i="63" s="1"/>
  <c r="O143" i="63" s="1"/>
  <c r="P140" i="63" s="1"/>
  <c r="T184" i="60"/>
  <c r="T109" i="63" s="1"/>
  <c r="T110" i="63" s="1"/>
  <c r="U75" i="63"/>
  <c r="R305" i="63"/>
  <c r="R307" i="63" s="1"/>
  <c r="R311" i="63"/>
  <c r="R10" i="80"/>
  <c r="T354" i="63"/>
  <c r="AN985" i="59"/>
  <c r="R9" i="80"/>
  <c r="T353" i="63"/>
  <c r="T67" i="60"/>
  <c r="T388" i="63" s="1"/>
  <c r="U273" i="63"/>
  <c r="U277" i="63" s="1"/>
  <c r="U177" i="63"/>
  <c r="U178" i="63" s="1"/>
  <c r="U185" i="63" l="1"/>
  <c r="V175" i="63"/>
  <c r="T355" i="63"/>
  <c r="T358" i="63" s="1"/>
  <c r="T369" i="63" s="1"/>
  <c r="T370" i="63" s="1"/>
  <c r="T374" i="63" s="1"/>
  <c r="T381" i="63" s="1"/>
  <c r="O272" i="63"/>
  <c r="R345" i="63"/>
  <c r="T31" i="68"/>
  <c r="T299" i="63"/>
  <c r="S301" i="63" s="1" a="1"/>
  <c r="S301" i="63" s="1"/>
  <c r="S303" i="63" s="1"/>
  <c r="U150" i="60"/>
  <c r="U65" i="60"/>
  <c r="P137" i="63"/>
  <c r="U77" i="63"/>
  <c r="U78" i="63" s="1"/>
  <c r="U66" i="60"/>
  <c r="V172" i="63" l="1"/>
  <c r="V268" i="63" s="1"/>
  <c r="V276" i="63" s="1"/>
  <c r="V186" i="63"/>
  <c r="V177" i="63" s="1"/>
  <c r="U184" i="60"/>
  <c r="U109" i="63" s="1"/>
  <c r="U110" i="63" s="1"/>
  <c r="V75" i="63"/>
  <c r="P150" i="63"/>
  <c r="P267" i="63"/>
  <c r="P151" i="63"/>
  <c r="U353" i="63"/>
  <c r="S9" i="80"/>
  <c r="U67" i="60"/>
  <c r="U388" i="63" s="1"/>
  <c r="S305" i="63"/>
  <c r="S307" i="63" s="1"/>
  <c r="S311" i="63"/>
  <c r="U354" i="63"/>
  <c r="S10" i="80"/>
  <c r="V185" i="63" l="1"/>
  <c r="V273" i="63"/>
  <c r="V277" i="63" s="1"/>
  <c r="F186" i="63"/>
  <c r="P152" i="63"/>
  <c r="P272" i="63" s="1"/>
  <c r="U355" i="63"/>
  <c r="U358" i="63" s="1"/>
  <c r="U369" i="63" s="1"/>
  <c r="U370" i="63" s="1"/>
  <c r="U374" i="63" s="1"/>
  <c r="U381" i="63" s="1"/>
  <c r="U31" i="68"/>
  <c r="U299" i="63"/>
  <c r="T301" i="63" s="1" a="1"/>
  <c r="T301" i="63" s="1"/>
  <c r="T303" i="63" s="1"/>
  <c r="S345" i="63"/>
  <c r="V150" i="60"/>
  <c r="V65" i="60"/>
  <c r="F177" i="63"/>
  <c r="V178" i="63"/>
  <c r="F273" i="63" l="1"/>
  <c r="W175" i="63"/>
  <c r="W178" i="63" s="1"/>
  <c r="P142" i="63"/>
  <c r="P143" i="63" s="1"/>
  <c r="Q140" i="63" s="1"/>
  <c r="Q137" i="63" s="1"/>
  <c r="T305" i="63"/>
  <c r="T307" i="63" s="1"/>
  <c r="T311" i="63"/>
  <c r="V77" i="63"/>
  <c r="V66" i="60"/>
  <c r="V67" i="60" s="1"/>
  <c r="V388" i="63" s="1"/>
  <c r="F277" i="63"/>
  <c r="T9" i="80"/>
  <c r="V353" i="63"/>
  <c r="W172" i="63" l="1"/>
  <c r="W268" i="63" s="1"/>
  <c r="W276" i="63" s="1"/>
  <c r="X175" i="63"/>
  <c r="X178" i="63" s="1"/>
  <c r="F77" i="63"/>
  <c r="V78" i="63"/>
  <c r="V31" i="68"/>
  <c r="V299" i="63"/>
  <c r="U301" i="63" s="1" a="1"/>
  <c r="U301" i="63" s="1"/>
  <c r="U303" i="63" s="1"/>
  <c r="T345" i="63"/>
  <c r="Q151" i="63"/>
  <c r="Q150" i="63"/>
  <c r="Q267" i="63"/>
  <c r="T10" i="80"/>
  <c r="V354" i="63"/>
  <c r="V355" i="63" s="1"/>
  <c r="V358" i="63" s="1"/>
  <c r="F66" i="60"/>
  <c r="F354" i="63" s="1"/>
  <c r="X172" i="63" l="1"/>
  <c r="X185" i="63" s="1"/>
  <c r="W185" i="63"/>
  <c r="Y175" i="63"/>
  <c r="Y178" i="63" s="1"/>
  <c r="Q152" i="63"/>
  <c r="Q272" i="63" s="1"/>
  <c r="U305" i="63"/>
  <c r="U307" i="63" s="1"/>
  <c r="U311" i="63"/>
  <c r="D10" i="80"/>
  <c r="E39" i="66"/>
  <c r="W150" i="60"/>
  <c r="W65" i="60"/>
  <c r="V184" i="60"/>
  <c r="V109" i="63" s="1"/>
  <c r="V110" i="63" s="1"/>
  <c r="W75" i="63"/>
  <c r="W78" i="63" s="1"/>
  <c r="V369" i="63"/>
  <c r="V370" i="63" s="1"/>
  <c r="V374" i="63" s="1"/>
  <c r="V381" i="63" s="1"/>
  <c r="X268" i="63" l="1"/>
  <c r="X276" i="63" s="1"/>
  <c r="X150" i="60" s="1"/>
  <c r="Y172" i="63"/>
  <c r="Y268" i="63" s="1"/>
  <c r="Y276" i="63" s="1"/>
  <c r="Z175" i="63"/>
  <c r="Z172" i="63" s="1"/>
  <c r="Q142" i="63"/>
  <c r="Q143" i="63" s="1"/>
  <c r="R140" i="63" s="1"/>
  <c r="R137" i="63" s="1"/>
  <c r="U345" i="63"/>
  <c r="U9" i="80"/>
  <c r="W353" i="63"/>
  <c r="W355" i="63" s="1"/>
  <c r="W358" i="63" s="1"/>
  <c r="W67" i="60"/>
  <c r="W388" i="63" s="1"/>
  <c r="W184" i="60"/>
  <c r="W109" i="63" s="1"/>
  <c r="W110" i="63" s="1"/>
  <c r="X75" i="63"/>
  <c r="X78" i="63" s="1"/>
  <c r="X65" i="60" l="1"/>
  <c r="V9" i="80" s="1"/>
  <c r="Y185" i="63"/>
  <c r="Z178" i="63"/>
  <c r="AA175" i="63" s="1"/>
  <c r="AA172" i="63" s="1"/>
  <c r="Y150" i="60"/>
  <c r="Y65" i="60"/>
  <c r="Z185" i="63"/>
  <c r="Z268" i="63"/>
  <c r="Z276" i="63" s="1"/>
  <c r="Y75" i="63"/>
  <c r="Y78" i="63" s="1"/>
  <c r="X184" i="60"/>
  <c r="X109" i="63" s="1"/>
  <c r="X110" i="63" s="1"/>
  <c r="W31" i="68"/>
  <c r="W299" i="63"/>
  <c r="V301" i="63" s="1" a="1"/>
  <c r="V301" i="63" s="1"/>
  <c r="V303" i="63" s="1"/>
  <c r="W369" i="63"/>
  <c r="W370" i="63" s="1"/>
  <c r="W374" i="63" s="1"/>
  <c r="W381" i="63" s="1"/>
  <c r="R151" i="63"/>
  <c r="R267" i="63"/>
  <c r="R150" i="63"/>
  <c r="X353" i="63" l="1"/>
  <c r="X355" i="63" s="1"/>
  <c r="X358" i="63" s="1"/>
  <c r="X369" i="63" s="1"/>
  <c r="X370" i="63" s="1"/>
  <c r="X374" i="63" s="1"/>
  <c r="X381" i="63" s="1"/>
  <c r="X67" i="60"/>
  <c r="X388" i="63" s="1"/>
  <c r="AA178" i="63"/>
  <c r="AB175" i="63" s="1"/>
  <c r="AB172" i="63" s="1"/>
  <c r="Z150" i="60"/>
  <c r="Z65" i="60"/>
  <c r="Y184" i="60"/>
  <c r="Y109" i="63" s="1"/>
  <c r="Y110" i="63" s="1"/>
  <c r="Z75" i="63"/>
  <c r="Z78" i="63" s="1"/>
  <c r="AA185" i="63"/>
  <c r="AA268" i="63"/>
  <c r="AA276" i="63" s="1"/>
  <c r="V305" i="63"/>
  <c r="V307" i="63" s="1"/>
  <c r="V311" i="63"/>
  <c r="R152" i="63"/>
  <c r="Y353" i="63"/>
  <c r="Y355" i="63" s="1"/>
  <c r="Y358" i="63" s="1"/>
  <c r="W9" i="80"/>
  <c r="Y67" i="60"/>
  <c r="Y388" i="63" s="1"/>
  <c r="X31" i="68" l="1"/>
  <c r="X299" i="63"/>
  <c r="W301" i="63" s="1" a="1"/>
  <c r="W301" i="63" s="1"/>
  <c r="W303" i="63" s="1"/>
  <c r="W305" i="63" s="1"/>
  <c r="W307" i="63" s="1"/>
  <c r="AB178" i="63"/>
  <c r="AC175" i="63" s="1"/>
  <c r="Z353" i="63"/>
  <c r="Z355" i="63" s="1"/>
  <c r="Z358" i="63" s="1"/>
  <c r="X9" i="80"/>
  <c r="Z67" i="60"/>
  <c r="Z388" i="63" s="1"/>
  <c r="R272" i="63"/>
  <c r="R142" i="63"/>
  <c r="R143" i="63" s="1"/>
  <c r="S140" i="63" s="1"/>
  <c r="AB185" i="63"/>
  <c r="AB268" i="63"/>
  <c r="AB276" i="63" s="1"/>
  <c r="V345" i="63"/>
  <c r="Z184" i="60"/>
  <c r="Z109" i="63" s="1"/>
  <c r="Z110" i="63" s="1"/>
  <c r="AA75" i="63"/>
  <c r="AA78" i="63" s="1"/>
  <c r="Y31" i="68"/>
  <c r="Y299" i="63"/>
  <c r="X301" i="63" s="1" a="1"/>
  <c r="X301" i="63" s="1"/>
  <c r="X303" i="63" s="1"/>
  <c r="Y369" i="63"/>
  <c r="Y370" i="63" s="1"/>
  <c r="Y374" i="63" s="1"/>
  <c r="Y381" i="63" s="1"/>
  <c r="AA150" i="60"/>
  <c r="AA65" i="60"/>
  <c r="W311" i="63" l="1"/>
  <c r="W345" i="63" s="1"/>
  <c r="AC178" i="63"/>
  <c r="AD175" i="63" s="1"/>
  <c r="AD172" i="63" s="1"/>
  <c r="AC172" i="63"/>
  <c r="AC268" i="63" s="1"/>
  <c r="AC276" i="63" s="1"/>
  <c r="S137" i="63"/>
  <c r="AA184" i="60"/>
  <c r="AA109" i="63" s="1"/>
  <c r="AA110" i="63" s="1"/>
  <c r="AB75" i="63"/>
  <c r="AB78" i="63" s="1"/>
  <c r="Z31" i="68"/>
  <c r="Z299" i="63"/>
  <c r="Y301" i="63" s="1" a="1"/>
  <c r="Y301" i="63" s="1"/>
  <c r="Y303" i="63" s="1"/>
  <c r="AA353" i="63"/>
  <c r="AA355" i="63" s="1"/>
  <c r="AA358" i="63" s="1"/>
  <c r="AA369" i="63" s="1"/>
  <c r="AA370" i="63" s="1"/>
  <c r="AA374" i="63" s="1"/>
  <c r="AA381" i="63" s="1"/>
  <c r="Y9" i="80"/>
  <c r="AA67" i="60"/>
  <c r="X305" i="63"/>
  <c r="X307" i="63" s="1"/>
  <c r="X311" i="63"/>
  <c r="AB150" i="60"/>
  <c r="AB65" i="60"/>
  <c r="Z369" i="63"/>
  <c r="Z370" i="63" s="1"/>
  <c r="Z374" i="63" s="1"/>
  <c r="Z381" i="63" s="1"/>
  <c r="AD178" i="63" l="1"/>
  <c r="AE175" i="63" s="1"/>
  <c r="AE172" i="63" s="1"/>
  <c r="AC185" i="63"/>
  <c r="AA388" i="63"/>
  <c r="S267" i="63"/>
  <c r="S151" i="63"/>
  <c r="S150" i="63"/>
  <c r="AC150" i="60"/>
  <c r="AC65" i="60"/>
  <c r="Z9" i="80"/>
  <c r="AB353" i="63"/>
  <c r="AB355" i="63" s="1"/>
  <c r="AB358" i="63" s="1"/>
  <c r="AB369" i="63" s="1"/>
  <c r="AB370" i="63" s="1"/>
  <c r="AB374" i="63" s="1"/>
  <c r="AB381" i="63" s="1"/>
  <c r="AB67" i="60"/>
  <c r="AB388" i="63" s="1"/>
  <c r="AD185" i="63"/>
  <c r="AD268" i="63"/>
  <c r="AD276" i="63" s="1"/>
  <c r="Y305" i="63"/>
  <c r="Y307" i="63" s="1"/>
  <c r="Y311" i="63"/>
  <c r="AA31" i="68"/>
  <c r="AA299" i="63"/>
  <c r="Z301" i="63" s="1" a="1"/>
  <c r="Z301" i="63" s="1"/>
  <c r="Z303" i="63" s="1"/>
  <c r="X345" i="63"/>
  <c r="AC75" i="63"/>
  <c r="AC78" i="63" s="1"/>
  <c r="AB184" i="60"/>
  <c r="AB109" i="63" s="1"/>
  <c r="AB110" i="63" s="1"/>
  <c r="AE178" i="63" l="1"/>
  <c r="AF175" i="63" s="1"/>
  <c r="AF172" i="63" s="1"/>
  <c r="S152" i="63"/>
  <c r="AE185" i="63"/>
  <c r="AE268" i="63"/>
  <c r="AE276" i="63" s="1"/>
  <c r="Y345" i="63"/>
  <c r="AD150" i="60"/>
  <c r="AD65" i="60"/>
  <c r="AA9" i="80"/>
  <c r="AC353" i="63"/>
  <c r="AC355" i="63" s="1"/>
  <c r="AC358" i="63" s="1"/>
  <c r="AC369" i="63" s="1"/>
  <c r="AC370" i="63" s="1"/>
  <c r="AC374" i="63" s="1"/>
  <c r="AC381" i="63" s="1"/>
  <c r="AC67" i="60"/>
  <c r="Z305" i="63"/>
  <c r="Z307" i="63" s="1"/>
  <c r="Z311" i="63"/>
  <c r="AB31" i="68"/>
  <c r="AB299" i="63"/>
  <c r="AA301" i="63" s="1" a="1"/>
  <c r="AA301" i="63" s="1"/>
  <c r="AA303" i="63" s="1"/>
  <c r="AC184" i="60"/>
  <c r="AC109" i="63" s="1"/>
  <c r="AC110" i="63" s="1"/>
  <c r="AD75" i="63"/>
  <c r="AD78" i="63" s="1"/>
  <c r="AF178" i="63" l="1"/>
  <c r="AG175" i="63" s="1"/>
  <c r="AC388" i="63"/>
  <c r="AD184" i="60"/>
  <c r="AD109" i="63" s="1"/>
  <c r="AD110" i="63" s="1"/>
  <c r="AE75" i="63"/>
  <c r="AE78" i="63" s="1"/>
  <c r="Z345" i="63"/>
  <c r="AD353" i="63"/>
  <c r="AD355" i="63" s="1"/>
  <c r="AD358" i="63" s="1"/>
  <c r="AD369" i="63" s="1"/>
  <c r="AD370" i="63" s="1"/>
  <c r="AD374" i="63" s="1"/>
  <c r="AD381" i="63" s="1"/>
  <c r="AB9" i="80"/>
  <c r="AD67" i="60"/>
  <c r="AD388" i="63" s="1"/>
  <c r="S142" i="63"/>
  <c r="S143" i="63" s="1"/>
  <c r="T140" i="63" s="1"/>
  <c r="S272" i="63"/>
  <c r="AE150" i="60"/>
  <c r="AE65" i="60"/>
  <c r="AA305" i="63"/>
  <c r="AA307" i="63" s="1"/>
  <c r="AA311" i="63"/>
  <c r="AC31" i="68"/>
  <c r="AC299" i="63"/>
  <c r="AB301" i="63" s="1" a="1"/>
  <c r="AB301" i="63" s="1"/>
  <c r="AB303" i="63" s="1"/>
  <c r="AF185" i="63"/>
  <c r="AF268" i="63"/>
  <c r="AF276" i="63" s="1"/>
  <c r="AG172" i="63" l="1"/>
  <c r="AG268" i="63" s="1"/>
  <c r="AG276" i="63" s="1"/>
  <c r="AG178" i="63"/>
  <c r="AH175" i="63" s="1"/>
  <c r="AH172" i="63" s="1"/>
  <c r="AA345" i="63"/>
  <c r="AE184" i="60"/>
  <c r="AE109" i="63" s="1"/>
  <c r="AE110" i="63" s="1"/>
  <c r="AF75" i="63"/>
  <c r="AF78" i="63" s="1"/>
  <c r="AB305" i="63"/>
  <c r="AB307" i="63" s="1"/>
  <c r="AB311" i="63"/>
  <c r="AD31" i="68"/>
  <c r="AD299" i="63"/>
  <c r="AC301" i="63" s="1" a="1"/>
  <c r="AC301" i="63" s="1"/>
  <c r="AC303" i="63" s="1"/>
  <c r="AC9" i="80"/>
  <c r="AE353" i="63"/>
  <c r="AE355" i="63" s="1"/>
  <c r="AE358" i="63" s="1"/>
  <c r="AE369" i="63" s="1"/>
  <c r="AE370" i="63" s="1"/>
  <c r="AE374" i="63" s="1"/>
  <c r="AE381" i="63" s="1"/>
  <c r="AE67" i="60"/>
  <c r="AE388" i="63" s="1"/>
  <c r="AF150" i="60"/>
  <c r="AF65" i="60"/>
  <c r="T137" i="63"/>
  <c r="AG185" i="63" l="1"/>
  <c r="AH178" i="63"/>
  <c r="AI175" i="63" s="1"/>
  <c r="AI172" i="63" s="1"/>
  <c r="AG150" i="60"/>
  <c r="AG65" i="60"/>
  <c r="AF184" i="60"/>
  <c r="AF109" i="63" s="1"/>
  <c r="AF110" i="63" s="1"/>
  <c r="AG75" i="63"/>
  <c r="AG78" i="63" s="1"/>
  <c r="AB345" i="63"/>
  <c r="AC305" i="63"/>
  <c r="AC307" i="63" s="1"/>
  <c r="AC311" i="63"/>
  <c r="AE31" i="68"/>
  <c r="AE299" i="63"/>
  <c r="AD301" i="63" s="1" a="1"/>
  <c r="AD301" i="63" s="1"/>
  <c r="AD303" i="63" s="1"/>
  <c r="AD9" i="80"/>
  <c r="AF353" i="63"/>
  <c r="AF355" i="63" s="1"/>
  <c r="AF358" i="63" s="1"/>
  <c r="AF369" i="63" s="1"/>
  <c r="AF370" i="63" s="1"/>
  <c r="AF374" i="63" s="1"/>
  <c r="AF381" i="63" s="1"/>
  <c r="AF67" i="60"/>
  <c r="AF388" i="63" s="1"/>
  <c r="AH185" i="63"/>
  <c r="AH268" i="63"/>
  <c r="AH276" i="63" s="1"/>
  <c r="T267" i="63"/>
  <c r="T151" i="63"/>
  <c r="T150" i="63"/>
  <c r="AI178" i="63" l="1"/>
  <c r="AJ175" i="63" s="1"/>
  <c r="AJ172" i="63" s="1"/>
  <c r="T152" i="63"/>
  <c r="T142" i="63" s="1"/>
  <c r="T143" i="63" s="1"/>
  <c r="U140" i="63" s="1"/>
  <c r="AG353" i="63"/>
  <c r="AG355" i="63" s="1"/>
  <c r="AG358" i="63" s="1"/>
  <c r="AG369" i="63" s="1"/>
  <c r="AG370" i="63" s="1"/>
  <c r="AG374" i="63" s="1"/>
  <c r="AG381" i="63" s="1"/>
  <c r="AE9" i="80"/>
  <c r="AG67" i="60"/>
  <c r="AG388" i="63" s="1"/>
  <c r="AH150" i="60"/>
  <c r="AH65" i="60"/>
  <c r="AD305" i="63"/>
  <c r="AD307" i="63" s="1"/>
  <c r="AD311" i="63"/>
  <c r="AC345" i="63"/>
  <c r="AF31" i="68"/>
  <c r="AF299" i="63"/>
  <c r="AE301" i="63" s="1" a="1"/>
  <c r="AE301" i="63" s="1"/>
  <c r="AE303" i="63" s="1"/>
  <c r="AI185" i="63"/>
  <c r="AI268" i="63"/>
  <c r="AI276" i="63" s="1"/>
  <c r="AG184" i="60"/>
  <c r="AG109" i="63" s="1"/>
  <c r="AG110" i="63" s="1"/>
  <c r="AH75" i="63"/>
  <c r="AH78" i="63" s="1"/>
  <c r="AJ178" i="63" l="1"/>
  <c r="AK175" i="63" s="1"/>
  <c r="AK178" i="63" s="1"/>
  <c r="AL175" i="63" s="1"/>
  <c r="T272" i="63"/>
  <c r="U137" i="63"/>
  <c r="AG31" i="68"/>
  <c r="AG299" i="63"/>
  <c r="AF301" i="63" s="1" a="1"/>
  <c r="AF301" i="63" s="1"/>
  <c r="AF303" i="63" s="1"/>
  <c r="AI150" i="60"/>
  <c r="AI65" i="60"/>
  <c r="AF9" i="80"/>
  <c r="AH353" i="63"/>
  <c r="AH355" i="63" s="1"/>
  <c r="AH358" i="63" s="1"/>
  <c r="AH369" i="63" s="1"/>
  <c r="AH370" i="63" s="1"/>
  <c r="AH374" i="63" s="1"/>
  <c r="AH381" i="63" s="1"/>
  <c r="AH67" i="60"/>
  <c r="AH388" i="63" s="1"/>
  <c r="AD345" i="63"/>
  <c r="AH184" i="60"/>
  <c r="AH109" i="63" s="1"/>
  <c r="AH110" i="63" s="1"/>
  <c r="AI75" i="63"/>
  <c r="AI78" i="63" s="1"/>
  <c r="AJ185" i="63"/>
  <c r="AJ268" i="63"/>
  <c r="AJ276" i="63" s="1"/>
  <c r="AE305" i="63"/>
  <c r="AE307" i="63" s="1"/>
  <c r="AE311" i="63"/>
  <c r="AK172" i="63" l="1"/>
  <c r="AK268" i="63" s="1"/>
  <c r="AK276" i="63" s="1"/>
  <c r="AJ150" i="60"/>
  <c r="AJ65" i="60"/>
  <c r="AF305" i="63"/>
  <c r="AF307" i="63" s="1"/>
  <c r="AF311" i="63"/>
  <c r="AH31" i="68"/>
  <c r="AH299" i="63"/>
  <c r="AG301" i="63" s="1" a="1"/>
  <c r="AG301" i="63" s="1"/>
  <c r="AG303" i="63" s="1"/>
  <c r="AI353" i="63"/>
  <c r="AI355" i="63" s="1"/>
  <c r="AI358" i="63" s="1"/>
  <c r="AI369" i="63" s="1"/>
  <c r="AI370" i="63" s="1"/>
  <c r="AI374" i="63" s="1"/>
  <c r="AI381" i="63" s="1"/>
  <c r="AG9" i="80"/>
  <c r="AI67" i="60"/>
  <c r="AI388" i="63" s="1"/>
  <c r="AL172" i="63"/>
  <c r="AL178" i="63"/>
  <c r="AM175" i="63" s="1"/>
  <c r="U151" i="63"/>
  <c r="U267" i="63"/>
  <c r="U150" i="63"/>
  <c r="AI184" i="60"/>
  <c r="AI109" i="63" s="1"/>
  <c r="AI110" i="63" s="1"/>
  <c r="AJ75" i="63"/>
  <c r="AJ78" i="63" s="1"/>
  <c r="AE345" i="63"/>
  <c r="AK185" i="63" l="1"/>
  <c r="U152" i="63"/>
  <c r="U142" i="63" s="1"/>
  <c r="U143" i="63" s="1"/>
  <c r="V140" i="63" s="1"/>
  <c r="AI31" i="68"/>
  <c r="AI299" i="63"/>
  <c r="AH301" i="63" s="1" a="1"/>
  <c r="AH301" i="63" s="1"/>
  <c r="AH303" i="63" s="1"/>
  <c r="AG305" i="63"/>
  <c r="AG307" i="63" s="1"/>
  <c r="AG311" i="63"/>
  <c r="AK75" i="63"/>
  <c r="AK78" i="63" s="1"/>
  <c r="AJ184" i="60"/>
  <c r="AJ109" i="63" s="1"/>
  <c r="AJ110" i="63" s="1"/>
  <c r="AJ353" i="63"/>
  <c r="AJ355" i="63" s="1"/>
  <c r="AJ358" i="63" s="1"/>
  <c r="AJ369" i="63" s="1"/>
  <c r="AJ370" i="63" s="1"/>
  <c r="AJ374" i="63" s="1"/>
  <c r="AJ381" i="63" s="1"/>
  <c r="AH9" i="80"/>
  <c r="AJ67" i="60"/>
  <c r="AJ388" i="63" s="1"/>
  <c r="AM178" i="63"/>
  <c r="AN175" i="63" s="1"/>
  <c r="AM172" i="63"/>
  <c r="AF345" i="63"/>
  <c r="AK150" i="60"/>
  <c r="AK65" i="60"/>
  <c r="AL185" i="63"/>
  <c r="AL268" i="63"/>
  <c r="AL276" i="63" s="1"/>
  <c r="U272" i="63" l="1"/>
  <c r="AH305" i="63"/>
  <c r="AH307" i="63" s="1"/>
  <c r="AH311" i="63"/>
  <c r="AN178" i="63"/>
  <c r="AN172" i="63"/>
  <c r="AG345" i="63"/>
  <c r="AK109" i="63"/>
  <c r="AK110" i="63" s="1"/>
  <c r="AL75" i="63"/>
  <c r="AL78" i="63" s="1"/>
  <c r="AK353" i="63"/>
  <c r="AK355" i="63" s="1"/>
  <c r="AK358" i="63" s="1"/>
  <c r="AK369" i="63" s="1"/>
  <c r="AK370" i="63" s="1"/>
  <c r="AK374" i="63" s="1"/>
  <c r="AK67" i="60"/>
  <c r="AL150" i="60"/>
  <c r="AL65" i="60"/>
  <c r="V137" i="63"/>
  <c r="AJ31" i="68"/>
  <c r="AJ299" i="63"/>
  <c r="AI301" i="63" s="1" a="1"/>
  <c r="AI301" i="63" s="1"/>
  <c r="AI303" i="63" s="1"/>
  <c r="D9" i="80"/>
  <c r="E38" i="66"/>
  <c r="AM185" i="63"/>
  <c r="AM268" i="63"/>
  <c r="AM276" i="63" s="1"/>
  <c r="AK388" i="63" l="1"/>
  <c r="AK31" i="68"/>
  <c r="AK299" i="63"/>
  <c r="AJ301" i="63" s="1" a="1"/>
  <c r="AJ301" i="63" s="1"/>
  <c r="AJ303" i="63" s="1"/>
  <c r="AI305" i="63"/>
  <c r="AI307" i="63" s="1"/>
  <c r="AI311" i="63"/>
  <c r="AK381" i="63"/>
  <c r="AK383" i="63" s="1"/>
  <c r="AK376" i="63"/>
  <c r="AN268" i="63"/>
  <c r="AN185" i="63"/>
  <c r="F185" i="63" s="1"/>
  <c r="F172" i="63"/>
  <c r="AL353" i="63"/>
  <c r="AL355" i="63" s="1"/>
  <c r="AL358" i="63" s="1"/>
  <c r="AL369" i="63" s="1"/>
  <c r="AL370" i="63" s="1"/>
  <c r="AL374" i="63" s="1"/>
  <c r="AL67" i="60"/>
  <c r="AL388" i="63" s="1"/>
  <c r="AL109" i="63"/>
  <c r="AL110" i="63" s="1"/>
  <c r="AM75" i="63"/>
  <c r="AM78" i="63" s="1"/>
  <c r="AH345" i="63"/>
  <c r="AM150" i="60"/>
  <c r="F150" i="60" s="1"/>
  <c r="AM65" i="60"/>
  <c r="V151" i="63"/>
  <c r="V267" i="63"/>
  <c r="V150" i="63"/>
  <c r="AK1110" i="59" l="1"/>
  <c r="AK1108" i="59"/>
  <c r="AJ305" i="63"/>
  <c r="AJ307" i="63" s="1"/>
  <c r="AJ311" i="63"/>
  <c r="AN75" i="63"/>
  <c r="AN78" i="63" s="1"/>
  <c r="AM109" i="63"/>
  <c r="AM110" i="63" s="1"/>
  <c r="AL31" i="68"/>
  <c r="AL299" i="63"/>
  <c r="AK301" i="63" s="1" a="1"/>
  <c r="AK301" i="63" s="1"/>
  <c r="AK303" i="63" s="1"/>
  <c r="V152" i="63"/>
  <c r="F150" i="63"/>
  <c r="AM67" i="60"/>
  <c r="AM388" i="63" s="1"/>
  <c r="F388" i="63" s="1"/>
  <c r="AM353" i="63"/>
  <c r="AM355" i="63" s="1"/>
  <c r="F65" i="60"/>
  <c r="F353" i="63" s="1"/>
  <c r="AL381" i="63"/>
  <c r="AL383" i="63" s="1"/>
  <c r="AL376" i="63"/>
  <c r="AN276" i="63"/>
  <c r="F276" i="63" s="1"/>
  <c r="F268" i="63"/>
  <c r="AI345" i="63"/>
  <c r="AL1110" i="59" l="1"/>
  <c r="AL1108" i="59"/>
  <c r="AK305" i="63"/>
  <c r="AK307" i="63" s="1"/>
  <c r="AK311" i="63"/>
  <c r="AM31" i="68"/>
  <c r="AM299" i="63"/>
  <c r="F67" i="60"/>
  <c r="AJ345" i="63"/>
  <c r="V142" i="63"/>
  <c r="V272" i="63"/>
  <c r="F272" i="63" s="1"/>
  <c r="F152" i="63"/>
  <c r="AM358" i="63"/>
  <c r="AM369" i="63" s="1"/>
  <c r="AM370" i="63" s="1"/>
  <c r="F355" i="63"/>
  <c r="F358" i="63" s="1"/>
  <c r="F369" i="63" s="1"/>
  <c r="AL301" i="63" l="1" a="1"/>
  <c r="AL301" i="63" s="1"/>
  <c r="AL303" i="63" s="1"/>
  <c r="F299" i="63"/>
  <c r="AK345" i="63"/>
  <c r="F31" i="68"/>
  <c r="F142" i="63"/>
  <c r="V143" i="63"/>
  <c r="W140" i="63" s="1"/>
  <c r="AM374" i="63"/>
  <c r="F370" i="63"/>
  <c r="F374" i="63" s="1"/>
  <c r="F381" i="63" s="1"/>
  <c r="W137" i="63" l="1"/>
  <c r="W143" i="63"/>
  <c r="X140" i="63" s="1"/>
  <c r="AM381" i="63"/>
  <c r="AM383" i="63" s="1"/>
  <c r="AM376" i="63"/>
  <c r="AL305" i="63"/>
  <c r="AL307" i="63" s="1"/>
  <c r="AL311" i="63"/>
  <c r="AM1108" i="59" l="1"/>
  <c r="X143" i="63"/>
  <c r="Y140" i="63" s="1"/>
  <c r="X137" i="63"/>
  <c r="AM1110" i="59"/>
  <c r="AL345" i="63"/>
  <c r="W267" i="63"/>
  <c r="W151" i="63"/>
  <c r="Y143" i="63" l="1"/>
  <c r="Z140" i="63" s="1"/>
  <c r="Y137" i="63"/>
  <c r="X267" i="63"/>
  <c r="X151" i="63"/>
  <c r="Y151" i="63" l="1"/>
  <c r="Y267" i="63"/>
  <c r="Z137" i="63"/>
  <c r="Z143" i="63"/>
  <c r="AA140" i="63" s="1"/>
  <c r="Z151" i="63" l="1"/>
  <c r="Z267" i="63"/>
  <c r="AA137" i="63"/>
  <c r="AA143" i="63"/>
  <c r="AB140" i="63" s="1"/>
  <c r="AB137" i="63" l="1"/>
  <c r="AB143" i="63"/>
  <c r="AC140" i="63" s="1"/>
  <c r="AA267" i="63"/>
  <c r="AA151" i="63"/>
  <c r="AC137" i="63" l="1"/>
  <c r="AC143" i="63"/>
  <c r="AD140" i="63" s="1"/>
  <c r="AB151" i="63"/>
  <c r="AB267" i="63"/>
  <c r="AD143" i="63" l="1"/>
  <c r="AE140" i="63" s="1"/>
  <c r="AD137" i="63"/>
  <c r="AC267" i="63"/>
  <c r="AC151" i="63"/>
  <c r="AD267" i="63" l="1"/>
  <c r="AD151" i="63"/>
  <c r="AE137" i="63"/>
  <c r="AE143" i="63"/>
  <c r="AF140" i="63" s="1"/>
  <c r="AF143" i="63" l="1"/>
  <c r="AG140" i="63" s="1"/>
  <c r="AF137" i="63"/>
  <c r="AE151" i="63"/>
  <c r="AE267" i="63"/>
  <c r="AG143" i="63" l="1"/>
  <c r="AH140" i="63" s="1"/>
  <c r="AG137" i="63"/>
  <c r="AF151" i="63"/>
  <c r="AF267" i="63"/>
  <c r="AG267" i="63" l="1"/>
  <c r="AG151" i="63"/>
  <c r="AH137" i="63"/>
  <c r="AH143" i="63"/>
  <c r="AI140" i="63" s="1"/>
  <c r="AI137" i="63" l="1"/>
  <c r="AI143" i="63"/>
  <c r="AJ140" i="63" s="1"/>
  <c r="AH151" i="63"/>
  <c r="AH267" i="63"/>
  <c r="AI267" i="63" l="1"/>
  <c r="AI151" i="63"/>
  <c r="AJ137" i="63"/>
  <c r="AJ143" i="63"/>
  <c r="AK140" i="63" s="1"/>
  <c r="AK137" i="63" l="1"/>
  <c r="AK143" i="63"/>
  <c r="AL140" i="63" s="1"/>
  <c r="AJ151" i="63"/>
  <c r="AJ267" i="63"/>
  <c r="AL143" i="63" l="1"/>
  <c r="AM140" i="63" s="1"/>
  <c r="AL137" i="63"/>
  <c r="AK267" i="63"/>
  <c r="AK151" i="63"/>
  <c r="AL267" i="63" l="1"/>
  <c r="AL151" i="63"/>
  <c r="AM137" i="63"/>
  <c r="AM143" i="63"/>
  <c r="AN140" i="63" s="1"/>
  <c r="AN137" i="63" l="1"/>
  <c r="AN143" i="63"/>
  <c r="AM151" i="63"/>
  <c r="AM267" i="63"/>
  <c r="AN267" i="63" l="1"/>
  <c r="F267" i="63" s="1"/>
  <c r="AN151" i="63"/>
  <c r="F151" i="63" s="1"/>
  <c r="F137" i="63"/>
  <c r="AM945" i="59" l="1"/>
  <c r="AM947" i="59" s="1"/>
  <c r="AL945" i="59"/>
  <c r="AL949" i="59" s="1"/>
  <c r="J137" i="59"/>
  <c r="F137" i="59" l="1"/>
  <c r="D137" i="59" s="1"/>
  <c r="D94" i="24" s="1"/>
  <c r="J151" i="59"/>
  <c r="J159" i="59" s="1"/>
  <c r="AL948" i="59"/>
  <c r="AM948" i="59"/>
  <c r="AM949" i="59"/>
  <c r="AL947" i="59"/>
  <c r="J149" i="59"/>
  <c r="J157" i="59" s="1"/>
  <c r="J152" i="59"/>
  <c r="J150" i="59"/>
  <c r="J154" i="59"/>
  <c r="J153" i="59"/>
  <c r="J155" i="59"/>
  <c r="E6" i="71" l="1"/>
  <c r="I27" i="71"/>
  <c r="K151" i="59"/>
  <c r="AL951" i="59"/>
  <c r="AL985" i="59" s="1"/>
  <c r="AL60" i="60" s="1"/>
  <c r="AM951" i="59"/>
  <c r="AM985" i="59" s="1"/>
  <c r="AM60" i="60" s="1"/>
  <c r="K149" i="59"/>
  <c r="K157" i="59" s="1"/>
  <c r="J160" i="59"/>
  <c r="K152" i="59"/>
  <c r="J158" i="59"/>
  <c r="K150" i="59"/>
  <c r="K155" i="59"/>
  <c r="J163" i="59"/>
  <c r="K153" i="59"/>
  <c r="J161" i="59"/>
  <c r="K154" i="59"/>
  <c r="J162" i="59"/>
  <c r="L151" i="59" l="1"/>
  <c r="K159" i="59"/>
  <c r="AM49" i="73"/>
  <c r="AM50" i="73" s="1"/>
  <c r="AM63" i="73" s="1"/>
  <c r="AM123" i="60"/>
  <c r="AM126" i="60" s="1"/>
  <c r="AL76" i="73"/>
  <c r="AL78" i="73" s="1"/>
  <c r="AL90" i="73" s="1"/>
  <c r="AL123" i="60"/>
  <c r="L149" i="59"/>
  <c r="M149" i="59" s="1"/>
  <c r="AL49" i="73"/>
  <c r="AL50" i="73" s="1"/>
  <c r="AL63" i="73" s="1"/>
  <c r="AL28" i="68"/>
  <c r="AM62" i="60"/>
  <c r="AM69" i="60" s="1"/>
  <c r="AM320" i="63" s="1"/>
  <c r="AM28" i="68"/>
  <c r="AM33" i="68" s="1"/>
  <c r="AM50" i="68"/>
  <c r="AM52" i="68" s="1"/>
  <c r="AM76" i="73"/>
  <c r="AM78" i="73" s="1"/>
  <c r="AM90" i="73" s="1"/>
  <c r="L155" i="59"/>
  <c r="K163" i="59"/>
  <c r="K158" i="59"/>
  <c r="L150" i="59"/>
  <c r="K161" i="59"/>
  <c r="L153" i="59"/>
  <c r="J167" i="59"/>
  <c r="K162" i="59"/>
  <c r="L154" i="59"/>
  <c r="K160" i="59"/>
  <c r="L152" i="59"/>
  <c r="M151" i="59" l="1"/>
  <c r="L159" i="59"/>
  <c r="L157" i="59"/>
  <c r="AM63" i="68"/>
  <c r="AM64" i="68" s="1"/>
  <c r="M157" i="59"/>
  <c r="N149" i="59"/>
  <c r="L161" i="59"/>
  <c r="M153" i="59"/>
  <c r="L158" i="59"/>
  <c r="M150" i="59"/>
  <c r="K167" i="59"/>
  <c r="L160" i="59"/>
  <c r="M152" i="59"/>
  <c r="M155" i="59"/>
  <c r="L163" i="59"/>
  <c r="L162" i="59"/>
  <c r="M154" i="59"/>
  <c r="J186" i="59"/>
  <c r="J70" i="73"/>
  <c r="J17" i="60"/>
  <c r="J113" i="60" s="1"/>
  <c r="N151" i="59" l="1"/>
  <c r="M159" i="59"/>
  <c r="M163" i="59"/>
  <c r="N155" i="59"/>
  <c r="M160" i="59"/>
  <c r="N152" i="59"/>
  <c r="M161" i="59"/>
  <c r="N153" i="59"/>
  <c r="M162" i="59"/>
  <c r="N154" i="59"/>
  <c r="L167" i="59"/>
  <c r="N157" i="59"/>
  <c r="O149" i="59"/>
  <c r="J75" i="73"/>
  <c r="J74" i="73"/>
  <c r="J73" i="73"/>
  <c r="J240" i="59"/>
  <c r="K244" i="59" s="1"/>
  <c r="J189" i="59"/>
  <c r="K186" i="59"/>
  <c r="K70" i="73"/>
  <c r="K17" i="60"/>
  <c r="K113" i="60" s="1"/>
  <c r="M158" i="59"/>
  <c r="N150" i="59"/>
  <c r="J1045" i="59"/>
  <c r="O151" i="59" l="1"/>
  <c r="N159" i="59"/>
  <c r="J192" i="59"/>
  <c r="M167" i="59"/>
  <c r="M70" i="73" s="1"/>
  <c r="N160" i="59"/>
  <c r="O152" i="59"/>
  <c r="K1045" i="59"/>
  <c r="J193" i="59"/>
  <c r="J194" i="59"/>
  <c r="O157" i="59"/>
  <c r="P149" i="59"/>
  <c r="N163" i="59"/>
  <c r="O155" i="59"/>
  <c r="N161" i="59"/>
  <c r="O153" i="59"/>
  <c r="K74" i="73"/>
  <c r="K73" i="73"/>
  <c r="K75" i="73"/>
  <c r="J246" i="59"/>
  <c r="J248" i="59" s="1"/>
  <c r="K240" i="59"/>
  <c r="L244" i="59" s="1"/>
  <c r="K189" i="59"/>
  <c r="L186" i="59"/>
  <c r="L70" i="73"/>
  <c r="L17" i="60"/>
  <c r="L113" i="60" s="1"/>
  <c r="N162" i="59"/>
  <c r="O154" i="59"/>
  <c r="N158" i="59"/>
  <c r="O150" i="59"/>
  <c r="P151" i="59" l="1"/>
  <c r="O159" i="59"/>
  <c r="K192" i="59"/>
  <c r="M17" i="60"/>
  <c r="M186" i="59"/>
  <c r="M240" i="59" s="1"/>
  <c r="N244" i="59" s="1"/>
  <c r="N167" i="59"/>
  <c r="N70" i="73" s="1"/>
  <c r="L73" i="73"/>
  <c r="L75" i="73"/>
  <c r="L74" i="73"/>
  <c r="L240" i="59"/>
  <c r="M244" i="59" s="1"/>
  <c r="L189" i="59"/>
  <c r="K194" i="59"/>
  <c r="K193" i="59"/>
  <c r="O161" i="59"/>
  <c r="P153" i="59"/>
  <c r="O158" i="59"/>
  <c r="P150" i="59"/>
  <c r="K246" i="59"/>
  <c r="O160" i="59"/>
  <c r="P152" i="59"/>
  <c r="O163" i="59"/>
  <c r="P155" i="59"/>
  <c r="M73" i="73"/>
  <c r="M74" i="73"/>
  <c r="M75" i="73"/>
  <c r="P157" i="59"/>
  <c r="Q149" i="59"/>
  <c r="O162" i="59"/>
  <c r="P154" i="59"/>
  <c r="L1045" i="59"/>
  <c r="Q151" i="59" l="1"/>
  <c r="P159" i="59"/>
  <c r="L192" i="59"/>
  <c r="M1045" i="59"/>
  <c r="M113" i="60"/>
  <c r="M189" i="59"/>
  <c r="K248" i="59"/>
  <c r="K196" i="59" s="1"/>
  <c r="N17" i="60"/>
  <c r="N186" i="59"/>
  <c r="N189" i="59" s="1"/>
  <c r="O167" i="59"/>
  <c r="O70" i="73" s="1"/>
  <c r="J196" i="59"/>
  <c r="J190" i="59" s="1"/>
  <c r="P158" i="59"/>
  <c r="Q150" i="59"/>
  <c r="P162" i="59"/>
  <c r="Q154" i="59"/>
  <c r="N74" i="73"/>
  <c r="N73" i="73"/>
  <c r="N75" i="73"/>
  <c r="P161" i="59"/>
  <c r="Q153" i="59"/>
  <c r="L193" i="59"/>
  <c r="L194" i="59"/>
  <c r="P163" i="59"/>
  <c r="Q155" i="59"/>
  <c r="Q157" i="59"/>
  <c r="R149" i="59"/>
  <c r="M246" i="59"/>
  <c r="M248" i="59" s="1"/>
  <c r="L246" i="59"/>
  <c r="P160" i="59"/>
  <c r="Q152" i="59"/>
  <c r="R151" i="59" l="1"/>
  <c r="Q159" i="59"/>
  <c r="N192" i="59"/>
  <c r="K190" i="59"/>
  <c r="M192" i="59"/>
  <c r="N1045" i="59"/>
  <c r="N113" i="60"/>
  <c r="M194" i="59"/>
  <c r="N240" i="59"/>
  <c r="O244" i="59" s="1"/>
  <c r="M193" i="59"/>
  <c r="L248" i="59"/>
  <c r="L196" i="59" s="1"/>
  <c r="O17" i="60"/>
  <c r="O186" i="59"/>
  <c r="O240" i="59" s="1"/>
  <c r="P244" i="59" s="1"/>
  <c r="P167" i="59"/>
  <c r="P186" i="59" s="1"/>
  <c r="O75" i="73"/>
  <c r="O73" i="73"/>
  <c r="O74" i="73"/>
  <c r="Q158" i="59"/>
  <c r="R150" i="59"/>
  <c r="Q163" i="59"/>
  <c r="R155" i="59"/>
  <c r="Q162" i="59"/>
  <c r="R154" i="59"/>
  <c r="N193" i="59"/>
  <c r="N194" i="59"/>
  <c r="Q160" i="59"/>
  <c r="R152" i="59"/>
  <c r="R157" i="59"/>
  <c r="S149" i="59"/>
  <c r="Q161" i="59"/>
  <c r="R153" i="59"/>
  <c r="S151" i="59" l="1"/>
  <c r="R159" i="59"/>
  <c r="L190" i="59"/>
  <c r="O1045" i="59"/>
  <c r="O113" i="60"/>
  <c r="N246" i="59"/>
  <c r="N248" i="59" s="1"/>
  <c r="N196" i="59" s="1"/>
  <c r="O189" i="59"/>
  <c r="P17" i="60"/>
  <c r="P70" i="73"/>
  <c r="P75" i="73" s="1"/>
  <c r="Q167" i="59"/>
  <c r="Q186" i="59" s="1"/>
  <c r="S157" i="59"/>
  <c r="T149" i="59"/>
  <c r="R162" i="59"/>
  <c r="S154" i="59"/>
  <c r="R161" i="59"/>
  <c r="S153" i="59"/>
  <c r="R160" i="59"/>
  <c r="S152" i="59"/>
  <c r="R158" i="59"/>
  <c r="S150" i="59"/>
  <c r="O246" i="59"/>
  <c r="O248" i="59" s="1"/>
  <c r="P240" i="59"/>
  <c r="Q244" i="59" s="1"/>
  <c r="P189" i="59"/>
  <c r="R163" i="59"/>
  <c r="S155" i="59"/>
  <c r="M196" i="59"/>
  <c r="M190" i="59" s="1"/>
  <c r="T151" i="59" l="1"/>
  <c r="S159" i="59"/>
  <c r="P192" i="59"/>
  <c r="N190" i="59"/>
  <c r="O192" i="59"/>
  <c r="P1045" i="59"/>
  <c r="P113" i="60"/>
  <c r="O193" i="59"/>
  <c r="O194" i="59"/>
  <c r="P73" i="73"/>
  <c r="P74" i="73"/>
  <c r="Q17" i="60"/>
  <c r="Q70" i="73"/>
  <c r="Q73" i="73" s="1"/>
  <c r="R167" i="59"/>
  <c r="R186" i="59" s="1"/>
  <c r="S161" i="59"/>
  <c r="T153" i="59"/>
  <c r="S162" i="59"/>
  <c r="T154" i="59"/>
  <c r="T157" i="59"/>
  <c r="U149" i="59"/>
  <c r="S158" i="59"/>
  <c r="T150" i="59"/>
  <c r="S160" i="59"/>
  <c r="T152" i="59"/>
  <c r="P193" i="59"/>
  <c r="P194" i="59"/>
  <c r="T155" i="59"/>
  <c r="S163" i="59"/>
  <c r="P246" i="59"/>
  <c r="Q240" i="59"/>
  <c r="R244" i="59" s="1"/>
  <c r="Q189" i="59"/>
  <c r="U151" i="59" l="1"/>
  <c r="T159" i="59"/>
  <c r="Q192" i="59"/>
  <c r="Q1045" i="59"/>
  <c r="Q113" i="60"/>
  <c r="Q74" i="73"/>
  <c r="Q75" i="73"/>
  <c r="P248" i="59"/>
  <c r="P196" i="59" s="1"/>
  <c r="R17" i="60"/>
  <c r="R70" i="73"/>
  <c r="R74" i="73" s="1"/>
  <c r="S167" i="59"/>
  <c r="S186" i="59" s="1"/>
  <c r="T160" i="59"/>
  <c r="U152" i="59"/>
  <c r="U157" i="59"/>
  <c r="V149" i="59"/>
  <c r="T158" i="59"/>
  <c r="U150" i="59"/>
  <c r="T162" i="59"/>
  <c r="U154" i="59"/>
  <c r="O196" i="59"/>
  <c r="O190" i="59" s="1"/>
  <c r="T161" i="59"/>
  <c r="U153" i="59"/>
  <c r="T163" i="59"/>
  <c r="U155" i="59"/>
  <c r="Q193" i="59"/>
  <c r="Q194" i="59"/>
  <c r="Q246" i="59"/>
  <c r="R240" i="59"/>
  <c r="S244" i="59" s="1"/>
  <c r="R189" i="59"/>
  <c r="V151" i="59" l="1"/>
  <c r="U159" i="59"/>
  <c r="P190" i="59"/>
  <c r="R192" i="59"/>
  <c r="R1045" i="59"/>
  <c r="R113" i="60"/>
  <c r="R73" i="73"/>
  <c r="R75" i="73"/>
  <c r="Q248" i="59"/>
  <c r="Q196" i="59" s="1"/>
  <c r="S17" i="60"/>
  <c r="S70" i="73"/>
  <c r="S74" i="73" s="1"/>
  <c r="T167" i="59"/>
  <c r="T186" i="59" s="1"/>
  <c r="U163" i="59"/>
  <c r="V155" i="59"/>
  <c r="U160" i="59"/>
  <c r="V152" i="59"/>
  <c r="V157" i="59"/>
  <c r="W149" i="59"/>
  <c r="R193" i="59"/>
  <c r="R194" i="59"/>
  <c r="R246" i="59"/>
  <c r="U162" i="59"/>
  <c r="V154" i="59"/>
  <c r="S240" i="59"/>
  <c r="T244" i="59" s="1"/>
  <c r="S189" i="59"/>
  <c r="U161" i="59"/>
  <c r="V153" i="59"/>
  <c r="U158" i="59"/>
  <c r="V150" i="59"/>
  <c r="W151" i="59" l="1"/>
  <c r="V159" i="59"/>
  <c r="Q190" i="59"/>
  <c r="S192" i="59"/>
  <c r="S1045" i="59"/>
  <c r="S113" i="60"/>
  <c r="S75" i="73"/>
  <c r="S73" i="73"/>
  <c r="T70" i="73"/>
  <c r="T74" i="73" s="1"/>
  <c r="T17" i="60"/>
  <c r="R248" i="59"/>
  <c r="R196" i="59" s="1"/>
  <c r="U167" i="59"/>
  <c r="U186" i="59" s="1"/>
  <c r="V158" i="59"/>
  <c r="W150" i="59"/>
  <c r="V163" i="59"/>
  <c r="W155" i="59"/>
  <c r="V162" i="59"/>
  <c r="W154" i="59"/>
  <c r="W157" i="59"/>
  <c r="X149" i="59"/>
  <c r="V161" i="59"/>
  <c r="W153" i="59"/>
  <c r="V160" i="59"/>
  <c r="W152" i="59"/>
  <c r="T240" i="59"/>
  <c r="U244" i="59" s="1"/>
  <c r="T189" i="59"/>
  <c r="S193" i="59"/>
  <c r="S194" i="59"/>
  <c r="S246" i="59"/>
  <c r="X151" i="59" l="1"/>
  <c r="W159" i="59"/>
  <c r="T192" i="59"/>
  <c r="R190" i="59"/>
  <c r="T1045" i="59"/>
  <c r="T113" i="60"/>
  <c r="T75" i="73"/>
  <c r="T73" i="73"/>
  <c r="S248" i="59"/>
  <c r="S196" i="59" s="1"/>
  <c r="U17" i="60"/>
  <c r="U70" i="73"/>
  <c r="U73" i="73" s="1"/>
  <c r="V167" i="59"/>
  <c r="V186" i="59" s="1"/>
  <c r="W162" i="59"/>
  <c r="X154" i="59"/>
  <c r="W160" i="59"/>
  <c r="X152" i="59"/>
  <c r="W163" i="59"/>
  <c r="X155" i="59"/>
  <c r="T246" i="59"/>
  <c r="W161" i="59"/>
  <c r="X153" i="59"/>
  <c r="W158" i="59"/>
  <c r="X150" i="59"/>
  <c r="T193" i="59"/>
  <c r="T194" i="59"/>
  <c r="X157" i="59"/>
  <c r="Y149" i="59"/>
  <c r="U240" i="59"/>
  <c r="V244" i="59" s="1"/>
  <c r="U189" i="59"/>
  <c r="Y151" i="59" l="1"/>
  <c r="X159" i="59"/>
  <c r="S190" i="59"/>
  <c r="U192" i="59"/>
  <c r="U1045" i="59"/>
  <c r="U113" i="60"/>
  <c r="U74" i="73"/>
  <c r="U75" i="73"/>
  <c r="T248" i="59"/>
  <c r="T196" i="59" s="1"/>
  <c r="V17" i="60"/>
  <c r="V70" i="73"/>
  <c r="V74" i="73" s="1"/>
  <c r="W167" i="59"/>
  <c r="W186" i="59" s="1"/>
  <c r="X163" i="59"/>
  <c r="Y155" i="59"/>
  <c r="X160" i="59"/>
  <c r="Y152" i="59"/>
  <c r="X161" i="59"/>
  <c r="Y153" i="59"/>
  <c r="X162" i="59"/>
  <c r="Y154" i="59"/>
  <c r="U194" i="59"/>
  <c r="U193" i="59"/>
  <c r="U246" i="59"/>
  <c r="Y157" i="59"/>
  <c r="Z149" i="59"/>
  <c r="V240" i="59"/>
  <c r="W244" i="59" s="1"/>
  <c r="V189" i="59"/>
  <c r="X158" i="59"/>
  <c r="Y150" i="59"/>
  <c r="Z151" i="59" l="1"/>
  <c r="Y159" i="59"/>
  <c r="T190" i="59"/>
  <c r="V192" i="59"/>
  <c r="V1045" i="59"/>
  <c r="V113" i="60"/>
  <c r="V73" i="73"/>
  <c r="V75" i="73"/>
  <c r="U248" i="59"/>
  <c r="U196" i="59" s="1"/>
  <c r="W17" i="60"/>
  <c r="W70" i="73"/>
  <c r="W75" i="73" s="1"/>
  <c r="X167" i="59"/>
  <c r="X186" i="59" s="1"/>
  <c r="Y161" i="59"/>
  <c r="Z153" i="59"/>
  <c r="Y160" i="59"/>
  <c r="Z152" i="59"/>
  <c r="V193" i="59"/>
  <c r="V194" i="59"/>
  <c r="Y162" i="59"/>
  <c r="Z154" i="59"/>
  <c r="Y163" i="59"/>
  <c r="Z155" i="59"/>
  <c r="Y158" i="59"/>
  <c r="Z150" i="59"/>
  <c r="V246" i="59"/>
  <c r="Z157" i="59"/>
  <c r="AA149" i="59"/>
  <c r="W240" i="59"/>
  <c r="X244" i="59" s="1"/>
  <c r="W189" i="59"/>
  <c r="AA151" i="59" l="1"/>
  <c r="Z159" i="59"/>
  <c r="W192" i="59"/>
  <c r="U190" i="59"/>
  <c r="W1045" i="59"/>
  <c r="W113" i="60"/>
  <c r="W73" i="73"/>
  <c r="W74" i="73"/>
  <c r="V248" i="59"/>
  <c r="V196" i="59" s="1"/>
  <c r="X17" i="60"/>
  <c r="X70" i="73"/>
  <c r="X75" i="73" s="1"/>
  <c r="Y167" i="59"/>
  <c r="Y186" i="59" s="1"/>
  <c r="AA153" i="59"/>
  <c r="Z161" i="59"/>
  <c r="AA157" i="59"/>
  <c r="AB149" i="59"/>
  <c r="X240" i="59"/>
  <c r="Y244" i="59" s="1"/>
  <c r="X189" i="59"/>
  <c r="W193" i="59"/>
  <c r="W194" i="59"/>
  <c r="Z163" i="59"/>
  <c r="AA155" i="59"/>
  <c r="W246" i="59"/>
  <c r="Z158" i="59"/>
  <c r="AA150" i="59"/>
  <c r="Z162" i="59"/>
  <c r="AA154" i="59"/>
  <c r="Z160" i="59"/>
  <c r="AA152" i="59"/>
  <c r="AB151" i="59" l="1"/>
  <c r="AA159" i="59"/>
  <c r="X192" i="59"/>
  <c r="V190" i="59"/>
  <c r="X1045" i="59"/>
  <c r="X113" i="60"/>
  <c r="Y17" i="60"/>
  <c r="W248" i="59"/>
  <c r="W196" i="59" s="1"/>
  <c r="X73" i="73"/>
  <c r="Y70" i="73"/>
  <c r="Y75" i="73" s="1"/>
  <c r="X74" i="73"/>
  <c r="Z167" i="59"/>
  <c r="Z186" i="59" s="1"/>
  <c r="AB150" i="59"/>
  <c r="AA158" i="59"/>
  <c r="AA162" i="59"/>
  <c r="AB154" i="59"/>
  <c r="X194" i="59"/>
  <c r="X193" i="59"/>
  <c r="Y240" i="59"/>
  <c r="Z244" i="59" s="1"/>
  <c r="Y189" i="59"/>
  <c r="X246" i="59"/>
  <c r="AA160" i="59"/>
  <c r="AB152" i="59"/>
  <c r="AB157" i="59"/>
  <c r="AC149" i="59"/>
  <c r="AB153" i="59"/>
  <c r="AA161" i="59"/>
  <c r="AA163" i="59"/>
  <c r="AB155" i="59"/>
  <c r="AC151" i="59" l="1"/>
  <c r="AB159" i="59"/>
  <c r="W190" i="59"/>
  <c r="Y192" i="59"/>
  <c r="Y1045" i="59"/>
  <c r="Y113" i="60"/>
  <c r="Z17" i="60"/>
  <c r="Z70" i="73"/>
  <c r="Z74" i="73" s="1"/>
  <c r="Y73" i="73"/>
  <c r="Y74" i="73"/>
  <c r="X248" i="59"/>
  <c r="X196" i="59" s="1"/>
  <c r="AA167" i="59"/>
  <c r="AA186" i="59" s="1"/>
  <c r="AB161" i="59"/>
  <c r="AC153" i="59"/>
  <c r="AC157" i="59"/>
  <c r="AD149" i="59"/>
  <c r="Z240" i="59"/>
  <c r="AA244" i="59" s="1"/>
  <c r="Z189" i="59"/>
  <c r="AB162" i="59"/>
  <c r="AC154" i="59"/>
  <c r="Y193" i="59"/>
  <c r="Y194" i="59"/>
  <c r="Y246" i="59"/>
  <c r="AB163" i="59"/>
  <c r="AC155" i="59"/>
  <c r="AB160" i="59"/>
  <c r="AC152" i="59"/>
  <c r="AB158" i="59"/>
  <c r="AC150" i="59"/>
  <c r="AD151" i="59" l="1"/>
  <c r="AC159" i="59"/>
  <c r="X190" i="59"/>
  <c r="Z192" i="59"/>
  <c r="Z1045" i="59"/>
  <c r="Z113" i="60"/>
  <c r="Z75" i="73"/>
  <c r="Z73" i="73"/>
  <c r="Y248" i="59"/>
  <c r="Y196" i="59" s="1"/>
  <c r="AA17" i="60"/>
  <c r="AA70" i="73"/>
  <c r="AA75" i="73" s="1"/>
  <c r="AB167" i="59"/>
  <c r="AB186" i="59" s="1"/>
  <c r="Z193" i="59"/>
  <c r="Z194" i="59"/>
  <c r="AD153" i="59"/>
  <c r="AC161" i="59"/>
  <c r="Z246" i="59"/>
  <c r="AD157" i="59"/>
  <c r="AE149" i="59"/>
  <c r="AC162" i="59"/>
  <c r="AD154" i="59"/>
  <c r="AA240" i="59"/>
  <c r="AB244" i="59" s="1"/>
  <c r="AA189" i="59"/>
  <c r="AD152" i="59"/>
  <c r="AC160" i="59"/>
  <c r="AC158" i="59"/>
  <c r="AD150" i="59"/>
  <c r="AC163" i="59"/>
  <c r="AD155" i="59"/>
  <c r="AE151" i="59" l="1"/>
  <c r="AD159" i="59"/>
  <c r="Y190" i="59"/>
  <c r="AA192" i="59"/>
  <c r="AA1045" i="59"/>
  <c r="AA113" i="60"/>
  <c r="AA73" i="73"/>
  <c r="AA74" i="73"/>
  <c r="Z248" i="59"/>
  <c r="Z196" i="59" s="1"/>
  <c r="AB17" i="60"/>
  <c r="AB70" i="73"/>
  <c r="AB75" i="73" s="1"/>
  <c r="AC167" i="59"/>
  <c r="AC186" i="59" s="1"/>
  <c r="AD162" i="59"/>
  <c r="AE154" i="59"/>
  <c r="AE153" i="59"/>
  <c r="AD161" i="59"/>
  <c r="AA246" i="59"/>
  <c r="AB240" i="59"/>
  <c r="AC244" i="59" s="1"/>
  <c r="AB189" i="59"/>
  <c r="AD163" i="59"/>
  <c r="AE155" i="59"/>
  <c r="AE152" i="59"/>
  <c r="AD160" i="59"/>
  <c r="AA193" i="59"/>
  <c r="AA194" i="59"/>
  <c r="AE157" i="59"/>
  <c r="AF149" i="59"/>
  <c r="AD158" i="59"/>
  <c r="AE150" i="59"/>
  <c r="AF151" i="59" l="1"/>
  <c r="AE159" i="59"/>
  <c r="AB192" i="59"/>
  <c r="Z190" i="59"/>
  <c r="AB1045" i="59"/>
  <c r="AB113" i="60"/>
  <c r="AB73" i="73"/>
  <c r="AB74" i="73"/>
  <c r="AC17" i="60"/>
  <c r="AC70" i="73"/>
  <c r="AC75" i="73" s="1"/>
  <c r="AA248" i="59"/>
  <c r="AA196" i="59" s="1"/>
  <c r="AD167" i="59"/>
  <c r="AD186" i="59" s="1"/>
  <c r="AB193" i="59"/>
  <c r="AB194" i="59"/>
  <c r="AB246" i="59"/>
  <c r="AE163" i="59"/>
  <c r="AF155" i="59"/>
  <c r="AE161" i="59"/>
  <c r="AF153" i="59"/>
  <c r="AC240" i="59"/>
  <c r="AD244" i="59" s="1"/>
  <c r="AC189" i="59"/>
  <c r="AE162" i="59"/>
  <c r="AF154" i="59"/>
  <c r="AF152" i="59"/>
  <c r="AE160" i="59"/>
  <c r="AE158" i="59"/>
  <c r="AF150" i="59"/>
  <c r="AF157" i="59"/>
  <c r="AG149" i="59"/>
  <c r="AG151" i="59" l="1"/>
  <c r="AF159" i="59"/>
  <c r="AC192" i="59"/>
  <c r="AA190" i="59"/>
  <c r="AC1045" i="59"/>
  <c r="AC113" i="60"/>
  <c r="AC73" i="73"/>
  <c r="AC74" i="73"/>
  <c r="AD17" i="60"/>
  <c r="AB248" i="59"/>
  <c r="AB196" i="59" s="1"/>
  <c r="AD70" i="73"/>
  <c r="AD74" i="73" s="1"/>
  <c r="AE167" i="59"/>
  <c r="AE186" i="59" s="1"/>
  <c r="AF163" i="59"/>
  <c r="AG155" i="59"/>
  <c r="AC246" i="59"/>
  <c r="AG152" i="59"/>
  <c r="AF160" i="59"/>
  <c r="AF161" i="59"/>
  <c r="AG153" i="59"/>
  <c r="AF162" i="59"/>
  <c r="AG154" i="59"/>
  <c r="AG157" i="59"/>
  <c r="AH149" i="59"/>
  <c r="AG150" i="59"/>
  <c r="AF158" i="59"/>
  <c r="AC194" i="59"/>
  <c r="AC193" i="59"/>
  <c r="AD240" i="59"/>
  <c r="AE244" i="59" s="1"/>
  <c r="AD189" i="59"/>
  <c r="AH151" i="59" l="1"/>
  <c r="AG159" i="59"/>
  <c r="AD192" i="59"/>
  <c r="AB190" i="59"/>
  <c r="AD1045" i="59"/>
  <c r="AD113" i="60"/>
  <c r="AD75" i="73"/>
  <c r="AC248" i="59"/>
  <c r="AC196" i="59" s="1"/>
  <c r="AD73" i="73"/>
  <c r="AE70" i="73"/>
  <c r="AE74" i="73" s="1"/>
  <c r="AE17" i="60"/>
  <c r="AF167" i="59"/>
  <c r="AF186" i="59" s="1"/>
  <c r="AG162" i="59"/>
  <c r="AH154" i="59"/>
  <c r="AD246" i="59"/>
  <c r="AG160" i="59"/>
  <c r="AH152" i="59"/>
  <c r="AH153" i="59"/>
  <c r="AG161" i="59"/>
  <c r="AG163" i="59"/>
  <c r="AH155" i="59"/>
  <c r="AG158" i="59"/>
  <c r="AH150" i="59"/>
  <c r="AD193" i="59"/>
  <c r="AD194" i="59"/>
  <c r="AI149" i="59"/>
  <c r="AH157" i="59"/>
  <c r="AE240" i="59"/>
  <c r="AF244" i="59" s="1"/>
  <c r="AE189" i="59"/>
  <c r="AI151" i="59" l="1"/>
  <c r="AH159" i="59"/>
  <c r="AE192" i="59"/>
  <c r="AC190" i="59"/>
  <c r="AE1045" i="59"/>
  <c r="AE113" i="60"/>
  <c r="AE73" i="73"/>
  <c r="AE75" i="73"/>
  <c r="AD248" i="59"/>
  <c r="AD196" i="59" s="1"/>
  <c r="AF17" i="60"/>
  <c r="AF70" i="73"/>
  <c r="AF74" i="73" s="1"/>
  <c r="AG167" i="59"/>
  <c r="AG186" i="59" s="1"/>
  <c r="AH158" i="59"/>
  <c r="AI150" i="59"/>
  <c r="AH163" i="59"/>
  <c r="AI155" i="59"/>
  <c r="AH161" i="59"/>
  <c r="AI153" i="59"/>
  <c r="AH160" i="59"/>
  <c r="AI152" i="59"/>
  <c r="AE246" i="59"/>
  <c r="AI157" i="59"/>
  <c r="AJ149" i="59"/>
  <c r="AI154" i="59"/>
  <c r="AH162" i="59"/>
  <c r="AE194" i="59"/>
  <c r="AE193" i="59"/>
  <c r="AF240" i="59"/>
  <c r="AG244" i="59" s="1"/>
  <c r="AF189" i="59"/>
  <c r="AJ151" i="59" l="1"/>
  <c r="AI159" i="59"/>
  <c r="AF192" i="59"/>
  <c r="AD190" i="59"/>
  <c r="AF1045" i="59"/>
  <c r="AF113" i="60"/>
  <c r="AF73" i="73"/>
  <c r="AF75" i="73"/>
  <c r="AE248" i="59"/>
  <c r="AE196" i="59" s="1"/>
  <c r="AG17" i="60"/>
  <c r="AG70" i="73"/>
  <c r="AG74" i="73" s="1"/>
  <c r="AH167" i="59"/>
  <c r="AH186" i="59" s="1"/>
  <c r="AJ154" i="59"/>
  <c r="AI162" i="59"/>
  <c r="AI158" i="59"/>
  <c r="AJ150" i="59"/>
  <c r="AG240" i="59"/>
  <c r="AH244" i="59" s="1"/>
  <c r="AG189" i="59"/>
  <c r="AF193" i="59"/>
  <c r="AF194" i="59"/>
  <c r="AJ153" i="59"/>
  <c r="AI161" i="59"/>
  <c r="AJ157" i="59"/>
  <c r="F149" i="59"/>
  <c r="AI160" i="59"/>
  <c r="AJ152" i="59"/>
  <c r="AI163" i="59"/>
  <c r="AJ155" i="59"/>
  <c r="AF246" i="59"/>
  <c r="AJ159" i="59" l="1"/>
  <c r="F159" i="59" s="1"/>
  <c r="F151" i="59"/>
  <c r="AE190" i="59"/>
  <c r="AG192" i="59"/>
  <c r="AG1045" i="59"/>
  <c r="AG113" i="60"/>
  <c r="AG75" i="73"/>
  <c r="AG73" i="73"/>
  <c r="AF248" i="59"/>
  <c r="AF196" i="59" s="1"/>
  <c r="AH17" i="60"/>
  <c r="AH70" i="73"/>
  <c r="AH74" i="73" s="1"/>
  <c r="AI167" i="59"/>
  <c r="AI186" i="59" s="1"/>
  <c r="F157" i="59"/>
  <c r="AG194" i="59"/>
  <c r="AG193" i="59"/>
  <c r="AG246" i="59"/>
  <c r="AJ158" i="59"/>
  <c r="F158" i="59" s="1"/>
  <c r="F150" i="59"/>
  <c r="AJ162" i="59"/>
  <c r="F162" i="59" s="1"/>
  <c r="F154" i="59"/>
  <c r="AJ161" i="59"/>
  <c r="F161" i="59" s="1"/>
  <c r="F153" i="59"/>
  <c r="AH240" i="59"/>
  <c r="AI244" i="59" s="1"/>
  <c r="AH189" i="59"/>
  <c r="AJ160" i="59"/>
  <c r="F160" i="59" s="1"/>
  <c r="F152" i="59"/>
  <c r="AJ163" i="59"/>
  <c r="F163" i="59" s="1"/>
  <c r="F155" i="59"/>
  <c r="AH192" i="59" l="1"/>
  <c r="AF190" i="59"/>
  <c r="AH1045" i="59"/>
  <c r="AH113" i="60"/>
  <c r="AH75" i="73"/>
  <c r="AH73" i="73"/>
  <c r="AG248" i="59"/>
  <c r="AG196" i="59" s="1"/>
  <c r="AI70" i="73"/>
  <c r="AI73" i="73" s="1"/>
  <c r="AI17" i="60"/>
  <c r="AH193" i="59"/>
  <c r="AH194" i="59"/>
  <c r="AH246" i="59"/>
  <c r="AJ167" i="59"/>
  <c r="AI240" i="59"/>
  <c r="AJ244" i="59" s="1"/>
  <c r="AI189" i="59"/>
  <c r="AG190" i="59" l="1"/>
  <c r="AI192" i="59"/>
  <c r="AI1045" i="59"/>
  <c r="AI113" i="60"/>
  <c r="AI74" i="73"/>
  <c r="AI75" i="73"/>
  <c r="AH248" i="59"/>
  <c r="AH196" i="59" s="1"/>
  <c r="AI194" i="59"/>
  <c r="AI193" i="59"/>
  <c r="AI246" i="59"/>
  <c r="AJ70" i="73"/>
  <c r="F70" i="73" s="1"/>
  <c r="AJ17" i="60"/>
  <c r="AJ113" i="60" s="1"/>
  <c r="AJ186" i="59"/>
  <c r="F167" i="59"/>
  <c r="F113" i="60" l="1"/>
  <c r="AH190" i="59"/>
  <c r="AI248" i="59"/>
  <c r="AI196" i="59" s="1"/>
  <c r="AJ73" i="73"/>
  <c r="F73" i="73" s="1"/>
  <c r="AJ74" i="73"/>
  <c r="F74" i="73" s="1"/>
  <c r="AJ75" i="73"/>
  <c r="F75" i="73" s="1"/>
  <c r="AJ1045" i="59"/>
  <c r="F17" i="60"/>
  <c r="F1045" i="59" s="1"/>
  <c r="AJ189" i="59"/>
  <c r="AJ240" i="59"/>
  <c r="AK244" i="59" s="1"/>
  <c r="AK248" i="59" s="1"/>
  <c r="F186" i="59"/>
  <c r="AI190" i="59" l="1"/>
  <c r="AJ192" i="59"/>
  <c r="AJ193" i="59"/>
  <c r="F193" i="59" s="1"/>
  <c r="AJ194" i="59"/>
  <c r="F194" i="59" s="1"/>
  <c r="F189" i="59"/>
  <c r="AJ1047" i="59"/>
  <c r="AJ1048" i="59" s="1"/>
  <c r="H1047" i="59"/>
  <c r="H1048" i="59" s="1"/>
  <c r="I1047" i="59"/>
  <c r="I1048" i="59" s="1"/>
  <c r="K1047" i="59"/>
  <c r="K1048" i="59" s="1"/>
  <c r="J1047" i="59"/>
  <c r="J1048" i="59" s="1"/>
  <c r="G1047" i="59"/>
  <c r="L1047" i="59"/>
  <c r="L1048" i="59" s="1"/>
  <c r="M1047" i="59"/>
  <c r="M1048" i="59" s="1"/>
  <c r="R1047" i="59"/>
  <c r="R1048" i="59" s="1"/>
  <c r="N1047" i="59"/>
  <c r="N1048" i="59" s="1"/>
  <c r="O1047" i="59"/>
  <c r="O1048" i="59" s="1"/>
  <c r="T1047" i="59"/>
  <c r="T1048" i="59" s="1"/>
  <c r="P1047" i="59"/>
  <c r="P1048" i="59" s="1"/>
  <c r="Q1047" i="59"/>
  <c r="Q1048" i="59" s="1"/>
  <c r="U1047" i="59"/>
  <c r="U1048" i="59" s="1"/>
  <c r="S1047" i="59"/>
  <c r="S1048" i="59" s="1"/>
  <c r="V1047" i="59"/>
  <c r="V1048" i="59" s="1"/>
  <c r="W1047" i="59"/>
  <c r="W1048" i="59" s="1"/>
  <c r="X1047" i="59"/>
  <c r="X1048" i="59" s="1"/>
  <c r="Y1047" i="59"/>
  <c r="Y1048" i="59" s="1"/>
  <c r="AA1047" i="59"/>
  <c r="AA1048" i="59" s="1"/>
  <c r="Z1047" i="59"/>
  <c r="Z1048" i="59" s="1"/>
  <c r="AE1047" i="59"/>
  <c r="AE1048" i="59" s="1"/>
  <c r="AB1047" i="59"/>
  <c r="AB1048" i="59" s="1"/>
  <c r="AC1047" i="59"/>
  <c r="AC1048" i="59" s="1"/>
  <c r="AF1047" i="59"/>
  <c r="AF1048" i="59" s="1"/>
  <c r="AH1047" i="59"/>
  <c r="AH1048" i="59" s="1"/>
  <c r="AG1047" i="59"/>
  <c r="AG1048" i="59" s="1"/>
  <c r="AI1047" i="59"/>
  <c r="AI1048" i="59" s="1"/>
  <c r="AD1047" i="59"/>
  <c r="AD1048" i="59" s="1"/>
  <c r="AJ246" i="59"/>
  <c r="AJ248" i="59" s="1"/>
  <c r="F240" i="59"/>
  <c r="F1047" i="59" l="1"/>
  <c r="G1048" i="59"/>
  <c r="G1042" i="59" s="1"/>
  <c r="AJ196" i="59"/>
  <c r="F246" i="59"/>
  <c r="F192" i="59"/>
  <c r="F244" i="59"/>
  <c r="AJ190" i="59" l="1"/>
  <c r="AK196" i="59"/>
  <c r="F248" i="59"/>
  <c r="G1043" i="59"/>
  <c r="G149" i="60"/>
  <c r="AK198" i="59" l="1"/>
  <c r="F196" i="59"/>
  <c r="G176" i="60"/>
  <c r="H1039" i="59"/>
  <c r="AK18" i="60" l="1"/>
  <c r="AK114" i="60" s="1"/>
  <c r="H1041" i="59"/>
  <c r="H145" i="60" s="1"/>
  <c r="H1042" i="59"/>
  <c r="H149" i="60" s="1"/>
  <c r="AK115" i="60" l="1"/>
  <c r="AK19" i="60"/>
  <c r="H1043" i="59"/>
  <c r="AK143" i="60" l="1"/>
  <c r="AK366" i="59"/>
  <c r="H176" i="60"/>
  <c r="I1039" i="59"/>
  <c r="I1042" i="59" l="1"/>
  <c r="I149" i="60" s="1"/>
  <c r="I1041" i="59"/>
  <c r="I145" i="60" s="1"/>
  <c r="AK367" i="59"/>
  <c r="AK368" i="59" s="1"/>
  <c r="AK26" i="68"/>
  <c r="AK942" i="59"/>
  <c r="AL369" i="59" l="1"/>
  <c r="AL388" i="59" s="1"/>
  <c r="AK954" i="59"/>
  <c r="I1043" i="59"/>
  <c r="I176" i="60" l="1"/>
  <c r="J1039" i="59"/>
  <c r="AL391" i="59"/>
  <c r="AL42" i="60" l="1"/>
  <c r="AL118" i="60" s="1"/>
  <c r="J1041" i="59"/>
  <c r="J145" i="60" s="1"/>
  <c r="J1042" i="59"/>
  <c r="J149" i="60" s="1"/>
  <c r="AL120" i="60" l="1"/>
  <c r="AL29" i="68"/>
  <c r="AL44" i="60"/>
  <c r="J1043" i="59"/>
  <c r="AL126" i="60" l="1"/>
  <c r="J176" i="60"/>
  <c r="K1039" i="59"/>
  <c r="AL33" i="68"/>
  <c r="AL50" i="68"/>
  <c r="AL252" i="63"/>
  <c r="AL253" i="63" s="1"/>
  <c r="AL56" i="60"/>
  <c r="AL62" i="60" l="1"/>
  <c r="AL69" i="60" s="1"/>
  <c r="AL258" i="63"/>
  <c r="AL63" i="68"/>
  <c r="AL52" i="68"/>
  <c r="K1041" i="59"/>
  <c r="K145" i="60" s="1"/>
  <c r="K1042" i="59"/>
  <c r="K149" i="60" s="1"/>
  <c r="K1043" i="59" l="1"/>
  <c r="K176" i="60" s="1"/>
  <c r="AL64" i="68"/>
  <c r="AL320" i="63"/>
  <c r="L1039" i="59" l="1"/>
  <c r="L1042" i="59" s="1"/>
  <c r="L149" i="60" s="1"/>
  <c r="L1041" i="59" l="1"/>
  <c r="L145" i="60" s="1"/>
  <c r="L1043" i="59" l="1"/>
  <c r="L176" i="60" s="1"/>
  <c r="M1039" i="59" l="1"/>
  <c r="M1042" i="59" s="1"/>
  <c r="M149" i="60" s="1"/>
  <c r="M1041" i="59" l="1"/>
  <c r="M145" i="60" s="1"/>
  <c r="M1043" i="59" l="1"/>
  <c r="M176" i="60" s="1"/>
  <c r="N1039" i="59" l="1"/>
  <c r="N1042" i="59" l="1"/>
  <c r="N149" i="60" s="1"/>
  <c r="N1041" i="59"/>
  <c r="N145" i="60" l="1"/>
  <c r="N1043" i="59"/>
  <c r="O1039" i="59" l="1"/>
  <c r="N176" i="60"/>
  <c r="O1041" i="59" l="1"/>
  <c r="O1042" i="59"/>
  <c r="O149" i="60" s="1"/>
  <c r="O145" i="60" l="1"/>
  <c r="O1043" i="59"/>
  <c r="P1039" i="59" l="1"/>
  <c r="O176" i="60"/>
  <c r="P1042" i="59" l="1"/>
  <c r="P149" i="60" s="1"/>
  <c r="P1041" i="59"/>
  <c r="P145" i="60" l="1"/>
  <c r="P1043" i="59"/>
  <c r="P176" i="60" l="1"/>
  <c r="Q1039" i="59"/>
  <c r="Q1041" i="59" l="1"/>
  <c r="Q1042" i="59"/>
  <c r="Q149" i="60" s="1"/>
  <c r="Q145" i="60" l="1"/>
  <c r="Q1043" i="59"/>
  <c r="Q176" i="60" l="1"/>
  <c r="R1039" i="59"/>
  <c r="R1041" i="59" l="1"/>
  <c r="R1042" i="59"/>
  <c r="R149" i="60" s="1"/>
  <c r="R145" i="60" l="1"/>
  <c r="R1043" i="59"/>
  <c r="S1039" i="59" l="1"/>
  <c r="R176" i="60"/>
  <c r="S1041" i="59" l="1"/>
  <c r="S145" i="60" s="1"/>
  <c r="S1042" i="59"/>
  <c r="S149" i="60" s="1"/>
  <c r="S1043" i="59" l="1"/>
  <c r="T1039" i="59" s="1"/>
  <c r="G47" i="68"/>
  <c r="G54" i="68" s="1"/>
  <c r="H47" i="68"/>
  <c r="H54" i="68" s="1"/>
  <c r="I47" i="68"/>
  <c r="I54" i="68" s="1"/>
  <c r="J47" i="68"/>
  <c r="J54" i="68" s="1"/>
  <c r="K47" i="68"/>
  <c r="K54" i="68" s="1"/>
  <c r="L47" i="68"/>
  <c r="L54" i="68" s="1"/>
  <c r="M47" i="68"/>
  <c r="M54" i="68" s="1"/>
  <c r="N47" i="68"/>
  <c r="N54" i="68" s="1"/>
  <c r="O47" i="68"/>
  <c r="O54" i="68" s="1"/>
  <c r="P47" i="68"/>
  <c r="P54" i="68" s="1"/>
  <c r="Q47" i="68"/>
  <c r="Q54" i="68" s="1"/>
  <c r="R47" i="68"/>
  <c r="R54" i="68" s="1"/>
  <c r="S47" i="68"/>
  <c r="S54" i="68" s="1"/>
  <c r="T47" i="68"/>
  <c r="T54" i="68" s="1"/>
  <c r="U47" i="68"/>
  <c r="U54" i="68" s="1"/>
  <c r="V47" i="68"/>
  <c r="V54" i="68" s="1"/>
  <c r="W47" i="68"/>
  <c r="W54" i="68" s="1"/>
  <c r="X47" i="68"/>
  <c r="X54" i="68" s="1"/>
  <c r="Y47" i="68"/>
  <c r="Y54" i="68" s="1"/>
  <c r="Z47" i="68"/>
  <c r="Z54" i="68" s="1"/>
  <c r="AA47" i="68"/>
  <c r="AA54" i="68" s="1"/>
  <c r="AB47" i="68"/>
  <c r="AB54" i="68" s="1"/>
  <c r="AC47" i="68"/>
  <c r="AC54" i="68" s="1"/>
  <c r="AD47" i="68"/>
  <c r="AD54" i="68" s="1"/>
  <c r="AE47" i="68"/>
  <c r="AE54" i="68" s="1"/>
  <c r="AF47" i="68"/>
  <c r="AF54" i="68" s="1"/>
  <c r="AG47" i="68"/>
  <c r="AG54" i="68" s="1"/>
  <c r="AH47" i="68"/>
  <c r="AH54" i="68" s="1"/>
  <c r="AI47" i="68"/>
  <c r="AI54" i="68" s="1"/>
  <c r="AJ47" i="68"/>
  <c r="AJ54" i="68" s="1"/>
  <c r="AK47" i="68"/>
  <c r="AK54" i="68" s="1"/>
  <c r="AL47" i="68"/>
  <c r="AL54" i="68" s="1"/>
  <c r="AL55" i="68" s="1"/>
  <c r="AM47" i="68"/>
  <c r="AM54" i="68" s="1"/>
  <c r="AM55" i="68" s="1"/>
  <c r="S176" i="60" l="1"/>
  <c r="T1041" i="59"/>
  <c r="T145" i="60" s="1"/>
  <c r="T1042" i="59"/>
  <c r="T149" i="60" s="1"/>
  <c r="T1043" i="59" l="1"/>
  <c r="T176" i="60" s="1"/>
  <c r="U1039" i="59" l="1"/>
  <c r="U1041" i="59" s="1"/>
  <c r="U1042" i="59" l="1"/>
  <c r="U149" i="60" s="1"/>
  <c r="U145" i="60"/>
  <c r="U1043" i="59" l="1"/>
  <c r="U176" i="60" s="1"/>
  <c r="V1039" i="59" l="1"/>
  <c r="V1042" i="59" s="1"/>
  <c r="V149" i="60" s="1"/>
  <c r="V1041" i="59" l="1"/>
  <c r="V145" i="60" s="1"/>
  <c r="V1043" i="59" l="1"/>
  <c r="V176" i="60" s="1"/>
  <c r="W1039" i="59" l="1"/>
  <c r="W1042" i="59" s="1"/>
  <c r="W149" i="60" s="1"/>
  <c r="W1041" i="59" l="1"/>
  <c r="W145" i="60" s="1"/>
  <c r="W1043" i="59" l="1"/>
  <c r="W176" i="60" s="1"/>
  <c r="X1039" i="59" l="1"/>
  <c r="X1041" i="59" s="1"/>
  <c r="X1042" i="59" l="1"/>
  <c r="X149" i="60" s="1"/>
  <c r="X145" i="60"/>
  <c r="X1043" i="59" l="1"/>
  <c r="X176" i="60" s="1"/>
  <c r="Y1039" i="59" l="1"/>
  <c r="Y1041" i="59" s="1"/>
  <c r="Y145" i="60" s="1"/>
  <c r="Y1042" i="59" l="1"/>
  <c r="Y149" i="60" s="1"/>
  <c r="Y1043" i="59" l="1"/>
  <c r="Z1039" i="59" s="1"/>
  <c r="Y176" i="60" l="1"/>
  <c r="Z1041" i="59"/>
  <c r="Z145" i="60" s="1"/>
  <c r="Z1042" i="59"/>
  <c r="Z149" i="60" s="1"/>
  <c r="Z1043" i="59" l="1"/>
  <c r="AA1039" i="59" l="1"/>
  <c r="Z176" i="60"/>
  <c r="AA1042" i="59" l="1"/>
  <c r="AA149" i="60" s="1"/>
  <c r="AA1041" i="59"/>
  <c r="AA145" i="60" s="1"/>
  <c r="AA1043" i="59" l="1"/>
  <c r="AB1039" i="59" l="1"/>
  <c r="AA176" i="60"/>
  <c r="AB1042" i="59" l="1"/>
  <c r="AB149" i="60" s="1"/>
  <c r="AB1041" i="59"/>
  <c r="AB145" i="60" s="1"/>
  <c r="AB1043" i="59" l="1"/>
  <c r="AB176" i="60" l="1"/>
  <c r="AC1039" i="59"/>
  <c r="AC1042" i="59" l="1"/>
  <c r="AC149" i="60" s="1"/>
  <c r="AC1041" i="59"/>
  <c r="AC145" i="60" l="1"/>
  <c r="AC1043" i="59"/>
  <c r="AC176" i="60" l="1"/>
  <c r="AD1039" i="59"/>
  <c r="AD1041" i="59" l="1"/>
  <c r="AD145" i="60" s="1"/>
  <c r="AD1042" i="59"/>
  <c r="AD149" i="60" s="1"/>
  <c r="AD1043" i="59" l="1"/>
  <c r="AD176" i="60" l="1"/>
  <c r="AE1039" i="59"/>
  <c r="AE1042" i="59" l="1"/>
  <c r="AE149" i="60" s="1"/>
  <c r="AE1041" i="59"/>
  <c r="AE145" i="60" s="1"/>
  <c r="AE1043" i="59" l="1"/>
  <c r="AE176" i="60" s="1"/>
  <c r="AF1039" i="59" l="1"/>
  <c r="AF1041" i="59" s="1"/>
  <c r="AF145" i="60" s="1"/>
  <c r="AF1042" i="59" l="1"/>
  <c r="AF149" i="60" l="1"/>
  <c r="AF1043" i="59"/>
  <c r="AG1039" i="59" l="1"/>
  <c r="AF176" i="60"/>
  <c r="AG1042" i="59" l="1"/>
  <c r="AG149" i="60" s="1"/>
  <c r="AG1041" i="59"/>
  <c r="AG1043" i="59" l="1"/>
  <c r="AG145" i="60"/>
  <c r="AH1039" i="59" l="1"/>
  <c r="AG176" i="60"/>
  <c r="AH1041" i="59" l="1"/>
  <c r="AH1042" i="59" s="1"/>
  <c r="AH149" i="60" s="1"/>
  <c r="AH145" i="60" l="1"/>
  <c r="AH1043" i="59"/>
  <c r="AI1039" i="59" l="1"/>
  <c r="AH176" i="60"/>
  <c r="AI1041" i="59" l="1"/>
  <c r="AI1042" i="59"/>
  <c r="AI149" i="60" s="1"/>
  <c r="AI145" i="60" l="1"/>
  <c r="AI1043" i="59"/>
  <c r="AI176" i="60" l="1"/>
  <c r="AJ1039" i="59"/>
  <c r="AJ1041" i="59" s="1"/>
  <c r="AJ145" i="60" s="1"/>
  <c r="AJ1042" i="59" l="1"/>
  <c r="AJ1043" i="59" s="1"/>
  <c r="AJ149" i="60" l="1"/>
  <c r="AK1039" i="59"/>
  <c r="AJ176" i="60"/>
  <c r="AK1041" i="59" l="1"/>
  <c r="AK145" i="60" s="1"/>
  <c r="AK147" i="60" s="1"/>
  <c r="AK357" i="63" s="1"/>
  <c r="AK359" i="63" s="1"/>
  <c r="AK1042" i="59" l="1"/>
  <c r="AK149" i="60" s="1"/>
  <c r="AK1043" i="59" l="1"/>
  <c r="AL1039" i="59" l="1"/>
  <c r="AL1041" i="59" s="1"/>
  <c r="AL145" i="60" s="1"/>
  <c r="AL1042" i="59" l="1"/>
  <c r="AL149" i="60" s="1"/>
  <c r="AL147" i="60"/>
  <c r="AL1043" i="59" l="1"/>
  <c r="AM1039" i="59" s="1"/>
  <c r="AL357" i="63"/>
  <c r="AL359" i="63" s="1"/>
  <c r="AM1041" i="59" l="1"/>
  <c r="AM145" i="60" s="1"/>
  <c r="AM1042" i="59" l="1"/>
  <c r="AM149" i="60" s="1"/>
  <c r="F149" i="60" s="1"/>
  <c r="AM147" i="60"/>
  <c r="F145" i="60"/>
  <c r="AM1043" i="59" l="1"/>
  <c r="AN1039" i="59" s="1"/>
  <c r="AM357" i="63"/>
  <c r="AM359" i="63" s="1"/>
  <c r="AN1041" i="59" l="1"/>
  <c r="AN1042" i="59" s="1"/>
  <c r="AN1043" i="59" s="1"/>
  <c r="D18" i="95"/>
  <c r="D106" i="95"/>
  <c r="E106" i="95" s="1"/>
  <c r="F106" i="95" s="1"/>
  <c r="G106" i="95" s="1"/>
  <c r="H106" i="95" s="1"/>
  <c r="I106" i="95" s="1"/>
  <c r="J106" i="95" s="1"/>
  <c r="K106" i="95" s="1"/>
  <c r="L106" i="95" s="1"/>
  <c r="M106" i="95" s="1"/>
  <c r="N106" i="95" s="1"/>
  <c r="O106" i="95" s="1"/>
  <c r="P106" i="95" s="1"/>
  <c r="Q106" i="95" s="1"/>
  <c r="R106" i="95" s="1"/>
  <c r="S106" i="95" s="1"/>
  <c r="T106" i="95" s="1"/>
  <c r="U106" i="95" s="1"/>
  <c r="V106" i="95" s="1"/>
  <c r="W106" i="95" s="1"/>
  <c r="X106" i="95" s="1"/>
  <c r="Y106" i="95" s="1"/>
  <c r="Z106" i="95" s="1"/>
  <c r="AA106" i="95" s="1"/>
  <c r="AB106" i="95" s="1"/>
  <c r="AC106" i="95" s="1"/>
  <c r="AD106" i="95" s="1"/>
  <c r="AE106" i="95" s="1"/>
  <c r="AF106" i="95" s="1"/>
  <c r="D130" i="95"/>
  <c r="E130" i="95" s="1"/>
  <c r="F130" i="95" s="1"/>
  <c r="G130" i="95" s="1"/>
  <c r="H130" i="95" s="1"/>
  <c r="I130" i="95" s="1"/>
  <c r="J130" i="95" s="1"/>
  <c r="K130" i="95" s="1"/>
  <c r="L130" i="95" s="1"/>
  <c r="M130" i="95" s="1"/>
  <c r="N130" i="95" s="1"/>
  <c r="O130" i="95" s="1"/>
  <c r="P130" i="95" s="1"/>
  <c r="Q130" i="95" s="1"/>
  <c r="R130" i="95" s="1"/>
  <c r="S130" i="95" s="1"/>
  <c r="T130" i="95" s="1"/>
  <c r="U130" i="95" s="1"/>
  <c r="V130" i="95" s="1"/>
  <c r="W130" i="95" s="1"/>
  <c r="X130" i="95" s="1"/>
  <c r="Y130" i="95" s="1"/>
  <c r="Z130" i="95" s="1"/>
  <c r="AA130" i="95" s="1"/>
  <c r="AB130" i="95" s="1"/>
  <c r="AC130" i="95" s="1"/>
  <c r="AD130" i="95" s="1"/>
  <c r="AE130" i="95" s="1"/>
  <c r="AF130" i="95" s="1"/>
  <c r="D162" i="95"/>
  <c r="E162" i="95" s="1"/>
  <c r="F162" i="95" s="1"/>
  <c r="G162" i="95" s="1"/>
  <c r="H162" i="95" s="1"/>
  <c r="I162" i="95" s="1"/>
  <c r="J162" i="95" s="1"/>
  <c r="K162" i="95" s="1"/>
  <c r="L162" i="95" s="1"/>
  <c r="M162" i="95" s="1"/>
  <c r="N162" i="95" s="1"/>
  <c r="O162" i="95" s="1"/>
  <c r="P162" i="95" s="1"/>
  <c r="Q162" i="95" s="1"/>
  <c r="R162" i="95" s="1"/>
  <c r="S162" i="95" s="1"/>
  <c r="T162" i="95" s="1"/>
  <c r="U162" i="95" s="1"/>
  <c r="V162" i="95" s="1"/>
  <c r="W162" i="95" s="1"/>
  <c r="X162" i="95" s="1"/>
  <c r="Y162" i="95" s="1"/>
  <c r="Z162" i="95" s="1"/>
  <c r="AA162" i="95" s="1"/>
  <c r="AB162" i="95" s="1"/>
  <c r="AC162" i="95" s="1"/>
  <c r="AD162" i="95" s="1"/>
  <c r="AE162" i="95" s="1"/>
  <c r="AF162" i="95" s="1"/>
  <c r="D170" i="95"/>
  <c r="E170" i="95" s="1"/>
  <c r="F170" i="95" s="1"/>
  <c r="G170" i="95" s="1"/>
  <c r="H170" i="95" s="1"/>
  <c r="I170" i="95" s="1"/>
  <c r="J170" i="95" s="1"/>
  <c r="K170" i="95" s="1"/>
  <c r="L170" i="95" s="1"/>
  <c r="M170" i="95" s="1"/>
  <c r="N170" i="95" s="1"/>
  <c r="O170" i="95" s="1"/>
  <c r="P170" i="95" s="1"/>
  <c r="Q170" i="95" s="1"/>
  <c r="R170" i="95" s="1"/>
  <c r="S170" i="95" s="1"/>
  <c r="T170" i="95" s="1"/>
  <c r="U170" i="95" s="1"/>
  <c r="V170" i="95" s="1"/>
  <c r="W170" i="95" s="1"/>
  <c r="X170" i="95" s="1"/>
  <c r="Y170" i="95" s="1"/>
  <c r="Z170" i="95" s="1"/>
  <c r="AA170" i="95" s="1"/>
  <c r="AB170" i="95" s="1"/>
  <c r="AC170" i="95" s="1"/>
  <c r="AD170" i="95" s="1"/>
  <c r="AE170" i="95" s="1"/>
  <c r="AF170" i="95" s="1"/>
  <c r="D194" i="95"/>
  <c r="E194" i="95" s="1"/>
  <c r="F194" i="95" s="1"/>
  <c r="G194" i="95" s="1"/>
  <c r="H194" i="95" s="1"/>
  <c r="I194" i="95" s="1"/>
  <c r="J194" i="95" s="1"/>
  <c r="K194" i="95" s="1"/>
  <c r="L194" i="95" s="1"/>
  <c r="M194" i="95" s="1"/>
  <c r="N194" i="95" s="1"/>
  <c r="O194" i="95" s="1"/>
  <c r="P194" i="95" s="1"/>
  <c r="Q194" i="95" s="1"/>
  <c r="R194" i="95" s="1"/>
  <c r="S194" i="95" s="1"/>
  <c r="T194" i="95" s="1"/>
  <c r="U194" i="95" s="1"/>
  <c r="V194" i="95" s="1"/>
  <c r="W194" i="95" s="1"/>
  <c r="X194" i="95" s="1"/>
  <c r="Y194" i="95" s="1"/>
  <c r="Z194" i="95" s="1"/>
  <c r="AA194" i="95" s="1"/>
  <c r="AB194" i="95" s="1"/>
  <c r="AC194" i="95" s="1"/>
  <c r="AD194" i="95" s="1"/>
  <c r="AE194" i="95" s="1"/>
  <c r="AF194" i="95" s="1"/>
  <c r="D202" i="95"/>
  <c r="E202" i="95" s="1"/>
  <c r="F202" i="95" s="1"/>
  <c r="G202" i="95" s="1"/>
  <c r="H202" i="95" s="1"/>
  <c r="I202" i="95" s="1"/>
  <c r="J202" i="95" s="1"/>
  <c r="K202" i="95" s="1"/>
  <c r="L202" i="95" s="1"/>
  <c r="M202" i="95" s="1"/>
  <c r="N202" i="95" s="1"/>
  <c r="O202" i="95" s="1"/>
  <c r="P202" i="95" s="1"/>
  <c r="Q202" i="95" s="1"/>
  <c r="R202" i="95" s="1"/>
  <c r="S202" i="95" s="1"/>
  <c r="T202" i="95" s="1"/>
  <c r="U202" i="95" s="1"/>
  <c r="V202" i="95" s="1"/>
  <c r="W202" i="95" s="1"/>
  <c r="X202" i="95" s="1"/>
  <c r="Y202" i="95" s="1"/>
  <c r="Z202" i="95" s="1"/>
  <c r="AA202" i="95" s="1"/>
  <c r="AB202" i="95" s="1"/>
  <c r="AC202" i="95" s="1"/>
  <c r="AD202" i="95" s="1"/>
  <c r="AE202" i="95" s="1"/>
  <c r="AF202" i="95" s="1"/>
  <c r="D218" i="95"/>
  <c r="E218" i="95" s="1"/>
  <c r="F218" i="95" s="1"/>
  <c r="G218" i="95" s="1"/>
  <c r="H218" i="95" s="1"/>
  <c r="I218" i="95" s="1"/>
  <c r="J218" i="95" s="1"/>
  <c r="K218" i="95" s="1"/>
  <c r="L218" i="95" s="1"/>
  <c r="M218" i="95" s="1"/>
  <c r="N218" i="95" s="1"/>
  <c r="O218" i="95" s="1"/>
  <c r="P218" i="95" s="1"/>
  <c r="Q218" i="95" s="1"/>
  <c r="R218" i="95" s="1"/>
  <c r="S218" i="95" s="1"/>
  <c r="T218" i="95" s="1"/>
  <c r="U218" i="95" s="1"/>
  <c r="V218" i="95" s="1"/>
  <c r="W218" i="95" s="1"/>
  <c r="X218" i="95" s="1"/>
  <c r="Y218" i="95" s="1"/>
  <c r="Z218" i="95" s="1"/>
  <c r="AA218" i="95" s="1"/>
  <c r="AB218" i="95" s="1"/>
  <c r="AC218" i="95" s="1"/>
  <c r="AD218" i="95" s="1"/>
  <c r="AE218" i="95" s="1"/>
  <c r="AF218" i="95" s="1"/>
  <c r="D298" i="95"/>
  <c r="E298" i="95" s="1"/>
  <c r="F298" i="95" s="1"/>
  <c r="G298" i="95" s="1"/>
  <c r="H298" i="95" s="1"/>
  <c r="I298" i="95" s="1"/>
  <c r="J298" i="95" s="1"/>
  <c r="K298" i="95" s="1"/>
  <c r="L298" i="95" s="1"/>
  <c r="M298" i="95" s="1"/>
  <c r="N298" i="95" s="1"/>
  <c r="O298" i="95" s="1"/>
  <c r="P298" i="95" s="1"/>
  <c r="Q298" i="95" s="1"/>
  <c r="R298" i="95" s="1"/>
  <c r="S298" i="95" s="1"/>
  <c r="T298" i="95" s="1"/>
  <c r="U298" i="95" s="1"/>
  <c r="V298" i="95" s="1"/>
  <c r="W298" i="95" s="1"/>
  <c r="X298" i="95" s="1"/>
  <c r="Y298" i="95" s="1"/>
  <c r="Z298" i="95" s="1"/>
  <c r="AA298" i="95" s="1"/>
  <c r="AB298" i="95" s="1"/>
  <c r="AC298" i="95" s="1"/>
  <c r="AD298" i="95" s="1"/>
  <c r="AE298" i="95" s="1"/>
  <c r="AF298" i="95" s="1"/>
  <c r="D338" i="95"/>
  <c r="E338" i="95" s="1"/>
  <c r="F338" i="95" s="1"/>
  <c r="G338" i="95" s="1"/>
  <c r="H338" i="95" s="1"/>
  <c r="I338" i="95" s="1"/>
  <c r="J338" i="95" s="1"/>
  <c r="K338" i="95" s="1"/>
  <c r="L338" i="95" s="1"/>
  <c r="M338" i="95" s="1"/>
  <c r="N338" i="95" s="1"/>
  <c r="O338" i="95" s="1"/>
  <c r="P338" i="95" s="1"/>
  <c r="Q338" i="95" s="1"/>
  <c r="R338" i="95" s="1"/>
  <c r="S338" i="95" s="1"/>
  <c r="T338" i="95" s="1"/>
  <c r="U338" i="95" s="1"/>
  <c r="V338" i="95" s="1"/>
  <c r="W338" i="95" s="1"/>
  <c r="X338" i="95" s="1"/>
  <c r="Y338" i="95" s="1"/>
  <c r="Z338" i="95" s="1"/>
  <c r="AA338" i="95" s="1"/>
  <c r="AB338" i="95" s="1"/>
  <c r="AC338" i="95" s="1"/>
  <c r="AD338" i="95" s="1"/>
  <c r="AE338" i="95" s="1"/>
  <c r="AF338" i="95" s="1"/>
  <c r="D346" i="95"/>
  <c r="E346" i="95" s="1"/>
  <c r="F346" i="95" s="1"/>
  <c r="G346" i="95" s="1"/>
  <c r="H346" i="95" s="1"/>
  <c r="I346" i="95" s="1"/>
  <c r="J346" i="95" s="1"/>
  <c r="K346" i="95" s="1"/>
  <c r="L346" i="95" s="1"/>
  <c r="M346" i="95" s="1"/>
  <c r="N346" i="95" s="1"/>
  <c r="O346" i="95" s="1"/>
  <c r="P346" i="95" s="1"/>
  <c r="Q346" i="95" s="1"/>
  <c r="R346" i="95" s="1"/>
  <c r="S346" i="95" s="1"/>
  <c r="T346" i="95" s="1"/>
  <c r="U346" i="95" s="1"/>
  <c r="V346" i="95" s="1"/>
  <c r="W346" i="95" s="1"/>
  <c r="X346" i="95" s="1"/>
  <c r="Y346" i="95" s="1"/>
  <c r="Z346" i="95" s="1"/>
  <c r="AA346" i="95" s="1"/>
  <c r="AB346" i="95" s="1"/>
  <c r="AC346" i="95" s="1"/>
  <c r="AD346" i="95" s="1"/>
  <c r="AE346" i="95" s="1"/>
  <c r="AF346" i="95" s="1"/>
  <c r="D354" i="95"/>
  <c r="E354" i="95" s="1"/>
  <c r="F354" i="95" s="1"/>
  <c r="G354" i="95" s="1"/>
  <c r="H354" i="95" s="1"/>
  <c r="I354" i="95" s="1"/>
  <c r="J354" i="95" s="1"/>
  <c r="K354" i="95" s="1"/>
  <c r="L354" i="95" s="1"/>
  <c r="M354" i="95" s="1"/>
  <c r="N354" i="95" s="1"/>
  <c r="O354" i="95" s="1"/>
  <c r="P354" i="95" s="1"/>
  <c r="Q354" i="95" s="1"/>
  <c r="R354" i="95" s="1"/>
  <c r="S354" i="95" s="1"/>
  <c r="T354" i="95" s="1"/>
  <c r="U354" i="95" s="1"/>
  <c r="V354" i="95" s="1"/>
  <c r="W354" i="95" s="1"/>
  <c r="X354" i="95" s="1"/>
  <c r="Y354" i="95" s="1"/>
  <c r="Z354" i="95" s="1"/>
  <c r="AA354" i="95" s="1"/>
  <c r="AB354" i="95" s="1"/>
  <c r="AC354" i="95" s="1"/>
  <c r="AD354" i="95" s="1"/>
  <c r="AE354" i="95" s="1"/>
  <c r="AF354" i="95" s="1"/>
  <c r="D378" i="95"/>
  <c r="E378" i="95" s="1"/>
  <c r="F378" i="95" s="1"/>
  <c r="G378" i="95" s="1"/>
  <c r="H378" i="95" s="1"/>
  <c r="I378" i="95" s="1"/>
  <c r="J378" i="95" s="1"/>
  <c r="K378" i="95" s="1"/>
  <c r="L378" i="95" s="1"/>
  <c r="M378" i="95" s="1"/>
  <c r="N378" i="95" s="1"/>
  <c r="O378" i="95" s="1"/>
  <c r="P378" i="95" s="1"/>
  <c r="Q378" i="95" s="1"/>
  <c r="R378" i="95" s="1"/>
  <c r="S378" i="95" s="1"/>
  <c r="T378" i="95" s="1"/>
  <c r="U378" i="95" s="1"/>
  <c r="V378" i="95" s="1"/>
  <c r="W378" i="95" s="1"/>
  <c r="X378" i="95" s="1"/>
  <c r="Y378" i="95" s="1"/>
  <c r="Z378" i="95" s="1"/>
  <c r="AA378" i="95" s="1"/>
  <c r="AB378" i="95" s="1"/>
  <c r="AC378" i="95" s="1"/>
  <c r="AD378" i="95" s="1"/>
  <c r="AE378" i="95" s="1"/>
  <c r="AF378" i="95" s="1"/>
  <c r="D482" i="95"/>
  <c r="E482" i="95" s="1"/>
  <c r="F482" i="95" s="1"/>
  <c r="G482" i="95" s="1"/>
  <c r="H482" i="95" s="1"/>
  <c r="I482" i="95" s="1"/>
  <c r="J482" i="95" s="1"/>
  <c r="K482" i="95" s="1"/>
  <c r="L482" i="95" s="1"/>
  <c r="M482" i="95" s="1"/>
  <c r="N482" i="95" s="1"/>
  <c r="O482" i="95" s="1"/>
  <c r="P482" i="95" s="1"/>
  <c r="Q482" i="95" s="1"/>
  <c r="R482" i="95" s="1"/>
  <c r="S482" i="95" s="1"/>
  <c r="T482" i="95" s="1"/>
  <c r="U482" i="95" s="1"/>
  <c r="V482" i="95" s="1"/>
  <c r="W482" i="95" s="1"/>
  <c r="X482" i="95" s="1"/>
  <c r="Y482" i="95" s="1"/>
  <c r="Z482" i="95" s="1"/>
  <c r="AA482" i="95" s="1"/>
  <c r="AB482" i="95" s="1"/>
  <c r="AC482" i="95" s="1"/>
  <c r="AD482" i="95" s="1"/>
  <c r="AE482" i="95" s="1"/>
  <c r="AF482" i="95" s="1"/>
  <c r="D490" i="95"/>
  <c r="E490" i="95" s="1"/>
  <c r="F490" i="95" s="1"/>
  <c r="G490" i="95" s="1"/>
  <c r="H490" i="95" s="1"/>
  <c r="I490" i="95" s="1"/>
  <c r="J490" i="95" s="1"/>
  <c r="K490" i="95" s="1"/>
  <c r="L490" i="95" s="1"/>
  <c r="M490" i="95" s="1"/>
  <c r="N490" i="95" s="1"/>
  <c r="O490" i="95" s="1"/>
  <c r="P490" i="95" s="1"/>
  <c r="Q490" i="95" s="1"/>
  <c r="R490" i="95" s="1"/>
  <c r="S490" i="95" s="1"/>
  <c r="T490" i="95" s="1"/>
  <c r="U490" i="95" s="1"/>
  <c r="V490" i="95" s="1"/>
  <c r="W490" i="95" s="1"/>
  <c r="X490" i="95" s="1"/>
  <c r="Y490" i="95" s="1"/>
  <c r="Z490" i="95" s="1"/>
  <c r="AA490" i="95" s="1"/>
  <c r="AB490" i="95" s="1"/>
  <c r="AC490" i="95" s="1"/>
  <c r="AD490" i="95" s="1"/>
  <c r="AE490" i="95" s="1"/>
  <c r="AF490" i="95" s="1"/>
  <c r="D570" i="95"/>
  <c r="E570" i="95" s="1"/>
  <c r="F570" i="95" s="1"/>
  <c r="G570" i="95" s="1"/>
  <c r="H570" i="95" s="1"/>
  <c r="I570" i="95" s="1"/>
  <c r="J570" i="95" s="1"/>
  <c r="K570" i="95" s="1"/>
  <c r="L570" i="95" s="1"/>
  <c r="M570" i="95" s="1"/>
  <c r="N570" i="95" s="1"/>
  <c r="O570" i="95" s="1"/>
  <c r="P570" i="95" s="1"/>
  <c r="Q570" i="95" s="1"/>
  <c r="R570" i="95" s="1"/>
  <c r="S570" i="95" s="1"/>
  <c r="T570" i="95" s="1"/>
  <c r="U570" i="95" s="1"/>
  <c r="V570" i="95" s="1"/>
  <c r="W570" i="95" s="1"/>
  <c r="X570" i="95" s="1"/>
  <c r="Y570" i="95" s="1"/>
  <c r="Z570" i="95" s="1"/>
  <c r="AA570" i="95" s="1"/>
  <c r="AB570" i="95" s="1"/>
  <c r="AC570" i="95" s="1"/>
  <c r="AD570" i="95" s="1"/>
  <c r="AE570" i="95" s="1"/>
  <c r="AF570" i="95" s="1"/>
  <c r="D594" i="95"/>
  <c r="E594" i="95" s="1"/>
  <c r="F594" i="95" s="1"/>
  <c r="G594" i="95" s="1"/>
  <c r="H594" i="95" s="1"/>
  <c r="I594" i="95" s="1"/>
  <c r="J594" i="95" s="1"/>
  <c r="K594" i="95" s="1"/>
  <c r="L594" i="95" s="1"/>
  <c r="M594" i="95" s="1"/>
  <c r="N594" i="95" s="1"/>
  <c r="O594" i="95" s="1"/>
  <c r="P594" i="95" s="1"/>
  <c r="Q594" i="95" s="1"/>
  <c r="R594" i="95" s="1"/>
  <c r="S594" i="95" s="1"/>
  <c r="T594" i="95" s="1"/>
  <c r="U594" i="95" s="1"/>
  <c r="V594" i="95" s="1"/>
  <c r="W594" i="95" s="1"/>
  <c r="X594" i="95" s="1"/>
  <c r="Y594" i="95" s="1"/>
  <c r="Z594" i="95" s="1"/>
  <c r="AA594" i="95" s="1"/>
  <c r="AB594" i="95" s="1"/>
  <c r="AC594" i="95" s="1"/>
  <c r="AD594" i="95" s="1"/>
  <c r="AE594" i="95" s="1"/>
  <c r="AF594" i="95" s="1"/>
  <c r="D602" i="95"/>
  <c r="E602" i="95" s="1"/>
  <c r="F602" i="95" s="1"/>
  <c r="G602" i="95" s="1"/>
  <c r="H602" i="95" s="1"/>
  <c r="I602" i="95" s="1"/>
  <c r="J602" i="95" s="1"/>
  <c r="K602" i="95" s="1"/>
  <c r="L602" i="95" s="1"/>
  <c r="M602" i="95" s="1"/>
  <c r="N602" i="95" s="1"/>
  <c r="O602" i="95" s="1"/>
  <c r="P602" i="95" s="1"/>
  <c r="Q602" i="95" s="1"/>
  <c r="R602" i="95" s="1"/>
  <c r="S602" i="95" s="1"/>
  <c r="T602" i="95" s="1"/>
  <c r="U602" i="95" s="1"/>
  <c r="V602" i="95" s="1"/>
  <c r="W602" i="95" s="1"/>
  <c r="X602" i="95" s="1"/>
  <c r="Y602" i="95" s="1"/>
  <c r="Z602" i="95" s="1"/>
  <c r="AA602" i="95" s="1"/>
  <c r="AB602" i="95" s="1"/>
  <c r="AC602" i="95" s="1"/>
  <c r="AD602" i="95" s="1"/>
  <c r="AE602" i="95" s="1"/>
  <c r="AF602" i="95" s="1"/>
  <c r="D642" i="95"/>
  <c r="E642" i="95" s="1"/>
  <c r="F642" i="95" s="1"/>
  <c r="G642" i="95" s="1"/>
  <c r="H642" i="95" s="1"/>
  <c r="I642" i="95" s="1"/>
  <c r="J642" i="95" s="1"/>
  <c r="K642" i="95" s="1"/>
  <c r="L642" i="95" s="1"/>
  <c r="M642" i="95" s="1"/>
  <c r="N642" i="95" s="1"/>
  <c r="O642" i="95" s="1"/>
  <c r="P642" i="95" s="1"/>
  <c r="Q642" i="95" s="1"/>
  <c r="R642" i="95" s="1"/>
  <c r="S642" i="95" s="1"/>
  <c r="T642" i="95" s="1"/>
  <c r="U642" i="95" s="1"/>
  <c r="V642" i="95" s="1"/>
  <c r="W642" i="95" s="1"/>
  <c r="X642" i="95" s="1"/>
  <c r="Y642" i="95" s="1"/>
  <c r="Z642" i="95" s="1"/>
  <c r="AA642" i="95" s="1"/>
  <c r="AB642" i="95" s="1"/>
  <c r="AC642" i="95" s="1"/>
  <c r="AD642" i="95" s="1"/>
  <c r="AE642" i="95" s="1"/>
  <c r="AF642" i="95" s="1"/>
  <c r="D682" i="95"/>
  <c r="E682" i="95" s="1"/>
  <c r="F682" i="95" s="1"/>
  <c r="G682" i="95" s="1"/>
  <c r="H682" i="95" s="1"/>
  <c r="I682" i="95" s="1"/>
  <c r="J682" i="95" s="1"/>
  <c r="K682" i="95" s="1"/>
  <c r="L682" i="95" s="1"/>
  <c r="M682" i="95" s="1"/>
  <c r="N682" i="95" s="1"/>
  <c r="O682" i="95" s="1"/>
  <c r="P682" i="95" s="1"/>
  <c r="Q682" i="95" s="1"/>
  <c r="R682" i="95" s="1"/>
  <c r="S682" i="95" s="1"/>
  <c r="T682" i="95" s="1"/>
  <c r="U682" i="95" s="1"/>
  <c r="V682" i="95" s="1"/>
  <c r="W682" i="95" s="1"/>
  <c r="X682" i="95" s="1"/>
  <c r="Y682" i="95" s="1"/>
  <c r="Z682" i="95" s="1"/>
  <c r="AA682" i="95" s="1"/>
  <c r="AB682" i="95" s="1"/>
  <c r="AC682" i="95" s="1"/>
  <c r="AD682" i="95" s="1"/>
  <c r="AE682" i="95" s="1"/>
  <c r="AF682" i="95" s="1"/>
  <c r="D51" i="95"/>
  <c r="E51" i="95" s="1"/>
  <c r="F51" i="95" s="1"/>
  <c r="G51" i="95" s="1"/>
  <c r="H51" i="95" s="1"/>
  <c r="I51" i="95" s="1"/>
  <c r="J51" i="95" s="1"/>
  <c r="K51" i="95" s="1"/>
  <c r="L51" i="95" s="1"/>
  <c r="M51" i="95" s="1"/>
  <c r="N51" i="95" s="1"/>
  <c r="O51" i="95" s="1"/>
  <c r="P51" i="95" s="1"/>
  <c r="Q51" i="95" s="1"/>
  <c r="R51" i="95" s="1"/>
  <c r="S51" i="95" s="1"/>
  <c r="T51" i="95" s="1"/>
  <c r="U51" i="95" s="1"/>
  <c r="V51" i="95" s="1"/>
  <c r="W51" i="95" s="1"/>
  <c r="X51" i="95" s="1"/>
  <c r="Y51" i="95" s="1"/>
  <c r="Z51" i="95" s="1"/>
  <c r="AA51" i="95" s="1"/>
  <c r="AB51" i="95" s="1"/>
  <c r="AC51" i="95" s="1"/>
  <c r="AD51" i="95" s="1"/>
  <c r="AE51" i="95" s="1"/>
  <c r="AF51" i="95" s="1"/>
  <c r="D67" i="95"/>
  <c r="E67" i="95" s="1"/>
  <c r="F67" i="95" s="1"/>
  <c r="G67" i="95" s="1"/>
  <c r="H67" i="95" s="1"/>
  <c r="I67" i="95" s="1"/>
  <c r="J67" i="95" s="1"/>
  <c r="K67" i="95" s="1"/>
  <c r="L67" i="95" s="1"/>
  <c r="M67" i="95" s="1"/>
  <c r="N67" i="95" s="1"/>
  <c r="O67" i="95" s="1"/>
  <c r="P67" i="95" s="1"/>
  <c r="Q67" i="95" s="1"/>
  <c r="R67" i="95" s="1"/>
  <c r="S67" i="95" s="1"/>
  <c r="T67" i="95" s="1"/>
  <c r="U67" i="95" s="1"/>
  <c r="V67" i="95" s="1"/>
  <c r="W67" i="95" s="1"/>
  <c r="X67" i="95" s="1"/>
  <c r="Y67" i="95" s="1"/>
  <c r="Z67" i="95" s="1"/>
  <c r="AA67" i="95" s="1"/>
  <c r="AB67" i="95" s="1"/>
  <c r="AC67" i="95" s="1"/>
  <c r="AD67" i="95" s="1"/>
  <c r="AE67" i="95" s="1"/>
  <c r="AF67" i="95" s="1"/>
  <c r="D155" i="95"/>
  <c r="E155" i="95" s="1"/>
  <c r="F155" i="95" s="1"/>
  <c r="G155" i="95" s="1"/>
  <c r="H155" i="95" s="1"/>
  <c r="I155" i="95" s="1"/>
  <c r="J155" i="95" s="1"/>
  <c r="K155" i="95" s="1"/>
  <c r="L155" i="95" s="1"/>
  <c r="M155" i="95" s="1"/>
  <c r="N155" i="95" s="1"/>
  <c r="O155" i="95" s="1"/>
  <c r="P155" i="95" s="1"/>
  <c r="Q155" i="95" s="1"/>
  <c r="R155" i="95" s="1"/>
  <c r="S155" i="95" s="1"/>
  <c r="T155" i="95" s="1"/>
  <c r="U155" i="95" s="1"/>
  <c r="V155" i="95" s="1"/>
  <c r="W155" i="95" s="1"/>
  <c r="X155" i="95" s="1"/>
  <c r="Y155" i="95" s="1"/>
  <c r="Z155" i="95" s="1"/>
  <c r="AA155" i="95" s="1"/>
  <c r="AB155" i="95" s="1"/>
  <c r="AC155" i="95" s="1"/>
  <c r="AD155" i="95" s="1"/>
  <c r="AE155" i="95" s="1"/>
  <c r="AF155" i="95" s="1"/>
  <c r="D171" i="95"/>
  <c r="E171" i="95" s="1"/>
  <c r="F171" i="95" s="1"/>
  <c r="G171" i="95" s="1"/>
  <c r="H171" i="95" s="1"/>
  <c r="I171" i="95" s="1"/>
  <c r="J171" i="95" s="1"/>
  <c r="K171" i="95" s="1"/>
  <c r="L171" i="95" s="1"/>
  <c r="M171" i="95" s="1"/>
  <c r="N171" i="95" s="1"/>
  <c r="O171" i="95" s="1"/>
  <c r="P171" i="95" s="1"/>
  <c r="Q171" i="95" s="1"/>
  <c r="R171" i="95" s="1"/>
  <c r="S171" i="95" s="1"/>
  <c r="T171" i="95" s="1"/>
  <c r="U171" i="95" s="1"/>
  <c r="V171" i="95" s="1"/>
  <c r="W171" i="95" s="1"/>
  <c r="X171" i="95" s="1"/>
  <c r="Y171" i="95" s="1"/>
  <c r="Z171" i="95" s="1"/>
  <c r="AA171" i="95" s="1"/>
  <c r="AB171" i="95" s="1"/>
  <c r="AC171" i="95" s="1"/>
  <c r="AD171" i="95" s="1"/>
  <c r="AE171" i="95" s="1"/>
  <c r="AF171" i="95" s="1"/>
  <c r="D195" i="95"/>
  <c r="E195" i="95" s="1"/>
  <c r="F195" i="95" s="1"/>
  <c r="G195" i="95" s="1"/>
  <c r="H195" i="95" s="1"/>
  <c r="I195" i="95" s="1"/>
  <c r="J195" i="95" s="1"/>
  <c r="K195" i="95" s="1"/>
  <c r="L195" i="95" s="1"/>
  <c r="M195" i="95" s="1"/>
  <c r="N195" i="95" s="1"/>
  <c r="O195" i="95" s="1"/>
  <c r="P195" i="95" s="1"/>
  <c r="Q195" i="95" s="1"/>
  <c r="R195" i="95" s="1"/>
  <c r="S195" i="95" s="1"/>
  <c r="T195" i="95" s="1"/>
  <c r="U195" i="95" s="1"/>
  <c r="V195" i="95" s="1"/>
  <c r="W195" i="95" s="1"/>
  <c r="X195" i="95" s="1"/>
  <c r="Y195" i="95" s="1"/>
  <c r="Z195" i="95" s="1"/>
  <c r="AA195" i="95" s="1"/>
  <c r="AB195" i="95" s="1"/>
  <c r="AC195" i="95" s="1"/>
  <c r="AD195" i="95" s="1"/>
  <c r="AE195" i="95" s="1"/>
  <c r="AF195" i="95" s="1"/>
  <c r="D251" i="95"/>
  <c r="E251" i="95" s="1"/>
  <c r="F251" i="95" s="1"/>
  <c r="G251" i="95" s="1"/>
  <c r="H251" i="95" s="1"/>
  <c r="I251" i="95" s="1"/>
  <c r="J251" i="95" s="1"/>
  <c r="K251" i="95" s="1"/>
  <c r="L251" i="95" s="1"/>
  <c r="M251" i="95" s="1"/>
  <c r="N251" i="95" s="1"/>
  <c r="O251" i="95" s="1"/>
  <c r="P251" i="95" s="1"/>
  <c r="Q251" i="95" s="1"/>
  <c r="R251" i="95" s="1"/>
  <c r="S251" i="95" s="1"/>
  <c r="T251" i="95" s="1"/>
  <c r="U251" i="95" s="1"/>
  <c r="V251" i="95" s="1"/>
  <c r="W251" i="95" s="1"/>
  <c r="X251" i="95" s="1"/>
  <c r="Y251" i="95" s="1"/>
  <c r="Z251" i="95" s="1"/>
  <c r="AA251" i="95" s="1"/>
  <c r="AB251" i="95" s="1"/>
  <c r="AC251" i="95" s="1"/>
  <c r="AD251" i="95" s="1"/>
  <c r="AE251" i="95" s="1"/>
  <c r="AF251" i="95" s="1"/>
  <c r="D299" i="95"/>
  <c r="E299" i="95" s="1"/>
  <c r="F299" i="95" s="1"/>
  <c r="G299" i="95" s="1"/>
  <c r="H299" i="95" s="1"/>
  <c r="I299" i="95" s="1"/>
  <c r="J299" i="95" s="1"/>
  <c r="K299" i="95" s="1"/>
  <c r="L299" i="95" s="1"/>
  <c r="M299" i="95" s="1"/>
  <c r="N299" i="95" s="1"/>
  <c r="O299" i="95" s="1"/>
  <c r="P299" i="95" s="1"/>
  <c r="Q299" i="95" s="1"/>
  <c r="R299" i="95" s="1"/>
  <c r="S299" i="95" s="1"/>
  <c r="T299" i="95" s="1"/>
  <c r="U299" i="95" s="1"/>
  <c r="V299" i="95" s="1"/>
  <c r="W299" i="95" s="1"/>
  <c r="X299" i="95" s="1"/>
  <c r="Y299" i="95" s="1"/>
  <c r="Z299" i="95" s="1"/>
  <c r="AA299" i="95" s="1"/>
  <c r="AB299" i="95" s="1"/>
  <c r="AC299" i="95" s="1"/>
  <c r="AD299" i="95" s="1"/>
  <c r="AE299" i="95" s="1"/>
  <c r="AF299" i="95" s="1"/>
  <c r="D331" i="95"/>
  <c r="E331" i="95" s="1"/>
  <c r="F331" i="95" s="1"/>
  <c r="G331" i="95" s="1"/>
  <c r="H331" i="95" s="1"/>
  <c r="I331" i="95" s="1"/>
  <c r="J331" i="95" s="1"/>
  <c r="K331" i="95" s="1"/>
  <c r="L331" i="95" s="1"/>
  <c r="M331" i="95" s="1"/>
  <c r="N331" i="95" s="1"/>
  <c r="O331" i="95" s="1"/>
  <c r="P331" i="95" s="1"/>
  <c r="Q331" i="95" s="1"/>
  <c r="R331" i="95" s="1"/>
  <c r="S331" i="95" s="1"/>
  <c r="T331" i="95" s="1"/>
  <c r="U331" i="95" s="1"/>
  <c r="V331" i="95" s="1"/>
  <c r="W331" i="95" s="1"/>
  <c r="X331" i="95" s="1"/>
  <c r="Y331" i="95" s="1"/>
  <c r="Z331" i="95" s="1"/>
  <c r="AA331" i="95" s="1"/>
  <c r="AB331" i="95" s="1"/>
  <c r="AC331" i="95" s="1"/>
  <c r="AD331" i="95" s="1"/>
  <c r="AE331" i="95" s="1"/>
  <c r="AF331" i="95" s="1"/>
  <c r="D339" i="95"/>
  <c r="E339" i="95" s="1"/>
  <c r="F339" i="95" s="1"/>
  <c r="G339" i="95" s="1"/>
  <c r="H339" i="95" s="1"/>
  <c r="I339" i="95" s="1"/>
  <c r="J339" i="95" s="1"/>
  <c r="K339" i="95" s="1"/>
  <c r="L339" i="95" s="1"/>
  <c r="M339" i="95" s="1"/>
  <c r="N339" i="95" s="1"/>
  <c r="O339" i="95" s="1"/>
  <c r="P339" i="95" s="1"/>
  <c r="Q339" i="95" s="1"/>
  <c r="R339" i="95" s="1"/>
  <c r="S339" i="95" s="1"/>
  <c r="T339" i="95" s="1"/>
  <c r="U339" i="95" s="1"/>
  <c r="V339" i="95" s="1"/>
  <c r="W339" i="95" s="1"/>
  <c r="X339" i="95" s="1"/>
  <c r="Y339" i="95" s="1"/>
  <c r="Z339" i="95" s="1"/>
  <c r="AA339" i="95" s="1"/>
  <c r="AB339" i="95" s="1"/>
  <c r="AC339" i="95" s="1"/>
  <c r="AD339" i="95" s="1"/>
  <c r="AE339" i="95" s="1"/>
  <c r="AF339" i="95" s="1"/>
  <c r="D347" i="95"/>
  <c r="E347" i="95" s="1"/>
  <c r="F347" i="95" s="1"/>
  <c r="G347" i="95" s="1"/>
  <c r="H347" i="95" s="1"/>
  <c r="I347" i="95" s="1"/>
  <c r="J347" i="95" s="1"/>
  <c r="K347" i="95" s="1"/>
  <c r="L347" i="95" s="1"/>
  <c r="M347" i="95" s="1"/>
  <c r="N347" i="95" s="1"/>
  <c r="O347" i="95" s="1"/>
  <c r="P347" i="95" s="1"/>
  <c r="Q347" i="95" s="1"/>
  <c r="R347" i="95" s="1"/>
  <c r="S347" i="95" s="1"/>
  <c r="T347" i="95" s="1"/>
  <c r="U347" i="95" s="1"/>
  <c r="V347" i="95" s="1"/>
  <c r="W347" i="95" s="1"/>
  <c r="X347" i="95" s="1"/>
  <c r="Y347" i="95" s="1"/>
  <c r="Z347" i="95" s="1"/>
  <c r="AA347" i="95" s="1"/>
  <c r="AB347" i="95" s="1"/>
  <c r="AC347" i="95" s="1"/>
  <c r="AD347" i="95" s="1"/>
  <c r="AE347" i="95" s="1"/>
  <c r="AF347" i="95" s="1"/>
  <c r="D355" i="95"/>
  <c r="E355" i="95" s="1"/>
  <c r="F355" i="95" s="1"/>
  <c r="G355" i="95" s="1"/>
  <c r="H355" i="95" s="1"/>
  <c r="I355" i="95" s="1"/>
  <c r="J355" i="95" s="1"/>
  <c r="K355" i="95" s="1"/>
  <c r="L355" i="95" s="1"/>
  <c r="M355" i="95" s="1"/>
  <c r="N355" i="95" s="1"/>
  <c r="O355" i="95" s="1"/>
  <c r="P355" i="95" s="1"/>
  <c r="Q355" i="95" s="1"/>
  <c r="R355" i="95" s="1"/>
  <c r="S355" i="95" s="1"/>
  <c r="T355" i="95" s="1"/>
  <c r="U355" i="95" s="1"/>
  <c r="V355" i="95" s="1"/>
  <c r="W355" i="95" s="1"/>
  <c r="X355" i="95" s="1"/>
  <c r="Y355" i="95" s="1"/>
  <c r="Z355" i="95" s="1"/>
  <c r="AA355" i="95" s="1"/>
  <c r="AB355" i="95" s="1"/>
  <c r="AC355" i="95" s="1"/>
  <c r="AD355" i="95" s="1"/>
  <c r="AE355" i="95" s="1"/>
  <c r="AF355" i="95" s="1"/>
  <c r="D371" i="95"/>
  <c r="E371" i="95" s="1"/>
  <c r="F371" i="95" s="1"/>
  <c r="G371" i="95" s="1"/>
  <c r="H371" i="95" s="1"/>
  <c r="I371" i="95" s="1"/>
  <c r="J371" i="95" s="1"/>
  <c r="K371" i="95" s="1"/>
  <c r="L371" i="95" s="1"/>
  <c r="M371" i="95" s="1"/>
  <c r="N371" i="95" s="1"/>
  <c r="O371" i="95" s="1"/>
  <c r="P371" i="95" s="1"/>
  <c r="Q371" i="95" s="1"/>
  <c r="R371" i="95" s="1"/>
  <c r="S371" i="95" s="1"/>
  <c r="T371" i="95" s="1"/>
  <c r="U371" i="95" s="1"/>
  <c r="V371" i="95" s="1"/>
  <c r="W371" i="95" s="1"/>
  <c r="X371" i="95" s="1"/>
  <c r="Y371" i="95" s="1"/>
  <c r="Z371" i="95" s="1"/>
  <c r="AA371" i="95" s="1"/>
  <c r="AB371" i="95" s="1"/>
  <c r="AC371" i="95" s="1"/>
  <c r="AD371" i="95" s="1"/>
  <c r="AE371" i="95" s="1"/>
  <c r="AF371" i="95" s="1"/>
  <c r="D379" i="95"/>
  <c r="E379" i="95" s="1"/>
  <c r="F379" i="95" s="1"/>
  <c r="G379" i="95" s="1"/>
  <c r="H379" i="95" s="1"/>
  <c r="I379" i="95" s="1"/>
  <c r="J379" i="95" s="1"/>
  <c r="K379" i="95" s="1"/>
  <c r="L379" i="95" s="1"/>
  <c r="M379" i="95" s="1"/>
  <c r="N379" i="95" s="1"/>
  <c r="O379" i="95" s="1"/>
  <c r="P379" i="95" s="1"/>
  <c r="Q379" i="95" s="1"/>
  <c r="R379" i="95" s="1"/>
  <c r="S379" i="95" s="1"/>
  <c r="T379" i="95" s="1"/>
  <c r="U379" i="95" s="1"/>
  <c r="V379" i="95" s="1"/>
  <c r="W379" i="95" s="1"/>
  <c r="X379" i="95" s="1"/>
  <c r="Y379" i="95" s="1"/>
  <c r="Z379" i="95" s="1"/>
  <c r="AA379" i="95" s="1"/>
  <c r="AB379" i="95" s="1"/>
  <c r="AC379" i="95" s="1"/>
  <c r="AD379" i="95" s="1"/>
  <c r="AE379" i="95" s="1"/>
  <c r="AF379" i="95" s="1"/>
  <c r="D395" i="95"/>
  <c r="E395" i="95" s="1"/>
  <c r="F395" i="95" s="1"/>
  <c r="G395" i="95" s="1"/>
  <c r="H395" i="95" s="1"/>
  <c r="I395" i="95" s="1"/>
  <c r="J395" i="95" s="1"/>
  <c r="K395" i="95" s="1"/>
  <c r="L395" i="95" s="1"/>
  <c r="M395" i="95" s="1"/>
  <c r="N395" i="95" s="1"/>
  <c r="O395" i="95" s="1"/>
  <c r="P395" i="95" s="1"/>
  <c r="Q395" i="95" s="1"/>
  <c r="R395" i="95" s="1"/>
  <c r="S395" i="95" s="1"/>
  <c r="T395" i="95" s="1"/>
  <c r="U395" i="95" s="1"/>
  <c r="V395" i="95" s="1"/>
  <c r="W395" i="95" s="1"/>
  <c r="X395" i="95" s="1"/>
  <c r="Y395" i="95" s="1"/>
  <c r="Z395" i="95" s="1"/>
  <c r="AA395" i="95" s="1"/>
  <c r="AB395" i="95" s="1"/>
  <c r="AC395" i="95" s="1"/>
  <c r="AD395" i="95" s="1"/>
  <c r="AE395" i="95" s="1"/>
  <c r="AF395" i="95" s="1"/>
  <c r="D467" i="95"/>
  <c r="E467" i="95" s="1"/>
  <c r="F467" i="95" s="1"/>
  <c r="G467" i="95" s="1"/>
  <c r="H467" i="95" s="1"/>
  <c r="I467" i="95" s="1"/>
  <c r="J467" i="95" s="1"/>
  <c r="K467" i="95" s="1"/>
  <c r="L467" i="95" s="1"/>
  <c r="M467" i="95" s="1"/>
  <c r="N467" i="95" s="1"/>
  <c r="O467" i="95" s="1"/>
  <c r="P467" i="95" s="1"/>
  <c r="Q467" i="95" s="1"/>
  <c r="R467" i="95" s="1"/>
  <c r="S467" i="95" s="1"/>
  <c r="T467" i="95" s="1"/>
  <c r="U467" i="95" s="1"/>
  <c r="V467" i="95" s="1"/>
  <c r="W467" i="95" s="1"/>
  <c r="X467" i="95" s="1"/>
  <c r="Y467" i="95" s="1"/>
  <c r="Z467" i="95" s="1"/>
  <c r="AA467" i="95" s="1"/>
  <c r="AB467" i="95" s="1"/>
  <c r="AC467" i="95" s="1"/>
  <c r="AD467" i="95" s="1"/>
  <c r="AE467" i="95" s="1"/>
  <c r="AF467" i="95" s="1"/>
  <c r="D483" i="95"/>
  <c r="E483" i="95" s="1"/>
  <c r="F483" i="95" s="1"/>
  <c r="G483" i="95" s="1"/>
  <c r="H483" i="95" s="1"/>
  <c r="I483" i="95" s="1"/>
  <c r="J483" i="95" s="1"/>
  <c r="K483" i="95" s="1"/>
  <c r="L483" i="95" s="1"/>
  <c r="M483" i="95" s="1"/>
  <c r="N483" i="95" s="1"/>
  <c r="O483" i="95" s="1"/>
  <c r="P483" i="95" s="1"/>
  <c r="Q483" i="95" s="1"/>
  <c r="R483" i="95" s="1"/>
  <c r="S483" i="95" s="1"/>
  <c r="T483" i="95" s="1"/>
  <c r="U483" i="95" s="1"/>
  <c r="V483" i="95" s="1"/>
  <c r="W483" i="95" s="1"/>
  <c r="X483" i="95" s="1"/>
  <c r="Y483" i="95" s="1"/>
  <c r="Z483" i="95" s="1"/>
  <c r="AA483" i="95" s="1"/>
  <c r="AB483" i="95" s="1"/>
  <c r="AC483" i="95" s="1"/>
  <c r="AD483" i="95" s="1"/>
  <c r="AE483" i="95" s="1"/>
  <c r="AF483" i="95" s="1"/>
  <c r="D491" i="95"/>
  <c r="E491" i="95" s="1"/>
  <c r="F491" i="95" s="1"/>
  <c r="G491" i="95" s="1"/>
  <c r="H491" i="95" s="1"/>
  <c r="I491" i="95" s="1"/>
  <c r="J491" i="95" s="1"/>
  <c r="K491" i="95" s="1"/>
  <c r="L491" i="95" s="1"/>
  <c r="M491" i="95" s="1"/>
  <c r="N491" i="95" s="1"/>
  <c r="O491" i="95" s="1"/>
  <c r="P491" i="95" s="1"/>
  <c r="Q491" i="95" s="1"/>
  <c r="R491" i="95" s="1"/>
  <c r="S491" i="95" s="1"/>
  <c r="T491" i="95" s="1"/>
  <c r="U491" i="95" s="1"/>
  <c r="V491" i="95" s="1"/>
  <c r="W491" i="95" s="1"/>
  <c r="X491" i="95" s="1"/>
  <c r="Y491" i="95" s="1"/>
  <c r="Z491" i="95" s="1"/>
  <c r="AA491" i="95" s="1"/>
  <c r="AB491" i="95" s="1"/>
  <c r="AC491" i="95" s="1"/>
  <c r="AD491" i="95" s="1"/>
  <c r="AE491" i="95" s="1"/>
  <c r="AF491" i="95" s="1"/>
  <c r="D507" i="95"/>
  <c r="E507" i="95" s="1"/>
  <c r="F507" i="95" s="1"/>
  <c r="G507" i="95" s="1"/>
  <c r="H507" i="95" s="1"/>
  <c r="I507" i="95" s="1"/>
  <c r="J507" i="95" s="1"/>
  <c r="K507" i="95" s="1"/>
  <c r="L507" i="95" s="1"/>
  <c r="M507" i="95" s="1"/>
  <c r="N507" i="95" s="1"/>
  <c r="O507" i="95" s="1"/>
  <c r="P507" i="95" s="1"/>
  <c r="Q507" i="95" s="1"/>
  <c r="R507" i="95" s="1"/>
  <c r="S507" i="95" s="1"/>
  <c r="T507" i="95" s="1"/>
  <c r="U507" i="95" s="1"/>
  <c r="V507" i="95" s="1"/>
  <c r="W507" i="95" s="1"/>
  <c r="X507" i="95" s="1"/>
  <c r="Y507" i="95" s="1"/>
  <c r="Z507" i="95" s="1"/>
  <c r="AA507" i="95" s="1"/>
  <c r="AB507" i="95" s="1"/>
  <c r="AC507" i="95" s="1"/>
  <c r="AD507" i="95" s="1"/>
  <c r="AE507" i="95" s="1"/>
  <c r="AF507" i="95" s="1"/>
  <c r="D547" i="95"/>
  <c r="E547" i="95" s="1"/>
  <c r="F547" i="95" s="1"/>
  <c r="G547" i="95" s="1"/>
  <c r="H547" i="95" s="1"/>
  <c r="I547" i="95" s="1"/>
  <c r="J547" i="95" s="1"/>
  <c r="K547" i="95" s="1"/>
  <c r="L547" i="95" s="1"/>
  <c r="M547" i="95" s="1"/>
  <c r="N547" i="95" s="1"/>
  <c r="O547" i="95" s="1"/>
  <c r="P547" i="95" s="1"/>
  <c r="Q547" i="95" s="1"/>
  <c r="R547" i="95" s="1"/>
  <c r="S547" i="95" s="1"/>
  <c r="T547" i="95" s="1"/>
  <c r="U547" i="95" s="1"/>
  <c r="V547" i="95" s="1"/>
  <c r="W547" i="95" s="1"/>
  <c r="X547" i="95" s="1"/>
  <c r="Y547" i="95" s="1"/>
  <c r="Z547" i="95" s="1"/>
  <c r="AA547" i="95" s="1"/>
  <c r="AB547" i="95" s="1"/>
  <c r="AC547" i="95" s="1"/>
  <c r="AD547" i="95" s="1"/>
  <c r="AE547" i="95" s="1"/>
  <c r="AF547" i="95" s="1"/>
  <c r="D587" i="95"/>
  <c r="E587" i="95" s="1"/>
  <c r="F587" i="95" s="1"/>
  <c r="G587" i="95" s="1"/>
  <c r="H587" i="95" s="1"/>
  <c r="I587" i="95" s="1"/>
  <c r="J587" i="95" s="1"/>
  <c r="K587" i="95" s="1"/>
  <c r="L587" i="95" s="1"/>
  <c r="M587" i="95" s="1"/>
  <c r="N587" i="95" s="1"/>
  <c r="O587" i="95" s="1"/>
  <c r="P587" i="95" s="1"/>
  <c r="Q587" i="95" s="1"/>
  <c r="R587" i="95" s="1"/>
  <c r="S587" i="95" s="1"/>
  <c r="T587" i="95" s="1"/>
  <c r="U587" i="95" s="1"/>
  <c r="V587" i="95" s="1"/>
  <c r="W587" i="95" s="1"/>
  <c r="X587" i="95" s="1"/>
  <c r="Y587" i="95" s="1"/>
  <c r="Z587" i="95" s="1"/>
  <c r="AA587" i="95" s="1"/>
  <c r="AB587" i="95" s="1"/>
  <c r="AC587" i="95" s="1"/>
  <c r="AD587" i="95" s="1"/>
  <c r="AE587" i="95" s="1"/>
  <c r="AF587" i="95" s="1"/>
  <c r="D683" i="95"/>
  <c r="E683" i="95" s="1"/>
  <c r="F683" i="95" s="1"/>
  <c r="G683" i="95" s="1"/>
  <c r="H683" i="95" s="1"/>
  <c r="I683" i="95" s="1"/>
  <c r="J683" i="95" s="1"/>
  <c r="K683" i="95" s="1"/>
  <c r="L683" i="95" s="1"/>
  <c r="M683" i="95" s="1"/>
  <c r="N683" i="95" s="1"/>
  <c r="O683" i="95" s="1"/>
  <c r="P683" i="95" s="1"/>
  <c r="Q683" i="95" s="1"/>
  <c r="R683" i="95" s="1"/>
  <c r="S683" i="95" s="1"/>
  <c r="T683" i="95" s="1"/>
  <c r="U683" i="95" s="1"/>
  <c r="V683" i="95" s="1"/>
  <c r="W683" i="95" s="1"/>
  <c r="X683" i="95" s="1"/>
  <c r="Y683" i="95" s="1"/>
  <c r="Z683" i="95" s="1"/>
  <c r="AA683" i="95" s="1"/>
  <c r="AB683" i="95" s="1"/>
  <c r="AC683" i="95" s="1"/>
  <c r="AD683" i="95" s="1"/>
  <c r="AE683" i="95" s="1"/>
  <c r="AF683" i="95" s="1"/>
  <c r="D52" i="95"/>
  <c r="E52" i="95" s="1"/>
  <c r="F52" i="95" s="1"/>
  <c r="G52" i="95" s="1"/>
  <c r="H52" i="95" s="1"/>
  <c r="I52" i="95" s="1"/>
  <c r="J52" i="95" s="1"/>
  <c r="K52" i="95" s="1"/>
  <c r="L52" i="95" s="1"/>
  <c r="M52" i="95" s="1"/>
  <c r="N52" i="95" s="1"/>
  <c r="O52" i="95" s="1"/>
  <c r="P52" i="95" s="1"/>
  <c r="Q52" i="95" s="1"/>
  <c r="R52" i="95" s="1"/>
  <c r="S52" i="95" s="1"/>
  <c r="T52" i="95" s="1"/>
  <c r="U52" i="95" s="1"/>
  <c r="V52" i="95" s="1"/>
  <c r="W52" i="95" s="1"/>
  <c r="X52" i="95" s="1"/>
  <c r="Y52" i="95" s="1"/>
  <c r="Z52" i="95" s="1"/>
  <c r="AA52" i="95" s="1"/>
  <c r="AB52" i="95" s="1"/>
  <c r="AC52" i="95" s="1"/>
  <c r="AD52" i="95" s="1"/>
  <c r="AE52" i="95" s="1"/>
  <c r="AF52" i="95" s="1"/>
  <c r="D76" i="95"/>
  <c r="E76" i="95" s="1"/>
  <c r="F76" i="95" s="1"/>
  <c r="G76" i="95" s="1"/>
  <c r="H76" i="95" s="1"/>
  <c r="I76" i="95" s="1"/>
  <c r="J76" i="95" s="1"/>
  <c r="K76" i="95" s="1"/>
  <c r="L76" i="95" s="1"/>
  <c r="M76" i="95" s="1"/>
  <c r="N76" i="95" s="1"/>
  <c r="O76" i="95" s="1"/>
  <c r="P76" i="95" s="1"/>
  <c r="Q76" i="95" s="1"/>
  <c r="R76" i="95" s="1"/>
  <c r="S76" i="95" s="1"/>
  <c r="T76" i="95" s="1"/>
  <c r="U76" i="95" s="1"/>
  <c r="V76" i="95" s="1"/>
  <c r="W76" i="95" s="1"/>
  <c r="X76" i="95" s="1"/>
  <c r="Y76" i="95" s="1"/>
  <c r="Z76" i="95" s="1"/>
  <c r="AA76" i="95" s="1"/>
  <c r="AB76" i="95" s="1"/>
  <c r="AC76" i="95" s="1"/>
  <c r="AD76" i="95" s="1"/>
  <c r="AE76" i="95" s="1"/>
  <c r="AF76" i="95" s="1"/>
  <c r="D84" i="95"/>
  <c r="E84" i="95" s="1"/>
  <c r="F84" i="95" s="1"/>
  <c r="G84" i="95" s="1"/>
  <c r="H84" i="95" s="1"/>
  <c r="I84" i="95" s="1"/>
  <c r="J84" i="95" s="1"/>
  <c r="K84" i="95" s="1"/>
  <c r="L84" i="95" s="1"/>
  <c r="M84" i="95" s="1"/>
  <c r="N84" i="95" s="1"/>
  <c r="O84" i="95" s="1"/>
  <c r="P84" i="95" s="1"/>
  <c r="Q84" i="95" s="1"/>
  <c r="R84" i="95" s="1"/>
  <c r="S84" i="95" s="1"/>
  <c r="T84" i="95" s="1"/>
  <c r="U84" i="95" s="1"/>
  <c r="V84" i="95" s="1"/>
  <c r="W84" i="95" s="1"/>
  <c r="X84" i="95" s="1"/>
  <c r="Y84" i="95" s="1"/>
  <c r="Z84" i="95" s="1"/>
  <c r="AA84" i="95" s="1"/>
  <c r="AB84" i="95" s="1"/>
  <c r="AC84" i="95" s="1"/>
  <c r="AD84" i="95" s="1"/>
  <c r="AE84" i="95" s="1"/>
  <c r="AF84" i="95" s="1"/>
  <c r="D100" i="95"/>
  <c r="E100" i="95" s="1"/>
  <c r="F100" i="95" s="1"/>
  <c r="G100" i="95" s="1"/>
  <c r="H100" i="95" s="1"/>
  <c r="I100" i="95" s="1"/>
  <c r="J100" i="95" s="1"/>
  <c r="K100" i="95" s="1"/>
  <c r="L100" i="95" s="1"/>
  <c r="M100" i="95" s="1"/>
  <c r="N100" i="95" s="1"/>
  <c r="O100" i="95" s="1"/>
  <c r="P100" i="95" s="1"/>
  <c r="Q100" i="95" s="1"/>
  <c r="R100" i="95" s="1"/>
  <c r="S100" i="95" s="1"/>
  <c r="T100" i="95" s="1"/>
  <c r="U100" i="95" s="1"/>
  <c r="V100" i="95" s="1"/>
  <c r="W100" i="95" s="1"/>
  <c r="X100" i="95" s="1"/>
  <c r="Y100" i="95" s="1"/>
  <c r="Z100" i="95" s="1"/>
  <c r="AA100" i="95" s="1"/>
  <c r="AB100" i="95" s="1"/>
  <c r="AC100" i="95" s="1"/>
  <c r="AD100" i="95" s="1"/>
  <c r="AE100" i="95" s="1"/>
  <c r="AF100" i="95" s="1"/>
  <c r="D108" i="95"/>
  <c r="E108" i="95" s="1"/>
  <c r="F108" i="95" s="1"/>
  <c r="G108" i="95" s="1"/>
  <c r="H108" i="95" s="1"/>
  <c r="I108" i="95" s="1"/>
  <c r="J108" i="95" s="1"/>
  <c r="K108" i="95" s="1"/>
  <c r="L108" i="95" s="1"/>
  <c r="M108" i="95" s="1"/>
  <c r="N108" i="95" s="1"/>
  <c r="O108" i="95" s="1"/>
  <c r="P108" i="95" s="1"/>
  <c r="Q108" i="95" s="1"/>
  <c r="R108" i="95" s="1"/>
  <c r="S108" i="95" s="1"/>
  <c r="T108" i="95" s="1"/>
  <c r="U108" i="95" s="1"/>
  <c r="V108" i="95" s="1"/>
  <c r="W108" i="95" s="1"/>
  <c r="X108" i="95" s="1"/>
  <c r="Y108" i="95" s="1"/>
  <c r="Z108" i="95" s="1"/>
  <c r="AA108" i="95" s="1"/>
  <c r="AB108" i="95" s="1"/>
  <c r="AC108" i="95" s="1"/>
  <c r="AD108" i="95" s="1"/>
  <c r="AE108" i="95" s="1"/>
  <c r="AF108" i="95" s="1"/>
  <c r="D148" i="95"/>
  <c r="E148" i="95" s="1"/>
  <c r="F148" i="95" s="1"/>
  <c r="G148" i="95" s="1"/>
  <c r="H148" i="95" s="1"/>
  <c r="I148" i="95" s="1"/>
  <c r="J148" i="95" s="1"/>
  <c r="K148" i="95" s="1"/>
  <c r="L148" i="95" s="1"/>
  <c r="M148" i="95" s="1"/>
  <c r="N148" i="95" s="1"/>
  <c r="O148" i="95" s="1"/>
  <c r="P148" i="95" s="1"/>
  <c r="Q148" i="95" s="1"/>
  <c r="R148" i="95" s="1"/>
  <c r="S148" i="95" s="1"/>
  <c r="T148" i="95" s="1"/>
  <c r="U148" i="95" s="1"/>
  <c r="V148" i="95" s="1"/>
  <c r="W148" i="95" s="1"/>
  <c r="X148" i="95" s="1"/>
  <c r="Y148" i="95" s="1"/>
  <c r="Z148" i="95" s="1"/>
  <c r="AA148" i="95" s="1"/>
  <c r="AB148" i="95" s="1"/>
  <c r="AC148" i="95" s="1"/>
  <c r="AD148" i="95" s="1"/>
  <c r="AE148" i="95" s="1"/>
  <c r="AF148" i="95" s="1"/>
  <c r="D164" i="95"/>
  <c r="E164" i="95" s="1"/>
  <c r="F164" i="95" s="1"/>
  <c r="G164" i="95" s="1"/>
  <c r="H164" i="95" s="1"/>
  <c r="I164" i="95" s="1"/>
  <c r="J164" i="95" s="1"/>
  <c r="K164" i="95" s="1"/>
  <c r="L164" i="95" s="1"/>
  <c r="M164" i="95" s="1"/>
  <c r="N164" i="95" s="1"/>
  <c r="O164" i="95" s="1"/>
  <c r="P164" i="95" s="1"/>
  <c r="Q164" i="95" s="1"/>
  <c r="R164" i="95" s="1"/>
  <c r="S164" i="95" s="1"/>
  <c r="T164" i="95" s="1"/>
  <c r="U164" i="95" s="1"/>
  <c r="V164" i="95" s="1"/>
  <c r="W164" i="95" s="1"/>
  <c r="X164" i="95" s="1"/>
  <c r="Y164" i="95" s="1"/>
  <c r="Z164" i="95" s="1"/>
  <c r="AA164" i="95" s="1"/>
  <c r="AB164" i="95" s="1"/>
  <c r="AC164" i="95" s="1"/>
  <c r="AD164" i="95" s="1"/>
  <c r="AE164" i="95" s="1"/>
  <c r="AF164" i="95" s="1"/>
  <c r="D172" i="95"/>
  <c r="E172" i="95" s="1"/>
  <c r="F172" i="95" s="1"/>
  <c r="G172" i="95" s="1"/>
  <c r="H172" i="95" s="1"/>
  <c r="I172" i="95" s="1"/>
  <c r="J172" i="95" s="1"/>
  <c r="K172" i="95" s="1"/>
  <c r="L172" i="95" s="1"/>
  <c r="M172" i="95" s="1"/>
  <c r="N172" i="95" s="1"/>
  <c r="O172" i="95" s="1"/>
  <c r="P172" i="95" s="1"/>
  <c r="Q172" i="95" s="1"/>
  <c r="R172" i="95" s="1"/>
  <c r="S172" i="95" s="1"/>
  <c r="T172" i="95" s="1"/>
  <c r="U172" i="95" s="1"/>
  <c r="V172" i="95" s="1"/>
  <c r="W172" i="95" s="1"/>
  <c r="X172" i="95" s="1"/>
  <c r="Y172" i="95" s="1"/>
  <c r="Z172" i="95" s="1"/>
  <c r="AA172" i="95" s="1"/>
  <c r="AB172" i="95" s="1"/>
  <c r="AC172" i="95" s="1"/>
  <c r="AD172" i="95" s="1"/>
  <c r="AE172" i="95" s="1"/>
  <c r="AF172" i="95" s="1"/>
  <c r="D188" i="95"/>
  <c r="E188" i="95" s="1"/>
  <c r="F188" i="95" s="1"/>
  <c r="G188" i="95" s="1"/>
  <c r="H188" i="95" s="1"/>
  <c r="I188" i="95" s="1"/>
  <c r="J188" i="95" s="1"/>
  <c r="K188" i="95" s="1"/>
  <c r="L188" i="95" s="1"/>
  <c r="M188" i="95" s="1"/>
  <c r="N188" i="95" s="1"/>
  <c r="O188" i="95" s="1"/>
  <c r="P188" i="95" s="1"/>
  <c r="Q188" i="95" s="1"/>
  <c r="R188" i="95" s="1"/>
  <c r="S188" i="95" s="1"/>
  <c r="T188" i="95" s="1"/>
  <c r="U188" i="95" s="1"/>
  <c r="V188" i="95" s="1"/>
  <c r="W188" i="95" s="1"/>
  <c r="X188" i="95" s="1"/>
  <c r="Y188" i="95" s="1"/>
  <c r="Z188" i="95" s="1"/>
  <c r="AA188" i="95" s="1"/>
  <c r="AB188" i="95" s="1"/>
  <c r="AC188" i="95" s="1"/>
  <c r="AD188" i="95" s="1"/>
  <c r="AE188" i="95" s="1"/>
  <c r="AF188" i="95" s="1"/>
  <c r="D196" i="95"/>
  <c r="E196" i="95" s="1"/>
  <c r="F196" i="95" s="1"/>
  <c r="G196" i="95" s="1"/>
  <c r="H196" i="95" s="1"/>
  <c r="I196" i="95" s="1"/>
  <c r="J196" i="95" s="1"/>
  <c r="K196" i="95" s="1"/>
  <c r="L196" i="95" s="1"/>
  <c r="M196" i="95" s="1"/>
  <c r="N196" i="95" s="1"/>
  <c r="O196" i="95" s="1"/>
  <c r="P196" i="95" s="1"/>
  <c r="Q196" i="95" s="1"/>
  <c r="R196" i="95" s="1"/>
  <c r="S196" i="95" s="1"/>
  <c r="T196" i="95" s="1"/>
  <c r="U196" i="95" s="1"/>
  <c r="V196" i="95" s="1"/>
  <c r="W196" i="95" s="1"/>
  <c r="X196" i="95" s="1"/>
  <c r="Y196" i="95" s="1"/>
  <c r="Z196" i="95" s="1"/>
  <c r="AA196" i="95" s="1"/>
  <c r="AB196" i="95" s="1"/>
  <c r="AC196" i="95" s="1"/>
  <c r="AD196" i="95" s="1"/>
  <c r="AE196" i="95" s="1"/>
  <c r="AF196" i="95" s="1"/>
  <c r="D212" i="95"/>
  <c r="E212" i="95" s="1"/>
  <c r="F212" i="95" s="1"/>
  <c r="G212" i="95" s="1"/>
  <c r="H212" i="95" s="1"/>
  <c r="I212" i="95" s="1"/>
  <c r="J212" i="95" s="1"/>
  <c r="K212" i="95" s="1"/>
  <c r="L212" i="95" s="1"/>
  <c r="M212" i="95" s="1"/>
  <c r="N212" i="95" s="1"/>
  <c r="O212" i="95" s="1"/>
  <c r="P212" i="95" s="1"/>
  <c r="Q212" i="95" s="1"/>
  <c r="R212" i="95" s="1"/>
  <c r="S212" i="95" s="1"/>
  <c r="T212" i="95" s="1"/>
  <c r="U212" i="95" s="1"/>
  <c r="V212" i="95" s="1"/>
  <c r="W212" i="95" s="1"/>
  <c r="X212" i="95" s="1"/>
  <c r="Y212" i="95" s="1"/>
  <c r="Z212" i="95" s="1"/>
  <c r="AA212" i="95" s="1"/>
  <c r="AB212" i="95" s="1"/>
  <c r="AC212" i="95" s="1"/>
  <c r="AD212" i="95" s="1"/>
  <c r="AE212" i="95" s="1"/>
  <c r="AF212" i="95" s="1"/>
  <c r="D220" i="95"/>
  <c r="E220" i="95" s="1"/>
  <c r="F220" i="95" s="1"/>
  <c r="G220" i="95" s="1"/>
  <c r="H220" i="95" s="1"/>
  <c r="I220" i="95" s="1"/>
  <c r="J220" i="95" s="1"/>
  <c r="K220" i="95" s="1"/>
  <c r="L220" i="95" s="1"/>
  <c r="M220" i="95" s="1"/>
  <c r="N220" i="95" s="1"/>
  <c r="O220" i="95" s="1"/>
  <c r="P220" i="95" s="1"/>
  <c r="Q220" i="95" s="1"/>
  <c r="R220" i="95" s="1"/>
  <c r="S220" i="95" s="1"/>
  <c r="T220" i="95" s="1"/>
  <c r="U220" i="95" s="1"/>
  <c r="V220" i="95" s="1"/>
  <c r="W220" i="95" s="1"/>
  <c r="X220" i="95" s="1"/>
  <c r="Y220" i="95" s="1"/>
  <c r="Z220" i="95" s="1"/>
  <c r="AA220" i="95" s="1"/>
  <c r="AB220" i="95" s="1"/>
  <c r="AC220" i="95" s="1"/>
  <c r="AD220" i="95" s="1"/>
  <c r="AE220" i="95" s="1"/>
  <c r="AF220" i="95" s="1"/>
  <c r="D276" i="95"/>
  <c r="E276" i="95" s="1"/>
  <c r="F276" i="95" s="1"/>
  <c r="G276" i="95" s="1"/>
  <c r="H276" i="95" s="1"/>
  <c r="I276" i="95" s="1"/>
  <c r="J276" i="95" s="1"/>
  <c r="K276" i="95" s="1"/>
  <c r="L276" i="95" s="1"/>
  <c r="M276" i="95" s="1"/>
  <c r="N276" i="95" s="1"/>
  <c r="O276" i="95" s="1"/>
  <c r="P276" i="95" s="1"/>
  <c r="Q276" i="95" s="1"/>
  <c r="R276" i="95" s="1"/>
  <c r="S276" i="95" s="1"/>
  <c r="T276" i="95" s="1"/>
  <c r="U276" i="95" s="1"/>
  <c r="V276" i="95" s="1"/>
  <c r="W276" i="95" s="1"/>
  <c r="X276" i="95" s="1"/>
  <c r="Y276" i="95" s="1"/>
  <c r="Z276" i="95" s="1"/>
  <c r="AA276" i="95" s="1"/>
  <c r="AB276" i="95" s="1"/>
  <c r="AC276" i="95" s="1"/>
  <c r="AD276" i="95" s="1"/>
  <c r="AE276" i="95" s="1"/>
  <c r="AF276" i="95" s="1"/>
  <c r="D284" i="95"/>
  <c r="E284" i="95" s="1"/>
  <c r="F284" i="95" s="1"/>
  <c r="G284" i="95" s="1"/>
  <c r="H284" i="95" s="1"/>
  <c r="I284" i="95" s="1"/>
  <c r="J284" i="95" s="1"/>
  <c r="K284" i="95" s="1"/>
  <c r="L284" i="95" s="1"/>
  <c r="M284" i="95" s="1"/>
  <c r="N284" i="95" s="1"/>
  <c r="O284" i="95" s="1"/>
  <c r="P284" i="95" s="1"/>
  <c r="Q284" i="95" s="1"/>
  <c r="R284" i="95" s="1"/>
  <c r="S284" i="95" s="1"/>
  <c r="T284" i="95" s="1"/>
  <c r="U284" i="95" s="1"/>
  <c r="V284" i="95" s="1"/>
  <c r="W284" i="95" s="1"/>
  <c r="X284" i="95" s="1"/>
  <c r="Y284" i="95" s="1"/>
  <c r="Z284" i="95" s="1"/>
  <c r="AA284" i="95" s="1"/>
  <c r="AB284" i="95" s="1"/>
  <c r="AC284" i="95" s="1"/>
  <c r="AD284" i="95" s="1"/>
  <c r="AE284" i="95" s="1"/>
  <c r="AF284" i="95" s="1"/>
  <c r="D308" i="95"/>
  <c r="E308" i="95" s="1"/>
  <c r="F308" i="95" s="1"/>
  <c r="G308" i="95" s="1"/>
  <c r="H308" i="95" s="1"/>
  <c r="I308" i="95" s="1"/>
  <c r="J308" i="95" s="1"/>
  <c r="K308" i="95" s="1"/>
  <c r="L308" i="95" s="1"/>
  <c r="M308" i="95" s="1"/>
  <c r="N308" i="95" s="1"/>
  <c r="O308" i="95" s="1"/>
  <c r="P308" i="95" s="1"/>
  <c r="Q308" i="95" s="1"/>
  <c r="R308" i="95" s="1"/>
  <c r="S308" i="95" s="1"/>
  <c r="T308" i="95" s="1"/>
  <c r="U308" i="95" s="1"/>
  <c r="V308" i="95" s="1"/>
  <c r="W308" i="95" s="1"/>
  <c r="X308" i="95" s="1"/>
  <c r="Y308" i="95" s="1"/>
  <c r="Z308" i="95" s="1"/>
  <c r="AA308" i="95" s="1"/>
  <c r="AB308" i="95" s="1"/>
  <c r="AC308" i="95" s="1"/>
  <c r="AD308" i="95" s="1"/>
  <c r="AE308" i="95" s="1"/>
  <c r="AF308" i="95" s="1"/>
  <c r="D324" i="95"/>
  <c r="E324" i="95" s="1"/>
  <c r="F324" i="95" s="1"/>
  <c r="G324" i="95" s="1"/>
  <c r="H324" i="95" s="1"/>
  <c r="I324" i="95" s="1"/>
  <c r="J324" i="95" s="1"/>
  <c r="K324" i="95" s="1"/>
  <c r="L324" i="95" s="1"/>
  <c r="M324" i="95" s="1"/>
  <c r="N324" i="95" s="1"/>
  <c r="O324" i="95" s="1"/>
  <c r="P324" i="95" s="1"/>
  <c r="Q324" i="95" s="1"/>
  <c r="R324" i="95" s="1"/>
  <c r="S324" i="95" s="1"/>
  <c r="T324" i="95" s="1"/>
  <c r="U324" i="95" s="1"/>
  <c r="V324" i="95" s="1"/>
  <c r="W324" i="95" s="1"/>
  <c r="X324" i="95" s="1"/>
  <c r="Y324" i="95" s="1"/>
  <c r="Z324" i="95" s="1"/>
  <c r="AA324" i="95" s="1"/>
  <c r="AB324" i="95" s="1"/>
  <c r="AC324" i="95" s="1"/>
  <c r="AD324" i="95" s="1"/>
  <c r="AE324" i="95" s="1"/>
  <c r="AF324" i="95" s="1"/>
  <c r="D332" i="95"/>
  <c r="E332" i="95" s="1"/>
  <c r="F332" i="95" s="1"/>
  <c r="G332" i="95" s="1"/>
  <c r="H332" i="95" s="1"/>
  <c r="I332" i="95" s="1"/>
  <c r="J332" i="95" s="1"/>
  <c r="K332" i="95" s="1"/>
  <c r="L332" i="95" s="1"/>
  <c r="M332" i="95" s="1"/>
  <c r="N332" i="95" s="1"/>
  <c r="O332" i="95" s="1"/>
  <c r="P332" i="95" s="1"/>
  <c r="Q332" i="95" s="1"/>
  <c r="R332" i="95" s="1"/>
  <c r="S332" i="95" s="1"/>
  <c r="T332" i="95" s="1"/>
  <c r="U332" i="95" s="1"/>
  <c r="V332" i="95" s="1"/>
  <c r="W332" i="95" s="1"/>
  <c r="X332" i="95" s="1"/>
  <c r="Y332" i="95" s="1"/>
  <c r="Z332" i="95" s="1"/>
  <c r="AA332" i="95" s="1"/>
  <c r="AB332" i="95" s="1"/>
  <c r="AC332" i="95" s="1"/>
  <c r="AD332" i="95" s="1"/>
  <c r="AE332" i="95" s="1"/>
  <c r="AF332" i="95" s="1"/>
  <c r="D340" i="95"/>
  <c r="E340" i="95" s="1"/>
  <c r="F340" i="95" s="1"/>
  <c r="G340" i="95" s="1"/>
  <c r="H340" i="95" s="1"/>
  <c r="I340" i="95" s="1"/>
  <c r="J340" i="95" s="1"/>
  <c r="K340" i="95" s="1"/>
  <c r="L340" i="95" s="1"/>
  <c r="M340" i="95" s="1"/>
  <c r="N340" i="95" s="1"/>
  <c r="O340" i="95" s="1"/>
  <c r="P340" i="95" s="1"/>
  <c r="Q340" i="95" s="1"/>
  <c r="R340" i="95" s="1"/>
  <c r="S340" i="95" s="1"/>
  <c r="T340" i="95" s="1"/>
  <c r="U340" i="95" s="1"/>
  <c r="V340" i="95" s="1"/>
  <c r="W340" i="95" s="1"/>
  <c r="X340" i="95" s="1"/>
  <c r="Y340" i="95" s="1"/>
  <c r="Z340" i="95" s="1"/>
  <c r="AA340" i="95" s="1"/>
  <c r="AB340" i="95" s="1"/>
  <c r="AC340" i="95" s="1"/>
  <c r="AD340" i="95" s="1"/>
  <c r="AE340" i="95" s="1"/>
  <c r="AF340" i="95" s="1"/>
  <c r="D348" i="95"/>
  <c r="E348" i="95" s="1"/>
  <c r="F348" i="95" s="1"/>
  <c r="G348" i="95" s="1"/>
  <c r="H348" i="95" s="1"/>
  <c r="I348" i="95" s="1"/>
  <c r="J348" i="95" s="1"/>
  <c r="K348" i="95" s="1"/>
  <c r="L348" i="95" s="1"/>
  <c r="M348" i="95" s="1"/>
  <c r="N348" i="95" s="1"/>
  <c r="O348" i="95" s="1"/>
  <c r="P348" i="95" s="1"/>
  <c r="Q348" i="95" s="1"/>
  <c r="R348" i="95" s="1"/>
  <c r="S348" i="95" s="1"/>
  <c r="T348" i="95" s="1"/>
  <c r="U348" i="95" s="1"/>
  <c r="V348" i="95" s="1"/>
  <c r="W348" i="95" s="1"/>
  <c r="X348" i="95" s="1"/>
  <c r="Y348" i="95" s="1"/>
  <c r="Z348" i="95" s="1"/>
  <c r="AA348" i="95" s="1"/>
  <c r="AB348" i="95" s="1"/>
  <c r="AC348" i="95" s="1"/>
  <c r="AD348" i="95" s="1"/>
  <c r="AE348" i="95" s="1"/>
  <c r="AF348" i="95" s="1"/>
  <c r="D396" i="95"/>
  <c r="E396" i="95" s="1"/>
  <c r="F396" i="95" s="1"/>
  <c r="G396" i="95" s="1"/>
  <c r="H396" i="95" s="1"/>
  <c r="I396" i="95" s="1"/>
  <c r="J396" i="95" s="1"/>
  <c r="K396" i="95" s="1"/>
  <c r="L396" i="95" s="1"/>
  <c r="M396" i="95" s="1"/>
  <c r="N396" i="95" s="1"/>
  <c r="O396" i="95" s="1"/>
  <c r="P396" i="95" s="1"/>
  <c r="Q396" i="95" s="1"/>
  <c r="R396" i="95" s="1"/>
  <c r="S396" i="95" s="1"/>
  <c r="T396" i="95" s="1"/>
  <c r="U396" i="95" s="1"/>
  <c r="V396" i="95" s="1"/>
  <c r="W396" i="95" s="1"/>
  <c r="X396" i="95" s="1"/>
  <c r="Y396" i="95" s="1"/>
  <c r="Z396" i="95" s="1"/>
  <c r="AA396" i="95" s="1"/>
  <c r="AB396" i="95" s="1"/>
  <c r="AC396" i="95" s="1"/>
  <c r="AD396" i="95" s="1"/>
  <c r="AE396" i="95" s="1"/>
  <c r="AF396" i="95" s="1"/>
  <c r="D468" i="95"/>
  <c r="E468" i="95" s="1"/>
  <c r="F468" i="95" s="1"/>
  <c r="G468" i="95" s="1"/>
  <c r="H468" i="95" s="1"/>
  <c r="I468" i="95" s="1"/>
  <c r="J468" i="95" s="1"/>
  <c r="K468" i="95" s="1"/>
  <c r="L468" i="95" s="1"/>
  <c r="M468" i="95" s="1"/>
  <c r="N468" i="95" s="1"/>
  <c r="O468" i="95" s="1"/>
  <c r="P468" i="95" s="1"/>
  <c r="Q468" i="95" s="1"/>
  <c r="R468" i="95" s="1"/>
  <c r="S468" i="95" s="1"/>
  <c r="T468" i="95" s="1"/>
  <c r="U468" i="95" s="1"/>
  <c r="V468" i="95" s="1"/>
  <c r="W468" i="95" s="1"/>
  <c r="X468" i="95" s="1"/>
  <c r="Y468" i="95" s="1"/>
  <c r="Z468" i="95" s="1"/>
  <c r="AA468" i="95" s="1"/>
  <c r="AB468" i="95" s="1"/>
  <c r="AC468" i="95" s="1"/>
  <c r="AD468" i="95" s="1"/>
  <c r="AE468" i="95" s="1"/>
  <c r="AF468" i="95" s="1"/>
  <c r="D484" i="95"/>
  <c r="E484" i="95" s="1"/>
  <c r="F484" i="95" s="1"/>
  <c r="G484" i="95" s="1"/>
  <c r="H484" i="95" s="1"/>
  <c r="I484" i="95" s="1"/>
  <c r="J484" i="95" s="1"/>
  <c r="K484" i="95" s="1"/>
  <c r="L484" i="95" s="1"/>
  <c r="M484" i="95" s="1"/>
  <c r="N484" i="95" s="1"/>
  <c r="O484" i="95" s="1"/>
  <c r="P484" i="95" s="1"/>
  <c r="Q484" i="95" s="1"/>
  <c r="R484" i="95" s="1"/>
  <c r="S484" i="95" s="1"/>
  <c r="T484" i="95" s="1"/>
  <c r="U484" i="95" s="1"/>
  <c r="V484" i="95" s="1"/>
  <c r="W484" i="95" s="1"/>
  <c r="X484" i="95" s="1"/>
  <c r="Y484" i="95" s="1"/>
  <c r="Z484" i="95" s="1"/>
  <c r="AA484" i="95" s="1"/>
  <c r="AB484" i="95" s="1"/>
  <c r="AC484" i="95" s="1"/>
  <c r="AD484" i="95" s="1"/>
  <c r="AE484" i="95" s="1"/>
  <c r="AF484" i="95" s="1"/>
  <c r="D508" i="95"/>
  <c r="E508" i="95" s="1"/>
  <c r="F508" i="95" s="1"/>
  <c r="G508" i="95" s="1"/>
  <c r="H508" i="95" s="1"/>
  <c r="I508" i="95" s="1"/>
  <c r="J508" i="95" s="1"/>
  <c r="K508" i="95" s="1"/>
  <c r="L508" i="95" s="1"/>
  <c r="M508" i="95" s="1"/>
  <c r="N508" i="95" s="1"/>
  <c r="O508" i="95" s="1"/>
  <c r="P508" i="95" s="1"/>
  <c r="Q508" i="95" s="1"/>
  <c r="R508" i="95" s="1"/>
  <c r="S508" i="95" s="1"/>
  <c r="T508" i="95" s="1"/>
  <c r="U508" i="95" s="1"/>
  <c r="V508" i="95" s="1"/>
  <c r="W508" i="95" s="1"/>
  <c r="X508" i="95" s="1"/>
  <c r="Y508" i="95" s="1"/>
  <c r="Z508" i="95" s="1"/>
  <c r="AA508" i="95" s="1"/>
  <c r="AB508" i="95" s="1"/>
  <c r="AC508" i="95" s="1"/>
  <c r="AD508" i="95" s="1"/>
  <c r="AE508" i="95" s="1"/>
  <c r="AF508" i="95" s="1"/>
  <c r="D540" i="95"/>
  <c r="E540" i="95" s="1"/>
  <c r="F540" i="95" s="1"/>
  <c r="G540" i="95" s="1"/>
  <c r="H540" i="95" s="1"/>
  <c r="I540" i="95" s="1"/>
  <c r="J540" i="95" s="1"/>
  <c r="K540" i="95" s="1"/>
  <c r="L540" i="95" s="1"/>
  <c r="M540" i="95" s="1"/>
  <c r="N540" i="95" s="1"/>
  <c r="O540" i="95" s="1"/>
  <c r="P540" i="95" s="1"/>
  <c r="Q540" i="95" s="1"/>
  <c r="R540" i="95" s="1"/>
  <c r="S540" i="95" s="1"/>
  <c r="T540" i="95" s="1"/>
  <c r="U540" i="95" s="1"/>
  <c r="V540" i="95" s="1"/>
  <c r="W540" i="95" s="1"/>
  <c r="X540" i="95" s="1"/>
  <c r="Y540" i="95" s="1"/>
  <c r="Z540" i="95" s="1"/>
  <c r="AA540" i="95" s="1"/>
  <c r="AB540" i="95" s="1"/>
  <c r="AC540" i="95" s="1"/>
  <c r="AD540" i="95" s="1"/>
  <c r="AE540" i="95" s="1"/>
  <c r="AF540" i="95" s="1"/>
  <c r="D556" i="95"/>
  <c r="E556" i="95" s="1"/>
  <c r="F556" i="95" s="1"/>
  <c r="G556" i="95" s="1"/>
  <c r="H556" i="95" s="1"/>
  <c r="I556" i="95" s="1"/>
  <c r="J556" i="95" s="1"/>
  <c r="K556" i="95" s="1"/>
  <c r="L556" i="95" s="1"/>
  <c r="M556" i="95" s="1"/>
  <c r="N556" i="95" s="1"/>
  <c r="O556" i="95" s="1"/>
  <c r="P556" i="95" s="1"/>
  <c r="Q556" i="95" s="1"/>
  <c r="R556" i="95" s="1"/>
  <c r="S556" i="95" s="1"/>
  <c r="T556" i="95" s="1"/>
  <c r="U556" i="95" s="1"/>
  <c r="V556" i="95" s="1"/>
  <c r="W556" i="95" s="1"/>
  <c r="X556" i="95" s="1"/>
  <c r="Y556" i="95" s="1"/>
  <c r="Z556" i="95" s="1"/>
  <c r="AA556" i="95" s="1"/>
  <c r="AB556" i="95" s="1"/>
  <c r="AC556" i="95" s="1"/>
  <c r="AD556" i="95" s="1"/>
  <c r="AE556" i="95" s="1"/>
  <c r="AF556" i="95" s="1"/>
  <c r="D580" i="95"/>
  <c r="E580" i="95" s="1"/>
  <c r="F580" i="95" s="1"/>
  <c r="G580" i="95" s="1"/>
  <c r="H580" i="95" s="1"/>
  <c r="I580" i="95" s="1"/>
  <c r="J580" i="95" s="1"/>
  <c r="K580" i="95" s="1"/>
  <c r="L580" i="95" s="1"/>
  <c r="M580" i="95" s="1"/>
  <c r="N580" i="95" s="1"/>
  <c r="O580" i="95" s="1"/>
  <c r="P580" i="95" s="1"/>
  <c r="Q580" i="95" s="1"/>
  <c r="R580" i="95" s="1"/>
  <c r="S580" i="95" s="1"/>
  <c r="T580" i="95" s="1"/>
  <c r="U580" i="95" s="1"/>
  <c r="V580" i="95" s="1"/>
  <c r="W580" i="95" s="1"/>
  <c r="X580" i="95" s="1"/>
  <c r="Y580" i="95" s="1"/>
  <c r="Z580" i="95" s="1"/>
  <c r="AA580" i="95" s="1"/>
  <c r="AB580" i="95" s="1"/>
  <c r="AC580" i="95" s="1"/>
  <c r="AD580" i="95" s="1"/>
  <c r="AE580" i="95" s="1"/>
  <c r="AF580" i="95" s="1"/>
  <c r="D588" i="95"/>
  <c r="E588" i="95" s="1"/>
  <c r="F588" i="95" s="1"/>
  <c r="G588" i="95" s="1"/>
  <c r="H588" i="95" s="1"/>
  <c r="I588" i="95" s="1"/>
  <c r="J588" i="95" s="1"/>
  <c r="K588" i="95" s="1"/>
  <c r="L588" i="95" s="1"/>
  <c r="M588" i="95" s="1"/>
  <c r="N588" i="95" s="1"/>
  <c r="O588" i="95" s="1"/>
  <c r="P588" i="95" s="1"/>
  <c r="Q588" i="95" s="1"/>
  <c r="R588" i="95" s="1"/>
  <c r="S588" i="95" s="1"/>
  <c r="T588" i="95" s="1"/>
  <c r="U588" i="95" s="1"/>
  <c r="V588" i="95" s="1"/>
  <c r="W588" i="95" s="1"/>
  <c r="X588" i="95" s="1"/>
  <c r="Y588" i="95" s="1"/>
  <c r="Z588" i="95" s="1"/>
  <c r="AA588" i="95" s="1"/>
  <c r="AB588" i="95" s="1"/>
  <c r="AC588" i="95" s="1"/>
  <c r="AD588" i="95" s="1"/>
  <c r="AE588" i="95" s="1"/>
  <c r="AF588" i="95" s="1"/>
  <c r="D660" i="95"/>
  <c r="E660" i="95" s="1"/>
  <c r="F660" i="95" s="1"/>
  <c r="G660" i="95" s="1"/>
  <c r="H660" i="95" s="1"/>
  <c r="I660" i="95" s="1"/>
  <c r="J660" i="95" s="1"/>
  <c r="K660" i="95" s="1"/>
  <c r="L660" i="95" s="1"/>
  <c r="M660" i="95" s="1"/>
  <c r="N660" i="95" s="1"/>
  <c r="O660" i="95" s="1"/>
  <c r="P660" i="95" s="1"/>
  <c r="Q660" i="95" s="1"/>
  <c r="R660" i="95" s="1"/>
  <c r="S660" i="95" s="1"/>
  <c r="T660" i="95" s="1"/>
  <c r="U660" i="95" s="1"/>
  <c r="V660" i="95" s="1"/>
  <c r="W660" i="95" s="1"/>
  <c r="X660" i="95" s="1"/>
  <c r="Y660" i="95" s="1"/>
  <c r="Z660" i="95" s="1"/>
  <c r="AA660" i="95" s="1"/>
  <c r="AB660" i="95" s="1"/>
  <c r="AC660" i="95" s="1"/>
  <c r="AD660" i="95" s="1"/>
  <c r="AE660" i="95" s="1"/>
  <c r="AF660" i="95" s="1"/>
  <c r="D668" i="95"/>
  <c r="E668" i="95" s="1"/>
  <c r="F668" i="95" s="1"/>
  <c r="G668" i="95" s="1"/>
  <c r="H668" i="95" s="1"/>
  <c r="I668" i="95" s="1"/>
  <c r="J668" i="95" s="1"/>
  <c r="K668" i="95" s="1"/>
  <c r="L668" i="95" s="1"/>
  <c r="M668" i="95" s="1"/>
  <c r="N668" i="95" s="1"/>
  <c r="O668" i="95" s="1"/>
  <c r="P668" i="95" s="1"/>
  <c r="Q668" i="95" s="1"/>
  <c r="R668" i="95" s="1"/>
  <c r="S668" i="95" s="1"/>
  <c r="T668" i="95" s="1"/>
  <c r="U668" i="95" s="1"/>
  <c r="V668" i="95" s="1"/>
  <c r="W668" i="95" s="1"/>
  <c r="X668" i="95" s="1"/>
  <c r="Y668" i="95" s="1"/>
  <c r="Z668" i="95" s="1"/>
  <c r="AA668" i="95" s="1"/>
  <c r="AB668" i="95" s="1"/>
  <c r="AC668" i="95" s="1"/>
  <c r="AD668" i="95" s="1"/>
  <c r="AE668" i="95" s="1"/>
  <c r="AF668" i="95" s="1"/>
  <c r="D684" i="95"/>
  <c r="E684" i="95" s="1"/>
  <c r="F684" i="95" s="1"/>
  <c r="G684" i="95" s="1"/>
  <c r="H684" i="95" s="1"/>
  <c r="I684" i="95" s="1"/>
  <c r="J684" i="95" s="1"/>
  <c r="K684" i="95" s="1"/>
  <c r="L684" i="95" s="1"/>
  <c r="M684" i="95" s="1"/>
  <c r="N684" i="95" s="1"/>
  <c r="O684" i="95" s="1"/>
  <c r="P684" i="95" s="1"/>
  <c r="Q684" i="95" s="1"/>
  <c r="R684" i="95" s="1"/>
  <c r="S684" i="95" s="1"/>
  <c r="T684" i="95" s="1"/>
  <c r="U684" i="95" s="1"/>
  <c r="V684" i="95" s="1"/>
  <c r="W684" i="95" s="1"/>
  <c r="X684" i="95" s="1"/>
  <c r="Y684" i="95" s="1"/>
  <c r="Z684" i="95" s="1"/>
  <c r="AA684" i="95" s="1"/>
  <c r="AB684" i="95" s="1"/>
  <c r="AC684" i="95" s="1"/>
  <c r="AD684" i="95" s="1"/>
  <c r="AE684" i="95" s="1"/>
  <c r="AF684" i="95" s="1"/>
  <c r="D77" i="95"/>
  <c r="E77" i="95" s="1"/>
  <c r="F77" i="95" s="1"/>
  <c r="G77" i="95" s="1"/>
  <c r="H77" i="95" s="1"/>
  <c r="I77" i="95" s="1"/>
  <c r="J77" i="95" s="1"/>
  <c r="K77" i="95" s="1"/>
  <c r="L77" i="95" s="1"/>
  <c r="M77" i="95" s="1"/>
  <c r="N77" i="95" s="1"/>
  <c r="O77" i="95" s="1"/>
  <c r="P77" i="95" s="1"/>
  <c r="Q77" i="95" s="1"/>
  <c r="R77" i="95" s="1"/>
  <c r="S77" i="95" s="1"/>
  <c r="T77" i="95" s="1"/>
  <c r="U77" i="95" s="1"/>
  <c r="V77" i="95" s="1"/>
  <c r="W77" i="95" s="1"/>
  <c r="X77" i="95" s="1"/>
  <c r="Y77" i="95" s="1"/>
  <c r="Z77" i="95" s="1"/>
  <c r="AA77" i="95" s="1"/>
  <c r="AB77" i="95" s="1"/>
  <c r="AC77" i="95" s="1"/>
  <c r="AD77" i="95" s="1"/>
  <c r="AE77" i="95" s="1"/>
  <c r="AF77" i="95" s="1"/>
  <c r="D85" i="95"/>
  <c r="E85" i="95" s="1"/>
  <c r="F85" i="95" s="1"/>
  <c r="G85" i="95" s="1"/>
  <c r="H85" i="95" s="1"/>
  <c r="I85" i="95" s="1"/>
  <c r="J85" i="95" s="1"/>
  <c r="K85" i="95" s="1"/>
  <c r="L85" i="95" s="1"/>
  <c r="M85" i="95" s="1"/>
  <c r="N85" i="95" s="1"/>
  <c r="O85" i="95" s="1"/>
  <c r="P85" i="95" s="1"/>
  <c r="Q85" i="95" s="1"/>
  <c r="R85" i="95" s="1"/>
  <c r="S85" i="95" s="1"/>
  <c r="T85" i="95" s="1"/>
  <c r="U85" i="95" s="1"/>
  <c r="V85" i="95" s="1"/>
  <c r="W85" i="95" s="1"/>
  <c r="X85" i="95" s="1"/>
  <c r="Y85" i="95" s="1"/>
  <c r="Z85" i="95" s="1"/>
  <c r="AA85" i="95" s="1"/>
  <c r="AB85" i="95" s="1"/>
  <c r="AC85" i="95" s="1"/>
  <c r="AD85" i="95" s="1"/>
  <c r="AE85" i="95" s="1"/>
  <c r="AF85" i="95" s="1"/>
  <c r="D93" i="95"/>
  <c r="E93" i="95" s="1"/>
  <c r="F93" i="95" s="1"/>
  <c r="G93" i="95" s="1"/>
  <c r="H93" i="95" s="1"/>
  <c r="I93" i="95" s="1"/>
  <c r="J93" i="95" s="1"/>
  <c r="K93" i="95" s="1"/>
  <c r="L93" i="95" s="1"/>
  <c r="M93" i="95" s="1"/>
  <c r="N93" i="95" s="1"/>
  <c r="O93" i="95" s="1"/>
  <c r="P93" i="95" s="1"/>
  <c r="Q93" i="95" s="1"/>
  <c r="R93" i="95" s="1"/>
  <c r="S93" i="95" s="1"/>
  <c r="T93" i="95" s="1"/>
  <c r="U93" i="95" s="1"/>
  <c r="V93" i="95" s="1"/>
  <c r="W93" i="95" s="1"/>
  <c r="X93" i="95" s="1"/>
  <c r="Y93" i="95" s="1"/>
  <c r="Z93" i="95" s="1"/>
  <c r="AA93" i="95" s="1"/>
  <c r="AB93" i="95" s="1"/>
  <c r="AC93" i="95" s="1"/>
  <c r="AD93" i="95" s="1"/>
  <c r="AE93" i="95" s="1"/>
  <c r="AF93" i="95" s="1"/>
  <c r="D101" i="95"/>
  <c r="E101" i="95" s="1"/>
  <c r="F101" i="95" s="1"/>
  <c r="G101" i="95" s="1"/>
  <c r="H101" i="95" s="1"/>
  <c r="I101" i="95" s="1"/>
  <c r="J101" i="95" s="1"/>
  <c r="K101" i="95" s="1"/>
  <c r="L101" i="95" s="1"/>
  <c r="M101" i="95" s="1"/>
  <c r="N101" i="95" s="1"/>
  <c r="O101" i="95" s="1"/>
  <c r="P101" i="95" s="1"/>
  <c r="Q101" i="95" s="1"/>
  <c r="R101" i="95" s="1"/>
  <c r="S101" i="95" s="1"/>
  <c r="T101" i="95" s="1"/>
  <c r="U101" i="95" s="1"/>
  <c r="V101" i="95" s="1"/>
  <c r="W101" i="95" s="1"/>
  <c r="X101" i="95" s="1"/>
  <c r="Y101" i="95" s="1"/>
  <c r="Z101" i="95" s="1"/>
  <c r="AA101" i="95" s="1"/>
  <c r="AB101" i="95" s="1"/>
  <c r="AC101" i="95" s="1"/>
  <c r="AD101" i="95" s="1"/>
  <c r="AE101" i="95" s="1"/>
  <c r="AF101" i="95" s="1"/>
  <c r="D141" i="95"/>
  <c r="E141" i="95" s="1"/>
  <c r="F141" i="95" s="1"/>
  <c r="G141" i="95" s="1"/>
  <c r="H141" i="95" s="1"/>
  <c r="I141" i="95" s="1"/>
  <c r="J141" i="95" s="1"/>
  <c r="K141" i="95" s="1"/>
  <c r="L141" i="95" s="1"/>
  <c r="M141" i="95" s="1"/>
  <c r="N141" i="95" s="1"/>
  <c r="O141" i="95" s="1"/>
  <c r="P141" i="95" s="1"/>
  <c r="Q141" i="95" s="1"/>
  <c r="R141" i="95" s="1"/>
  <c r="S141" i="95" s="1"/>
  <c r="T141" i="95" s="1"/>
  <c r="U141" i="95" s="1"/>
  <c r="V141" i="95" s="1"/>
  <c r="W141" i="95" s="1"/>
  <c r="X141" i="95" s="1"/>
  <c r="Y141" i="95" s="1"/>
  <c r="Z141" i="95" s="1"/>
  <c r="AA141" i="95" s="1"/>
  <c r="AB141" i="95" s="1"/>
  <c r="AC141" i="95" s="1"/>
  <c r="AD141" i="95" s="1"/>
  <c r="AE141" i="95" s="1"/>
  <c r="AF141" i="95" s="1"/>
  <c r="D149" i="95"/>
  <c r="E149" i="95" s="1"/>
  <c r="F149" i="95" s="1"/>
  <c r="G149" i="95" s="1"/>
  <c r="H149" i="95" s="1"/>
  <c r="I149" i="95" s="1"/>
  <c r="J149" i="95" s="1"/>
  <c r="K149" i="95" s="1"/>
  <c r="L149" i="95" s="1"/>
  <c r="M149" i="95" s="1"/>
  <c r="N149" i="95" s="1"/>
  <c r="O149" i="95" s="1"/>
  <c r="P149" i="95" s="1"/>
  <c r="Q149" i="95" s="1"/>
  <c r="R149" i="95" s="1"/>
  <c r="S149" i="95" s="1"/>
  <c r="T149" i="95" s="1"/>
  <c r="U149" i="95" s="1"/>
  <c r="V149" i="95" s="1"/>
  <c r="W149" i="95" s="1"/>
  <c r="X149" i="95" s="1"/>
  <c r="Y149" i="95" s="1"/>
  <c r="Z149" i="95" s="1"/>
  <c r="AA149" i="95" s="1"/>
  <c r="AB149" i="95" s="1"/>
  <c r="AC149" i="95" s="1"/>
  <c r="AD149" i="95" s="1"/>
  <c r="AE149" i="95" s="1"/>
  <c r="AF149" i="95" s="1"/>
  <c r="D157" i="95"/>
  <c r="E157" i="95" s="1"/>
  <c r="F157" i="95" s="1"/>
  <c r="G157" i="95" s="1"/>
  <c r="H157" i="95" s="1"/>
  <c r="I157" i="95" s="1"/>
  <c r="J157" i="95" s="1"/>
  <c r="K157" i="95" s="1"/>
  <c r="L157" i="95" s="1"/>
  <c r="M157" i="95" s="1"/>
  <c r="N157" i="95" s="1"/>
  <c r="O157" i="95" s="1"/>
  <c r="P157" i="95" s="1"/>
  <c r="Q157" i="95" s="1"/>
  <c r="R157" i="95" s="1"/>
  <c r="S157" i="95" s="1"/>
  <c r="T157" i="95" s="1"/>
  <c r="U157" i="95" s="1"/>
  <c r="V157" i="95" s="1"/>
  <c r="W157" i="95" s="1"/>
  <c r="X157" i="95" s="1"/>
  <c r="Y157" i="95" s="1"/>
  <c r="Z157" i="95" s="1"/>
  <c r="AA157" i="95" s="1"/>
  <c r="AB157" i="95" s="1"/>
  <c r="AC157" i="95" s="1"/>
  <c r="AD157" i="95" s="1"/>
  <c r="AE157" i="95" s="1"/>
  <c r="AF157" i="95" s="1"/>
  <c r="D165" i="95"/>
  <c r="E165" i="95" s="1"/>
  <c r="F165" i="95" s="1"/>
  <c r="G165" i="95" s="1"/>
  <c r="H165" i="95" s="1"/>
  <c r="I165" i="95" s="1"/>
  <c r="J165" i="95" s="1"/>
  <c r="K165" i="95" s="1"/>
  <c r="L165" i="95" s="1"/>
  <c r="M165" i="95" s="1"/>
  <c r="N165" i="95" s="1"/>
  <c r="O165" i="95" s="1"/>
  <c r="P165" i="95" s="1"/>
  <c r="Q165" i="95" s="1"/>
  <c r="R165" i="95" s="1"/>
  <c r="S165" i="95" s="1"/>
  <c r="T165" i="95" s="1"/>
  <c r="U165" i="95" s="1"/>
  <c r="V165" i="95" s="1"/>
  <c r="W165" i="95" s="1"/>
  <c r="X165" i="95" s="1"/>
  <c r="Y165" i="95" s="1"/>
  <c r="Z165" i="95" s="1"/>
  <c r="AA165" i="95" s="1"/>
  <c r="AB165" i="95" s="1"/>
  <c r="AC165" i="95" s="1"/>
  <c r="AD165" i="95" s="1"/>
  <c r="AE165" i="95" s="1"/>
  <c r="AF165" i="95" s="1"/>
  <c r="D189" i="95"/>
  <c r="E189" i="95" s="1"/>
  <c r="F189" i="95" s="1"/>
  <c r="G189" i="95" s="1"/>
  <c r="H189" i="95" s="1"/>
  <c r="I189" i="95" s="1"/>
  <c r="J189" i="95" s="1"/>
  <c r="K189" i="95" s="1"/>
  <c r="L189" i="95" s="1"/>
  <c r="M189" i="95" s="1"/>
  <c r="N189" i="95" s="1"/>
  <c r="O189" i="95" s="1"/>
  <c r="P189" i="95" s="1"/>
  <c r="Q189" i="95" s="1"/>
  <c r="R189" i="95" s="1"/>
  <c r="S189" i="95" s="1"/>
  <c r="T189" i="95" s="1"/>
  <c r="U189" i="95" s="1"/>
  <c r="V189" i="95" s="1"/>
  <c r="W189" i="95" s="1"/>
  <c r="X189" i="95" s="1"/>
  <c r="Y189" i="95" s="1"/>
  <c r="Z189" i="95" s="1"/>
  <c r="AA189" i="95" s="1"/>
  <c r="AB189" i="95" s="1"/>
  <c r="AC189" i="95" s="1"/>
  <c r="AD189" i="95" s="1"/>
  <c r="AE189" i="95" s="1"/>
  <c r="AF189" i="95" s="1"/>
  <c r="D269" i="95"/>
  <c r="E269" i="95" s="1"/>
  <c r="F269" i="95" s="1"/>
  <c r="G269" i="95" s="1"/>
  <c r="H269" i="95" s="1"/>
  <c r="I269" i="95" s="1"/>
  <c r="J269" i="95" s="1"/>
  <c r="K269" i="95" s="1"/>
  <c r="L269" i="95" s="1"/>
  <c r="M269" i="95" s="1"/>
  <c r="N269" i="95" s="1"/>
  <c r="O269" i="95" s="1"/>
  <c r="P269" i="95" s="1"/>
  <c r="Q269" i="95" s="1"/>
  <c r="R269" i="95" s="1"/>
  <c r="S269" i="95" s="1"/>
  <c r="T269" i="95" s="1"/>
  <c r="U269" i="95" s="1"/>
  <c r="V269" i="95" s="1"/>
  <c r="W269" i="95" s="1"/>
  <c r="X269" i="95" s="1"/>
  <c r="Y269" i="95" s="1"/>
  <c r="Z269" i="95" s="1"/>
  <c r="AA269" i="95" s="1"/>
  <c r="AB269" i="95" s="1"/>
  <c r="AC269" i="95" s="1"/>
  <c r="AD269" i="95" s="1"/>
  <c r="AE269" i="95" s="1"/>
  <c r="AF269" i="95" s="1"/>
  <c r="D317" i="95"/>
  <c r="E317" i="95" s="1"/>
  <c r="F317" i="95" s="1"/>
  <c r="G317" i="95" s="1"/>
  <c r="H317" i="95" s="1"/>
  <c r="I317" i="95" s="1"/>
  <c r="J317" i="95" s="1"/>
  <c r="K317" i="95" s="1"/>
  <c r="L317" i="95" s="1"/>
  <c r="M317" i="95" s="1"/>
  <c r="N317" i="95" s="1"/>
  <c r="O317" i="95" s="1"/>
  <c r="P317" i="95" s="1"/>
  <c r="Q317" i="95" s="1"/>
  <c r="R317" i="95" s="1"/>
  <c r="S317" i="95" s="1"/>
  <c r="T317" i="95" s="1"/>
  <c r="U317" i="95" s="1"/>
  <c r="V317" i="95" s="1"/>
  <c r="W317" i="95" s="1"/>
  <c r="X317" i="95" s="1"/>
  <c r="Y317" i="95" s="1"/>
  <c r="Z317" i="95" s="1"/>
  <c r="AA317" i="95" s="1"/>
  <c r="AB317" i="95" s="1"/>
  <c r="AC317" i="95" s="1"/>
  <c r="AD317" i="95" s="1"/>
  <c r="AE317" i="95" s="1"/>
  <c r="AF317" i="95" s="1"/>
  <c r="D325" i="95"/>
  <c r="E325" i="95" s="1"/>
  <c r="F325" i="95" s="1"/>
  <c r="G325" i="95" s="1"/>
  <c r="H325" i="95" s="1"/>
  <c r="I325" i="95" s="1"/>
  <c r="J325" i="95" s="1"/>
  <c r="K325" i="95" s="1"/>
  <c r="L325" i="95" s="1"/>
  <c r="M325" i="95" s="1"/>
  <c r="N325" i="95" s="1"/>
  <c r="O325" i="95" s="1"/>
  <c r="P325" i="95" s="1"/>
  <c r="Q325" i="95" s="1"/>
  <c r="R325" i="95" s="1"/>
  <c r="S325" i="95" s="1"/>
  <c r="T325" i="95" s="1"/>
  <c r="U325" i="95" s="1"/>
  <c r="V325" i="95" s="1"/>
  <c r="W325" i="95" s="1"/>
  <c r="X325" i="95" s="1"/>
  <c r="Y325" i="95" s="1"/>
  <c r="Z325" i="95" s="1"/>
  <c r="AA325" i="95" s="1"/>
  <c r="AB325" i="95" s="1"/>
  <c r="AC325" i="95" s="1"/>
  <c r="AD325" i="95" s="1"/>
  <c r="AE325" i="95" s="1"/>
  <c r="AF325" i="95" s="1"/>
  <c r="D333" i="95"/>
  <c r="E333" i="95" s="1"/>
  <c r="F333" i="95" s="1"/>
  <c r="G333" i="95" s="1"/>
  <c r="H333" i="95" s="1"/>
  <c r="I333" i="95" s="1"/>
  <c r="J333" i="95" s="1"/>
  <c r="K333" i="95" s="1"/>
  <c r="L333" i="95" s="1"/>
  <c r="M333" i="95" s="1"/>
  <c r="N333" i="95" s="1"/>
  <c r="O333" i="95" s="1"/>
  <c r="P333" i="95" s="1"/>
  <c r="Q333" i="95" s="1"/>
  <c r="R333" i="95" s="1"/>
  <c r="S333" i="95" s="1"/>
  <c r="T333" i="95" s="1"/>
  <c r="U333" i="95" s="1"/>
  <c r="V333" i="95" s="1"/>
  <c r="W333" i="95" s="1"/>
  <c r="X333" i="95" s="1"/>
  <c r="Y333" i="95" s="1"/>
  <c r="Z333" i="95" s="1"/>
  <c r="AA333" i="95" s="1"/>
  <c r="AB333" i="95" s="1"/>
  <c r="AC333" i="95" s="1"/>
  <c r="AD333" i="95" s="1"/>
  <c r="AE333" i="95" s="1"/>
  <c r="AF333" i="95" s="1"/>
  <c r="D341" i="95"/>
  <c r="E341" i="95" s="1"/>
  <c r="F341" i="95" s="1"/>
  <c r="G341" i="95" s="1"/>
  <c r="H341" i="95" s="1"/>
  <c r="I341" i="95" s="1"/>
  <c r="J341" i="95" s="1"/>
  <c r="K341" i="95" s="1"/>
  <c r="L341" i="95" s="1"/>
  <c r="M341" i="95" s="1"/>
  <c r="N341" i="95" s="1"/>
  <c r="O341" i="95" s="1"/>
  <c r="P341" i="95" s="1"/>
  <c r="Q341" i="95" s="1"/>
  <c r="R341" i="95" s="1"/>
  <c r="S341" i="95" s="1"/>
  <c r="T341" i="95" s="1"/>
  <c r="U341" i="95" s="1"/>
  <c r="V341" i="95" s="1"/>
  <c r="W341" i="95" s="1"/>
  <c r="X341" i="95" s="1"/>
  <c r="Y341" i="95" s="1"/>
  <c r="Z341" i="95" s="1"/>
  <c r="AA341" i="95" s="1"/>
  <c r="AB341" i="95" s="1"/>
  <c r="AC341" i="95" s="1"/>
  <c r="AD341" i="95" s="1"/>
  <c r="AE341" i="95" s="1"/>
  <c r="AF341" i="95" s="1"/>
  <c r="D365" i="95"/>
  <c r="E365" i="95" s="1"/>
  <c r="F365" i="95" s="1"/>
  <c r="G365" i="95" s="1"/>
  <c r="H365" i="95" s="1"/>
  <c r="I365" i="95" s="1"/>
  <c r="J365" i="95" s="1"/>
  <c r="K365" i="95" s="1"/>
  <c r="L365" i="95" s="1"/>
  <c r="M365" i="95" s="1"/>
  <c r="N365" i="95" s="1"/>
  <c r="O365" i="95" s="1"/>
  <c r="P365" i="95" s="1"/>
  <c r="Q365" i="95" s="1"/>
  <c r="R365" i="95" s="1"/>
  <c r="S365" i="95" s="1"/>
  <c r="T365" i="95" s="1"/>
  <c r="U365" i="95" s="1"/>
  <c r="V365" i="95" s="1"/>
  <c r="W365" i="95" s="1"/>
  <c r="X365" i="95" s="1"/>
  <c r="Y365" i="95" s="1"/>
  <c r="Z365" i="95" s="1"/>
  <c r="AA365" i="95" s="1"/>
  <c r="AB365" i="95" s="1"/>
  <c r="AC365" i="95" s="1"/>
  <c r="AD365" i="95" s="1"/>
  <c r="AE365" i="95" s="1"/>
  <c r="AF365" i="95" s="1"/>
  <c r="D373" i="95"/>
  <c r="E373" i="95" s="1"/>
  <c r="F373" i="95" s="1"/>
  <c r="G373" i="95" s="1"/>
  <c r="H373" i="95" s="1"/>
  <c r="I373" i="95" s="1"/>
  <c r="J373" i="95" s="1"/>
  <c r="K373" i="95" s="1"/>
  <c r="L373" i="95" s="1"/>
  <c r="M373" i="95" s="1"/>
  <c r="N373" i="95" s="1"/>
  <c r="O373" i="95" s="1"/>
  <c r="P373" i="95" s="1"/>
  <c r="Q373" i="95" s="1"/>
  <c r="R373" i="95" s="1"/>
  <c r="S373" i="95" s="1"/>
  <c r="T373" i="95" s="1"/>
  <c r="U373" i="95" s="1"/>
  <c r="V373" i="95" s="1"/>
  <c r="W373" i="95" s="1"/>
  <c r="X373" i="95" s="1"/>
  <c r="Y373" i="95" s="1"/>
  <c r="Z373" i="95" s="1"/>
  <c r="AA373" i="95" s="1"/>
  <c r="AB373" i="95" s="1"/>
  <c r="AC373" i="95" s="1"/>
  <c r="AD373" i="95" s="1"/>
  <c r="AE373" i="95" s="1"/>
  <c r="AF373" i="95" s="1"/>
  <c r="D389" i="95"/>
  <c r="E389" i="95" s="1"/>
  <c r="F389" i="95" s="1"/>
  <c r="G389" i="95" s="1"/>
  <c r="H389" i="95" s="1"/>
  <c r="I389" i="95" s="1"/>
  <c r="J389" i="95" s="1"/>
  <c r="K389" i="95" s="1"/>
  <c r="L389" i="95" s="1"/>
  <c r="M389" i="95" s="1"/>
  <c r="N389" i="95" s="1"/>
  <c r="O389" i="95" s="1"/>
  <c r="P389" i="95" s="1"/>
  <c r="Q389" i="95" s="1"/>
  <c r="R389" i="95" s="1"/>
  <c r="S389" i="95" s="1"/>
  <c r="T389" i="95" s="1"/>
  <c r="U389" i="95" s="1"/>
  <c r="V389" i="95" s="1"/>
  <c r="W389" i="95" s="1"/>
  <c r="X389" i="95" s="1"/>
  <c r="Y389" i="95" s="1"/>
  <c r="Z389" i="95" s="1"/>
  <c r="AA389" i="95" s="1"/>
  <c r="AB389" i="95" s="1"/>
  <c r="AC389" i="95" s="1"/>
  <c r="AD389" i="95" s="1"/>
  <c r="AE389" i="95" s="1"/>
  <c r="AF389" i="95" s="1"/>
  <c r="D397" i="95"/>
  <c r="E397" i="95" s="1"/>
  <c r="F397" i="95" s="1"/>
  <c r="G397" i="95" s="1"/>
  <c r="H397" i="95" s="1"/>
  <c r="I397" i="95" s="1"/>
  <c r="J397" i="95" s="1"/>
  <c r="K397" i="95" s="1"/>
  <c r="L397" i="95" s="1"/>
  <c r="M397" i="95" s="1"/>
  <c r="N397" i="95" s="1"/>
  <c r="O397" i="95" s="1"/>
  <c r="P397" i="95" s="1"/>
  <c r="Q397" i="95" s="1"/>
  <c r="R397" i="95" s="1"/>
  <c r="S397" i="95" s="1"/>
  <c r="T397" i="95" s="1"/>
  <c r="U397" i="95" s="1"/>
  <c r="V397" i="95" s="1"/>
  <c r="W397" i="95" s="1"/>
  <c r="X397" i="95" s="1"/>
  <c r="Y397" i="95" s="1"/>
  <c r="Z397" i="95" s="1"/>
  <c r="AA397" i="95" s="1"/>
  <c r="AB397" i="95" s="1"/>
  <c r="AC397" i="95" s="1"/>
  <c r="AD397" i="95" s="1"/>
  <c r="AE397" i="95" s="1"/>
  <c r="AF397" i="95" s="1"/>
  <c r="D469" i="95"/>
  <c r="E469" i="95" s="1"/>
  <c r="F469" i="95" s="1"/>
  <c r="G469" i="95" s="1"/>
  <c r="H469" i="95" s="1"/>
  <c r="I469" i="95" s="1"/>
  <c r="J469" i="95" s="1"/>
  <c r="K469" i="95" s="1"/>
  <c r="L469" i="95" s="1"/>
  <c r="M469" i="95" s="1"/>
  <c r="N469" i="95" s="1"/>
  <c r="O469" i="95" s="1"/>
  <c r="P469" i="95" s="1"/>
  <c r="Q469" i="95" s="1"/>
  <c r="R469" i="95" s="1"/>
  <c r="S469" i="95" s="1"/>
  <c r="T469" i="95" s="1"/>
  <c r="U469" i="95" s="1"/>
  <c r="V469" i="95" s="1"/>
  <c r="W469" i="95" s="1"/>
  <c r="X469" i="95" s="1"/>
  <c r="Y469" i="95" s="1"/>
  <c r="Z469" i="95" s="1"/>
  <c r="AA469" i="95" s="1"/>
  <c r="AB469" i="95" s="1"/>
  <c r="AC469" i="95" s="1"/>
  <c r="AD469" i="95" s="1"/>
  <c r="AE469" i="95" s="1"/>
  <c r="AF469" i="95" s="1"/>
  <c r="D501" i="95"/>
  <c r="E501" i="95" s="1"/>
  <c r="F501" i="95" s="1"/>
  <c r="G501" i="95" s="1"/>
  <c r="H501" i="95" s="1"/>
  <c r="I501" i="95" s="1"/>
  <c r="J501" i="95" s="1"/>
  <c r="K501" i="95" s="1"/>
  <c r="L501" i="95" s="1"/>
  <c r="M501" i="95" s="1"/>
  <c r="N501" i="95" s="1"/>
  <c r="O501" i="95" s="1"/>
  <c r="P501" i="95" s="1"/>
  <c r="Q501" i="95" s="1"/>
  <c r="R501" i="95" s="1"/>
  <c r="S501" i="95" s="1"/>
  <c r="T501" i="95" s="1"/>
  <c r="U501" i="95" s="1"/>
  <c r="V501" i="95" s="1"/>
  <c r="W501" i="95" s="1"/>
  <c r="X501" i="95" s="1"/>
  <c r="Y501" i="95" s="1"/>
  <c r="Z501" i="95" s="1"/>
  <c r="AA501" i="95" s="1"/>
  <c r="AB501" i="95" s="1"/>
  <c r="AC501" i="95" s="1"/>
  <c r="AD501" i="95" s="1"/>
  <c r="AE501" i="95" s="1"/>
  <c r="AF501" i="95" s="1"/>
  <c r="D509" i="95"/>
  <c r="E509" i="95" s="1"/>
  <c r="F509" i="95" s="1"/>
  <c r="G509" i="95" s="1"/>
  <c r="H509" i="95" s="1"/>
  <c r="I509" i="95" s="1"/>
  <c r="J509" i="95" s="1"/>
  <c r="K509" i="95" s="1"/>
  <c r="L509" i="95" s="1"/>
  <c r="M509" i="95" s="1"/>
  <c r="N509" i="95" s="1"/>
  <c r="O509" i="95" s="1"/>
  <c r="P509" i="95" s="1"/>
  <c r="Q509" i="95" s="1"/>
  <c r="R509" i="95" s="1"/>
  <c r="S509" i="95" s="1"/>
  <c r="T509" i="95" s="1"/>
  <c r="U509" i="95" s="1"/>
  <c r="V509" i="95" s="1"/>
  <c r="W509" i="95" s="1"/>
  <c r="X509" i="95" s="1"/>
  <c r="Y509" i="95" s="1"/>
  <c r="Z509" i="95" s="1"/>
  <c r="AA509" i="95" s="1"/>
  <c r="AB509" i="95" s="1"/>
  <c r="AC509" i="95" s="1"/>
  <c r="AD509" i="95" s="1"/>
  <c r="AE509" i="95" s="1"/>
  <c r="AF509" i="95" s="1"/>
  <c r="D541" i="95"/>
  <c r="E541" i="95" s="1"/>
  <c r="F541" i="95" s="1"/>
  <c r="G541" i="95" s="1"/>
  <c r="H541" i="95" s="1"/>
  <c r="I541" i="95" s="1"/>
  <c r="J541" i="95" s="1"/>
  <c r="K541" i="95" s="1"/>
  <c r="L541" i="95" s="1"/>
  <c r="M541" i="95" s="1"/>
  <c r="N541" i="95" s="1"/>
  <c r="O541" i="95" s="1"/>
  <c r="P541" i="95" s="1"/>
  <c r="Q541" i="95" s="1"/>
  <c r="R541" i="95" s="1"/>
  <c r="S541" i="95" s="1"/>
  <c r="T541" i="95" s="1"/>
  <c r="U541" i="95" s="1"/>
  <c r="V541" i="95" s="1"/>
  <c r="W541" i="95" s="1"/>
  <c r="X541" i="95" s="1"/>
  <c r="Y541" i="95" s="1"/>
  <c r="Z541" i="95" s="1"/>
  <c r="AA541" i="95" s="1"/>
  <c r="AB541" i="95" s="1"/>
  <c r="AC541" i="95" s="1"/>
  <c r="AD541" i="95" s="1"/>
  <c r="AE541" i="95" s="1"/>
  <c r="AF541" i="95" s="1"/>
  <c r="D557" i="95"/>
  <c r="E557" i="95" s="1"/>
  <c r="F557" i="95" s="1"/>
  <c r="G557" i="95" s="1"/>
  <c r="H557" i="95" s="1"/>
  <c r="I557" i="95" s="1"/>
  <c r="J557" i="95" s="1"/>
  <c r="K557" i="95" s="1"/>
  <c r="L557" i="95" s="1"/>
  <c r="M557" i="95" s="1"/>
  <c r="N557" i="95" s="1"/>
  <c r="O557" i="95" s="1"/>
  <c r="P557" i="95" s="1"/>
  <c r="Q557" i="95" s="1"/>
  <c r="R557" i="95" s="1"/>
  <c r="S557" i="95" s="1"/>
  <c r="T557" i="95" s="1"/>
  <c r="U557" i="95" s="1"/>
  <c r="V557" i="95" s="1"/>
  <c r="W557" i="95" s="1"/>
  <c r="X557" i="95" s="1"/>
  <c r="Y557" i="95" s="1"/>
  <c r="Z557" i="95" s="1"/>
  <c r="AA557" i="95" s="1"/>
  <c r="AB557" i="95" s="1"/>
  <c r="AC557" i="95" s="1"/>
  <c r="AD557" i="95" s="1"/>
  <c r="AE557" i="95" s="1"/>
  <c r="AF557" i="95" s="1"/>
  <c r="D589" i="95"/>
  <c r="E589" i="95" s="1"/>
  <c r="F589" i="95" s="1"/>
  <c r="G589" i="95" s="1"/>
  <c r="H589" i="95" s="1"/>
  <c r="I589" i="95" s="1"/>
  <c r="J589" i="95" s="1"/>
  <c r="K589" i="95" s="1"/>
  <c r="L589" i="95" s="1"/>
  <c r="M589" i="95" s="1"/>
  <c r="N589" i="95" s="1"/>
  <c r="O589" i="95" s="1"/>
  <c r="P589" i="95" s="1"/>
  <c r="Q589" i="95" s="1"/>
  <c r="R589" i="95" s="1"/>
  <c r="S589" i="95" s="1"/>
  <c r="T589" i="95" s="1"/>
  <c r="U589" i="95" s="1"/>
  <c r="V589" i="95" s="1"/>
  <c r="W589" i="95" s="1"/>
  <c r="X589" i="95" s="1"/>
  <c r="Y589" i="95" s="1"/>
  <c r="Z589" i="95" s="1"/>
  <c r="AA589" i="95" s="1"/>
  <c r="AB589" i="95" s="1"/>
  <c r="AC589" i="95" s="1"/>
  <c r="AD589" i="95" s="1"/>
  <c r="AE589" i="95" s="1"/>
  <c r="AF589" i="95" s="1"/>
  <c r="D653" i="95"/>
  <c r="E653" i="95" s="1"/>
  <c r="F653" i="95" s="1"/>
  <c r="G653" i="95" s="1"/>
  <c r="H653" i="95" s="1"/>
  <c r="I653" i="95" s="1"/>
  <c r="J653" i="95" s="1"/>
  <c r="K653" i="95" s="1"/>
  <c r="L653" i="95" s="1"/>
  <c r="M653" i="95" s="1"/>
  <c r="N653" i="95" s="1"/>
  <c r="O653" i="95" s="1"/>
  <c r="P653" i="95" s="1"/>
  <c r="Q653" i="95" s="1"/>
  <c r="R653" i="95" s="1"/>
  <c r="S653" i="95" s="1"/>
  <c r="T653" i="95" s="1"/>
  <c r="U653" i="95" s="1"/>
  <c r="V653" i="95" s="1"/>
  <c r="W653" i="95" s="1"/>
  <c r="X653" i="95" s="1"/>
  <c r="Y653" i="95" s="1"/>
  <c r="Z653" i="95" s="1"/>
  <c r="AA653" i="95" s="1"/>
  <c r="AB653" i="95" s="1"/>
  <c r="AC653" i="95" s="1"/>
  <c r="AD653" i="95" s="1"/>
  <c r="AE653" i="95" s="1"/>
  <c r="AF653" i="95" s="1"/>
  <c r="D669" i="95"/>
  <c r="E669" i="95" s="1"/>
  <c r="F669" i="95" s="1"/>
  <c r="G669" i="95" s="1"/>
  <c r="H669" i="95" s="1"/>
  <c r="I669" i="95" s="1"/>
  <c r="J669" i="95" s="1"/>
  <c r="K669" i="95" s="1"/>
  <c r="L669" i="95" s="1"/>
  <c r="M669" i="95" s="1"/>
  <c r="N669" i="95" s="1"/>
  <c r="O669" i="95" s="1"/>
  <c r="P669" i="95" s="1"/>
  <c r="Q669" i="95" s="1"/>
  <c r="R669" i="95" s="1"/>
  <c r="S669" i="95" s="1"/>
  <c r="T669" i="95" s="1"/>
  <c r="U669" i="95" s="1"/>
  <c r="V669" i="95" s="1"/>
  <c r="W669" i="95" s="1"/>
  <c r="X669" i="95" s="1"/>
  <c r="Y669" i="95" s="1"/>
  <c r="Z669" i="95" s="1"/>
  <c r="AA669" i="95" s="1"/>
  <c r="AB669" i="95" s="1"/>
  <c r="AC669" i="95" s="1"/>
  <c r="AD669" i="95" s="1"/>
  <c r="AE669" i="95" s="1"/>
  <c r="AF669" i="95" s="1"/>
  <c r="D677" i="95"/>
  <c r="E677" i="95" s="1"/>
  <c r="F677" i="95" s="1"/>
  <c r="G677" i="95" s="1"/>
  <c r="H677" i="95" s="1"/>
  <c r="I677" i="95" s="1"/>
  <c r="J677" i="95" s="1"/>
  <c r="K677" i="95" s="1"/>
  <c r="L677" i="95" s="1"/>
  <c r="M677" i="95" s="1"/>
  <c r="N677" i="95" s="1"/>
  <c r="O677" i="95" s="1"/>
  <c r="P677" i="95" s="1"/>
  <c r="Q677" i="95" s="1"/>
  <c r="R677" i="95" s="1"/>
  <c r="S677" i="95" s="1"/>
  <c r="T677" i="95" s="1"/>
  <c r="U677" i="95" s="1"/>
  <c r="V677" i="95" s="1"/>
  <c r="W677" i="95" s="1"/>
  <c r="X677" i="95" s="1"/>
  <c r="Y677" i="95" s="1"/>
  <c r="Z677" i="95" s="1"/>
  <c r="AA677" i="95" s="1"/>
  <c r="AB677" i="95" s="1"/>
  <c r="AC677" i="95" s="1"/>
  <c r="AD677" i="95" s="1"/>
  <c r="AE677" i="95" s="1"/>
  <c r="AF677" i="95" s="1"/>
  <c r="D46" i="95"/>
  <c r="E46" i="95" s="1"/>
  <c r="F46" i="95" s="1"/>
  <c r="G46" i="95" s="1"/>
  <c r="H46" i="95" s="1"/>
  <c r="I46" i="95" s="1"/>
  <c r="J46" i="95" s="1"/>
  <c r="K46" i="95" s="1"/>
  <c r="L46" i="95" s="1"/>
  <c r="M46" i="95" s="1"/>
  <c r="N46" i="95" s="1"/>
  <c r="O46" i="95" s="1"/>
  <c r="P46" i="95" s="1"/>
  <c r="Q46" i="95" s="1"/>
  <c r="R46" i="95" s="1"/>
  <c r="S46" i="95" s="1"/>
  <c r="T46" i="95" s="1"/>
  <c r="U46" i="95" s="1"/>
  <c r="V46" i="95" s="1"/>
  <c r="W46" i="95" s="1"/>
  <c r="X46" i="95" s="1"/>
  <c r="Y46" i="95" s="1"/>
  <c r="Z46" i="95" s="1"/>
  <c r="AA46" i="95" s="1"/>
  <c r="AB46" i="95" s="1"/>
  <c r="AC46" i="95" s="1"/>
  <c r="AD46" i="95" s="1"/>
  <c r="AE46" i="95" s="1"/>
  <c r="AF46" i="95" s="1"/>
  <c r="D78" i="95"/>
  <c r="E78" i="95" s="1"/>
  <c r="F78" i="95" s="1"/>
  <c r="G78" i="95" s="1"/>
  <c r="H78" i="95" s="1"/>
  <c r="I78" i="95" s="1"/>
  <c r="J78" i="95" s="1"/>
  <c r="K78" i="95" s="1"/>
  <c r="L78" i="95" s="1"/>
  <c r="M78" i="95" s="1"/>
  <c r="N78" i="95" s="1"/>
  <c r="O78" i="95" s="1"/>
  <c r="P78" i="95" s="1"/>
  <c r="Q78" i="95" s="1"/>
  <c r="R78" i="95" s="1"/>
  <c r="S78" i="95" s="1"/>
  <c r="T78" i="95" s="1"/>
  <c r="U78" i="95" s="1"/>
  <c r="V78" i="95" s="1"/>
  <c r="W78" i="95" s="1"/>
  <c r="X78" i="95" s="1"/>
  <c r="Y78" i="95" s="1"/>
  <c r="Z78" i="95" s="1"/>
  <c r="AA78" i="95" s="1"/>
  <c r="AB78" i="95" s="1"/>
  <c r="AC78" i="95" s="1"/>
  <c r="AD78" i="95" s="1"/>
  <c r="AE78" i="95" s="1"/>
  <c r="AF78" i="95" s="1"/>
  <c r="D86" i="95"/>
  <c r="E86" i="95" s="1"/>
  <c r="F86" i="95" s="1"/>
  <c r="G86" i="95" s="1"/>
  <c r="H86" i="95" s="1"/>
  <c r="I86" i="95" s="1"/>
  <c r="J86" i="95" s="1"/>
  <c r="K86" i="95" s="1"/>
  <c r="L86" i="95" s="1"/>
  <c r="M86" i="95" s="1"/>
  <c r="N86" i="95" s="1"/>
  <c r="O86" i="95" s="1"/>
  <c r="P86" i="95" s="1"/>
  <c r="Q86" i="95" s="1"/>
  <c r="R86" i="95" s="1"/>
  <c r="S86" i="95" s="1"/>
  <c r="T86" i="95" s="1"/>
  <c r="U86" i="95" s="1"/>
  <c r="V86" i="95" s="1"/>
  <c r="W86" i="95" s="1"/>
  <c r="X86" i="95" s="1"/>
  <c r="Y86" i="95" s="1"/>
  <c r="Z86" i="95" s="1"/>
  <c r="AA86" i="95" s="1"/>
  <c r="AB86" i="95" s="1"/>
  <c r="AC86" i="95" s="1"/>
  <c r="AD86" i="95" s="1"/>
  <c r="AE86" i="95" s="1"/>
  <c r="AF86" i="95" s="1"/>
  <c r="D102" i="95"/>
  <c r="E102" i="95" s="1"/>
  <c r="F102" i="95" s="1"/>
  <c r="G102" i="95" s="1"/>
  <c r="H102" i="95" s="1"/>
  <c r="I102" i="95" s="1"/>
  <c r="J102" i="95" s="1"/>
  <c r="K102" i="95" s="1"/>
  <c r="L102" i="95" s="1"/>
  <c r="M102" i="95" s="1"/>
  <c r="N102" i="95" s="1"/>
  <c r="O102" i="95" s="1"/>
  <c r="P102" i="95" s="1"/>
  <c r="Q102" i="95" s="1"/>
  <c r="R102" i="95" s="1"/>
  <c r="S102" i="95" s="1"/>
  <c r="T102" i="95" s="1"/>
  <c r="U102" i="95" s="1"/>
  <c r="V102" i="95" s="1"/>
  <c r="W102" i="95" s="1"/>
  <c r="X102" i="95" s="1"/>
  <c r="Y102" i="95" s="1"/>
  <c r="Z102" i="95" s="1"/>
  <c r="AA102" i="95" s="1"/>
  <c r="AB102" i="95" s="1"/>
  <c r="AC102" i="95" s="1"/>
  <c r="AD102" i="95" s="1"/>
  <c r="AE102" i="95" s="1"/>
  <c r="AF102" i="95" s="1"/>
  <c r="D118" i="95"/>
  <c r="E118" i="95" s="1"/>
  <c r="F118" i="95" s="1"/>
  <c r="G118" i="95" s="1"/>
  <c r="H118" i="95" s="1"/>
  <c r="I118" i="95" s="1"/>
  <c r="J118" i="95" s="1"/>
  <c r="K118" i="95" s="1"/>
  <c r="L118" i="95" s="1"/>
  <c r="M118" i="95" s="1"/>
  <c r="N118" i="95" s="1"/>
  <c r="O118" i="95" s="1"/>
  <c r="P118" i="95" s="1"/>
  <c r="Q118" i="95" s="1"/>
  <c r="R118" i="95" s="1"/>
  <c r="S118" i="95" s="1"/>
  <c r="T118" i="95" s="1"/>
  <c r="U118" i="95" s="1"/>
  <c r="V118" i="95" s="1"/>
  <c r="W118" i="95" s="1"/>
  <c r="X118" i="95" s="1"/>
  <c r="Y118" i="95" s="1"/>
  <c r="Z118" i="95" s="1"/>
  <c r="AA118" i="95" s="1"/>
  <c r="AB118" i="95" s="1"/>
  <c r="AC118" i="95" s="1"/>
  <c r="AD118" i="95" s="1"/>
  <c r="AE118" i="95" s="1"/>
  <c r="AF118" i="95" s="1"/>
  <c r="D134" i="95"/>
  <c r="E134" i="95" s="1"/>
  <c r="F134" i="95" s="1"/>
  <c r="G134" i="95" s="1"/>
  <c r="H134" i="95" s="1"/>
  <c r="I134" i="95" s="1"/>
  <c r="J134" i="95" s="1"/>
  <c r="K134" i="95" s="1"/>
  <c r="L134" i="95" s="1"/>
  <c r="M134" i="95" s="1"/>
  <c r="N134" i="95" s="1"/>
  <c r="O134" i="95" s="1"/>
  <c r="P134" i="95" s="1"/>
  <c r="Q134" i="95" s="1"/>
  <c r="R134" i="95" s="1"/>
  <c r="S134" i="95" s="1"/>
  <c r="T134" i="95" s="1"/>
  <c r="U134" i="95" s="1"/>
  <c r="V134" i="95" s="1"/>
  <c r="W134" i="95" s="1"/>
  <c r="X134" i="95" s="1"/>
  <c r="Y134" i="95" s="1"/>
  <c r="Z134" i="95" s="1"/>
  <c r="AA134" i="95" s="1"/>
  <c r="AB134" i="95" s="1"/>
  <c r="AC134" i="95" s="1"/>
  <c r="AD134" i="95" s="1"/>
  <c r="AE134" i="95" s="1"/>
  <c r="AF134" i="95" s="1"/>
  <c r="D150" i="95"/>
  <c r="E150" i="95" s="1"/>
  <c r="F150" i="95" s="1"/>
  <c r="G150" i="95" s="1"/>
  <c r="H150" i="95" s="1"/>
  <c r="I150" i="95" s="1"/>
  <c r="J150" i="95" s="1"/>
  <c r="K150" i="95" s="1"/>
  <c r="L150" i="95" s="1"/>
  <c r="M150" i="95" s="1"/>
  <c r="N150" i="95" s="1"/>
  <c r="O150" i="95" s="1"/>
  <c r="P150" i="95" s="1"/>
  <c r="Q150" i="95" s="1"/>
  <c r="R150" i="95" s="1"/>
  <c r="S150" i="95" s="1"/>
  <c r="T150" i="95" s="1"/>
  <c r="U150" i="95" s="1"/>
  <c r="V150" i="95" s="1"/>
  <c r="W150" i="95" s="1"/>
  <c r="X150" i="95" s="1"/>
  <c r="Y150" i="95" s="1"/>
  <c r="Z150" i="95" s="1"/>
  <c r="AA150" i="95" s="1"/>
  <c r="AB150" i="95" s="1"/>
  <c r="AC150" i="95" s="1"/>
  <c r="AD150" i="95" s="1"/>
  <c r="AE150" i="95" s="1"/>
  <c r="AF150" i="95" s="1"/>
  <c r="D158" i="95"/>
  <c r="E158" i="95" s="1"/>
  <c r="F158" i="95" s="1"/>
  <c r="G158" i="95" s="1"/>
  <c r="H158" i="95" s="1"/>
  <c r="I158" i="95" s="1"/>
  <c r="J158" i="95" s="1"/>
  <c r="K158" i="95" s="1"/>
  <c r="L158" i="95" s="1"/>
  <c r="M158" i="95" s="1"/>
  <c r="N158" i="95" s="1"/>
  <c r="O158" i="95" s="1"/>
  <c r="P158" i="95" s="1"/>
  <c r="Q158" i="95" s="1"/>
  <c r="R158" i="95" s="1"/>
  <c r="S158" i="95" s="1"/>
  <c r="T158" i="95" s="1"/>
  <c r="U158" i="95" s="1"/>
  <c r="V158" i="95" s="1"/>
  <c r="W158" i="95" s="1"/>
  <c r="X158" i="95" s="1"/>
  <c r="Y158" i="95" s="1"/>
  <c r="Z158" i="95" s="1"/>
  <c r="AA158" i="95" s="1"/>
  <c r="AB158" i="95" s="1"/>
  <c r="AC158" i="95" s="1"/>
  <c r="AD158" i="95" s="1"/>
  <c r="AE158" i="95" s="1"/>
  <c r="AF158" i="95" s="1"/>
  <c r="D182" i="95"/>
  <c r="E182" i="95" s="1"/>
  <c r="F182" i="95" s="1"/>
  <c r="G182" i="95" s="1"/>
  <c r="H182" i="95" s="1"/>
  <c r="I182" i="95" s="1"/>
  <c r="J182" i="95" s="1"/>
  <c r="K182" i="95" s="1"/>
  <c r="L182" i="95" s="1"/>
  <c r="M182" i="95" s="1"/>
  <c r="N182" i="95" s="1"/>
  <c r="O182" i="95" s="1"/>
  <c r="P182" i="95" s="1"/>
  <c r="Q182" i="95" s="1"/>
  <c r="R182" i="95" s="1"/>
  <c r="S182" i="95" s="1"/>
  <c r="T182" i="95" s="1"/>
  <c r="U182" i="95" s="1"/>
  <c r="V182" i="95" s="1"/>
  <c r="W182" i="95" s="1"/>
  <c r="X182" i="95" s="1"/>
  <c r="Y182" i="95" s="1"/>
  <c r="Z182" i="95" s="1"/>
  <c r="AA182" i="95" s="1"/>
  <c r="AB182" i="95" s="1"/>
  <c r="AC182" i="95" s="1"/>
  <c r="AD182" i="95" s="1"/>
  <c r="AE182" i="95" s="1"/>
  <c r="AF182" i="95" s="1"/>
  <c r="D190" i="95"/>
  <c r="E190" i="95" s="1"/>
  <c r="F190" i="95" s="1"/>
  <c r="G190" i="95" s="1"/>
  <c r="H190" i="95" s="1"/>
  <c r="I190" i="95" s="1"/>
  <c r="J190" i="95" s="1"/>
  <c r="K190" i="95" s="1"/>
  <c r="L190" i="95" s="1"/>
  <c r="M190" i="95" s="1"/>
  <c r="N190" i="95" s="1"/>
  <c r="O190" i="95" s="1"/>
  <c r="P190" i="95" s="1"/>
  <c r="Q190" i="95" s="1"/>
  <c r="R190" i="95" s="1"/>
  <c r="S190" i="95" s="1"/>
  <c r="T190" i="95" s="1"/>
  <c r="U190" i="95" s="1"/>
  <c r="V190" i="95" s="1"/>
  <c r="W190" i="95" s="1"/>
  <c r="X190" i="95" s="1"/>
  <c r="Y190" i="95" s="1"/>
  <c r="Z190" i="95" s="1"/>
  <c r="AA190" i="95" s="1"/>
  <c r="AB190" i="95" s="1"/>
  <c r="AC190" i="95" s="1"/>
  <c r="AD190" i="95" s="1"/>
  <c r="AE190" i="95" s="1"/>
  <c r="AF190" i="95" s="1"/>
  <c r="D206" i="95"/>
  <c r="E206" i="95" s="1"/>
  <c r="F206" i="95" s="1"/>
  <c r="G206" i="95" s="1"/>
  <c r="H206" i="95" s="1"/>
  <c r="I206" i="95" s="1"/>
  <c r="J206" i="95" s="1"/>
  <c r="K206" i="95" s="1"/>
  <c r="L206" i="95" s="1"/>
  <c r="M206" i="95" s="1"/>
  <c r="N206" i="95" s="1"/>
  <c r="O206" i="95" s="1"/>
  <c r="P206" i="95" s="1"/>
  <c r="Q206" i="95" s="1"/>
  <c r="R206" i="95" s="1"/>
  <c r="S206" i="95" s="1"/>
  <c r="T206" i="95" s="1"/>
  <c r="U206" i="95" s="1"/>
  <c r="V206" i="95" s="1"/>
  <c r="W206" i="95" s="1"/>
  <c r="X206" i="95" s="1"/>
  <c r="Y206" i="95" s="1"/>
  <c r="Z206" i="95" s="1"/>
  <c r="AA206" i="95" s="1"/>
  <c r="AB206" i="95" s="1"/>
  <c r="AC206" i="95" s="1"/>
  <c r="AD206" i="95" s="1"/>
  <c r="AE206" i="95" s="1"/>
  <c r="AF206" i="95" s="1"/>
  <c r="D270" i="95"/>
  <c r="E270" i="95" s="1"/>
  <c r="F270" i="95" s="1"/>
  <c r="G270" i="95" s="1"/>
  <c r="H270" i="95" s="1"/>
  <c r="I270" i="95" s="1"/>
  <c r="J270" i="95" s="1"/>
  <c r="K270" i="95" s="1"/>
  <c r="L270" i="95" s="1"/>
  <c r="M270" i="95" s="1"/>
  <c r="N270" i="95" s="1"/>
  <c r="O270" i="95" s="1"/>
  <c r="P270" i="95" s="1"/>
  <c r="Q270" i="95" s="1"/>
  <c r="R270" i="95" s="1"/>
  <c r="S270" i="95" s="1"/>
  <c r="T270" i="95" s="1"/>
  <c r="U270" i="95" s="1"/>
  <c r="V270" i="95" s="1"/>
  <c r="W270" i="95" s="1"/>
  <c r="X270" i="95" s="1"/>
  <c r="Y270" i="95" s="1"/>
  <c r="Z270" i="95" s="1"/>
  <c r="AA270" i="95" s="1"/>
  <c r="AB270" i="95" s="1"/>
  <c r="AC270" i="95" s="1"/>
  <c r="AD270" i="95" s="1"/>
  <c r="AE270" i="95" s="1"/>
  <c r="AF270" i="95" s="1"/>
  <c r="D286" i="95"/>
  <c r="E286" i="95" s="1"/>
  <c r="F286" i="95" s="1"/>
  <c r="G286" i="95" s="1"/>
  <c r="H286" i="95" s="1"/>
  <c r="I286" i="95" s="1"/>
  <c r="J286" i="95" s="1"/>
  <c r="K286" i="95" s="1"/>
  <c r="L286" i="95" s="1"/>
  <c r="M286" i="95" s="1"/>
  <c r="N286" i="95" s="1"/>
  <c r="O286" i="95" s="1"/>
  <c r="P286" i="95" s="1"/>
  <c r="Q286" i="95" s="1"/>
  <c r="R286" i="95" s="1"/>
  <c r="S286" i="95" s="1"/>
  <c r="T286" i="95" s="1"/>
  <c r="U286" i="95" s="1"/>
  <c r="V286" i="95" s="1"/>
  <c r="W286" i="95" s="1"/>
  <c r="X286" i="95" s="1"/>
  <c r="Y286" i="95" s="1"/>
  <c r="Z286" i="95" s="1"/>
  <c r="AA286" i="95" s="1"/>
  <c r="AB286" i="95" s="1"/>
  <c r="AC286" i="95" s="1"/>
  <c r="AD286" i="95" s="1"/>
  <c r="AE286" i="95" s="1"/>
  <c r="AF286" i="95" s="1"/>
  <c r="D326" i="95"/>
  <c r="E326" i="95" s="1"/>
  <c r="F326" i="95" s="1"/>
  <c r="G326" i="95" s="1"/>
  <c r="H326" i="95" s="1"/>
  <c r="I326" i="95" s="1"/>
  <c r="J326" i="95" s="1"/>
  <c r="K326" i="95" s="1"/>
  <c r="L326" i="95" s="1"/>
  <c r="M326" i="95" s="1"/>
  <c r="N326" i="95" s="1"/>
  <c r="O326" i="95" s="1"/>
  <c r="P326" i="95" s="1"/>
  <c r="Q326" i="95" s="1"/>
  <c r="R326" i="95" s="1"/>
  <c r="S326" i="95" s="1"/>
  <c r="T326" i="95" s="1"/>
  <c r="U326" i="95" s="1"/>
  <c r="V326" i="95" s="1"/>
  <c r="W326" i="95" s="1"/>
  <c r="X326" i="95" s="1"/>
  <c r="Y326" i="95" s="1"/>
  <c r="Z326" i="95" s="1"/>
  <c r="AA326" i="95" s="1"/>
  <c r="AB326" i="95" s="1"/>
  <c r="AC326" i="95" s="1"/>
  <c r="AD326" i="95" s="1"/>
  <c r="AE326" i="95" s="1"/>
  <c r="AF326" i="95" s="1"/>
  <c r="D334" i="95"/>
  <c r="E334" i="95" s="1"/>
  <c r="F334" i="95" s="1"/>
  <c r="G334" i="95" s="1"/>
  <c r="H334" i="95" s="1"/>
  <c r="I334" i="95" s="1"/>
  <c r="J334" i="95" s="1"/>
  <c r="K334" i="95" s="1"/>
  <c r="L334" i="95" s="1"/>
  <c r="M334" i="95" s="1"/>
  <c r="N334" i="95" s="1"/>
  <c r="O334" i="95" s="1"/>
  <c r="P334" i="95" s="1"/>
  <c r="Q334" i="95" s="1"/>
  <c r="R334" i="95" s="1"/>
  <c r="S334" i="95" s="1"/>
  <c r="T334" i="95" s="1"/>
  <c r="U334" i="95" s="1"/>
  <c r="V334" i="95" s="1"/>
  <c r="W334" i="95" s="1"/>
  <c r="X334" i="95" s="1"/>
  <c r="Y334" i="95" s="1"/>
  <c r="Z334" i="95" s="1"/>
  <c r="AA334" i="95" s="1"/>
  <c r="AB334" i="95" s="1"/>
  <c r="AC334" i="95" s="1"/>
  <c r="AD334" i="95" s="1"/>
  <c r="AE334" i="95" s="1"/>
  <c r="AF334" i="95" s="1"/>
  <c r="D366" i="95"/>
  <c r="E366" i="95" s="1"/>
  <c r="F366" i="95" s="1"/>
  <c r="G366" i="95" s="1"/>
  <c r="H366" i="95" s="1"/>
  <c r="I366" i="95" s="1"/>
  <c r="J366" i="95" s="1"/>
  <c r="K366" i="95" s="1"/>
  <c r="L366" i="95" s="1"/>
  <c r="M366" i="95" s="1"/>
  <c r="N366" i="95" s="1"/>
  <c r="O366" i="95" s="1"/>
  <c r="P366" i="95" s="1"/>
  <c r="Q366" i="95" s="1"/>
  <c r="R366" i="95" s="1"/>
  <c r="S366" i="95" s="1"/>
  <c r="T366" i="95" s="1"/>
  <c r="U366" i="95" s="1"/>
  <c r="V366" i="95" s="1"/>
  <c r="W366" i="95" s="1"/>
  <c r="X366" i="95" s="1"/>
  <c r="Y366" i="95" s="1"/>
  <c r="Z366" i="95" s="1"/>
  <c r="AA366" i="95" s="1"/>
  <c r="AB366" i="95" s="1"/>
  <c r="AC366" i="95" s="1"/>
  <c r="AD366" i="95" s="1"/>
  <c r="AE366" i="95" s="1"/>
  <c r="AF366" i="95" s="1"/>
  <c r="D390" i="95"/>
  <c r="E390" i="95" s="1"/>
  <c r="F390" i="95" s="1"/>
  <c r="G390" i="95" s="1"/>
  <c r="H390" i="95" s="1"/>
  <c r="I390" i="95" s="1"/>
  <c r="J390" i="95" s="1"/>
  <c r="K390" i="95" s="1"/>
  <c r="L390" i="95" s="1"/>
  <c r="M390" i="95" s="1"/>
  <c r="N390" i="95" s="1"/>
  <c r="O390" i="95" s="1"/>
  <c r="P390" i="95" s="1"/>
  <c r="Q390" i="95" s="1"/>
  <c r="R390" i="95" s="1"/>
  <c r="S390" i="95" s="1"/>
  <c r="T390" i="95" s="1"/>
  <c r="U390" i="95" s="1"/>
  <c r="V390" i="95" s="1"/>
  <c r="W390" i="95" s="1"/>
  <c r="X390" i="95" s="1"/>
  <c r="Y390" i="95" s="1"/>
  <c r="Z390" i="95" s="1"/>
  <c r="AA390" i="95" s="1"/>
  <c r="AB390" i="95" s="1"/>
  <c r="AC390" i="95" s="1"/>
  <c r="AD390" i="95" s="1"/>
  <c r="AE390" i="95" s="1"/>
  <c r="AF390" i="95" s="1"/>
  <c r="D582" i="95"/>
  <c r="E582" i="95" s="1"/>
  <c r="F582" i="95" s="1"/>
  <c r="G582" i="95" s="1"/>
  <c r="H582" i="95" s="1"/>
  <c r="I582" i="95" s="1"/>
  <c r="J582" i="95" s="1"/>
  <c r="K582" i="95" s="1"/>
  <c r="L582" i="95" s="1"/>
  <c r="M582" i="95" s="1"/>
  <c r="N582" i="95" s="1"/>
  <c r="O582" i="95" s="1"/>
  <c r="P582" i="95" s="1"/>
  <c r="Q582" i="95" s="1"/>
  <c r="R582" i="95" s="1"/>
  <c r="S582" i="95" s="1"/>
  <c r="T582" i="95" s="1"/>
  <c r="U582" i="95" s="1"/>
  <c r="V582" i="95" s="1"/>
  <c r="W582" i="95" s="1"/>
  <c r="X582" i="95" s="1"/>
  <c r="Y582" i="95" s="1"/>
  <c r="Z582" i="95" s="1"/>
  <c r="AA582" i="95" s="1"/>
  <c r="AB582" i="95" s="1"/>
  <c r="AC582" i="95" s="1"/>
  <c r="AD582" i="95" s="1"/>
  <c r="AE582" i="95" s="1"/>
  <c r="AF582" i="95" s="1"/>
  <c r="D590" i="95"/>
  <c r="E590" i="95" s="1"/>
  <c r="F590" i="95" s="1"/>
  <c r="G590" i="95" s="1"/>
  <c r="H590" i="95" s="1"/>
  <c r="I590" i="95" s="1"/>
  <c r="J590" i="95" s="1"/>
  <c r="K590" i="95" s="1"/>
  <c r="L590" i="95" s="1"/>
  <c r="M590" i="95" s="1"/>
  <c r="N590" i="95" s="1"/>
  <c r="O590" i="95" s="1"/>
  <c r="P590" i="95" s="1"/>
  <c r="Q590" i="95" s="1"/>
  <c r="R590" i="95" s="1"/>
  <c r="S590" i="95" s="1"/>
  <c r="T590" i="95" s="1"/>
  <c r="U590" i="95" s="1"/>
  <c r="V590" i="95" s="1"/>
  <c r="W590" i="95" s="1"/>
  <c r="X590" i="95" s="1"/>
  <c r="Y590" i="95" s="1"/>
  <c r="Z590" i="95" s="1"/>
  <c r="AA590" i="95" s="1"/>
  <c r="AB590" i="95" s="1"/>
  <c r="AC590" i="95" s="1"/>
  <c r="AD590" i="95" s="1"/>
  <c r="AE590" i="95" s="1"/>
  <c r="AF590" i="95" s="1"/>
  <c r="D606" i="95"/>
  <c r="E606" i="95" s="1"/>
  <c r="F606" i="95" s="1"/>
  <c r="G606" i="95" s="1"/>
  <c r="H606" i="95" s="1"/>
  <c r="I606" i="95" s="1"/>
  <c r="J606" i="95" s="1"/>
  <c r="K606" i="95" s="1"/>
  <c r="L606" i="95" s="1"/>
  <c r="M606" i="95" s="1"/>
  <c r="N606" i="95" s="1"/>
  <c r="O606" i="95" s="1"/>
  <c r="P606" i="95" s="1"/>
  <c r="Q606" i="95" s="1"/>
  <c r="R606" i="95" s="1"/>
  <c r="S606" i="95" s="1"/>
  <c r="T606" i="95" s="1"/>
  <c r="U606" i="95" s="1"/>
  <c r="V606" i="95" s="1"/>
  <c r="W606" i="95" s="1"/>
  <c r="X606" i="95" s="1"/>
  <c r="Y606" i="95" s="1"/>
  <c r="Z606" i="95" s="1"/>
  <c r="AA606" i="95" s="1"/>
  <c r="AB606" i="95" s="1"/>
  <c r="AC606" i="95" s="1"/>
  <c r="AD606" i="95" s="1"/>
  <c r="AE606" i="95" s="1"/>
  <c r="AF606" i="95" s="1"/>
  <c r="D654" i="95"/>
  <c r="E654" i="95" s="1"/>
  <c r="F654" i="95" s="1"/>
  <c r="G654" i="95" s="1"/>
  <c r="H654" i="95" s="1"/>
  <c r="I654" i="95" s="1"/>
  <c r="J654" i="95" s="1"/>
  <c r="K654" i="95" s="1"/>
  <c r="L654" i="95" s="1"/>
  <c r="M654" i="95" s="1"/>
  <c r="N654" i="95" s="1"/>
  <c r="O654" i="95" s="1"/>
  <c r="P654" i="95" s="1"/>
  <c r="Q654" i="95" s="1"/>
  <c r="R654" i="95" s="1"/>
  <c r="S654" i="95" s="1"/>
  <c r="T654" i="95" s="1"/>
  <c r="U654" i="95" s="1"/>
  <c r="V654" i="95" s="1"/>
  <c r="W654" i="95" s="1"/>
  <c r="X654" i="95" s="1"/>
  <c r="Y654" i="95" s="1"/>
  <c r="Z654" i="95" s="1"/>
  <c r="AA654" i="95" s="1"/>
  <c r="AB654" i="95" s="1"/>
  <c r="AC654" i="95" s="1"/>
  <c r="AD654" i="95" s="1"/>
  <c r="AE654" i="95" s="1"/>
  <c r="AF654" i="95" s="1"/>
  <c r="D670" i="95"/>
  <c r="E670" i="95" s="1"/>
  <c r="F670" i="95" s="1"/>
  <c r="G670" i="95" s="1"/>
  <c r="H670" i="95" s="1"/>
  <c r="I670" i="95" s="1"/>
  <c r="J670" i="95" s="1"/>
  <c r="K670" i="95" s="1"/>
  <c r="L670" i="95" s="1"/>
  <c r="M670" i="95" s="1"/>
  <c r="N670" i="95" s="1"/>
  <c r="O670" i="95" s="1"/>
  <c r="P670" i="95" s="1"/>
  <c r="Q670" i="95" s="1"/>
  <c r="R670" i="95" s="1"/>
  <c r="S670" i="95" s="1"/>
  <c r="T670" i="95" s="1"/>
  <c r="U670" i="95" s="1"/>
  <c r="V670" i="95" s="1"/>
  <c r="W670" i="95" s="1"/>
  <c r="X670" i="95" s="1"/>
  <c r="Y670" i="95" s="1"/>
  <c r="Z670" i="95" s="1"/>
  <c r="AA670" i="95" s="1"/>
  <c r="AB670" i="95" s="1"/>
  <c r="AC670" i="95" s="1"/>
  <c r="AD670" i="95" s="1"/>
  <c r="AE670" i="95" s="1"/>
  <c r="AF670" i="95" s="1"/>
  <c r="D47" i="95"/>
  <c r="E47" i="95" s="1"/>
  <c r="F47" i="95" s="1"/>
  <c r="G47" i="95" s="1"/>
  <c r="H47" i="95" s="1"/>
  <c r="I47" i="95" s="1"/>
  <c r="J47" i="95" s="1"/>
  <c r="K47" i="95" s="1"/>
  <c r="L47" i="95" s="1"/>
  <c r="M47" i="95" s="1"/>
  <c r="N47" i="95" s="1"/>
  <c r="O47" i="95" s="1"/>
  <c r="P47" i="95" s="1"/>
  <c r="Q47" i="95" s="1"/>
  <c r="R47" i="95" s="1"/>
  <c r="S47" i="95" s="1"/>
  <c r="T47" i="95" s="1"/>
  <c r="U47" i="95" s="1"/>
  <c r="V47" i="95" s="1"/>
  <c r="W47" i="95" s="1"/>
  <c r="X47" i="95" s="1"/>
  <c r="Y47" i="95" s="1"/>
  <c r="Z47" i="95" s="1"/>
  <c r="AA47" i="95" s="1"/>
  <c r="AB47" i="95" s="1"/>
  <c r="AC47" i="95" s="1"/>
  <c r="AD47" i="95" s="1"/>
  <c r="AE47" i="95" s="1"/>
  <c r="AF47" i="95" s="1"/>
  <c r="D63" i="95"/>
  <c r="E63" i="95" s="1"/>
  <c r="F63" i="95" s="1"/>
  <c r="G63" i="95" s="1"/>
  <c r="H63" i="95" s="1"/>
  <c r="I63" i="95" s="1"/>
  <c r="J63" i="95" s="1"/>
  <c r="K63" i="95" s="1"/>
  <c r="L63" i="95" s="1"/>
  <c r="M63" i="95" s="1"/>
  <c r="N63" i="95" s="1"/>
  <c r="O63" i="95" s="1"/>
  <c r="P63" i="95" s="1"/>
  <c r="Q63" i="95" s="1"/>
  <c r="R63" i="95" s="1"/>
  <c r="S63" i="95" s="1"/>
  <c r="T63" i="95" s="1"/>
  <c r="U63" i="95" s="1"/>
  <c r="V63" i="95" s="1"/>
  <c r="W63" i="95" s="1"/>
  <c r="X63" i="95" s="1"/>
  <c r="Y63" i="95" s="1"/>
  <c r="Z63" i="95" s="1"/>
  <c r="AA63" i="95" s="1"/>
  <c r="AB63" i="95" s="1"/>
  <c r="AC63" i="95" s="1"/>
  <c r="AD63" i="95" s="1"/>
  <c r="AE63" i="95" s="1"/>
  <c r="AF63" i="95" s="1"/>
  <c r="D95" i="95"/>
  <c r="E95" i="95" s="1"/>
  <c r="F95" i="95" s="1"/>
  <c r="G95" i="95" s="1"/>
  <c r="H95" i="95" s="1"/>
  <c r="I95" i="95" s="1"/>
  <c r="J95" i="95" s="1"/>
  <c r="K95" i="95" s="1"/>
  <c r="L95" i="95" s="1"/>
  <c r="M95" i="95" s="1"/>
  <c r="N95" i="95" s="1"/>
  <c r="O95" i="95" s="1"/>
  <c r="P95" i="95" s="1"/>
  <c r="Q95" i="95" s="1"/>
  <c r="R95" i="95" s="1"/>
  <c r="S95" i="95" s="1"/>
  <c r="T95" i="95" s="1"/>
  <c r="U95" i="95" s="1"/>
  <c r="V95" i="95" s="1"/>
  <c r="W95" i="95" s="1"/>
  <c r="X95" i="95" s="1"/>
  <c r="Y95" i="95" s="1"/>
  <c r="Z95" i="95" s="1"/>
  <c r="AA95" i="95" s="1"/>
  <c r="AB95" i="95" s="1"/>
  <c r="AC95" i="95" s="1"/>
  <c r="AD95" i="95" s="1"/>
  <c r="AE95" i="95" s="1"/>
  <c r="AF95" i="95" s="1"/>
  <c r="D103" i="95"/>
  <c r="E103" i="95" s="1"/>
  <c r="F103" i="95" s="1"/>
  <c r="G103" i="95" s="1"/>
  <c r="H103" i="95" s="1"/>
  <c r="I103" i="95" s="1"/>
  <c r="J103" i="95" s="1"/>
  <c r="K103" i="95" s="1"/>
  <c r="L103" i="95" s="1"/>
  <c r="M103" i="95" s="1"/>
  <c r="N103" i="95" s="1"/>
  <c r="O103" i="95" s="1"/>
  <c r="P103" i="95" s="1"/>
  <c r="Q103" i="95" s="1"/>
  <c r="R103" i="95" s="1"/>
  <c r="S103" i="95" s="1"/>
  <c r="T103" i="95" s="1"/>
  <c r="U103" i="95" s="1"/>
  <c r="V103" i="95" s="1"/>
  <c r="W103" i="95" s="1"/>
  <c r="X103" i="95" s="1"/>
  <c r="Y103" i="95" s="1"/>
  <c r="Z103" i="95" s="1"/>
  <c r="AA103" i="95" s="1"/>
  <c r="AB103" i="95" s="1"/>
  <c r="AC103" i="95" s="1"/>
  <c r="AD103" i="95" s="1"/>
  <c r="AE103" i="95" s="1"/>
  <c r="AF103" i="95" s="1"/>
  <c r="D127" i="95"/>
  <c r="E127" i="95" s="1"/>
  <c r="F127" i="95" s="1"/>
  <c r="G127" i="95" s="1"/>
  <c r="H127" i="95" s="1"/>
  <c r="I127" i="95" s="1"/>
  <c r="J127" i="95" s="1"/>
  <c r="K127" i="95" s="1"/>
  <c r="L127" i="95" s="1"/>
  <c r="M127" i="95" s="1"/>
  <c r="N127" i="95" s="1"/>
  <c r="O127" i="95" s="1"/>
  <c r="P127" i="95" s="1"/>
  <c r="Q127" i="95" s="1"/>
  <c r="R127" i="95" s="1"/>
  <c r="S127" i="95" s="1"/>
  <c r="T127" i="95" s="1"/>
  <c r="U127" i="95" s="1"/>
  <c r="V127" i="95" s="1"/>
  <c r="W127" i="95" s="1"/>
  <c r="X127" i="95" s="1"/>
  <c r="Y127" i="95" s="1"/>
  <c r="Z127" i="95" s="1"/>
  <c r="AA127" i="95" s="1"/>
  <c r="AB127" i="95" s="1"/>
  <c r="AC127" i="95" s="1"/>
  <c r="AD127" i="95" s="1"/>
  <c r="AE127" i="95" s="1"/>
  <c r="AF127" i="95" s="1"/>
  <c r="D135" i="95"/>
  <c r="E135" i="95" s="1"/>
  <c r="F135" i="95" s="1"/>
  <c r="G135" i="95" s="1"/>
  <c r="H135" i="95" s="1"/>
  <c r="I135" i="95" s="1"/>
  <c r="J135" i="95" s="1"/>
  <c r="K135" i="95" s="1"/>
  <c r="L135" i="95" s="1"/>
  <c r="M135" i="95" s="1"/>
  <c r="N135" i="95" s="1"/>
  <c r="O135" i="95" s="1"/>
  <c r="P135" i="95" s="1"/>
  <c r="Q135" i="95" s="1"/>
  <c r="R135" i="95" s="1"/>
  <c r="S135" i="95" s="1"/>
  <c r="T135" i="95" s="1"/>
  <c r="U135" i="95" s="1"/>
  <c r="V135" i="95" s="1"/>
  <c r="W135" i="95" s="1"/>
  <c r="X135" i="95" s="1"/>
  <c r="Y135" i="95" s="1"/>
  <c r="Z135" i="95" s="1"/>
  <c r="AA135" i="95" s="1"/>
  <c r="AB135" i="95" s="1"/>
  <c r="AC135" i="95" s="1"/>
  <c r="AD135" i="95" s="1"/>
  <c r="AE135" i="95" s="1"/>
  <c r="AF135" i="95" s="1"/>
  <c r="D143" i="95"/>
  <c r="E143" i="95" s="1"/>
  <c r="F143" i="95" s="1"/>
  <c r="G143" i="95" s="1"/>
  <c r="H143" i="95" s="1"/>
  <c r="I143" i="95" s="1"/>
  <c r="J143" i="95" s="1"/>
  <c r="K143" i="95" s="1"/>
  <c r="L143" i="95" s="1"/>
  <c r="M143" i="95" s="1"/>
  <c r="N143" i="95" s="1"/>
  <c r="O143" i="95" s="1"/>
  <c r="P143" i="95" s="1"/>
  <c r="Q143" i="95" s="1"/>
  <c r="R143" i="95" s="1"/>
  <c r="S143" i="95" s="1"/>
  <c r="T143" i="95" s="1"/>
  <c r="U143" i="95" s="1"/>
  <c r="V143" i="95" s="1"/>
  <c r="W143" i="95" s="1"/>
  <c r="X143" i="95" s="1"/>
  <c r="Y143" i="95" s="1"/>
  <c r="Z143" i="95" s="1"/>
  <c r="AA143" i="95" s="1"/>
  <c r="AB143" i="95" s="1"/>
  <c r="AC143" i="95" s="1"/>
  <c r="AD143" i="95" s="1"/>
  <c r="AE143" i="95" s="1"/>
  <c r="AF143" i="95" s="1"/>
  <c r="D151" i="95"/>
  <c r="E151" i="95" s="1"/>
  <c r="F151" i="95" s="1"/>
  <c r="G151" i="95" s="1"/>
  <c r="H151" i="95" s="1"/>
  <c r="I151" i="95" s="1"/>
  <c r="J151" i="95" s="1"/>
  <c r="K151" i="95" s="1"/>
  <c r="L151" i="95" s="1"/>
  <c r="M151" i="95" s="1"/>
  <c r="N151" i="95" s="1"/>
  <c r="O151" i="95" s="1"/>
  <c r="P151" i="95" s="1"/>
  <c r="Q151" i="95" s="1"/>
  <c r="R151" i="95" s="1"/>
  <c r="S151" i="95" s="1"/>
  <c r="T151" i="95" s="1"/>
  <c r="U151" i="95" s="1"/>
  <c r="V151" i="95" s="1"/>
  <c r="W151" i="95" s="1"/>
  <c r="X151" i="95" s="1"/>
  <c r="Y151" i="95" s="1"/>
  <c r="Z151" i="95" s="1"/>
  <c r="AA151" i="95" s="1"/>
  <c r="AB151" i="95" s="1"/>
  <c r="AC151" i="95" s="1"/>
  <c r="AD151" i="95" s="1"/>
  <c r="AE151" i="95" s="1"/>
  <c r="AF151" i="95" s="1"/>
  <c r="D207" i="95"/>
  <c r="E207" i="95" s="1"/>
  <c r="F207" i="95" s="1"/>
  <c r="G207" i="95" s="1"/>
  <c r="H207" i="95" s="1"/>
  <c r="I207" i="95" s="1"/>
  <c r="J207" i="95" s="1"/>
  <c r="K207" i="95" s="1"/>
  <c r="L207" i="95" s="1"/>
  <c r="M207" i="95" s="1"/>
  <c r="N207" i="95" s="1"/>
  <c r="O207" i="95" s="1"/>
  <c r="P207" i="95" s="1"/>
  <c r="Q207" i="95" s="1"/>
  <c r="R207" i="95" s="1"/>
  <c r="S207" i="95" s="1"/>
  <c r="T207" i="95" s="1"/>
  <c r="U207" i="95" s="1"/>
  <c r="V207" i="95" s="1"/>
  <c r="W207" i="95" s="1"/>
  <c r="X207" i="95" s="1"/>
  <c r="Y207" i="95" s="1"/>
  <c r="Z207" i="95" s="1"/>
  <c r="AA207" i="95" s="1"/>
  <c r="AB207" i="95" s="1"/>
  <c r="AC207" i="95" s="1"/>
  <c r="AD207" i="95" s="1"/>
  <c r="AE207" i="95" s="1"/>
  <c r="AF207" i="95" s="1"/>
  <c r="D263" i="95"/>
  <c r="E263" i="95" s="1"/>
  <c r="F263" i="95" s="1"/>
  <c r="G263" i="95" s="1"/>
  <c r="H263" i="95" s="1"/>
  <c r="I263" i="95" s="1"/>
  <c r="J263" i="95" s="1"/>
  <c r="K263" i="95" s="1"/>
  <c r="L263" i="95" s="1"/>
  <c r="M263" i="95" s="1"/>
  <c r="N263" i="95" s="1"/>
  <c r="O263" i="95" s="1"/>
  <c r="P263" i="95" s="1"/>
  <c r="Q263" i="95" s="1"/>
  <c r="R263" i="95" s="1"/>
  <c r="S263" i="95" s="1"/>
  <c r="T263" i="95" s="1"/>
  <c r="U263" i="95" s="1"/>
  <c r="V263" i="95" s="1"/>
  <c r="W263" i="95" s="1"/>
  <c r="X263" i="95" s="1"/>
  <c r="Y263" i="95" s="1"/>
  <c r="Z263" i="95" s="1"/>
  <c r="AA263" i="95" s="1"/>
  <c r="AB263" i="95" s="1"/>
  <c r="AC263" i="95" s="1"/>
  <c r="AD263" i="95" s="1"/>
  <c r="AE263" i="95" s="1"/>
  <c r="AF263" i="95" s="1"/>
  <c r="D311" i="95"/>
  <c r="E311" i="95" s="1"/>
  <c r="F311" i="95" s="1"/>
  <c r="G311" i="95" s="1"/>
  <c r="H311" i="95" s="1"/>
  <c r="I311" i="95" s="1"/>
  <c r="J311" i="95" s="1"/>
  <c r="K311" i="95" s="1"/>
  <c r="L311" i="95" s="1"/>
  <c r="M311" i="95" s="1"/>
  <c r="N311" i="95" s="1"/>
  <c r="O311" i="95" s="1"/>
  <c r="P311" i="95" s="1"/>
  <c r="Q311" i="95" s="1"/>
  <c r="R311" i="95" s="1"/>
  <c r="S311" i="95" s="1"/>
  <c r="T311" i="95" s="1"/>
  <c r="U311" i="95" s="1"/>
  <c r="V311" i="95" s="1"/>
  <c r="W311" i="95" s="1"/>
  <c r="X311" i="95" s="1"/>
  <c r="Y311" i="95" s="1"/>
  <c r="Z311" i="95" s="1"/>
  <c r="AA311" i="95" s="1"/>
  <c r="AB311" i="95" s="1"/>
  <c r="AC311" i="95" s="1"/>
  <c r="AD311" i="95" s="1"/>
  <c r="AE311" i="95" s="1"/>
  <c r="AF311" i="95" s="1"/>
  <c r="D319" i="95"/>
  <c r="E319" i="95" s="1"/>
  <c r="F319" i="95" s="1"/>
  <c r="G319" i="95" s="1"/>
  <c r="H319" i="95" s="1"/>
  <c r="I319" i="95" s="1"/>
  <c r="J319" i="95" s="1"/>
  <c r="K319" i="95" s="1"/>
  <c r="L319" i="95" s="1"/>
  <c r="M319" i="95" s="1"/>
  <c r="N319" i="95" s="1"/>
  <c r="O319" i="95" s="1"/>
  <c r="P319" i="95" s="1"/>
  <c r="Q319" i="95" s="1"/>
  <c r="R319" i="95" s="1"/>
  <c r="S319" i="95" s="1"/>
  <c r="T319" i="95" s="1"/>
  <c r="U319" i="95" s="1"/>
  <c r="V319" i="95" s="1"/>
  <c r="W319" i="95" s="1"/>
  <c r="X319" i="95" s="1"/>
  <c r="Y319" i="95" s="1"/>
  <c r="Z319" i="95" s="1"/>
  <c r="AA319" i="95" s="1"/>
  <c r="AB319" i="95" s="1"/>
  <c r="AC319" i="95" s="1"/>
  <c r="AD319" i="95" s="1"/>
  <c r="AE319" i="95" s="1"/>
  <c r="AF319" i="95" s="1"/>
  <c r="D327" i="95"/>
  <c r="E327" i="95" s="1"/>
  <c r="F327" i="95" s="1"/>
  <c r="G327" i="95" s="1"/>
  <c r="H327" i="95" s="1"/>
  <c r="I327" i="95" s="1"/>
  <c r="J327" i="95" s="1"/>
  <c r="K327" i="95" s="1"/>
  <c r="L327" i="95" s="1"/>
  <c r="M327" i="95" s="1"/>
  <c r="N327" i="95" s="1"/>
  <c r="O327" i="95" s="1"/>
  <c r="P327" i="95" s="1"/>
  <c r="Q327" i="95" s="1"/>
  <c r="R327" i="95" s="1"/>
  <c r="S327" i="95" s="1"/>
  <c r="T327" i="95" s="1"/>
  <c r="U327" i="95" s="1"/>
  <c r="V327" i="95" s="1"/>
  <c r="W327" i="95" s="1"/>
  <c r="X327" i="95" s="1"/>
  <c r="Y327" i="95" s="1"/>
  <c r="Z327" i="95" s="1"/>
  <c r="AA327" i="95" s="1"/>
  <c r="AB327" i="95" s="1"/>
  <c r="AC327" i="95" s="1"/>
  <c r="AD327" i="95" s="1"/>
  <c r="AE327" i="95" s="1"/>
  <c r="AF327" i="95" s="1"/>
  <c r="D359" i="95"/>
  <c r="E359" i="95" s="1"/>
  <c r="F359" i="95" s="1"/>
  <c r="G359" i="95" s="1"/>
  <c r="H359" i="95" s="1"/>
  <c r="I359" i="95" s="1"/>
  <c r="J359" i="95" s="1"/>
  <c r="K359" i="95" s="1"/>
  <c r="L359" i="95" s="1"/>
  <c r="M359" i="95" s="1"/>
  <c r="N359" i="95" s="1"/>
  <c r="O359" i="95" s="1"/>
  <c r="P359" i="95" s="1"/>
  <c r="Q359" i="95" s="1"/>
  <c r="R359" i="95" s="1"/>
  <c r="S359" i="95" s="1"/>
  <c r="T359" i="95" s="1"/>
  <c r="U359" i="95" s="1"/>
  <c r="V359" i="95" s="1"/>
  <c r="W359" i="95" s="1"/>
  <c r="X359" i="95" s="1"/>
  <c r="Y359" i="95" s="1"/>
  <c r="Z359" i="95" s="1"/>
  <c r="AA359" i="95" s="1"/>
  <c r="AB359" i="95" s="1"/>
  <c r="AC359" i="95" s="1"/>
  <c r="AD359" i="95" s="1"/>
  <c r="AE359" i="95" s="1"/>
  <c r="AF359" i="95" s="1"/>
  <c r="D367" i="95"/>
  <c r="E367" i="95" s="1"/>
  <c r="F367" i="95" s="1"/>
  <c r="G367" i="95" s="1"/>
  <c r="H367" i="95" s="1"/>
  <c r="I367" i="95" s="1"/>
  <c r="J367" i="95" s="1"/>
  <c r="K367" i="95" s="1"/>
  <c r="L367" i="95" s="1"/>
  <c r="M367" i="95" s="1"/>
  <c r="N367" i="95" s="1"/>
  <c r="O367" i="95" s="1"/>
  <c r="P367" i="95" s="1"/>
  <c r="Q367" i="95" s="1"/>
  <c r="R367" i="95" s="1"/>
  <c r="S367" i="95" s="1"/>
  <c r="T367" i="95" s="1"/>
  <c r="U367" i="95" s="1"/>
  <c r="V367" i="95" s="1"/>
  <c r="W367" i="95" s="1"/>
  <c r="X367" i="95" s="1"/>
  <c r="Y367" i="95" s="1"/>
  <c r="Z367" i="95" s="1"/>
  <c r="AA367" i="95" s="1"/>
  <c r="AB367" i="95" s="1"/>
  <c r="AC367" i="95" s="1"/>
  <c r="AD367" i="95" s="1"/>
  <c r="AE367" i="95" s="1"/>
  <c r="AF367" i="95" s="1"/>
  <c r="D383" i="95"/>
  <c r="E383" i="95" s="1"/>
  <c r="F383" i="95" s="1"/>
  <c r="G383" i="95" s="1"/>
  <c r="H383" i="95" s="1"/>
  <c r="I383" i="95" s="1"/>
  <c r="J383" i="95" s="1"/>
  <c r="K383" i="95" s="1"/>
  <c r="L383" i="95" s="1"/>
  <c r="M383" i="95" s="1"/>
  <c r="N383" i="95" s="1"/>
  <c r="O383" i="95" s="1"/>
  <c r="P383" i="95" s="1"/>
  <c r="Q383" i="95" s="1"/>
  <c r="R383" i="95" s="1"/>
  <c r="S383" i="95" s="1"/>
  <c r="T383" i="95" s="1"/>
  <c r="U383" i="95" s="1"/>
  <c r="V383" i="95" s="1"/>
  <c r="W383" i="95" s="1"/>
  <c r="X383" i="95" s="1"/>
  <c r="Y383" i="95" s="1"/>
  <c r="Z383" i="95" s="1"/>
  <c r="AA383" i="95" s="1"/>
  <c r="AB383" i="95" s="1"/>
  <c r="AC383" i="95" s="1"/>
  <c r="AD383" i="95" s="1"/>
  <c r="AE383" i="95" s="1"/>
  <c r="AF383" i="95" s="1"/>
  <c r="D391" i="95"/>
  <c r="E391" i="95" s="1"/>
  <c r="F391" i="95" s="1"/>
  <c r="G391" i="95" s="1"/>
  <c r="H391" i="95" s="1"/>
  <c r="I391" i="95" s="1"/>
  <c r="J391" i="95" s="1"/>
  <c r="K391" i="95" s="1"/>
  <c r="L391" i="95" s="1"/>
  <c r="M391" i="95" s="1"/>
  <c r="N391" i="95" s="1"/>
  <c r="O391" i="95" s="1"/>
  <c r="P391" i="95" s="1"/>
  <c r="Q391" i="95" s="1"/>
  <c r="R391" i="95" s="1"/>
  <c r="S391" i="95" s="1"/>
  <c r="T391" i="95" s="1"/>
  <c r="U391" i="95" s="1"/>
  <c r="V391" i="95" s="1"/>
  <c r="W391" i="95" s="1"/>
  <c r="X391" i="95" s="1"/>
  <c r="Y391" i="95" s="1"/>
  <c r="Z391" i="95" s="1"/>
  <c r="AA391" i="95" s="1"/>
  <c r="AB391" i="95" s="1"/>
  <c r="AC391" i="95" s="1"/>
  <c r="AD391" i="95" s="1"/>
  <c r="AE391" i="95" s="1"/>
  <c r="AF391" i="95" s="1"/>
  <c r="D455" i="95"/>
  <c r="E455" i="95" s="1"/>
  <c r="F455" i="95" s="1"/>
  <c r="G455" i="95" s="1"/>
  <c r="H455" i="95" s="1"/>
  <c r="I455" i="95" s="1"/>
  <c r="J455" i="95" s="1"/>
  <c r="K455" i="95" s="1"/>
  <c r="L455" i="95" s="1"/>
  <c r="M455" i="95" s="1"/>
  <c r="N455" i="95" s="1"/>
  <c r="O455" i="95" s="1"/>
  <c r="P455" i="95" s="1"/>
  <c r="Q455" i="95" s="1"/>
  <c r="R455" i="95" s="1"/>
  <c r="S455" i="95" s="1"/>
  <c r="T455" i="95" s="1"/>
  <c r="U455" i="95" s="1"/>
  <c r="V455" i="95" s="1"/>
  <c r="W455" i="95" s="1"/>
  <c r="X455" i="95" s="1"/>
  <c r="Y455" i="95" s="1"/>
  <c r="Z455" i="95" s="1"/>
  <c r="AA455" i="95" s="1"/>
  <c r="AB455" i="95" s="1"/>
  <c r="AC455" i="95" s="1"/>
  <c r="AD455" i="95" s="1"/>
  <c r="AE455" i="95" s="1"/>
  <c r="AF455" i="95" s="1"/>
  <c r="D495" i="95"/>
  <c r="E495" i="95" s="1"/>
  <c r="F495" i="95" s="1"/>
  <c r="G495" i="95" s="1"/>
  <c r="H495" i="95" s="1"/>
  <c r="I495" i="95" s="1"/>
  <c r="J495" i="95" s="1"/>
  <c r="K495" i="95" s="1"/>
  <c r="L495" i="95" s="1"/>
  <c r="M495" i="95" s="1"/>
  <c r="N495" i="95" s="1"/>
  <c r="O495" i="95" s="1"/>
  <c r="P495" i="95" s="1"/>
  <c r="Q495" i="95" s="1"/>
  <c r="R495" i="95" s="1"/>
  <c r="S495" i="95" s="1"/>
  <c r="T495" i="95" s="1"/>
  <c r="U495" i="95" s="1"/>
  <c r="V495" i="95" s="1"/>
  <c r="W495" i="95" s="1"/>
  <c r="X495" i="95" s="1"/>
  <c r="Y495" i="95" s="1"/>
  <c r="Z495" i="95" s="1"/>
  <c r="AA495" i="95" s="1"/>
  <c r="AB495" i="95" s="1"/>
  <c r="AC495" i="95" s="1"/>
  <c r="AD495" i="95" s="1"/>
  <c r="AE495" i="95" s="1"/>
  <c r="AF495" i="95" s="1"/>
  <c r="D503" i="95"/>
  <c r="E503" i="95" s="1"/>
  <c r="F503" i="95" s="1"/>
  <c r="G503" i="95" s="1"/>
  <c r="H503" i="95" s="1"/>
  <c r="I503" i="95" s="1"/>
  <c r="J503" i="95" s="1"/>
  <c r="K503" i="95" s="1"/>
  <c r="L503" i="95" s="1"/>
  <c r="M503" i="95" s="1"/>
  <c r="N503" i="95" s="1"/>
  <c r="O503" i="95" s="1"/>
  <c r="P503" i="95" s="1"/>
  <c r="Q503" i="95" s="1"/>
  <c r="R503" i="95" s="1"/>
  <c r="S503" i="95" s="1"/>
  <c r="T503" i="95" s="1"/>
  <c r="U503" i="95" s="1"/>
  <c r="V503" i="95" s="1"/>
  <c r="W503" i="95" s="1"/>
  <c r="X503" i="95" s="1"/>
  <c r="Y503" i="95" s="1"/>
  <c r="Z503" i="95" s="1"/>
  <c r="AA503" i="95" s="1"/>
  <c r="AB503" i="95" s="1"/>
  <c r="AC503" i="95" s="1"/>
  <c r="AD503" i="95" s="1"/>
  <c r="AE503" i="95" s="1"/>
  <c r="AF503" i="95" s="1"/>
  <c r="D567" i="95"/>
  <c r="E567" i="95" s="1"/>
  <c r="F567" i="95" s="1"/>
  <c r="G567" i="95" s="1"/>
  <c r="H567" i="95" s="1"/>
  <c r="I567" i="95" s="1"/>
  <c r="J567" i="95" s="1"/>
  <c r="K567" i="95" s="1"/>
  <c r="L567" i="95" s="1"/>
  <c r="M567" i="95" s="1"/>
  <c r="N567" i="95" s="1"/>
  <c r="O567" i="95" s="1"/>
  <c r="P567" i="95" s="1"/>
  <c r="Q567" i="95" s="1"/>
  <c r="R567" i="95" s="1"/>
  <c r="S567" i="95" s="1"/>
  <c r="T567" i="95" s="1"/>
  <c r="U567" i="95" s="1"/>
  <c r="V567" i="95" s="1"/>
  <c r="W567" i="95" s="1"/>
  <c r="X567" i="95" s="1"/>
  <c r="Y567" i="95" s="1"/>
  <c r="Z567" i="95" s="1"/>
  <c r="AA567" i="95" s="1"/>
  <c r="AB567" i="95" s="1"/>
  <c r="AC567" i="95" s="1"/>
  <c r="AD567" i="95" s="1"/>
  <c r="AE567" i="95" s="1"/>
  <c r="AF567" i="95" s="1"/>
  <c r="D583" i="95"/>
  <c r="E583" i="95" s="1"/>
  <c r="F583" i="95" s="1"/>
  <c r="G583" i="95" s="1"/>
  <c r="H583" i="95" s="1"/>
  <c r="I583" i="95" s="1"/>
  <c r="J583" i="95" s="1"/>
  <c r="K583" i="95" s="1"/>
  <c r="L583" i="95" s="1"/>
  <c r="M583" i="95" s="1"/>
  <c r="N583" i="95" s="1"/>
  <c r="O583" i="95" s="1"/>
  <c r="P583" i="95" s="1"/>
  <c r="Q583" i="95" s="1"/>
  <c r="R583" i="95" s="1"/>
  <c r="S583" i="95" s="1"/>
  <c r="T583" i="95" s="1"/>
  <c r="U583" i="95" s="1"/>
  <c r="V583" i="95" s="1"/>
  <c r="W583" i="95" s="1"/>
  <c r="X583" i="95" s="1"/>
  <c r="Y583" i="95" s="1"/>
  <c r="Z583" i="95" s="1"/>
  <c r="AA583" i="95" s="1"/>
  <c r="AB583" i="95" s="1"/>
  <c r="AC583" i="95" s="1"/>
  <c r="AD583" i="95" s="1"/>
  <c r="AE583" i="95" s="1"/>
  <c r="AF583" i="95" s="1"/>
  <c r="D128" i="95"/>
  <c r="E128" i="95" s="1"/>
  <c r="F128" i="95" s="1"/>
  <c r="G128" i="95" s="1"/>
  <c r="H128" i="95" s="1"/>
  <c r="I128" i="95" s="1"/>
  <c r="J128" i="95" s="1"/>
  <c r="K128" i="95" s="1"/>
  <c r="L128" i="95" s="1"/>
  <c r="M128" i="95" s="1"/>
  <c r="N128" i="95" s="1"/>
  <c r="O128" i="95" s="1"/>
  <c r="P128" i="95" s="1"/>
  <c r="Q128" i="95" s="1"/>
  <c r="R128" i="95" s="1"/>
  <c r="S128" i="95" s="1"/>
  <c r="T128" i="95" s="1"/>
  <c r="U128" i="95" s="1"/>
  <c r="V128" i="95" s="1"/>
  <c r="W128" i="95" s="1"/>
  <c r="X128" i="95" s="1"/>
  <c r="Y128" i="95" s="1"/>
  <c r="Z128" i="95" s="1"/>
  <c r="AA128" i="95" s="1"/>
  <c r="AB128" i="95" s="1"/>
  <c r="AC128" i="95" s="1"/>
  <c r="AD128" i="95" s="1"/>
  <c r="AE128" i="95" s="1"/>
  <c r="AF128" i="95" s="1"/>
  <c r="D136" i="95"/>
  <c r="E136" i="95" s="1"/>
  <c r="F136" i="95" s="1"/>
  <c r="G136" i="95" s="1"/>
  <c r="H136" i="95" s="1"/>
  <c r="I136" i="95" s="1"/>
  <c r="J136" i="95" s="1"/>
  <c r="K136" i="95" s="1"/>
  <c r="L136" i="95" s="1"/>
  <c r="M136" i="95" s="1"/>
  <c r="N136" i="95" s="1"/>
  <c r="O136" i="95" s="1"/>
  <c r="P136" i="95" s="1"/>
  <c r="Q136" i="95" s="1"/>
  <c r="R136" i="95" s="1"/>
  <c r="S136" i="95" s="1"/>
  <c r="T136" i="95" s="1"/>
  <c r="U136" i="95" s="1"/>
  <c r="V136" i="95" s="1"/>
  <c r="W136" i="95" s="1"/>
  <c r="X136" i="95" s="1"/>
  <c r="Y136" i="95" s="1"/>
  <c r="Z136" i="95" s="1"/>
  <c r="AA136" i="95" s="1"/>
  <c r="AB136" i="95" s="1"/>
  <c r="AC136" i="95" s="1"/>
  <c r="AD136" i="95" s="1"/>
  <c r="AE136" i="95" s="1"/>
  <c r="AF136" i="95" s="1"/>
  <c r="D144" i="95"/>
  <c r="E144" i="95" s="1"/>
  <c r="F144" i="95" s="1"/>
  <c r="G144" i="95" s="1"/>
  <c r="H144" i="95" s="1"/>
  <c r="I144" i="95" s="1"/>
  <c r="J144" i="95" s="1"/>
  <c r="K144" i="95" s="1"/>
  <c r="L144" i="95" s="1"/>
  <c r="M144" i="95" s="1"/>
  <c r="N144" i="95" s="1"/>
  <c r="O144" i="95" s="1"/>
  <c r="P144" i="95" s="1"/>
  <c r="Q144" i="95" s="1"/>
  <c r="R144" i="95" s="1"/>
  <c r="S144" i="95" s="1"/>
  <c r="T144" i="95" s="1"/>
  <c r="U144" i="95" s="1"/>
  <c r="V144" i="95" s="1"/>
  <c r="W144" i="95" s="1"/>
  <c r="X144" i="95" s="1"/>
  <c r="Y144" i="95" s="1"/>
  <c r="Z144" i="95" s="1"/>
  <c r="AA144" i="95" s="1"/>
  <c r="AB144" i="95" s="1"/>
  <c r="AC144" i="95" s="1"/>
  <c r="AD144" i="95" s="1"/>
  <c r="AE144" i="95" s="1"/>
  <c r="AF144" i="95" s="1"/>
  <c r="D176" i="95"/>
  <c r="E176" i="95" s="1"/>
  <c r="F176" i="95" s="1"/>
  <c r="G176" i="95" s="1"/>
  <c r="H176" i="95" s="1"/>
  <c r="I176" i="95" s="1"/>
  <c r="J176" i="95" s="1"/>
  <c r="K176" i="95" s="1"/>
  <c r="L176" i="95" s="1"/>
  <c r="M176" i="95" s="1"/>
  <c r="N176" i="95" s="1"/>
  <c r="O176" i="95" s="1"/>
  <c r="P176" i="95" s="1"/>
  <c r="Q176" i="95" s="1"/>
  <c r="R176" i="95" s="1"/>
  <c r="S176" i="95" s="1"/>
  <c r="T176" i="95" s="1"/>
  <c r="U176" i="95" s="1"/>
  <c r="V176" i="95" s="1"/>
  <c r="W176" i="95" s="1"/>
  <c r="X176" i="95" s="1"/>
  <c r="Y176" i="95" s="1"/>
  <c r="Z176" i="95" s="1"/>
  <c r="AA176" i="95" s="1"/>
  <c r="AB176" i="95" s="1"/>
  <c r="AC176" i="95" s="1"/>
  <c r="AD176" i="95" s="1"/>
  <c r="AE176" i="95" s="1"/>
  <c r="AF176" i="95" s="1"/>
  <c r="D184" i="95"/>
  <c r="E184" i="95" s="1"/>
  <c r="F184" i="95" s="1"/>
  <c r="G184" i="95" s="1"/>
  <c r="H184" i="95" s="1"/>
  <c r="I184" i="95" s="1"/>
  <c r="J184" i="95" s="1"/>
  <c r="K184" i="95" s="1"/>
  <c r="L184" i="95" s="1"/>
  <c r="M184" i="95" s="1"/>
  <c r="N184" i="95" s="1"/>
  <c r="O184" i="95" s="1"/>
  <c r="P184" i="95" s="1"/>
  <c r="Q184" i="95" s="1"/>
  <c r="R184" i="95" s="1"/>
  <c r="S184" i="95" s="1"/>
  <c r="T184" i="95" s="1"/>
  <c r="U184" i="95" s="1"/>
  <c r="V184" i="95" s="1"/>
  <c r="W184" i="95" s="1"/>
  <c r="X184" i="95" s="1"/>
  <c r="Y184" i="95" s="1"/>
  <c r="Z184" i="95" s="1"/>
  <c r="AA184" i="95" s="1"/>
  <c r="AB184" i="95" s="1"/>
  <c r="AC184" i="95" s="1"/>
  <c r="AD184" i="95" s="1"/>
  <c r="AE184" i="95" s="1"/>
  <c r="AF184" i="95" s="1"/>
  <c r="D200" i="95"/>
  <c r="E200" i="95" s="1"/>
  <c r="F200" i="95" s="1"/>
  <c r="G200" i="95" s="1"/>
  <c r="H200" i="95" s="1"/>
  <c r="I200" i="95" s="1"/>
  <c r="J200" i="95" s="1"/>
  <c r="K200" i="95" s="1"/>
  <c r="L200" i="95" s="1"/>
  <c r="M200" i="95" s="1"/>
  <c r="N200" i="95" s="1"/>
  <c r="O200" i="95" s="1"/>
  <c r="P200" i="95" s="1"/>
  <c r="Q200" i="95" s="1"/>
  <c r="R200" i="95" s="1"/>
  <c r="S200" i="95" s="1"/>
  <c r="T200" i="95" s="1"/>
  <c r="U200" i="95" s="1"/>
  <c r="V200" i="95" s="1"/>
  <c r="W200" i="95" s="1"/>
  <c r="X200" i="95" s="1"/>
  <c r="Y200" i="95" s="1"/>
  <c r="Z200" i="95" s="1"/>
  <c r="AA200" i="95" s="1"/>
  <c r="AB200" i="95" s="1"/>
  <c r="AC200" i="95" s="1"/>
  <c r="AD200" i="95" s="1"/>
  <c r="AE200" i="95" s="1"/>
  <c r="AF200" i="95" s="1"/>
  <c r="D208" i="95"/>
  <c r="E208" i="95" s="1"/>
  <c r="F208" i="95" s="1"/>
  <c r="G208" i="95" s="1"/>
  <c r="H208" i="95" s="1"/>
  <c r="I208" i="95" s="1"/>
  <c r="J208" i="95" s="1"/>
  <c r="K208" i="95" s="1"/>
  <c r="L208" i="95" s="1"/>
  <c r="M208" i="95" s="1"/>
  <c r="N208" i="95" s="1"/>
  <c r="O208" i="95" s="1"/>
  <c r="P208" i="95" s="1"/>
  <c r="Q208" i="95" s="1"/>
  <c r="R208" i="95" s="1"/>
  <c r="S208" i="95" s="1"/>
  <c r="T208" i="95" s="1"/>
  <c r="U208" i="95" s="1"/>
  <c r="V208" i="95" s="1"/>
  <c r="W208" i="95" s="1"/>
  <c r="X208" i="95" s="1"/>
  <c r="Y208" i="95" s="1"/>
  <c r="Z208" i="95" s="1"/>
  <c r="AA208" i="95" s="1"/>
  <c r="AB208" i="95" s="1"/>
  <c r="AC208" i="95" s="1"/>
  <c r="AD208" i="95" s="1"/>
  <c r="AE208" i="95" s="1"/>
  <c r="AF208" i="95" s="1"/>
  <c r="D296" i="95"/>
  <c r="E296" i="95" s="1"/>
  <c r="F296" i="95" s="1"/>
  <c r="G296" i="95" s="1"/>
  <c r="H296" i="95" s="1"/>
  <c r="I296" i="95" s="1"/>
  <c r="J296" i="95" s="1"/>
  <c r="K296" i="95" s="1"/>
  <c r="L296" i="95" s="1"/>
  <c r="M296" i="95" s="1"/>
  <c r="N296" i="95" s="1"/>
  <c r="O296" i="95" s="1"/>
  <c r="P296" i="95" s="1"/>
  <c r="Q296" i="95" s="1"/>
  <c r="R296" i="95" s="1"/>
  <c r="S296" i="95" s="1"/>
  <c r="T296" i="95" s="1"/>
  <c r="U296" i="95" s="1"/>
  <c r="V296" i="95" s="1"/>
  <c r="W296" i="95" s="1"/>
  <c r="X296" i="95" s="1"/>
  <c r="Y296" i="95" s="1"/>
  <c r="Z296" i="95" s="1"/>
  <c r="AA296" i="95" s="1"/>
  <c r="AB296" i="95" s="1"/>
  <c r="AC296" i="95" s="1"/>
  <c r="AD296" i="95" s="1"/>
  <c r="AE296" i="95" s="1"/>
  <c r="AF296" i="95" s="1"/>
  <c r="D320" i="95"/>
  <c r="E320" i="95" s="1"/>
  <c r="F320" i="95" s="1"/>
  <c r="G320" i="95" s="1"/>
  <c r="H320" i="95" s="1"/>
  <c r="I320" i="95" s="1"/>
  <c r="J320" i="95" s="1"/>
  <c r="K320" i="95" s="1"/>
  <c r="L320" i="95" s="1"/>
  <c r="M320" i="95" s="1"/>
  <c r="N320" i="95" s="1"/>
  <c r="O320" i="95" s="1"/>
  <c r="P320" i="95" s="1"/>
  <c r="Q320" i="95" s="1"/>
  <c r="R320" i="95" s="1"/>
  <c r="S320" i="95" s="1"/>
  <c r="T320" i="95" s="1"/>
  <c r="U320" i="95" s="1"/>
  <c r="V320" i="95" s="1"/>
  <c r="W320" i="95" s="1"/>
  <c r="X320" i="95" s="1"/>
  <c r="Y320" i="95" s="1"/>
  <c r="Z320" i="95" s="1"/>
  <c r="AA320" i="95" s="1"/>
  <c r="AB320" i="95" s="1"/>
  <c r="AC320" i="95" s="1"/>
  <c r="AD320" i="95" s="1"/>
  <c r="AE320" i="95" s="1"/>
  <c r="AF320" i="95" s="1"/>
  <c r="D352" i="95"/>
  <c r="E352" i="95" s="1"/>
  <c r="F352" i="95" s="1"/>
  <c r="G352" i="95" s="1"/>
  <c r="H352" i="95" s="1"/>
  <c r="I352" i="95" s="1"/>
  <c r="J352" i="95" s="1"/>
  <c r="K352" i="95" s="1"/>
  <c r="L352" i="95" s="1"/>
  <c r="M352" i="95" s="1"/>
  <c r="N352" i="95" s="1"/>
  <c r="O352" i="95" s="1"/>
  <c r="P352" i="95" s="1"/>
  <c r="Q352" i="95" s="1"/>
  <c r="R352" i="95" s="1"/>
  <c r="S352" i="95" s="1"/>
  <c r="T352" i="95" s="1"/>
  <c r="U352" i="95" s="1"/>
  <c r="V352" i="95" s="1"/>
  <c r="W352" i="95" s="1"/>
  <c r="X352" i="95" s="1"/>
  <c r="Y352" i="95" s="1"/>
  <c r="Z352" i="95" s="1"/>
  <c r="AA352" i="95" s="1"/>
  <c r="AB352" i="95" s="1"/>
  <c r="AC352" i="95" s="1"/>
  <c r="AD352" i="95" s="1"/>
  <c r="AE352" i="95" s="1"/>
  <c r="AF352" i="95" s="1"/>
  <c r="D384" i="95"/>
  <c r="E384" i="95" s="1"/>
  <c r="F384" i="95" s="1"/>
  <c r="G384" i="95" s="1"/>
  <c r="H384" i="95" s="1"/>
  <c r="I384" i="95" s="1"/>
  <c r="J384" i="95" s="1"/>
  <c r="K384" i="95" s="1"/>
  <c r="L384" i="95" s="1"/>
  <c r="M384" i="95" s="1"/>
  <c r="N384" i="95" s="1"/>
  <c r="O384" i="95" s="1"/>
  <c r="P384" i="95" s="1"/>
  <c r="Q384" i="95" s="1"/>
  <c r="R384" i="95" s="1"/>
  <c r="S384" i="95" s="1"/>
  <c r="T384" i="95" s="1"/>
  <c r="U384" i="95" s="1"/>
  <c r="V384" i="95" s="1"/>
  <c r="W384" i="95" s="1"/>
  <c r="X384" i="95" s="1"/>
  <c r="Y384" i="95" s="1"/>
  <c r="Z384" i="95" s="1"/>
  <c r="AA384" i="95" s="1"/>
  <c r="AB384" i="95" s="1"/>
  <c r="AC384" i="95" s="1"/>
  <c r="AD384" i="95" s="1"/>
  <c r="AE384" i="95" s="1"/>
  <c r="AF384" i="95" s="1"/>
  <c r="D456" i="95"/>
  <c r="E456" i="95" s="1"/>
  <c r="F456" i="95" s="1"/>
  <c r="G456" i="95" s="1"/>
  <c r="H456" i="95" s="1"/>
  <c r="I456" i="95" s="1"/>
  <c r="J456" i="95" s="1"/>
  <c r="K456" i="95" s="1"/>
  <c r="L456" i="95" s="1"/>
  <c r="M456" i="95" s="1"/>
  <c r="N456" i="95" s="1"/>
  <c r="O456" i="95" s="1"/>
  <c r="P456" i="95" s="1"/>
  <c r="Q456" i="95" s="1"/>
  <c r="R456" i="95" s="1"/>
  <c r="S456" i="95" s="1"/>
  <c r="T456" i="95" s="1"/>
  <c r="U456" i="95" s="1"/>
  <c r="V456" i="95" s="1"/>
  <c r="W456" i="95" s="1"/>
  <c r="X456" i="95" s="1"/>
  <c r="Y456" i="95" s="1"/>
  <c r="Z456" i="95" s="1"/>
  <c r="AA456" i="95" s="1"/>
  <c r="AB456" i="95" s="1"/>
  <c r="AC456" i="95" s="1"/>
  <c r="AD456" i="95" s="1"/>
  <c r="AE456" i="95" s="1"/>
  <c r="AF456" i="95" s="1"/>
  <c r="D488" i="95"/>
  <c r="E488" i="95" s="1"/>
  <c r="F488" i="95" s="1"/>
  <c r="G488" i="95" s="1"/>
  <c r="H488" i="95" s="1"/>
  <c r="I488" i="95" s="1"/>
  <c r="J488" i="95" s="1"/>
  <c r="K488" i="95" s="1"/>
  <c r="L488" i="95" s="1"/>
  <c r="M488" i="95" s="1"/>
  <c r="N488" i="95" s="1"/>
  <c r="O488" i="95" s="1"/>
  <c r="P488" i="95" s="1"/>
  <c r="Q488" i="95" s="1"/>
  <c r="R488" i="95" s="1"/>
  <c r="S488" i="95" s="1"/>
  <c r="T488" i="95" s="1"/>
  <c r="U488" i="95" s="1"/>
  <c r="V488" i="95" s="1"/>
  <c r="W488" i="95" s="1"/>
  <c r="X488" i="95" s="1"/>
  <c r="Y488" i="95" s="1"/>
  <c r="Z488" i="95" s="1"/>
  <c r="AA488" i="95" s="1"/>
  <c r="AB488" i="95" s="1"/>
  <c r="AC488" i="95" s="1"/>
  <c r="AD488" i="95" s="1"/>
  <c r="AE488" i="95" s="1"/>
  <c r="AF488" i="95" s="1"/>
  <c r="D568" i="95"/>
  <c r="E568" i="95" s="1"/>
  <c r="F568" i="95" s="1"/>
  <c r="G568" i="95" s="1"/>
  <c r="H568" i="95" s="1"/>
  <c r="I568" i="95" s="1"/>
  <c r="J568" i="95" s="1"/>
  <c r="K568" i="95" s="1"/>
  <c r="L568" i="95" s="1"/>
  <c r="M568" i="95" s="1"/>
  <c r="N568" i="95" s="1"/>
  <c r="O568" i="95" s="1"/>
  <c r="P568" i="95" s="1"/>
  <c r="Q568" i="95" s="1"/>
  <c r="R568" i="95" s="1"/>
  <c r="S568" i="95" s="1"/>
  <c r="T568" i="95" s="1"/>
  <c r="U568" i="95" s="1"/>
  <c r="V568" i="95" s="1"/>
  <c r="W568" i="95" s="1"/>
  <c r="X568" i="95" s="1"/>
  <c r="Y568" i="95" s="1"/>
  <c r="Z568" i="95" s="1"/>
  <c r="AA568" i="95" s="1"/>
  <c r="AB568" i="95" s="1"/>
  <c r="AC568" i="95" s="1"/>
  <c r="AD568" i="95" s="1"/>
  <c r="AE568" i="95" s="1"/>
  <c r="AF568" i="95" s="1"/>
  <c r="D600" i="95"/>
  <c r="E600" i="95" s="1"/>
  <c r="F600" i="95" s="1"/>
  <c r="G600" i="95" s="1"/>
  <c r="H600" i="95" s="1"/>
  <c r="I600" i="95" s="1"/>
  <c r="J600" i="95" s="1"/>
  <c r="K600" i="95" s="1"/>
  <c r="L600" i="95" s="1"/>
  <c r="M600" i="95" s="1"/>
  <c r="N600" i="95" s="1"/>
  <c r="O600" i="95" s="1"/>
  <c r="P600" i="95" s="1"/>
  <c r="Q600" i="95" s="1"/>
  <c r="R600" i="95" s="1"/>
  <c r="S600" i="95" s="1"/>
  <c r="T600" i="95" s="1"/>
  <c r="U600" i="95" s="1"/>
  <c r="V600" i="95" s="1"/>
  <c r="W600" i="95" s="1"/>
  <c r="X600" i="95" s="1"/>
  <c r="Y600" i="95" s="1"/>
  <c r="Z600" i="95" s="1"/>
  <c r="AA600" i="95" s="1"/>
  <c r="AB600" i="95" s="1"/>
  <c r="AC600" i="95" s="1"/>
  <c r="AD600" i="95" s="1"/>
  <c r="AE600" i="95" s="1"/>
  <c r="AF600" i="95" s="1"/>
  <c r="D608" i="95"/>
  <c r="E608" i="95" s="1"/>
  <c r="F608" i="95" s="1"/>
  <c r="G608" i="95" s="1"/>
  <c r="H608" i="95" s="1"/>
  <c r="I608" i="95" s="1"/>
  <c r="J608" i="95" s="1"/>
  <c r="K608" i="95" s="1"/>
  <c r="L608" i="95" s="1"/>
  <c r="M608" i="95" s="1"/>
  <c r="N608" i="95" s="1"/>
  <c r="O608" i="95" s="1"/>
  <c r="P608" i="95" s="1"/>
  <c r="Q608" i="95" s="1"/>
  <c r="R608" i="95" s="1"/>
  <c r="S608" i="95" s="1"/>
  <c r="T608" i="95" s="1"/>
  <c r="U608" i="95" s="1"/>
  <c r="V608" i="95" s="1"/>
  <c r="W608" i="95" s="1"/>
  <c r="X608" i="95" s="1"/>
  <c r="Y608" i="95" s="1"/>
  <c r="Z608" i="95" s="1"/>
  <c r="AA608" i="95" s="1"/>
  <c r="AB608" i="95" s="1"/>
  <c r="AC608" i="95" s="1"/>
  <c r="AD608" i="95" s="1"/>
  <c r="AE608" i="95" s="1"/>
  <c r="AF608" i="95" s="1"/>
  <c r="D648" i="95"/>
  <c r="E648" i="95" s="1"/>
  <c r="F648" i="95" s="1"/>
  <c r="G648" i="95" s="1"/>
  <c r="H648" i="95" s="1"/>
  <c r="I648" i="95" s="1"/>
  <c r="J648" i="95" s="1"/>
  <c r="K648" i="95" s="1"/>
  <c r="L648" i="95" s="1"/>
  <c r="M648" i="95" s="1"/>
  <c r="N648" i="95" s="1"/>
  <c r="O648" i="95" s="1"/>
  <c r="P648" i="95" s="1"/>
  <c r="Q648" i="95" s="1"/>
  <c r="R648" i="95" s="1"/>
  <c r="S648" i="95" s="1"/>
  <c r="T648" i="95" s="1"/>
  <c r="U648" i="95" s="1"/>
  <c r="V648" i="95" s="1"/>
  <c r="W648" i="95" s="1"/>
  <c r="X648" i="95" s="1"/>
  <c r="Y648" i="95" s="1"/>
  <c r="Z648" i="95" s="1"/>
  <c r="AA648" i="95" s="1"/>
  <c r="AB648" i="95" s="1"/>
  <c r="AC648" i="95" s="1"/>
  <c r="AD648" i="95" s="1"/>
  <c r="AE648" i="95" s="1"/>
  <c r="AF648" i="95" s="1"/>
  <c r="D33" i="95"/>
  <c r="E33" i="95" s="1"/>
  <c r="F33" i="95" s="1"/>
  <c r="G33" i="95" s="1"/>
  <c r="H33" i="95" s="1"/>
  <c r="I33" i="95" s="1"/>
  <c r="J33" i="95" s="1"/>
  <c r="K33" i="95" s="1"/>
  <c r="L33" i="95" s="1"/>
  <c r="M33" i="95" s="1"/>
  <c r="N33" i="95" s="1"/>
  <c r="O33" i="95" s="1"/>
  <c r="P33" i="95" s="1"/>
  <c r="Q33" i="95" s="1"/>
  <c r="R33" i="95" s="1"/>
  <c r="S33" i="95" s="1"/>
  <c r="T33" i="95" s="1"/>
  <c r="U33" i="95" s="1"/>
  <c r="V33" i="95" s="1"/>
  <c r="W33" i="95" s="1"/>
  <c r="X33" i="95" s="1"/>
  <c r="Y33" i="95" s="1"/>
  <c r="Z33" i="95" s="1"/>
  <c r="AA33" i="95" s="1"/>
  <c r="AB33" i="95" s="1"/>
  <c r="AC33" i="95" s="1"/>
  <c r="AD33" i="95" s="1"/>
  <c r="AE33" i="95" s="1"/>
  <c r="AF33" i="95" s="1"/>
  <c r="D57" i="95"/>
  <c r="E57" i="95" s="1"/>
  <c r="F57" i="95" s="1"/>
  <c r="G57" i="95" s="1"/>
  <c r="H57" i="95" s="1"/>
  <c r="I57" i="95" s="1"/>
  <c r="J57" i="95" s="1"/>
  <c r="K57" i="95" s="1"/>
  <c r="L57" i="95" s="1"/>
  <c r="M57" i="95" s="1"/>
  <c r="N57" i="95" s="1"/>
  <c r="O57" i="95" s="1"/>
  <c r="P57" i="95" s="1"/>
  <c r="Q57" i="95" s="1"/>
  <c r="R57" i="95" s="1"/>
  <c r="S57" i="95" s="1"/>
  <c r="T57" i="95" s="1"/>
  <c r="U57" i="95" s="1"/>
  <c r="V57" i="95" s="1"/>
  <c r="W57" i="95" s="1"/>
  <c r="X57" i="95" s="1"/>
  <c r="Y57" i="95" s="1"/>
  <c r="Z57" i="95" s="1"/>
  <c r="AA57" i="95" s="1"/>
  <c r="AB57" i="95" s="1"/>
  <c r="AC57" i="95" s="1"/>
  <c r="AD57" i="95" s="1"/>
  <c r="AE57" i="95" s="1"/>
  <c r="AF57" i="95" s="1"/>
  <c r="D113" i="95"/>
  <c r="E113" i="95" s="1"/>
  <c r="F113" i="95" s="1"/>
  <c r="G113" i="95" s="1"/>
  <c r="H113" i="95" s="1"/>
  <c r="I113" i="95" s="1"/>
  <c r="J113" i="95" s="1"/>
  <c r="K113" i="95" s="1"/>
  <c r="L113" i="95" s="1"/>
  <c r="M113" i="95" s="1"/>
  <c r="N113" i="95" s="1"/>
  <c r="O113" i="95" s="1"/>
  <c r="P113" i="95" s="1"/>
  <c r="Q113" i="95" s="1"/>
  <c r="R113" i="95" s="1"/>
  <c r="S113" i="95" s="1"/>
  <c r="T113" i="95" s="1"/>
  <c r="U113" i="95" s="1"/>
  <c r="V113" i="95" s="1"/>
  <c r="W113" i="95" s="1"/>
  <c r="X113" i="95" s="1"/>
  <c r="Y113" i="95" s="1"/>
  <c r="Z113" i="95" s="1"/>
  <c r="AA113" i="95" s="1"/>
  <c r="AB113" i="95" s="1"/>
  <c r="AC113" i="95" s="1"/>
  <c r="AD113" i="95" s="1"/>
  <c r="AE113" i="95" s="1"/>
  <c r="AF113" i="95" s="1"/>
  <c r="D121" i="95"/>
  <c r="E121" i="95" s="1"/>
  <c r="F121" i="95" s="1"/>
  <c r="G121" i="95" s="1"/>
  <c r="H121" i="95" s="1"/>
  <c r="I121" i="95" s="1"/>
  <c r="J121" i="95" s="1"/>
  <c r="K121" i="95" s="1"/>
  <c r="L121" i="95" s="1"/>
  <c r="M121" i="95" s="1"/>
  <c r="N121" i="95" s="1"/>
  <c r="O121" i="95" s="1"/>
  <c r="P121" i="95" s="1"/>
  <c r="Q121" i="95" s="1"/>
  <c r="R121" i="95" s="1"/>
  <c r="S121" i="95" s="1"/>
  <c r="T121" i="95" s="1"/>
  <c r="U121" i="95" s="1"/>
  <c r="V121" i="95" s="1"/>
  <c r="W121" i="95" s="1"/>
  <c r="X121" i="95" s="1"/>
  <c r="Y121" i="95" s="1"/>
  <c r="Z121" i="95" s="1"/>
  <c r="AA121" i="95" s="1"/>
  <c r="AB121" i="95" s="1"/>
  <c r="AC121" i="95" s="1"/>
  <c r="AD121" i="95" s="1"/>
  <c r="AE121" i="95" s="1"/>
  <c r="AF121" i="95" s="1"/>
  <c r="D129" i="95"/>
  <c r="E129" i="95" s="1"/>
  <c r="F129" i="95" s="1"/>
  <c r="G129" i="95" s="1"/>
  <c r="H129" i="95" s="1"/>
  <c r="I129" i="95" s="1"/>
  <c r="J129" i="95" s="1"/>
  <c r="K129" i="95" s="1"/>
  <c r="L129" i="95" s="1"/>
  <c r="M129" i="95" s="1"/>
  <c r="N129" i="95" s="1"/>
  <c r="O129" i="95" s="1"/>
  <c r="P129" i="95" s="1"/>
  <c r="Q129" i="95" s="1"/>
  <c r="R129" i="95" s="1"/>
  <c r="S129" i="95" s="1"/>
  <c r="T129" i="95" s="1"/>
  <c r="U129" i="95" s="1"/>
  <c r="V129" i="95" s="1"/>
  <c r="W129" i="95" s="1"/>
  <c r="X129" i="95" s="1"/>
  <c r="Y129" i="95" s="1"/>
  <c r="Z129" i="95" s="1"/>
  <c r="AA129" i="95" s="1"/>
  <c r="AB129" i="95" s="1"/>
  <c r="AC129" i="95" s="1"/>
  <c r="AD129" i="95" s="1"/>
  <c r="AE129" i="95" s="1"/>
  <c r="AF129" i="95" s="1"/>
  <c r="D137" i="95"/>
  <c r="E137" i="95" s="1"/>
  <c r="F137" i="95" s="1"/>
  <c r="G137" i="95" s="1"/>
  <c r="H137" i="95" s="1"/>
  <c r="I137" i="95" s="1"/>
  <c r="J137" i="95" s="1"/>
  <c r="K137" i="95" s="1"/>
  <c r="L137" i="95" s="1"/>
  <c r="M137" i="95" s="1"/>
  <c r="N137" i="95" s="1"/>
  <c r="O137" i="95" s="1"/>
  <c r="P137" i="95" s="1"/>
  <c r="Q137" i="95" s="1"/>
  <c r="R137" i="95" s="1"/>
  <c r="S137" i="95" s="1"/>
  <c r="T137" i="95" s="1"/>
  <c r="U137" i="95" s="1"/>
  <c r="V137" i="95" s="1"/>
  <c r="W137" i="95" s="1"/>
  <c r="X137" i="95" s="1"/>
  <c r="Y137" i="95" s="1"/>
  <c r="Z137" i="95" s="1"/>
  <c r="AA137" i="95" s="1"/>
  <c r="AB137" i="95" s="1"/>
  <c r="AC137" i="95" s="1"/>
  <c r="AD137" i="95" s="1"/>
  <c r="AE137" i="95" s="1"/>
  <c r="AF137" i="95" s="1"/>
  <c r="D169" i="95"/>
  <c r="E169" i="95" s="1"/>
  <c r="F169" i="95" s="1"/>
  <c r="G169" i="95" s="1"/>
  <c r="H169" i="95" s="1"/>
  <c r="I169" i="95" s="1"/>
  <c r="J169" i="95" s="1"/>
  <c r="K169" i="95" s="1"/>
  <c r="L169" i="95" s="1"/>
  <c r="M169" i="95" s="1"/>
  <c r="N169" i="95" s="1"/>
  <c r="O169" i="95" s="1"/>
  <c r="P169" i="95" s="1"/>
  <c r="Q169" i="95" s="1"/>
  <c r="R169" i="95" s="1"/>
  <c r="S169" i="95" s="1"/>
  <c r="T169" i="95" s="1"/>
  <c r="U169" i="95" s="1"/>
  <c r="V169" i="95" s="1"/>
  <c r="W169" i="95" s="1"/>
  <c r="X169" i="95" s="1"/>
  <c r="Y169" i="95" s="1"/>
  <c r="Z169" i="95" s="1"/>
  <c r="AA169" i="95" s="1"/>
  <c r="AB169" i="95" s="1"/>
  <c r="AC169" i="95" s="1"/>
  <c r="AD169" i="95" s="1"/>
  <c r="AE169" i="95" s="1"/>
  <c r="AF169" i="95" s="1"/>
  <c r="D201" i="95"/>
  <c r="E201" i="95" s="1"/>
  <c r="F201" i="95" s="1"/>
  <c r="G201" i="95" s="1"/>
  <c r="H201" i="95" s="1"/>
  <c r="I201" i="95" s="1"/>
  <c r="J201" i="95" s="1"/>
  <c r="K201" i="95" s="1"/>
  <c r="L201" i="95" s="1"/>
  <c r="M201" i="95" s="1"/>
  <c r="N201" i="95" s="1"/>
  <c r="O201" i="95" s="1"/>
  <c r="P201" i="95" s="1"/>
  <c r="Q201" i="95" s="1"/>
  <c r="R201" i="95" s="1"/>
  <c r="S201" i="95" s="1"/>
  <c r="T201" i="95" s="1"/>
  <c r="U201" i="95" s="1"/>
  <c r="V201" i="95" s="1"/>
  <c r="W201" i="95" s="1"/>
  <c r="X201" i="95" s="1"/>
  <c r="Y201" i="95" s="1"/>
  <c r="Z201" i="95" s="1"/>
  <c r="AA201" i="95" s="1"/>
  <c r="AB201" i="95" s="1"/>
  <c r="AC201" i="95" s="1"/>
  <c r="AD201" i="95" s="1"/>
  <c r="AE201" i="95" s="1"/>
  <c r="AF201" i="95" s="1"/>
  <c r="D297" i="95"/>
  <c r="E297" i="95" s="1"/>
  <c r="F297" i="95" s="1"/>
  <c r="G297" i="95" s="1"/>
  <c r="H297" i="95" s="1"/>
  <c r="I297" i="95" s="1"/>
  <c r="J297" i="95" s="1"/>
  <c r="K297" i="95" s="1"/>
  <c r="L297" i="95" s="1"/>
  <c r="M297" i="95" s="1"/>
  <c r="N297" i="95" s="1"/>
  <c r="O297" i="95" s="1"/>
  <c r="P297" i="95" s="1"/>
  <c r="Q297" i="95" s="1"/>
  <c r="R297" i="95" s="1"/>
  <c r="S297" i="95" s="1"/>
  <c r="T297" i="95" s="1"/>
  <c r="U297" i="95" s="1"/>
  <c r="V297" i="95" s="1"/>
  <c r="W297" i="95" s="1"/>
  <c r="X297" i="95" s="1"/>
  <c r="Y297" i="95" s="1"/>
  <c r="Z297" i="95" s="1"/>
  <c r="AA297" i="95" s="1"/>
  <c r="AB297" i="95" s="1"/>
  <c r="AC297" i="95" s="1"/>
  <c r="AD297" i="95" s="1"/>
  <c r="AE297" i="95" s="1"/>
  <c r="AF297" i="95" s="1"/>
  <c r="D345" i="95"/>
  <c r="E345" i="95" s="1"/>
  <c r="F345" i="95" s="1"/>
  <c r="G345" i="95" s="1"/>
  <c r="H345" i="95" s="1"/>
  <c r="I345" i="95" s="1"/>
  <c r="J345" i="95" s="1"/>
  <c r="K345" i="95" s="1"/>
  <c r="L345" i="95" s="1"/>
  <c r="M345" i="95" s="1"/>
  <c r="N345" i="95" s="1"/>
  <c r="O345" i="95" s="1"/>
  <c r="P345" i="95" s="1"/>
  <c r="Q345" i="95" s="1"/>
  <c r="R345" i="95" s="1"/>
  <c r="S345" i="95" s="1"/>
  <c r="T345" i="95" s="1"/>
  <c r="U345" i="95" s="1"/>
  <c r="V345" i="95" s="1"/>
  <c r="W345" i="95" s="1"/>
  <c r="X345" i="95" s="1"/>
  <c r="Y345" i="95" s="1"/>
  <c r="Z345" i="95" s="1"/>
  <c r="AA345" i="95" s="1"/>
  <c r="AB345" i="95" s="1"/>
  <c r="AC345" i="95" s="1"/>
  <c r="AD345" i="95" s="1"/>
  <c r="AE345" i="95" s="1"/>
  <c r="AF345" i="95" s="1"/>
  <c r="D353" i="95"/>
  <c r="E353" i="95" s="1"/>
  <c r="F353" i="95" s="1"/>
  <c r="G353" i="95" s="1"/>
  <c r="H353" i="95" s="1"/>
  <c r="I353" i="95" s="1"/>
  <c r="J353" i="95" s="1"/>
  <c r="K353" i="95" s="1"/>
  <c r="L353" i="95" s="1"/>
  <c r="M353" i="95" s="1"/>
  <c r="N353" i="95" s="1"/>
  <c r="O353" i="95" s="1"/>
  <c r="P353" i="95" s="1"/>
  <c r="Q353" i="95" s="1"/>
  <c r="R353" i="95" s="1"/>
  <c r="S353" i="95" s="1"/>
  <c r="T353" i="95" s="1"/>
  <c r="U353" i="95" s="1"/>
  <c r="V353" i="95" s="1"/>
  <c r="W353" i="95" s="1"/>
  <c r="X353" i="95" s="1"/>
  <c r="Y353" i="95" s="1"/>
  <c r="Z353" i="95" s="1"/>
  <c r="AA353" i="95" s="1"/>
  <c r="AB353" i="95" s="1"/>
  <c r="AC353" i="95" s="1"/>
  <c r="AD353" i="95" s="1"/>
  <c r="AE353" i="95" s="1"/>
  <c r="AF353" i="95" s="1"/>
  <c r="D377" i="95"/>
  <c r="E377" i="95" s="1"/>
  <c r="F377" i="95" s="1"/>
  <c r="G377" i="95" s="1"/>
  <c r="H377" i="95" s="1"/>
  <c r="I377" i="95" s="1"/>
  <c r="J377" i="95" s="1"/>
  <c r="K377" i="95" s="1"/>
  <c r="L377" i="95" s="1"/>
  <c r="M377" i="95" s="1"/>
  <c r="N377" i="95" s="1"/>
  <c r="O377" i="95" s="1"/>
  <c r="P377" i="95" s="1"/>
  <c r="Q377" i="95" s="1"/>
  <c r="R377" i="95" s="1"/>
  <c r="S377" i="95" s="1"/>
  <c r="T377" i="95" s="1"/>
  <c r="U377" i="95" s="1"/>
  <c r="V377" i="95" s="1"/>
  <c r="W377" i="95" s="1"/>
  <c r="X377" i="95" s="1"/>
  <c r="Y377" i="95" s="1"/>
  <c r="Z377" i="95" s="1"/>
  <c r="AA377" i="95" s="1"/>
  <c r="AB377" i="95" s="1"/>
  <c r="AC377" i="95" s="1"/>
  <c r="AD377" i="95" s="1"/>
  <c r="AE377" i="95" s="1"/>
  <c r="AF377" i="95" s="1"/>
  <c r="D385" i="95"/>
  <c r="E385" i="95" s="1"/>
  <c r="F385" i="95" s="1"/>
  <c r="G385" i="95" s="1"/>
  <c r="H385" i="95" s="1"/>
  <c r="I385" i="95" s="1"/>
  <c r="J385" i="95" s="1"/>
  <c r="K385" i="95" s="1"/>
  <c r="L385" i="95" s="1"/>
  <c r="M385" i="95" s="1"/>
  <c r="N385" i="95" s="1"/>
  <c r="O385" i="95" s="1"/>
  <c r="P385" i="95" s="1"/>
  <c r="Q385" i="95" s="1"/>
  <c r="R385" i="95" s="1"/>
  <c r="S385" i="95" s="1"/>
  <c r="T385" i="95" s="1"/>
  <c r="U385" i="95" s="1"/>
  <c r="V385" i="95" s="1"/>
  <c r="W385" i="95" s="1"/>
  <c r="X385" i="95" s="1"/>
  <c r="Y385" i="95" s="1"/>
  <c r="Z385" i="95" s="1"/>
  <c r="AA385" i="95" s="1"/>
  <c r="AB385" i="95" s="1"/>
  <c r="AC385" i="95" s="1"/>
  <c r="AD385" i="95" s="1"/>
  <c r="AE385" i="95" s="1"/>
  <c r="AF385" i="95" s="1"/>
  <c r="D441" i="95"/>
  <c r="E441" i="95" s="1"/>
  <c r="F441" i="95" s="1"/>
  <c r="G441" i="95" s="1"/>
  <c r="H441" i="95" s="1"/>
  <c r="I441" i="95" s="1"/>
  <c r="J441" i="95" s="1"/>
  <c r="K441" i="95" s="1"/>
  <c r="L441" i="95" s="1"/>
  <c r="M441" i="95" s="1"/>
  <c r="N441" i="95" s="1"/>
  <c r="O441" i="95" s="1"/>
  <c r="P441" i="95" s="1"/>
  <c r="Q441" i="95" s="1"/>
  <c r="R441" i="95" s="1"/>
  <c r="S441" i="95" s="1"/>
  <c r="T441" i="95" s="1"/>
  <c r="U441" i="95" s="1"/>
  <c r="V441" i="95" s="1"/>
  <c r="W441" i="95" s="1"/>
  <c r="X441" i="95" s="1"/>
  <c r="Y441" i="95" s="1"/>
  <c r="Z441" i="95" s="1"/>
  <c r="AA441" i="95" s="1"/>
  <c r="AB441" i="95" s="1"/>
  <c r="AC441" i="95" s="1"/>
  <c r="AD441" i="95" s="1"/>
  <c r="AE441" i="95" s="1"/>
  <c r="AF441" i="95" s="1"/>
  <c r="D457" i="95"/>
  <c r="E457" i="95" s="1"/>
  <c r="F457" i="95" s="1"/>
  <c r="G457" i="95" s="1"/>
  <c r="H457" i="95" s="1"/>
  <c r="I457" i="95" s="1"/>
  <c r="J457" i="95" s="1"/>
  <c r="K457" i="95" s="1"/>
  <c r="L457" i="95" s="1"/>
  <c r="M457" i="95" s="1"/>
  <c r="N457" i="95" s="1"/>
  <c r="O457" i="95" s="1"/>
  <c r="P457" i="95" s="1"/>
  <c r="Q457" i="95" s="1"/>
  <c r="R457" i="95" s="1"/>
  <c r="S457" i="95" s="1"/>
  <c r="T457" i="95" s="1"/>
  <c r="U457" i="95" s="1"/>
  <c r="V457" i="95" s="1"/>
  <c r="W457" i="95" s="1"/>
  <c r="X457" i="95" s="1"/>
  <c r="Y457" i="95" s="1"/>
  <c r="Z457" i="95" s="1"/>
  <c r="AA457" i="95" s="1"/>
  <c r="AB457" i="95" s="1"/>
  <c r="AC457" i="95" s="1"/>
  <c r="AD457" i="95" s="1"/>
  <c r="AE457" i="95" s="1"/>
  <c r="AF457" i="95" s="1"/>
  <c r="D481" i="95"/>
  <c r="E481" i="95" s="1"/>
  <c r="F481" i="95" s="1"/>
  <c r="G481" i="95" s="1"/>
  <c r="H481" i="95" s="1"/>
  <c r="I481" i="95" s="1"/>
  <c r="J481" i="95" s="1"/>
  <c r="K481" i="95" s="1"/>
  <c r="L481" i="95" s="1"/>
  <c r="M481" i="95" s="1"/>
  <c r="N481" i="95" s="1"/>
  <c r="O481" i="95" s="1"/>
  <c r="P481" i="95" s="1"/>
  <c r="Q481" i="95" s="1"/>
  <c r="R481" i="95" s="1"/>
  <c r="S481" i="95" s="1"/>
  <c r="T481" i="95" s="1"/>
  <c r="U481" i="95" s="1"/>
  <c r="V481" i="95" s="1"/>
  <c r="W481" i="95" s="1"/>
  <c r="X481" i="95" s="1"/>
  <c r="Y481" i="95" s="1"/>
  <c r="Z481" i="95" s="1"/>
  <c r="AA481" i="95" s="1"/>
  <c r="AB481" i="95" s="1"/>
  <c r="AC481" i="95" s="1"/>
  <c r="AD481" i="95" s="1"/>
  <c r="AE481" i="95" s="1"/>
  <c r="AF481" i="95" s="1"/>
  <c r="D569" i="95"/>
  <c r="E569" i="95" s="1"/>
  <c r="F569" i="95" s="1"/>
  <c r="G569" i="95" s="1"/>
  <c r="H569" i="95" s="1"/>
  <c r="I569" i="95" s="1"/>
  <c r="J569" i="95" s="1"/>
  <c r="K569" i="95" s="1"/>
  <c r="L569" i="95" s="1"/>
  <c r="M569" i="95" s="1"/>
  <c r="N569" i="95" s="1"/>
  <c r="O569" i="95" s="1"/>
  <c r="P569" i="95" s="1"/>
  <c r="Q569" i="95" s="1"/>
  <c r="R569" i="95" s="1"/>
  <c r="S569" i="95" s="1"/>
  <c r="T569" i="95" s="1"/>
  <c r="U569" i="95" s="1"/>
  <c r="V569" i="95" s="1"/>
  <c r="W569" i="95" s="1"/>
  <c r="X569" i="95" s="1"/>
  <c r="Y569" i="95" s="1"/>
  <c r="Z569" i="95" s="1"/>
  <c r="AA569" i="95" s="1"/>
  <c r="AB569" i="95" s="1"/>
  <c r="AC569" i="95" s="1"/>
  <c r="AD569" i="95" s="1"/>
  <c r="AE569" i="95" s="1"/>
  <c r="AF569" i="95" s="1"/>
  <c r="D649" i="95"/>
  <c r="E649" i="95" s="1"/>
  <c r="F649" i="95" s="1"/>
  <c r="G649" i="95" s="1"/>
  <c r="H649" i="95" s="1"/>
  <c r="I649" i="95" s="1"/>
  <c r="J649" i="95" s="1"/>
  <c r="K649" i="95" s="1"/>
  <c r="L649" i="95" s="1"/>
  <c r="M649" i="95" s="1"/>
  <c r="N649" i="95" s="1"/>
  <c r="O649" i="95" s="1"/>
  <c r="P649" i="95" s="1"/>
  <c r="Q649" i="95" s="1"/>
  <c r="R649" i="95" s="1"/>
  <c r="S649" i="95" s="1"/>
  <c r="T649" i="95" s="1"/>
  <c r="U649" i="95" s="1"/>
  <c r="V649" i="95" s="1"/>
  <c r="W649" i="95" s="1"/>
  <c r="X649" i="95" s="1"/>
  <c r="Y649" i="95" s="1"/>
  <c r="Z649" i="95" s="1"/>
  <c r="AA649" i="95" s="1"/>
  <c r="AB649" i="95" s="1"/>
  <c r="AC649" i="95" s="1"/>
  <c r="AD649" i="95" s="1"/>
  <c r="AE649" i="95" s="1"/>
  <c r="AF649" i="95" s="1"/>
  <c r="D689" i="95"/>
  <c r="E689" i="95" s="1"/>
  <c r="F689" i="95" s="1"/>
  <c r="G689" i="95" s="1"/>
  <c r="H689" i="95" s="1"/>
  <c r="I689" i="95" s="1"/>
  <c r="J689" i="95" s="1"/>
  <c r="K689" i="95" s="1"/>
  <c r="L689" i="95" s="1"/>
  <c r="M689" i="95" s="1"/>
  <c r="N689" i="95" s="1"/>
  <c r="O689" i="95" s="1"/>
  <c r="P689" i="95" s="1"/>
  <c r="Q689" i="95" s="1"/>
  <c r="R689" i="95" s="1"/>
  <c r="S689" i="95" s="1"/>
  <c r="T689" i="95" s="1"/>
  <c r="U689" i="95" s="1"/>
  <c r="V689" i="95" s="1"/>
  <c r="W689" i="95" s="1"/>
  <c r="X689" i="95" s="1"/>
  <c r="Y689" i="95" s="1"/>
  <c r="Z689" i="95" s="1"/>
  <c r="AA689" i="95" s="1"/>
  <c r="AB689" i="95" s="1"/>
  <c r="AC689" i="95" s="1"/>
  <c r="AD689" i="95" s="1"/>
  <c r="AE689" i="95" s="1"/>
  <c r="AF689" i="95" s="1"/>
  <c r="D714" i="95"/>
  <c r="E714" i="95" s="1"/>
  <c r="F714" i="95" s="1"/>
  <c r="G714" i="95" s="1"/>
  <c r="H714" i="95" s="1"/>
  <c r="I714" i="95" s="1"/>
  <c r="J714" i="95" s="1"/>
  <c r="K714" i="95" s="1"/>
  <c r="L714" i="95" s="1"/>
  <c r="M714" i="95" s="1"/>
  <c r="N714" i="95" s="1"/>
  <c r="O714" i="95" s="1"/>
  <c r="P714" i="95" s="1"/>
  <c r="Q714" i="95" s="1"/>
  <c r="R714" i="95" s="1"/>
  <c r="S714" i="95" s="1"/>
  <c r="T714" i="95" s="1"/>
  <c r="U714" i="95" s="1"/>
  <c r="V714" i="95" s="1"/>
  <c r="W714" i="95" s="1"/>
  <c r="X714" i="95" s="1"/>
  <c r="Y714" i="95" s="1"/>
  <c r="Z714" i="95" s="1"/>
  <c r="AA714" i="95" s="1"/>
  <c r="AB714" i="95" s="1"/>
  <c r="AC714" i="95" s="1"/>
  <c r="AD714" i="95" s="1"/>
  <c r="AE714" i="95" s="1"/>
  <c r="AF714" i="95" s="1"/>
  <c r="D722" i="95"/>
  <c r="E722" i="95" s="1"/>
  <c r="F722" i="95" s="1"/>
  <c r="G722" i="95" s="1"/>
  <c r="H722" i="95" s="1"/>
  <c r="I722" i="95" s="1"/>
  <c r="J722" i="95" s="1"/>
  <c r="K722" i="95" s="1"/>
  <c r="L722" i="95" s="1"/>
  <c r="M722" i="95" s="1"/>
  <c r="N722" i="95" s="1"/>
  <c r="O722" i="95" s="1"/>
  <c r="P722" i="95" s="1"/>
  <c r="Q722" i="95" s="1"/>
  <c r="R722" i="95" s="1"/>
  <c r="S722" i="95" s="1"/>
  <c r="T722" i="95" s="1"/>
  <c r="U722" i="95" s="1"/>
  <c r="V722" i="95" s="1"/>
  <c r="W722" i="95" s="1"/>
  <c r="X722" i="95" s="1"/>
  <c r="Y722" i="95" s="1"/>
  <c r="Z722" i="95" s="1"/>
  <c r="AA722" i="95" s="1"/>
  <c r="AB722" i="95" s="1"/>
  <c r="AC722" i="95" s="1"/>
  <c r="AD722" i="95" s="1"/>
  <c r="AE722" i="95" s="1"/>
  <c r="AF722" i="95" s="1"/>
  <c r="D738" i="95"/>
  <c r="E738" i="95" s="1"/>
  <c r="F738" i="95" s="1"/>
  <c r="G738" i="95" s="1"/>
  <c r="H738" i="95" s="1"/>
  <c r="I738" i="95" s="1"/>
  <c r="J738" i="95" s="1"/>
  <c r="K738" i="95" s="1"/>
  <c r="L738" i="95" s="1"/>
  <c r="M738" i="95" s="1"/>
  <c r="N738" i="95" s="1"/>
  <c r="O738" i="95" s="1"/>
  <c r="P738" i="95" s="1"/>
  <c r="Q738" i="95" s="1"/>
  <c r="R738" i="95" s="1"/>
  <c r="S738" i="95" s="1"/>
  <c r="T738" i="95" s="1"/>
  <c r="U738" i="95" s="1"/>
  <c r="V738" i="95" s="1"/>
  <c r="W738" i="95" s="1"/>
  <c r="X738" i="95" s="1"/>
  <c r="Y738" i="95" s="1"/>
  <c r="Z738" i="95" s="1"/>
  <c r="AA738" i="95" s="1"/>
  <c r="AB738" i="95" s="1"/>
  <c r="AC738" i="95" s="1"/>
  <c r="AD738" i="95" s="1"/>
  <c r="AE738" i="95" s="1"/>
  <c r="AF738" i="95" s="1"/>
  <c r="D778" i="95"/>
  <c r="E778" i="95" s="1"/>
  <c r="F778" i="95" s="1"/>
  <c r="G778" i="95" s="1"/>
  <c r="H778" i="95" s="1"/>
  <c r="I778" i="95" s="1"/>
  <c r="J778" i="95" s="1"/>
  <c r="K778" i="95" s="1"/>
  <c r="L778" i="95" s="1"/>
  <c r="M778" i="95" s="1"/>
  <c r="N778" i="95" s="1"/>
  <c r="O778" i="95" s="1"/>
  <c r="P778" i="95" s="1"/>
  <c r="Q778" i="95" s="1"/>
  <c r="R778" i="95" s="1"/>
  <c r="S778" i="95" s="1"/>
  <c r="T778" i="95" s="1"/>
  <c r="U778" i="95" s="1"/>
  <c r="V778" i="95" s="1"/>
  <c r="W778" i="95" s="1"/>
  <c r="X778" i="95" s="1"/>
  <c r="Y778" i="95" s="1"/>
  <c r="Z778" i="95" s="1"/>
  <c r="AA778" i="95" s="1"/>
  <c r="AB778" i="95" s="1"/>
  <c r="AC778" i="95" s="1"/>
  <c r="AD778" i="95" s="1"/>
  <c r="AE778" i="95" s="1"/>
  <c r="AF778" i="95" s="1"/>
  <c r="D786" i="95"/>
  <c r="E786" i="95" s="1"/>
  <c r="F786" i="95" s="1"/>
  <c r="G786" i="95" s="1"/>
  <c r="H786" i="95" s="1"/>
  <c r="I786" i="95" s="1"/>
  <c r="J786" i="95" s="1"/>
  <c r="K786" i="95" s="1"/>
  <c r="L786" i="95" s="1"/>
  <c r="M786" i="95" s="1"/>
  <c r="N786" i="95" s="1"/>
  <c r="O786" i="95" s="1"/>
  <c r="P786" i="95" s="1"/>
  <c r="Q786" i="95" s="1"/>
  <c r="R786" i="95" s="1"/>
  <c r="S786" i="95" s="1"/>
  <c r="T786" i="95" s="1"/>
  <c r="U786" i="95" s="1"/>
  <c r="V786" i="95" s="1"/>
  <c r="W786" i="95" s="1"/>
  <c r="X786" i="95" s="1"/>
  <c r="Y786" i="95" s="1"/>
  <c r="Z786" i="95" s="1"/>
  <c r="AA786" i="95" s="1"/>
  <c r="AB786" i="95" s="1"/>
  <c r="AC786" i="95" s="1"/>
  <c r="AD786" i="95" s="1"/>
  <c r="AE786" i="95" s="1"/>
  <c r="AF786" i="95" s="1"/>
  <c r="D794" i="95"/>
  <c r="E794" i="95" s="1"/>
  <c r="F794" i="95" s="1"/>
  <c r="G794" i="95" s="1"/>
  <c r="H794" i="95" s="1"/>
  <c r="I794" i="95" s="1"/>
  <c r="J794" i="95" s="1"/>
  <c r="K794" i="95" s="1"/>
  <c r="L794" i="95" s="1"/>
  <c r="M794" i="95" s="1"/>
  <c r="N794" i="95" s="1"/>
  <c r="O794" i="95" s="1"/>
  <c r="P794" i="95" s="1"/>
  <c r="Q794" i="95" s="1"/>
  <c r="R794" i="95" s="1"/>
  <c r="S794" i="95" s="1"/>
  <c r="T794" i="95" s="1"/>
  <c r="U794" i="95" s="1"/>
  <c r="V794" i="95" s="1"/>
  <c r="W794" i="95" s="1"/>
  <c r="X794" i="95" s="1"/>
  <c r="Y794" i="95" s="1"/>
  <c r="Z794" i="95" s="1"/>
  <c r="AA794" i="95" s="1"/>
  <c r="AB794" i="95" s="1"/>
  <c r="AC794" i="95" s="1"/>
  <c r="AD794" i="95" s="1"/>
  <c r="AE794" i="95" s="1"/>
  <c r="AF794" i="95" s="1"/>
  <c r="D802" i="95"/>
  <c r="E802" i="95" s="1"/>
  <c r="F802" i="95" s="1"/>
  <c r="G802" i="95" s="1"/>
  <c r="H802" i="95" s="1"/>
  <c r="I802" i="95" s="1"/>
  <c r="J802" i="95" s="1"/>
  <c r="K802" i="95" s="1"/>
  <c r="L802" i="95" s="1"/>
  <c r="M802" i="95" s="1"/>
  <c r="N802" i="95" s="1"/>
  <c r="O802" i="95" s="1"/>
  <c r="P802" i="95" s="1"/>
  <c r="Q802" i="95" s="1"/>
  <c r="R802" i="95" s="1"/>
  <c r="S802" i="95" s="1"/>
  <c r="T802" i="95" s="1"/>
  <c r="U802" i="95" s="1"/>
  <c r="V802" i="95" s="1"/>
  <c r="W802" i="95" s="1"/>
  <c r="X802" i="95" s="1"/>
  <c r="Y802" i="95" s="1"/>
  <c r="Z802" i="95" s="1"/>
  <c r="AA802" i="95" s="1"/>
  <c r="AB802" i="95" s="1"/>
  <c r="AC802" i="95" s="1"/>
  <c r="AD802" i="95" s="1"/>
  <c r="AE802" i="95" s="1"/>
  <c r="AF802" i="95" s="1"/>
  <c r="D970" i="95"/>
  <c r="E970" i="95" s="1"/>
  <c r="F970" i="95" s="1"/>
  <c r="G970" i="95" s="1"/>
  <c r="H970" i="95" s="1"/>
  <c r="I970" i="95" s="1"/>
  <c r="J970" i="95" s="1"/>
  <c r="K970" i="95" s="1"/>
  <c r="L970" i="95" s="1"/>
  <c r="M970" i="95" s="1"/>
  <c r="N970" i="95" s="1"/>
  <c r="O970" i="95" s="1"/>
  <c r="P970" i="95" s="1"/>
  <c r="Q970" i="95" s="1"/>
  <c r="R970" i="95" s="1"/>
  <c r="S970" i="95" s="1"/>
  <c r="T970" i="95" s="1"/>
  <c r="U970" i="95" s="1"/>
  <c r="V970" i="95" s="1"/>
  <c r="W970" i="95" s="1"/>
  <c r="X970" i="95" s="1"/>
  <c r="Y970" i="95" s="1"/>
  <c r="Z970" i="95" s="1"/>
  <c r="AA970" i="95" s="1"/>
  <c r="AB970" i="95" s="1"/>
  <c r="AC970" i="95" s="1"/>
  <c r="AD970" i="95" s="1"/>
  <c r="AE970" i="95" s="1"/>
  <c r="AF970" i="95" s="1"/>
  <c r="D986" i="95"/>
  <c r="E986" i="95" s="1"/>
  <c r="F986" i="95" s="1"/>
  <c r="G986" i="95" s="1"/>
  <c r="H986" i="95" s="1"/>
  <c r="I986" i="95" s="1"/>
  <c r="J986" i="95" s="1"/>
  <c r="K986" i="95" s="1"/>
  <c r="L986" i="95" s="1"/>
  <c r="M986" i="95" s="1"/>
  <c r="N986" i="95" s="1"/>
  <c r="O986" i="95" s="1"/>
  <c r="P986" i="95" s="1"/>
  <c r="Q986" i="95" s="1"/>
  <c r="R986" i="95" s="1"/>
  <c r="S986" i="95" s="1"/>
  <c r="T986" i="95" s="1"/>
  <c r="U986" i="95" s="1"/>
  <c r="V986" i="95" s="1"/>
  <c r="W986" i="95" s="1"/>
  <c r="X986" i="95" s="1"/>
  <c r="Y986" i="95" s="1"/>
  <c r="Z986" i="95" s="1"/>
  <c r="AA986" i="95" s="1"/>
  <c r="AB986" i="95" s="1"/>
  <c r="AC986" i="95" s="1"/>
  <c r="AD986" i="95" s="1"/>
  <c r="AE986" i="95" s="1"/>
  <c r="AF986" i="95" s="1"/>
  <c r="D715" i="95"/>
  <c r="E715" i="95" s="1"/>
  <c r="F715" i="95" s="1"/>
  <c r="G715" i="95" s="1"/>
  <c r="H715" i="95" s="1"/>
  <c r="I715" i="95" s="1"/>
  <c r="J715" i="95" s="1"/>
  <c r="K715" i="95" s="1"/>
  <c r="L715" i="95" s="1"/>
  <c r="M715" i="95" s="1"/>
  <c r="N715" i="95" s="1"/>
  <c r="O715" i="95" s="1"/>
  <c r="P715" i="95" s="1"/>
  <c r="Q715" i="95" s="1"/>
  <c r="R715" i="95" s="1"/>
  <c r="S715" i="95" s="1"/>
  <c r="T715" i="95" s="1"/>
  <c r="U715" i="95" s="1"/>
  <c r="V715" i="95" s="1"/>
  <c r="W715" i="95" s="1"/>
  <c r="X715" i="95" s="1"/>
  <c r="Y715" i="95" s="1"/>
  <c r="Z715" i="95" s="1"/>
  <c r="AA715" i="95" s="1"/>
  <c r="AB715" i="95" s="1"/>
  <c r="AC715" i="95" s="1"/>
  <c r="AD715" i="95" s="1"/>
  <c r="AE715" i="95" s="1"/>
  <c r="AF715" i="95" s="1"/>
  <c r="D739" i="95"/>
  <c r="E739" i="95" s="1"/>
  <c r="F739" i="95" s="1"/>
  <c r="G739" i="95" s="1"/>
  <c r="H739" i="95" s="1"/>
  <c r="I739" i="95" s="1"/>
  <c r="J739" i="95" s="1"/>
  <c r="K739" i="95" s="1"/>
  <c r="L739" i="95" s="1"/>
  <c r="M739" i="95" s="1"/>
  <c r="N739" i="95" s="1"/>
  <c r="O739" i="95" s="1"/>
  <c r="P739" i="95" s="1"/>
  <c r="Q739" i="95" s="1"/>
  <c r="R739" i="95" s="1"/>
  <c r="S739" i="95" s="1"/>
  <c r="T739" i="95" s="1"/>
  <c r="U739" i="95" s="1"/>
  <c r="V739" i="95" s="1"/>
  <c r="W739" i="95" s="1"/>
  <c r="X739" i="95" s="1"/>
  <c r="Y739" i="95" s="1"/>
  <c r="Z739" i="95" s="1"/>
  <c r="AA739" i="95" s="1"/>
  <c r="AB739" i="95" s="1"/>
  <c r="AC739" i="95" s="1"/>
  <c r="AD739" i="95" s="1"/>
  <c r="AE739" i="95" s="1"/>
  <c r="AF739" i="95" s="1"/>
  <c r="D803" i="95"/>
  <c r="E803" i="95" s="1"/>
  <c r="F803" i="95" s="1"/>
  <c r="G803" i="95" s="1"/>
  <c r="H803" i="95" s="1"/>
  <c r="I803" i="95" s="1"/>
  <c r="J803" i="95" s="1"/>
  <c r="K803" i="95" s="1"/>
  <c r="L803" i="95" s="1"/>
  <c r="M803" i="95" s="1"/>
  <c r="N803" i="95" s="1"/>
  <c r="O803" i="95" s="1"/>
  <c r="P803" i="95" s="1"/>
  <c r="Q803" i="95" s="1"/>
  <c r="R803" i="95" s="1"/>
  <c r="S803" i="95" s="1"/>
  <c r="T803" i="95" s="1"/>
  <c r="U803" i="95" s="1"/>
  <c r="V803" i="95" s="1"/>
  <c r="W803" i="95" s="1"/>
  <c r="X803" i="95" s="1"/>
  <c r="Y803" i="95" s="1"/>
  <c r="Z803" i="95" s="1"/>
  <c r="AA803" i="95" s="1"/>
  <c r="AB803" i="95" s="1"/>
  <c r="AC803" i="95" s="1"/>
  <c r="AD803" i="95" s="1"/>
  <c r="AE803" i="95" s="1"/>
  <c r="AF803" i="95" s="1"/>
  <c r="D819" i="95"/>
  <c r="E819" i="95" s="1"/>
  <c r="F819" i="95" s="1"/>
  <c r="G819" i="95" s="1"/>
  <c r="H819" i="95" s="1"/>
  <c r="I819" i="95" s="1"/>
  <c r="J819" i="95" s="1"/>
  <c r="K819" i="95" s="1"/>
  <c r="L819" i="95" s="1"/>
  <c r="M819" i="95" s="1"/>
  <c r="N819" i="95" s="1"/>
  <c r="O819" i="95" s="1"/>
  <c r="P819" i="95" s="1"/>
  <c r="Q819" i="95" s="1"/>
  <c r="R819" i="95" s="1"/>
  <c r="S819" i="95" s="1"/>
  <c r="T819" i="95" s="1"/>
  <c r="U819" i="95" s="1"/>
  <c r="V819" i="95" s="1"/>
  <c r="W819" i="95" s="1"/>
  <c r="X819" i="95" s="1"/>
  <c r="Y819" i="95" s="1"/>
  <c r="Z819" i="95" s="1"/>
  <c r="AA819" i="95" s="1"/>
  <c r="AB819" i="95" s="1"/>
  <c r="AC819" i="95" s="1"/>
  <c r="AD819" i="95" s="1"/>
  <c r="AE819" i="95" s="1"/>
  <c r="AF819" i="95" s="1"/>
  <c r="D843" i="95"/>
  <c r="E843" i="95" s="1"/>
  <c r="F843" i="95" s="1"/>
  <c r="G843" i="95" s="1"/>
  <c r="H843" i="95" s="1"/>
  <c r="I843" i="95" s="1"/>
  <c r="J843" i="95" s="1"/>
  <c r="K843" i="95" s="1"/>
  <c r="L843" i="95" s="1"/>
  <c r="M843" i="95" s="1"/>
  <c r="N843" i="95" s="1"/>
  <c r="O843" i="95" s="1"/>
  <c r="P843" i="95" s="1"/>
  <c r="Q843" i="95" s="1"/>
  <c r="R843" i="95" s="1"/>
  <c r="S843" i="95" s="1"/>
  <c r="T843" i="95" s="1"/>
  <c r="U843" i="95" s="1"/>
  <c r="V843" i="95" s="1"/>
  <c r="W843" i="95" s="1"/>
  <c r="X843" i="95" s="1"/>
  <c r="Y843" i="95" s="1"/>
  <c r="Z843" i="95" s="1"/>
  <c r="AA843" i="95" s="1"/>
  <c r="AB843" i="95" s="1"/>
  <c r="AC843" i="95" s="1"/>
  <c r="AD843" i="95" s="1"/>
  <c r="AE843" i="95" s="1"/>
  <c r="AF843" i="95" s="1"/>
  <c r="D867" i="95"/>
  <c r="E867" i="95" s="1"/>
  <c r="F867" i="95" s="1"/>
  <c r="G867" i="95" s="1"/>
  <c r="H867" i="95" s="1"/>
  <c r="I867" i="95" s="1"/>
  <c r="J867" i="95" s="1"/>
  <c r="K867" i="95" s="1"/>
  <c r="L867" i="95" s="1"/>
  <c r="M867" i="95" s="1"/>
  <c r="N867" i="95" s="1"/>
  <c r="O867" i="95" s="1"/>
  <c r="P867" i="95" s="1"/>
  <c r="Q867" i="95" s="1"/>
  <c r="R867" i="95" s="1"/>
  <c r="S867" i="95" s="1"/>
  <c r="T867" i="95" s="1"/>
  <c r="U867" i="95" s="1"/>
  <c r="V867" i="95" s="1"/>
  <c r="W867" i="95" s="1"/>
  <c r="X867" i="95" s="1"/>
  <c r="Y867" i="95" s="1"/>
  <c r="Z867" i="95" s="1"/>
  <c r="AA867" i="95" s="1"/>
  <c r="AB867" i="95" s="1"/>
  <c r="AC867" i="95" s="1"/>
  <c r="AD867" i="95" s="1"/>
  <c r="AE867" i="95" s="1"/>
  <c r="AF867" i="95" s="1"/>
  <c r="D899" i="95"/>
  <c r="E899" i="95" s="1"/>
  <c r="F899" i="95" s="1"/>
  <c r="G899" i="95" s="1"/>
  <c r="H899" i="95" s="1"/>
  <c r="I899" i="95" s="1"/>
  <c r="J899" i="95" s="1"/>
  <c r="K899" i="95" s="1"/>
  <c r="L899" i="95" s="1"/>
  <c r="M899" i="95" s="1"/>
  <c r="N899" i="95" s="1"/>
  <c r="O899" i="95" s="1"/>
  <c r="P899" i="95" s="1"/>
  <c r="Q899" i="95" s="1"/>
  <c r="R899" i="95" s="1"/>
  <c r="S899" i="95" s="1"/>
  <c r="T899" i="95" s="1"/>
  <c r="U899" i="95" s="1"/>
  <c r="V899" i="95" s="1"/>
  <c r="W899" i="95" s="1"/>
  <c r="X899" i="95" s="1"/>
  <c r="Y899" i="95" s="1"/>
  <c r="Z899" i="95" s="1"/>
  <c r="AA899" i="95" s="1"/>
  <c r="AB899" i="95" s="1"/>
  <c r="AC899" i="95" s="1"/>
  <c r="AD899" i="95" s="1"/>
  <c r="AE899" i="95" s="1"/>
  <c r="AF899" i="95" s="1"/>
  <c r="D907" i="95"/>
  <c r="E907" i="95" s="1"/>
  <c r="F907" i="95" s="1"/>
  <c r="G907" i="95" s="1"/>
  <c r="H907" i="95" s="1"/>
  <c r="I907" i="95" s="1"/>
  <c r="J907" i="95" s="1"/>
  <c r="K907" i="95" s="1"/>
  <c r="L907" i="95" s="1"/>
  <c r="M907" i="95" s="1"/>
  <c r="N907" i="95" s="1"/>
  <c r="O907" i="95" s="1"/>
  <c r="P907" i="95" s="1"/>
  <c r="Q907" i="95" s="1"/>
  <c r="R907" i="95" s="1"/>
  <c r="S907" i="95" s="1"/>
  <c r="T907" i="95" s="1"/>
  <c r="U907" i="95" s="1"/>
  <c r="V907" i="95" s="1"/>
  <c r="W907" i="95" s="1"/>
  <c r="X907" i="95" s="1"/>
  <c r="Y907" i="95" s="1"/>
  <c r="Z907" i="95" s="1"/>
  <c r="AA907" i="95" s="1"/>
  <c r="AB907" i="95" s="1"/>
  <c r="AC907" i="95" s="1"/>
  <c r="AD907" i="95" s="1"/>
  <c r="AE907" i="95" s="1"/>
  <c r="AF907" i="95" s="1"/>
  <c r="D971" i="95"/>
  <c r="E971" i="95" s="1"/>
  <c r="F971" i="95" s="1"/>
  <c r="G971" i="95" s="1"/>
  <c r="H971" i="95" s="1"/>
  <c r="I971" i="95" s="1"/>
  <c r="J971" i="95" s="1"/>
  <c r="K971" i="95" s="1"/>
  <c r="L971" i="95" s="1"/>
  <c r="M971" i="95" s="1"/>
  <c r="N971" i="95" s="1"/>
  <c r="O971" i="95" s="1"/>
  <c r="P971" i="95" s="1"/>
  <c r="Q971" i="95" s="1"/>
  <c r="R971" i="95" s="1"/>
  <c r="S971" i="95" s="1"/>
  <c r="T971" i="95" s="1"/>
  <c r="U971" i="95" s="1"/>
  <c r="V971" i="95" s="1"/>
  <c r="W971" i="95" s="1"/>
  <c r="X971" i="95" s="1"/>
  <c r="Y971" i="95" s="1"/>
  <c r="Z971" i="95" s="1"/>
  <c r="AA971" i="95" s="1"/>
  <c r="AB971" i="95" s="1"/>
  <c r="AC971" i="95" s="1"/>
  <c r="AD971" i="95" s="1"/>
  <c r="AE971" i="95" s="1"/>
  <c r="AF971" i="95" s="1"/>
  <c r="D975" i="95"/>
  <c r="E975" i="95" s="1"/>
  <c r="F975" i="95" s="1"/>
  <c r="G975" i="95" s="1"/>
  <c r="H975" i="95" s="1"/>
  <c r="I975" i="95" s="1"/>
  <c r="J975" i="95" s="1"/>
  <c r="K975" i="95" s="1"/>
  <c r="L975" i="95" s="1"/>
  <c r="M975" i="95" s="1"/>
  <c r="N975" i="95" s="1"/>
  <c r="O975" i="95" s="1"/>
  <c r="P975" i="95" s="1"/>
  <c r="Q975" i="95" s="1"/>
  <c r="R975" i="95" s="1"/>
  <c r="S975" i="95" s="1"/>
  <c r="T975" i="95" s="1"/>
  <c r="U975" i="95" s="1"/>
  <c r="V975" i="95" s="1"/>
  <c r="W975" i="95" s="1"/>
  <c r="X975" i="95" s="1"/>
  <c r="Y975" i="95" s="1"/>
  <c r="Z975" i="95" s="1"/>
  <c r="AA975" i="95" s="1"/>
  <c r="AB975" i="95" s="1"/>
  <c r="AC975" i="95" s="1"/>
  <c r="AD975" i="95" s="1"/>
  <c r="AE975" i="95" s="1"/>
  <c r="AF975" i="95" s="1"/>
  <c r="D999" i="95"/>
  <c r="E999" i="95" s="1"/>
  <c r="F999" i="95" s="1"/>
  <c r="G999" i="95" s="1"/>
  <c r="H999" i="95" s="1"/>
  <c r="I999" i="95" s="1"/>
  <c r="J999" i="95" s="1"/>
  <c r="K999" i="95" s="1"/>
  <c r="L999" i="95" s="1"/>
  <c r="M999" i="95" s="1"/>
  <c r="N999" i="95" s="1"/>
  <c r="O999" i="95" s="1"/>
  <c r="P999" i="95" s="1"/>
  <c r="Q999" i="95" s="1"/>
  <c r="R999" i="95" s="1"/>
  <c r="S999" i="95" s="1"/>
  <c r="T999" i="95" s="1"/>
  <c r="U999" i="95" s="1"/>
  <c r="V999" i="95" s="1"/>
  <c r="W999" i="95" s="1"/>
  <c r="X999" i="95" s="1"/>
  <c r="Y999" i="95" s="1"/>
  <c r="Z999" i="95" s="1"/>
  <c r="AA999" i="95" s="1"/>
  <c r="AB999" i="95" s="1"/>
  <c r="AC999" i="95" s="1"/>
  <c r="AD999" i="95" s="1"/>
  <c r="AE999" i="95" s="1"/>
  <c r="AF999" i="95" s="1"/>
  <c r="D700" i="95"/>
  <c r="E700" i="95" s="1"/>
  <c r="F700" i="95" s="1"/>
  <c r="G700" i="95" s="1"/>
  <c r="H700" i="95" s="1"/>
  <c r="I700" i="95" s="1"/>
  <c r="J700" i="95" s="1"/>
  <c r="K700" i="95" s="1"/>
  <c r="L700" i="95" s="1"/>
  <c r="M700" i="95" s="1"/>
  <c r="N700" i="95" s="1"/>
  <c r="O700" i="95" s="1"/>
  <c r="P700" i="95" s="1"/>
  <c r="Q700" i="95" s="1"/>
  <c r="R700" i="95" s="1"/>
  <c r="S700" i="95" s="1"/>
  <c r="T700" i="95" s="1"/>
  <c r="U700" i="95" s="1"/>
  <c r="V700" i="95" s="1"/>
  <c r="W700" i="95" s="1"/>
  <c r="X700" i="95" s="1"/>
  <c r="Y700" i="95" s="1"/>
  <c r="Z700" i="95" s="1"/>
  <c r="AA700" i="95" s="1"/>
  <c r="AB700" i="95" s="1"/>
  <c r="AC700" i="95" s="1"/>
  <c r="AD700" i="95" s="1"/>
  <c r="AE700" i="95" s="1"/>
  <c r="AF700" i="95" s="1"/>
  <c r="D732" i="95"/>
  <c r="E732" i="95" s="1"/>
  <c r="F732" i="95" s="1"/>
  <c r="G732" i="95" s="1"/>
  <c r="H732" i="95" s="1"/>
  <c r="I732" i="95" s="1"/>
  <c r="J732" i="95" s="1"/>
  <c r="K732" i="95" s="1"/>
  <c r="L732" i="95" s="1"/>
  <c r="M732" i="95" s="1"/>
  <c r="N732" i="95" s="1"/>
  <c r="O732" i="95" s="1"/>
  <c r="P732" i="95" s="1"/>
  <c r="Q732" i="95" s="1"/>
  <c r="R732" i="95" s="1"/>
  <c r="S732" i="95" s="1"/>
  <c r="T732" i="95" s="1"/>
  <c r="U732" i="95" s="1"/>
  <c r="V732" i="95" s="1"/>
  <c r="W732" i="95" s="1"/>
  <c r="X732" i="95" s="1"/>
  <c r="Y732" i="95" s="1"/>
  <c r="Z732" i="95" s="1"/>
  <c r="AA732" i="95" s="1"/>
  <c r="AB732" i="95" s="1"/>
  <c r="AC732" i="95" s="1"/>
  <c r="AD732" i="95" s="1"/>
  <c r="AE732" i="95" s="1"/>
  <c r="AF732" i="95" s="1"/>
  <c r="D740" i="95"/>
  <c r="E740" i="95" s="1"/>
  <c r="F740" i="95" s="1"/>
  <c r="G740" i="95" s="1"/>
  <c r="H740" i="95" s="1"/>
  <c r="I740" i="95" s="1"/>
  <c r="J740" i="95" s="1"/>
  <c r="K740" i="95" s="1"/>
  <c r="L740" i="95" s="1"/>
  <c r="M740" i="95" s="1"/>
  <c r="N740" i="95" s="1"/>
  <c r="O740" i="95" s="1"/>
  <c r="P740" i="95" s="1"/>
  <c r="Q740" i="95" s="1"/>
  <c r="R740" i="95" s="1"/>
  <c r="S740" i="95" s="1"/>
  <c r="T740" i="95" s="1"/>
  <c r="U740" i="95" s="1"/>
  <c r="V740" i="95" s="1"/>
  <c r="W740" i="95" s="1"/>
  <c r="X740" i="95" s="1"/>
  <c r="Y740" i="95" s="1"/>
  <c r="Z740" i="95" s="1"/>
  <c r="AA740" i="95" s="1"/>
  <c r="AB740" i="95" s="1"/>
  <c r="AC740" i="95" s="1"/>
  <c r="AD740" i="95" s="1"/>
  <c r="AE740" i="95" s="1"/>
  <c r="AF740" i="95" s="1"/>
  <c r="D780" i="95"/>
  <c r="E780" i="95" s="1"/>
  <c r="F780" i="95" s="1"/>
  <c r="G780" i="95" s="1"/>
  <c r="H780" i="95" s="1"/>
  <c r="I780" i="95" s="1"/>
  <c r="J780" i="95" s="1"/>
  <c r="K780" i="95" s="1"/>
  <c r="L780" i="95" s="1"/>
  <c r="M780" i="95" s="1"/>
  <c r="N780" i="95" s="1"/>
  <c r="O780" i="95" s="1"/>
  <c r="P780" i="95" s="1"/>
  <c r="Q780" i="95" s="1"/>
  <c r="R780" i="95" s="1"/>
  <c r="S780" i="95" s="1"/>
  <c r="T780" i="95" s="1"/>
  <c r="U780" i="95" s="1"/>
  <c r="V780" i="95" s="1"/>
  <c r="W780" i="95" s="1"/>
  <c r="X780" i="95" s="1"/>
  <c r="Y780" i="95" s="1"/>
  <c r="Z780" i="95" s="1"/>
  <c r="AA780" i="95" s="1"/>
  <c r="AB780" i="95" s="1"/>
  <c r="AC780" i="95" s="1"/>
  <c r="AD780" i="95" s="1"/>
  <c r="AE780" i="95" s="1"/>
  <c r="AF780" i="95" s="1"/>
  <c r="D804" i="95"/>
  <c r="E804" i="95" s="1"/>
  <c r="F804" i="95" s="1"/>
  <c r="G804" i="95" s="1"/>
  <c r="H804" i="95" s="1"/>
  <c r="I804" i="95" s="1"/>
  <c r="J804" i="95" s="1"/>
  <c r="K804" i="95" s="1"/>
  <c r="L804" i="95" s="1"/>
  <c r="M804" i="95" s="1"/>
  <c r="N804" i="95" s="1"/>
  <c r="O804" i="95" s="1"/>
  <c r="P804" i="95" s="1"/>
  <c r="Q804" i="95" s="1"/>
  <c r="R804" i="95" s="1"/>
  <c r="S804" i="95" s="1"/>
  <c r="T804" i="95" s="1"/>
  <c r="U804" i="95" s="1"/>
  <c r="V804" i="95" s="1"/>
  <c r="W804" i="95" s="1"/>
  <c r="X804" i="95" s="1"/>
  <c r="Y804" i="95" s="1"/>
  <c r="Z804" i="95" s="1"/>
  <c r="AA804" i="95" s="1"/>
  <c r="AB804" i="95" s="1"/>
  <c r="AC804" i="95" s="1"/>
  <c r="AD804" i="95" s="1"/>
  <c r="AE804" i="95" s="1"/>
  <c r="AF804" i="95" s="1"/>
  <c r="D844" i="95"/>
  <c r="E844" i="95" s="1"/>
  <c r="F844" i="95" s="1"/>
  <c r="G844" i="95" s="1"/>
  <c r="H844" i="95" s="1"/>
  <c r="I844" i="95" s="1"/>
  <c r="J844" i="95" s="1"/>
  <c r="K844" i="95" s="1"/>
  <c r="L844" i="95" s="1"/>
  <c r="M844" i="95" s="1"/>
  <c r="N844" i="95" s="1"/>
  <c r="O844" i="95" s="1"/>
  <c r="P844" i="95" s="1"/>
  <c r="Q844" i="95" s="1"/>
  <c r="R844" i="95" s="1"/>
  <c r="S844" i="95" s="1"/>
  <c r="T844" i="95" s="1"/>
  <c r="U844" i="95" s="1"/>
  <c r="V844" i="95" s="1"/>
  <c r="W844" i="95" s="1"/>
  <c r="X844" i="95" s="1"/>
  <c r="Y844" i="95" s="1"/>
  <c r="Z844" i="95" s="1"/>
  <c r="AA844" i="95" s="1"/>
  <c r="AB844" i="95" s="1"/>
  <c r="AC844" i="95" s="1"/>
  <c r="AD844" i="95" s="1"/>
  <c r="AE844" i="95" s="1"/>
  <c r="AF844" i="95" s="1"/>
  <c r="D892" i="95"/>
  <c r="E892" i="95" s="1"/>
  <c r="F892" i="95" s="1"/>
  <c r="G892" i="95" s="1"/>
  <c r="H892" i="95" s="1"/>
  <c r="I892" i="95" s="1"/>
  <c r="J892" i="95" s="1"/>
  <c r="K892" i="95" s="1"/>
  <c r="L892" i="95" s="1"/>
  <c r="M892" i="95" s="1"/>
  <c r="N892" i="95" s="1"/>
  <c r="O892" i="95" s="1"/>
  <c r="P892" i="95" s="1"/>
  <c r="Q892" i="95" s="1"/>
  <c r="R892" i="95" s="1"/>
  <c r="S892" i="95" s="1"/>
  <c r="T892" i="95" s="1"/>
  <c r="U892" i="95" s="1"/>
  <c r="V892" i="95" s="1"/>
  <c r="W892" i="95" s="1"/>
  <c r="X892" i="95" s="1"/>
  <c r="Y892" i="95" s="1"/>
  <c r="Z892" i="95" s="1"/>
  <c r="AA892" i="95" s="1"/>
  <c r="AB892" i="95" s="1"/>
  <c r="AC892" i="95" s="1"/>
  <c r="AD892" i="95" s="1"/>
  <c r="AE892" i="95" s="1"/>
  <c r="AF892" i="95" s="1"/>
  <c r="D924" i="95"/>
  <c r="E924" i="95" s="1"/>
  <c r="F924" i="95" s="1"/>
  <c r="G924" i="95" s="1"/>
  <c r="H924" i="95" s="1"/>
  <c r="I924" i="95" s="1"/>
  <c r="J924" i="95" s="1"/>
  <c r="K924" i="95" s="1"/>
  <c r="L924" i="95" s="1"/>
  <c r="M924" i="95" s="1"/>
  <c r="N924" i="95" s="1"/>
  <c r="O924" i="95" s="1"/>
  <c r="P924" i="95" s="1"/>
  <c r="Q924" i="95" s="1"/>
  <c r="R924" i="95" s="1"/>
  <c r="S924" i="95" s="1"/>
  <c r="T924" i="95" s="1"/>
  <c r="U924" i="95" s="1"/>
  <c r="V924" i="95" s="1"/>
  <c r="W924" i="95" s="1"/>
  <c r="X924" i="95" s="1"/>
  <c r="Y924" i="95" s="1"/>
  <c r="Z924" i="95" s="1"/>
  <c r="AA924" i="95" s="1"/>
  <c r="AB924" i="95" s="1"/>
  <c r="AC924" i="95" s="1"/>
  <c r="AD924" i="95" s="1"/>
  <c r="AE924" i="95" s="1"/>
  <c r="AF924" i="95" s="1"/>
  <c r="D885" i="95"/>
  <c r="E885" i="95" s="1"/>
  <c r="F885" i="95" s="1"/>
  <c r="G885" i="95" s="1"/>
  <c r="H885" i="95" s="1"/>
  <c r="I885" i="95" s="1"/>
  <c r="J885" i="95" s="1"/>
  <c r="K885" i="95" s="1"/>
  <c r="L885" i="95" s="1"/>
  <c r="M885" i="95" s="1"/>
  <c r="N885" i="95" s="1"/>
  <c r="O885" i="95" s="1"/>
  <c r="P885" i="95" s="1"/>
  <c r="Q885" i="95" s="1"/>
  <c r="R885" i="95" s="1"/>
  <c r="S885" i="95" s="1"/>
  <c r="T885" i="95" s="1"/>
  <c r="U885" i="95" s="1"/>
  <c r="V885" i="95" s="1"/>
  <c r="W885" i="95" s="1"/>
  <c r="X885" i="95" s="1"/>
  <c r="Y885" i="95" s="1"/>
  <c r="Z885" i="95" s="1"/>
  <c r="AA885" i="95" s="1"/>
  <c r="AB885" i="95" s="1"/>
  <c r="AC885" i="95" s="1"/>
  <c r="AD885" i="95" s="1"/>
  <c r="AE885" i="95" s="1"/>
  <c r="AF885" i="95" s="1"/>
  <c r="D965" i="95"/>
  <c r="E965" i="95" s="1"/>
  <c r="F965" i="95" s="1"/>
  <c r="G965" i="95" s="1"/>
  <c r="H965" i="95" s="1"/>
  <c r="I965" i="95" s="1"/>
  <c r="J965" i="95" s="1"/>
  <c r="K965" i="95" s="1"/>
  <c r="L965" i="95" s="1"/>
  <c r="M965" i="95" s="1"/>
  <c r="N965" i="95" s="1"/>
  <c r="O965" i="95" s="1"/>
  <c r="P965" i="95" s="1"/>
  <c r="Q965" i="95" s="1"/>
  <c r="R965" i="95" s="1"/>
  <c r="S965" i="95" s="1"/>
  <c r="T965" i="95" s="1"/>
  <c r="U965" i="95" s="1"/>
  <c r="V965" i="95" s="1"/>
  <c r="W965" i="95" s="1"/>
  <c r="X965" i="95" s="1"/>
  <c r="Y965" i="95" s="1"/>
  <c r="Z965" i="95" s="1"/>
  <c r="AA965" i="95" s="1"/>
  <c r="AB965" i="95" s="1"/>
  <c r="AC965" i="95" s="1"/>
  <c r="AD965" i="95" s="1"/>
  <c r="AE965" i="95" s="1"/>
  <c r="AF965" i="95" s="1"/>
  <c r="D911" i="95"/>
  <c r="E911" i="95" s="1"/>
  <c r="F911" i="95" s="1"/>
  <c r="G911" i="95" s="1"/>
  <c r="H911" i="95" s="1"/>
  <c r="I911" i="95" s="1"/>
  <c r="J911" i="95" s="1"/>
  <c r="K911" i="95" s="1"/>
  <c r="L911" i="95" s="1"/>
  <c r="M911" i="95" s="1"/>
  <c r="N911" i="95" s="1"/>
  <c r="O911" i="95" s="1"/>
  <c r="P911" i="95" s="1"/>
  <c r="Q911" i="95" s="1"/>
  <c r="R911" i="95" s="1"/>
  <c r="S911" i="95" s="1"/>
  <c r="T911" i="95" s="1"/>
  <c r="U911" i="95" s="1"/>
  <c r="V911" i="95" s="1"/>
  <c r="W911" i="95" s="1"/>
  <c r="X911" i="95" s="1"/>
  <c r="Y911" i="95" s="1"/>
  <c r="Z911" i="95" s="1"/>
  <c r="AA911" i="95" s="1"/>
  <c r="AB911" i="95" s="1"/>
  <c r="AC911" i="95" s="1"/>
  <c r="AD911" i="95" s="1"/>
  <c r="AE911" i="95" s="1"/>
  <c r="AF911" i="95" s="1"/>
  <c r="D1013" i="95"/>
  <c r="E1013" i="95" s="1"/>
  <c r="F1013" i="95" s="1"/>
  <c r="G1013" i="95" s="1"/>
  <c r="H1013" i="95" s="1"/>
  <c r="I1013" i="95" s="1"/>
  <c r="J1013" i="95" s="1"/>
  <c r="K1013" i="95" s="1"/>
  <c r="L1013" i="95" s="1"/>
  <c r="M1013" i="95" s="1"/>
  <c r="N1013" i="95" s="1"/>
  <c r="O1013" i="95" s="1"/>
  <c r="P1013" i="95" s="1"/>
  <c r="Q1013" i="95" s="1"/>
  <c r="R1013" i="95" s="1"/>
  <c r="S1013" i="95" s="1"/>
  <c r="T1013" i="95" s="1"/>
  <c r="U1013" i="95" s="1"/>
  <c r="V1013" i="95" s="1"/>
  <c r="W1013" i="95" s="1"/>
  <c r="X1013" i="95" s="1"/>
  <c r="Y1013" i="95" s="1"/>
  <c r="Z1013" i="95" s="1"/>
  <c r="AA1013" i="95" s="1"/>
  <c r="AB1013" i="95" s="1"/>
  <c r="AC1013" i="95" s="1"/>
  <c r="AD1013" i="95" s="1"/>
  <c r="AE1013" i="95" s="1"/>
  <c r="AF1013" i="95" s="1"/>
  <c r="D694" i="95"/>
  <c r="E694" i="95" s="1"/>
  <c r="F694" i="95" s="1"/>
  <c r="G694" i="95" s="1"/>
  <c r="H694" i="95" s="1"/>
  <c r="I694" i="95" s="1"/>
  <c r="J694" i="95" s="1"/>
  <c r="K694" i="95" s="1"/>
  <c r="L694" i="95" s="1"/>
  <c r="M694" i="95" s="1"/>
  <c r="N694" i="95" s="1"/>
  <c r="O694" i="95" s="1"/>
  <c r="P694" i="95" s="1"/>
  <c r="Q694" i="95" s="1"/>
  <c r="R694" i="95" s="1"/>
  <c r="S694" i="95" s="1"/>
  <c r="T694" i="95" s="1"/>
  <c r="U694" i="95" s="1"/>
  <c r="V694" i="95" s="1"/>
  <c r="W694" i="95" s="1"/>
  <c r="X694" i="95" s="1"/>
  <c r="Y694" i="95" s="1"/>
  <c r="Z694" i="95" s="1"/>
  <c r="AA694" i="95" s="1"/>
  <c r="AB694" i="95" s="1"/>
  <c r="AC694" i="95" s="1"/>
  <c r="AD694" i="95" s="1"/>
  <c r="AE694" i="95" s="1"/>
  <c r="AF694" i="95" s="1"/>
  <c r="D726" i="95"/>
  <c r="E726" i="95" s="1"/>
  <c r="F726" i="95" s="1"/>
  <c r="G726" i="95" s="1"/>
  <c r="H726" i="95" s="1"/>
  <c r="I726" i="95" s="1"/>
  <c r="J726" i="95" s="1"/>
  <c r="K726" i="95" s="1"/>
  <c r="L726" i="95" s="1"/>
  <c r="M726" i="95" s="1"/>
  <c r="N726" i="95" s="1"/>
  <c r="O726" i="95" s="1"/>
  <c r="P726" i="95" s="1"/>
  <c r="Q726" i="95" s="1"/>
  <c r="R726" i="95" s="1"/>
  <c r="S726" i="95" s="1"/>
  <c r="T726" i="95" s="1"/>
  <c r="U726" i="95" s="1"/>
  <c r="V726" i="95" s="1"/>
  <c r="W726" i="95" s="1"/>
  <c r="X726" i="95" s="1"/>
  <c r="Y726" i="95" s="1"/>
  <c r="Z726" i="95" s="1"/>
  <c r="AA726" i="95" s="1"/>
  <c r="AB726" i="95" s="1"/>
  <c r="AC726" i="95" s="1"/>
  <c r="AD726" i="95" s="1"/>
  <c r="AE726" i="95" s="1"/>
  <c r="AF726" i="95" s="1"/>
  <c r="D734" i="95"/>
  <c r="E734" i="95" s="1"/>
  <c r="F734" i="95" s="1"/>
  <c r="G734" i="95" s="1"/>
  <c r="H734" i="95" s="1"/>
  <c r="I734" i="95" s="1"/>
  <c r="J734" i="95" s="1"/>
  <c r="K734" i="95" s="1"/>
  <c r="L734" i="95" s="1"/>
  <c r="M734" i="95" s="1"/>
  <c r="N734" i="95" s="1"/>
  <c r="O734" i="95" s="1"/>
  <c r="P734" i="95" s="1"/>
  <c r="Q734" i="95" s="1"/>
  <c r="R734" i="95" s="1"/>
  <c r="S734" i="95" s="1"/>
  <c r="T734" i="95" s="1"/>
  <c r="U734" i="95" s="1"/>
  <c r="V734" i="95" s="1"/>
  <c r="W734" i="95" s="1"/>
  <c r="X734" i="95" s="1"/>
  <c r="Y734" i="95" s="1"/>
  <c r="Z734" i="95" s="1"/>
  <c r="AA734" i="95" s="1"/>
  <c r="AB734" i="95" s="1"/>
  <c r="AC734" i="95" s="1"/>
  <c r="AD734" i="95" s="1"/>
  <c r="AE734" i="95" s="1"/>
  <c r="AF734" i="95" s="1"/>
  <c r="D798" i="95"/>
  <c r="E798" i="95" s="1"/>
  <c r="F798" i="95" s="1"/>
  <c r="G798" i="95" s="1"/>
  <c r="H798" i="95" s="1"/>
  <c r="I798" i="95" s="1"/>
  <c r="J798" i="95" s="1"/>
  <c r="K798" i="95" s="1"/>
  <c r="L798" i="95" s="1"/>
  <c r="M798" i="95" s="1"/>
  <c r="N798" i="95" s="1"/>
  <c r="O798" i="95" s="1"/>
  <c r="P798" i="95" s="1"/>
  <c r="Q798" i="95" s="1"/>
  <c r="R798" i="95" s="1"/>
  <c r="S798" i="95" s="1"/>
  <c r="T798" i="95" s="1"/>
  <c r="U798" i="95" s="1"/>
  <c r="V798" i="95" s="1"/>
  <c r="W798" i="95" s="1"/>
  <c r="X798" i="95" s="1"/>
  <c r="Y798" i="95" s="1"/>
  <c r="Z798" i="95" s="1"/>
  <c r="AA798" i="95" s="1"/>
  <c r="AB798" i="95" s="1"/>
  <c r="AC798" i="95" s="1"/>
  <c r="AD798" i="95" s="1"/>
  <c r="AE798" i="95" s="1"/>
  <c r="AF798" i="95" s="1"/>
  <c r="D814" i="95"/>
  <c r="E814" i="95" s="1"/>
  <c r="F814" i="95" s="1"/>
  <c r="G814" i="95" s="1"/>
  <c r="H814" i="95" s="1"/>
  <c r="I814" i="95" s="1"/>
  <c r="J814" i="95" s="1"/>
  <c r="K814" i="95" s="1"/>
  <c r="L814" i="95" s="1"/>
  <c r="M814" i="95" s="1"/>
  <c r="N814" i="95" s="1"/>
  <c r="O814" i="95" s="1"/>
  <c r="P814" i="95" s="1"/>
  <c r="Q814" i="95" s="1"/>
  <c r="R814" i="95" s="1"/>
  <c r="S814" i="95" s="1"/>
  <c r="T814" i="95" s="1"/>
  <c r="U814" i="95" s="1"/>
  <c r="V814" i="95" s="1"/>
  <c r="W814" i="95" s="1"/>
  <c r="X814" i="95" s="1"/>
  <c r="Y814" i="95" s="1"/>
  <c r="Z814" i="95" s="1"/>
  <c r="AA814" i="95" s="1"/>
  <c r="AB814" i="95" s="1"/>
  <c r="AC814" i="95" s="1"/>
  <c r="AD814" i="95" s="1"/>
  <c r="AE814" i="95" s="1"/>
  <c r="AF814" i="95" s="1"/>
  <c r="D822" i="95"/>
  <c r="E822" i="95" s="1"/>
  <c r="F822" i="95" s="1"/>
  <c r="G822" i="95" s="1"/>
  <c r="H822" i="95" s="1"/>
  <c r="I822" i="95" s="1"/>
  <c r="J822" i="95" s="1"/>
  <c r="K822" i="95" s="1"/>
  <c r="L822" i="95" s="1"/>
  <c r="M822" i="95" s="1"/>
  <c r="N822" i="95" s="1"/>
  <c r="O822" i="95" s="1"/>
  <c r="P822" i="95" s="1"/>
  <c r="Q822" i="95" s="1"/>
  <c r="R822" i="95" s="1"/>
  <c r="S822" i="95" s="1"/>
  <c r="T822" i="95" s="1"/>
  <c r="U822" i="95" s="1"/>
  <c r="V822" i="95" s="1"/>
  <c r="W822" i="95" s="1"/>
  <c r="X822" i="95" s="1"/>
  <c r="Y822" i="95" s="1"/>
  <c r="Z822" i="95" s="1"/>
  <c r="AA822" i="95" s="1"/>
  <c r="AB822" i="95" s="1"/>
  <c r="AC822" i="95" s="1"/>
  <c r="AD822" i="95" s="1"/>
  <c r="AE822" i="95" s="1"/>
  <c r="AF822" i="95" s="1"/>
  <c r="D846" i="95"/>
  <c r="E846" i="95" s="1"/>
  <c r="F846" i="95" s="1"/>
  <c r="G846" i="95" s="1"/>
  <c r="H846" i="95" s="1"/>
  <c r="I846" i="95" s="1"/>
  <c r="J846" i="95" s="1"/>
  <c r="K846" i="95" s="1"/>
  <c r="L846" i="95" s="1"/>
  <c r="M846" i="95" s="1"/>
  <c r="N846" i="95" s="1"/>
  <c r="O846" i="95" s="1"/>
  <c r="P846" i="95" s="1"/>
  <c r="Q846" i="95" s="1"/>
  <c r="R846" i="95" s="1"/>
  <c r="S846" i="95" s="1"/>
  <c r="T846" i="95" s="1"/>
  <c r="U846" i="95" s="1"/>
  <c r="V846" i="95" s="1"/>
  <c r="W846" i="95" s="1"/>
  <c r="X846" i="95" s="1"/>
  <c r="Y846" i="95" s="1"/>
  <c r="Z846" i="95" s="1"/>
  <c r="AA846" i="95" s="1"/>
  <c r="AB846" i="95" s="1"/>
  <c r="AC846" i="95" s="1"/>
  <c r="AD846" i="95" s="1"/>
  <c r="AE846" i="95" s="1"/>
  <c r="AF846" i="95" s="1"/>
  <c r="D886" i="95"/>
  <c r="E886" i="95" s="1"/>
  <c r="F886" i="95" s="1"/>
  <c r="G886" i="95" s="1"/>
  <c r="H886" i="95" s="1"/>
  <c r="I886" i="95" s="1"/>
  <c r="J886" i="95" s="1"/>
  <c r="K886" i="95" s="1"/>
  <c r="L886" i="95" s="1"/>
  <c r="M886" i="95" s="1"/>
  <c r="N886" i="95" s="1"/>
  <c r="O886" i="95" s="1"/>
  <c r="P886" i="95" s="1"/>
  <c r="Q886" i="95" s="1"/>
  <c r="R886" i="95" s="1"/>
  <c r="S886" i="95" s="1"/>
  <c r="T886" i="95" s="1"/>
  <c r="U886" i="95" s="1"/>
  <c r="V886" i="95" s="1"/>
  <c r="W886" i="95" s="1"/>
  <c r="X886" i="95" s="1"/>
  <c r="Y886" i="95" s="1"/>
  <c r="Z886" i="95" s="1"/>
  <c r="AA886" i="95" s="1"/>
  <c r="AB886" i="95" s="1"/>
  <c r="AC886" i="95" s="1"/>
  <c r="AD886" i="95" s="1"/>
  <c r="AE886" i="95" s="1"/>
  <c r="AF886" i="95" s="1"/>
  <c r="D894" i="95"/>
  <c r="E894" i="95" s="1"/>
  <c r="F894" i="95" s="1"/>
  <c r="G894" i="95" s="1"/>
  <c r="H894" i="95" s="1"/>
  <c r="I894" i="95" s="1"/>
  <c r="J894" i="95" s="1"/>
  <c r="K894" i="95" s="1"/>
  <c r="L894" i="95" s="1"/>
  <c r="M894" i="95" s="1"/>
  <c r="N894" i="95" s="1"/>
  <c r="O894" i="95" s="1"/>
  <c r="P894" i="95" s="1"/>
  <c r="Q894" i="95" s="1"/>
  <c r="R894" i="95" s="1"/>
  <c r="S894" i="95" s="1"/>
  <c r="T894" i="95" s="1"/>
  <c r="U894" i="95" s="1"/>
  <c r="V894" i="95" s="1"/>
  <c r="W894" i="95" s="1"/>
  <c r="X894" i="95" s="1"/>
  <c r="Y894" i="95" s="1"/>
  <c r="Z894" i="95" s="1"/>
  <c r="AA894" i="95" s="1"/>
  <c r="AB894" i="95" s="1"/>
  <c r="AC894" i="95" s="1"/>
  <c r="AD894" i="95" s="1"/>
  <c r="AE894" i="95" s="1"/>
  <c r="AF894" i="95" s="1"/>
  <c r="D966" i="95"/>
  <c r="E966" i="95" s="1"/>
  <c r="F966" i="95" s="1"/>
  <c r="G966" i="95" s="1"/>
  <c r="H966" i="95" s="1"/>
  <c r="I966" i="95" s="1"/>
  <c r="J966" i="95" s="1"/>
  <c r="K966" i="95" s="1"/>
  <c r="L966" i="95" s="1"/>
  <c r="M966" i="95" s="1"/>
  <c r="N966" i="95" s="1"/>
  <c r="O966" i="95" s="1"/>
  <c r="P966" i="95" s="1"/>
  <c r="Q966" i="95" s="1"/>
  <c r="R966" i="95" s="1"/>
  <c r="S966" i="95" s="1"/>
  <c r="T966" i="95" s="1"/>
  <c r="U966" i="95" s="1"/>
  <c r="V966" i="95" s="1"/>
  <c r="W966" i="95" s="1"/>
  <c r="X966" i="95" s="1"/>
  <c r="Y966" i="95" s="1"/>
  <c r="Z966" i="95" s="1"/>
  <c r="AA966" i="95" s="1"/>
  <c r="AB966" i="95" s="1"/>
  <c r="AC966" i="95" s="1"/>
  <c r="AD966" i="95" s="1"/>
  <c r="AE966" i="95" s="1"/>
  <c r="AF966" i="95" s="1"/>
  <c r="D982" i="95"/>
  <c r="E982" i="95" s="1"/>
  <c r="F982" i="95" s="1"/>
  <c r="G982" i="95" s="1"/>
  <c r="H982" i="95" s="1"/>
  <c r="I982" i="95" s="1"/>
  <c r="J982" i="95" s="1"/>
  <c r="K982" i="95" s="1"/>
  <c r="L982" i="95" s="1"/>
  <c r="M982" i="95" s="1"/>
  <c r="N982" i="95" s="1"/>
  <c r="O982" i="95" s="1"/>
  <c r="P982" i="95" s="1"/>
  <c r="Q982" i="95" s="1"/>
  <c r="R982" i="95" s="1"/>
  <c r="S982" i="95" s="1"/>
  <c r="T982" i="95" s="1"/>
  <c r="U982" i="95" s="1"/>
  <c r="V982" i="95" s="1"/>
  <c r="W982" i="95" s="1"/>
  <c r="X982" i="95" s="1"/>
  <c r="Y982" i="95" s="1"/>
  <c r="Z982" i="95" s="1"/>
  <c r="AA982" i="95" s="1"/>
  <c r="AB982" i="95" s="1"/>
  <c r="AC982" i="95" s="1"/>
  <c r="AD982" i="95" s="1"/>
  <c r="AE982" i="95" s="1"/>
  <c r="AF982" i="95" s="1"/>
  <c r="D990" i="95"/>
  <c r="E990" i="95" s="1"/>
  <c r="F990" i="95" s="1"/>
  <c r="G990" i="95" s="1"/>
  <c r="H990" i="95" s="1"/>
  <c r="I990" i="95" s="1"/>
  <c r="J990" i="95" s="1"/>
  <c r="K990" i="95" s="1"/>
  <c r="L990" i="95" s="1"/>
  <c r="M990" i="95" s="1"/>
  <c r="N990" i="95" s="1"/>
  <c r="O990" i="95" s="1"/>
  <c r="P990" i="95" s="1"/>
  <c r="Q990" i="95" s="1"/>
  <c r="R990" i="95" s="1"/>
  <c r="S990" i="95" s="1"/>
  <c r="T990" i="95" s="1"/>
  <c r="U990" i="95" s="1"/>
  <c r="V990" i="95" s="1"/>
  <c r="W990" i="95" s="1"/>
  <c r="X990" i="95" s="1"/>
  <c r="Y990" i="95" s="1"/>
  <c r="Z990" i="95" s="1"/>
  <c r="AA990" i="95" s="1"/>
  <c r="AB990" i="95" s="1"/>
  <c r="AC990" i="95" s="1"/>
  <c r="AD990" i="95" s="1"/>
  <c r="AE990" i="95" s="1"/>
  <c r="AF990" i="95" s="1"/>
  <c r="D719" i="95"/>
  <c r="E719" i="95" s="1"/>
  <c r="F719" i="95" s="1"/>
  <c r="G719" i="95" s="1"/>
  <c r="H719" i="95" s="1"/>
  <c r="I719" i="95" s="1"/>
  <c r="J719" i="95" s="1"/>
  <c r="K719" i="95" s="1"/>
  <c r="L719" i="95" s="1"/>
  <c r="M719" i="95" s="1"/>
  <c r="N719" i="95" s="1"/>
  <c r="O719" i="95" s="1"/>
  <c r="P719" i="95" s="1"/>
  <c r="Q719" i="95" s="1"/>
  <c r="R719" i="95" s="1"/>
  <c r="S719" i="95" s="1"/>
  <c r="T719" i="95" s="1"/>
  <c r="U719" i="95" s="1"/>
  <c r="V719" i="95" s="1"/>
  <c r="W719" i="95" s="1"/>
  <c r="X719" i="95" s="1"/>
  <c r="Y719" i="95" s="1"/>
  <c r="Z719" i="95" s="1"/>
  <c r="AA719" i="95" s="1"/>
  <c r="AB719" i="95" s="1"/>
  <c r="AC719" i="95" s="1"/>
  <c r="AD719" i="95" s="1"/>
  <c r="AE719" i="95" s="1"/>
  <c r="AF719" i="95" s="1"/>
  <c r="D799" i="95"/>
  <c r="E799" i="95" s="1"/>
  <c r="F799" i="95" s="1"/>
  <c r="G799" i="95" s="1"/>
  <c r="H799" i="95" s="1"/>
  <c r="I799" i="95" s="1"/>
  <c r="J799" i="95" s="1"/>
  <c r="K799" i="95" s="1"/>
  <c r="L799" i="95" s="1"/>
  <c r="M799" i="95" s="1"/>
  <c r="N799" i="95" s="1"/>
  <c r="O799" i="95" s="1"/>
  <c r="P799" i="95" s="1"/>
  <c r="Q799" i="95" s="1"/>
  <c r="R799" i="95" s="1"/>
  <c r="S799" i="95" s="1"/>
  <c r="T799" i="95" s="1"/>
  <c r="U799" i="95" s="1"/>
  <c r="V799" i="95" s="1"/>
  <c r="W799" i="95" s="1"/>
  <c r="X799" i="95" s="1"/>
  <c r="Y799" i="95" s="1"/>
  <c r="Z799" i="95" s="1"/>
  <c r="AA799" i="95" s="1"/>
  <c r="AB799" i="95" s="1"/>
  <c r="AC799" i="95" s="1"/>
  <c r="AD799" i="95" s="1"/>
  <c r="AE799" i="95" s="1"/>
  <c r="AF799" i="95" s="1"/>
  <c r="D815" i="95"/>
  <c r="E815" i="95" s="1"/>
  <c r="F815" i="95" s="1"/>
  <c r="G815" i="95" s="1"/>
  <c r="H815" i="95" s="1"/>
  <c r="I815" i="95" s="1"/>
  <c r="J815" i="95" s="1"/>
  <c r="K815" i="95" s="1"/>
  <c r="L815" i="95" s="1"/>
  <c r="M815" i="95" s="1"/>
  <c r="N815" i="95" s="1"/>
  <c r="O815" i="95" s="1"/>
  <c r="P815" i="95" s="1"/>
  <c r="Q815" i="95" s="1"/>
  <c r="R815" i="95" s="1"/>
  <c r="S815" i="95" s="1"/>
  <c r="T815" i="95" s="1"/>
  <c r="U815" i="95" s="1"/>
  <c r="V815" i="95" s="1"/>
  <c r="W815" i="95" s="1"/>
  <c r="X815" i="95" s="1"/>
  <c r="Y815" i="95" s="1"/>
  <c r="Z815" i="95" s="1"/>
  <c r="AA815" i="95" s="1"/>
  <c r="AB815" i="95" s="1"/>
  <c r="AC815" i="95" s="1"/>
  <c r="AD815" i="95" s="1"/>
  <c r="AE815" i="95" s="1"/>
  <c r="AF815" i="95" s="1"/>
  <c r="D823" i="95"/>
  <c r="E823" i="95" s="1"/>
  <c r="F823" i="95" s="1"/>
  <c r="G823" i="95" s="1"/>
  <c r="H823" i="95" s="1"/>
  <c r="I823" i="95" s="1"/>
  <c r="J823" i="95" s="1"/>
  <c r="K823" i="95" s="1"/>
  <c r="L823" i="95" s="1"/>
  <c r="M823" i="95" s="1"/>
  <c r="N823" i="95" s="1"/>
  <c r="O823" i="95" s="1"/>
  <c r="P823" i="95" s="1"/>
  <c r="Q823" i="95" s="1"/>
  <c r="R823" i="95" s="1"/>
  <c r="S823" i="95" s="1"/>
  <c r="T823" i="95" s="1"/>
  <c r="U823" i="95" s="1"/>
  <c r="V823" i="95" s="1"/>
  <c r="W823" i="95" s="1"/>
  <c r="X823" i="95" s="1"/>
  <c r="Y823" i="95" s="1"/>
  <c r="Z823" i="95" s="1"/>
  <c r="AA823" i="95" s="1"/>
  <c r="AB823" i="95" s="1"/>
  <c r="AC823" i="95" s="1"/>
  <c r="AD823" i="95" s="1"/>
  <c r="AE823" i="95" s="1"/>
  <c r="AF823" i="95" s="1"/>
  <c r="D831" i="95"/>
  <c r="E831" i="95" s="1"/>
  <c r="F831" i="95" s="1"/>
  <c r="G831" i="95" s="1"/>
  <c r="H831" i="95" s="1"/>
  <c r="I831" i="95" s="1"/>
  <c r="J831" i="95" s="1"/>
  <c r="K831" i="95" s="1"/>
  <c r="L831" i="95" s="1"/>
  <c r="M831" i="95" s="1"/>
  <c r="N831" i="95" s="1"/>
  <c r="O831" i="95" s="1"/>
  <c r="P831" i="95" s="1"/>
  <c r="Q831" i="95" s="1"/>
  <c r="R831" i="95" s="1"/>
  <c r="S831" i="95" s="1"/>
  <c r="T831" i="95" s="1"/>
  <c r="U831" i="95" s="1"/>
  <c r="V831" i="95" s="1"/>
  <c r="W831" i="95" s="1"/>
  <c r="X831" i="95" s="1"/>
  <c r="Y831" i="95" s="1"/>
  <c r="Z831" i="95" s="1"/>
  <c r="AA831" i="95" s="1"/>
  <c r="AB831" i="95" s="1"/>
  <c r="AC831" i="95" s="1"/>
  <c r="AD831" i="95" s="1"/>
  <c r="AE831" i="95" s="1"/>
  <c r="AF831" i="95" s="1"/>
  <c r="D887" i="95"/>
  <c r="E887" i="95" s="1"/>
  <c r="F887" i="95" s="1"/>
  <c r="G887" i="95" s="1"/>
  <c r="H887" i="95" s="1"/>
  <c r="I887" i="95" s="1"/>
  <c r="J887" i="95" s="1"/>
  <c r="K887" i="95" s="1"/>
  <c r="L887" i="95" s="1"/>
  <c r="M887" i="95" s="1"/>
  <c r="N887" i="95" s="1"/>
  <c r="O887" i="95" s="1"/>
  <c r="P887" i="95" s="1"/>
  <c r="Q887" i="95" s="1"/>
  <c r="R887" i="95" s="1"/>
  <c r="S887" i="95" s="1"/>
  <c r="T887" i="95" s="1"/>
  <c r="U887" i="95" s="1"/>
  <c r="V887" i="95" s="1"/>
  <c r="W887" i="95" s="1"/>
  <c r="X887" i="95" s="1"/>
  <c r="Y887" i="95" s="1"/>
  <c r="Z887" i="95" s="1"/>
  <c r="AA887" i="95" s="1"/>
  <c r="AB887" i="95" s="1"/>
  <c r="AC887" i="95" s="1"/>
  <c r="AD887" i="95" s="1"/>
  <c r="AE887" i="95" s="1"/>
  <c r="AF887" i="95" s="1"/>
  <c r="D895" i="95"/>
  <c r="E895" i="95" s="1"/>
  <c r="F895" i="95" s="1"/>
  <c r="G895" i="95" s="1"/>
  <c r="H895" i="95" s="1"/>
  <c r="I895" i="95" s="1"/>
  <c r="J895" i="95" s="1"/>
  <c r="K895" i="95" s="1"/>
  <c r="L895" i="95" s="1"/>
  <c r="M895" i="95" s="1"/>
  <c r="N895" i="95" s="1"/>
  <c r="O895" i="95" s="1"/>
  <c r="P895" i="95" s="1"/>
  <c r="Q895" i="95" s="1"/>
  <c r="R895" i="95" s="1"/>
  <c r="S895" i="95" s="1"/>
  <c r="T895" i="95" s="1"/>
  <c r="U895" i="95" s="1"/>
  <c r="V895" i="95" s="1"/>
  <c r="W895" i="95" s="1"/>
  <c r="X895" i="95" s="1"/>
  <c r="Y895" i="95" s="1"/>
  <c r="Z895" i="95" s="1"/>
  <c r="AA895" i="95" s="1"/>
  <c r="AB895" i="95" s="1"/>
  <c r="AC895" i="95" s="1"/>
  <c r="AD895" i="95" s="1"/>
  <c r="AE895" i="95" s="1"/>
  <c r="AF895" i="95" s="1"/>
  <c r="D712" i="95"/>
  <c r="E712" i="95" s="1"/>
  <c r="F712" i="95" s="1"/>
  <c r="G712" i="95" s="1"/>
  <c r="H712" i="95" s="1"/>
  <c r="I712" i="95" s="1"/>
  <c r="J712" i="95" s="1"/>
  <c r="K712" i="95" s="1"/>
  <c r="L712" i="95" s="1"/>
  <c r="M712" i="95" s="1"/>
  <c r="N712" i="95" s="1"/>
  <c r="O712" i="95" s="1"/>
  <c r="P712" i="95" s="1"/>
  <c r="Q712" i="95" s="1"/>
  <c r="R712" i="95" s="1"/>
  <c r="S712" i="95" s="1"/>
  <c r="T712" i="95" s="1"/>
  <c r="U712" i="95" s="1"/>
  <c r="V712" i="95" s="1"/>
  <c r="W712" i="95" s="1"/>
  <c r="X712" i="95" s="1"/>
  <c r="Y712" i="95" s="1"/>
  <c r="Z712" i="95" s="1"/>
  <c r="AA712" i="95" s="1"/>
  <c r="AB712" i="95" s="1"/>
  <c r="AC712" i="95" s="1"/>
  <c r="AD712" i="95" s="1"/>
  <c r="AE712" i="95" s="1"/>
  <c r="AF712" i="95" s="1"/>
  <c r="D808" i="95"/>
  <c r="E808" i="95" s="1"/>
  <c r="F808" i="95" s="1"/>
  <c r="G808" i="95" s="1"/>
  <c r="H808" i="95" s="1"/>
  <c r="I808" i="95" s="1"/>
  <c r="J808" i="95" s="1"/>
  <c r="K808" i="95" s="1"/>
  <c r="L808" i="95" s="1"/>
  <c r="M808" i="95" s="1"/>
  <c r="N808" i="95" s="1"/>
  <c r="O808" i="95" s="1"/>
  <c r="P808" i="95" s="1"/>
  <c r="Q808" i="95" s="1"/>
  <c r="R808" i="95" s="1"/>
  <c r="S808" i="95" s="1"/>
  <c r="T808" i="95" s="1"/>
  <c r="U808" i="95" s="1"/>
  <c r="V808" i="95" s="1"/>
  <c r="W808" i="95" s="1"/>
  <c r="X808" i="95" s="1"/>
  <c r="Y808" i="95" s="1"/>
  <c r="Z808" i="95" s="1"/>
  <c r="AA808" i="95" s="1"/>
  <c r="AB808" i="95" s="1"/>
  <c r="AC808" i="95" s="1"/>
  <c r="AD808" i="95" s="1"/>
  <c r="AE808" i="95" s="1"/>
  <c r="AF808" i="95" s="1"/>
  <c r="D888" i="95"/>
  <c r="E888" i="95" s="1"/>
  <c r="F888" i="95" s="1"/>
  <c r="G888" i="95" s="1"/>
  <c r="H888" i="95" s="1"/>
  <c r="I888" i="95" s="1"/>
  <c r="J888" i="95" s="1"/>
  <c r="K888" i="95" s="1"/>
  <c r="L888" i="95" s="1"/>
  <c r="M888" i="95" s="1"/>
  <c r="N888" i="95" s="1"/>
  <c r="O888" i="95" s="1"/>
  <c r="P888" i="95" s="1"/>
  <c r="Q888" i="95" s="1"/>
  <c r="R888" i="95" s="1"/>
  <c r="S888" i="95" s="1"/>
  <c r="T888" i="95" s="1"/>
  <c r="U888" i="95" s="1"/>
  <c r="V888" i="95" s="1"/>
  <c r="W888" i="95" s="1"/>
  <c r="X888" i="95" s="1"/>
  <c r="Y888" i="95" s="1"/>
  <c r="Z888" i="95" s="1"/>
  <c r="AA888" i="95" s="1"/>
  <c r="AB888" i="95" s="1"/>
  <c r="AC888" i="95" s="1"/>
  <c r="AD888" i="95" s="1"/>
  <c r="AE888" i="95" s="1"/>
  <c r="AF888" i="95" s="1"/>
  <c r="D960" i="95"/>
  <c r="E960" i="95" s="1"/>
  <c r="F960" i="95" s="1"/>
  <c r="G960" i="95" s="1"/>
  <c r="H960" i="95" s="1"/>
  <c r="I960" i="95" s="1"/>
  <c r="J960" i="95" s="1"/>
  <c r="K960" i="95" s="1"/>
  <c r="L960" i="95" s="1"/>
  <c r="M960" i="95" s="1"/>
  <c r="N960" i="95" s="1"/>
  <c r="O960" i="95" s="1"/>
  <c r="P960" i="95" s="1"/>
  <c r="Q960" i="95" s="1"/>
  <c r="R960" i="95" s="1"/>
  <c r="S960" i="95" s="1"/>
  <c r="T960" i="95" s="1"/>
  <c r="U960" i="95" s="1"/>
  <c r="V960" i="95" s="1"/>
  <c r="W960" i="95" s="1"/>
  <c r="X960" i="95" s="1"/>
  <c r="Y960" i="95" s="1"/>
  <c r="Z960" i="95" s="1"/>
  <c r="AA960" i="95" s="1"/>
  <c r="AB960" i="95" s="1"/>
  <c r="AC960" i="95" s="1"/>
  <c r="AD960" i="95" s="1"/>
  <c r="AE960" i="95" s="1"/>
  <c r="AF960" i="95" s="1"/>
  <c r="D976" i="95"/>
  <c r="E976" i="95" s="1"/>
  <c r="F976" i="95" s="1"/>
  <c r="G976" i="95" s="1"/>
  <c r="H976" i="95" s="1"/>
  <c r="I976" i="95" s="1"/>
  <c r="J976" i="95" s="1"/>
  <c r="K976" i="95" s="1"/>
  <c r="L976" i="95" s="1"/>
  <c r="M976" i="95" s="1"/>
  <c r="N976" i="95" s="1"/>
  <c r="O976" i="95" s="1"/>
  <c r="P976" i="95" s="1"/>
  <c r="Q976" i="95" s="1"/>
  <c r="R976" i="95" s="1"/>
  <c r="S976" i="95" s="1"/>
  <c r="T976" i="95" s="1"/>
  <c r="U976" i="95" s="1"/>
  <c r="V976" i="95" s="1"/>
  <c r="W976" i="95" s="1"/>
  <c r="X976" i="95" s="1"/>
  <c r="Y976" i="95" s="1"/>
  <c r="Z976" i="95" s="1"/>
  <c r="AA976" i="95" s="1"/>
  <c r="AB976" i="95" s="1"/>
  <c r="AC976" i="95" s="1"/>
  <c r="AD976" i="95" s="1"/>
  <c r="AE976" i="95" s="1"/>
  <c r="AF976" i="95" s="1"/>
  <c r="D697" i="95"/>
  <c r="E697" i="95" s="1"/>
  <c r="F697" i="95" s="1"/>
  <c r="G697" i="95" s="1"/>
  <c r="H697" i="95" s="1"/>
  <c r="I697" i="95" s="1"/>
  <c r="J697" i="95" s="1"/>
  <c r="K697" i="95" s="1"/>
  <c r="L697" i="95" s="1"/>
  <c r="M697" i="95" s="1"/>
  <c r="N697" i="95" s="1"/>
  <c r="O697" i="95" s="1"/>
  <c r="P697" i="95" s="1"/>
  <c r="Q697" i="95" s="1"/>
  <c r="R697" i="95" s="1"/>
  <c r="S697" i="95" s="1"/>
  <c r="T697" i="95" s="1"/>
  <c r="U697" i="95" s="1"/>
  <c r="V697" i="95" s="1"/>
  <c r="W697" i="95" s="1"/>
  <c r="X697" i="95" s="1"/>
  <c r="Y697" i="95" s="1"/>
  <c r="Z697" i="95" s="1"/>
  <c r="AA697" i="95" s="1"/>
  <c r="AB697" i="95" s="1"/>
  <c r="AC697" i="95" s="1"/>
  <c r="AD697" i="95" s="1"/>
  <c r="AE697" i="95" s="1"/>
  <c r="AF697" i="95" s="1"/>
  <c r="D721" i="95"/>
  <c r="E721" i="95" s="1"/>
  <c r="F721" i="95" s="1"/>
  <c r="G721" i="95" s="1"/>
  <c r="H721" i="95" s="1"/>
  <c r="I721" i="95" s="1"/>
  <c r="J721" i="95" s="1"/>
  <c r="K721" i="95" s="1"/>
  <c r="L721" i="95" s="1"/>
  <c r="M721" i="95" s="1"/>
  <c r="N721" i="95" s="1"/>
  <c r="O721" i="95" s="1"/>
  <c r="P721" i="95" s="1"/>
  <c r="Q721" i="95" s="1"/>
  <c r="R721" i="95" s="1"/>
  <c r="S721" i="95" s="1"/>
  <c r="T721" i="95" s="1"/>
  <c r="U721" i="95" s="1"/>
  <c r="V721" i="95" s="1"/>
  <c r="W721" i="95" s="1"/>
  <c r="X721" i="95" s="1"/>
  <c r="Y721" i="95" s="1"/>
  <c r="Z721" i="95" s="1"/>
  <c r="AA721" i="95" s="1"/>
  <c r="AB721" i="95" s="1"/>
  <c r="AC721" i="95" s="1"/>
  <c r="AD721" i="95" s="1"/>
  <c r="AE721" i="95" s="1"/>
  <c r="AF721" i="95" s="1"/>
  <c r="D809" i="95"/>
  <c r="E809" i="95" s="1"/>
  <c r="F809" i="95" s="1"/>
  <c r="G809" i="95" s="1"/>
  <c r="H809" i="95" s="1"/>
  <c r="I809" i="95" s="1"/>
  <c r="J809" i="95" s="1"/>
  <c r="K809" i="95" s="1"/>
  <c r="L809" i="95" s="1"/>
  <c r="M809" i="95" s="1"/>
  <c r="N809" i="95" s="1"/>
  <c r="O809" i="95" s="1"/>
  <c r="P809" i="95" s="1"/>
  <c r="Q809" i="95" s="1"/>
  <c r="R809" i="95" s="1"/>
  <c r="S809" i="95" s="1"/>
  <c r="T809" i="95" s="1"/>
  <c r="U809" i="95" s="1"/>
  <c r="V809" i="95" s="1"/>
  <c r="W809" i="95" s="1"/>
  <c r="X809" i="95" s="1"/>
  <c r="Y809" i="95" s="1"/>
  <c r="Z809" i="95" s="1"/>
  <c r="AA809" i="95" s="1"/>
  <c r="AB809" i="95" s="1"/>
  <c r="AC809" i="95" s="1"/>
  <c r="AD809" i="95" s="1"/>
  <c r="AE809" i="95" s="1"/>
  <c r="AF809" i="95" s="1"/>
  <c r="D833" i="95"/>
  <c r="E833" i="95" s="1"/>
  <c r="F833" i="95" s="1"/>
  <c r="G833" i="95" s="1"/>
  <c r="H833" i="95" s="1"/>
  <c r="I833" i="95" s="1"/>
  <c r="J833" i="95" s="1"/>
  <c r="K833" i="95" s="1"/>
  <c r="L833" i="95" s="1"/>
  <c r="M833" i="95" s="1"/>
  <c r="N833" i="95" s="1"/>
  <c r="O833" i="95" s="1"/>
  <c r="P833" i="95" s="1"/>
  <c r="Q833" i="95" s="1"/>
  <c r="R833" i="95" s="1"/>
  <c r="S833" i="95" s="1"/>
  <c r="T833" i="95" s="1"/>
  <c r="U833" i="95" s="1"/>
  <c r="V833" i="95" s="1"/>
  <c r="W833" i="95" s="1"/>
  <c r="X833" i="95" s="1"/>
  <c r="Y833" i="95" s="1"/>
  <c r="Z833" i="95" s="1"/>
  <c r="AA833" i="95" s="1"/>
  <c r="AB833" i="95" s="1"/>
  <c r="AC833" i="95" s="1"/>
  <c r="AD833" i="95" s="1"/>
  <c r="AE833" i="95" s="1"/>
  <c r="AF833" i="95" s="1"/>
  <c r="D905" i="95"/>
  <c r="E905" i="95" s="1"/>
  <c r="F905" i="95" s="1"/>
  <c r="G905" i="95" s="1"/>
  <c r="H905" i="95" s="1"/>
  <c r="I905" i="95" s="1"/>
  <c r="J905" i="95" s="1"/>
  <c r="K905" i="95" s="1"/>
  <c r="L905" i="95" s="1"/>
  <c r="M905" i="95" s="1"/>
  <c r="N905" i="95" s="1"/>
  <c r="O905" i="95" s="1"/>
  <c r="P905" i="95" s="1"/>
  <c r="Q905" i="95" s="1"/>
  <c r="R905" i="95" s="1"/>
  <c r="S905" i="95" s="1"/>
  <c r="T905" i="95" s="1"/>
  <c r="U905" i="95" s="1"/>
  <c r="V905" i="95" s="1"/>
  <c r="W905" i="95" s="1"/>
  <c r="X905" i="95" s="1"/>
  <c r="Y905" i="95" s="1"/>
  <c r="Z905" i="95" s="1"/>
  <c r="AA905" i="95" s="1"/>
  <c r="AB905" i="95" s="1"/>
  <c r="AC905" i="95" s="1"/>
  <c r="AD905" i="95" s="1"/>
  <c r="AE905" i="95" s="1"/>
  <c r="AF905" i="95" s="1"/>
  <c r="D913" i="95"/>
  <c r="E913" i="95" s="1"/>
  <c r="F913" i="95" s="1"/>
  <c r="G913" i="95" s="1"/>
  <c r="H913" i="95" s="1"/>
  <c r="I913" i="95" s="1"/>
  <c r="J913" i="95" s="1"/>
  <c r="K913" i="95" s="1"/>
  <c r="L913" i="95" s="1"/>
  <c r="M913" i="95" s="1"/>
  <c r="N913" i="95" s="1"/>
  <c r="O913" i="95" s="1"/>
  <c r="P913" i="95" s="1"/>
  <c r="Q913" i="95" s="1"/>
  <c r="R913" i="95" s="1"/>
  <c r="S913" i="95" s="1"/>
  <c r="T913" i="95" s="1"/>
  <c r="U913" i="95" s="1"/>
  <c r="V913" i="95" s="1"/>
  <c r="W913" i="95" s="1"/>
  <c r="X913" i="95" s="1"/>
  <c r="Y913" i="95" s="1"/>
  <c r="Z913" i="95" s="1"/>
  <c r="AA913" i="95" s="1"/>
  <c r="AB913" i="95" s="1"/>
  <c r="AC913" i="95" s="1"/>
  <c r="AD913" i="95" s="1"/>
  <c r="AE913" i="95" s="1"/>
  <c r="AF913" i="95" s="1"/>
  <c r="D945" i="95"/>
  <c r="E945" i="95" s="1"/>
  <c r="F945" i="95" s="1"/>
  <c r="G945" i="95" s="1"/>
  <c r="H945" i="95" s="1"/>
  <c r="I945" i="95" s="1"/>
  <c r="J945" i="95" s="1"/>
  <c r="K945" i="95" s="1"/>
  <c r="L945" i="95" s="1"/>
  <c r="M945" i="95" s="1"/>
  <c r="N945" i="95" s="1"/>
  <c r="O945" i="95" s="1"/>
  <c r="P945" i="95" s="1"/>
  <c r="Q945" i="95" s="1"/>
  <c r="R945" i="95" s="1"/>
  <c r="S945" i="95" s="1"/>
  <c r="T945" i="95" s="1"/>
  <c r="U945" i="95" s="1"/>
  <c r="V945" i="95" s="1"/>
  <c r="W945" i="95" s="1"/>
  <c r="X945" i="95" s="1"/>
  <c r="Y945" i="95" s="1"/>
  <c r="Z945" i="95" s="1"/>
  <c r="AA945" i="95" s="1"/>
  <c r="AB945" i="95" s="1"/>
  <c r="AC945" i="95" s="1"/>
  <c r="AD945" i="95" s="1"/>
  <c r="AE945" i="95" s="1"/>
  <c r="AF945" i="95" s="1"/>
  <c r="D953" i="95"/>
  <c r="E953" i="95" s="1"/>
  <c r="F953" i="95" s="1"/>
  <c r="G953" i="95" s="1"/>
  <c r="H953" i="95" s="1"/>
  <c r="I953" i="95" s="1"/>
  <c r="J953" i="95" s="1"/>
  <c r="K953" i="95" s="1"/>
  <c r="L953" i="95" s="1"/>
  <c r="M953" i="95" s="1"/>
  <c r="N953" i="95" s="1"/>
  <c r="O953" i="95" s="1"/>
  <c r="P953" i="95" s="1"/>
  <c r="Q953" i="95" s="1"/>
  <c r="R953" i="95" s="1"/>
  <c r="S953" i="95" s="1"/>
  <c r="T953" i="95" s="1"/>
  <c r="U953" i="95" s="1"/>
  <c r="V953" i="95" s="1"/>
  <c r="W953" i="95" s="1"/>
  <c r="X953" i="95" s="1"/>
  <c r="Y953" i="95" s="1"/>
  <c r="Z953" i="95" s="1"/>
  <c r="AA953" i="95" s="1"/>
  <c r="AB953" i="95" s="1"/>
  <c r="AC953" i="95" s="1"/>
  <c r="AD953" i="95" s="1"/>
  <c r="AE953" i="95" s="1"/>
  <c r="AF953" i="95" s="1"/>
  <c r="D969" i="95"/>
  <c r="E969" i="95" s="1"/>
  <c r="F969" i="95" s="1"/>
  <c r="G969" i="95" s="1"/>
  <c r="H969" i="95" s="1"/>
  <c r="I969" i="95" s="1"/>
  <c r="J969" i="95" s="1"/>
  <c r="K969" i="95" s="1"/>
  <c r="L969" i="95" s="1"/>
  <c r="M969" i="95" s="1"/>
  <c r="N969" i="95" s="1"/>
  <c r="O969" i="95" s="1"/>
  <c r="P969" i="95" s="1"/>
  <c r="Q969" i="95" s="1"/>
  <c r="R969" i="95" s="1"/>
  <c r="S969" i="95" s="1"/>
  <c r="T969" i="95" s="1"/>
  <c r="U969" i="95" s="1"/>
  <c r="V969" i="95" s="1"/>
  <c r="W969" i="95" s="1"/>
  <c r="X969" i="95" s="1"/>
  <c r="Y969" i="95" s="1"/>
  <c r="Z969" i="95" s="1"/>
  <c r="AA969" i="95" s="1"/>
  <c r="AB969" i="95" s="1"/>
  <c r="AC969" i="95" s="1"/>
  <c r="AD969" i="95" s="1"/>
  <c r="AE969" i="95" s="1"/>
  <c r="AF969" i="95" s="1"/>
  <c r="D1011" i="95"/>
  <c r="E1011" i="95" s="1"/>
  <c r="F1011" i="95" s="1"/>
  <c r="G1011" i="95" s="1"/>
  <c r="H1011" i="95" s="1"/>
  <c r="I1011" i="95" s="1"/>
  <c r="J1011" i="95" s="1"/>
  <c r="K1011" i="95" s="1"/>
  <c r="L1011" i="95" s="1"/>
  <c r="M1011" i="95" s="1"/>
  <c r="N1011" i="95" s="1"/>
  <c r="O1011" i="95" s="1"/>
  <c r="P1011" i="95" s="1"/>
  <c r="Q1011" i="95" s="1"/>
  <c r="R1011" i="95" s="1"/>
  <c r="S1011" i="95" s="1"/>
  <c r="T1011" i="95" s="1"/>
  <c r="U1011" i="95" s="1"/>
  <c r="V1011" i="95" s="1"/>
  <c r="W1011" i="95" s="1"/>
  <c r="X1011" i="95" s="1"/>
  <c r="Y1011" i="95" s="1"/>
  <c r="Z1011" i="95" s="1"/>
  <c r="AA1011" i="95" s="1"/>
  <c r="AB1011" i="95" s="1"/>
  <c r="AC1011" i="95" s="1"/>
  <c r="AD1011" i="95" s="1"/>
  <c r="AE1011" i="95" s="1"/>
  <c r="AF1011" i="95" s="1"/>
  <c r="D864" i="95"/>
  <c r="E864" i="95" s="1"/>
  <c r="F864" i="95" s="1"/>
  <c r="G864" i="95" s="1"/>
  <c r="H864" i="95" s="1"/>
  <c r="I864" i="95" s="1"/>
  <c r="J864" i="95" s="1"/>
  <c r="K864" i="95" s="1"/>
  <c r="L864" i="95" s="1"/>
  <c r="M864" i="95" s="1"/>
  <c r="N864" i="95" s="1"/>
  <c r="O864" i="95" s="1"/>
  <c r="P864" i="95" s="1"/>
  <c r="Q864" i="95" s="1"/>
  <c r="R864" i="95" s="1"/>
  <c r="S864" i="95" s="1"/>
  <c r="T864" i="95" s="1"/>
  <c r="U864" i="95" s="1"/>
  <c r="V864" i="95" s="1"/>
  <c r="W864" i="95" s="1"/>
  <c r="X864" i="95" s="1"/>
  <c r="Y864" i="95" s="1"/>
  <c r="Z864" i="95" s="1"/>
  <c r="AA864" i="95" s="1"/>
  <c r="AB864" i="95" s="1"/>
  <c r="AC864" i="95" s="1"/>
  <c r="AD864" i="95" s="1"/>
  <c r="AE864" i="95" s="1"/>
  <c r="AF864" i="95" s="1"/>
  <c r="D861" i="95"/>
  <c r="E861" i="95" s="1"/>
  <c r="F861" i="95" s="1"/>
  <c r="G861" i="95" s="1"/>
  <c r="H861" i="95" s="1"/>
  <c r="I861" i="95" s="1"/>
  <c r="J861" i="95" s="1"/>
  <c r="K861" i="95" s="1"/>
  <c r="L861" i="95" s="1"/>
  <c r="M861" i="95" s="1"/>
  <c r="N861" i="95" s="1"/>
  <c r="O861" i="95" s="1"/>
  <c r="P861" i="95" s="1"/>
  <c r="Q861" i="95" s="1"/>
  <c r="R861" i="95" s="1"/>
  <c r="S861" i="95" s="1"/>
  <c r="T861" i="95" s="1"/>
  <c r="U861" i="95" s="1"/>
  <c r="V861" i="95" s="1"/>
  <c r="W861" i="95" s="1"/>
  <c r="X861" i="95" s="1"/>
  <c r="Y861" i="95" s="1"/>
  <c r="Z861" i="95" s="1"/>
  <c r="AA861" i="95" s="1"/>
  <c r="AB861" i="95" s="1"/>
  <c r="AC861" i="95" s="1"/>
  <c r="AD861" i="95" s="1"/>
  <c r="AE861" i="95" s="1"/>
  <c r="AF861" i="95" s="1"/>
  <c r="D858" i="95"/>
  <c r="E858" i="95" s="1"/>
  <c r="F858" i="95" s="1"/>
  <c r="G858" i="95" s="1"/>
  <c r="H858" i="95" s="1"/>
  <c r="I858" i="95" s="1"/>
  <c r="J858" i="95" s="1"/>
  <c r="K858" i="95" s="1"/>
  <c r="L858" i="95" s="1"/>
  <c r="M858" i="95" s="1"/>
  <c r="N858" i="95" s="1"/>
  <c r="O858" i="95" s="1"/>
  <c r="P858" i="95" s="1"/>
  <c r="Q858" i="95" s="1"/>
  <c r="R858" i="95" s="1"/>
  <c r="S858" i="95" s="1"/>
  <c r="T858" i="95" s="1"/>
  <c r="U858" i="95" s="1"/>
  <c r="V858" i="95" s="1"/>
  <c r="W858" i="95" s="1"/>
  <c r="X858" i="95" s="1"/>
  <c r="Y858" i="95" s="1"/>
  <c r="Z858" i="95" s="1"/>
  <c r="AA858" i="95" s="1"/>
  <c r="AB858" i="95" s="1"/>
  <c r="AC858" i="95" s="1"/>
  <c r="AD858" i="95" s="1"/>
  <c r="AE858" i="95" s="1"/>
  <c r="AF858" i="95" s="1"/>
  <c r="D870" i="95"/>
  <c r="E870" i="95" s="1"/>
  <c r="F870" i="95" s="1"/>
  <c r="G870" i="95" s="1"/>
  <c r="H870" i="95" s="1"/>
  <c r="I870" i="95" s="1"/>
  <c r="J870" i="95" s="1"/>
  <c r="K870" i="95" s="1"/>
  <c r="L870" i="95" s="1"/>
  <c r="M870" i="95" s="1"/>
  <c r="N870" i="95" s="1"/>
  <c r="O870" i="95" s="1"/>
  <c r="P870" i="95" s="1"/>
  <c r="Q870" i="95" s="1"/>
  <c r="R870" i="95" s="1"/>
  <c r="S870" i="95" s="1"/>
  <c r="T870" i="95" s="1"/>
  <c r="U870" i="95" s="1"/>
  <c r="V870" i="95" s="1"/>
  <c r="W870" i="95" s="1"/>
  <c r="X870" i="95" s="1"/>
  <c r="Y870" i="95" s="1"/>
  <c r="Z870" i="95" s="1"/>
  <c r="AA870" i="95" s="1"/>
  <c r="AB870" i="95" s="1"/>
  <c r="AC870" i="95" s="1"/>
  <c r="AD870" i="95" s="1"/>
  <c r="AE870" i="95" s="1"/>
  <c r="AF870" i="95" s="1"/>
  <c r="D876" i="95"/>
  <c r="E876" i="95" s="1"/>
  <c r="F876" i="95" s="1"/>
  <c r="G876" i="95" s="1"/>
  <c r="H876" i="95" s="1"/>
  <c r="I876" i="95" s="1"/>
  <c r="J876" i="95" s="1"/>
  <c r="K876" i="95" s="1"/>
  <c r="L876" i="95" s="1"/>
  <c r="M876" i="95" s="1"/>
  <c r="N876" i="95" s="1"/>
  <c r="O876" i="95" s="1"/>
  <c r="P876" i="95" s="1"/>
  <c r="Q876" i="95" s="1"/>
  <c r="R876" i="95" s="1"/>
  <c r="S876" i="95" s="1"/>
  <c r="T876" i="95" s="1"/>
  <c r="U876" i="95" s="1"/>
  <c r="V876" i="95" s="1"/>
  <c r="W876" i="95" s="1"/>
  <c r="X876" i="95" s="1"/>
  <c r="Y876" i="95" s="1"/>
  <c r="Z876" i="95" s="1"/>
  <c r="AA876" i="95" s="1"/>
  <c r="AB876" i="95" s="1"/>
  <c r="AC876" i="95" s="1"/>
  <c r="AD876" i="95" s="1"/>
  <c r="AE876" i="95" s="1"/>
  <c r="AF876" i="95" s="1"/>
  <c r="D285" i="95"/>
  <c r="E285" i="95" s="1"/>
  <c r="F285" i="95" s="1"/>
  <c r="G285" i="95" s="1"/>
  <c r="H285" i="95" s="1"/>
  <c r="I285" i="95" s="1"/>
  <c r="J285" i="95" s="1"/>
  <c r="K285" i="95" s="1"/>
  <c r="L285" i="95" s="1"/>
  <c r="M285" i="95" s="1"/>
  <c r="N285" i="95" s="1"/>
  <c r="O285" i="95" s="1"/>
  <c r="P285" i="95" s="1"/>
  <c r="Q285" i="95" s="1"/>
  <c r="R285" i="95" s="1"/>
  <c r="S285" i="95" s="1"/>
  <c r="T285" i="95" s="1"/>
  <c r="U285" i="95" s="1"/>
  <c r="V285" i="95" s="1"/>
  <c r="W285" i="95" s="1"/>
  <c r="X285" i="95" s="1"/>
  <c r="Y285" i="95" s="1"/>
  <c r="Z285" i="95" s="1"/>
  <c r="AA285" i="95" s="1"/>
  <c r="AB285" i="95" s="1"/>
  <c r="AC285" i="95" s="1"/>
  <c r="AD285" i="95" s="1"/>
  <c r="AE285" i="95" s="1"/>
  <c r="AF285" i="95" s="1"/>
  <c r="D941" i="95"/>
  <c r="E941" i="95" s="1"/>
  <c r="F941" i="95" s="1"/>
  <c r="G941" i="95" s="1"/>
  <c r="H941" i="95" s="1"/>
  <c r="I941" i="95" s="1"/>
  <c r="J941" i="95" s="1"/>
  <c r="K941" i="95" s="1"/>
  <c r="L941" i="95" s="1"/>
  <c r="M941" i="95" s="1"/>
  <c r="N941" i="95" s="1"/>
  <c r="O941" i="95" s="1"/>
  <c r="P941" i="95" s="1"/>
  <c r="Q941" i="95" s="1"/>
  <c r="R941" i="95" s="1"/>
  <c r="S941" i="95" s="1"/>
  <c r="T941" i="95" s="1"/>
  <c r="U941" i="95" s="1"/>
  <c r="V941" i="95" s="1"/>
  <c r="W941" i="95" s="1"/>
  <c r="X941" i="95" s="1"/>
  <c r="Y941" i="95" s="1"/>
  <c r="Z941" i="95" s="1"/>
  <c r="AA941" i="95" s="1"/>
  <c r="AB941" i="95" s="1"/>
  <c r="AC941" i="95" s="1"/>
  <c r="AD941" i="95" s="1"/>
  <c r="AE941" i="95" s="1"/>
  <c r="AF941" i="95" s="1"/>
  <c r="C695" i="95"/>
  <c r="D793" i="95"/>
  <c r="E793" i="95" s="1"/>
  <c r="F793" i="95" s="1"/>
  <c r="G793" i="95" s="1"/>
  <c r="H793" i="95" s="1"/>
  <c r="I793" i="95" s="1"/>
  <c r="J793" i="95" s="1"/>
  <c r="K793" i="95" s="1"/>
  <c r="L793" i="95" s="1"/>
  <c r="M793" i="95" s="1"/>
  <c r="N793" i="95" s="1"/>
  <c r="O793" i="95" s="1"/>
  <c r="P793" i="95" s="1"/>
  <c r="Q793" i="95" s="1"/>
  <c r="R793" i="95" s="1"/>
  <c r="S793" i="95" s="1"/>
  <c r="T793" i="95" s="1"/>
  <c r="U793" i="95" s="1"/>
  <c r="V793" i="95" s="1"/>
  <c r="W793" i="95" s="1"/>
  <c r="X793" i="95" s="1"/>
  <c r="Y793" i="95" s="1"/>
  <c r="Z793" i="95" s="1"/>
  <c r="AA793" i="95" s="1"/>
  <c r="AB793" i="95" s="1"/>
  <c r="AC793" i="95" s="1"/>
  <c r="AD793" i="95" s="1"/>
  <c r="AE793" i="95" s="1"/>
  <c r="AF793" i="95" s="1"/>
  <c r="D961" i="95"/>
  <c r="E961" i="95" s="1"/>
  <c r="F961" i="95" s="1"/>
  <c r="G961" i="95" s="1"/>
  <c r="H961" i="95" s="1"/>
  <c r="I961" i="95" s="1"/>
  <c r="J961" i="95" s="1"/>
  <c r="K961" i="95" s="1"/>
  <c r="L961" i="95" s="1"/>
  <c r="M961" i="95" s="1"/>
  <c r="N961" i="95" s="1"/>
  <c r="O961" i="95" s="1"/>
  <c r="P961" i="95" s="1"/>
  <c r="Q961" i="95" s="1"/>
  <c r="R961" i="95" s="1"/>
  <c r="S961" i="95" s="1"/>
  <c r="T961" i="95" s="1"/>
  <c r="U961" i="95" s="1"/>
  <c r="V961" i="95" s="1"/>
  <c r="W961" i="95" s="1"/>
  <c r="X961" i="95" s="1"/>
  <c r="Y961" i="95" s="1"/>
  <c r="Z961" i="95" s="1"/>
  <c r="AA961" i="95" s="1"/>
  <c r="AB961" i="95" s="1"/>
  <c r="AC961" i="95" s="1"/>
  <c r="AD961" i="95" s="1"/>
  <c r="AE961" i="95" s="1"/>
  <c r="AF961" i="95" s="1"/>
  <c r="D855" i="95"/>
  <c r="E855" i="95" s="1"/>
  <c r="F855" i="95" s="1"/>
  <c r="G855" i="95" s="1"/>
  <c r="H855" i="95" s="1"/>
  <c r="I855" i="95" s="1"/>
  <c r="J855" i="95" s="1"/>
  <c r="K855" i="95" s="1"/>
  <c r="L855" i="95" s="1"/>
  <c r="M855" i="95" s="1"/>
  <c r="N855" i="95" s="1"/>
  <c r="O855" i="95" s="1"/>
  <c r="P855" i="95" s="1"/>
  <c r="Q855" i="95" s="1"/>
  <c r="R855" i="95" s="1"/>
  <c r="S855" i="95" s="1"/>
  <c r="T855" i="95" s="1"/>
  <c r="U855" i="95" s="1"/>
  <c r="V855" i="95" s="1"/>
  <c r="W855" i="95" s="1"/>
  <c r="X855" i="95" s="1"/>
  <c r="Y855" i="95" s="1"/>
  <c r="Z855" i="95" s="1"/>
  <c r="AA855" i="95" s="1"/>
  <c r="AB855" i="95" s="1"/>
  <c r="AC855" i="95" s="1"/>
  <c r="AD855" i="95" s="1"/>
  <c r="AE855" i="95" s="1"/>
  <c r="AF855" i="95" s="1"/>
  <c r="D906" i="95"/>
  <c r="E906" i="95" s="1"/>
  <c r="F906" i="95" s="1"/>
  <c r="G906" i="95" s="1"/>
  <c r="H906" i="95" s="1"/>
  <c r="I906" i="95" s="1"/>
  <c r="J906" i="95" s="1"/>
  <c r="K906" i="95" s="1"/>
  <c r="L906" i="95" s="1"/>
  <c r="M906" i="95" s="1"/>
  <c r="N906" i="95" s="1"/>
  <c r="O906" i="95" s="1"/>
  <c r="P906" i="95" s="1"/>
  <c r="Q906" i="95" s="1"/>
  <c r="R906" i="95" s="1"/>
  <c r="S906" i="95" s="1"/>
  <c r="T906" i="95" s="1"/>
  <c r="U906" i="95" s="1"/>
  <c r="V906" i="95" s="1"/>
  <c r="W906" i="95" s="1"/>
  <c r="X906" i="95" s="1"/>
  <c r="Y906" i="95" s="1"/>
  <c r="Z906" i="95" s="1"/>
  <c r="AA906" i="95" s="1"/>
  <c r="AB906" i="95" s="1"/>
  <c r="AC906" i="95" s="1"/>
  <c r="AD906" i="95" s="1"/>
  <c r="AE906" i="95" s="1"/>
  <c r="AF906" i="95" s="1"/>
  <c r="D555" i="95"/>
  <c r="E555" i="95" s="1"/>
  <c r="F555" i="95" s="1"/>
  <c r="G555" i="95" s="1"/>
  <c r="H555" i="95" s="1"/>
  <c r="I555" i="95" s="1"/>
  <c r="J555" i="95" s="1"/>
  <c r="K555" i="95" s="1"/>
  <c r="L555" i="95" s="1"/>
  <c r="M555" i="95" s="1"/>
  <c r="N555" i="95" s="1"/>
  <c r="O555" i="95" s="1"/>
  <c r="P555" i="95" s="1"/>
  <c r="Q555" i="95" s="1"/>
  <c r="R555" i="95" s="1"/>
  <c r="S555" i="95" s="1"/>
  <c r="T555" i="95" s="1"/>
  <c r="U555" i="95" s="1"/>
  <c r="V555" i="95" s="1"/>
  <c r="W555" i="95" s="1"/>
  <c r="X555" i="95" s="1"/>
  <c r="Y555" i="95" s="1"/>
  <c r="Z555" i="95" s="1"/>
  <c r="AA555" i="95" s="1"/>
  <c r="AB555" i="95" s="1"/>
  <c r="AC555" i="95" s="1"/>
  <c r="AD555" i="95" s="1"/>
  <c r="AE555" i="95" s="1"/>
  <c r="AF555" i="95" s="1"/>
  <c r="D318" i="95"/>
  <c r="E318" i="95" s="1"/>
  <c r="F318" i="95" s="1"/>
  <c r="G318" i="95" s="1"/>
  <c r="H318" i="95" s="1"/>
  <c r="I318" i="95" s="1"/>
  <c r="J318" i="95" s="1"/>
  <c r="K318" i="95" s="1"/>
  <c r="L318" i="95" s="1"/>
  <c r="M318" i="95" s="1"/>
  <c r="N318" i="95" s="1"/>
  <c r="O318" i="95" s="1"/>
  <c r="P318" i="95" s="1"/>
  <c r="Q318" i="95" s="1"/>
  <c r="R318" i="95" s="1"/>
  <c r="S318" i="95" s="1"/>
  <c r="T318" i="95" s="1"/>
  <c r="U318" i="95" s="1"/>
  <c r="V318" i="95" s="1"/>
  <c r="W318" i="95" s="1"/>
  <c r="X318" i="95" s="1"/>
  <c r="Y318" i="95" s="1"/>
  <c r="Z318" i="95" s="1"/>
  <c r="AA318" i="95" s="1"/>
  <c r="AB318" i="95" s="1"/>
  <c r="AC318" i="95" s="1"/>
  <c r="AD318" i="95" s="1"/>
  <c r="AE318" i="95" s="1"/>
  <c r="AF318" i="95" s="1"/>
  <c r="D303" i="95"/>
  <c r="E303" i="95" s="1"/>
  <c r="F303" i="95" s="1"/>
  <c r="G303" i="95" s="1"/>
  <c r="H303" i="95" s="1"/>
  <c r="I303" i="95" s="1"/>
  <c r="J303" i="95" s="1"/>
  <c r="K303" i="95" s="1"/>
  <c r="L303" i="95" s="1"/>
  <c r="M303" i="95" s="1"/>
  <c r="N303" i="95" s="1"/>
  <c r="O303" i="95" s="1"/>
  <c r="P303" i="95" s="1"/>
  <c r="Q303" i="95" s="1"/>
  <c r="R303" i="95" s="1"/>
  <c r="S303" i="95" s="1"/>
  <c r="T303" i="95" s="1"/>
  <c r="U303" i="95" s="1"/>
  <c r="V303" i="95" s="1"/>
  <c r="W303" i="95" s="1"/>
  <c r="X303" i="95" s="1"/>
  <c r="Y303" i="95" s="1"/>
  <c r="Z303" i="95" s="1"/>
  <c r="AA303" i="95" s="1"/>
  <c r="AB303" i="95" s="1"/>
  <c r="AC303" i="95" s="1"/>
  <c r="AD303" i="95" s="1"/>
  <c r="AE303" i="95" s="1"/>
  <c r="AF303" i="95" s="1"/>
  <c r="D845" i="95"/>
  <c r="E845" i="95" s="1"/>
  <c r="F845" i="95" s="1"/>
  <c r="G845" i="95" s="1"/>
  <c r="H845" i="95" s="1"/>
  <c r="I845" i="95" s="1"/>
  <c r="J845" i="95" s="1"/>
  <c r="K845" i="95" s="1"/>
  <c r="L845" i="95" s="1"/>
  <c r="M845" i="95" s="1"/>
  <c r="N845" i="95" s="1"/>
  <c r="O845" i="95" s="1"/>
  <c r="P845" i="95" s="1"/>
  <c r="Q845" i="95" s="1"/>
  <c r="R845" i="95" s="1"/>
  <c r="S845" i="95" s="1"/>
  <c r="T845" i="95" s="1"/>
  <c r="U845" i="95" s="1"/>
  <c r="V845" i="95" s="1"/>
  <c r="W845" i="95" s="1"/>
  <c r="X845" i="95" s="1"/>
  <c r="Y845" i="95" s="1"/>
  <c r="Z845" i="95" s="1"/>
  <c r="AA845" i="95" s="1"/>
  <c r="AB845" i="95" s="1"/>
  <c r="AC845" i="95" s="1"/>
  <c r="AD845" i="95" s="1"/>
  <c r="AE845" i="95" s="1"/>
  <c r="AF845" i="95" s="1"/>
  <c r="D474" i="95"/>
  <c r="D472" i="95" s="1"/>
  <c r="D37" i="95"/>
  <c r="D34" i="95" s="1"/>
  <c r="D56" i="95"/>
  <c r="E56" i="95" s="1"/>
  <c r="D213" i="95"/>
  <c r="E213" i="95" s="1"/>
  <c r="F213" i="95" s="1"/>
  <c r="G213" i="95" s="1"/>
  <c r="H213" i="95" s="1"/>
  <c r="I213" i="95" s="1"/>
  <c r="J213" i="95" s="1"/>
  <c r="K213" i="95" s="1"/>
  <c r="L213" i="95" s="1"/>
  <c r="M213" i="95" s="1"/>
  <c r="N213" i="95" s="1"/>
  <c r="O213" i="95" s="1"/>
  <c r="P213" i="95" s="1"/>
  <c r="Q213" i="95" s="1"/>
  <c r="R213" i="95" s="1"/>
  <c r="S213" i="95" s="1"/>
  <c r="T213" i="95" s="1"/>
  <c r="U213" i="95" s="1"/>
  <c r="V213" i="95" s="1"/>
  <c r="W213" i="95" s="1"/>
  <c r="X213" i="95" s="1"/>
  <c r="Y213" i="95" s="1"/>
  <c r="Z213" i="95" s="1"/>
  <c r="AA213" i="95" s="1"/>
  <c r="AB213" i="95" s="1"/>
  <c r="AC213" i="95" s="1"/>
  <c r="AD213" i="95" s="1"/>
  <c r="AE213" i="95" s="1"/>
  <c r="AF213" i="95" s="1"/>
  <c r="D807" i="95"/>
  <c r="D205" i="95"/>
  <c r="E205" i="95" s="1"/>
  <c r="D214" i="95"/>
  <c r="E214" i="95" s="1"/>
  <c r="F214" i="95" s="1"/>
  <c r="G214" i="95" s="1"/>
  <c r="H214" i="95" s="1"/>
  <c r="I214" i="95" s="1"/>
  <c r="J214" i="95" s="1"/>
  <c r="K214" i="95" s="1"/>
  <c r="L214" i="95" s="1"/>
  <c r="M214" i="95" s="1"/>
  <c r="N214" i="95" s="1"/>
  <c r="O214" i="95" s="1"/>
  <c r="P214" i="95" s="1"/>
  <c r="Q214" i="95" s="1"/>
  <c r="R214" i="95" s="1"/>
  <c r="S214" i="95" s="1"/>
  <c r="T214" i="95" s="1"/>
  <c r="U214" i="95" s="1"/>
  <c r="V214" i="95" s="1"/>
  <c r="W214" i="95" s="1"/>
  <c r="X214" i="95" s="1"/>
  <c r="Y214" i="95" s="1"/>
  <c r="Z214" i="95" s="1"/>
  <c r="AA214" i="95" s="1"/>
  <c r="AB214" i="95" s="1"/>
  <c r="AC214" i="95" s="1"/>
  <c r="AD214" i="95" s="1"/>
  <c r="AE214" i="95" s="1"/>
  <c r="AF214" i="95" s="1"/>
  <c r="D211" i="95"/>
  <c r="E211" i="95" s="1"/>
  <c r="F211" i="95" s="1"/>
  <c r="G211" i="95" s="1"/>
  <c r="D703" i="95"/>
  <c r="D701" i="95" s="1"/>
  <c r="D199" i="95"/>
  <c r="D382" i="95"/>
  <c r="D107" i="95"/>
  <c r="E107" i="95" s="1"/>
  <c r="F107" i="95" s="1"/>
  <c r="G107" i="95" s="1"/>
  <c r="H107" i="95" s="1"/>
  <c r="I107" i="95" s="1"/>
  <c r="J107" i="95" s="1"/>
  <c r="K107" i="95" s="1"/>
  <c r="L107" i="95" s="1"/>
  <c r="M107" i="95" s="1"/>
  <c r="N107" i="95" s="1"/>
  <c r="O107" i="95" s="1"/>
  <c r="P107" i="95" s="1"/>
  <c r="Q107" i="95" s="1"/>
  <c r="R107" i="95" s="1"/>
  <c r="S107" i="95" s="1"/>
  <c r="T107" i="95" s="1"/>
  <c r="U107" i="95" s="1"/>
  <c r="V107" i="95" s="1"/>
  <c r="W107" i="95" s="1"/>
  <c r="X107" i="95" s="1"/>
  <c r="Y107" i="95" s="1"/>
  <c r="Z107" i="95" s="1"/>
  <c r="AA107" i="95" s="1"/>
  <c r="AB107" i="95" s="1"/>
  <c r="AC107" i="95" s="1"/>
  <c r="AD107" i="95" s="1"/>
  <c r="AE107" i="95" s="1"/>
  <c r="AF107" i="95" s="1"/>
  <c r="D109" i="95"/>
  <c r="E109" i="95" s="1"/>
  <c r="F109" i="95" s="1"/>
  <c r="G109" i="95" s="1"/>
  <c r="H109" i="95" s="1"/>
  <c r="I109" i="95" s="1"/>
  <c r="D405" i="95"/>
  <c r="D403" i="95" s="1"/>
  <c r="D411" i="95"/>
  <c r="D409" i="95" s="1"/>
  <c r="D927" i="95"/>
  <c r="D925" i="95" s="1"/>
  <c r="D283" i="95"/>
  <c r="E283" i="95" s="1"/>
  <c r="F283" i="95" s="1"/>
  <c r="G283" i="95" s="1"/>
  <c r="D607" i="95"/>
  <c r="E607" i="95" s="1"/>
  <c r="F607" i="95" s="1"/>
  <c r="G607" i="95" s="1"/>
  <c r="H607" i="95" s="1"/>
  <c r="I607" i="95" s="1"/>
  <c r="J607" i="95" s="1"/>
  <c r="K607" i="95" s="1"/>
  <c r="L607" i="95" s="1"/>
  <c r="M607" i="95" s="1"/>
  <c r="N607" i="95" s="1"/>
  <c r="O607" i="95" s="1"/>
  <c r="P607" i="95" s="1"/>
  <c r="Q607" i="95" s="1"/>
  <c r="R607" i="95" s="1"/>
  <c r="S607" i="95" s="1"/>
  <c r="T607" i="95" s="1"/>
  <c r="U607" i="95" s="1"/>
  <c r="V607" i="95" s="1"/>
  <c r="W607" i="95" s="1"/>
  <c r="X607" i="95" s="1"/>
  <c r="Y607" i="95" s="1"/>
  <c r="Z607" i="95" s="1"/>
  <c r="AA607" i="95" s="1"/>
  <c r="AB607" i="95" s="1"/>
  <c r="AC607" i="95" s="1"/>
  <c r="AD607" i="95" s="1"/>
  <c r="AE607" i="95" s="1"/>
  <c r="AF607" i="95" s="1"/>
  <c r="D605" i="95"/>
  <c r="D376" i="95"/>
  <c r="E376" i="95" s="1"/>
  <c r="F376" i="95" s="1"/>
  <c r="G376" i="95" s="1"/>
  <c r="D388" i="95"/>
  <c r="D667" i="95"/>
  <c r="D997" i="95"/>
  <c r="E997" i="95" s="1"/>
  <c r="F997" i="95" s="1"/>
  <c r="G997" i="95" s="1"/>
  <c r="D842" i="95"/>
  <c r="D875" i="95"/>
  <c r="D989" i="95"/>
  <c r="D183" i="95"/>
  <c r="E183" i="95" s="1"/>
  <c r="F183" i="95" s="1"/>
  <c r="G183" i="95" s="1"/>
  <c r="H183" i="95" s="1"/>
  <c r="I183" i="95" s="1"/>
  <c r="J183" i="95" s="1"/>
  <c r="K183" i="95" s="1"/>
  <c r="L183" i="95" s="1"/>
  <c r="M183" i="95" s="1"/>
  <c r="N183" i="95" s="1"/>
  <c r="O183" i="95" s="1"/>
  <c r="P183" i="95" s="1"/>
  <c r="Q183" i="95" s="1"/>
  <c r="R183" i="95" s="1"/>
  <c r="S183" i="95" s="1"/>
  <c r="T183" i="95" s="1"/>
  <c r="U183" i="95" s="1"/>
  <c r="V183" i="95" s="1"/>
  <c r="W183" i="95" s="1"/>
  <c r="X183" i="95" s="1"/>
  <c r="Y183" i="95" s="1"/>
  <c r="Z183" i="95" s="1"/>
  <c r="AA183" i="95" s="1"/>
  <c r="AB183" i="95" s="1"/>
  <c r="AC183" i="95" s="1"/>
  <c r="AD183" i="95" s="1"/>
  <c r="AE183" i="95" s="1"/>
  <c r="AF183" i="95" s="1"/>
  <c r="D91" i="95"/>
  <c r="E91" i="95" s="1"/>
  <c r="F91" i="95" s="1"/>
  <c r="G91" i="95" s="1"/>
  <c r="H91" i="95" s="1"/>
  <c r="I91" i="95" s="1"/>
  <c r="J91" i="95" s="1"/>
  <c r="K91" i="95" s="1"/>
  <c r="L91" i="95" s="1"/>
  <c r="M91" i="95" s="1"/>
  <c r="N91" i="95" s="1"/>
  <c r="O91" i="95" s="1"/>
  <c r="P91" i="95" s="1"/>
  <c r="Q91" i="95" s="1"/>
  <c r="R91" i="95" s="1"/>
  <c r="S91" i="95" s="1"/>
  <c r="T91" i="95" s="1"/>
  <c r="U91" i="95" s="1"/>
  <c r="V91" i="95" s="1"/>
  <c r="W91" i="95" s="1"/>
  <c r="X91" i="95" s="1"/>
  <c r="Y91" i="95" s="1"/>
  <c r="Z91" i="95" s="1"/>
  <c r="AA91" i="95" s="1"/>
  <c r="AB91" i="95" s="1"/>
  <c r="AC91" i="95" s="1"/>
  <c r="AD91" i="95" s="1"/>
  <c r="AE91" i="95" s="1"/>
  <c r="AF91" i="95" s="1"/>
  <c r="D193" i="95"/>
  <c r="E193" i="95" s="1"/>
  <c r="F193" i="95" s="1"/>
  <c r="D40" i="95"/>
  <c r="D38" i="95" s="1"/>
  <c r="D863" i="95"/>
  <c r="D75" i="95"/>
  <c r="E75" i="95" s="1"/>
  <c r="F75" i="95" s="1"/>
  <c r="G75" i="95" s="1"/>
  <c r="D638" i="95"/>
  <c r="D636" i="95" s="1"/>
  <c r="D869" i="95"/>
  <c r="E869" i="95" s="1"/>
  <c r="D774" i="95"/>
  <c r="E774" i="95" s="1"/>
  <c r="F774" i="95" s="1"/>
  <c r="G774" i="95" s="1"/>
  <c r="H774" i="95" s="1"/>
  <c r="I774" i="95" s="1"/>
  <c r="J774" i="95" s="1"/>
  <c r="K774" i="95" s="1"/>
  <c r="L774" i="95" s="1"/>
  <c r="M774" i="95" s="1"/>
  <c r="N774" i="95" s="1"/>
  <c r="O774" i="95" s="1"/>
  <c r="P774" i="95" s="1"/>
  <c r="Q774" i="95" s="1"/>
  <c r="R774" i="95" s="1"/>
  <c r="S774" i="95" s="1"/>
  <c r="T774" i="95" s="1"/>
  <c r="U774" i="95" s="1"/>
  <c r="V774" i="95" s="1"/>
  <c r="W774" i="95" s="1"/>
  <c r="X774" i="95" s="1"/>
  <c r="Y774" i="95" s="1"/>
  <c r="Z774" i="95" s="1"/>
  <c r="AA774" i="95" s="1"/>
  <c r="AB774" i="95" s="1"/>
  <c r="AC774" i="95" s="1"/>
  <c r="AD774" i="95" s="1"/>
  <c r="AE774" i="95" s="1"/>
  <c r="AF774" i="95" s="1"/>
  <c r="D187" i="95"/>
  <c r="D447" i="95"/>
  <c r="D554" i="95"/>
  <c r="E554" i="95" s="1"/>
  <c r="F554" i="95" s="1"/>
  <c r="D534" i="95"/>
  <c r="D531" i="95" s="1"/>
  <c r="D530" i="95" s="1"/>
  <c r="D323" i="95"/>
  <c r="D462" i="95"/>
  <c r="D460" i="95" s="1"/>
  <c r="D459" i="95" s="1"/>
  <c r="D685" i="95"/>
  <c r="E685" i="95" s="1"/>
  <c r="F685" i="95" s="1"/>
  <c r="G685" i="95" s="1"/>
  <c r="H685" i="95" s="1"/>
  <c r="I685" i="95" s="1"/>
  <c r="J685" i="95" s="1"/>
  <c r="K685" i="95" s="1"/>
  <c r="L685" i="95" s="1"/>
  <c r="M685" i="95" s="1"/>
  <c r="N685" i="95" s="1"/>
  <c r="O685" i="95" s="1"/>
  <c r="P685" i="95" s="1"/>
  <c r="Q685" i="95" s="1"/>
  <c r="R685" i="95" s="1"/>
  <c r="S685" i="95" s="1"/>
  <c r="T685" i="95" s="1"/>
  <c r="U685" i="95" s="1"/>
  <c r="V685" i="95" s="1"/>
  <c r="W685" i="95" s="1"/>
  <c r="X685" i="95" s="1"/>
  <c r="Y685" i="95" s="1"/>
  <c r="Z685" i="95" s="1"/>
  <c r="AA685" i="95" s="1"/>
  <c r="AB685" i="95" s="1"/>
  <c r="AC685" i="95" s="1"/>
  <c r="AD685" i="95" s="1"/>
  <c r="AE685" i="95" s="1"/>
  <c r="AF685" i="95" s="1"/>
  <c r="D681" i="95"/>
  <c r="E681" i="95" s="1"/>
  <c r="D434" i="95"/>
  <c r="D832" i="95"/>
  <c r="E832" i="95" s="1"/>
  <c r="F832" i="95" s="1"/>
  <c r="G832" i="95" s="1"/>
  <c r="H832" i="95" s="1"/>
  <c r="I832" i="95" s="1"/>
  <c r="J832" i="95" s="1"/>
  <c r="K832" i="95" s="1"/>
  <c r="L832" i="95" s="1"/>
  <c r="M832" i="95" s="1"/>
  <c r="N832" i="95" s="1"/>
  <c r="O832" i="95" s="1"/>
  <c r="P832" i="95" s="1"/>
  <c r="Q832" i="95" s="1"/>
  <c r="R832" i="95" s="1"/>
  <c r="S832" i="95" s="1"/>
  <c r="T832" i="95" s="1"/>
  <c r="U832" i="95" s="1"/>
  <c r="V832" i="95" s="1"/>
  <c r="W832" i="95" s="1"/>
  <c r="X832" i="95" s="1"/>
  <c r="Y832" i="95" s="1"/>
  <c r="Z832" i="95" s="1"/>
  <c r="AA832" i="95" s="1"/>
  <c r="AB832" i="95" s="1"/>
  <c r="AC832" i="95" s="1"/>
  <c r="AD832" i="95" s="1"/>
  <c r="AE832" i="95" s="1"/>
  <c r="AF832" i="95" s="1"/>
  <c r="D830" i="95"/>
  <c r="E830" i="95" s="1"/>
  <c r="F830" i="95" s="1"/>
  <c r="D1033" i="95"/>
  <c r="D586" i="95"/>
  <c r="D506" i="95"/>
  <c r="D454" i="95"/>
  <c r="E454" i="95" s="1"/>
  <c r="F454" i="95" s="1"/>
  <c r="D1037" i="95"/>
  <c r="D1035" i="95" s="1"/>
  <c r="D675" i="95"/>
  <c r="E675" i="95" s="1"/>
  <c r="F675" i="95" s="1"/>
  <c r="G675" i="95" s="1"/>
  <c r="H675" i="95" s="1"/>
  <c r="I675" i="95" s="1"/>
  <c r="J675" i="95" s="1"/>
  <c r="K675" i="95" s="1"/>
  <c r="L675" i="95" s="1"/>
  <c r="M675" i="95" s="1"/>
  <c r="N675" i="95" s="1"/>
  <c r="O675" i="95" s="1"/>
  <c r="P675" i="95" s="1"/>
  <c r="Q675" i="95" s="1"/>
  <c r="R675" i="95" s="1"/>
  <c r="S675" i="95" s="1"/>
  <c r="T675" i="95" s="1"/>
  <c r="U675" i="95" s="1"/>
  <c r="V675" i="95" s="1"/>
  <c r="W675" i="95" s="1"/>
  <c r="X675" i="95" s="1"/>
  <c r="Y675" i="95" s="1"/>
  <c r="Z675" i="95" s="1"/>
  <c r="AA675" i="95" s="1"/>
  <c r="AB675" i="95" s="1"/>
  <c r="AC675" i="95" s="1"/>
  <c r="AD675" i="95" s="1"/>
  <c r="AE675" i="95" s="1"/>
  <c r="AF675" i="95" s="1"/>
  <c r="D1027" i="95"/>
  <c r="D1026" i="95" s="1"/>
  <c r="D974" i="95"/>
  <c r="D893" i="95"/>
  <c r="E893" i="95" s="1"/>
  <c r="F893" i="95" s="1"/>
  <c r="G893" i="95" s="1"/>
  <c r="H893" i="95" s="1"/>
  <c r="I893" i="95" s="1"/>
  <c r="J893" i="95" s="1"/>
  <c r="K893" i="95" s="1"/>
  <c r="L893" i="95" s="1"/>
  <c r="M893" i="95" s="1"/>
  <c r="N893" i="95" s="1"/>
  <c r="O893" i="95" s="1"/>
  <c r="P893" i="95" s="1"/>
  <c r="Q893" i="95" s="1"/>
  <c r="R893" i="95" s="1"/>
  <c r="S893" i="95" s="1"/>
  <c r="T893" i="95" s="1"/>
  <c r="U893" i="95" s="1"/>
  <c r="V893" i="95" s="1"/>
  <c r="W893" i="95" s="1"/>
  <c r="X893" i="95" s="1"/>
  <c r="Y893" i="95" s="1"/>
  <c r="Z893" i="95" s="1"/>
  <c r="AA893" i="95" s="1"/>
  <c r="AB893" i="95" s="1"/>
  <c r="AC893" i="95" s="1"/>
  <c r="AD893" i="95" s="1"/>
  <c r="AE893" i="95" s="1"/>
  <c r="AF893" i="95" s="1"/>
  <c r="D83" i="95"/>
  <c r="D771" i="95"/>
  <c r="D769" i="95" s="1"/>
  <c r="D440" i="95"/>
  <c r="D737" i="95"/>
  <c r="D394" i="95"/>
  <c r="D768" i="95"/>
  <c r="D766" i="95" s="1"/>
  <c r="D699" i="95"/>
  <c r="D784" i="95"/>
  <c r="D781" i="95" s="1"/>
  <c r="D133" i="95"/>
  <c r="D351" i="95"/>
  <c r="E351" i="95" s="1"/>
  <c r="D344" i="95"/>
  <c r="D640" i="95"/>
  <c r="E640" i="95" s="1"/>
  <c r="F640" i="95" s="1"/>
  <c r="D27" i="95"/>
  <c r="D25" i="95" s="1"/>
  <c r="D788" i="95"/>
  <c r="E788" i="95" s="1"/>
  <c r="F788" i="95" s="1"/>
  <c r="G788" i="95" s="1"/>
  <c r="H788" i="95" s="1"/>
  <c r="I788" i="95" s="1"/>
  <c r="J788" i="95" s="1"/>
  <c r="K788" i="95" s="1"/>
  <c r="L788" i="95" s="1"/>
  <c r="M788" i="95" s="1"/>
  <c r="N788" i="95" s="1"/>
  <c r="O788" i="95" s="1"/>
  <c r="P788" i="95" s="1"/>
  <c r="Q788" i="95" s="1"/>
  <c r="R788" i="95" s="1"/>
  <c r="S788" i="95" s="1"/>
  <c r="T788" i="95" s="1"/>
  <c r="U788" i="95" s="1"/>
  <c r="V788" i="95" s="1"/>
  <c r="W788" i="95" s="1"/>
  <c r="X788" i="95" s="1"/>
  <c r="Y788" i="95" s="1"/>
  <c r="Z788" i="95" s="1"/>
  <c r="AA788" i="95" s="1"/>
  <c r="AB788" i="95" s="1"/>
  <c r="AC788" i="95" s="1"/>
  <c r="AD788" i="95" s="1"/>
  <c r="AE788" i="95" s="1"/>
  <c r="AF788" i="95" s="1"/>
  <c r="D787" i="95"/>
  <c r="E787" i="95" s="1"/>
  <c r="F787" i="95" s="1"/>
  <c r="G787" i="95" s="1"/>
  <c r="D337" i="95"/>
  <c r="D335" i="95" s="1"/>
  <c r="D706" i="95"/>
  <c r="D704" i="95" s="1"/>
  <c r="D330" i="95"/>
  <c r="D147" i="95"/>
  <c r="D955" i="95"/>
  <c r="D952" i="95" s="1"/>
  <c r="D947" i="95"/>
  <c r="D944" i="95" s="1"/>
  <c r="D168" i="95"/>
  <c r="D782" i="95"/>
  <c r="E782" i="95" s="1"/>
  <c r="D261" i="95"/>
  <c r="E261" i="95" s="1"/>
  <c r="F261" i="95" s="1"/>
  <c r="D1017" i="95"/>
  <c r="D1015" i="95" s="1"/>
  <c r="D951" i="95"/>
  <c r="D948" i="95" s="1"/>
  <c r="D635" i="95"/>
  <c r="D633" i="95" s="1"/>
  <c r="D1005" i="95"/>
  <c r="E1005" i="95" s="1"/>
  <c r="D581" i="95"/>
  <c r="E581" i="95" s="1"/>
  <c r="F581" i="95" s="1"/>
  <c r="G581" i="95" s="1"/>
  <c r="H581" i="95" s="1"/>
  <c r="I581" i="95" s="1"/>
  <c r="J581" i="95" s="1"/>
  <c r="K581" i="95" s="1"/>
  <c r="L581" i="95" s="1"/>
  <c r="M581" i="95" s="1"/>
  <c r="N581" i="95" s="1"/>
  <c r="O581" i="95" s="1"/>
  <c r="P581" i="95" s="1"/>
  <c r="Q581" i="95" s="1"/>
  <c r="R581" i="95" s="1"/>
  <c r="S581" i="95" s="1"/>
  <c r="T581" i="95" s="1"/>
  <c r="U581" i="95" s="1"/>
  <c r="V581" i="95" s="1"/>
  <c r="W581" i="95" s="1"/>
  <c r="X581" i="95" s="1"/>
  <c r="Y581" i="95" s="1"/>
  <c r="Z581" i="95" s="1"/>
  <c r="AA581" i="95" s="1"/>
  <c r="AB581" i="95" s="1"/>
  <c r="AC581" i="95" s="1"/>
  <c r="AD581" i="95" s="1"/>
  <c r="AE581" i="95" s="1"/>
  <c r="AF581" i="95" s="1"/>
  <c r="D470" i="95"/>
  <c r="D879" i="95"/>
  <c r="D877" i="95" s="1"/>
  <c r="D142" i="95"/>
  <c r="E142" i="95" s="1"/>
  <c r="F142" i="95" s="1"/>
  <c r="G142" i="95" s="1"/>
  <c r="H142" i="95" s="1"/>
  <c r="I142" i="95" s="1"/>
  <c r="J142" i="95" s="1"/>
  <c r="K142" i="95" s="1"/>
  <c r="L142" i="95" s="1"/>
  <c r="M142" i="95" s="1"/>
  <c r="N142" i="95" s="1"/>
  <c r="O142" i="95" s="1"/>
  <c r="P142" i="95" s="1"/>
  <c r="Q142" i="95" s="1"/>
  <c r="R142" i="95" s="1"/>
  <c r="S142" i="95" s="1"/>
  <c r="T142" i="95" s="1"/>
  <c r="U142" i="95" s="1"/>
  <c r="V142" i="95" s="1"/>
  <c r="W142" i="95" s="1"/>
  <c r="X142" i="95" s="1"/>
  <c r="Y142" i="95" s="1"/>
  <c r="Z142" i="95" s="1"/>
  <c r="AA142" i="95" s="1"/>
  <c r="AB142" i="95" s="1"/>
  <c r="AC142" i="95" s="1"/>
  <c r="AD142" i="95" s="1"/>
  <c r="AE142" i="95" s="1"/>
  <c r="AF142" i="95" s="1"/>
  <c r="D140" i="95"/>
  <c r="E140" i="95" s="1"/>
  <c r="F140" i="95" s="1"/>
  <c r="G140" i="95" s="1"/>
  <c r="D1009" i="95"/>
  <c r="D838" i="95"/>
  <c r="D836" i="95" s="1"/>
  <c r="D835" i="95" s="1"/>
  <c r="D821" i="95"/>
  <c r="D866" i="95"/>
  <c r="D865" i="95" s="1"/>
  <c r="D850" i="95"/>
  <c r="D848" i="95" s="1"/>
  <c r="D566" i="95"/>
  <c r="D532" i="95"/>
  <c r="E532" i="95" s="1"/>
  <c r="F532" i="95" s="1"/>
  <c r="G532" i="95" s="1"/>
  <c r="H532" i="95" s="1"/>
  <c r="D35" i="95"/>
  <c r="E35" i="95" s="1"/>
  <c r="F35" i="95" s="1"/>
  <c r="G35" i="95" s="1"/>
  <c r="H35" i="95" s="1"/>
  <c r="D981" i="95"/>
  <c r="D949" i="95"/>
  <c r="E949" i="95" s="1"/>
  <c r="F949" i="95" s="1"/>
  <c r="G949" i="95" s="1"/>
  <c r="D502" i="95"/>
  <c r="E502" i="95" s="1"/>
  <c r="F502" i="95" s="1"/>
  <c r="G502" i="95" s="1"/>
  <c r="H502" i="95" s="1"/>
  <c r="I502" i="95" s="1"/>
  <c r="J502" i="95" s="1"/>
  <c r="K502" i="95" s="1"/>
  <c r="L502" i="95" s="1"/>
  <c r="M502" i="95" s="1"/>
  <c r="N502" i="95" s="1"/>
  <c r="O502" i="95" s="1"/>
  <c r="P502" i="95" s="1"/>
  <c r="Q502" i="95" s="1"/>
  <c r="R502" i="95" s="1"/>
  <c r="S502" i="95" s="1"/>
  <c r="T502" i="95" s="1"/>
  <c r="U502" i="95" s="1"/>
  <c r="V502" i="95" s="1"/>
  <c r="W502" i="95" s="1"/>
  <c r="X502" i="95" s="1"/>
  <c r="Y502" i="95" s="1"/>
  <c r="Z502" i="95" s="1"/>
  <c r="AA502" i="95" s="1"/>
  <c r="AB502" i="95" s="1"/>
  <c r="AC502" i="95" s="1"/>
  <c r="AD502" i="95" s="1"/>
  <c r="AE502" i="95" s="1"/>
  <c r="AF502" i="95" s="1"/>
  <c r="D500" i="95"/>
  <c r="E500" i="95" s="1"/>
  <c r="F500" i="95" s="1"/>
  <c r="G500" i="95" s="1"/>
  <c r="H500" i="95" s="1"/>
  <c r="D372" i="95"/>
  <c r="E372" i="95" s="1"/>
  <c r="F372" i="95" s="1"/>
  <c r="G372" i="95" s="1"/>
  <c r="H372" i="95" s="1"/>
  <c r="I372" i="95" s="1"/>
  <c r="J372" i="95" s="1"/>
  <c r="K372" i="95" s="1"/>
  <c r="L372" i="95" s="1"/>
  <c r="M372" i="95" s="1"/>
  <c r="N372" i="95" s="1"/>
  <c r="O372" i="95" s="1"/>
  <c r="P372" i="95" s="1"/>
  <c r="Q372" i="95" s="1"/>
  <c r="R372" i="95" s="1"/>
  <c r="S372" i="95" s="1"/>
  <c r="T372" i="95" s="1"/>
  <c r="U372" i="95" s="1"/>
  <c r="V372" i="95" s="1"/>
  <c r="W372" i="95" s="1"/>
  <c r="X372" i="95" s="1"/>
  <c r="Y372" i="95" s="1"/>
  <c r="Z372" i="95" s="1"/>
  <c r="AA372" i="95" s="1"/>
  <c r="AB372" i="95" s="1"/>
  <c r="AC372" i="95" s="1"/>
  <c r="AD372" i="95" s="1"/>
  <c r="AE372" i="95" s="1"/>
  <c r="AF372" i="95" s="1"/>
  <c r="D364" i="95"/>
  <c r="D370" i="95"/>
  <c r="D601" i="95"/>
  <c r="E601" i="95" s="1"/>
  <c r="F601" i="95" s="1"/>
  <c r="G601" i="95" s="1"/>
  <c r="H601" i="95" s="1"/>
  <c r="I601" i="95" s="1"/>
  <c r="J601" i="95" s="1"/>
  <c r="K601" i="95" s="1"/>
  <c r="L601" i="95" s="1"/>
  <c r="M601" i="95" s="1"/>
  <c r="N601" i="95" s="1"/>
  <c r="O601" i="95" s="1"/>
  <c r="P601" i="95" s="1"/>
  <c r="Q601" i="95" s="1"/>
  <c r="R601" i="95" s="1"/>
  <c r="S601" i="95" s="1"/>
  <c r="T601" i="95" s="1"/>
  <c r="U601" i="95" s="1"/>
  <c r="V601" i="95" s="1"/>
  <c r="W601" i="95" s="1"/>
  <c r="X601" i="95" s="1"/>
  <c r="Y601" i="95" s="1"/>
  <c r="Z601" i="95" s="1"/>
  <c r="AA601" i="95" s="1"/>
  <c r="AB601" i="95" s="1"/>
  <c r="AC601" i="95" s="1"/>
  <c r="AD601" i="95" s="1"/>
  <c r="AE601" i="95" s="1"/>
  <c r="AF601" i="95" s="1"/>
  <c r="D599" i="95"/>
  <c r="D813" i="95"/>
  <c r="E813" i="95" s="1"/>
  <c r="F813" i="95" s="1"/>
  <c r="D713" i="95"/>
  <c r="E713" i="95" s="1"/>
  <c r="F713" i="95" s="1"/>
  <c r="G713" i="95" s="1"/>
  <c r="H713" i="95" s="1"/>
  <c r="I713" i="95" s="1"/>
  <c r="J713" i="95" s="1"/>
  <c r="K713" i="95" s="1"/>
  <c r="L713" i="95" s="1"/>
  <c r="M713" i="95" s="1"/>
  <c r="N713" i="95" s="1"/>
  <c r="O713" i="95" s="1"/>
  <c r="P713" i="95" s="1"/>
  <c r="Q713" i="95" s="1"/>
  <c r="R713" i="95" s="1"/>
  <c r="S713" i="95" s="1"/>
  <c r="T713" i="95" s="1"/>
  <c r="U713" i="95" s="1"/>
  <c r="V713" i="95" s="1"/>
  <c r="W713" i="95" s="1"/>
  <c r="X713" i="95" s="1"/>
  <c r="Y713" i="95" s="1"/>
  <c r="Z713" i="95" s="1"/>
  <c r="AA713" i="95" s="1"/>
  <c r="AB713" i="95" s="1"/>
  <c r="AC713" i="95" s="1"/>
  <c r="AD713" i="95" s="1"/>
  <c r="AE713" i="95" s="1"/>
  <c r="AF713" i="95" s="1"/>
  <c r="D163" i="95"/>
  <c r="E163" i="95" s="1"/>
  <c r="F163" i="95" s="1"/>
  <c r="G163" i="95" s="1"/>
  <c r="H163" i="95" s="1"/>
  <c r="I163" i="95" s="1"/>
  <c r="J163" i="95" s="1"/>
  <c r="K163" i="95" s="1"/>
  <c r="L163" i="95" s="1"/>
  <c r="M163" i="95" s="1"/>
  <c r="N163" i="95" s="1"/>
  <c r="O163" i="95" s="1"/>
  <c r="P163" i="95" s="1"/>
  <c r="Q163" i="95" s="1"/>
  <c r="R163" i="95" s="1"/>
  <c r="S163" i="95" s="1"/>
  <c r="T163" i="95" s="1"/>
  <c r="U163" i="95" s="1"/>
  <c r="V163" i="95" s="1"/>
  <c r="W163" i="95" s="1"/>
  <c r="X163" i="95" s="1"/>
  <c r="Y163" i="95" s="1"/>
  <c r="Z163" i="95" s="1"/>
  <c r="AA163" i="95" s="1"/>
  <c r="AB163" i="95" s="1"/>
  <c r="AC163" i="95" s="1"/>
  <c r="AD163" i="95" s="1"/>
  <c r="AE163" i="95" s="1"/>
  <c r="AF163" i="95" s="1"/>
  <c r="D161" i="95"/>
  <c r="D758" i="95"/>
  <c r="D773" i="95" s="1"/>
  <c r="D792" i="95"/>
  <c r="D219" i="95"/>
  <c r="E219" i="95" s="1"/>
  <c r="F219" i="95" s="1"/>
  <c r="G219" i="95" s="1"/>
  <c r="H219" i="95" s="1"/>
  <c r="I219" i="95" s="1"/>
  <c r="J219" i="95" s="1"/>
  <c r="K219" i="95" s="1"/>
  <c r="L219" i="95" s="1"/>
  <c r="M219" i="95" s="1"/>
  <c r="N219" i="95" s="1"/>
  <c r="O219" i="95" s="1"/>
  <c r="P219" i="95" s="1"/>
  <c r="Q219" i="95" s="1"/>
  <c r="R219" i="95" s="1"/>
  <c r="S219" i="95" s="1"/>
  <c r="T219" i="95" s="1"/>
  <c r="U219" i="95" s="1"/>
  <c r="V219" i="95" s="1"/>
  <c r="W219" i="95" s="1"/>
  <c r="X219" i="95" s="1"/>
  <c r="Y219" i="95" s="1"/>
  <c r="Z219" i="95" s="1"/>
  <c r="AA219" i="95" s="1"/>
  <c r="AB219" i="95" s="1"/>
  <c r="AC219" i="95" s="1"/>
  <c r="AD219" i="95" s="1"/>
  <c r="AE219" i="95" s="1"/>
  <c r="AF219" i="95" s="1"/>
  <c r="D181" i="95"/>
  <c r="D217" i="95"/>
  <c r="D891" i="95"/>
  <c r="D291" i="95"/>
  <c r="D156" i="95"/>
  <c r="E156" i="95" s="1"/>
  <c r="F156" i="95" s="1"/>
  <c r="G156" i="95" s="1"/>
  <c r="H156" i="95" s="1"/>
  <c r="I156" i="95" s="1"/>
  <c r="J156" i="95" s="1"/>
  <c r="K156" i="95" s="1"/>
  <c r="L156" i="95" s="1"/>
  <c r="M156" i="95" s="1"/>
  <c r="N156" i="95" s="1"/>
  <c r="O156" i="95" s="1"/>
  <c r="P156" i="95" s="1"/>
  <c r="Q156" i="95" s="1"/>
  <c r="R156" i="95" s="1"/>
  <c r="S156" i="95" s="1"/>
  <c r="T156" i="95" s="1"/>
  <c r="U156" i="95" s="1"/>
  <c r="V156" i="95" s="1"/>
  <c r="W156" i="95" s="1"/>
  <c r="X156" i="95" s="1"/>
  <c r="Y156" i="95" s="1"/>
  <c r="Z156" i="95" s="1"/>
  <c r="AA156" i="95" s="1"/>
  <c r="AB156" i="95" s="1"/>
  <c r="AC156" i="95" s="1"/>
  <c r="AD156" i="95" s="1"/>
  <c r="AE156" i="95" s="1"/>
  <c r="AF156" i="95" s="1"/>
  <c r="D154" i="95"/>
  <c r="D228" i="95"/>
  <c r="D226" i="95" s="1"/>
  <c r="D489" i="95"/>
  <c r="E489" i="95" s="1"/>
  <c r="F489" i="95" s="1"/>
  <c r="G489" i="95" s="1"/>
  <c r="H489" i="95" s="1"/>
  <c r="I489" i="95" s="1"/>
  <c r="J489" i="95" s="1"/>
  <c r="K489" i="95" s="1"/>
  <c r="L489" i="95" s="1"/>
  <c r="M489" i="95" s="1"/>
  <c r="N489" i="95" s="1"/>
  <c r="O489" i="95" s="1"/>
  <c r="P489" i="95" s="1"/>
  <c r="Q489" i="95" s="1"/>
  <c r="R489" i="95" s="1"/>
  <c r="S489" i="95" s="1"/>
  <c r="T489" i="95" s="1"/>
  <c r="U489" i="95" s="1"/>
  <c r="V489" i="95" s="1"/>
  <c r="W489" i="95" s="1"/>
  <c r="X489" i="95" s="1"/>
  <c r="Y489" i="95" s="1"/>
  <c r="Z489" i="95" s="1"/>
  <c r="AA489" i="95" s="1"/>
  <c r="AB489" i="95" s="1"/>
  <c r="AC489" i="95" s="1"/>
  <c r="AD489" i="95" s="1"/>
  <c r="AE489" i="95" s="1"/>
  <c r="AF489" i="95" s="1"/>
  <c r="D480" i="95"/>
  <c r="D487" i="95"/>
  <c r="E487" i="95" s="1"/>
  <c r="F487" i="95" s="1"/>
  <c r="D623" i="95"/>
  <c r="E623" i="95" s="1"/>
  <c r="D720" i="95"/>
  <c r="E720" i="95" s="1"/>
  <c r="F720" i="95" s="1"/>
  <c r="G720" i="95" s="1"/>
  <c r="H720" i="95" s="1"/>
  <c r="I720" i="95" s="1"/>
  <c r="J720" i="95" s="1"/>
  <c r="K720" i="95" s="1"/>
  <c r="L720" i="95" s="1"/>
  <c r="M720" i="95" s="1"/>
  <c r="N720" i="95" s="1"/>
  <c r="O720" i="95" s="1"/>
  <c r="P720" i="95" s="1"/>
  <c r="Q720" i="95" s="1"/>
  <c r="R720" i="95" s="1"/>
  <c r="S720" i="95" s="1"/>
  <c r="T720" i="95" s="1"/>
  <c r="U720" i="95" s="1"/>
  <c r="V720" i="95" s="1"/>
  <c r="W720" i="95" s="1"/>
  <c r="X720" i="95" s="1"/>
  <c r="Y720" i="95" s="1"/>
  <c r="Z720" i="95" s="1"/>
  <c r="AA720" i="95" s="1"/>
  <c r="AB720" i="95" s="1"/>
  <c r="AC720" i="95" s="1"/>
  <c r="AD720" i="95" s="1"/>
  <c r="AE720" i="95" s="1"/>
  <c r="AF720" i="95" s="1"/>
  <c r="D718" i="95"/>
  <c r="D779" i="95"/>
  <c r="D316" i="95"/>
  <c r="E316" i="95" s="1"/>
  <c r="D912" i="95"/>
  <c r="E912" i="95" s="1"/>
  <c r="F912" i="95" s="1"/>
  <c r="G912" i="95" s="1"/>
  <c r="H912" i="95" s="1"/>
  <c r="I912" i="95" s="1"/>
  <c r="J912" i="95" s="1"/>
  <c r="K912" i="95" s="1"/>
  <c r="L912" i="95" s="1"/>
  <c r="M912" i="95" s="1"/>
  <c r="N912" i="95" s="1"/>
  <c r="O912" i="95" s="1"/>
  <c r="P912" i="95" s="1"/>
  <c r="Q912" i="95" s="1"/>
  <c r="R912" i="95" s="1"/>
  <c r="S912" i="95" s="1"/>
  <c r="T912" i="95" s="1"/>
  <c r="U912" i="95" s="1"/>
  <c r="V912" i="95" s="1"/>
  <c r="W912" i="95" s="1"/>
  <c r="X912" i="95" s="1"/>
  <c r="Y912" i="95" s="1"/>
  <c r="Z912" i="95" s="1"/>
  <c r="AA912" i="95" s="1"/>
  <c r="AB912" i="95" s="1"/>
  <c r="AC912" i="95" s="1"/>
  <c r="AD912" i="95" s="1"/>
  <c r="AE912" i="95" s="1"/>
  <c r="AF912" i="95" s="1"/>
  <c r="D904" i="95"/>
  <c r="D910" i="95"/>
  <c r="D414" i="95"/>
  <c r="D412" i="95" s="1"/>
  <c r="D417" i="95"/>
  <c r="D415" i="95" s="1"/>
  <c r="D408" i="95"/>
  <c r="D406" i="95" s="1"/>
  <c r="D234" i="95"/>
  <c r="D232" i="95" s="1"/>
  <c r="D748" i="95"/>
  <c r="D746" i="95" s="1"/>
  <c r="D745" i="95"/>
  <c r="D743" i="95" s="1"/>
  <c r="D517" i="95"/>
  <c r="D515" i="95" s="1"/>
  <c r="D574" i="95"/>
  <c r="D572" i="95" s="1"/>
  <c r="D616" i="95"/>
  <c r="D614" i="95" s="1"/>
  <c r="D290" i="95"/>
  <c r="D857" i="95"/>
  <c r="D31" i="95"/>
  <c r="E31" i="95" s="1"/>
  <c r="F31" i="95" s="1"/>
  <c r="G31" i="95" s="1"/>
  <c r="D733" i="95"/>
  <c r="E733" i="95" s="1"/>
  <c r="F733" i="95" s="1"/>
  <c r="G733" i="95" s="1"/>
  <c r="H733" i="95" s="1"/>
  <c r="I733" i="95" s="1"/>
  <c r="J733" i="95" s="1"/>
  <c r="K733" i="95" s="1"/>
  <c r="L733" i="95" s="1"/>
  <c r="M733" i="95" s="1"/>
  <c r="N733" i="95" s="1"/>
  <c r="O733" i="95" s="1"/>
  <c r="P733" i="95" s="1"/>
  <c r="Q733" i="95" s="1"/>
  <c r="R733" i="95" s="1"/>
  <c r="S733" i="95" s="1"/>
  <c r="T733" i="95" s="1"/>
  <c r="U733" i="95" s="1"/>
  <c r="V733" i="95" s="1"/>
  <c r="W733" i="95" s="1"/>
  <c r="X733" i="95" s="1"/>
  <c r="Y733" i="95" s="1"/>
  <c r="Z733" i="95" s="1"/>
  <c r="AA733" i="95" s="1"/>
  <c r="AB733" i="95" s="1"/>
  <c r="AC733" i="95" s="1"/>
  <c r="AD733" i="95" s="1"/>
  <c r="AE733" i="95" s="1"/>
  <c r="AF733" i="95" s="1"/>
  <c r="D731" i="95"/>
  <c r="E731" i="95" s="1"/>
  <c r="F731" i="95" s="1"/>
  <c r="G731" i="95" s="1"/>
  <c r="D237" i="95"/>
  <c r="D235" i="95" s="1"/>
  <c r="D562" i="95"/>
  <c r="D560" i="95" s="1"/>
  <c r="D559" i="95" s="1"/>
  <c r="D959" i="95"/>
  <c r="D12" i="95"/>
  <c r="D231" i="95"/>
  <c r="D229" i="95" s="1"/>
  <c r="D240" i="95"/>
  <c r="D238" i="95" s="1"/>
  <c r="D921" i="95"/>
  <c r="E921" i="95" s="1"/>
  <c r="F921" i="95" s="1"/>
  <c r="G921" i="95" s="1"/>
  <c r="H921" i="95" s="1"/>
  <c r="I921" i="95" s="1"/>
  <c r="J921" i="95" s="1"/>
  <c r="K921" i="95" s="1"/>
  <c r="L921" i="95" s="1"/>
  <c r="M921" i="95" s="1"/>
  <c r="N921" i="95" s="1"/>
  <c r="O921" i="95" s="1"/>
  <c r="P921" i="95" s="1"/>
  <c r="Q921" i="95" s="1"/>
  <c r="R921" i="95" s="1"/>
  <c r="S921" i="95" s="1"/>
  <c r="T921" i="95" s="1"/>
  <c r="U921" i="95" s="1"/>
  <c r="V921" i="95" s="1"/>
  <c r="W921" i="95" s="1"/>
  <c r="X921" i="95" s="1"/>
  <c r="Y921" i="95" s="1"/>
  <c r="Z921" i="95" s="1"/>
  <c r="AA921" i="95" s="1"/>
  <c r="AB921" i="95" s="1"/>
  <c r="AC921" i="95" s="1"/>
  <c r="AD921" i="95" s="1"/>
  <c r="AE921" i="95" s="1"/>
  <c r="AF921" i="95" s="1"/>
  <c r="D243" i="95"/>
  <c r="D241" i="95" s="1"/>
  <c r="D248" i="95"/>
  <c r="D126" i="95"/>
  <c r="E126" i="95" s="1"/>
  <c r="D884" i="95"/>
  <c r="D711" i="95"/>
  <c r="D1025" i="95"/>
  <c r="D1023" i="95" s="1"/>
  <c r="D579" i="95"/>
  <c r="D514" i="95"/>
  <c r="D512" i="95" s="1"/>
  <c r="D402" i="95"/>
  <c r="D400" i="95" s="1"/>
  <c r="D860" i="95"/>
  <c r="D225" i="95"/>
  <c r="D223" i="95" s="1"/>
  <c r="D613" i="95"/>
  <c r="D611" i="95" s="1"/>
  <c r="D873" i="95"/>
  <c r="D871" i="95" s="1"/>
  <c r="D1031" i="95"/>
  <c r="D1029" i="95" s="1"/>
  <c r="D1021" i="95"/>
  <c r="D1020" i="95" s="1"/>
  <c r="D854" i="95"/>
  <c r="D923" i="95"/>
  <c r="E923" i="95" s="1"/>
  <c r="D918" i="95"/>
  <c r="D916" i="95" s="1"/>
  <c r="D934" i="95"/>
  <c r="D940" i="95" s="1"/>
  <c r="D765" i="95"/>
  <c r="D763" i="95" s="1"/>
  <c r="D528" i="95"/>
  <c r="D526" i="95" s="1"/>
  <c r="D525" i="95" s="1"/>
  <c r="D70" i="95"/>
  <c r="D630" i="95"/>
  <c r="D428" i="95"/>
  <c r="D426" i="95" s="1"/>
  <c r="D425" i="95" s="1"/>
  <c r="D257" i="95"/>
  <c r="D255" i="95" s="1"/>
  <c r="D254" i="95" s="1"/>
  <c r="D150" i="24"/>
  <c r="G262" i="59" s="1"/>
  <c r="G317" i="59" s="1"/>
  <c r="D152" i="24"/>
  <c r="G264" i="59" s="1"/>
  <c r="G319" i="59" s="1"/>
  <c r="C1669" i="95"/>
  <c r="C1668" i="95" s="1"/>
  <c r="C1664" i="95" s="1"/>
  <c r="D149" i="24"/>
  <c r="G261" i="59" s="1"/>
  <c r="G316" i="59" s="1"/>
  <c r="D148" i="24"/>
  <c r="G260" i="59" s="1"/>
  <c r="G315" i="59" s="1"/>
  <c r="G336" i="59" s="1"/>
  <c r="G382" i="59" s="1"/>
  <c r="C1408" i="95"/>
  <c r="C1405" i="95" s="1"/>
  <c r="C1404" i="95" s="1"/>
  <c r="D24" i="95"/>
  <c r="D22" i="95" s="1"/>
  <c r="C1041" i="95"/>
  <c r="D147" i="24"/>
  <c r="G259" i="59" s="1"/>
  <c r="G314" i="59" s="1"/>
  <c r="D666" i="95" l="1"/>
  <c r="E248" i="95"/>
  <c r="D310" i="95"/>
  <c r="D307" i="95"/>
  <c r="D856" i="95"/>
  <c r="D859" i="95"/>
  <c r="D166" i="95"/>
  <c r="E314" i="95"/>
  <c r="E12" i="95"/>
  <c r="E44" i="95" s="1"/>
  <c r="D32" i="95"/>
  <c r="E18" i="95"/>
  <c r="D61" i="95"/>
  <c r="D957" i="95"/>
  <c r="D145" i="95"/>
  <c r="D342" i="95"/>
  <c r="D565" i="95"/>
  <c r="D564" i="95" s="1"/>
  <c r="D504" i="95"/>
  <c r="D987" i="95"/>
  <c r="D368" i="95"/>
  <c r="E1025" i="95"/>
  <c r="E1023" i="95" s="1"/>
  <c r="D709" i="95"/>
  <c r="D1003" i="95"/>
  <c r="D1002" i="95" s="1"/>
  <c r="D185" i="95"/>
  <c r="D21" i="95"/>
  <c r="E428" i="95"/>
  <c r="E426" i="95" s="1"/>
  <c r="E425" i="95" s="1"/>
  <c r="E349" i="95"/>
  <c r="D820" i="95"/>
  <c r="D392" i="95"/>
  <c r="D465" i="95"/>
  <c r="D464" i="95" s="1"/>
  <c r="D716" i="95"/>
  <c r="D362" i="95"/>
  <c r="E771" i="95"/>
  <c r="E769" i="95" s="1"/>
  <c r="D882" i="95"/>
  <c r="D603" i="95"/>
  <c r="D478" i="95"/>
  <c r="D979" i="95"/>
  <c r="E344" i="95"/>
  <c r="E342" i="95" s="1"/>
  <c r="D735" i="95"/>
  <c r="D511" i="95"/>
  <c r="E745" i="95"/>
  <c r="E743" i="95" s="1"/>
  <c r="D902" i="95"/>
  <c r="D874" i="95"/>
  <c r="E1031" i="95"/>
  <c r="E1029" i="95" s="1"/>
  <c r="D1008" i="95"/>
  <c r="D1007" i="95" s="1"/>
  <c r="E927" i="95"/>
  <c r="E925" i="95" s="1"/>
  <c r="D191" i="95"/>
  <c r="D698" i="95"/>
  <c r="D386" i="95"/>
  <c r="D577" i="95"/>
  <c r="D889" i="95"/>
  <c r="E635" i="95"/>
  <c r="E633" i="95" s="1"/>
  <c r="G374" i="95"/>
  <c r="D380" i="95"/>
  <c r="E225" i="95"/>
  <c r="E223" i="95" s="1"/>
  <c r="E1017" i="95"/>
  <c r="E1015" i="95" s="1"/>
  <c r="E1037" i="95"/>
  <c r="E1035" i="95" s="1"/>
  <c r="D197" i="95"/>
  <c r="E53" i="95"/>
  <c r="F56" i="95"/>
  <c r="F53" i="95" s="1"/>
  <c r="E462" i="95"/>
  <c r="E460" i="95" s="1"/>
  <c r="E459" i="95" s="1"/>
  <c r="E405" i="95"/>
  <c r="E403" i="95" s="1"/>
  <c r="E257" i="95"/>
  <c r="E255" i="95" s="1"/>
  <c r="E254" i="95" s="1"/>
  <c r="E873" i="95"/>
  <c r="E871" i="95" s="1"/>
  <c r="E918" i="95"/>
  <c r="E916" i="95" s="1"/>
  <c r="E981" i="95"/>
  <c r="E979" i="95" s="1"/>
  <c r="E850" i="95"/>
  <c r="E848" i="95" s="1"/>
  <c r="E613" i="95"/>
  <c r="E517" i="95"/>
  <c r="E515" i="95" s="1"/>
  <c r="D152" i="95"/>
  <c r="D853" i="95"/>
  <c r="D696" i="95"/>
  <c r="E868" i="95"/>
  <c r="F869" i="95"/>
  <c r="E124" i="95"/>
  <c r="F126" i="95"/>
  <c r="F124" i="95" s="1"/>
  <c r="E203" i="95"/>
  <c r="F205" i="95"/>
  <c r="F203" i="95" s="1"/>
  <c r="F812" i="95"/>
  <c r="G813" i="95"/>
  <c r="H813" i="95" s="1"/>
  <c r="G335" i="59"/>
  <c r="G210" i="59" s="1"/>
  <c r="G22" i="60"/>
  <c r="D584" i="95"/>
  <c r="E711" i="95"/>
  <c r="E709" i="95" s="1"/>
  <c r="E408" i="95"/>
  <c r="E406" i="95" s="1"/>
  <c r="E370" i="95"/>
  <c r="F370" i="95" s="1"/>
  <c r="F368" i="95" s="1"/>
  <c r="E168" i="95"/>
  <c r="E166" i="95" s="1"/>
  <c r="D437" i="95"/>
  <c r="D436" i="95" s="1"/>
  <c r="D321" i="95"/>
  <c r="E187" i="95"/>
  <c r="D841" i="95"/>
  <c r="D840" i="95" s="1"/>
  <c r="E388" i="95"/>
  <c r="E411" i="95"/>
  <c r="E409" i="95" s="1"/>
  <c r="E703" i="95"/>
  <c r="E701" i="95" s="1"/>
  <c r="D53" i="95"/>
  <c r="D399" i="95"/>
  <c r="D314" i="95"/>
  <c r="D485" i="95"/>
  <c r="D328" i="95"/>
  <c r="D349" i="95"/>
  <c r="D862" i="95"/>
  <c r="E514" i="95"/>
  <c r="E512" i="95" s="1"/>
  <c r="E237" i="95"/>
  <c r="E235" i="95" s="1"/>
  <c r="E417" i="95"/>
  <c r="E415" i="95" s="1"/>
  <c r="D777" i="95"/>
  <c r="E480" i="95"/>
  <c r="E478" i="95" s="1"/>
  <c r="D790" i="95"/>
  <c r="E364" i="95"/>
  <c r="E362" i="95" s="1"/>
  <c r="E27" i="95"/>
  <c r="E25" i="95" s="1"/>
  <c r="D131" i="95"/>
  <c r="D203" i="95"/>
  <c r="E812" i="95"/>
  <c r="D82" i="95"/>
  <c r="D868" i="95"/>
  <c r="F191" i="95"/>
  <c r="F374" i="95"/>
  <c r="D805" i="95"/>
  <c r="E854" i="95"/>
  <c r="E853" i="95" s="1"/>
  <c r="E240" i="95"/>
  <c r="D812" i="95"/>
  <c r="E955" i="95"/>
  <c r="E337" i="95"/>
  <c r="E638" i="95"/>
  <c r="E636" i="95" s="1"/>
  <c r="E191" i="95"/>
  <c r="E374" i="95"/>
  <c r="D222" i="95"/>
  <c r="D610" i="95"/>
  <c r="D124" i="95"/>
  <c r="D742" i="95"/>
  <c r="E228" i="95"/>
  <c r="E226" i="95" s="1"/>
  <c r="E891" i="95"/>
  <c r="E566" i="95"/>
  <c r="E565" i="95" s="1"/>
  <c r="E564" i="95" s="1"/>
  <c r="E838" i="95"/>
  <c r="E470" i="95"/>
  <c r="E465" i="95" s="1"/>
  <c r="E464" i="95" s="1"/>
  <c r="D972" i="95"/>
  <c r="E506" i="95"/>
  <c r="E504" i="95" s="1"/>
  <c r="E989" i="95"/>
  <c r="E987" i="95" s="1"/>
  <c r="E667" i="95"/>
  <c r="D374" i="95"/>
  <c r="E382" i="95"/>
  <c r="E24" i="95"/>
  <c r="C1380" i="95"/>
  <c r="C936" i="95"/>
  <c r="C1040" i="95"/>
  <c r="C1039" i="95" s="1"/>
  <c r="C1061" i="95"/>
  <c r="C1060" i="95" s="1"/>
  <c r="C1059" i="95" s="1"/>
  <c r="D1041" i="95"/>
  <c r="C1075" i="95"/>
  <c r="C1074" i="95" s="1"/>
  <c r="C1073" i="95" s="1"/>
  <c r="D628" i="95"/>
  <c r="D627" i="95" s="1"/>
  <c r="E630" i="95"/>
  <c r="AH1664" i="95"/>
  <c r="C1625" i="95"/>
  <c r="G383" i="59"/>
  <c r="G384" i="59" s="1"/>
  <c r="G25" i="60"/>
  <c r="G338" i="59"/>
  <c r="G337" i="59"/>
  <c r="G24" i="60"/>
  <c r="G340" i="59"/>
  <c r="G27" i="60"/>
  <c r="G211" i="59"/>
  <c r="G23" i="60"/>
  <c r="D1408" i="95"/>
  <c r="D1405" i="95" s="1"/>
  <c r="D1404" i="95" s="1"/>
  <c r="D1380" i="95" s="1"/>
  <c r="E155" i="24" s="1"/>
  <c r="H267" i="59" s="1"/>
  <c r="H322" i="59" s="1"/>
  <c r="E70" i="95"/>
  <c r="E74" i="95" s="1"/>
  <c r="E528" i="95"/>
  <c r="E765" i="95"/>
  <c r="F485" i="95"/>
  <c r="G487" i="95"/>
  <c r="G62" i="95"/>
  <c r="G45" i="95"/>
  <c r="G73" i="95"/>
  <c r="H31" i="95"/>
  <c r="E922" i="95"/>
  <c r="E920" i="95"/>
  <c r="E919" i="95" s="1"/>
  <c r="F923" i="95"/>
  <c r="E934" i="95"/>
  <c r="G729" i="95"/>
  <c r="H731" i="95"/>
  <c r="D968" i="95"/>
  <c r="D967" i="95" s="1"/>
  <c r="D939" i="95"/>
  <c r="D938" i="95" s="1"/>
  <c r="E402" i="95"/>
  <c r="E579" i="95"/>
  <c r="E884" i="95"/>
  <c r="E231" i="95"/>
  <c r="D295" i="95"/>
  <c r="D294" i="95" s="1"/>
  <c r="D293" i="95" s="1"/>
  <c r="D302" i="95"/>
  <c r="D301" i="95" s="1"/>
  <c r="E574" i="95"/>
  <c r="E414" i="95"/>
  <c r="D908" i="95"/>
  <c r="F316" i="95"/>
  <c r="E664" i="95"/>
  <c r="E641" i="95"/>
  <c r="E639" i="95" s="1"/>
  <c r="E658" i="95"/>
  <c r="E646" i="95"/>
  <c r="E674" i="95"/>
  <c r="D289" i="95"/>
  <c r="D288" i="95" s="1"/>
  <c r="D215" i="95"/>
  <c r="G138" i="95"/>
  <c r="H140" i="95"/>
  <c r="E274" i="95"/>
  <c r="E280" i="95"/>
  <c r="E267" i="95"/>
  <c r="E262" i="95"/>
  <c r="E260" i="95" s="1"/>
  <c r="E259" i="95" s="1"/>
  <c r="E485" i="95"/>
  <c r="D597" i="95"/>
  <c r="E599" i="95"/>
  <c r="H539" i="95"/>
  <c r="H537" i="95" s="1"/>
  <c r="H536" i="95" s="1"/>
  <c r="H546" i="95"/>
  <c r="H544" i="95" s="1"/>
  <c r="H543" i="95" s="1"/>
  <c r="H552" i="95"/>
  <c r="I532" i="95"/>
  <c r="D309" i="95"/>
  <c r="D267" i="95"/>
  <c r="D274" i="95"/>
  <c r="D280" i="95"/>
  <c r="D306" i="95"/>
  <c r="D262" i="95"/>
  <c r="D260" i="95" s="1"/>
  <c r="D259" i="95" s="1"/>
  <c r="E1021" i="95"/>
  <c r="E234" i="95"/>
  <c r="D179" i="95"/>
  <c r="E181" i="95"/>
  <c r="G454" i="95"/>
  <c r="D922" i="95"/>
  <c r="D920" i="95"/>
  <c r="D919" i="95" s="1"/>
  <c r="D117" i="95"/>
  <c r="D116" i="95" s="1"/>
  <c r="D120" i="95"/>
  <c r="D119" i="95" s="1"/>
  <c r="D99" i="95"/>
  <c r="D98" i="95" s="1"/>
  <c r="D44" i="95"/>
  <c r="F729" i="95"/>
  <c r="F45" i="95"/>
  <c r="F62" i="95"/>
  <c r="F73" i="95"/>
  <c r="D159" i="95"/>
  <c r="E161" i="95"/>
  <c r="G985" i="95"/>
  <c r="G983" i="95" s="1"/>
  <c r="G964" i="95"/>
  <c r="G962" i="95" s="1"/>
  <c r="G995" i="95"/>
  <c r="H949" i="95"/>
  <c r="E1003" i="95"/>
  <c r="E1002" i="95" s="1"/>
  <c r="F1005" i="95"/>
  <c r="F665" i="95"/>
  <c r="F659" i="95"/>
  <c r="F657" i="95" s="1"/>
  <c r="F656" i="95" s="1"/>
  <c r="F647" i="95"/>
  <c r="F652" i="95"/>
  <c r="F650" i="95" s="1"/>
  <c r="G640" i="95"/>
  <c r="E729" i="95"/>
  <c r="E45" i="95"/>
  <c r="E62" i="95"/>
  <c r="E73" i="95"/>
  <c r="H498" i="95"/>
  <c r="I500" i="95"/>
  <c r="H66" i="95"/>
  <c r="H64" i="95" s="1"/>
  <c r="H81" i="95"/>
  <c r="H50" i="95"/>
  <c r="H48" i="95" s="1"/>
  <c r="I35" i="95"/>
  <c r="F281" i="95"/>
  <c r="F268" i="95"/>
  <c r="F275" i="95"/>
  <c r="G261" i="95"/>
  <c r="E860" i="95"/>
  <c r="E243" i="95"/>
  <c r="D729" i="95"/>
  <c r="D45" i="95"/>
  <c r="D62" i="95"/>
  <c r="D73" i="95"/>
  <c r="E904" i="95"/>
  <c r="G785" i="95"/>
  <c r="H787" i="95"/>
  <c r="E959" i="95"/>
  <c r="E562" i="95"/>
  <c r="E857" i="95"/>
  <c r="E290" i="95"/>
  <c r="E616" i="95"/>
  <c r="E748" i="95"/>
  <c r="E910" i="95"/>
  <c r="E779" i="95"/>
  <c r="E718" i="95"/>
  <c r="F623" i="95"/>
  <c r="E154" i="95"/>
  <c r="E291" i="95"/>
  <c r="E217" i="95"/>
  <c r="E818" i="95"/>
  <c r="E816" i="95" s="1"/>
  <c r="E797" i="95"/>
  <c r="E795" i="95" s="1"/>
  <c r="E828" i="95"/>
  <c r="F782" i="95"/>
  <c r="D658" i="95"/>
  <c r="D664" i="95"/>
  <c r="D674" i="95"/>
  <c r="D641" i="95"/>
  <c r="D639" i="95" s="1"/>
  <c r="D632" i="95" s="1"/>
  <c r="D646" i="95"/>
  <c r="D498" i="95"/>
  <c r="D50" i="95"/>
  <c r="D48" i="95" s="1"/>
  <c r="D81" i="95"/>
  <c r="D66" i="95"/>
  <c r="D64" i="95" s="1"/>
  <c r="D546" i="95"/>
  <c r="D544" i="95" s="1"/>
  <c r="D543" i="95" s="1"/>
  <c r="D539" i="95"/>
  <c r="D537" i="95" s="1"/>
  <c r="D536" i="95" s="1"/>
  <c r="D552" i="95"/>
  <c r="E866" i="95"/>
  <c r="E947" i="95"/>
  <c r="E706" i="95"/>
  <c r="D659" i="95"/>
  <c r="D657" i="95" s="1"/>
  <c r="D656" i="95" s="1"/>
  <c r="D652" i="95"/>
  <c r="D650" i="95" s="1"/>
  <c r="D647" i="95"/>
  <c r="D665" i="95"/>
  <c r="E133" i="95"/>
  <c r="E768" i="95"/>
  <c r="E83" i="95"/>
  <c r="E680" i="95"/>
  <c r="E679" i="95" s="1"/>
  <c r="D444" i="95"/>
  <c r="D443" i="95" s="1"/>
  <c r="E447" i="95"/>
  <c r="E879" i="95"/>
  <c r="D818" i="95"/>
  <c r="D816" i="95" s="1"/>
  <c r="D797" i="95"/>
  <c r="D795" i="95" s="1"/>
  <c r="D828" i="95"/>
  <c r="D943" i="95"/>
  <c r="E330" i="95"/>
  <c r="E323" i="95"/>
  <c r="E534" i="95"/>
  <c r="H997" i="95"/>
  <c r="H283" i="95"/>
  <c r="G209" i="95"/>
  <c r="H211" i="95"/>
  <c r="E792" i="95"/>
  <c r="E758" i="95"/>
  <c r="E699" i="95"/>
  <c r="E737" i="95"/>
  <c r="D1032" i="95"/>
  <c r="D1019" i="95" s="1"/>
  <c r="E1033" i="95"/>
  <c r="G554" i="95"/>
  <c r="D801" i="95"/>
  <c r="D800" i="95" s="1"/>
  <c r="D772" i="95"/>
  <c r="D762" i="95" s="1"/>
  <c r="E821" i="95"/>
  <c r="E1009" i="95"/>
  <c r="E951" i="95"/>
  <c r="E147" i="95"/>
  <c r="F351" i="95"/>
  <c r="E784" i="95"/>
  <c r="E440" i="95"/>
  <c r="G498" i="95"/>
  <c r="F995" i="95"/>
  <c r="F964" i="95"/>
  <c r="F962" i="95" s="1"/>
  <c r="F985" i="95"/>
  <c r="F983" i="95" s="1"/>
  <c r="G50" i="95"/>
  <c r="G48" i="95" s="1"/>
  <c r="G66" i="95"/>
  <c r="G64" i="95" s="1"/>
  <c r="G81" i="95"/>
  <c r="G552" i="95"/>
  <c r="G546" i="95"/>
  <c r="G544" i="95" s="1"/>
  <c r="G543" i="95" s="1"/>
  <c r="G539" i="95"/>
  <c r="G537" i="95" s="1"/>
  <c r="G536" i="95" s="1"/>
  <c r="F138" i="95"/>
  <c r="E275" i="95"/>
  <c r="E268" i="95"/>
  <c r="E281" i="95"/>
  <c r="F785" i="95"/>
  <c r="G830" i="95"/>
  <c r="D431" i="95"/>
  <c r="D430" i="95" s="1"/>
  <c r="E434" i="95"/>
  <c r="I104" i="95"/>
  <c r="J109" i="95"/>
  <c r="F498" i="95"/>
  <c r="E995" i="95"/>
  <c r="E964" i="95"/>
  <c r="E962" i="95" s="1"/>
  <c r="E985" i="95"/>
  <c r="E983" i="95" s="1"/>
  <c r="F66" i="95"/>
  <c r="F64" i="95" s="1"/>
  <c r="F81" i="95"/>
  <c r="F50" i="95"/>
  <c r="F48" i="95" s="1"/>
  <c r="F552" i="95"/>
  <c r="F546" i="95"/>
  <c r="F544" i="95" s="1"/>
  <c r="F543" i="95" s="1"/>
  <c r="F539" i="95"/>
  <c r="F537" i="95" s="1"/>
  <c r="F536" i="95" s="1"/>
  <c r="E138" i="95"/>
  <c r="D268" i="95"/>
  <c r="D275" i="95"/>
  <c r="D281" i="95"/>
  <c r="E785" i="95"/>
  <c r="E394" i="95"/>
  <c r="E974" i="95"/>
  <c r="E1027" i="95"/>
  <c r="H75" i="95"/>
  <c r="E498" i="95"/>
  <c r="D964" i="95"/>
  <c r="D962" i="95" s="1"/>
  <c r="D995" i="95"/>
  <c r="D985" i="95"/>
  <c r="D983" i="95" s="1"/>
  <c r="E81" i="95"/>
  <c r="E66" i="95"/>
  <c r="E64" i="95" s="1"/>
  <c r="E50" i="95"/>
  <c r="E48" i="95" s="1"/>
  <c r="E546" i="95"/>
  <c r="E544" i="95" s="1"/>
  <c r="E543" i="95" s="1"/>
  <c r="E552" i="95"/>
  <c r="E539" i="95"/>
  <c r="E537" i="95" s="1"/>
  <c r="E536" i="95" s="1"/>
  <c r="D138" i="95"/>
  <c r="D785" i="95"/>
  <c r="E665" i="95"/>
  <c r="E659" i="95"/>
  <c r="E657" i="95" s="1"/>
  <c r="E656" i="95" s="1"/>
  <c r="E652" i="95"/>
  <c r="E650" i="95" s="1"/>
  <c r="E647" i="95"/>
  <c r="E586" i="95"/>
  <c r="F681" i="95"/>
  <c r="E863" i="95"/>
  <c r="E40" i="95"/>
  <c r="E842" i="95"/>
  <c r="E605" i="95"/>
  <c r="D104" i="95"/>
  <c r="E199" i="95"/>
  <c r="E807" i="95"/>
  <c r="D453" i="95"/>
  <c r="D450" i="95" s="1"/>
  <c r="D449" i="95" s="1"/>
  <c r="D74" i="95"/>
  <c r="E875" i="95"/>
  <c r="D996" i="95"/>
  <c r="H376" i="95"/>
  <c r="G193" i="95"/>
  <c r="H104" i="95"/>
  <c r="F209" i="95"/>
  <c r="G104" i="95"/>
  <c r="E209" i="95"/>
  <c r="D829" i="95"/>
  <c r="D680" i="95"/>
  <c r="D679" i="95" s="1"/>
  <c r="D553" i="95"/>
  <c r="D282" i="95"/>
  <c r="F104" i="95"/>
  <c r="D209" i="95"/>
  <c r="E104" i="95"/>
  <c r="E37" i="95"/>
  <c r="E474" i="95"/>
  <c r="F1025" i="95" l="1"/>
  <c r="F1023" i="95" s="1"/>
  <c r="F12" i="95"/>
  <c r="E99" i="95"/>
  <c r="E98" i="95" s="1"/>
  <c r="E117" i="95"/>
  <c r="E116" i="95" s="1"/>
  <c r="E120" i="95"/>
  <c r="E119" i="95" s="1"/>
  <c r="F566" i="95"/>
  <c r="E497" i="95"/>
  <c r="E282" i="95"/>
  <c r="E279" i="95" s="1"/>
  <c r="E278" i="95" s="1"/>
  <c r="F248" i="95"/>
  <c r="E310" i="95"/>
  <c r="E309" i="95" s="1"/>
  <c r="E307" i="95"/>
  <c r="E306" i="95" s="1"/>
  <c r="E829" i="95"/>
  <c r="E826" i="95" s="1"/>
  <c r="E825" i="95" s="1"/>
  <c r="E453" i="95"/>
  <c r="E450" i="95" s="1"/>
  <c r="E449" i="95" s="1"/>
  <c r="E553" i="95"/>
  <c r="D273" i="95"/>
  <c r="D272" i="95" s="1"/>
  <c r="E996" i="95"/>
  <c r="E993" i="95" s="1"/>
  <c r="E992" i="95" s="1"/>
  <c r="D596" i="95"/>
  <c r="D497" i="95"/>
  <c r="F771" i="95"/>
  <c r="G771" i="95" s="1"/>
  <c r="F1031" i="95"/>
  <c r="F1029" i="95" s="1"/>
  <c r="D776" i="95"/>
  <c r="E32" i="95"/>
  <c r="E30" i="95" s="1"/>
  <c r="F225" i="95"/>
  <c r="F223" i="95" s="1"/>
  <c r="D477" i="95"/>
  <c r="D494" i="95" s="1"/>
  <c r="D493" i="95" s="1"/>
  <c r="F18" i="95"/>
  <c r="E61" i="95"/>
  <c r="E60" i="95" s="1"/>
  <c r="E59" i="95" s="1"/>
  <c r="G1025" i="95"/>
  <c r="H1025" i="95" s="1"/>
  <c r="F470" i="95"/>
  <c r="G470" i="95" s="1"/>
  <c r="D978" i="95"/>
  <c r="E368" i="95"/>
  <c r="F854" i="95"/>
  <c r="G854" i="95" s="1"/>
  <c r="D901" i="95"/>
  <c r="F514" i="95"/>
  <c r="G514" i="95" s="1"/>
  <c r="F981" i="95"/>
  <c r="G981" i="95" s="1"/>
  <c r="F703" i="95"/>
  <c r="F701" i="95" s="1"/>
  <c r="G205" i="95"/>
  <c r="G203" i="95" s="1"/>
  <c r="F168" i="95"/>
  <c r="F166" i="95" s="1"/>
  <c r="G370" i="95"/>
  <c r="G368" i="95" s="1"/>
  <c r="D708" i="95"/>
  <c r="D725" i="95" s="1"/>
  <c r="D724" i="95" s="1"/>
  <c r="D576" i="95"/>
  <c r="D593" i="95" s="1"/>
  <c r="D592" i="95" s="1"/>
  <c r="D79" i="95"/>
  <c r="D881" i="95"/>
  <c r="D898" i="95" s="1"/>
  <c r="D897" i="95" s="1"/>
  <c r="F506" i="95"/>
  <c r="F504" i="95" s="1"/>
  <c r="F497" i="95" s="1"/>
  <c r="F364" i="95"/>
  <c r="F362" i="95" s="1"/>
  <c r="D361" i="95"/>
  <c r="F411" i="95"/>
  <c r="G411" i="95" s="1"/>
  <c r="F1017" i="95"/>
  <c r="G1017" i="95" s="1"/>
  <c r="F1037" i="95"/>
  <c r="F873" i="95"/>
  <c r="F871" i="95" s="1"/>
  <c r="D811" i="95"/>
  <c r="E511" i="95"/>
  <c r="F517" i="95"/>
  <c r="F405" i="95"/>
  <c r="F745" i="95"/>
  <c r="F428" i="95"/>
  <c r="F426" i="95" s="1"/>
  <c r="F425" i="95" s="1"/>
  <c r="D728" i="95"/>
  <c r="E632" i="95"/>
  <c r="G56" i="95"/>
  <c r="G53" i="95" s="1"/>
  <c r="G812" i="95"/>
  <c r="F927" i="95"/>
  <c r="F228" i="95"/>
  <c r="F226" i="95" s="1"/>
  <c r="F638" i="95"/>
  <c r="F636" i="95" s="1"/>
  <c r="F635" i="95"/>
  <c r="F237" i="95"/>
  <c r="F235" i="95" s="1"/>
  <c r="F344" i="95"/>
  <c r="F342" i="95" s="1"/>
  <c r="F27" i="95"/>
  <c r="G27" i="95" s="1"/>
  <c r="F850" i="95"/>
  <c r="F848" i="95" s="1"/>
  <c r="D789" i="95"/>
  <c r="F462" i="95"/>
  <c r="D663" i="95"/>
  <c r="D662" i="95" s="1"/>
  <c r="G126" i="95"/>
  <c r="G124" i="95" s="1"/>
  <c r="F417" i="95"/>
  <c r="F415" i="95" s="1"/>
  <c r="D123" i="95"/>
  <c r="D175" i="95" s="1"/>
  <c r="D174" i="95" s="1"/>
  <c r="F711" i="95"/>
  <c r="F709" i="95" s="1"/>
  <c r="D852" i="95"/>
  <c r="E978" i="95"/>
  <c r="D915" i="95"/>
  <c r="F408" i="95"/>
  <c r="F406" i="95" s="1"/>
  <c r="D695" i="95"/>
  <c r="E696" i="95"/>
  <c r="F480" i="95"/>
  <c r="G480" i="95" s="1"/>
  <c r="D956" i="95"/>
  <c r="F989" i="95"/>
  <c r="F987" i="95" s="1"/>
  <c r="E550" i="95"/>
  <c r="E549" i="95" s="1"/>
  <c r="F918" i="95"/>
  <c r="E611" i="95"/>
  <c r="F613" i="95"/>
  <c r="D305" i="95"/>
  <c r="F257" i="95"/>
  <c r="G257" i="95" s="1"/>
  <c r="E915" i="95"/>
  <c r="E889" i="95"/>
  <c r="F891" i="95"/>
  <c r="E386" i="95"/>
  <c r="F388" i="95"/>
  <c r="D97" i="95"/>
  <c r="C692" i="95"/>
  <c r="C691" i="95" s="1"/>
  <c r="C618" i="95" s="1"/>
  <c r="D313" i="95"/>
  <c r="D358" i="95" s="1"/>
  <c r="D357" i="95" s="1"/>
  <c r="E185" i="95"/>
  <c r="F187" i="95"/>
  <c r="E380" i="95"/>
  <c r="F382" i="95"/>
  <c r="E335" i="95"/>
  <c r="F337" i="95"/>
  <c r="E952" i="95"/>
  <c r="F955" i="95"/>
  <c r="E836" i="95"/>
  <c r="E835" i="95" s="1"/>
  <c r="F838" i="95"/>
  <c r="F868" i="95"/>
  <c r="G869" i="95"/>
  <c r="E666" i="95"/>
  <c r="E663" i="95" s="1"/>
  <c r="E662" i="95" s="1"/>
  <c r="F667" i="95"/>
  <c r="E238" i="95"/>
  <c r="F240" i="95"/>
  <c r="E179" i="95"/>
  <c r="F181" i="95"/>
  <c r="E197" i="95"/>
  <c r="F199" i="95"/>
  <c r="E584" i="95"/>
  <c r="F586" i="95"/>
  <c r="D993" i="95"/>
  <c r="D992" i="95" s="1"/>
  <c r="H554" i="95"/>
  <c r="E790" i="95"/>
  <c r="F792" i="95"/>
  <c r="E328" i="95"/>
  <c r="F330" i="95"/>
  <c r="D550" i="95"/>
  <c r="D549" i="95" s="1"/>
  <c r="E777" i="95"/>
  <c r="F779" i="95"/>
  <c r="E957" i="95"/>
  <c r="F959" i="95"/>
  <c r="E241" i="95"/>
  <c r="F243" i="95"/>
  <c r="H812" i="95"/>
  <c r="I813" i="95"/>
  <c r="E159" i="95"/>
  <c r="F161" i="95"/>
  <c r="D60" i="95"/>
  <c r="D59" i="95" s="1"/>
  <c r="D30" i="95"/>
  <c r="D29" i="95" s="1"/>
  <c r="D90" i="95"/>
  <c r="D178" i="95"/>
  <c r="F314" i="95"/>
  <c r="G316" i="95"/>
  <c r="G485" i="95"/>
  <c r="H487" i="95"/>
  <c r="G212" i="59"/>
  <c r="C1056" i="95"/>
  <c r="C1055" i="95" s="1"/>
  <c r="C929" i="95" s="1"/>
  <c r="F680" i="95"/>
  <c r="F679" i="95" s="1"/>
  <c r="G681" i="95"/>
  <c r="H374" i="95"/>
  <c r="I376" i="95"/>
  <c r="E1026" i="95"/>
  <c r="F1027" i="95"/>
  <c r="J104" i="95"/>
  <c r="K109" i="95"/>
  <c r="E145" i="95"/>
  <c r="F147" i="95"/>
  <c r="E820" i="95"/>
  <c r="E811" i="95" s="1"/>
  <c r="F821" i="95"/>
  <c r="H209" i="95"/>
  <c r="I211" i="95"/>
  <c r="I997" i="95"/>
  <c r="E444" i="95"/>
  <c r="E443" i="95" s="1"/>
  <c r="F447" i="95"/>
  <c r="D645" i="95"/>
  <c r="D644" i="95" s="1"/>
  <c r="H785" i="95"/>
  <c r="I787" i="95"/>
  <c r="H45" i="95"/>
  <c r="H62" i="95"/>
  <c r="H73" i="95"/>
  <c r="I31" i="95"/>
  <c r="G215" i="59"/>
  <c r="E628" i="95"/>
  <c r="E627" i="95" s="1"/>
  <c r="F630" i="95"/>
  <c r="E1008" i="95"/>
  <c r="E1007" i="95" s="1"/>
  <c r="F1009" i="95"/>
  <c r="E877" i="95"/>
  <c r="F879" i="95"/>
  <c r="E716" i="95"/>
  <c r="E708" i="95" s="1"/>
  <c r="F718" i="95"/>
  <c r="E34" i="95"/>
  <c r="F37" i="95"/>
  <c r="E972" i="95"/>
  <c r="F974" i="95"/>
  <c r="E273" i="95"/>
  <c r="E272" i="95" s="1"/>
  <c r="F565" i="95"/>
  <c r="F564" i="95" s="1"/>
  <c r="G566" i="95"/>
  <c r="E1032" i="95"/>
  <c r="F1033" i="95"/>
  <c r="E908" i="95"/>
  <c r="F910" i="95"/>
  <c r="E859" i="95"/>
  <c r="F860" i="95"/>
  <c r="I50" i="95"/>
  <c r="I48" i="95" s="1"/>
  <c r="I81" i="95"/>
  <c r="I66" i="95"/>
  <c r="I64" i="95" s="1"/>
  <c r="J35" i="95"/>
  <c r="F1003" i="95"/>
  <c r="F1002" i="95" s="1"/>
  <c r="G1005" i="95"/>
  <c r="D115" i="95"/>
  <c r="E477" i="95"/>
  <c r="E494" i="95" s="1"/>
  <c r="E493" i="95" s="1"/>
  <c r="D266" i="95"/>
  <c r="D265" i="95" s="1"/>
  <c r="E688" i="95"/>
  <c r="E687" i="95" s="1"/>
  <c r="E673" i="95"/>
  <c r="E672" i="95" s="1"/>
  <c r="E412" i="95"/>
  <c r="F414" i="95"/>
  <c r="E229" i="95"/>
  <c r="F231" i="95"/>
  <c r="F99" i="95"/>
  <c r="F98" i="95" s="1"/>
  <c r="F97" i="95" s="1"/>
  <c r="F44" i="95"/>
  <c r="F120" i="95"/>
  <c r="F119" i="95" s="1"/>
  <c r="F117" i="95"/>
  <c r="F116" i="95" s="1"/>
  <c r="G12" i="95"/>
  <c r="H729" i="95"/>
  <c r="I731" i="95"/>
  <c r="E763" i="95"/>
  <c r="F765" i="95"/>
  <c r="G213" i="59"/>
  <c r="E22" i="95"/>
  <c r="E21" i="95" s="1"/>
  <c r="F24" i="95"/>
  <c r="E865" i="95"/>
  <c r="F866" i="95"/>
  <c r="E472" i="95"/>
  <c r="F474" i="95"/>
  <c r="E603" i="95"/>
  <c r="F605" i="95"/>
  <c r="E841" i="95"/>
  <c r="E840" i="95" s="1"/>
  <c r="F842" i="95"/>
  <c r="E392" i="95"/>
  <c r="F394" i="95"/>
  <c r="E431" i="95"/>
  <c r="E430" i="95" s="1"/>
  <c r="F434" i="95"/>
  <c r="I283" i="95"/>
  <c r="E531" i="95"/>
  <c r="E530" i="95" s="1"/>
  <c r="F534" i="95"/>
  <c r="D826" i="95"/>
  <c r="D825" i="95" s="1"/>
  <c r="D673" i="95"/>
  <c r="D672" i="95" s="1"/>
  <c r="D688" i="95"/>
  <c r="D687" i="95" s="1"/>
  <c r="E215" i="95"/>
  <c r="F217" i="95"/>
  <c r="E746" i="95"/>
  <c r="E742" i="95" s="1"/>
  <c r="F748" i="95"/>
  <c r="E902" i="95"/>
  <c r="F904" i="95"/>
  <c r="E232" i="95"/>
  <c r="F234" i="95"/>
  <c r="E597" i="95"/>
  <c r="F599" i="95"/>
  <c r="E266" i="95"/>
  <c r="E265" i="95" s="1"/>
  <c r="E645" i="95"/>
  <c r="E644" i="95" s="1"/>
  <c r="E526" i="95"/>
  <c r="E525" i="95" s="1"/>
  <c r="F528" i="95"/>
  <c r="E38" i="95"/>
  <c r="F40" i="95"/>
  <c r="I75" i="95"/>
  <c r="E735" i="95"/>
  <c r="E728" i="95" s="1"/>
  <c r="F737" i="95"/>
  <c r="E321" i="95"/>
  <c r="F323" i="95"/>
  <c r="E704" i="95"/>
  <c r="F706" i="95"/>
  <c r="E289" i="95"/>
  <c r="E288" i="95" s="1"/>
  <c r="F291" i="95"/>
  <c r="E614" i="95"/>
  <c r="F616" i="95"/>
  <c r="H995" i="95"/>
  <c r="H985" i="95"/>
  <c r="H983" i="95" s="1"/>
  <c r="H964" i="95"/>
  <c r="H962" i="95" s="1"/>
  <c r="I949" i="95"/>
  <c r="H454" i="95"/>
  <c r="E1020" i="95"/>
  <c r="F1021" i="95"/>
  <c r="E882" i="95"/>
  <c r="F884" i="95"/>
  <c r="E97" i="95"/>
  <c r="E940" i="95"/>
  <c r="F934" i="95"/>
  <c r="E1408" i="95"/>
  <c r="E1405" i="95" s="1"/>
  <c r="E1404" i="95" s="1"/>
  <c r="F70" i="95"/>
  <c r="F349" i="95"/>
  <c r="G351" i="95"/>
  <c r="E560" i="95"/>
  <c r="E559" i="95" s="1"/>
  <c r="F562" i="95"/>
  <c r="E400" i="95"/>
  <c r="F402" i="95"/>
  <c r="G191" i="95"/>
  <c r="H193" i="95"/>
  <c r="E874" i="95"/>
  <c r="F875" i="95"/>
  <c r="E862" i="95"/>
  <c r="F863" i="95"/>
  <c r="D279" i="95"/>
  <c r="D278" i="95" s="1"/>
  <c r="H830" i="95"/>
  <c r="E437" i="95"/>
  <c r="E436" i="95" s="1"/>
  <c r="F440" i="95"/>
  <c r="E948" i="95"/>
  <c r="F951" i="95"/>
  <c r="E698" i="95"/>
  <c r="F699" i="95"/>
  <c r="E82" i="95"/>
  <c r="E79" i="95" s="1"/>
  <c r="F83" i="95"/>
  <c r="E944" i="95"/>
  <c r="F947" i="95"/>
  <c r="E152" i="95"/>
  <c r="F154" i="95"/>
  <c r="E295" i="95"/>
  <c r="E294" i="95" s="1"/>
  <c r="E293" i="95" s="1"/>
  <c r="E302" i="95"/>
  <c r="E301" i="95" s="1"/>
  <c r="F290" i="95"/>
  <c r="G659" i="95"/>
  <c r="G657" i="95" s="1"/>
  <c r="G656" i="95" s="1"/>
  <c r="G665" i="95"/>
  <c r="G652" i="95"/>
  <c r="G650" i="95" s="1"/>
  <c r="G647" i="95"/>
  <c r="H640" i="95"/>
  <c r="I539" i="95"/>
  <c r="I537" i="95" s="1"/>
  <c r="I536" i="95" s="1"/>
  <c r="I552" i="95"/>
  <c r="I546" i="95"/>
  <c r="I544" i="95" s="1"/>
  <c r="I543" i="95" s="1"/>
  <c r="J532" i="95"/>
  <c r="E577" i="95"/>
  <c r="F579" i="95"/>
  <c r="E72" i="95"/>
  <c r="E71" i="95" s="1"/>
  <c r="E43" i="95"/>
  <c r="E42" i="95" s="1"/>
  <c r="H30" i="60"/>
  <c r="H343" i="59"/>
  <c r="H217" i="59" s="1"/>
  <c r="G183" i="60"/>
  <c r="G385" i="59"/>
  <c r="G390" i="59" s="1"/>
  <c r="E773" i="95"/>
  <c r="F758" i="95"/>
  <c r="E131" i="95"/>
  <c r="F133" i="95"/>
  <c r="AH1625" i="95"/>
  <c r="D157" i="24"/>
  <c r="G269" i="59" s="1"/>
  <c r="E805" i="95"/>
  <c r="F807" i="95"/>
  <c r="E781" i="95"/>
  <c r="F784" i="95"/>
  <c r="E766" i="95"/>
  <c r="F768" i="95"/>
  <c r="F828" i="95"/>
  <c r="F818" i="95"/>
  <c r="F816" i="95" s="1"/>
  <c r="F797" i="95"/>
  <c r="F795" i="95" s="1"/>
  <c r="G782" i="95"/>
  <c r="F641" i="95"/>
  <c r="F639" i="95" s="1"/>
  <c r="F664" i="95"/>
  <c r="F646" i="95"/>
  <c r="F645" i="95" s="1"/>
  <c r="F644" i="95" s="1"/>
  <c r="F658" i="95"/>
  <c r="F674" i="95"/>
  <c r="G623" i="95"/>
  <c r="E856" i="95"/>
  <c r="F857" i="95"/>
  <c r="G275" i="95"/>
  <c r="G281" i="95"/>
  <c r="G268" i="95"/>
  <c r="H261" i="95"/>
  <c r="I498" i="95"/>
  <c r="J500" i="95"/>
  <c r="D72" i="95"/>
  <c r="D71" i="95" s="1"/>
  <c r="D43" i="95"/>
  <c r="D42" i="95" s="1"/>
  <c r="H138" i="95"/>
  <c r="I140" i="95"/>
  <c r="E572" i="95"/>
  <c r="F574" i="95"/>
  <c r="F922" i="95"/>
  <c r="F920" i="95"/>
  <c r="F919" i="95" s="1"/>
  <c r="G923" i="95"/>
  <c r="D936" i="95"/>
  <c r="D1075" i="95"/>
  <c r="D1074" i="95" s="1"/>
  <c r="D1073" i="95" s="1"/>
  <c r="D1040" i="95"/>
  <c r="D1039" i="95" s="1"/>
  <c r="D1056" i="95" s="1"/>
  <c r="D1055" i="95" s="1"/>
  <c r="D1061" i="95"/>
  <c r="D1060" i="95" s="1"/>
  <c r="D1059" i="95" s="1"/>
  <c r="E1041" i="95"/>
  <c r="D155" i="24"/>
  <c r="G267" i="59" s="1"/>
  <c r="G374" i="59"/>
  <c r="E115" i="95" l="1"/>
  <c r="F32" i="95"/>
  <c r="E305" i="95"/>
  <c r="F1015" i="95"/>
  <c r="E90" i="95"/>
  <c r="E112" i="95" s="1"/>
  <c r="E111" i="95" s="1"/>
  <c r="G1031" i="95"/>
  <c r="H370" i="95"/>
  <c r="G1023" i="95"/>
  <c r="F307" i="95"/>
  <c r="F306" i="95" s="1"/>
  <c r="F310" i="95"/>
  <c r="F309" i="95" s="1"/>
  <c r="F267" i="95"/>
  <c r="F266" i="95" s="1"/>
  <c r="F265" i="95" s="1"/>
  <c r="F280" i="95"/>
  <c r="F274" i="95"/>
  <c r="F273" i="95" s="1"/>
  <c r="F272" i="95" s="1"/>
  <c r="F262" i="95"/>
  <c r="F260" i="95" s="1"/>
  <c r="F259" i="95" s="1"/>
  <c r="G248" i="95"/>
  <c r="F979" i="95"/>
  <c r="F978" i="95" s="1"/>
  <c r="F853" i="95"/>
  <c r="F769" i="95"/>
  <c r="G225" i="95"/>
  <c r="H225" i="95" s="1"/>
  <c r="F409" i="95"/>
  <c r="F465" i="95"/>
  <c r="F464" i="95" s="1"/>
  <c r="G638" i="95"/>
  <c r="G636" i="95" s="1"/>
  <c r="G408" i="95"/>
  <c r="G406" i="95" s="1"/>
  <c r="F512" i="95"/>
  <c r="G237" i="95"/>
  <c r="G235" i="95" s="1"/>
  <c r="G417" i="95"/>
  <c r="H417" i="95" s="1"/>
  <c r="G228" i="95"/>
  <c r="G226" i="95" s="1"/>
  <c r="E881" i="95"/>
  <c r="E898" i="95" s="1"/>
  <c r="E897" i="95" s="1"/>
  <c r="H126" i="95"/>
  <c r="H124" i="95" s="1"/>
  <c r="D519" i="95"/>
  <c r="E150" i="24" s="1"/>
  <c r="H262" i="59" s="1"/>
  <c r="G364" i="95"/>
  <c r="G362" i="95" s="1"/>
  <c r="G168" i="95"/>
  <c r="H168" i="95" s="1"/>
  <c r="G989" i="95"/>
  <c r="G18" i="95"/>
  <c r="G32" i="95" s="1"/>
  <c r="F61" i="95"/>
  <c r="F60" i="95" s="1"/>
  <c r="F59" i="95" s="1"/>
  <c r="D69" i="95"/>
  <c r="G873" i="95"/>
  <c r="G871" i="95" s="1"/>
  <c r="G703" i="95"/>
  <c r="G701" i="95" s="1"/>
  <c r="F25" i="95"/>
  <c r="G506" i="95"/>
  <c r="G504" i="95" s="1"/>
  <c r="G497" i="95" s="1"/>
  <c r="H205" i="95"/>
  <c r="H203" i="95" s="1"/>
  <c r="E610" i="95"/>
  <c r="F255" i="95"/>
  <c r="F254" i="95" s="1"/>
  <c r="H56" i="95"/>
  <c r="H53" i="95" s="1"/>
  <c r="G344" i="95"/>
  <c r="G342" i="95" s="1"/>
  <c r="E576" i="95"/>
  <c r="E593" i="95" s="1"/>
  <c r="E592" i="95" s="1"/>
  <c r="F1035" i="95"/>
  <c r="G1037" i="95"/>
  <c r="F743" i="95"/>
  <c r="G745" i="95"/>
  <c r="F403" i="95"/>
  <c r="G405" i="95"/>
  <c r="G428" i="95"/>
  <c r="F515" i="95"/>
  <c r="G517" i="95"/>
  <c r="F925" i="95"/>
  <c r="G927" i="95"/>
  <c r="E1019" i="95"/>
  <c r="E313" i="95"/>
  <c r="E358" i="95" s="1"/>
  <c r="E357" i="95" s="1"/>
  <c r="F115" i="95"/>
  <c r="G711" i="95"/>
  <c r="G709" i="95" s="1"/>
  <c r="G850" i="95"/>
  <c r="G848" i="95" s="1"/>
  <c r="F633" i="95"/>
  <c r="F632" i="95" s="1"/>
  <c r="G635" i="95"/>
  <c r="E596" i="95"/>
  <c r="E852" i="95"/>
  <c r="G462" i="95"/>
  <c r="F460" i="95"/>
  <c r="F459" i="95" s="1"/>
  <c r="D245" i="95"/>
  <c r="E148" i="24" s="1"/>
  <c r="H260" i="59" s="1"/>
  <c r="F478" i="95"/>
  <c r="F477" i="95" s="1"/>
  <c r="F494" i="95" s="1"/>
  <c r="F493" i="95" s="1"/>
  <c r="E361" i="95"/>
  <c r="F611" i="95"/>
  <c r="G613" i="95"/>
  <c r="E222" i="95"/>
  <c r="F696" i="95"/>
  <c r="E695" i="95"/>
  <c r="E69" i="95"/>
  <c r="F916" i="95"/>
  <c r="G918" i="95"/>
  <c r="D692" i="95"/>
  <c r="D691" i="95" s="1"/>
  <c r="D618" i="95" s="1"/>
  <c r="E151" i="24" s="1"/>
  <c r="H263" i="59" s="1"/>
  <c r="H318" i="59" s="1"/>
  <c r="E693" i="95"/>
  <c r="E178" i="95"/>
  <c r="F666" i="95"/>
  <c r="F663" i="95" s="1"/>
  <c r="F662" i="95" s="1"/>
  <c r="G667" i="95"/>
  <c r="F380" i="95"/>
  <c r="G382" i="95"/>
  <c r="G1015" i="95"/>
  <c r="H1017" i="95"/>
  <c r="D929" i="95"/>
  <c r="E153" i="24" s="1"/>
  <c r="H265" i="59" s="1"/>
  <c r="H320" i="59" s="1"/>
  <c r="H28" i="60" s="1"/>
  <c r="G868" i="95"/>
  <c r="H869" i="95"/>
  <c r="F952" i="95"/>
  <c r="G955" i="95"/>
  <c r="F386" i="95"/>
  <c r="G388" i="95"/>
  <c r="E776" i="95"/>
  <c r="G979" i="95"/>
  <c r="H981" i="95"/>
  <c r="F185" i="95"/>
  <c r="G187" i="95"/>
  <c r="F889" i="95"/>
  <c r="G891" i="95"/>
  <c r="F238" i="95"/>
  <c r="G240" i="95"/>
  <c r="F836" i="95"/>
  <c r="F835" i="95" s="1"/>
  <c r="G838" i="95"/>
  <c r="F335" i="95"/>
  <c r="G337" i="95"/>
  <c r="G512" i="95"/>
  <c r="H514" i="95"/>
  <c r="F781" i="95"/>
  <c r="G784" i="95"/>
  <c r="E772" i="95"/>
  <c r="E762" i="95" s="1"/>
  <c r="E801" i="95"/>
  <c r="E800" i="95" s="1"/>
  <c r="E789" i="95" s="1"/>
  <c r="F944" i="95"/>
  <c r="G947" i="95"/>
  <c r="F698" i="95"/>
  <c r="G699" i="95"/>
  <c r="F560" i="95"/>
  <c r="F559" i="95" s="1"/>
  <c r="G562" i="95"/>
  <c r="E1380" i="95"/>
  <c r="F289" i="95"/>
  <c r="F288" i="95" s="1"/>
  <c r="G291" i="95"/>
  <c r="F735" i="95"/>
  <c r="F728" i="95" s="1"/>
  <c r="G737" i="95"/>
  <c r="J75" i="95"/>
  <c r="G25" i="95"/>
  <c r="H27" i="95"/>
  <c r="E89" i="95"/>
  <c r="E88" i="95" s="1"/>
  <c r="F902" i="95"/>
  <c r="G904" i="95"/>
  <c r="F841" i="95"/>
  <c r="F840" i="95" s="1"/>
  <c r="G842" i="95"/>
  <c r="F603" i="95"/>
  <c r="G605" i="95"/>
  <c r="H368" i="95"/>
  <c r="I370" i="95"/>
  <c r="F444" i="95"/>
  <c r="F443" i="95" s="1"/>
  <c r="G447" i="95"/>
  <c r="F820" i="95"/>
  <c r="F811" i="95" s="1"/>
  <c r="G821" i="95"/>
  <c r="G322" i="59"/>
  <c r="J552" i="95"/>
  <c r="J539" i="95"/>
  <c r="J537" i="95" s="1"/>
  <c r="J536" i="95" s="1"/>
  <c r="J546" i="95"/>
  <c r="J544" i="95" s="1"/>
  <c r="J543" i="95" s="1"/>
  <c r="K532" i="95"/>
  <c r="E943" i="95"/>
  <c r="G255" i="95"/>
  <c r="G254" i="95" s="1"/>
  <c r="H257" i="95"/>
  <c r="E901" i="95"/>
  <c r="G120" i="95"/>
  <c r="G119" i="95" s="1"/>
  <c r="G117" i="95"/>
  <c r="G116" i="95" s="1"/>
  <c r="G99" i="95"/>
  <c r="G98" i="95" s="1"/>
  <c r="G97" i="95" s="1"/>
  <c r="G44" i="95"/>
  <c r="H12" i="95"/>
  <c r="F412" i="95"/>
  <c r="G414" i="95"/>
  <c r="J50" i="95"/>
  <c r="J48" i="95" s="1"/>
  <c r="J66" i="95"/>
  <c r="J64" i="95" s="1"/>
  <c r="J81" i="95"/>
  <c r="K35" i="95"/>
  <c r="F716" i="95"/>
  <c r="F708" i="95" s="1"/>
  <c r="G718" i="95"/>
  <c r="I374" i="95"/>
  <c r="J376" i="95"/>
  <c r="I812" i="95"/>
  <c r="J813" i="95"/>
  <c r="I554" i="95"/>
  <c r="F179" i="95"/>
  <c r="G181" i="95"/>
  <c r="G375" i="59"/>
  <c r="G376" i="59" s="1"/>
  <c r="F948" i="95"/>
  <c r="G951" i="95"/>
  <c r="F1020" i="95"/>
  <c r="G1021" i="95"/>
  <c r="F302" i="95"/>
  <c r="F301" i="95" s="1"/>
  <c r="F295" i="95"/>
  <c r="F294" i="95" s="1"/>
  <c r="F293" i="95" s="1"/>
  <c r="G290" i="95"/>
  <c r="G409" i="95"/>
  <c r="H411" i="95"/>
  <c r="F865" i="95"/>
  <c r="G866" i="95"/>
  <c r="F972" i="95"/>
  <c r="G974" i="95"/>
  <c r="F877" i="95"/>
  <c r="G879" i="95"/>
  <c r="I785" i="95"/>
  <c r="J787" i="95"/>
  <c r="D153" i="24"/>
  <c r="G265" i="59" s="1"/>
  <c r="G1029" i="95"/>
  <c r="H1031" i="95"/>
  <c r="F241" i="95"/>
  <c r="G243" i="95"/>
  <c r="F584" i="95"/>
  <c r="G586" i="95"/>
  <c r="G922" i="95"/>
  <c r="G920" i="95"/>
  <c r="G919" i="95" s="1"/>
  <c r="H923" i="95"/>
  <c r="I138" i="95"/>
  <c r="J140" i="95"/>
  <c r="F856" i="95"/>
  <c r="G857" i="95"/>
  <c r="G828" i="95"/>
  <c r="G818" i="95"/>
  <c r="G816" i="95" s="1"/>
  <c r="G797" i="95"/>
  <c r="G795" i="95" s="1"/>
  <c r="H782" i="95"/>
  <c r="G769" i="95"/>
  <c r="H771" i="95"/>
  <c r="F437" i="95"/>
  <c r="F436" i="95" s="1"/>
  <c r="G440" i="95"/>
  <c r="F862" i="95"/>
  <c r="G863" i="95"/>
  <c r="I454" i="95"/>
  <c r="F232" i="95"/>
  <c r="G234" i="95"/>
  <c r="F215" i="95"/>
  <c r="G217" i="95"/>
  <c r="J283" i="95"/>
  <c r="F431" i="95"/>
  <c r="F430" i="95" s="1"/>
  <c r="G434" i="95"/>
  <c r="G987" i="95"/>
  <c r="H989" i="95"/>
  <c r="F763" i="95"/>
  <c r="G765" i="95"/>
  <c r="F43" i="95"/>
  <c r="F42" i="95" s="1"/>
  <c r="F72" i="95"/>
  <c r="F1032" i="95"/>
  <c r="G1033" i="95"/>
  <c r="I62" i="95"/>
  <c r="I45" i="95"/>
  <c r="I73" i="95"/>
  <c r="J31" i="95"/>
  <c r="H1023" i="95"/>
  <c r="I1025" i="95"/>
  <c r="J997" i="95"/>
  <c r="D112" i="95"/>
  <c r="D111" i="95" s="1"/>
  <c r="D89" i="95"/>
  <c r="D88" i="95" s="1"/>
  <c r="F766" i="95"/>
  <c r="G768" i="95"/>
  <c r="F572" i="95"/>
  <c r="G574" i="95"/>
  <c r="G465" i="95"/>
  <c r="G464" i="95" s="1"/>
  <c r="H470" i="95"/>
  <c r="F82" i="95"/>
  <c r="F79" i="95" s="1"/>
  <c r="G83" i="95"/>
  <c r="H191" i="95"/>
  <c r="I193" i="95"/>
  <c r="F940" i="95"/>
  <c r="G934" i="95"/>
  <c r="F704" i="95"/>
  <c r="G706" i="95"/>
  <c r="F38" i="95"/>
  <c r="G40" i="95"/>
  <c r="F746" i="95"/>
  <c r="G748" i="95"/>
  <c r="F145" i="95"/>
  <c r="G147" i="95"/>
  <c r="E1061" i="95"/>
  <c r="E1060" i="95" s="1"/>
  <c r="E1059" i="95" s="1"/>
  <c r="E936" i="95"/>
  <c r="E1040" i="95"/>
  <c r="E1039" i="95" s="1"/>
  <c r="E1075" i="95"/>
  <c r="E1074" i="95" s="1"/>
  <c r="E1073" i="95" s="1"/>
  <c r="F1041" i="95"/>
  <c r="H665" i="95"/>
  <c r="H647" i="95"/>
  <c r="H652" i="95"/>
  <c r="H650" i="95" s="1"/>
  <c r="H659" i="95"/>
  <c r="H657" i="95" s="1"/>
  <c r="H656" i="95" s="1"/>
  <c r="I640" i="95"/>
  <c r="G349" i="95"/>
  <c r="H351" i="95"/>
  <c r="E968" i="95"/>
  <c r="E967" i="95" s="1"/>
  <c r="E956" i="95" s="1"/>
  <c r="E939" i="95"/>
  <c r="E938" i="95" s="1"/>
  <c r="F526" i="95"/>
  <c r="F525" i="95" s="1"/>
  <c r="G528" i="95"/>
  <c r="D419" i="95"/>
  <c r="G853" i="95"/>
  <c r="H854" i="95"/>
  <c r="F859" i="95"/>
  <c r="G860" i="95"/>
  <c r="F34" i="95"/>
  <c r="G37" i="95"/>
  <c r="F1008" i="95"/>
  <c r="F1007" i="95" s="1"/>
  <c r="G1009" i="95"/>
  <c r="F328" i="95"/>
  <c r="G330" i="95"/>
  <c r="F197" i="95"/>
  <c r="G199" i="95"/>
  <c r="F152" i="95"/>
  <c r="G154" i="95"/>
  <c r="I830" i="95"/>
  <c r="F874" i="95"/>
  <c r="G875" i="95"/>
  <c r="E399" i="95"/>
  <c r="I985" i="95"/>
  <c r="I983" i="95" s="1"/>
  <c r="I995" i="95"/>
  <c r="I964" i="95"/>
  <c r="I962" i="95" s="1"/>
  <c r="J949" i="95"/>
  <c r="F614" i="95"/>
  <c r="G616" i="95"/>
  <c r="F321" i="95"/>
  <c r="G323" i="95"/>
  <c r="E29" i="95"/>
  <c r="F392" i="95"/>
  <c r="G394" i="95"/>
  <c r="F472" i="95"/>
  <c r="G474" i="95"/>
  <c r="F22" i="95"/>
  <c r="G24" i="95"/>
  <c r="G1003" i="95"/>
  <c r="G1002" i="95" s="1"/>
  <c r="H1005" i="95"/>
  <c r="G565" i="95"/>
  <c r="G564" i="95" s="1"/>
  <c r="H566" i="95"/>
  <c r="I209" i="95"/>
  <c r="J211" i="95"/>
  <c r="G314" i="95"/>
  <c r="H316" i="95"/>
  <c r="D750" i="95"/>
  <c r="H281" i="95"/>
  <c r="H268" i="95"/>
  <c r="H275" i="95"/>
  <c r="I261" i="95"/>
  <c r="F805" i="95"/>
  <c r="G807" i="95"/>
  <c r="G324" i="59"/>
  <c r="F269" i="59"/>
  <c r="F531" i="95"/>
  <c r="F530" i="95" s="1"/>
  <c r="G534" i="95"/>
  <c r="E725" i="95"/>
  <c r="E724" i="95" s="1"/>
  <c r="G478" i="95"/>
  <c r="G477" i="95" s="1"/>
  <c r="H480" i="95"/>
  <c r="F577" i="95"/>
  <c r="G579" i="95"/>
  <c r="C7" i="95"/>
  <c r="D151" i="24"/>
  <c r="G263" i="59" s="1"/>
  <c r="F131" i="95"/>
  <c r="G133" i="95"/>
  <c r="F400" i="95"/>
  <c r="G402" i="95"/>
  <c r="F882" i="95"/>
  <c r="G884" i="95"/>
  <c r="E419" i="95"/>
  <c r="F149" i="24" s="1"/>
  <c r="I261" i="59" s="1"/>
  <c r="I316" i="59" s="1"/>
  <c r="F90" i="95"/>
  <c r="F30" i="95"/>
  <c r="K104" i="95"/>
  <c r="L109" i="95"/>
  <c r="F957" i="95"/>
  <c r="G959" i="95"/>
  <c r="J498" i="95"/>
  <c r="K500" i="95"/>
  <c r="G658" i="95"/>
  <c r="G646" i="95"/>
  <c r="G645" i="95" s="1"/>
  <c r="G644" i="95" s="1"/>
  <c r="G641" i="95"/>
  <c r="G639" i="95" s="1"/>
  <c r="G674" i="95"/>
  <c r="G664" i="95"/>
  <c r="H623" i="95"/>
  <c r="E123" i="95"/>
  <c r="F673" i="95"/>
  <c r="F672" i="95" s="1"/>
  <c r="F688" i="95"/>
  <c r="F687" i="95" s="1"/>
  <c r="F773" i="95"/>
  <c r="G758" i="95"/>
  <c r="F1408" i="95"/>
  <c r="F1405" i="95" s="1"/>
  <c r="F1404" i="95" s="1"/>
  <c r="F1380" i="95" s="1"/>
  <c r="G155" i="24" s="1"/>
  <c r="J267" i="59" s="1"/>
  <c r="J322" i="59" s="1"/>
  <c r="G70" i="95"/>
  <c r="F829" i="95"/>
  <c r="F826" i="95" s="1"/>
  <c r="F825" i="95" s="1"/>
  <c r="F453" i="95"/>
  <c r="F450" i="95" s="1"/>
  <c r="F449" i="95" s="1"/>
  <c r="F74" i="95"/>
  <c r="F282" i="95"/>
  <c r="F996" i="95"/>
  <c r="F993" i="95" s="1"/>
  <c r="F992" i="95" s="1"/>
  <c r="F553" i="95"/>
  <c r="F550" i="95" s="1"/>
  <c r="F549" i="95" s="1"/>
  <c r="F597" i="95"/>
  <c r="G599" i="95"/>
  <c r="I729" i="95"/>
  <c r="J731" i="95"/>
  <c r="F229" i="95"/>
  <c r="G231" i="95"/>
  <c r="F908" i="95"/>
  <c r="G910" i="95"/>
  <c r="F628" i="95"/>
  <c r="F627" i="95" s="1"/>
  <c r="G630" i="95"/>
  <c r="F1026" i="95"/>
  <c r="G1027" i="95"/>
  <c r="G680" i="95"/>
  <c r="G679" i="95" s="1"/>
  <c r="H681" i="95"/>
  <c r="H485" i="95"/>
  <c r="I487" i="95"/>
  <c r="F159" i="95"/>
  <c r="G161" i="95"/>
  <c r="F777" i="95"/>
  <c r="G779" i="95"/>
  <c r="F790" i="95"/>
  <c r="G792" i="95"/>
  <c r="F279" i="95" l="1"/>
  <c r="F278" i="95" s="1"/>
  <c r="I56" i="95"/>
  <c r="G223" i="95"/>
  <c r="G415" i="95"/>
  <c r="G307" i="95"/>
  <c r="G306" i="95" s="1"/>
  <c r="G310" i="95"/>
  <c r="G309" i="95" s="1"/>
  <c r="G280" i="95"/>
  <c r="G267" i="95"/>
  <c r="G266" i="95" s="1"/>
  <c r="G265" i="95" s="1"/>
  <c r="G274" i="95"/>
  <c r="G273" i="95" s="1"/>
  <c r="G272" i="95" s="1"/>
  <c r="G262" i="95"/>
  <c r="G260" i="95" s="1"/>
  <c r="G259" i="95" s="1"/>
  <c r="H248" i="95"/>
  <c r="F305" i="95"/>
  <c r="F511" i="95"/>
  <c r="F419" i="95" s="1"/>
  <c r="G149" i="24" s="1"/>
  <c r="J261" i="59" s="1"/>
  <c r="J316" i="59" s="1"/>
  <c r="H228" i="95"/>
  <c r="I228" i="95" s="1"/>
  <c r="H237" i="95"/>
  <c r="H638" i="95"/>
  <c r="H636" i="95" s="1"/>
  <c r="F21" i="95"/>
  <c r="H364" i="95"/>
  <c r="I364" i="95" s="1"/>
  <c r="I126" i="95"/>
  <c r="I124" i="95" s="1"/>
  <c r="G166" i="95"/>
  <c r="H408" i="95"/>
  <c r="H406" i="95" s="1"/>
  <c r="H506" i="95"/>
  <c r="H504" i="95" s="1"/>
  <c r="H497" i="95" s="1"/>
  <c r="H344" i="95"/>
  <c r="H342" i="95" s="1"/>
  <c r="I205" i="95"/>
  <c r="I203" i="95" s="1"/>
  <c r="H873" i="95"/>
  <c r="I873" i="95" s="1"/>
  <c r="H703" i="95"/>
  <c r="I703" i="95" s="1"/>
  <c r="H18" i="95"/>
  <c r="H32" i="95" s="1"/>
  <c r="G61" i="95"/>
  <c r="G60" i="95" s="1"/>
  <c r="G59" i="95" s="1"/>
  <c r="F915" i="95"/>
  <c r="E519" i="95"/>
  <c r="F150" i="24" s="1"/>
  <c r="I262" i="59" s="1"/>
  <c r="I317" i="59" s="1"/>
  <c r="I338" i="59" s="1"/>
  <c r="I213" i="59" s="1"/>
  <c r="F742" i="95"/>
  <c r="F610" i="95"/>
  <c r="G1035" i="95"/>
  <c r="H1037" i="95"/>
  <c r="H711" i="95"/>
  <c r="H709" i="95" s="1"/>
  <c r="G515" i="95"/>
  <c r="G511" i="95" s="1"/>
  <c r="H517" i="95"/>
  <c r="G426" i="95"/>
  <c r="G425" i="95" s="1"/>
  <c r="H428" i="95"/>
  <c r="G403" i="95"/>
  <c r="H405" i="95"/>
  <c r="G743" i="95"/>
  <c r="H745" i="95"/>
  <c r="H850" i="95"/>
  <c r="H848" i="95" s="1"/>
  <c r="F361" i="95"/>
  <c r="F399" i="95"/>
  <c r="G925" i="95"/>
  <c r="H927" i="95"/>
  <c r="F881" i="95"/>
  <c r="F898" i="95" s="1"/>
  <c r="F897" i="95" s="1"/>
  <c r="F576" i="95"/>
  <c r="F593" i="95" s="1"/>
  <c r="F592" i="95" s="1"/>
  <c r="H635" i="95"/>
  <c r="G633" i="95"/>
  <c r="G632" i="95" s="1"/>
  <c r="G978" i="95"/>
  <c r="F222" i="95"/>
  <c r="G460" i="95"/>
  <c r="G459" i="95" s="1"/>
  <c r="H462" i="95"/>
  <c r="F776" i="95"/>
  <c r="G115" i="95"/>
  <c r="F71" i="95"/>
  <c r="F69" i="95" s="1"/>
  <c r="F313" i="95"/>
  <c r="F358" i="95" s="1"/>
  <c r="F357" i="95" s="1"/>
  <c r="H613" i="95"/>
  <c r="G611" i="95"/>
  <c r="G696" i="95"/>
  <c r="F695" i="95"/>
  <c r="D9" i="95"/>
  <c r="D7" i="95" s="1"/>
  <c r="H918" i="95"/>
  <c r="G916" i="95"/>
  <c r="F596" i="95"/>
  <c r="H341" i="59"/>
  <c r="H26" i="60"/>
  <c r="H339" i="59"/>
  <c r="H214" i="59" s="1"/>
  <c r="G889" i="95"/>
  <c r="H891" i="95"/>
  <c r="H382" i="95"/>
  <c r="G380" i="95"/>
  <c r="G335" i="95"/>
  <c r="H337" i="95"/>
  <c r="G952" i="95"/>
  <c r="H955" i="95"/>
  <c r="H187" i="95"/>
  <c r="G185" i="95"/>
  <c r="G666" i="95"/>
  <c r="G663" i="95" s="1"/>
  <c r="G662" i="95" s="1"/>
  <c r="H667" i="95"/>
  <c r="G836" i="95"/>
  <c r="G835" i="95" s="1"/>
  <c r="H838" i="95"/>
  <c r="H868" i="95"/>
  <c r="I869" i="95"/>
  <c r="F29" i="95"/>
  <c r="H979" i="95"/>
  <c r="I981" i="95"/>
  <c r="F852" i="95"/>
  <c r="G238" i="95"/>
  <c r="H240" i="95"/>
  <c r="E692" i="95"/>
  <c r="E691" i="95" s="1"/>
  <c r="E618" i="95" s="1"/>
  <c r="F151" i="24" s="1"/>
  <c r="I263" i="59" s="1"/>
  <c r="I318" i="59" s="1"/>
  <c r="F693" i="95"/>
  <c r="H1015" i="95"/>
  <c r="I1017" i="95"/>
  <c r="G386" i="95"/>
  <c r="H388" i="95"/>
  <c r="E750" i="95"/>
  <c r="F152" i="24" s="1"/>
  <c r="I264" i="59" s="1"/>
  <c r="I319" i="59" s="1"/>
  <c r="F725" i="95"/>
  <c r="F724" i="95" s="1"/>
  <c r="H680" i="95"/>
  <c r="H679" i="95" s="1"/>
  <c r="I681" i="95"/>
  <c r="F324" i="59"/>
  <c r="G32" i="60"/>
  <c r="F32" i="60" s="1"/>
  <c r="G345" i="59"/>
  <c r="G874" i="95"/>
  <c r="H875" i="95"/>
  <c r="I1023" i="95"/>
  <c r="J1025" i="95"/>
  <c r="K546" i="95"/>
  <c r="K544" i="95" s="1"/>
  <c r="K543" i="95" s="1"/>
  <c r="K539" i="95"/>
  <c r="K537" i="95" s="1"/>
  <c r="K536" i="95" s="1"/>
  <c r="K552" i="95"/>
  <c r="L532" i="95"/>
  <c r="I368" i="95"/>
  <c r="J370" i="95"/>
  <c r="G735" i="95"/>
  <c r="G728" i="95" s="1"/>
  <c r="H737" i="95"/>
  <c r="H317" i="59"/>
  <c r="G22" i="95"/>
  <c r="G21" i="95" s="1"/>
  <c r="H24" i="95"/>
  <c r="J985" i="95"/>
  <c r="J983" i="95" s="1"/>
  <c r="J995" i="95"/>
  <c r="J964" i="95"/>
  <c r="J962" i="95" s="1"/>
  <c r="K949" i="95"/>
  <c r="G145" i="95"/>
  <c r="H147" i="95"/>
  <c r="G940" i="95"/>
  <c r="H934" i="95"/>
  <c r="H465" i="95"/>
  <c r="H464" i="95" s="1"/>
  <c r="I470" i="95"/>
  <c r="G766" i="95"/>
  <c r="H768" i="95"/>
  <c r="G241" i="95"/>
  <c r="H243" i="95"/>
  <c r="J554" i="95"/>
  <c r="J374" i="95"/>
  <c r="K376" i="95"/>
  <c r="G90" i="95"/>
  <c r="G30" i="95"/>
  <c r="G30" i="60"/>
  <c r="G343" i="59"/>
  <c r="F901" i="95"/>
  <c r="G790" i="95"/>
  <c r="H792" i="95"/>
  <c r="G908" i="95"/>
  <c r="H910" i="95"/>
  <c r="G704" i="95"/>
  <c r="H706" i="95"/>
  <c r="G531" i="95"/>
  <c r="G530" i="95" s="1"/>
  <c r="H534" i="95"/>
  <c r="H922" i="95"/>
  <c r="H920" i="95"/>
  <c r="H919" i="95" s="1"/>
  <c r="I923" i="95"/>
  <c r="G1026" i="95"/>
  <c r="H1027" i="95"/>
  <c r="G597" i="95"/>
  <c r="H599" i="95"/>
  <c r="K498" i="95"/>
  <c r="L500" i="95"/>
  <c r="F112" i="95"/>
  <c r="F111" i="95" s="1"/>
  <c r="F89" i="95"/>
  <c r="F88" i="95" s="1"/>
  <c r="G805" i="95"/>
  <c r="H807" i="95"/>
  <c r="H314" i="95"/>
  <c r="I316" i="95"/>
  <c r="J830" i="95"/>
  <c r="G197" i="95"/>
  <c r="H199" i="95"/>
  <c r="H349" i="95"/>
  <c r="I351" i="95"/>
  <c r="F968" i="95"/>
  <c r="F967" i="95" s="1"/>
  <c r="F956" i="95" s="1"/>
  <c r="F939" i="95"/>
  <c r="F938" i="95" s="1"/>
  <c r="G431" i="95"/>
  <c r="G430" i="95" s="1"/>
  <c r="H434" i="95"/>
  <c r="J454" i="95"/>
  <c r="G877" i="95"/>
  <c r="H879" i="95"/>
  <c r="G295" i="95"/>
  <c r="G294" i="95" s="1"/>
  <c r="G293" i="95" s="1"/>
  <c r="G302" i="95"/>
  <c r="G301" i="95" s="1"/>
  <c r="H290" i="95"/>
  <c r="G603" i="95"/>
  <c r="H605" i="95"/>
  <c r="G289" i="95"/>
  <c r="G288" i="95" s="1"/>
  <c r="H291" i="95"/>
  <c r="G698" i="95"/>
  <c r="H699" i="95"/>
  <c r="H512" i="95"/>
  <c r="I514" i="95"/>
  <c r="G392" i="95"/>
  <c r="H394" i="95"/>
  <c r="G179" i="95"/>
  <c r="H181" i="95"/>
  <c r="E152" i="24"/>
  <c r="H264" i="59" s="1"/>
  <c r="G232" i="95"/>
  <c r="H234" i="95"/>
  <c r="H769" i="95"/>
  <c r="I771" i="95"/>
  <c r="J785" i="95"/>
  <c r="K787" i="95"/>
  <c r="G781" i="95"/>
  <c r="H784" i="95"/>
  <c r="G777" i="95"/>
  <c r="H779" i="95"/>
  <c r="G472" i="95"/>
  <c r="H474" i="95"/>
  <c r="G1008" i="95"/>
  <c r="G1007" i="95" s="1"/>
  <c r="H1009" i="95"/>
  <c r="H853" i="95"/>
  <c r="I854" i="95"/>
  <c r="G746" i="95"/>
  <c r="H748" i="95"/>
  <c r="I191" i="95"/>
  <c r="J193" i="95"/>
  <c r="H235" i="95"/>
  <c r="I237" i="95"/>
  <c r="J73" i="95"/>
  <c r="J45" i="95"/>
  <c r="J62" i="95"/>
  <c r="K31" i="95"/>
  <c r="G856" i="95"/>
  <c r="H857" i="95"/>
  <c r="G584" i="95"/>
  <c r="H586" i="95"/>
  <c r="G412" i="95"/>
  <c r="H414" i="95"/>
  <c r="H255" i="95"/>
  <c r="H254" i="95" s="1"/>
  <c r="I257" i="95"/>
  <c r="G1032" i="95"/>
  <c r="H1033" i="95"/>
  <c r="G865" i="95"/>
  <c r="H866" i="95"/>
  <c r="G948" i="95"/>
  <c r="H951" i="95"/>
  <c r="G229" i="95"/>
  <c r="H231" i="95"/>
  <c r="G628" i="95"/>
  <c r="G627" i="95" s="1"/>
  <c r="H630" i="95"/>
  <c r="H664" i="95"/>
  <c r="H674" i="95"/>
  <c r="H658" i="95"/>
  <c r="H641" i="95"/>
  <c r="H639" i="95" s="1"/>
  <c r="H646" i="95"/>
  <c r="H645" i="95" s="1"/>
  <c r="H644" i="95" s="1"/>
  <c r="I623" i="95"/>
  <c r="G957" i="95"/>
  <c r="H959" i="95"/>
  <c r="I24" i="60"/>
  <c r="I337" i="59"/>
  <c r="I212" i="59" s="1"/>
  <c r="G577" i="95"/>
  <c r="H579" i="95"/>
  <c r="H362" i="95"/>
  <c r="I268" i="95"/>
  <c r="I281" i="95"/>
  <c r="I275" i="95"/>
  <c r="J261" i="95"/>
  <c r="J209" i="95"/>
  <c r="K211" i="95"/>
  <c r="H565" i="95"/>
  <c r="H564" i="95" s="1"/>
  <c r="I566" i="95"/>
  <c r="I659" i="95"/>
  <c r="I657" i="95" s="1"/>
  <c r="I656" i="95" s="1"/>
  <c r="I652" i="95"/>
  <c r="I650" i="95" s="1"/>
  <c r="I665" i="95"/>
  <c r="I647" i="95"/>
  <c r="J640" i="95"/>
  <c r="F936" i="95"/>
  <c r="F1040" i="95"/>
  <c r="F1039" i="95" s="1"/>
  <c r="F1056" i="95" s="1"/>
  <c r="F1055" i="95" s="1"/>
  <c r="F1061" i="95"/>
  <c r="F1060" i="95" s="1"/>
  <c r="F1059" i="95" s="1"/>
  <c r="F1075" i="95"/>
  <c r="F1074" i="95" s="1"/>
  <c r="F1073" i="95" s="1"/>
  <c r="G1041" i="95"/>
  <c r="G763" i="95"/>
  <c r="H765" i="95"/>
  <c r="K283" i="95"/>
  <c r="G862" i="95"/>
  <c r="H863" i="95"/>
  <c r="H1029" i="95"/>
  <c r="I1031" i="95"/>
  <c r="G972" i="95"/>
  <c r="H974" i="95"/>
  <c r="H415" i="95"/>
  <c r="I417" i="95"/>
  <c r="G182" i="60"/>
  <c r="G377" i="59"/>
  <c r="G389" i="59" s="1"/>
  <c r="J812" i="95"/>
  <c r="K813" i="95"/>
  <c r="G716" i="95"/>
  <c r="G708" i="95" s="1"/>
  <c r="H718" i="95"/>
  <c r="G820" i="95"/>
  <c r="G811" i="95" s="1"/>
  <c r="H821" i="95"/>
  <c r="H223" i="95"/>
  <c r="I225" i="95"/>
  <c r="G841" i="95"/>
  <c r="G840" i="95" s="1"/>
  <c r="H842" i="95"/>
  <c r="H25" i="95"/>
  <c r="I27" i="95"/>
  <c r="G944" i="95"/>
  <c r="H947" i="95"/>
  <c r="G614" i="95"/>
  <c r="H616" i="95"/>
  <c r="G859" i="95"/>
  <c r="H860" i="95"/>
  <c r="J343" i="59"/>
  <c r="J217" i="59" s="1"/>
  <c r="J30" i="60"/>
  <c r="G400" i="95"/>
  <c r="H402" i="95"/>
  <c r="G902" i="95"/>
  <c r="H904" i="95"/>
  <c r="G159" i="95"/>
  <c r="H161" i="95"/>
  <c r="J729" i="95"/>
  <c r="K731" i="95"/>
  <c r="G131" i="95"/>
  <c r="H133" i="95"/>
  <c r="I53" i="95"/>
  <c r="J56" i="95"/>
  <c r="E149" i="24"/>
  <c r="H261" i="59" s="1"/>
  <c r="G38" i="95"/>
  <c r="H40" i="95"/>
  <c r="G82" i="95"/>
  <c r="G79" i="95" s="1"/>
  <c r="H83" i="95"/>
  <c r="G572" i="95"/>
  <c r="H574" i="95"/>
  <c r="G1020" i="95"/>
  <c r="H1021" i="95"/>
  <c r="H315" i="59"/>
  <c r="H99" i="95"/>
  <c r="H98" i="95" s="1"/>
  <c r="H97" i="95" s="1"/>
  <c r="H120" i="95"/>
  <c r="H119" i="95" s="1"/>
  <c r="H44" i="95"/>
  <c r="H117" i="95"/>
  <c r="H116" i="95" s="1"/>
  <c r="I12" i="95"/>
  <c r="F155" i="24"/>
  <c r="I267" i="59" s="1"/>
  <c r="F943" i="95"/>
  <c r="G1408" i="95"/>
  <c r="G1405" i="95" s="1"/>
  <c r="G1404" i="95" s="1"/>
  <c r="G1380" i="95" s="1"/>
  <c r="H155" i="24" s="1"/>
  <c r="K267" i="59" s="1"/>
  <c r="K322" i="59" s="1"/>
  <c r="H70" i="95"/>
  <c r="G74" i="95"/>
  <c r="G282" i="95"/>
  <c r="G996" i="95"/>
  <c r="G993" i="95" s="1"/>
  <c r="G992" i="95" s="1"/>
  <c r="G829" i="95"/>
  <c r="G826" i="95" s="1"/>
  <c r="G825" i="95" s="1"/>
  <c r="G453" i="95"/>
  <c r="G450" i="95" s="1"/>
  <c r="G449" i="95" s="1"/>
  <c r="G553" i="95"/>
  <c r="G550" i="95" s="1"/>
  <c r="G549" i="95" s="1"/>
  <c r="G318" i="59"/>
  <c r="G273" i="59"/>
  <c r="H478" i="95"/>
  <c r="H477" i="95" s="1"/>
  <c r="H494" i="95" s="1"/>
  <c r="H493" i="95" s="1"/>
  <c r="I480" i="95"/>
  <c r="H797" i="95"/>
  <c r="H795" i="95" s="1"/>
  <c r="H818" i="95"/>
  <c r="H816" i="95" s="1"/>
  <c r="H828" i="95"/>
  <c r="I782" i="95"/>
  <c r="G494" i="95"/>
  <c r="G493" i="95" s="1"/>
  <c r="F178" i="95"/>
  <c r="G773" i="95"/>
  <c r="H758" i="95"/>
  <c r="G321" i="95"/>
  <c r="H323" i="95"/>
  <c r="G34" i="95"/>
  <c r="H37" i="95"/>
  <c r="I485" i="95"/>
  <c r="J487" i="95"/>
  <c r="F772" i="95"/>
  <c r="F762" i="95" s="1"/>
  <c r="F801" i="95"/>
  <c r="F800" i="95" s="1"/>
  <c r="F789" i="95" s="1"/>
  <c r="E175" i="95"/>
  <c r="E174" i="95" s="1"/>
  <c r="E9" i="95" s="1"/>
  <c r="G673" i="95"/>
  <c r="G672" i="95" s="1"/>
  <c r="G688" i="95"/>
  <c r="G687" i="95" s="1"/>
  <c r="L104" i="95"/>
  <c r="M109" i="95"/>
  <c r="G882" i="95"/>
  <c r="H884" i="95"/>
  <c r="F123" i="95"/>
  <c r="F175" i="95" s="1"/>
  <c r="F174" i="95" s="1"/>
  <c r="H1003" i="95"/>
  <c r="H1002" i="95" s="1"/>
  <c r="I1005" i="95"/>
  <c r="G152" i="95"/>
  <c r="H154" i="95"/>
  <c r="G328" i="95"/>
  <c r="H330" i="95"/>
  <c r="G526" i="95"/>
  <c r="G525" i="95" s="1"/>
  <c r="H528" i="95"/>
  <c r="E1056" i="95"/>
  <c r="E1055" i="95" s="1"/>
  <c r="E929" i="95" s="1"/>
  <c r="K997" i="95"/>
  <c r="H987" i="95"/>
  <c r="I989" i="95"/>
  <c r="G215" i="95"/>
  <c r="H217" i="95"/>
  <c r="G437" i="95"/>
  <c r="G436" i="95" s="1"/>
  <c r="H440" i="95"/>
  <c r="J138" i="95"/>
  <c r="K140" i="95"/>
  <c r="G320" i="59"/>
  <c r="H409" i="95"/>
  <c r="I411" i="95"/>
  <c r="F1019" i="95"/>
  <c r="K66" i="95"/>
  <c r="K64" i="95" s="1"/>
  <c r="K81" i="95"/>
  <c r="K50" i="95"/>
  <c r="K48" i="95" s="1"/>
  <c r="L35" i="95"/>
  <c r="G72" i="95"/>
  <c r="G43" i="95"/>
  <c r="G42" i="95" s="1"/>
  <c r="G444" i="95"/>
  <c r="G443" i="95" s="1"/>
  <c r="H447" i="95"/>
  <c r="H166" i="95"/>
  <c r="I168" i="95"/>
  <c r="K75" i="95"/>
  <c r="G560" i="95"/>
  <c r="G559" i="95" s="1"/>
  <c r="H562" i="95"/>
  <c r="E245" i="95"/>
  <c r="G279" i="95" l="1"/>
  <c r="G278" i="95" s="1"/>
  <c r="H226" i="95"/>
  <c r="G305" i="95"/>
  <c r="H307" i="95"/>
  <c r="H306" i="95" s="1"/>
  <c r="H310" i="95"/>
  <c r="H309" i="95" s="1"/>
  <c r="H280" i="95"/>
  <c r="H274" i="95"/>
  <c r="H273" i="95" s="1"/>
  <c r="H272" i="95" s="1"/>
  <c r="H262" i="95"/>
  <c r="H260" i="95" s="1"/>
  <c r="H259" i="95" s="1"/>
  <c r="H267" i="95"/>
  <c r="H266" i="95" s="1"/>
  <c r="H265" i="95" s="1"/>
  <c r="I248" i="95"/>
  <c r="I638" i="95"/>
  <c r="J126" i="95"/>
  <c r="J124" i="95" s="1"/>
  <c r="H701" i="95"/>
  <c r="H871" i="95"/>
  <c r="I344" i="95"/>
  <c r="I342" i="95" s="1"/>
  <c r="I408" i="95"/>
  <c r="J205" i="95"/>
  <c r="K205" i="95" s="1"/>
  <c r="G881" i="95"/>
  <c r="G898" i="95" s="1"/>
  <c r="G897" i="95" s="1"/>
  <c r="G742" i="95"/>
  <c r="I506" i="95"/>
  <c r="J506" i="95" s="1"/>
  <c r="G610" i="95"/>
  <c r="I18" i="95"/>
  <c r="I32" i="95" s="1"/>
  <c r="H61" i="95"/>
  <c r="H60" i="95" s="1"/>
  <c r="H59" i="95" s="1"/>
  <c r="I711" i="95"/>
  <c r="I709" i="95" s="1"/>
  <c r="I25" i="60"/>
  <c r="I850" i="95"/>
  <c r="I848" i="95" s="1"/>
  <c r="H1035" i="95"/>
  <c r="I1037" i="95"/>
  <c r="H403" i="95"/>
  <c r="I405" i="95"/>
  <c r="H426" i="95"/>
  <c r="H425" i="95" s="1"/>
  <c r="I428" i="95"/>
  <c r="I517" i="95"/>
  <c r="H515" i="95"/>
  <c r="H511" i="95" s="1"/>
  <c r="H743" i="95"/>
  <c r="I745" i="95"/>
  <c r="F519" i="95"/>
  <c r="G150" i="24" s="1"/>
  <c r="J262" i="59" s="1"/>
  <c r="J317" i="59" s="1"/>
  <c r="J338" i="59" s="1"/>
  <c r="J213" i="59" s="1"/>
  <c r="H978" i="95"/>
  <c r="I927" i="95"/>
  <c r="H925" i="95"/>
  <c r="G901" i="95"/>
  <c r="E147" i="24"/>
  <c r="H259" i="59" s="1"/>
  <c r="H273" i="59" s="1"/>
  <c r="G915" i="95"/>
  <c r="G1019" i="95"/>
  <c r="H633" i="95"/>
  <c r="H632" i="95" s="1"/>
  <c r="I635" i="95"/>
  <c r="G361" i="95"/>
  <c r="H460" i="95"/>
  <c r="H459" i="95" s="1"/>
  <c r="I462" i="95"/>
  <c r="F245" i="95"/>
  <c r="G148" i="24" s="1"/>
  <c r="J260" i="59" s="1"/>
  <c r="J315" i="59" s="1"/>
  <c r="J336" i="59" s="1"/>
  <c r="G222" i="95"/>
  <c r="I918" i="95"/>
  <c r="H916" i="95"/>
  <c r="E7" i="95"/>
  <c r="G695" i="95"/>
  <c r="H696" i="95"/>
  <c r="H115" i="95"/>
  <c r="G943" i="95"/>
  <c r="H611" i="95"/>
  <c r="I613" i="95"/>
  <c r="H386" i="95"/>
  <c r="I388" i="95"/>
  <c r="H335" i="95"/>
  <c r="I337" i="95"/>
  <c r="F750" i="95"/>
  <c r="G152" i="24" s="1"/>
  <c r="J264" i="59" s="1"/>
  <c r="J319" i="59" s="1"/>
  <c r="J340" i="59" s="1"/>
  <c r="J215" i="59" s="1"/>
  <c r="H666" i="95"/>
  <c r="H663" i="95" s="1"/>
  <c r="H662" i="95" s="1"/>
  <c r="I667" i="95"/>
  <c r="G313" i="95"/>
  <c r="G358" i="95" s="1"/>
  <c r="G357" i="95" s="1"/>
  <c r="I979" i="95"/>
  <c r="J981" i="95"/>
  <c r="I1015" i="95"/>
  <c r="J1017" i="95"/>
  <c r="H380" i="95"/>
  <c r="I382" i="95"/>
  <c r="H185" i="95"/>
  <c r="I187" i="95"/>
  <c r="H889" i="95"/>
  <c r="I891" i="95"/>
  <c r="G852" i="95"/>
  <c r="F692" i="95"/>
  <c r="F691" i="95" s="1"/>
  <c r="F618" i="95" s="1"/>
  <c r="G693" i="95"/>
  <c r="I868" i="95"/>
  <c r="J869" i="95"/>
  <c r="H952" i="95"/>
  <c r="I955" i="95"/>
  <c r="F9" i="95"/>
  <c r="G147" i="24" s="1"/>
  <c r="J259" i="59" s="1"/>
  <c r="G71" i="95"/>
  <c r="G69" i="95" s="1"/>
  <c r="G123" i="95"/>
  <c r="G175" i="95" s="1"/>
  <c r="G174" i="95" s="1"/>
  <c r="I240" i="95"/>
  <c r="H238" i="95"/>
  <c r="H836" i="95"/>
  <c r="H835" i="95" s="1"/>
  <c r="I838" i="95"/>
  <c r="F153" i="24"/>
  <c r="I265" i="59" s="1"/>
  <c r="G725" i="95"/>
  <c r="G724" i="95" s="1"/>
  <c r="J203" i="95"/>
  <c r="H577" i="95"/>
  <c r="I579" i="95"/>
  <c r="H856" i="95"/>
  <c r="I857" i="95"/>
  <c r="H746" i="95"/>
  <c r="I748" i="95"/>
  <c r="I349" i="95"/>
  <c r="J351" i="95"/>
  <c r="H1026" i="95"/>
  <c r="I1027" i="95"/>
  <c r="H908" i="95"/>
  <c r="I910" i="95"/>
  <c r="K964" i="95"/>
  <c r="K962" i="95" s="1"/>
  <c r="K995" i="95"/>
  <c r="K985" i="95"/>
  <c r="K983" i="95" s="1"/>
  <c r="L949" i="95"/>
  <c r="H735" i="95"/>
  <c r="H728" i="95" s="1"/>
  <c r="I737" i="95"/>
  <c r="F147" i="24"/>
  <c r="I259" i="59" s="1"/>
  <c r="L75" i="95"/>
  <c r="I409" i="95"/>
  <c r="J411" i="95"/>
  <c r="I226" i="95"/>
  <c r="J228" i="95"/>
  <c r="H43" i="95"/>
  <c r="H42" i="95" s="1"/>
  <c r="H72" i="95"/>
  <c r="H572" i="95"/>
  <c r="I574" i="95"/>
  <c r="H316" i="59"/>
  <c r="K729" i="95"/>
  <c r="L731" i="95"/>
  <c r="J652" i="95"/>
  <c r="J650" i="95" s="1"/>
  <c r="J665" i="95"/>
  <c r="J647" i="95"/>
  <c r="J659" i="95"/>
  <c r="J657" i="95" s="1"/>
  <c r="J656" i="95" s="1"/>
  <c r="K640" i="95"/>
  <c r="I255" i="95"/>
  <c r="I254" i="95" s="1"/>
  <c r="J257" i="95"/>
  <c r="I853" i="95"/>
  <c r="J854" i="95"/>
  <c r="H781" i="95"/>
  <c r="I784" i="95"/>
  <c r="H431" i="95"/>
  <c r="H430" i="95" s="1"/>
  <c r="I434" i="95"/>
  <c r="I922" i="95"/>
  <c r="I920" i="95"/>
  <c r="I919" i="95" s="1"/>
  <c r="J923" i="95"/>
  <c r="H790" i="95"/>
  <c r="I792" i="95"/>
  <c r="J368" i="95"/>
  <c r="K370" i="95"/>
  <c r="I166" i="95"/>
  <c r="J168" i="95"/>
  <c r="L66" i="95"/>
  <c r="L64" i="95" s="1"/>
  <c r="L81" i="95"/>
  <c r="L50" i="95"/>
  <c r="L48" i="95" s="1"/>
  <c r="M35" i="95"/>
  <c r="H882" i="95"/>
  <c r="I884" i="95"/>
  <c r="I322" i="59"/>
  <c r="H400" i="95"/>
  <c r="I402" i="95"/>
  <c r="I223" i="95"/>
  <c r="J225" i="95"/>
  <c r="H716" i="95"/>
  <c r="H708" i="95" s="1"/>
  <c r="I718" i="95"/>
  <c r="I415" i="95"/>
  <c r="J417" i="95"/>
  <c r="I701" i="95"/>
  <c r="J703" i="95"/>
  <c r="H673" i="95"/>
  <c r="H672" i="95" s="1"/>
  <c r="H688" i="95"/>
  <c r="H687" i="95" s="1"/>
  <c r="H232" i="95"/>
  <c r="I234" i="95"/>
  <c r="H179" i="95"/>
  <c r="I181" i="95"/>
  <c r="H289" i="95"/>
  <c r="H288" i="95" s="1"/>
  <c r="I291" i="95"/>
  <c r="H877" i="95"/>
  <c r="I879" i="95"/>
  <c r="G419" i="95"/>
  <c r="H149" i="24" s="1"/>
  <c r="K261" i="59" s="1"/>
  <c r="K316" i="59" s="1"/>
  <c r="H197" i="95"/>
  <c r="I199" i="95"/>
  <c r="H805" i="95"/>
  <c r="I807" i="95"/>
  <c r="L498" i="95"/>
  <c r="M500" i="95"/>
  <c r="H704" i="95"/>
  <c r="I706" i="95"/>
  <c r="G29" i="95"/>
  <c r="H241" i="95"/>
  <c r="I243" i="95"/>
  <c r="H940" i="95"/>
  <c r="I934" i="95"/>
  <c r="H338" i="59"/>
  <c r="H25" i="60"/>
  <c r="H874" i="95"/>
  <c r="I875" i="95"/>
  <c r="G772" i="95"/>
  <c r="G762" i="95" s="1"/>
  <c r="G801" i="95"/>
  <c r="G800" i="95" s="1"/>
  <c r="G789" i="95" s="1"/>
  <c r="H30" i="95"/>
  <c r="H90" i="95"/>
  <c r="H777" i="95"/>
  <c r="I779" i="95"/>
  <c r="J1023" i="95"/>
  <c r="K1025" i="95"/>
  <c r="L997" i="95"/>
  <c r="H215" i="95"/>
  <c r="I217" i="95"/>
  <c r="I1003" i="95"/>
  <c r="I1002" i="95" s="1"/>
  <c r="J1005" i="95"/>
  <c r="I478" i="95"/>
  <c r="I477" i="95" s="1"/>
  <c r="I494" i="95" s="1"/>
  <c r="I493" i="95" s="1"/>
  <c r="J480" i="95"/>
  <c r="H82" i="95"/>
  <c r="H79" i="95" s="1"/>
  <c r="I83" i="95"/>
  <c r="H159" i="95"/>
  <c r="I161" i="95"/>
  <c r="G399" i="95"/>
  <c r="H944" i="95"/>
  <c r="I947" i="95"/>
  <c r="I565" i="95"/>
  <c r="I564" i="95" s="1"/>
  <c r="J566" i="95"/>
  <c r="I362" i="95"/>
  <c r="J364" i="95"/>
  <c r="H412" i="95"/>
  <c r="I414" i="95"/>
  <c r="I235" i="95"/>
  <c r="J237" i="95"/>
  <c r="H1008" i="95"/>
  <c r="H1007" i="95" s="1"/>
  <c r="I1009" i="95"/>
  <c r="G178" i="95"/>
  <c r="G89" i="95"/>
  <c r="G88" i="95" s="1"/>
  <c r="G112" i="95"/>
  <c r="G111" i="95" s="1"/>
  <c r="G968" i="95"/>
  <c r="G967" i="95" s="1"/>
  <c r="G956" i="95" s="1"/>
  <c r="G939" i="95"/>
  <c r="G938" i="95" s="1"/>
  <c r="L539" i="95"/>
  <c r="L537" i="95" s="1"/>
  <c r="L536" i="95" s="1"/>
  <c r="L552" i="95"/>
  <c r="L546" i="95"/>
  <c r="L544" i="95" s="1"/>
  <c r="L543" i="95" s="1"/>
  <c r="M532" i="95"/>
  <c r="H437" i="95"/>
  <c r="H436" i="95" s="1"/>
  <c r="I440" i="95"/>
  <c r="F148" i="24"/>
  <c r="I260" i="59" s="1"/>
  <c r="H526" i="95"/>
  <c r="H525" i="95" s="1"/>
  <c r="I528" i="95"/>
  <c r="M104" i="95"/>
  <c r="N109" i="95"/>
  <c r="J485" i="95"/>
  <c r="K487" i="95"/>
  <c r="J53" i="95"/>
  <c r="K56" i="95"/>
  <c r="K812" i="95"/>
  <c r="L813" i="95"/>
  <c r="H972" i="95"/>
  <c r="I974" i="95"/>
  <c r="L283" i="95"/>
  <c r="G1040" i="95"/>
  <c r="G1039" i="95" s="1"/>
  <c r="G1056" i="95" s="1"/>
  <c r="G1055" i="95" s="1"/>
  <c r="G936" i="95"/>
  <c r="G1061" i="95"/>
  <c r="G1060" i="95" s="1"/>
  <c r="G1059" i="95" s="1"/>
  <c r="G1075" i="95"/>
  <c r="G1074" i="95" s="1"/>
  <c r="G1073" i="95" s="1"/>
  <c r="H1041" i="95"/>
  <c r="H957" i="95"/>
  <c r="I959" i="95"/>
  <c r="H628" i="95"/>
  <c r="H627" i="95" s="1"/>
  <c r="I630" i="95"/>
  <c r="H948" i="95"/>
  <c r="I951" i="95"/>
  <c r="J337" i="59"/>
  <c r="J212" i="59" s="1"/>
  <c r="J24" i="60"/>
  <c r="I871" i="95"/>
  <c r="J873" i="95"/>
  <c r="H392" i="95"/>
  <c r="I394" i="95"/>
  <c r="H603" i="95"/>
  <c r="I605" i="95"/>
  <c r="F929" i="95"/>
  <c r="G153" i="24" s="1"/>
  <c r="J265" i="59" s="1"/>
  <c r="J320" i="59" s="1"/>
  <c r="K830" i="95"/>
  <c r="G217" i="59"/>
  <c r="K374" i="95"/>
  <c r="L376" i="95"/>
  <c r="H145" i="95"/>
  <c r="I147" i="95"/>
  <c r="F345" i="59"/>
  <c r="G219" i="59"/>
  <c r="F219" i="59" s="1"/>
  <c r="I339" i="59"/>
  <c r="I214" i="59" s="1"/>
  <c r="I26" i="60"/>
  <c r="H444" i="95"/>
  <c r="H443" i="95" s="1"/>
  <c r="I447" i="95"/>
  <c r="G28" i="60"/>
  <c r="G341" i="59"/>
  <c r="K138" i="95"/>
  <c r="L140" i="95"/>
  <c r="I987" i="95"/>
  <c r="J989" i="95"/>
  <c r="H38" i="95"/>
  <c r="I40" i="95"/>
  <c r="H902" i="95"/>
  <c r="I904" i="95"/>
  <c r="H820" i="95"/>
  <c r="H811" i="95" s="1"/>
  <c r="I821" i="95"/>
  <c r="K209" i="95"/>
  <c r="L211" i="95"/>
  <c r="H584" i="95"/>
  <c r="I586" i="95"/>
  <c r="K45" i="95"/>
  <c r="K73" i="95"/>
  <c r="K62" i="95"/>
  <c r="L31" i="95"/>
  <c r="J191" i="95"/>
  <c r="K193" i="95"/>
  <c r="H597" i="95"/>
  <c r="I599" i="95"/>
  <c r="I406" i="95"/>
  <c r="J408" i="95"/>
  <c r="H22" i="95"/>
  <c r="H21" i="95" s="1"/>
  <c r="I24" i="95"/>
  <c r="I636" i="95"/>
  <c r="J638" i="95"/>
  <c r="I797" i="95"/>
  <c r="I795" i="95" s="1"/>
  <c r="I828" i="95"/>
  <c r="I818" i="95"/>
  <c r="I816" i="95" s="1"/>
  <c r="J782" i="95"/>
  <c r="H560" i="95"/>
  <c r="H559" i="95" s="1"/>
  <c r="I562" i="95"/>
  <c r="H328" i="95"/>
  <c r="I330" i="95"/>
  <c r="H34" i="95"/>
  <c r="I37" i="95"/>
  <c r="H773" i="95"/>
  <c r="I758" i="95"/>
  <c r="G339" i="59"/>
  <c r="G26" i="60"/>
  <c r="G332" i="59"/>
  <c r="H1408" i="95"/>
  <c r="H1405" i="95" s="1"/>
  <c r="H1404" i="95" s="1"/>
  <c r="H1380" i="95" s="1"/>
  <c r="I155" i="24" s="1"/>
  <c r="L267" i="59" s="1"/>
  <c r="L322" i="59" s="1"/>
  <c r="I70" i="95"/>
  <c r="H996" i="95"/>
  <c r="H993" i="95" s="1"/>
  <c r="H992" i="95" s="1"/>
  <c r="H282" i="95"/>
  <c r="H279" i="95" s="1"/>
  <c r="H278" i="95" s="1"/>
  <c r="H74" i="95"/>
  <c r="H453" i="95"/>
  <c r="H450" i="95" s="1"/>
  <c r="H449" i="95" s="1"/>
  <c r="H829" i="95"/>
  <c r="H826" i="95" s="1"/>
  <c r="H825" i="95" s="1"/>
  <c r="H553" i="95"/>
  <c r="H550" i="95" s="1"/>
  <c r="H549" i="95" s="1"/>
  <c r="I99" i="95"/>
  <c r="I98" i="95" s="1"/>
  <c r="I97" i="95" s="1"/>
  <c r="I117" i="95"/>
  <c r="I116" i="95" s="1"/>
  <c r="I120" i="95"/>
  <c r="I119" i="95" s="1"/>
  <c r="I44" i="95"/>
  <c r="J12" i="95"/>
  <c r="H23" i="60"/>
  <c r="H336" i="59"/>
  <c r="H131" i="95"/>
  <c r="I133" i="95"/>
  <c r="H859" i="95"/>
  <c r="I860" i="95"/>
  <c r="I25" i="95"/>
  <c r="J27" i="95"/>
  <c r="I1029" i="95"/>
  <c r="J1031" i="95"/>
  <c r="H763" i="95"/>
  <c r="I765" i="95"/>
  <c r="I658" i="95"/>
  <c r="I664" i="95"/>
  <c r="I674" i="95"/>
  <c r="I641" i="95"/>
  <c r="I639" i="95" s="1"/>
  <c r="I646" i="95"/>
  <c r="I645" i="95" s="1"/>
  <c r="I644" i="95" s="1"/>
  <c r="J623" i="95"/>
  <c r="H229" i="95"/>
  <c r="I231" i="95"/>
  <c r="H865" i="95"/>
  <c r="I866" i="95"/>
  <c r="H472" i="95"/>
  <c r="I474" i="95"/>
  <c r="K785" i="95"/>
  <c r="L787" i="95"/>
  <c r="I512" i="95"/>
  <c r="J514" i="95"/>
  <c r="K454" i="95"/>
  <c r="G596" i="95"/>
  <c r="H531" i="95"/>
  <c r="H530" i="95" s="1"/>
  <c r="I534" i="95"/>
  <c r="K554" i="95"/>
  <c r="H766" i="95"/>
  <c r="I768" i="95"/>
  <c r="I27" i="60"/>
  <c r="I340" i="59"/>
  <c r="I215" i="59" s="1"/>
  <c r="K30" i="60"/>
  <c r="K343" i="59"/>
  <c r="K217" i="59" s="1"/>
  <c r="H1020" i="95"/>
  <c r="I1021" i="95"/>
  <c r="J268" i="95"/>
  <c r="J281" i="95"/>
  <c r="J275" i="95"/>
  <c r="K261" i="95"/>
  <c r="H319" i="59"/>
  <c r="H295" i="95"/>
  <c r="H294" i="95" s="1"/>
  <c r="H293" i="95" s="1"/>
  <c r="H302" i="95"/>
  <c r="H301" i="95" s="1"/>
  <c r="I290" i="95"/>
  <c r="I680" i="95"/>
  <c r="I679" i="95" s="1"/>
  <c r="J681" i="95"/>
  <c r="H152" i="95"/>
  <c r="I154" i="95"/>
  <c r="H321" i="95"/>
  <c r="I323" i="95"/>
  <c r="H614" i="95"/>
  <c r="I616" i="95"/>
  <c r="H841" i="95"/>
  <c r="H840" i="95" s="1"/>
  <c r="I842" i="95"/>
  <c r="H862" i="95"/>
  <c r="I863" i="95"/>
  <c r="G576" i="95"/>
  <c r="H1032" i="95"/>
  <c r="I1033" i="95"/>
  <c r="G776" i="95"/>
  <c r="I769" i="95"/>
  <c r="J771" i="95"/>
  <c r="H698" i="95"/>
  <c r="I699" i="95"/>
  <c r="I314" i="95"/>
  <c r="J316" i="95"/>
  <c r="I465" i="95"/>
  <c r="I464" i="95" s="1"/>
  <c r="J470" i="95"/>
  <c r="K126" i="95" l="1"/>
  <c r="I307" i="95"/>
  <c r="I306" i="95" s="1"/>
  <c r="I310" i="95"/>
  <c r="I309" i="95" s="1"/>
  <c r="I274" i="95"/>
  <c r="I273" i="95" s="1"/>
  <c r="I272" i="95" s="1"/>
  <c r="I267" i="95"/>
  <c r="I266" i="95" s="1"/>
  <c r="I265" i="95" s="1"/>
  <c r="I280" i="95"/>
  <c r="I262" i="95"/>
  <c r="I260" i="95" s="1"/>
  <c r="I259" i="95" s="1"/>
  <c r="J248" i="95"/>
  <c r="J344" i="95"/>
  <c r="H305" i="95"/>
  <c r="J711" i="95"/>
  <c r="J709" i="95" s="1"/>
  <c r="I504" i="95"/>
  <c r="I497" i="95" s="1"/>
  <c r="J850" i="95"/>
  <c r="J848" i="95" s="1"/>
  <c r="H915" i="95"/>
  <c r="J18" i="95"/>
  <c r="J32" i="95" s="1"/>
  <c r="I61" i="95"/>
  <c r="J23" i="60"/>
  <c r="J27" i="60"/>
  <c r="J25" i="60"/>
  <c r="H881" i="95"/>
  <c r="H898" i="95" s="1"/>
  <c r="H897" i="95" s="1"/>
  <c r="I978" i="95"/>
  <c r="H314" i="59"/>
  <c r="H335" i="59" s="1"/>
  <c r="J1037" i="95"/>
  <c r="I1035" i="95"/>
  <c r="I515" i="95"/>
  <c r="I511" i="95" s="1"/>
  <c r="J517" i="95"/>
  <c r="J428" i="95"/>
  <c r="I426" i="95"/>
  <c r="I425" i="95" s="1"/>
  <c r="J405" i="95"/>
  <c r="I403" i="95"/>
  <c r="H742" i="95"/>
  <c r="I743" i="95"/>
  <c r="J745" i="95"/>
  <c r="J927" i="95"/>
  <c r="I925" i="95"/>
  <c r="H222" i="95"/>
  <c r="H901" i="95"/>
  <c r="H71" i="95"/>
  <c r="H69" i="95" s="1"/>
  <c r="I633" i="95"/>
  <c r="I632" i="95" s="1"/>
  <c r="J635" i="95"/>
  <c r="H361" i="95"/>
  <c r="H776" i="95"/>
  <c r="I460" i="95"/>
  <c r="I459" i="95" s="1"/>
  <c r="J462" i="95"/>
  <c r="H695" i="95"/>
  <c r="I696" i="95"/>
  <c r="H610" i="95"/>
  <c r="I611" i="95"/>
  <c r="J613" i="95"/>
  <c r="I916" i="95"/>
  <c r="J918" i="95"/>
  <c r="J868" i="95"/>
  <c r="K869" i="95"/>
  <c r="I666" i="95"/>
  <c r="I663" i="95" s="1"/>
  <c r="I662" i="95" s="1"/>
  <c r="J667" i="95"/>
  <c r="J382" i="95"/>
  <c r="I380" i="95"/>
  <c r="I238" i="95"/>
  <c r="J240" i="95"/>
  <c r="G692" i="95"/>
  <c r="G691" i="95" s="1"/>
  <c r="G618" i="95" s="1"/>
  <c r="H151" i="24" s="1"/>
  <c r="K263" i="59" s="1"/>
  <c r="K318" i="59" s="1"/>
  <c r="K26" i="60" s="1"/>
  <c r="H693" i="95"/>
  <c r="K1017" i="95"/>
  <c r="J1015" i="95"/>
  <c r="I335" i="95"/>
  <c r="J337" i="95"/>
  <c r="F7" i="95"/>
  <c r="I889" i="95"/>
  <c r="J891" i="95"/>
  <c r="J979" i="95"/>
  <c r="K981" i="95"/>
  <c r="H313" i="95"/>
  <c r="H358" i="95" s="1"/>
  <c r="H357" i="95" s="1"/>
  <c r="H596" i="95"/>
  <c r="G245" i="95"/>
  <c r="H148" i="24" s="1"/>
  <c r="K260" i="59" s="1"/>
  <c r="K315" i="59" s="1"/>
  <c r="I952" i="95"/>
  <c r="J955" i="95"/>
  <c r="I386" i="95"/>
  <c r="J388" i="95"/>
  <c r="H852" i="95"/>
  <c r="I836" i="95"/>
  <c r="I835" i="95" s="1"/>
  <c r="J838" i="95"/>
  <c r="I185" i="95"/>
  <c r="J187" i="95"/>
  <c r="G750" i="95"/>
  <c r="H725" i="95"/>
  <c r="H724" i="95" s="1"/>
  <c r="I531" i="95"/>
  <c r="I530" i="95" s="1"/>
  <c r="J534" i="95"/>
  <c r="I865" i="95"/>
  <c r="J866" i="95"/>
  <c r="K53" i="95"/>
  <c r="L56" i="95"/>
  <c r="J235" i="95"/>
  <c r="K237" i="95"/>
  <c r="H968" i="95"/>
  <c r="H967" i="95" s="1"/>
  <c r="H956" i="95" s="1"/>
  <c r="H939" i="95"/>
  <c r="H938" i="95" s="1"/>
  <c r="G151" i="24"/>
  <c r="J263" i="59" s="1"/>
  <c r="J273" i="59" s="1"/>
  <c r="I841" i="95"/>
  <c r="I840" i="95" s="1"/>
  <c r="J842" i="95"/>
  <c r="M997" i="95"/>
  <c r="I241" i="95"/>
  <c r="J243" i="95"/>
  <c r="I805" i="95"/>
  <c r="J807" i="95"/>
  <c r="I289" i="95"/>
  <c r="I288" i="95" s="1"/>
  <c r="J291" i="95"/>
  <c r="J701" i="95"/>
  <c r="K703" i="95"/>
  <c r="I400" i="95"/>
  <c r="J402" i="95"/>
  <c r="I882" i="95"/>
  <c r="J884" i="95"/>
  <c r="I746" i="95"/>
  <c r="J748" i="95"/>
  <c r="G214" i="59"/>
  <c r="G353" i="59"/>
  <c r="I328" i="95"/>
  <c r="J330" i="95"/>
  <c r="J797" i="95"/>
  <c r="J795" i="95" s="1"/>
  <c r="J818" i="95"/>
  <c r="J816" i="95" s="1"/>
  <c r="J828" i="95"/>
  <c r="K782" i="95"/>
  <c r="I820" i="95"/>
  <c r="I811" i="95" s="1"/>
  <c r="J821" i="95"/>
  <c r="I82" i="95"/>
  <c r="I79" i="95" s="1"/>
  <c r="J83" i="95"/>
  <c r="H112" i="95"/>
  <c r="H111" i="95" s="1"/>
  <c r="H89" i="95"/>
  <c r="H88" i="95" s="1"/>
  <c r="I790" i="95"/>
  <c r="J792" i="95"/>
  <c r="I859" i="95"/>
  <c r="J860" i="95"/>
  <c r="K191" i="95"/>
  <c r="L193" i="95"/>
  <c r="G593" i="95"/>
  <c r="G592" i="95" s="1"/>
  <c r="I229" i="95"/>
  <c r="J231" i="95"/>
  <c r="I763" i="95"/>
  <c r="J765" i="95"/>
  <c r="I72" i="95"/>
  <c r="I43" i="95"/>
  <c r="I42" i="95" s="1"/>
  <c r="J636" i="95"/>
  <c r="K638" i="95"/>
  <c r="J406" i="95"/>
  <c r="K408" i="95"/>
  <c r="I603" i="95"/>
  <c r="J605" i="95"/>
  <c r="I957" i="95"/>
  <c r="J959" i="95"/>
  <c r="M283" i="95"/>
  <c r="I412" i="95"/>
  <c r="J414" i="95"/>
  <c r="I944" i="95"/>
  <c r="J947" i="95"/>
  <c r="J342" i="95"/>
  <c r="K344" i="95"/>
  <c r="H29" i="95"/>
  <c r="I874" i="95"/>
  <c r="J875" i="95"/>
  <c r="H399" i="95"/>
  <c r="J922" i="95"/>
  <c r="J920" i="95"/>
  <c r="J919" i="95" s="1"/>
  <c r="K923" i="95"/>
  <c r="J853" i="95"/>
  <c r="K854" i="95"/>
  <c r="I735" i="95"/>
  <c r="I728" i="95" s="1"/>
  <c r="J737" i="95"/>
  <c r="I908" i="95"/>
  <c r="J910" i="95"/>
  <c r="J504" i="95"/>
  <c r="J497" i="95" s="1"/>
  <c r="K506" i="95"/>
  <c r="J630" i="95"/>
  <c r="I628" i="95"/>
  <c r="I627" i="95" s="1"/>
  <c r="I273" i="59"/>
  <c r="I314" i="59"/>
  <c r="I30" i="95"/>
  <c r="I90" i="95"/>
  <c r="I60" i="95"/>
  <c r="I59" i="95" s="1"/>
  <c r="J871" i="95"/>
  <c r="K873" i="95"/>
  <c r="J465" i="95"/>
  <c r="J464" i="95" s="1"/>
  <c r="K470" i="95"/>
  <c r="L785" i="95"/>
  <c r="M787" i="95"/>
  <c r="I862" i="95"/>
  <c r="J863" i="95"/>
  <c r="I614" i="95"/>
  <c r="J616" i="95"/>
  <c r="I295" i="95"/>
  <c r="I294" i="95" s="1"/>
  <c r="I293" i="95" s="1"/>
  <c r="I302" i="95"/>
  <c r="I301" i="95" s="1"/>
  <c r="J290" i="95"/>
  <c r="G9" i="95"/>
  <c r="L454" i="95"/>
  <c r="I131" i="95"/>
  <c r="J133" i="95"/>
  <c r="L45" i="95"/>
  <c r="L62" i="95"/>
  <c r="L73" i="95"/>
  <c r="M31" i="95"/>
  <c r="I902" i="95"/>
  <c r="J904" i="95"/>
  <c r="I444" i="95"/>
  <c r="I443" i="95" s="1"/>
  <c r="J447" i="95"/>
  <c r="K485" i="95"/>
  <c r="L487" i="95"/>
  <c r="I315" i="59"/>
  <c r="H943" i="95"/>
  <c r="K1023" i="95"/>
  <c r="L1025" i="95"/>
  <c r="I197" i="95"/>
  <c r="J199" i="95"/>
  <c r="I179" i="95"/>
  <c r="J181" i="95"/>
  <c r="J415" i="95"/>
  <c r="K417" i="95"/>
  <c r="K652" i="95"/>
  <c r="K650" i="95" s="1"/>
  <c r="K647" i="95"/>
  <c r="K665" i="95"/>
  <c r="K659" i="95"/>
  <c r="K657" i="95" s="1"/>
  <c r="K656" i="95" s="1"/>
  <c r="L640" i="95"/>
  <c r="L729" i="95"/>
  <c r="M731" i="95"/>
  <c r="I856" i="95"/>
  <c r="J857" i="95"/>
  <c r="I343" i="59"/>
  <c r="I30" i="60"/>
  <c r="J166" i="95"/>
  <c r="K168" i="95"/>
  <c r="I781" i="95"/>
  <c r="J784" i="95"/>
  <c r="J680" i="95"/>
  <c r="J679" i="95" s="1"/>
  <c r="K681" i="95"/>
  <c r="J769" i="95"/>
  <c r="K771" i="95"/>
  <c r="I1020" i="95"/>
  <c r="J1021" i="95"/>
  <c r="I766" i="95"/>
  <c r="J768" i="95"/>
  <c r="I472" i="95"/>
  <c r="J474" i="95"/>
  <c r="J664" i="95"/>
  <c r="J674" i="95"/>
  <c r="J646" i="95"/>
  <c r="J645" i="95" s="1"/>
  <c r="J644" i="95" s="1"/>
  <c r="J641" i="95"/>
  <c r="J639" i="95" s="1"/>
  <c r="J658" i="95"/>
  <c r="K623" i="95"/>
  <c r="J1029" i="95"/>
  <c r="K1031" i="95"/>
  <c r="H123" i="95"/>
  <c r="I115" i="95"/>
  <c r="I1408" i="95"/>
  <c r="I1405" i="95" s="1"/>
  <c r="I1404" i="95" s="1"/>
  <c r="I1380" i="95" s="1"/>
  <c r="J155" i="24" s="1"/>
  <c r="M267" i="59" s="1"/>
  <c r="M322" i="59" s="1"/>
  <c r="J70" i="95"/>
  <c r="I282" i="95"/>
  <c r="I996" i="95"/>
  <c r="I993" i="95" s="1"/>
  <c r="I992" i="95" s="1"/>
  <c r="I74" i="95"/>
  <c r="I829" i="95"/>
  <c r="I826" i="95" s="1"/>
  <c r="I825" i="95" s="1"/>
  <c r="I553" i="95"/>
  <c r="I550" i="95" s="1"/>
  <c r="I549" i="95" s="1"/>
  <c r="I453" i="95"/>
  <c r="I450" i="95" s="1"/>
  <c r="I449" i="95" s="1"/>
  <c r="I773" i="95"/>
  <c r="J758" i="95"/>
  <c r="I597" i="95"/>
  <c r="J599" i="95"/>
  <c r="J987" i="95"/>
  <c r="K989" i="95"/>
  <c r="I145" i="95"/>
  <c r="J147" i="95"/>
  <c r="I392" i="95"/>
  <c r="J394" i="95"/>
  <c r="I972" i="95"/>
  <c r="J974" i="95"/>
  <c r="J362" i="95"/>
  <c r="K364" i="95"/>
  <c r="J478" i="95"/>
  <c r="J477" i="95" s="1"/>
  <c r="K480" i="95"/>
  <c r="J1003" i="95"/>
  <c r="J1002" i="95" s="1"/>
  <c r="K1005" i="95"/>
  <c r="H178" i="95"/>
  <c r="M81" i="95"/>
  <c r="M66" i="95"/>
  <c r="M64" i="95" s="1"/>
  <c r="M50" i="95"/>
  <c r="M48" i="95" s="1"/>
  <c r="N35" i="95"/>
  <c r="K368" i="95"/>
  <c r="L370" i="95"/>
  <c r="J409" i="95"/>
  <c r="K411" i="95"/>
  <c r="L995" i="95"/>
  <c r="L964" i="95"/>
  <c r="L962" i="95" s="1"/>
  <c r="L985" i="95"/>
  <c r="L983" i="95" s="1"/>
  <c r="M949" i="95"/>
  <c r="I1026" i="95"/>
  <c r="J1027" i="95"/>
  <c r="K203" i="95"/>
  <c r="L205" i="95"/>
  <c r="L343" i="59"/>
  <c r="L217" i="59" s="1"/>
  <c r="L30" i="60"/>
  <c r="H772" i="95"/>
  <c r="H762" i="95" s="1"/>
  <c r="H801" i="95"/>
  <c r="H800" i="95" s="1"/>
  <c r="H789" i="95" s="1"/>
  <c r="I560" i="95"/>
  <c r="I559" i="95" s="1"/>
  <c r="J562" i="95"/>
  <c r="L209" i="95"/>
  <c r="M211" i="95"/>
  <c r="I38" i="95"/>
  <c r="J40" i="95"/>
  <c r="H936" i="95"/>
  <c r="H1040" i="95"/>
  <c r="H1039" i="95" s="1"/>
  <c r="H1056" i="95" s="1"/>
  <c r="H1055" i="95" s="1"/>
  <c r="H1061" i="95"/>
  <c r="H1060" i="95" s="1"/>
  <c r="H1059" i="95" s="1"/>
  <c r="H1075" i="95"/>
  <c r="H1074" i="95" s="1"/>
  <c r="H1073" i="95" s="1"/>
  <c r="I1041" i="95"/>
  <c r="N104" i="95"/>
  <c r="O109" i="95"/>
  <c r="I437" i="95"/>
  <c r="I436" i="95" s="1"/>
  <c r="J440" i="95"/>
  <c r="I159" i="95"/>
  <c r="J161" i="95"/>
  <c r="I777" i="95"/>
  <c r="J779" i="95"/>
  <c r="I704" i="95"/>
  <c r="J706" i="95"/>
  <c r="K337" i="59"/>
  <c r="K212" i="59" s="1"/>
  <c r="K24" i="60"/>
  <c r="I232" i="95"/>
  <c r="J234" i="95"/>
  <c r="I716" i="95"/>
  <c r="I708" i="95" s="1"/>
  <c r="I725" i="95" s="1"/>
  <c r="I724" i="95" s="1"/>
  <c r="J718" i="95"/>
  <c r="I577" i="95"/>
  <c r="J579" i="95"/>
  <c r="I320" i="59"/>
  <c r="I698" i="95"/>
  <c r="J699" i="95"/>
  <c r="K281" i="95"/>
  <c r="K268" i="95"/>
  <c r="K275" i="95"/>
  <c r="L261" i="95"/>
  <c r="J28" i="60"/>
  <c r="J341" i="59"/>
  <c r="J314" i="95"/>
  <c r="K316" i="95"/>
  <c r="L554" i="95"/>
  <c r="H211" i="59"/>
  <c r="H382" i="59"/>
  <c r="I34" i="95"/>
  <c r="J37" i="95"/>
  <c r="L138" i="95"/>
  <c r="M140" i="95"/>
  <c r="L374" i="95"/>
  <c r="M376" i="95"/>
  <c r="L830" i="95"/>
  <c r="I948" i="95"/>
  <c r="J951" i="95"/>
  <c r="L812" i="95"/>
  <c r="M813" i="95"/>
  <c r="I1008" i="95"/>
  <c r="I1007" i="95" s="1"/>
  <c r="J1009" i="95"/>
  <c r="J565" i="95"/>
  <c r="J564" i="95" s="1"/>
  <c r="K566" i="95"/>
  <c r="H213" i="59"/>
  <c r="I877" i="95"/>
  <c r="J879" i="95"/>
  <c r="I431" i="95"/>
  <c r="I430" i="95" s="1"/>
  <c r="J434" i="95"/>
  <c r="J255" i="95"/>
  <c r="J254" i="95" s="1"/>
  <c r="K257" i="95"/>
  <c r="H337" i="59"/>
  <c r="H24" i="60"/>
  <c r="J226" i="95"/>
  <c r="K228" i="95"/>
  <c r="M75" i="95"/>
  <c r="J349" i="95"/>
  <c r="K351" i="95"/>
  <c r="H576" i="95"/>
  <c r="H593" i="95" s="1"/>
  <c r="H592" i="95" s="1"/>
  <c r="J44" i="95"/>
  <c r="J99" i="95"/>
  <c r="J98" i="95" s="1"/>
  <c r="J97" i="95" s="1"/>
  <c r="J117" i="95"/>
  <c r="J116" i="95" s="1"/>
  <c r="J120" i="95"/>
  <c r="J119" i="95" s="1"/>
  <c r="K12" i="95"/>
  <c r="J382" i="59"/>
  <c r="J383" i="59" s="1"/>
  <c r="J384" i="59" s="1"/>
  <c r="J211" i="59"/>
  <c r="I321" i="95"/>
  <c r="J323" i="95"/>
  <c r="H1019" i="95"/>
  <c r="I1032" i="95"/>
  <c r="J1033" i="95"/>
  <c r="K124" i="95"/>
  <c r="L126" i="95"/>
  <c r="I152" i="95"/>
  <c r="J154" i="95"/>
  <c r="H27" i="60"/>
  <c r="H340" i="59"/>
  <c r="J512" i="95"/>
  <c r="K514" i="95"/>
  <c r="I673" i="95"/>
  <c r="I672" i="95" s="1"/>
  <c r="I688" i="95"/>
  <c r="I687" i="95" s="1"/>
  <c r="J25" i="95"/>
  <c r="K27" i="95"/>
  <c r="G40" i="60"/>
  <c r="I22" i="95"/>
  <c r="I21" i="95" s="1"/>
  <c r="J24" i="95"/>
  <c r="I584" i="95"/>
  <c r="J586" i="95"/>
  <c r="I526" i="95"/>
  <c r="I525" i="95" s="1"/>
  <c r="J528" i="95"/>
  <c r="M552" i="95"/>
  <c r="M539" i="95"/>
  <c r="M537" i="95" s="1"/>
  <c r="M536" i="95" s="1"/>
  <c r="M546" i="95"/>
  <c r="M544" i="95" s="1"/>
  <c r="M543" i="95" s="1"/>
  <c r="N532" i="95"/>
  <c r="G929" i="95"/>
  <c r="H153" i="24" s="1"/>
  <c r="K265" i="59" s="1"/>
  <c r="K320" i="59" s="1"/>
  <c r="I215" i="95"/>
  <c r="J217" i="95"/>
  <c r="J934" i="95"/>
  <c r="I940" i="95"/>
  <c r="M498" i="95"/>
  <c r="N500" i="95"/>
  <c r="J223" i="95"/>
  <c r="K225" i="95"/>
  <c r="H419" i="95"/>
  <c r="I149" i="24" s="1"/>
  <c r="L261" i="59" s="1"/>
  <c r="L316" i="59" s="1"/>
  <c r="I572" i="95"/>
  <c r="J574" i="95"/>
  <c r="J314" i="59"/>
  <c r="K711" i="95" l="1"/>
  <c r="I279" i="95"/>
  <c r="I278" i="95" s="1"/>
  <c r="J307" i="95"/>
  <c r="J306" i="95" s="1"/>
  <c r="J310" i="95"/>
  <c r="J309" i="95" s="1"/>
  <c r="K248" i="95"/>
  <c r="J267" i="95"/>
  <c r="J266" i="95" s="1"/>
  <c r="J265" i="95" s="1"/>
  <c r="J280" i="95"/>
  <c r="J262" i="95"/>
  <c r="J260" i="95" s="1"/>
  <c r="J259" i="95" s="1"/>
  <c r="J274" i="95"/>
  <c r="J273" i="95" s="1"/>
  <c r="J272" i="95" s="1"/>
  <c r="K850" i="95"/>
  <c r="L850" i="95" s="1"/>
  <c r="I305" i="95"/>
  <c r="I915" i="95"/>
  <c r="H22" i="60"/>
  <c r="H40" i="60" s="1"/>
  <c r="H332" i="59"/>
  <c r="K18" i="95"/>
  <c r="K32" i="95" s="1"/>
  <c r="J61" i="95"/>
  <c r="J60" i="95" s="1"/>
  <c r="J59" i="95" s="1"/>
  <c r="K339" i="59"/>
  <c r="K214" i="59" s="1"/>
  <c r="J978" i="95"/>
  <c r="I742" i="95"/>
  <c r="I776" i="95"/>
  <c r="K1037" i="95"/>
  <c r="J1035" i="95"/>
  <c r="J403" i="95"/>
  <c r="K405" i="95"/>
  <c r="J426" i="95"/>
  <c r="J425" i="95" s="1"/>
  <c r="K428" i="95"/>
  <c r="J743" i="95"/>
  <c r="K745" i="95"/>
  <c r="K517" i="95"/>
  <c r="J515" i="95"/>
  <c r="J511" i="95" s="1"/>
  <c r="I596" i="95"/>
  <c r="I313" i="95"/>
  <c r="I358" i="95" s="1"/>
  <c r="I357" i="95" s="1"/>
  <c r="J925" i="95"/>
  <c r="K927" i="95"/>
  <c r="J633" i="95"/>
  <c r="J632" i="95" s="1"/>
  <c r="K635" i="95"/>
  <c r="I610" i="95"/>
  <c r="I901" i="95"/>
  <c r="I361" i="95"/>
  <c r="J460" i="95"/>
  <c r="J459" i="95" s="1"/>
  <c r="K462" i="95"/>
  <c r="I881" i="95"/>
  <c r="I898" i="95" s="1"/>
  <c r="I897" i="95" s="1"/>
  <c r="J611" i="95"/>
  <c r="K613" i="95"/>
  <c r="I222" i="95"/>
  <c r="I695" i="95"/>
  <c r="J696" i="95"/>
  <c r="J916" i="95"/>
  <c r="K918" i="95"/>
  <c r="H245" i="95"/>
  <c r="I148" i="24" s="1"/>
  <c r="L260" i="59" s="1"/>
  <c r="J836" i="95"/>
  <c r="J835" i="95" s="1"/>
  <c r="K838" i="95"/>
  <c r="K240" i="95"/>
  <c r="J238" i="95"/>
  <c r="J335" i="95"/>
  <c r="K337" i="95"/>
  <c r="J380" i="95"/>
  <c r="K382" i="95"/>
  <c r="I852" i="95"/>
  <c r="J386" i="95"/>
  <c r="K388" i="95"/>
  <c r="K979" i="95"/>
  <c r="L981" i="95"/>
  <c r="J666" i="95"/>
  <c r="J663" i="95" s="1"/>
  <c r="J662" i="95" s="1"/>
  <c r="K667" i="95"/>
  <c r="K1015" i="95"/>
  <c r="L1017" i="95"/>
  <c r="J185" i="95"/>
  <c r="K187" i="95"/>
  <c r="J952" i="95"/>
  <c r="K955" i="95"/>
  <c r="K891" i="95"/>
  <c r="J889" i="95"/>
  <c r="H692" i="95"/>
  <c r="H691" i="95" s="1"/>
  <c r="H618" i="95" s="1"/>
  <c r="I151" i="24" s="1"/>
  <c r="L263" i="59" s="1"/>
  <c r="L318" i="59" s="1"/>
  <c r="L339" i="59" s="1"/>
  <c r="L214" i="59" s="1"/>
  <c r="I693" i="95"/>
  <c r="K868" i="95"/>
  <c r="L869" i="95"/>
  <c r="I419" i="95"/>
  <c r="J149" i="24" s="1"/>
  <c r="M261" i="59" s="1"/>
  <c r="M316" i="59" s="1"/>
  <c r="M24" i="60" s="1"/>
  <c r="H750" i="95"/>
  <c r="I152" i="24" s="1"/>
  <c r="L264" i="59" s="1"/>
  <c r="L319" i="59" s="1"/>
  <c r="K25" i="95"/>
  <c r="L27" i="95"/>
  <c r="J704" i="95"/>
  <c r="K706" i="95"/>
  <c r="J145" i="95"/>
  <c r="K147" i="95"/>
  <c r="I772" i="95"/>
  <c r="I762" i="95" s="1"/>
  <c r="I801" i="95"/>
  <c r="I800" i="95" s="1"/>
  <c r="I789" i="95" s="1"/>
  <c r="M785" i="95"/>
  <c r="N787" i="95"/>
  <c r="J22" i="60"/>
  <c r="J335" i="59"/>
  <c r="K934" i="95"/>
  <c r="J940" i="95"/>
  <c r="J526" i="95"/>
  <c r="J525" i="95" s="1"/>
  <c r="K528" i="95"/>
  <c r="K565" i="95"/>
  <c r="K564" i="95" s="1"/>
  <c r="L566" i="95"/>
  <c r="J948" i="95"/>
  <c r="K951" i="95"/>
  <c r="O104" i="95"/>
  <c r="P109" i="95"/>
  <c r="J38" i="95"/>
  <c r="K40" i="95"/>
  <c r="M729" i="95"/>
  <c r="N731" i="95"/>
  <c r="L1023" i="95"/>
  <c r="M1025" i="95"/>
  <c r="M45" i="95"/>
  <c r="M73" i="95"/>
  <c r="M62" i="95"/>
  <c r="N31" i="95"/>
  <c r="M454" i="95"/>
  <c r="J862" i="95"/>
  <c r="K863" i="95"/>
  <c r="K871" i="95"/>
  <c r="L873" i="95"/>
  <c r="J735" i="95"/>
  <c r="J728" i="95" s="1"/>
  <c r="K737" i="95"/>
  <c r="K342" i="95"/>
  <c r="L344" i="95"/>
  <c r="G519" i="95"/>
  <c r="G7" i="95" s="1"/>
  <c r="J289" i="95"/>
  <c r="J288" i="95" s="1"/>
  <c r="K291" i="95"/>
  <c r="J865" i="95"/>
  <c r="K866" i="95"/>
  <c r="J215" i="95"/>
  <c r="K217" i="95"/>
  <c r="H215" i="59"/>
  <c r="J1026" i="95"/>
  <c r="K1027" i="95"/>
  <c r="J773" i="95"/>
  <c r="K758" i="95"/>
  <c r="K680" i="95"/>
  <c r="K679" i="95" s="1"/>
  <c r="L681" i="95"/>
  <c r="K415" i="95"/>
  <c r="L417" i="95"/>
  <c r="K797" i="95"/>
  <c r="K795" i="95" s="1"/>
  <c r="K818" i="95"/>
  <c r="K816" i="95" s="1"/>
  <c r="K828" i="95"/>
  <c r="L782" i="95"/>
  <c r="K349" i="95"/>
  <c r="L351" i="95"/>
  <c r="J944" i="95"/>
  <c r="K947" i="95"/>
  <c r="J746" i="95"/>
  <c r="K748" i="95"/>
  <c r="J882" i="95"/>
  <c r="K884" i="95"/>
  <c r="J531" i="95"/>
  <c r="J530" i="95" s="1"/>
  <c r="K534" i="95"/>
  <c r="J22" i="95"/>
  <c r="J21" i="95" s="1"/>
  <c r="K24" i="95"/>
  <c r="H212" i="59"/>
  <c r="M830" i="95"/>
  <c r="M995" i="95"/>
  <c r="M985" i="95"/>
  <c r="M983" i="95" s="1"/>
  <c r="M964" i="95"/>
  <c r="M962" i="95" s="1"/>
  <c r="N949" i="95"/>
  <c r="J688" i="95"/>
  <c r="J687" i="95" s="1"/>
  <c r="J673" i="95"/>
  <c r="J672" i="95" s="1"/>
  <c r="I217" i="59"/>
  <c r="J179" i="95"/>
  <c r="K181" i="95"/>
  <c r="J302" i="95"/>
  <c r="J301" i="95" s="1"/>
  <c r="J295" i="95"/>
  <c r="J294" i="95" s="1"/>
  <c r="J293" i="95" s="1"/>
  <c r="K290" i="95"/>
  <c r="I22" i="60"/>
  <c r="I332" i="59"/>
  <c r="I335" i="59"/>
  <c r="J874" i="95"/>
  <c r="K875" i="95"/>
  <c r="I943" i="95"/>
  <c r="J603" i="95"/>
  <c r="K605" i="95"/>
  <c r="J763" i="95"/>
  <c r="K765" i="95"/>
  <c r="J82" i="95"/>
  <c r="J79" i="95" s="1"/>
  <c r="K83" i="95"/>
  <c r="K235" i="95"/>
  <c r="L237" i="95"/>
  <c r="H152" i="24"/>
  <c r="K264" i="59" s="1"/>
  <c r="K70" i="95"/>
  <c r="J1408" i="95"/>
  <c r="J1405" i="95" s="1"/>
  <c r="J1404" i="95" s="1"/>
  <c r="J1380" i="95" s="1"/>
  <c r="K155" i="24" s="1"/>
  <c r="N267" i="59" s="1"/>
  <c r="N322" i="59" s="1"/>
  <c r="J282" i="95"/>
  <c r="J996" i="95"/>
  <c r="J993" i="95" s="1"/>
  <c r="J992" i="95" s="1"/>
  <c r="J74" i="95"/>
  <c r="J829" i="95"/>
  <c r="J826" i="95" s="1"/>
  <c r="J825" i="95" s="1"/>
  <c r="J553" i="95"/>
  <c r="J550" i="95" s="1"/>
  <c r="J549" i="95" s="1"/>
  <c r="J453" i="95"/>
  <c r="J450" i="95" s="1"/>
  <c r="J449" i="95" s="1"/>
  <c r="J1008" i="95"/>
  <c r="J1007" i="95" s="1"/>
  <c r="K1009" i="95"/>
  <c r="L647" i="95"/>
  <c r="L659" i="95"/>
  <c r="L657" i="95" s="1"/>
  <c r="L656" i="95" s="1"/>
  <c r="L652" i="95"/>
  <c r="L650" i="95" s="1"/>
  <c r="L665" i="95"/>
  <c r="M640" i="95"/>
  <c r="J444" i="95"/>
  <c r="J443" i="95" s="1"/>
  <c r="K447" i="95"/>
  <c r="L191" i="95"/>
  <c r="M193" i="95"/>
  <c r="H374" i="59"/>
  <c r="H353" i="59"/>
  <c r="H356" i="59" s="1"/>
  <c r="H144" i="60" s="1"/>
  <c r="H27" i="68" s="1"/>
  <c r="H210" i="59"/>
  <c r="J115" i="95"/>
  <c r="I341" i="59"/>
  <c r="I28" i="60"/>
  <c r="L368" i="95"/>
  <c r="M370" i="95"/>
  <c r="K1003" i="95"/>
  <c r="K1002" i="95" s="1"/>
  <c r="L1005" i="95"/>
  <c r="J972" i="95"/>
  <c r="K974" i="95"/>
  <c r="K987" i="95"/>
  <c r="L989" i="95"/>
  <c r="H175" i="95"/>
  <c r="H174" i="95" s="1"/>
  <c r="H9" i="95" s="1"/>
  <c r="I178" i="95"/>
  <c r="J902" i="95"/>
  <c r="K904" i="95"/>
  <c r="K504" i="95"/>
  <c r="K497" i="95" s="1"/>
  <c r="L506" i="95"/>
  <c r="K853" i="95"/>
  <c r="L854" i="95"/>
  <c r="J412" i="95"/>
  <c r="K414" i="95"/>
  <c r="K636" i="95"/>
  <c r="L638" i="95"/>
  <c r="J859" i="95"/>
  <c r="K860" i="95"/>
  <c r="J400" i="95"/>
  <c r="K402" i="95"/>
  <c r="J241" i="95"/>
  <c r="K243" i="95"/>
  <c r="K223" i="95"/>
  <c r="L225" i="95"/>
  <c r="K314" i="95"/>
  <c r="L316" i="95"/>
  <c r="J957" i="95"/>
  <c r="K959" i="95"/>
  <c r="G223" i="59"/>
  <c r="K120" i="95"/>
  <c r="K119" i="95" s="1"/>
  <c r="K44" i="95"/>
  <c r="K117" i="95"/>
  <c r="K116" i="95" s="1"/>
  <c r="K99" i="95"/>
  <c r="K98" i="95" s="1"/>
  <c r="K97" i="95" s="1"/>
  <c r="L12" i="95"/>
  <c r="M209" i="95"/>
  <c r="N211" i="95"/>
  <c r="J841" i="95"/>
  <c r="J840" i="95" s="1"/>
  <c r="K842" i="95"/>
  <c r="K341" i="59"/>
  <c r="K28" i="60"/>
  <c r="J152" i="95"/>
  <c r="K154" i="95"/>
  <c r="J572" i="95"/>
  <c r="K574" i="95"/>
  <c r="N498" i="95"/>
  <c r="O500" i="95"/>
  <c r="L124" i="95"/>
  <c r="M126" i="95"/>
  <c r="N75" i="95"/>
  <c r="L257" i="95"/>
  <c r="K255" i="95"/>
  <c r="K254" i="95" s="1"/>
  <c r="M812" i="95"/>
  <c r="N813" i="95"/>
  <c r="M374" i="95"/>
  <c r="N376" i="95"/>
  <c r="H383" i="59"/>
  <c r="H384" i="59" s="1"/>
  <c r="L281" i="95"/>
  <c r="L268" i="95"/>
  <c r="L275" i="95"/>
  <c r="M261" i="95"/>
  <c r="J577" i="95"/>
  <c r="K579" i="95"/>
  <c r="K1029" i="95"/>
  <c r="L1031" i="95"/>
  <c r="K474" i="95"/>
  <c r="J472" i="95"/>
  <c r="J781" i="95"/>
  <c r="K784" i="95"/>
  <c r="J197" i="95"/>
  <c r="K199" i="95"/>
  <c r="J131" i="95"/>
  <c r="K133" i="95"/>
  <c r="J229" i="95"/>
  <c r="K231" i="95"/>
  <c r="H519" i="95"/>
  <c r="I150" i="24" s="1"/>
  <c r="L262" i="59" s="1"/>
  <c r="L317" i="59" s="1"/>
  <c r="J328" i="95"/>
  <c r="K330" i="95"/>
  <c r="I399" i="95"/>
  <c r="J318" i="59"/>
  <c r="J332" i="59" s="1"/>
  <c r="L53" i="95"/>
  <c r="M56" i="95"/>
  <c r="K23" i="60"/>
  <c r="K336" i="59"/>
  <c r="J1020" i="95"/>
  <c r="K1021" i="95"/>
  <c r="M30" i="60"/>
  <c r="M343" i="59"/>
  <c r="M217" i="59" s="1"/>
  <c r="K406" i="95"/>
  <c r="L408" i="95"/>
  <c r="J805" i="95"/>
  <c r="K807" i="95"/>
  <c r="N546" i="95"/>
  <c r="N544" i="95" s="1"/>
  <c r="N543" i="95" s="1"/>
  <c r="N539" i="95"/>
  <c r="N537" i="95" s="1"/>
  <c r="N536" i="95" s="1"/>
  <c r="N552" i="95"/>
  <c r="O532" i="95"/>
  <c r="K512" i="95"/>
  <c r="L514" i="95"/>
  <c r="J321" i="95"/>
  <c r="K323" i="95"/>
  <c r="J72" i="95"/>
  <c r="J43" i="95"/>
  <c r="J42" i="95" s="1"/>
  <c r="K848" i="95"/>
  <c r="I576" i="95"/>
  <c r="I593" i="95" s="1"/>
  <c r="I592" i="95" s="1"/>
  <c r="J232" i="95"/>
  <c r="K234" i="95"/>
  <c r="J437" i="95"/>
  <c r="J436" i="95" s="1"/>
  <c r="K440" i="95"/>
  <c r="N66" i="95"/>
  <c r="N64" i="95" s="1"/>
  <c r="N81" i="95"/>
  <c r="N50" i="95"/>
  <c r="N48" i="95" s="1"/>
  <c r="O35" i="95"/>
  <c r="K478" i="95"/>
  <c r="K477" i="95" s="1"/>
  <c r="K494" i="95" s="1"/>
  <c r="K493" i="95" s="1"/>
  <c r="L480" i="95"/>
  <c r="J392" i="95"/>
  <c r="K394" i="95"/>
  <c r="I71" i="95"/>
  <c r="I69" i="95" s="1"/>
  <c r="K769" i="95"/>
  <c r="L771" i="95"/>
  <c r="J856" i="95"/>
  <c r="K857" i="95"/>
  <c r="I23" i="60"/>
  <c r="I336" i="59"/>
  <c r="I123" i="95"/>
  <c r="I175" i="95" s="1"/>
  <c r="I174" i="95" s="1"/>
  <c r="J614" i="95"/>
  <c r="K616" i="95"/>
  <c r="K465" i="95"/>
  <c r="K464" i="95" s="1"/>
  <c r="L470" i="95"/>
  <c r="I112" i="95"/>
  <c r="I111" i="95" s="1"/>
  <c r="I89" i="95"/>
  <c r="I88" i="95" s="1"/>
  <c r="J908" i="95"/>
  <c r="K910" i="95"/>
  <c r="K920" i="95"/>
  <c r="K919" i="95" s="1"/>
  <c r="K922" i="95"/>
  <c r="L923" i="95"/>
  <c r="J790" i="95"/>
  <c r="K792" i="95"/>
  <c r="J820" i="95"/>
  <c r="J811" i="95" s="1"/>
  <c r="K821" i="95"/>
  <c r="K701" i="95"/>
  <c r="L703" i="95"/>
  <c r="N997" i="95"/>
  <c r="J183" i="60"/>
  <c r="J34" i="95"/>
  <c r="K37" i="95"/>
  <c r="J698" i="95"/>
  <c r="K699" i="95"/>
  <c r="J159" i="95"/>
  <c r="K161" i="95"/>
  <c r="K362" i="95"/>
  <c r="L364" i="95"/>
  <c r="K630" i="95"/>
  <c r="J628" i="95"/>
  <c r="J627" i="95" s="1"/>
  <c r="J877" i="95"/>
  <c r="K879" i="95"/>
  <c r="J716" i="95"/>
  <c r="J708" i="95" s="1"/>
  <c r="J725" i="95" s="1"/>
  <c r="J724" i="95" s="1"/>
  <c r="K718" i="95"/>
  <c r="I936" i="95"/>
  <c r="I1040" i="95"/>
  <c r="I1039" i="95" s="1"/>
  <c r="I1056" i="95" s="1"/>
  <c r="I1055" i="95" s="1"/>
  <c r="I1075" i="95"/>
  <c r="I1074" i="95" s="1"/>
  <c r="I1073" i="95" s="1"/>
  <c r="I1061" i="95"/>
  <c r="I1060" i="95" s="1"/>
  <c r="I1059" i="95" s="1"/>
  <c r="J1041" i="95"/>
  <c r="I1019" i="95"/>
  <c r="H147" i="24"/>
  <c r="K259" i="59" s="1"/>
  <c r="L24" i="60"/>
  <c r="L337" i="59"/>
  <c r="L212" i="59" s="1"/>
  <c r="I968" i="95"/>
  <c r="I967" i="95" s="1"/>
  <c r="I956" i="95" s="1"/>
  <c r="I939" i="95"/>
  <c r="I938" i="95" s="1"/>
  <c r="J584" i="95"/>
  <c r="K586" i="95"/>
  <c r="G117" i="60"/>
  <c r="G48" i="73"/>
  <c r="E5" i="80"/>
  <c r="J1032" i="95"/>
  <c r="K1033" i="95"/>
  <c r="J90" i="95"/>
  <c r="J30" i="95"/>
  <c r="K226" i="95"/>
  <c r="L228" i="95"/>
  <c r="J431" i="95"/>
  <c r="J430" i="95" s="1"/>
  <c r="K434" i="95"/>
  <c r="M138" i="95"/>
  <c r="N140" i="95"/>
  <c r="M554" i="95"/>
  <c r="J777" i="95"/>
  <c r="K779" i="95"/>
  <c r="J560" i="95"/>
  <c r="J559" i="95" s="1"/>
  <c r="K562" i="95"/>
  <c r="L203" i="95"/>
  <c r="M205" i="95"/>
  <c r="K409" i="95"/>
  <c r="L411" i="95"/>
  <c r="J494" i="95"/>
  <c r="J493" i="95" s="1"/>
  <c r="J597" i="95"/>
  <c r="K599" i="95"/>
  <c r="K658" i="95"/>
  <c r="K664" i="95"/>
  <c r="K674" i="95"/>
  <c r="K641" i="95"/>
  <c r="K639" i="95" s="1"/>
  <c r="K646" i="95"/>
  <c r="K645" i="95" s="1"/>
  <c r="K644" i="95" s="1"/>
  <c r="L623" i="95"/>
  <c r="J766" i="95"/>
  <c r="K768" i="95"/>
  <c r="K166" i="95"/>
  <c r="L168" i="95"/>
  <c r="L485" i="95"/>
  <c r="M487" i="95"/>
  <c r="I29" i="95"/>
  <c r="N283" i="95"/>
  <c r="K709" i="95"/>
  <c r="L711" i="95"/>
  <c r="G356" i="59"/>
  <c r="H929" i="95"/>
  <c r="I153" i="24" s="1"/>
  <c r="L265" i="59" s="1"/>
  <c r="L320" i="59" s="1"/>
  <c r="J279" i="95" l="1"/>
  <c r="J278" i="95" s="1"/>
  <c r="J742" i="95"/>
  <c r="K307" i="95"/>
  <c r="K306" i="95" s="1"/>
  <c r="K310" i="95"/>
  <c r="K309" i="95" s="1"/>
  <c r="K267" i="95"/>
  <c r="K266" i="95" s="1"/>
  <c r="K265" i="95" s="1"/>
  <c r="K262" i="95"/>
  <c r="K260" i="95" s="1"/>
  <c r="K259" i="95" s="1"/>
  <c r="L248" i="95"/>
  <c r="K274" i="95"/>
  <c r="K273" i="95" s="1"/>
  <c r="K272" i="95" s="1"/>
  <c r="K280" i="95"/>
  <c r="J305" i="95"/>
  <c r="K978" i="95"/>
  <c r="J596" i="95"/>
  <c r="J881" i="95"/>
  <c r="J898" i="95" s="1"/>
  <c r="J897" i="95" s="1"/>
  <c r="L18" i="95"/>
  <c r="L32" i="95" s="1"/>
  <c r="K61" i="95"/>
  <c r="J610" i="95"/>
  <c r="I245" i="95"/>
  <c r="J148" i="24" s="1"/>
  <c r="M260" i="59" s="1"/>
  <c r="M315" i="59" s="1"/>
  <c r="J915" i="95"/>
  <c r="L1037" i="95"/>
  <c r="K1035" i="95"/>
  <c r="K515" i="95"/>
  <c r="K511" i="95" s="1"/>
  <c r="L517" i="95"/>
  <c r="L745" i="95"/>
  <c r="K743" i="95"/>
  <c r="K426" i="95"/>
  <c r="K425" i="95" s="1"/>
  <c r="L428" i="95"/>
  <c r="L405" i="95"/>
  <c r="K403" i="95"/>
  <c r="L26" i="60"/>
  <c r="K925" i="95"/>
  <c r="L927" i="95"/>
  <c r="J313" i="95"/>
  <c r="J358" i="95" s="1"/>
  <c r="J357" i="95" s="1"/>
  <c r="K633" i="95"/>
  <c r="K632" i="95" s="1"/>
  <c r="L635" i="95"/>
  <c r="J776" i="95"/>
  <c r="K460" i="95"/>
  <c r="K459" i="95" s="1"/>
  <c r="L462" i="95"/>
  <c r="J695" i="95"/>
  <c r="K696" i="95"/>
  <c r="J361" i="95"/>
  <c r="J943" i="95"/>
  <c r="K916" i="95"/>
  <c r="L918" i="95"/>
  <c r="M337" i="59"/>
  <c r="M212" i="59" s="1"/>
  <c r="L613" i="95"/>
  <c r="K611" i="95"/>
  <c r="J399" i="95"/>
  <c r="K889" i="95"/>
  <c r="L891" i="95"/>
  <c r="K335" i="95"/>
  <c r="L337" i="95"/>
  <c r="K952" i="95"/>
  <c r="L955" i="95"/>
  <c r="L979" i="95"/>
  <c r="M981" i="95"/>
  <c r="J419" i="95"/>
  <c r="K149" i="24" s="1"/>
  <c r="N261" i="59" s="1"/>
  <c r="N316" i="59" s="1"/>
  <c r="L868" i="95"/>
  <c r="M869" i="95"/>
  <c r="K185" i="95"/>
  <c r="L187" i="95"/>
  <c r="L388" i="95"/>
  <c r="K386" i="95"/>
  <c r="K238" i="95"/>
  <c r="L240" i="95"/>
  <c r="J576" i="95"/>
  <c r="J593" i="95" s="1"/>
  <c r="J592" i="95" s="1"/>
  <c r="K115" i="95"/>
  <c r="H7" i="95"/>
  <c r="K836" i="95"/>
  <c r="K835" i="95" s="1"/>
  <c r="L838" i="95"/>
  <c r="I692" i="95"/>
  <c r="I691" i="95" s="1"/>
  <c r="I618" i="95" s="1"/>
  <c r="J151" i="24" s="1"/>
  <c r="M263" i="59" s="1"/>
  <c r="J693" i="95"/>
  <c r="L1015" i="95"/>
  <c r="M1017" i="95"/>
  <c r="J222" i="95"/>
  <c r="L382" i="95"/>
  <c r="K380" i="95"/>
  <c r="J29" i="95"/>
  <c r="J852" i="95"/>
  <c r="I519" i="95"/>
  <c r="J150" i="24" s="1"/>
  <c r="M262" i="59" s="1"/>
  <c r="M317" i="59" s="1"/>
  <c r="M25" i="60" s="1"/>
  <c r="K666" i="95"/>
  <c r="K663" i="95" s="1"/>
  <c r="K662" i="95" s="1"/>
  <c r="L667" i="95"/>
  <c r="I147" i="24"/>
  <c r="L259" i="59" s="1"/>
  <c r="K392" i="95"/>
  <c r="L394" i="95"/>
  <c r="K766" i="95"/>
  <c r="L768" i="95"/>
  <c r="K1020" i="95"/>
  <c r="L1021" i="95"/>
  <c r="K957" i="95"/>
  <c r="L959" i="95"/>
  <c r="L658" i="95"/>
  <c r="L641" i="95"/>
  <c r="L639" i="95" s="1"/>
  <c r="L664" i="95"/>
  <c r="L646" i="95"/>
  <c r="L645" i="95" s="1"/>
  <c r="L644" i="95" s="1"/>
  <c r="L674" i="95"/>
  <c r="M623" i="95"/>
  <c r="K777" i="95"/>
  <c r="L779" i="95"/>
  <c r="L226" i="95"/>
  <c r="M228" i="95"/>
  <c r="K877" i="95"/>
  <c r="L879" i="95"/>
  <c r="L769" i="95"/>
  <c r="M771" i="95"/>
  <c r="L255" i="95"/>
  <c r="L254" i="95" s="1"/>
  <c r="M257" i="95"/>
  <c r="K841" i="95"/>
  <c r="K840" i="95" s="1"/>
  <c r="L842" i="95"/>
  <c r="L987" i="95"/>
  <c r="M989" i="95"/>
  <c r="I9" i="95"/>
  <c r="K444" i="95"/>
  <c r="K443" i="95" s="1"/>
  <c r="L447" i="95"/>
  <c r="I374" i="59"/>
  <c r="I375" i="59" s="1"/>
  <c r="I376" i="59" s="1"/>
  <c r="I353" i="59"/>
  <c r="I210" i="59"/>
  <c r="N830" i="95"/>
  <c r="K531" i="95"/>
  <c r="K530" i="95" s="1"/>
  <c r="L534" i="95"/>
  <c r="K773" i="95"/>
  <c r="L758" i="95"/>
  <c r="K865" i="95"/>
  <c r="L866" i="95"/>
  <c r="N454" i="95"/>
  <c r="L166" i="95"/>
  <c r="M168" i="95"/>
  <c r="K584" i="95"/>
  <c r="L586" i="95"/>
  <c r="K698" i="95"/>
  <c r="L699" i="95"/>
  <c r="M485" i="95"/>
  <c r="N487" i="95"/>
  <c r="L409" i="95"/>
  <c r="M411" i="95"/>
  <c r="J936" i="95"/>
  <c r="J1040" i="95"/>
  <c r="J1039" i="95" s="1"/>
  <c r="J1056" i="95" s="1"/>
  <c r="J1055" i="95" s="1"/>
  <c r="J1075" i="95"/>
  <c r="J1074" i="95" s="1"/>
  <c r="J1073" i="95" s="1"/>
  <c r="J1061" i="95"/>
  <c r="J1060" i="95" s="1"/>
  <c r="J1059" i="95" s="1"/>
  <c r="K1041" i="95"/>
  <c r="K159" i="95"/>
  <c r="L161" i="95"/>
  <c r="O997" i="95"/>
  <c r="L406" i="95"/>
  <c r="M408" i="95"/>
  <c r="J339" i="59"/>
  <c r="J353" i="59" s="1"/>
  <c r="J356" i="59" s="1"/>
  <c r="J144" i="60" s="1"/>
  <c r="J27" i="68" s="1"/>
  <c r="J26" i="60"/>
  <c r="J40" i="60" s="1"/>
  <c r="H385" i="59"/>
  <c r="H390" i="59" s="1"/>
  <c r="H183" i="60"/>
  <c r="O75" i="95"/>
  <c r="K43" i="95"/>
  <c r="K42" i="95" s="1"/>
  <c r="K72" i="95"/>
  <c r="L223" i="95"/>
  <c r="M225" i="95"/>
  <c r="L853" i="95"/>
  <c r="M854" i="95"/>
  <c r="K319" i="59"/>
  <c r="K763" i="95"/>
  <c r="L765" i="95"/>
  <c r="K179" i="95"/>
  <c r="L181" i="95"/>
  <c r="J772" i="95"/>
  <c r="J762" i="95" s="1"/>
  <c r="J801" i="95"/>
  <c r="J800" i="95" s="1"/>
  <c r="J789" i="95" s="1"/>
  <c r="K735" i="95"/>
  <c r="K728" i="95" s="1"/>
  <c r="L737" i="95"/>
  <c r="N729" i="95"/>
  <c r="O731" i="95"/>
  <c r="K526" i="95"/>
  <c r="K525" i="95" s="1"/>
  <c r="L528" i="95"/>
  <c r="L701" i="95"/>
  <c r="M703" i="95"/>
  <c r="O552" i="95"/>
  <c r="O539" i="95"/>
  <c r="O537" i="95" s="1"/>
  <c r="O536" i="95" s="1"/>
  <c r="O546" i="95"/>
  <c r="O544" i="95" s="1"/>
  <c r="O543" i="95" s="1"/>
  <c r="P532" i="95"/>
  <c r="K597" i="95"/>
  <c r="L599" i="95"/>
  <c r="K560" i="95"/>
  <c r="K559" i="95" s="1"/>
  <c r="L562" i="95"/>
  <c r="K34" i="95"/>
  <c r="L37" i="95"/>
  <c r="L709" i="95"/>
  <c r="M711" i="95"/>
  <c r="K688" i="95"/>
  <c r="K687" i="95" s="1"/>
  <c r="K673" i="95"/>
  <c r="K672" i="95" s="1"/>
  <c r="N554" i="95"/>
  <c r="K321" i="95"/>
  <c r="L323" i="95"/>
  <c r="H117" i="60"/>
  <c r="H48" i="73"/>
  <c r="F5" i="80"/>
  <c r="K472" i="95"/>
  <c r="L474" i="95"/>
  <c r="K577" i="95"/>
  <c r="L579" i="95"/>
  <c r="N374" i="95"/>
  <c r="O376" i="95"/>
  <c r="K572" i="95"/>
  <c r="L574" i="95"/>
  <c r="K859" i="95"/>
  <c r="L860" i="95"/>
  <c r="K972" i="95"/>
  <c r="L974" i="95"/>
  <c r="H223" i="59"/>
  <c r="H231" i="59" s="1"/>
  <c r="H233" i="59" s="1"/>
  <c r="H195" i="59" s="1"/>
  <c r="H198" i="59" s="1"/>
  <c r="H18" i="60" s="1"/>
  <c r="M659" i="95"/>
  <c r="M657" i="95" s="1"/>
  <c r="M656" i="95" s="1"/>
  <c r="M647" i="95"/>
  <c r="M652" i="95"/>
  <c r="M650" i="95" s="1"/>
  <c r="M665" i="95"/>
  <c r="N640" i="95"/>
  <c r="L235" i="95"/>
  <c r="M237" i="95"/>
  <c r="I40" i="60"/>
  <c r="J178" i="95"/>
  <c r="K882" i="95"/>
  <c r="L884" i="95"/>
  <c r="K1026" i="95"/>
  <c r="L1027" i="95"/>
  <c r="K289" i="95"/>
  <c r="K288" i="95" s="1"/>
  <c r="L291" i="95"/>
  <c r="N73" i="95"/>
  <c r="N62" i="95"/>
  <c r="N45" i="95"/>
  <c r="O31" i="95"/>
  <c r="M124" i="95"/>
  <c r="N126" i="95"/>
  <c r="G231" i="59"/>
  <c r="L504" i="95"/>
  <c r="L497" i="95" s="1"/>
  <c r="M506" i="95"/>
  <c r="J71" i="95"/>
  <c r="J69" i="95" s="1"/>
  <c r="K603" i="95"/>
  <c r="L605" i="95"/>
  <c r="N964" i="95"/>
  <c r="N962" i="95" s="1"/>
  <c r="N995" i="95"/>
  <c r="N985" i="95"/>
  <c r="N983" i="95" s="1"/>
  <c r="O949" i="95"/>
  <c r="L349" i="95"/>
  <c r="M351" i="95"/>
  <c r="K948" i="95"/>
  <c r="L951" i="95"/>
  <c r="J968" i="95"/>
  <c r="J967" i="95" s="1"/>
  <c r="J956" i="95" s="1"/>
  <c r="J939" i="95"/>
  <c r="J938" i="95" s="1"/>
  <c r="N785" i="95"/>
  <c r="O787" i="95"/>
  <c r="K704" i="95"/>
  <c r="L706" i="95"/>
  <c r="L28" i="60"/>
  <c r="L341" i="59"/>
  <c r="K328" i="95"/>
  <c r="L330" i="95"/>
  <c r="K131" i="95"/>
  <c r="L133" i="95"/>
  <c r="L1029" i="95"/>
  <c r="M1031" i="95"/>
  <c r="N209" i="95"/>
  <c r="O211" i="95"/>
  <c r="N138" i="95"/>
  <c r="O140" i="95"/>
  <c r="J89" i="95"/>
  <c r="J88" i="95" s="1"/>
  <c r="J112" i="95"/>
  <c r="J111" i="95" s="1"/>
  <c r="K628" i="95"/>
  <c r="K627" i="95" s="1"/>
  <c r="L630" i="95"/>
  <c r="L465" i="95"/>
  <c r="L464" i="95" s="1"/>
  <c r="M470" i="95"/>
  <c r="I211" i="59"/>
  <c r="I382" i="59"/>
  <c r="L848" i="95"/>
  <c r="M850" i="95"/>
  <c r="K382" i="59"/>
  <c r="K383" i="59" s="1"/>
  <c r="K384" i="59" s="1"/>
  <c r="K211" i="59"/>
  <c r="J123" i="95"/>
  <c r="J175" i="95" s="1"/>
  <c r="J174" i="95" s="1"/>
  <c r="M281" i="95"/>
  <c r="M268" i="95"/>
  <c r="M275" i="95"/>
  <c r="N261" i="95"/>
  <c r="N812" i="95"/>
  <c r="O813" i="95"/>
  <c r="K152" i="95"/>
  <c r="L154" i="95"/>
  <c r="K241" i="95"/>
  <c r="L243" i="95"/>
  <c r="I750" i="95"/>
  <c r="L1003" i="95"/>
  <c r="L1002" i="95" s="1"/>
  <c r="M1005" i="95"/>
  <c r="H375" i="59"/>
  <c r="H376" i="59" s="1"/>
  <c r="K295" i="95"/>
  <c r="K294" i="95" s="1"/>
  <c r="K293" i="95" s="1"/>
  <c r="K302" i="95"/>
  <c r="K301" i="95" s="1"/>
  <c r="L290" i="95"/>
  <c r="K746" i="95"/>
  <c r="L748" i="95"/>
  <c r="L415" i="95"/>
  <c r="M417" i="95"/>
  <c r="H150" i="24"/>
  <c r="K262" i="59" s="1"/>
  <c r="K273" i="59" s="1"/>
  <c r="L871" i="95"/>
  <c r="M873" i="95"/>
  <c r="L934" i="95"/>
  <c r="K940" i="95"/>
  <c r="L340" i="59"/>
  <c r="L215" i="59" s="1"/>
  <c r="L27" i="60"/>
  <c r="L338" i="59"/>
  <c r="L213" i="59" s="1"/>
  <c r="L25" i="60"/>
  <c r="K197" i="95"/>
  <c r="L199" i="95"/>
  <c r="L120" i="95"/>
  <c r="L119" i="95" s="1"/>
  <c r="L117" i="95"/>
  <c r="L116" i="95" s="1"/>
  <c r="L99" i="95"/>
  <c r="L98" i="95" s="1"/>
  <c r="L97" i="95" s="1"/>
  <c r="L44" i="95"/>
  <c r="M12" i="95"/>
  <c r="L636" i="95"/>
  <c r="M638" i="95"/>
  <c r="M191" i="95"/>
  <c r="N193" i="95"/>
  <c r="K38" i="95"/>
  <c r="L40" i="95"/>
  <c r="L565" i="95"/>
  <c r="L564" i="95" s="1"/>
  <c r="M566" i="95"/>
  <c r="L922" i="95"/>
  <c r="L920" i="95"/>
  <c r="L919" i="95" s="1"/>
  <c r="M923" i="95"/>
  <c r="K1032" i="95"/>
  <c r="L1033" i="95"/>
  <c r="K820" i="95"/>
  <c r="K811" i="95" s="1"/>
  <c r="L821" i="95"/>
  <c r="K437" i="95"/>
  <c r="K436" i="95" s="1"/>
  <c r="L440" i="95"/>
  <c r="G144" i="60"/>
  <c r="O283" i="95"/>
  <c r="K431" i="95"/>
  <c r="K430" i="95" s="1"/>
  <c r="L434" i="95"/>
  <c r="I929" i="95"/>
  <c r="J153" i="24" s="1"/>
  <c r="M265" i="59" s="1"/>
  <c r="M320" i="59" s="1"/>
  <c r="K314" i="59"/>
  <c r="K716" i="95"/>
  <c r="K708" i="95" s="1"/>
  <c r="K725" i="95" s="1"/>
  <c r="K724" i="95" s="1"/>
  <c r="L718" i="95"/>
  <c r="K908" i="95"/>
  <c r="L910" i="95"/>
  <c r="K614" i="95"/>
  <c r="L616" i="95"/>
  <c r="K856" i="95"/>
  <c r="L857" i="95"/>
  <c r="J1019" i="95"/>
  <c r="M53" i="95"/>
  <c r="N56" i="95"/>
  <c r="K229" i="95"/>
  <c r="L231" i="95"/>
  <c r="K90" i="95"/>
  <c r="K30" i="95"/>
  <c r="K60" i="95"/>
  <c r="K59" i="95" s="1"/>
  <c r="K400" i="95"/>
  <c r="L402" i="95"/>
  <c r="K902" i="95"/>
  <c r="L904" i="95"/>
  <c r="M368" i="95"/>
  <c r="N370" i="95"/>
  <c r="N343" i="59"/>
  <c r="N217" i="59" s="1"/>
  <c r="N30" i="60"/>
  <c r="K874" i="95"/>
  <c r="L875" i="95"/>
  <c r="K22" i="95"/>
  <c r="K21" i="95" s="1"/>
  <c r="L24" i="95"/>
  <c r="L818" i="95"/>
  <c r="L816" i="95" s="1"/>
  <c r="L797" i="95"/>
  <c r="L795" i="95" s="1"/>
  <c r="L828" i="95"/>
  <c r="M782" i="95"/>
  <c r="L680" i="95"/>
  <c r="L679" i="95" s="1"/>
  <c r="M681" i="95"/>
  <c r="K215" i="95"/>
  <c r="L217" i="95"/>
  <c r="K862" i="95"/>
  <c r="L863" i="95"/>
  <c r="M1023" i="95"/>
  <c r="N1025" i="95"/>
  <c r="J210" i="59"/>
  <c r="J374" i="59"/>
  <c r="J375" i="59" s="1"/>
  <c r="J376" i="59" s="1"/>
  <c r="L25" i="95"/>
  <c r="M27" i="95"/>
  <c r="L315" i="59"/>
  <c r="M203" i="95"/>
  <c r="N205" i="95"/>
  <c r="L478" i="95"/>
  <c r="L477" i="95" s="1"/>
  <c r="M480" i="95"/>
  <c r="L512" i="95"/>
  <c r="M514" i="95"/>
  <c r="L362" i="95"/>
  <c r="M364" i="95"/>
  <c r="K790" i="95"/>
  <c r="L792" i="95"/>
  <c r="O50" i="95"/>
  <c r="O48" i="95" s="1"/>
  <c r="O66" i="95"/>
  <c r="O64" i="95" s="1"/>
  <c r="O81" i="95"/>
  <c r="P35" i="95"/>
  <c r="K232" i="95"/>
  <c r="L234" i="95"/>
  <c r="K805" i="95"/>
  <c r="L807" i="95"/>
  <c r="K781" i="95"/>
  <c r="L784" i="95"/>
  <c r="O498" i="95"/>
  <c r="P500" i="95"/>
  <c r="L314" i="95"/>
  <c r="M316" i="95"/>
  <c r="K412" i="95"/>
  <c r="L414" i="95"/>
  <c r="J901" i="95"/>
  <c r="K1008" i="95"/>
  <c r="K1007" i="95" s="1"/>
  <c r="L1009" i="95"/>
  <c r="K1408" i="95"/>
  <c r="K1405" i="95" s="1"/>
  <c r="K1404" i="95" s="1"/>
  <c r="K1380" i="95" s="1"/>
  <c r="L155" i="24" s="1"/>
  <c r="O267" i="59" s="1"/>
  <c r="L70" i="95"/>
  <c r="K74" i="95"/>
  <c r="K282" i="95"/>
  <c r="K279" i="95" s="1"/>
  <c r="K278" i="95" s="1"/>
  <c r="K996" i="95"/>
  <c r="K993" i="95" s="1"/>
  <c r="K992" i="95" s="1"/>
  <c r="K453" i="95"/>
  <c r="K450" i="95" s="1"/>
  <c r="K449" i="95" s="1"/>
  <c r="K829" i="95"/>
  <c r="K826" i="95" s="1"/>
  <c r="K825" i="95" s="1"/>
  <c r="K553" i="95"/>
  <c r="K550" i="95" s="1"/>
  <c r="K549" i="95" s="1"/>
  <c r="K82" i="95"/>
  <c r="K79" i="95" s="1"/>
  <c r="L83" i="95"/>
  <c r="K944" i="95"/>
  <c r="L947" i="95"/>
  <c r="L342" i="95"/>
  <c r="M344" i="95"/>
  <c r="P104" i="95"/>
  <c r="Q109" i="95"/>
  <c r="K145" i="95"/>
  <c r="L147" i="95"/>
  <c r="L310" i="95" l="1"/>
  <c r="L309" i="95" s="1"/>
  <c r="L307" i="95"/>
  <c r="L306" i="95" s="1"/>
  <c r="L267" i="95"/>
  <c r="L266" i="95" s="1"/>
  <c r="L265" i="95" s="1"/>
  <c r="L262" i="95"/>
  <c r="L260" i="95" s="1"/>
  <c r="L259" i="95" s="1"/>
  <c r="M248" i="95"/>
  <c r="L280" i="95"/>
  <c r="L274" i="95"/>
  <c r="L273" i="95" s="1"/>
  <c r="L272" i="95" s="1"/>
  <c r="K305" i="95"/>
  <c r="K742" i="95"/>
  <c r="K881" i="95"/>
  <c r="K898" i="95" s="1"/>
  <c r="K897" i="95" s="1"/>
  <c r="M18" i="95"/>
  <c r="M32" i="95" s="1"/>
  <c r="L61" i="95"/>
  <c r="L60" i="95" s="1"/>
  <c r="L59" i="95" s="1"/>
  <c r="M338" i="59"/>
  <c r="M213" i="59" s="1"/>
  <c r="M1037" i="95"/>
  <c r="L1035" i="95"/>
  <c r="J519" i="95"/>
  <c r="K150" i="24" s="1"/>
  <c r="N262" i="59" s="1"/>
  <c r="N317" i="59" s="1"/>
  <c r="N25" i="60" s="1"/>
  <c r="K915" i="95"/>
  <c r="L403" i="95"/>
  <c r="M405" i="95"/>
  <c r="L426" i="95"/>
  <c r="L425" i="95" s="1"/>
  <c r="M428" i="95"/>
  <c r="M745" i="95"/>
  <c r="L743" i="95"/>
  <c r="L515" i="95"/>
  <c r="L511" i="95" s="1"/>
  <c r="M517" i="95"/>
  <c r="L925" i="95"/>
  <c r="M927" i="95"/>
  <c r="M635" i="95"/>
  <c r="L633" i="95"/>
  <c r="L632" i="95" s="1"/>
  <c r="K610" i="95"/>
  <c r="L978" i="95"/>
  <c r="L115" i="95"/>
  <c r="K29" i="95"/>
  <c r="J245" i="95"/>
  <c r="K148" i="24" s="1"/>
  <c r="N260" i="59" s="1"/>
  <c r="N315" i="59" s="1"/>
  <c r="N23" i="60" s="1"/>
  <c r="L460" i="95"/>
  <c r="L459" i="95" s="1"/>
  <c r="M462" i="95"/>
  <c r="K901" i="95"/>
  <c r="L916" i="95"/>
  <c r="M918" i="95"/>
  <c r="J9" i="95"/>
  <c r="K147" i="24" s="1"/>
  <c r="N259" i="59" s="1"/>
  <c r="K695" i="95"/>
  <c r="L696" i="95"/>
  <c r="K361" i="95"/>
  <c r="L611" i="95"/>
  <c r="M613" i="95"/>
  <c r="K71" i="95"/>
  <c r="K69" i="95" s="1"/>
  <c r="L380" i="95"/>
  <c r="M382" i="95"/>
  <c r="L836" i="95"/>
  <c r="L835" i="95" s="1"/>
  <c r="M838" i="95"/>
  <c r="L386" i="95"/>
  <c r="M388" i="95"/>
  <c r="L952" i="95"/>
  <c r="M955" i="95"/>
  <c r="K852" i="95"/>
  <c r="L185" i="95"/>
  <c r="M187" i="95"/>
  <c r="L666" i="95"/>
  <c r="L663" i="95" s="1"/>
  <c r="L662" i="95" s="1"/>
  <c r="M667" i="95"/>
  <c r="L335" i="95"/>
  <c r="M337" i="95"/>
  <c r="I7" i="95"/>
  <c r="M868" i="95"/>
  <c r="N869" i="95"/>
  <c r="K222" i="95"/>
  <c r="M1015" i="95"/>
  <c r="N1017" i="95"/>
  <c r="M891" i="95"/>
  <c r="L889" i="95"/>
  <c r="K943" i="95"/>
  <c r="L238" i="95"/>
  <c r="M240" i="95"/>
  <c r="K313" i="95"/>
  <c r="K358" i="95" s="1"/>
  <c r="K357" i="95" s="1"/>
  <c r="J692" i="95"/>
  <c r="J691" i="95" s="1"/>
  <c r="J618" i="95" s="1"/>
  <c r="K151" i="24" s="1"/>
  <c r="N263" i="59" s="1"/>
  <c r="N318" i="59" s="1"/>
  <c r="N339" i="59" s="1"/>
  <c r="N214" i="59" s="1"/>
  <c r="K693" i="95"/>
  <c r="M979" i="95"/>
  <c r="N981" i="95"/>
  <c r="Q104" i="95"/>
  <c r="R109" i="95"/>
  <c r="L781" i="95"/>
  <c r="M784" i="95"/>
  <c r="N203" i="95"/>
  <c r="O205" i="95"/>
  <c r="M922" i="95"/>
  <c r="M920" i="95"/>
  <c r="M919" i="95" s="1"/>
  <c r="N923" i="95"/>
  <c r="L412" i="95"/>
  <c r="M414" i="95"/>
  <c r="N1023" i="95"/>
  <c r="O1025" i="95"/>
  <c r="M818" i="95"/>
  <c r="M816" i="95" s="1"/>
  <c r="M828" i="95"/>
  <c r="M797" i="95"/>
  <c r="M795" i="95" s="1"/>
  <c r="N782" i="95"/>
  <c r="L874" i="95"/>
  <c r="M875" i="95"/>
  <c r="K112" i="95"/>
  <c r="K111" i="95" s="1"/>
  <c r="K89" i="95"/>
  <c r="K88" i="95" s="1"/>
  <c r="K335" i="59"/>
  <c r="K22" i="60"/>
  <c r="G27" i="68"/>
  <c r="L90" i="95"/>
  <c r="L30" i="95"/>
  <c r="L197" i="95"/>
  <c r="M199" i="95"/>
  <c r="L746" i="95"/>
  <c r="M748" i="95"/>
  <c r="L131" i="95"/>
  <c r="M133" i="95"/>
  <c r="L704" i="95"/>
  <c r="M706" i="95"/>
  <c r="O45" i="95"/>
  <c r="O73" i="95"/>
  <c r="O62" i="95"/>
  <c r="P31" i="95"/>
  <c r="M235" i="95"/>
  <c r="N237" i="95"/>
  <c r="L859" i="95"/>
  <c r="M860" i="95"/>
  <c r="L577" i="95"/>
  <c r="M579" i="95"/>
  <c r="L34" i="95"/>
  <c r="M37" i="95"/>
  <c r="M406" i="95"/>
  <c r="N408" i="95"/>
  <c r="M409" i="95"/>
  <c r="N411" i="95"/>
  <c r="M166" i="95"/>
  <c r="N168" i="95"/>
  <c r="I377" i="59"/>
  <c r="I389" i="59" s="1"/>
  <c r="I182" i="60"/>
  <c r="K1019" i="95"/>
  <c r="M342" i="95"/>
  <c r="N344" i="95"/>
  <c r="L805" i="95"/>
  <c r="M807" i="95"/>
  <c r="L790" i="95"/>
  <c r="M792" i="95"/>
  <c r="N24" i="60"/>
  <c r="N337" i="59"/>
  <c r="L902" i="95"/>
  <c r="M904" i="95"/>
  <c r="L614" i="95"/>
  <c r="M616" i="95"/>
  <c r="L437" i="95"/>
  <c r="L436" i="95" s="1"/>
  <c r="M440" i="95"/>
  <c r="N191" i="95"/>
  <c r="O193" i="95"/>
  <c r="J152" i="24"/>
  <c r="M264" i="59" s="1"/>
  <c r="N268" i="95"/>
  <c r="N281" i="95"/>
  <c r="N275" i="95"/>
  <c r="O261" i="95"/>
  <c r="M848" i="95"/>
  <c r="N850" i="95"/>
  <c r="L628" i="95"/>
  <c r="L627" i="95" s="1"/>
  <c r="M630" i="95"/>
  <c r="K123" i="95"/>
  <c r="K175" i="95" s="1"/>
  <c r="K174" i="95" s="1"/>
  <c r="G233" i="59"/>
  <c r="G195" i="59" s="1"/>
  <c r="K576" i="95"/>
  <c r="K593" i="95" s="1"/>
  <c r="K592" i="95" s="1"/>
  <c r="K27" i="60"/>
  <c r="K340" i="59"/>
  <c r="P75" i="95"/>
  <c r="L159" i="95"/>
  <c r="M161" i="95"/>
  <c r="L531" i="95"/>
  <c r="L530" i="95" s="1"/>
  <c r="M534" i="95"/>
  <c r="L444" i="95"/>
  <c r="L443" i="95" s="1"/>
  <c r="M447" i="95"/>
  <c r="M226" i="95"/>
  <c r="N228" i="95"/>
  <c r="L766" i="95"/>
  <c r="M768" i="95"/>
  <c r="L229" i="95"/>
  <c r="M231" i="95"/>
  <c r="M565" i="95"/>
  <c r="M564" i="95" s="1"/>
  <c r="N566" i="95"/>
  <c r="M871" i="95"/>
  <c r="N873" i="95"/>
  <c r="L241" i="95"/>
  <c r="M243" i="95"/>
  <c r="L328" i="95"/>
  <c r="M330" i="95"/>
  <c r="O785" i="95"/>
  <c r="P787" i="95"/>
  <c r="L882" i="95"/>
  <c r="M884" i="95"/>
  <c r="H114" i="60"/>
  <c r="H115" i="60" s="1"/>
  <c r="H19" i="60"/>
  <c r="L472" i="95"/>
  <c r="M474" i="95"/>
  <c r="O554" i="95"/>
  <c r="L560" i="95"/>
  <c r="L559" i="95" s="1"/>
  <c r="M562" i="95"/>
  <c r="M701" i="95"/>
  <c r="N703" i="95"/>
  <c r="N485" i="95"/>
  <c r="O487" i="95"/>
  <c r="O454" i="95"/>
  <c r="O322" i="59"/>
  <c r="P498" i="95"/>
  <c r="Q500" i="95"/>
  <c r="L232" i="95"/>
  <c r="M234" i="95"/>
  <c r="M362" i="95"/>
  <c r="N364" i="95"/>
  <c r="M25" i="95"/>
  <c r="N27" i="95"/>
  <c r="L400" i="95"/>
  <c r="M402" i="95"/>
  <c r="L908" i="95"/>
  <c r="M910" i="95"/>
  <c r="L431" i="95"/>
  <c r="L430" i="95" s="1"/>
  <c r="M434" i="95"/>
  <c r="L820" i="95"/>
  <c r="L811" i="95" s="1"/>
  <c r="M821" i="95"/>
  <c r="H182" i="60"/>
  <c r="H377" i="59"/>
  <c r="H389" i="59" s="1"/>
  <c r="M349" i="95"/>
  <c r="N351" i="95"/>
  <c r="L603" i="95"/>
  <c r="M605" i="95"/>
  <c r="N124" i="95"/>
  <c r="O126" i="95"/>
  <c r="L526" i="95"/>
  <c r="L525" i="95" s="1"/>
  <c r="M528" i="95"/>
  <c r="L179" i="95"/>
  <c r="M181" i="95"/>
  <c r="M853" i="95"/>
  <c r="N854" i="95"/>
  <c r="K1075" i="95"/>
  <c r="K1074" i="95" s="1"/>
  <c r="K1073" i="95" s="1"/>
  <c r="K936" i="95"/>
  <c r="K1040" i="95"/>
  <c r="K1039" i="95" s="1"/>
  <c r="K1056" i="95" s="1"/>
  <c r="K1055" i="95" s="1"/>
  <c r="K1061" i="95"/>
  <c r="K1060" i="95" s="1"/>
  <c r="K1059" i="95" s="1"/>
  <c r="L1041" i="95"/>
  <c r="O830" i="95"/>
  <c r="J147" i="24"/>
  <c r="M259" i="59" s="1"/>
  <c r="L392" i="95"/>
  <c r="M394" i="95"/>
  <c r="M23" i="60"/>
  <c r="M336" i="59"/>
  <c r="J117" i="60"/>
  <c r="J48" i="73"/>
  <c r="H5" i="80"/>
  <c r="L82" i="95"/>
  <c r="L79" i="95" s="1"/>
  <c r="M83" i="95"/>
  <c r="L1408" i="95"/>
  <c r="L1405" i="95" s="1"/>
  <c r="L1404" i="95" s="1"/>
  <c r="L1380" i="95" s="1"/>
  <c r="M155" i="24" s="1"/>
  <c r="P267" i="59" s="1"/>
  <c r="P322" i="59" s="1"/>
  <c r="M70" i="95"/>
  <c r="L996" i="95"/>
  <c r="L993" i="95" s="1"/>
  <c r="L992" i="95" s="1"/>
  <c r="L74" i="95"/>
  <c r="L282" i="95"/>
  <c r="L279" i="95" s="1"/>
  <c r="L278" i="95" s="1"/>
  <c r="L553" i="95"/>
  <c r="L550" i="95" s="1"/>
  <c r="L549" i="95" s="1"/>
  <c r="L453" i="95"/>
  <c r="L450" i="95" s="1"/>
  <c r="L449" i="95" s="1"/>
  <c r="L829" i="95"/>
  <c r="L826" i="95" s="1"/>
  <c r="L825" i="95" s="1"/>
  <c r="M314" i="95"/>
  <c r="N316" i="95"/>
  <c r="M512" i="95"/>
  <c r="N514" i="95"/>
  <c r="L23" i="60"/>
  <c r="L336" i="59"/>
  <c r="M341" i="59"/>
  <c r="M28" i="60"/>
  <c r="L145" i="95"/>
  <c r="M147" i="95"/>
  <c r="L944" i="95"/>
  <c r="M947" i="95"/>
  <c r="L1008" i="95"/>
  <c r="L1007" i="95" s="1"/>
  <c r="M1009" i="95"/>
  <c r="M478" i="95"/>
  <c r="M477" i="95" s="1"/>
  <c r="M494" i="95" s="1"/>
  <c r="M493" i="95" s="1"/>
  <c r="N480" i="95"/>
  <c r="L215" i="95"/>
  <c r="M217" i="95"/>
  <c r="L22" i="95"/>
  <c r="L21" i="95" s="1"/>
  <c r="M24" i="95"/>
  <c r="K399" i="95"/>
  <c r="N53" i="95"/>
  <c r="O56" i="95"/>
  <c r="K419" i="95"/>
  <c r="L38" i="95"/>
  <c r="M40" i="95"/>
  <c r="M636" i="95"/>
  <c r="N638" i="95"/>
  <c r="L152" i="95"/>
  <c r="M154" i="95"/>
  <c r="O209" i="95"/>
  <c r="P211" i="95"/>
  <c r="J929" i="95"/>
  <c r="K153" i="24" s="1"/>
  <c r="N265" i="59" s="1"/>
  <c r="L289" i="95"/>
  <c r="L288" i="95" s="1"/>
  <c r="M291" i="95"/>
  <c r="N665" i="95"/>
  <c r="N659" i="95"/>
  <c r="N657" i="95" s="1"/>
  <c r="N656" i="95" s="1"/>
  <c r="N647" i="95"/>
  <c r="N652" i="95"/>
  <c r="N650" i="95" s="1"/>
  <c r="O640" i="95"/>
  <c r="L572" i="95"/>
  <c r="M574" i="95"/>
  <c r="L597" i="95"/>
  <c r="M599" i="95"/>
  <c r="K178" i="95"/>
  <c r="L698" i="95"/>
  <c r="M699" i="95"/>
  <c r="L865" i="95"/>
  <c r="M866" i="95"/>
  <c r="L841" i="95"/>
  <c r="L840" i="95" s="1"/>
  <c r="M842" i="95"/>
  <c r="L777" i="95"/>
  <c r="M779" i="95"/>
  <c r="L957" i="95"/>
  <c r="M959" i="95"/>
  <c r="L862" i="95"/>
  <c r="M863" i="95"/>
  <c r="P81" i="95"/>
  <c r="P50" i="95"/>
  <c r="P48" i="95" s="1"/>
  <c r="P66" i="95"/>
  <c r="P64" i="95" s="1"/>
  <c r="Q35" i="95"/>
  <c r="L494" i="95"/>
  <c r="L493" i="95" s="1"/>
  <c r="J182" i="60"/>
  <c r="J377" i="59"/>
  <c r="J389" i="59" s="1"/>
  <c r="L716" i="95"/>
  <c r="L708" i="95" s="1"/>
  <c r="L725" i="95" s="1"/>
  <c r="L724" i="95" s="1"/>
  <c r="M718" i="95"/>
  <c r="P283" i="95"/>
  <c r="L1032" i="95"/>
  <c r="M1033" i="95"/>
  <c r="K317" i="59"/>
  <c r="K332" i="59" s="1"/>
  <c r="L295" i="95"/>
  <c r="L294" i="95" s="1"/>
  <c r="L293" i="95" s="1"/>
  <c r="L302" i="95"/>
  <c r="L301" i="95" s="1"/>
  <c r="M290" i="95"/>
  <c r="M1003" i="95"/>
  <c r="M1002" i="95" s="1"/>
  <c r="N1005" i="95"/>
  <c r="I383" i="59"/>
  <c r="I384" i="59" s="1"/>
  <c r="L972" i="95"/>
  <c r="M974" i="95"/>
  <c r="K596" i="95"/>
  <c r="O729" i="95"/>
  <c r="P731" i="95"/>
  <c r="M223" i="95"/>
  <c r="N225" i="95"/>
  <c r="L877" i="95"/>
  <c r="M879" i="95"/>
  <c r="K776" i="95"/>
  <c r="L273" i="59"/>
  <c r="L314" i="59"/>
  <c r="M680" i="95"/>
  <c r="M679" i="95" s="1"/>
  <c r="N681" i="95"/>
  <c r="N368" i="95"/>
  <c r="O370" i="95"/>
  <c r="M120" i="95"/>
  <c r="M119" i="95" s="1"/>
  <c r="M99" i="95"/>
  <c r="M98" i="95" s="1"/>
  <c r="M97" i="95" s="1"/>
  <c r="M117" i="95"/>
  <c r="M116" i="95" s="1"/>
  <c r="M44" i="95"/>
  <c r="N12" i="95"/>
  <c r="K968" i="95"/>
  <c r="K967" i="95" s="1"/>
  <c r="K956" i="95" s="1"/>
  <c r="K939" i="95"/>
  <c r="K938" i="95" s="1"/>
  <c r="M415" i="95"/>
  <c r="N417" i="95"/>
  <c r="O138" i="95"/>
  <c r="P140" i="95"/>
  <c r="M1029" i="95"/>
  <c r="N1031" i="95"/>
  <c r="L948" i="95"/>
  <c r="M951" i="95"/>
  <c r="O985" i="95"/>
  <c r="O983" i="95" s="1"/>
  <c r="O995" i="95"/>
  <c r="O964" i="95"/>
  <c r="O962" i="95" s="1"/>
  <c r="P949" i="95"/>
  <c r="L1026" i="95"/>
  <c r="M1027" i="95"/>
  <c r="I48" i="73"/>
  <c r="I117" i="60"/>
  <c r="G5" i="80"/>
  <c r="O374" i="95"/>
  <c r="P376" i="95"/>
  <c r="M709" i="95"/>
  <c r="N711" i="95"/>
  <c r="P546" i="95"/>
  <c r="P544" i="95" s="1"/>
  <c r="P543" i="95" s="1"/>
  <c r="P539" i="95"/>
  <c r="P537" i="95" s="1"/>
  <c r="P536" i="95" s="1"/>
  <c r="P552" i="95"/>
  <c r="Q532" i="95"/>
  <c r="L763" i="95"/>
  <c r="M765" i="95"/>
  <c r="L584" i="95"/>
  <c r="M586" i="95"/>
  <c r="L773" i="95"/>
  <c r="M758" i="95"/>
  <c r="I223" i="59"/>
  <c r="M987" i="95"/>
  <c r="N989" i="95"/>
  <c r="M664" i="95"/>
  <c r="M641" i="95"/>
  <c r="M639" i="95" s="1"/>
  <c r="M646" i="95"/>
  <c r="M645" i="95" s="1"/>
  <c r="M644" i="95" s="1"/>
  <c r="M674" i="95"/>
  <c r="M658" i="95"/>
  <c r="N623" i="95"/>
  <c r="L856" i="95"/>
  <c r="M857" i="95"/>
  <c r="L72" i="95"/>
  <c r="L43" i="95"/>
  <c r="L42" i="95" s="1"/>
  <c r="L940" i="95"/>
  <c r="M934" i="95"/>
  <c r="O812" i="95"/>
  <c r="P813" i="95"/>
  <c r="K385" i="59"/>
  <c r="K390" i="59" s="1"/>
  <c r="K183" i="60"/>
  <c r="M465" i="95"/>
  <c r="M464" i="95" s="1"/>
  <c r="N470" i="95"/>
  <c r="M504" i="95"/>
  <c r="M497" i="95" s="1"/>
  <c r="N506" i="95"/>
  <c r="J750" i="95"/>
  <c r="K152" i="24" s="1"/>
  <c r="N264" i="59" s="1"/>
  <c r="N319" i="59" s="1"/>
  <c r="L321" i="95"/>
  <c r="M323" i="95"/>
  <c r="L735" i="95"/>
  <c r="L728" i="95" s="1"/>
  <c r="M737" i="95"/>
  <c r="J214" i="59"/>
  <c r="J223" i="59" s="1"/>
  <c r="J231" i="59" s="1"/>
  <c r="J233" i="59" s="1"/>
  <c r="J195" i="59" s="1"/>
  <c r="J198" i="59" s="1"/>
  <c r="J18" i="60" s="1"/>
  <c r="P997" i="95"/>
  <c r="K801" i="95"/>
  <c r="K800" i="95" s="1"/>
  <c r="K789" i="95" s="1"/>
  <c r="K772" i="95"/>
  <c r="K762" i="95" s="1"/>
  <c r="I356" i="59"/>
  <c r="M255" i="95"/>
  <c r="M254" i="95" s="1"/>
  <c r="N257" i="95"/>
  <c r="M769" i="95"/>
  <c r="N771" i="95"/>
  <c r="L688" i="95"/>
  <c r="L687" i="95" s="1"/>
  <c r="L673" i="95"/>
  <c r="L672" i="95" s="1"/>
  <c r="L1020" i="95"/>
  <c r="M1021" i="95"/>
  <c r="M318" i="59"/>
  <c r="L305" i="95" l="1"/>
  <c r="L881" i="95"/>
  <c r="L898" i="95" s="1"/>
  <c r="L897" i="95" s="1"/>
  <c r="M310" i="95"/>
  <c r="M309" i="95" s="1"/>
  <c r="M307" i="95"/>
  <c r="M306" i="95" s="1"/>
  <c r="M280" i="95"/>
  <c r="M274" i="95"/>
  <c r="M273" i="95" s="1"/>
  <c r="M272" i="95" s="1"/>
  <c r="M262" i="95"/>
  <c r="M260" i="95" s="1"/>
  <c r="M259" i="95" s="1"/>
  <c r="M267" i="95"/>
  <c r="M266" i="95" s="1"/>
  <c r="M265" i="95" s="1"/>
  <c r="N248" i="95"/>
  <c r="M978" i="95"/>
  <c r="L596" i="95"/>
  <c r="N18" i="95"/>
  <c r="N32" i="95" s="1"/>
  <c r="M61" i="95"/>
  <c r="M60" i="95" s="1"/>
  <c r="M59" i="95" s="1"/>
  <c r="N338" i="59"/>
  <c r="N213" i="59" s="1"/>
  <c r="L742" i="95"/>
  <c r="L610" i="95"/>
  <c r="K519" i="95"/>
  <c r="L150" i="24" s="1"/>
  <c r="O262" i="59" s="1"/>
  <c r="L915" i="95"/>
  <c r="M1035" i="95"/>
  <c r="N1037" i="95"/>
  <c r="M743" i="95"/>
  <c r="N745" i="95"/>
  <c r="M426" i="95"/>
  <c r="M425" i="95" s="1"/>
  <c r="N428" i="95"/>
  <c r="M403" i="95"/>
  <c r="N405" i="95"/>
  <c r="M515" i="95"/>
  <c r="M511" i="95" s="1"/>
  <c r="N517" i="95"/>
  <c r="M925" i="95"/>
  <c r="N927" i="95"/>
  <c r="M115" i="95"/>
  <c r="N336" i="59"/>
  <c r="N211" i="59" s="1"/>
  <c r="M633" i="95"/>
  <c r="M632" i="95" s="1"/>
  <c r="N635" i="95"/>
  <c r="L776" i="95"/>
  <c r="L361" i="95"/>
  <c r="K9" i="95"/>
  <c r="L147" i="24" s="1"/>
  <c r="O259" i="59" s="1"/>
  <c r="L313" i="95"/>
  <c r="L358" i="95" s="1"/>
  <c r="L357" i="95" s="1"/>
  <c r="L222" i="95"/>
  <c r="M460" i="95"/>
  <c r="M459" i="95" s="1"/>
  <c r="N462" i="95"/>
  <c r="K245" i="95"/>
  <c r="L148" i="24" s="1"/>
  <c r="O260" i="59" s="1"/>
  <c r="O315" i="59" s="1"/>
  <c r="L695" i="95"/>
  <c r="M696" i="95"/>
  <c r="M916" i="95"/>
  <c r="N918" i="95"/>
  <c r="M611" i="95"/>
  <c r="N613" i="95"/>
  <c r="L399" i="95"/>
  <c r="K692" i="95"/>
  <c r="K691" i="95" s="1"/>
  <c r="K618" i="95" s="1"/>
  <c r="L151" i="24" s="1"/>
  <c r="O263" i="59" s="1"/>
  <c r="O318" i="59" s="1"/>
  <c r="O339" i="59" s="1"/>
  <c r="O214" i="59" s="1"/>
  <c r="L693" i="95"/>
  <c r="N1015" i="95"/>
  <c r="O1017" i="95"/>
  <c r="M386" i="95"/>
  <c r="N388" i="95"/>
  <c r="M666" i="95"/>
  <c r="M663" i="95" s="1"/>
  <c r="M662" i="95" s="1"/>
  <c r="N667" i="95"/>
  <c r="M836" i="95"/>
  <c r="M835" i="95" s="1"/>
  <c r="N838" i="95"/>
  <c r="N26" i="60"/>
  <c r="M238" i="95"/>
  <c r="N240" i="95"/>
  <c r="N868" i="95"/>
  <c r="O869" i="95"/>
  <c r="M185" i="95"/>
  <c r="N187" i="95"/>
  <c r="M380" i="95"/>
  <c r="N382" i="95"/>
  <c r="L852" i="95"/>
  <c r="N979" i="95"/>
  <c r="O981" i="95"/>
  <c r="M952" i="95"/>
  <c r="N955" i="95"/>
  <c r="L1019" i="95"/>
  <c r="M889" i="95"/>
  <c r="N891" i="95"/>
  <c r="M335" i="95"/>
  <c r="N337" i="95"/>
  <c r="J7" i="95"/>
  <c r="M339" i="59"/>
  <c r="M26" i="60"/>
  <c r="P812" i="95"/>
  <c r="Q813" i="95"/>
  <c r="M90" i="95"/>
  <c r="M30" i="95"/>
  <c r="I385" i="59"/>
  <c r="I390" i="59" s="1"/>
  <c r="I183" i="60"/>
  <c r="J385" i="59"/>
  <c r="J390" i="59" s="1"/>
  <c r="M862" i="95"/>
  <c r="N863" i="95"/>
  <c r="M572" i="95"/>
  <c r="N574" i="95"/>
  <c r="L149" i="24"/>
  <c r="O261" i="59" s="1"/>
  <c r="O316" i="59" s="1"/>
  <c r="N478" i="95"/>
  <c r="N477" i="95" s="1"/>
  <c r="N494" i="95" s="1"/>
  <c r="N493" i="95" s="1"/>
  <c r="O480" i="95"/>
  <c r="N314" i="95"/>
  <c r="O316" i="95"/>
  <c r="M1408" i="95"/>
  <c r="M1405" i="95" s="1"/>
  <c r="M1404" i="95" s="1"/>
  <c r="M1380" i="95" s="1"/>
  <c r="N155" i="24" s="1"/>
  <c r="Q267" i="59" s="1"/>
  <c r="Q322" i="59" s="1"/>
  <c r="N70" i="95"/>
  <c r="M74" i="95"/>
  <c r="M996" i="95"/>
  <c r="M993" i="95" s="1"/>
  <c r="M992" i="95" s="1"/>
  <c r="M282" i="95"/>
  <c r="M279" i="95" s="1"/>
  <c r="M278" i="95" s="1"/>
  <c r="M829" i="95"/>
  <c r="M826" i="95" s="1"/>
  <c r="M825" i="95" s="1"/>
  <c r="M453" i="95"/>
  <c r="M450" i="95" s="1"/>
  <c r="M449" i="95" s="1"/>
  <c r="M553" i="95"/>
  <c r="M550" i="95" s="1"/>
  <c r="M549" i="95" s="1"/>
  <c r="N853" i="95"/>
  <c r="O854" i="95"/>
  <c r="Q498" i="95"/>
  <c r="R500" i="95"/>
  <c r="N565" i="95"/>
  <c r="N564" i="95" s="1"/>
  <c r="O566" i="95"/>
  <c r="K215" i="59"/>
  <c r="M614" i="95"/>
  <c r="N616" i="95"/>
  <c r="M790" i="95"/>
  <c r="N792" i="95"/>
  <c r="M34" i="95"/>
  <c r="N37" i="95"/>
  <c r="L89" i="95"/>
  <c r="L88" i="95" s="1"/>
  <c r="L112" i="95"/>
  <c r="L111" i="95" s="1"/>
  <c r="O203" i="95"/>
  <c r="P205" i="95"/>
  <c r="N340" i="59"/>
  <c r="N215" i="59" s="1"/>
  <c r="N27" i="60"/>
  <c r="M72" i="95"/>
  <c r="M43" i="95"/>
  <c r="M42" i="95" s="1"/>
  <c r="N1003" i="95"/>
  <c r="N1002" i="95" s="1"/>
  <c r="O1005" i="95"/>
  <c r="P30" i="60"/>
  <c r="P343" i="59"/>
  <c r="P217" i="59" s="1"/>
  <c r="M392" i="95"/>
  <c r="N394" i="95"/>
  <c r="L936" i="95"/>
  <c r="L1075" i="95"/>
  <c r="L1074" i="95" s="1"/>
  <c r="L1073" i="95" s="1"/>
  <c r="L1040" i="95"/>
  <c r="L1039" i="95" s="1"/>
  <c r="L1056" i="95" s="1"/>
  <c r="L1055" i="95" s="1"/>
  <c r="L1061" i="95"/>
  <c r="L1060" i="95" s="1"/>
  <c r="L1059" i="95" s="1"/>
  <c r="M1041" i="95"/>
  <c r="O124" i="95"/>
  <c r="P126" i="95"/>
  <c r="M820" i="95"/>
  <c r="M811" i="95" s="1"/>
  <c r="N821" i="95"/>
  <c r="N701" i="95"/>
  <c r="O703" i="95"/>
  <c r="H143" i="60"/>
  <c r="F17" i="80"/>
  <c r="H366" i="59"/>
  <c r="H367" i="59" s="1"/>
  <c r="H368" i="59" s="1"/>
  <c r="P785" i="95"/>
  <c r="Q787" i="95"/>
  <c r="M241" i="95"/>
  <c r="N243" i="95"/>
  <c r="N226" i="95"/>
  <c r="O228" i="95"/>
  <c r="M531" i="95"/>
  <c r="M530" i="95" s="1"/>
  <c r="N534" i="95"/>
  <c r="N273" i="59"/>
  <c r="N314" i="59"/>
  <c r="N166" i="95"/>
  <c r="O168" i="95"/>
  <c r="M704" i="95"/>
  <c r="N706" i="95"/>
  <c r="M874" i="95"/>
  <c r="N875" i="95"/>
  <c r="M412" i="95"/>
  <c r="N414" i="95"/>
  <c r="M1032" i="95"/>
  <c r="N1033" i="95"/>
  <c r="N504" i="95"/>
  <c r="N497" i="95" s="1"/>
  <c r="O506" i="95"/>
  <c r="N709" i="95"/>
  <c r="O711" i="95"/>
  <c r="M1026" i="95"/>
  <c r="N1027" i="95"/>
  <c r="M948" i="95"/>
  <c r="N951" i="95"/>
  <c r="L332" i="59"/>
  <c r="L22" i="60"/>
  <c r="L40" i="60" s="1"/>
  <c r="L335" i="59"/>
  <c r="O659" i="95"/>
  <c r="O657" i="95" s="1"/>
  <c r="O656" i="95" s="1"/>
  <c r="O665" i="95"/>
  <c r="O647" i="95"/>
  <c r="O652" i="95"/>
  <c r="O650" i="95" s="1"/>
  <c r="P640" i="95"/>
  <c r="M82" i="95"/>
  <c r="M79" i="95" s="1"/>
  <c r="N83" i="95"/>
  <c r="M179" i="95"/>
  <c r="N181" i="95"/>
  <c r="N25" i="95"/>
  <c r="O27" i="95"/>
  <c r="M229" i="95"/>
  <c r="N231" i="95"/>
  <c r="M628" i="95"/>
  <c r="M627" i="95" s="1"/>
  <c r="N630" i="95"/>
  <c r="M902" i="95"/>
  <c r="N904" i="95"/>
  <c r="M805" i="95"/>
  <c r="N807" i="95"/>
  <c r="M577" i="95"/>
  <c r="N579" i="95"/>
  <c r="P45" i="95"/>
  <c r="P73" i="95"/>
  <c r="P62" i="95"/>
  <c r="Q31" i="95"/>
  <c r="M746" i="95"/>
  <c r="N748" i="95"/>
  <c r="M781" i="95"/>
  <c r="N784" i="95"/>
  <c r="N415" i="95"/>
  <c r="O417" i="95"/>
  <c r="M735" i="95"/>
  <c r="M728" i="95" s="1"/>
  <c r="N737" i="95"/>
  <c r="N987" i="95"/>
  <c r="O989" i="95"/>
  <c r="M763" i="95"/>
  <c r="N765" i="95"/>
  <c r="K929" i="95"/>
  <c r="L153" i="24" s="1"/>
  <c r="O265" i="59" s="1"/>
  <c r="O320" i="59" s="1"/>
  <c r="M295" i="95"/>
  <c r="M294" i="95" s="1"/>
  <c r="M293" i="95" s="1"/>
  <c r="M302" i="95"/>
  <c r="M301" i="95" s="1"/>
  <c r="N290" i="95"/>
  <c r="Q283" i="95"/>
  <c r="M957" i="95"/>
  <c r="N959" i="95"/>
  <c r="M865" i="95"/>
  <c r="N866" i="95"/>
  <c r="N320" i="59"/>
  <c r="M1008" i="95"/>
  <c r="M1007" i="95" s="1"/>
  <c r="N1009" i="95"/>
  <c r="L178" i="95"/>
  <c r="M603" i="95"/>
  <c r="N605" i="95"/>
  <c r="M431" i="95"/>
  <c r="M430" i="95" s="1"/>
  <c r="N434" i="95"/>
  <c r="M560" i="95"/>
  <c r="M559" i="95" s="1"/>
  <c r="N562" i="95"/>
  <c r="M328" i="95"/>
  <c r="N330" i="95"/>
  <c r="M159" i="95"/>
  <c r="N161" i="95"/>
  <c r="M319" i="59"/>
  <c r="L901" i="95"/>
  <c r="N409" i="95"/>
  <c r="O411" i="95"/>
  <c r="L576" i="95"/>
  <c r="L593" i="95" s="1"/>
  <c r="L592" i="95" s="1"/>
  <c r="M131" i="95"/>
  <c r="N133" i="95"/>
  <c r="N797" i="95"/>
  <c r="N795" i="95" s="1"/>
  <c r="N818" i="95"/>
  <c r="N816" i="95" s="1"/>
  <c r="N828" i="95"/>
  <c r="O782" i="95"/>
  <c r="I231" i="59"/>
  <c r="P374" i="95"/>
  <c r="Q376" i="95"/>
  <c r="N1029" i="95"/>
  <c r="O1031" i="95"/>
  <c r="M972" i="95"/>
  <c r="N974" i="95"/>
  <c r="Q50" i="95"/>
  <c r="Q48" i="95" s="1"/>
  <c r="Q81" i="95"/>
  <c r="Q66" i="95"/>
  <c r="Q64" i="95" s="1"/>
  <c r="R35" i="95"/>
  <c r="P209" i="95"/>
  <c r="Q211" i="95"/>
  <c r="N636" i="95"/>
  <c r="O638" i="95"/>
  <c r="M22" i="95"/>
  <c r="M21" i="95" s="1"/>
  <c r="N24" i="95"/>
  <c r="L211" i="59"/>
  <c r="L382" i="59"/>
  <c r="M526" i="95"/>
  <c r="M525" i="95" s="1"/>
  <c r="N528" i="95"/>
  <c r="L419" i="95"/>
  <c r="M149" i="24" s="1"/>
  <c r="P261" i="59" s="1"/>
  <c r="P316" i="59" s="1"/>
  <c r="N362" i="95"/>
  <c r="O364" i="95"/>
  <c r="O343" i="59"/>
  <c r="O30" i="60"/>
  <c r="N848" i="95"/>
  <c r="O850" i="95"/>
  <c r="O191" i="95"/>
  <c r="P193" i="95"/>
  <c r="M859" i="95"/>
  <c r="N860" i="95"/>
  <c r="L123" i="95"/>
  <c r="L175" i="95" s="1"/>
  <c r="L174" i="95" s="1"/>
  <c r="M197" i="95"/>
  <c r="N199" i="95"/>
  <c r="M1020" i="95"/>
  <c r="N1021" i="95"/>
  <c r="O53" i="95"/>
  <c r="P56" i="95"/>
  <c r="I144" i="60"/>
  <c r="M856" i="95"/>
  <c r="N857" i="95"/>
  <c r="N465" i="95"/>
  <c r="N464" i="95" s="1"/>
  <c r="O470" i="95"/>
  <c r="M940" i="95"/>
  <c r="N934" i="95"/>
  <c r="N664" i="95"/>
  <c r="N646" i="95"/>
  <c r="N645" i="95" s="1"/>
  <c r="N644" i="95" s="1"/>
  <c r="N658" i="95"/>
  <c r="N641" i="95"/>
  <c r="N639" i="95" s="1"/>
  <c r="N674" i="95"/>
  <c r="O623" i="95"/>
  <c r="N769" i="95"/>
  <c r="O771" i="95"/>
  <c r="Q997" i="95"/>
  <c r="L968" i="95"/>
  <c r="L967" i="95" s="1"/>
  <c r="L956" i="95" s="1"/>
  <c r="L939" i="95"/>
  <c r="L938" i="95" s="1"/>
  <c r="M773" i="95"/>
  <c r="N758" i="95"/>
  <c r="O368" i="95"/>
  <c r="P370" i="95"/>
  <c r="N223" i="95"/>
  <c r="O225" i="95"/>
  <c r="M716" i="95"/>
  <c r="M708" i="95" s="1"/>
  <c r="M725" i="95" s="1"/>
  <c r="M724" i="95" s="1"/>
  <c r="N718" i="95"/>
  <c r="M777" i="95"/>
  <c r="N779" i="95"/>
  <c r="M698" i="95"/>
  <c r="N699" i="95"/>
  <c r="M597" i="95"/>
  <c r="N599" i="95"/>
  <c r="M944" i="95"/>
  <c r="N947" i="95"/>
  <c r="M273" i="59"/>
  <c r="M314" i="59"/>
  <c r="N349" i="95"/>
  <c r="O351" i="95"/>
  <c r="M908" i="95"/>
  <c r="N910" i="95"/>
  <c r="P454" i="95"/>
  <c r="P554" i="95"/>
  <c r="M882" i="95"/>
  <c r="N884" i="95"/>
  <c r="Q75" i="95"/>
  <c r="N406" i="95"/>
  <c r="O408" i="95"/>
  <c r="N922" i="95"/>
  <c r="N920" i="95"/>
  <c r="N919" i="95" s="1"/>
  <c r="O923" i="95"/>
  <c r="R104" i="95"/>
  <c r="S109" i="95"/>
  <c r="K750" i="95"/>
  <c r="L152" i="24" s="1"/>
  <c r="O264" i="59" s="1"/>
  <c r="O319" i="59" s="1"/>
  <c r="M688" i="95"/>
  <c r="M687" i="95" s="1"/>
  <c r="M673" i="95"/>
  <c r="M672" i="95" s="1"/>
  <c r="Q539" i="95"/>
  <c r="Q537" i="95" s="1"/>
  <c r="Q536" i="95" s="1"/>
  <c r="Q552" i="95"/>
  <c r="Q546" i="95"/>
  <c r="Q544" i="95" s="1"/>
  <c r="Q543" i="95" s="1"/>
  <c r="R532" i="95"/>
  <c r="P964" i="95"/>
  <c r="P962" i="95" s="1"/>
  <c r="P995" i="95"/>
  <c r="P985" i="95"/>
  <c r="P983" i="95" s="1"/>
  <c r="Q949" i="95"/>
  <c r="P138" i="95"/>
  <c r="Q140" i="95"/>
  <c r="M877" i="95"/>
  <c r="N879" i="95"/>
  <c r="M38" i="95"/>
  <c r="N40" i="95"/>
  <c r="M215" i="95"/>
  <c r="N217" i="95"/>
  <c r="L943" i="95"/>
  <c r="N512" i="95"/>
  <c r="O514" i="95"/>
  <c r="L71" i="95"/>
  <c r="L69" i="95" s="1"/>
  <c r="M232" i="95"/>
  <c r="N234" i="95"/>
  <c r="N871" i="95"/>
  <c r="O873" i="95"/>
  <c r="G198" i="59"/>
  <c r="O275" i="95"/>
  <c r="O281" i="95"/>
  <c r="O268" i="95"/>
  <c r="P261" i="95"/>
  <c r="M437" i="95"/>
  <c r="M436" i="95" s="1"/>
  <c r="N440" i="95"/>
  <c r="N212" i="59"/>
  <c r="N342" i="95"/>
  <c r="O344" i="95"/>
  <c r="N235" i="95"/>
  <c r="O237" i="95"/>
  <c r="K210" i="59"/>
  <c r="J19" i="60"/>
  <c r="J114" i="60"/>
  <c r="J115" i="60" s="1"/>
  <c r="L772" i="95"/>
  <c r="L762" i="95" s="1"/>
  <c r="L801" i="95"/>
  <c r="L800" i="95" s="1"/>
  <c r="L789" i="95" s="1"/>
  <c r="O257" i="95"/>
  <c r="N255" i="95"/>
  <c r="N254" i="95" s="1"/>
  <c r="M321" i="95"/>
  <c r="N323" i="95"/>
  <c r="M584" i="95"/>
  <c r="N586" i="95"/>
  <c r="N117" i="95"/>
  <c r="N116" i="95" s="1"/>
  <c r="N120" i="95"/>
  <c r="N119" i="95" s="1"/>
  <c r="N44" i="95"/>
  <c r="N99" i="95"/>
  <c r="N98" i="95" s="1"/>
  <c r="N97" i="95" s="1"/>
  <c r="O12" i="95"/>
  <c r="N680" i="95"/>
  <c r="N679" i="95" s="1"/>
  <c r="O681" i="95"/>
  <c r="P729" i="95"/>
  <c r="Q731" i="95"/>
  <c r="K338" i="59"/>
  <c r="K374" i="59" s="1"/>
  <c r="K25" i="60"/>
  <c r="M841" i="95"/>
  <c r="M840" i="95" s="1"/>
  <c r="N842" i="95"/>
  <c r="M289" i="95"/>
  <c r="M288" i="95" s="1"/>
  <c r="N291" i="95"/>
  <c r="M152" i="95"/>
  <c r="N154" i="95"/>
  <c r="M145" i="95"/>
  <c r="N147" i="95"/>
  <c r="M382" i="59"/>
  <c r="M383" i="59" s="1"/>
  <c r="M384" i="59" s="1"/>
  <c r="M211" i="59"/>
  <c r="P830" i="95"/>
  <c r="M400" i="95"/>
  <c r="N402" i="95"/>
  <c r="O485" i="95"/>
  <c r="P487" i="95"/>
  <c r="M472" i="95"/>
  <c r="N474" i="95"/>
  <c r="M766" i="95"/>
  <c r="N768" i="95"/>
  <c r="M444" i="95"/>
  <c r="M443" i="95" s="1"/>
  <c r="N447" i="95"/>
  <c r="L29" i="95"/>
  <c r="O1023" i="95"/>
  <c r="P1025" i="95"/>
  <c r="M305" i="95" l="1"/>
  <c r="N310" i="95"/>
  <c r="N309" i="95" s="1"/>
  <c r="N307" i="95"/>
  <c r="N306" i="95" s="1"/>
  <c r="N267" i="95"/>
  <c r="N266" i="95" s="1"/>
  <c r="N265" i="95" s="1"/>
  <c r="N262" i="95"/>
  <c r="N260" i="95" s="1"/>
  <c r="N259" i="95" s="1"/>
  <c r="O248" i="95"/>
  <c r="N274" i="95"/>
  <c r="N273" i="95" s="1"/>
  <c r="N272" i="95" s="1"/>
  <c r="N280" i="95"/>
  <c r="M881" i="95"/>
  <c r="M898" i="95" s="1"/>
  <c r="M897" i="95" s="1"/>
  <c r="N978" i="95"/>
  <c r="M361" i="95"/>
  <c r="M943" i="95"/>
  <c r="O26" i="60"/>
  <c r="O18" i="95"/>
  <c r="O32" i="95" s="1"/>
  <c r="N61" i="95"/>
  <c r="M742" i="95"/>
  <c r="N382" i="59"/>
  <c r="N383" i="59" s="1"/>
  <c r="N384" i="59" s="1"/>
  <c r="N183" i="60" s="1"/>
  <c r="M915" i="95"/>
  <c r="L519" i="95"/>
  <c r="M150" i="24" s="1"/>
  <c r="P262" i="59" s="1"/>
  <c r="P317" i="59" s="1"/>
  <c r="P338" i="59" s="1"/>
  <c r="P213" i="59" s="1"/>
  <c r="N1035" i="95"/>
  <c r="O1037" i="95"/>
  <c r="N403" i="95"/>
  <c r="O405" i="95"/>
  <c r="O428" i="95"/>
  <c r="N426" i="95"/>
  <c r="N425" i="95" s="1"/>
  <c r="N743" i="95"/>
  <c r="O745" i="95"/>
  <c r="N515" i="95"/>
  <c r="N511" i="95" s="1"/>
  <c r="O517" i="95"/>
  <c r="M222" i="95"/>
  <c r="M776" i="95"/>
  <c r="O927" i="95"/>
  <c r="N925" i="95"/>
  <c r="M610" i="95"/>
  <c r="N633" i="95"/>
  <c r="N632" i="95" s="1"/>
  <c r="O635" i="95"/>
  <c r="L245" i="95"/>
  <c r="M148" i="24" s="1"/>
  <c r="P260" i="59" s="1"/>
  <c r="P315" i="59" s="1"/>
  <c r="P23" i="60" s="1"/>
  <c r="M596" i="95"/>
  <c r="M399" i="95"/>
  <c r="M313" i="95"/>
  <c r="M358" i="95" s="1"/>
  <c r="M357" i="95" s="1"/>
  <c r="N460" i="95"/>
  <c r="N459" i="95" s="1"/>
  <c r="O462" i="95"/>
  <c r="N611" i="95"/>
  <c r="O613" i="95"/>
  <c r="L9" i="95"/>
  <c r="M147" i="24" s="1"/>
  <c r="P259" i="59" s="1"/>
  <c r="N916" i="95"/>
  <c r="O918" i="95"/>
  <c r="N696" i="95"/>
  <c r="M695" i="95"/>
  <c r="N115" i="95"/>
  <c r="O979" i="95"/>
  <c r="P981" i="95"/>
  <c r="N889" i="95"/>
  <c r="O891" i="95"/>
  <c r="N238" i="95"/>
  <c r="O240" i="95"/>
  <c r="K7" i="95"/>
  <c r="M852" i="95"/>
  <c r="N386" i="95"/>
  <c r="O388" i="95"/>
  <c r="N380" i="95"/>
  <c r="O382" i="95"/>
  <c r="O1015" i="95"/>
  <c r="P1017" i="95"/>
  <c r="N185" i="95"/>
  <c r="O187" i="95"/>
  <c r="N836" i="95"/>
  <c r="N835" i="95" s="1"/>
  <c r="O838" i="95"/>
  <c r="N952" i="95"/>
  <c r="O955" i="95"/>
  <c r="L692" i="95"/>
  <c r="L691" i="95" s="1"/>
  <c r="L618" i="95" s="1"/>
  <c r="M151" i="24" s="1"/>
  <c r="P263" i="59" s="1"/>
  <c r="P318" i="59" s="1"/>
  <c r="M693" i="95"/>
  <c r="L750" i="95"/>
  <c r="M152" i="24" s="1"/>
  <c r="P264" i="59" s="1"/>
  <c r="P319" i="59" s="1"/>
  <c r="P27" i="60" s="1"/>
  <c r="M1019" i="95"/>
  <c r="N335" i="95"/>
  <c r="O337" i="95"/>
  <c r="O868" i="95"/>
  <c r="P869" i="95"/>
  <c r="N666" i="95"/>
  <c r="N663" i="95" s="1"/>
  <c r="N662" i="95" s="1"/>
  <c r="O667" i="95"/>
  <c r="N145" i="95"/>
  <c r="O147" i="95"/>
  <c r="O99" i="95"/>
  <c r="O98" i="95" s="1"/>
  <c r="O97" i="95" s="1"/>
  <c r="O117" i="95"/>
  <c r="O116" i="95" s="1"/>
  <c r="O120" i="95"/>
  <c r="O119" i="95" s="1"/>
  <c r="O44" i="95"/>
  <c r="P12" i="95"/>
  <c r="K375" i="59"/>
  <c r="K376" i="59" s="1"/>
  <c r="O512" i="95"/>
  <c r="P514" i="95"/>
  <c r="Q554" i="95"/>
  <c r="M772" i="95"/>
  <c r="M762" i="95" s="1"/>
  <c r="M801" i="95"/>
  <c r="M800" i="95" s="1"/>
  <c r="M789" i="95" s="1"/>
  <c r="O658" i="95"/>
  <c r="O664" i="95"/>
  <c r="O641" i="95"/>
  <c r="O639" i="95" s="1"/>
  <c r="O674" i="95"/>
  <c r="O646" i="95"/>
  <c r="O645" i="95" s="1"/>
  <c r="O644" i="95" s="1"/>
  <c r="P623" i="95"/>
  <c r="O465" i="95"/>
  <c r="O464" i="95" s="1"/>
  <c r="P470" i="95"/>
  <c r="P53" i="95"/>
  <c r="Q56" i="95"/>
  <c r="N197" i="95"/>
  <c r="O199" i="95"/>
  <c r="O848" i="95"/>
  <c r="P850" i="95"/>
  <c r="M419" i="95"/>
  <c r="N149" i="24" s="1"/>
  <c r="Q261" i="59" s="1"/>
  <c r="Q316" i="59" s="1"/>
  <c r="N957" i="95"/>
  <c r="O959" i="95"/>
  <c r="N746" i="95"/>
  <c r="O748" i="95"/>
  <c r="N179" i="95"/>
  <c r="O181" i="95"/>
  <c r="O166" i="95"/>
  <c r="P168" i="95"/>
  <c r="O226" i="95"/>
  <c r="P228" i="95"/>
  <c r="H26" i="68"/>
  <c r="H942" i="59"/>
  <c r="H147" i="60"/>
  <c r="O853" i="95"/>
  <c r="P854" i="95"/>
  <c r="N1408" i="95"/>
  <c r="N1405" i="95" s="1"/>
  <c r="N1404" i="95" s="1"/>
  <c r="N1380" i="95" s="1"/>
  <c r="O155" i="24" s="1"/>
  <c r="R267" i="59" s="1"/>
  <c r="R322" i="59" s="1"/>
  <c r="O70" i="95"/>
  <c r="N282" i="95"/>
  <c r="N74" i="95"/>
  <c r="N996" i="95"/>
  <c r="N993" i="95" s="1"/>
  <c r="N992" i="95" s="1"/>
  <c r="N553" i="95"/>
  <c r="N550" i="95" s="1"/>
  <c r="N549" i="95" s="1"/>
  <c r="N453" i="95"/>
  <c r="N450" i="95" s="1"/>
  <c r="N449" i="95" s="1"/>
  <c r="N829" i="95"/>
  <c r="N826" i="95" s="1"/>
  <c r="N825" i="95" s="1"/>
  <c r="N572" i="95"/>
  <c r="O574" i="95"/>
  <c r="Q812" i="95"/>
  <c r="R813" i="95"/>
  <c r="O336" i="59"/>
  <c r="O23" i="60"/>
  <c r="N597" i="95"/>
  <c r="O599" i="95"/>
  <c r="O223" i="95"/>
  <c r="P225" i="95"/>
  <c r="L929" i="95"/>
  <c r="M153" i="24" s="1"/>
  <c r="P265" i="59" s="1"/>
  <c r="P320" i="59" s="1"/>
  <c r="N688" i="95"/>
  <c r="N687" i="95" s="1"/>
  <c r="N673" i="95"/>
  <c r="N672" i="95" s="1"/>
  <c r="P24" i="60"/>
  <c r="P337" i="59"/>
  <c r="P212" i="59" s="1"/>
  <c r="O636" i="95"/>
  <c r="P638" i="95"/>
  <c r="N328" i="95"/>
  <c r="O330" i="95"/>
  <c r="N603" i="95"/>
  <c r="O605" i="95"/>
  <c r="O341" i="59"/>
  <c r="O28" i="60"/>
  <c r="N735" i="95"/>
  <c r="N728" i="95" s="1"/>
  <c r="O737" i="95"/>
  <c r="N805" i="95"/>
  <c r="O807" i="95"/>
  <c r="M178" i="95"/>
  <c r="N1026" i="95"/>
  <c r="O1027" i="95"/>
  <c r="N412" i="95"/>
  <c r="O414" i="95"/>
  <c r="Q30" i="60"/>
  <c r="Q343" i="59"/>
  <c r="Q217" i="59" s="1"/>
  <c r="P1023" i="95"/>
  <c r="Q1025" i="95"/>
  <c r="S104" i="95"/>
  <c r="T109" i="95"/>
  <c r="O406" i="95"/>
  <c r="P408" i="95"/>
  <c r="Q454" i="95"/>
  <c r="N526" i="95"/>
  <c r="N525" i="95" s="1"/>
  <c r="O528" i="95"/>
  <c r="R283" i="95"/>
  <c r="Q45" i="95"/>
  <c r="Q62" i="95"/>
  <c r="Q73" i="95"/>
  <c r="R31" i="95"/>
  <c r="N229" i="95"/>
  <c r="O231" i="95"/>
  <c r="N82" i="95"/>
  <c r="N79" i="95" s="1"/>
  <c r="O83" i="95"/>
  <c r="N332" i="59"/>
  <c r="N335" i="59"/>
  <c r="N22" i="60"/>
  <c r="N241" i="95"/>
  <c r="O243" i="95"/>
  <c r="O701" i="95"/>
  <c r="P703" i="95"/>
  <c r="M1040" i="95"/>
  <c r="M1039" i="95" s="1"/>
  <c r="M1056" i="95" s="1"/>
  <c r="M1055" i="95" s="1"/>
  <c r="M936" i="95"/>
  <c r="M1075" i="95"/>
  <c r="M1074" i="95" s="1"/>
  <c r="M1073" i="95" s="1"/>
  <c r="M1061" i="95"/>
  <c r="M1060" i="95" s="1"/>
  <c r="M1059" i="95" s="1"/>
  <c r="N1041" i="95"/>
  <c r="P203" i="95"/>
  <c r="Q205" i="95"/>
  <c r="O314" i="95"/>
  <c r="P316" i="95"/>
  <c r="N862" i="95"/>
  <c r="O863" i="95"/>
  <c r="O235" i="95"/>
  <c r="P237" i="95"/>
  <c r="N232" i="95"/>
  <c r="O234" i="95"/>
  <c r="R546" i="95"/>
  <c r="R544" i="95" s="1"/>
  <c r="R543" i="95" s="1"/>
  <c r="R552" i="95"/>
  <c r="R539" i="95"/>
  <c r="R537" i="95" s="1"/>
  <c r="R536" i="95" s="1"/>
  <c r="S532" i="95"/>
  <c r="N152" i="95"/>
  <c r="O154" i="95"/>
  <c r="N30" i="95"/>
  <c r="N90" i="95"/>
  <c r="N60" i="95"/>
  <c r="N59" i="95" s="1"/>
  <c r="N584" i="95"/>
  <c r="O586" i="95"/>
  <c r="K213" i="59"/>
  <c r="K223" i="59" s="1"/>
  <c r="N43" i="95"/>
  <c r="N42" i="95" s="1"/>
  <c r="N72" i="95"/>
  <c r="J366" i="59"/>
  <c r="J367" i="59" s="1"/>
  <c r="J368" i="59" s="1"/>
  <c r="J143" i="60"/>
  <c r="H17" i="80"/>
  <c r="O342" i="95"/>
  <c r="P344" i="95"/>
  <c r="N215" i="95"/>
  <c r="O217" i="95"/>
  <c r="Q138" i="95"/>
  <c r="R140" i="95"/>
  <c r="M332" i="59"/>
  <c r="M22" i="60"/>
  <c r="M335" i="59"/>
  <c r="N698" i="95"/>
  <c r="O699" i="95"/>
  <c r="P368" i="95"/>
  <c r="Q370" i="95"/>
  <c r="N1020" i="95"/>
  <c r="O1021" i="95"/>
  <c r="Q209" i="95"/>
  <c r="R211" i="95"/>
  <c r="N972" i="95"/>
  <c r="O974" i="95"/>
  <c r="I233" i="59"/>
  <c r="I195" i="59" s="1"/>
  <c r="N131" i="95"/>
  <c r="O133" i="95"/>
  <c r="M27" i="60"/>
  <c r="M340" i="59"/>
  <c r="N341" i="59"/>
  <c r="N28" i="60"/>
  <c r="O765" i="95"/>
  <c r="N763" i="95"/>
  <c r="N902" i="95"/>
  <c r="O904" i="95"/>
  <c r="O709" i="95"/>
  <c r="P711" i="95"/>
  <c r="N874" i="95"/>
  <c r="O875" i="95"/>
  <c r="O1003" i="95"/>
  <c r="O1002" i="95" s="1"/>
  <c r="P1005" i="95"/>
  <c r="N34" i="95"/>
  <c r="O37" i="95"/>
  <c r="M29" i="95"/>
  <c r="P275" i="95"/>
  <c r="P281" i="95"/>
  <c r="P268" i="95"/>
  <c r="Q261" i="95"/>
  <c r="Q830" i="95"/>
  <c r="N289" i="95"/>
  <c r="N288" i="95" s="1"/>
  <c r="O291" i="95"/>
  <c r="Q729" i="95"/>
  <c r="R731" i="95"/>
  <c r="N321" i="95"/>
  <c r="O323" i="95"/>
  <c r="O920" i="95"/>
  <c r="O919" i="95" s="1"/>
  <c r="O922" i="95"/>
  <c r="P923" i="95"/>
  <c r="R997" i="95"/>
  <c r="N856" i="95"/>
  <c r="O857" i="95"/>
  <c r="N859" i="95"/>
  <c r="O860" i="95"/>
  <c r="M123" i="95"/>
  <c r="M175" i="95" s="1"/>
  <c r="M174" i="95" s="1"/>
  <c r="N302" i="95"/>
  <c r="N301" i="95" s="1"/>
  <c r="N295" i="95"/>
  <c r="N294" i="95" s="1"/>
  <c r="N293" i="95" s="1"/>
  <c r="O290" i="95"/>
  <c r="O415" i="95"/>
  <c r="P417" i="95"/>
  <c r="M901" i="95"/>
  <c r="L353" i="59"/>
  <c r="L356" i="59" s="1"/>
  <c r="L144" i="60" s="1"/>
  <c r="L27" i="68" s="1"/>
  <c r="L374" i="59"/>
  <c r="L375" i="59" s="1"/>
  <c r="L376" i="59" s="1"/>
  <c r="L210" i="59"/>
  <c r="L223" i="59" s="1"/>
  <c r="L231" i="59" s="1"/>
  <c r="L233" i="59" s="1"/>
  <c r="L195" i="59" s="1"/>
  <c r="L198" i="59" s="1"/>
  <c r="L18" i="60" s="1"/>
  <c r="Q785" i="95"/>
  <c r="R787" i="95"/>
  <c r="O565" i="95"/>
  <c r="O564" i="95" s="1"/>
  <c r="P566" i="95"/>
  <c r="O478" i="95"/>
  <c r="O477" i="95" s="1"/>
  <c r="O494" i="95" s="1"/>
  <c r="O493" i="95" s="1"/>
  <c r="P480" i="95"/>
  <c r="M112" i="95"/>
  <c r="M111" i="95" s="1"/>
  <c r="M89" i="95"/>
  <c r="M88" i="95" s="1"/>
  <c r="O317" i="59"/>
  <c r="N766" i="95"/>
  <c r="O768" i="95"/>
  <c r="N400" i="95"/>
  <c r="O402" i="95"/>
  <c r="N877" i="95"/>
  <c r="O879" i="95"/>
  <c r="G18" i="60"/>
  <c r="N38" i="95"/>
  <c r="O40" i="95"/>
  <c r="Q995" i="95"/>
  <c r="Q985" i="95"/>
  <c r="Q983" i="95" s="1"/>
  <c r="Q964" i="95"/>
  <c r="Q962" i="95" s="1"/>
  <c r="R949" i="95"/>
  <c r="N908" i="95"/>
  <c r="O910" i="95"/>
  <c r="N777" i="95"/>
  <c r="O779" i="95"/>
  <c r="O1029" i="95"/>
  <c r="P1031" i="95"/>
  <c r="N159" i="95"/>
  <c r="O161" i="95"/>
  <c r="N560" i="95"/>
  <c r="N559" i="95" s="1"/>
  <c r="O562" i="95"/>
  <c r="O987" i="95"/>
  <c r="P989" i="95"/>
  <c r="O25" i="95"/>
  <c r="P27" i="95"/>
  <c r="L48" i="73"/>
  <c r="L117" i="60"/>
  <c r="J5" i="80"/>
  <c r="O504" i="95"/>
  <c r="O497" i="95" s="1"/>
  <c r="P506" i="95"/>
  <c r="N820" i="95"/>
  <c r="N811" i="95" s="1"/>
  <c r="O821" i="95"/>
  <c r="N790" i="95"/>
  <c r="O792" i="95"/>
  <c r="O273" i="59"/>
  <c r="O314" i="59"/>
  <c r="N472" i="95"/>
  <c r="O474" i="95"/>
  <c r="R75" i="95"/>
  <c r="N882" i="95"/>
  <c r="O884" i="95"/>
  <c r="N944" i="95"/>
  <c r="O947" i="95"/>
  <c r="O769" i="95"/>
  <c r="P771" i="95"/>
  <c r="O934" i="95"/>
  <c r="N940" i="95"/>
  <c r="P191" i="95"/>
  <c r="Q193" i="95"/>
  <c r="O217" i="59"/>
  <c r="L383" i="59"/>
  <c r="L384" i="59" s="1"/>
  <c r="M385" i="59" s="1"/>
  <c r="M390" i="59" s="1"/>
  <c r="O818" i="95"/>
  <c r="O816" i="95" s="1"/>
  <c r="O797" i="95"/>
  <c r="O795" i="95" s="1"/>
  <c r="O828" i="95"/>
  <c r="P782" i="95"/>
  <c r="N1008" i="95"/>
  <c r="N1007" i="95" s="1"/>
  <c r="O1009" i="95"/>
  <c r="N865" i="95"/>
  <c r="O866" i="95"/>
  <c r="N781" i="95"/>
  <c r="O784" i="95"/>
  <c r="N577" i="95"/>
  <c r="O579" i="95"/>
  <c r="N628" i="95"/>
  <c r="N627" i="95" s="1"/>
  <c r="O630" i="95"/>
  <c r="P659" i="95"/>
  <c r="P657" i="95" s="1"/>
  <c r="P656" i="95" s="1"/>
  <c r="P665" i="95"/>
  <c r="P652" i="95"/>
  <c r="P650" i="95" s="1"/>
  <c r="P647" i="95"/>
  <c r="Q640" i="95"/>
  <c r="N704" i="95"/>
  <c r="O706" i="95"/>
  <c r="N531" i="95"/>
  <c r="N530" i="95" s="1"/>
  <c r="O534" i="95"/>
  <c r="H172" i="60"/>
  <c r="R498" i="95"/>
  <c r="S500" i="95"/>
  <c r="M214" i="59"/>
  <c r="O340" i="59"/>
  <c r="O215" i="59" s="1"/>
  <c r="O27" i="60"/>
  <c r="N841" i="95"/>
  <c r="N840" i="95" s="1"/>
  <c r="O842" i="95"/>
  <c r="O680" i="95"/>
  <c r="O679" i="95" s="1"/>
  <c r="P681" i="95"/>
  <c r="N444" i="95"/>
  <c r="N443" i="95" s="1"/>
  <c r="O447" i="95"/>
  <c r="P485" i="95"/>
  <c r="Q487" i="95"/>
  <c r="M183" i="60"/>
  <c r="O255" i="95"/>
  <c r="O254" i="95" s="1"/>
  <c r="P257" i="95"/>
  <c r="K353" i="59"/>
  <c r="N437" i="95"/>
  <c r="N436" i="95" s="1"/>
  <c r="O440" i="95"/>
  <c r="O871" i="95"/>
  <c r="P873" i="95"/>
  <c r="O349" i="95"/>
  <c r="P351" i="95"/>
  <c r="N716" i="95"/>
  <c r="N708" i="95" s="1"/>
  <c r="N725" i="95" s="1"/>
  <c r="N724" i="95" s="1"/>
  <c r="O718" i="95"/>
  <c r="N773" i="95"/>
  <c r="O758" i="95"/>
  <c r="M968" i="95"/>
  <c r="M967" i="95" s="1"/>
  <c r="M956" i="95" s="1"/>
  <c r="M939" i="95"/>
  <c r="M938" i="95" s="1"/>
  <c r="I27" i="68"/>
  <c r="K40" i="60"/>
  <c r="O362" i="95"/>
  <c r="P364" i="95"/>
  <c r="N22" i="95"/>
  <c r="N21" i="95" s="1"/>
  <c r="O24" i="95"/>
  <c r="R50" i="95"/>
  <c r="R48" i="95" s="1"/>
  <c r="R66" i="95"/>
  <c r="R64" i="95" s="1"/>
  <c r="R81" i="95"/>
  <c r="S35" i="95"/>
  <c r="Q374" i="95"/>
  <c r="R376" i="95"/>
  <c r="O409" i="95"/>
  <c r="P411" i="95"/>
  <c r="N431" i="95"/>
  <c r="N430" i="95" s="1"/>
  <c r="O434" i="95"/>
  <c r="M576" i="95"/>
  <c r="M593" i="95" s="1"/>
  <c r="M592" i="95" s="1"/>
  <c r="N948" i="95"/>
  <c r="O951" i="95"/>
  <c r="N1032" i="95"/>
  <c r="O1033" i="95"/>
  <c r="P124" i="95"/>
  <c r="Q126" i="95"/>
  <c r="N392" i="95"/>
  <c r="O394" i="95"/>
  <c r="N614" i="95"/>
  <c r="O616" i="95"/>
  <c r="M71" i="95"/>
  <c r="M69" i="95" s="1"/>
  <c r="O24" i="60"/>
  <c r="O337" i="59"/>
  <c r="N305" i="95" l="1"/>
  <c r="N279" i="95"/>
  <c r="N278" i="95" s="1"/>
  <c r="O310" i="95"/>
  <c r="O309" i="95" s="1"/>
  <c r="O307" i="95"/>
  <c r="O306" i="95" s="1"/>
  <c r="O305" i="95" s="1"/>
  <c r="O267" i="95"/>
  <c r="O266" i="95" s="1"/>
  <c r="O265" i="95" s="1"/>
  <c r="O280" i="95"/>
  <c r="O262" i="95"/>
  <c r="O260" i="95" s="1"/>
  <c r="O259" i="95" s="1"/>
  <c r="O274" i="95"/>
  <c r="O273" i="95" s="1"/>
  <c r="O272" i="95" s="1"/>
  <c r="P248" i="95"/>
  <c r="N610" i="95"/>
  <c r="N742" i="95"/>
  <c r="N385" i="59"/>
  <c r="N390" i="59" s="1"/>
  <c r="P25" i="60"/>
  <c r="P18" i="95"/>
  <c r="P32" i="95" s="1"/>
  <c r="O61" i="95"/>
  <c r="N881" i="95"/>
  <c r="N898" i="95" s="1"/>
  <c r="N897" i="95" s="1"/>
  <c r="N399" i="95"/>
  <c r="P336" i="59"/>
  <c r="P382" i="59" s="1"/>
  <c r="P383" i="59" s="1"/>
  <c r="P384" i="59" s="1"/>
  <c r="O1035" i="95"/>
  <c r="P1037" i="95"/>
  <c r="O743" i="95"/>
  <c r="P745" i="95"/>
  <c r="N361" i="95"/>
  <c r="O426" i="95"/>
  <c r="O425" i="95" s="1"/>
  <c r="P428" i="95"/>
  <c r="O403" i="95"/>
  <c r="P405" i="95"/>
  <c r="O515" i="95"/>
  <c r="O511" i="95" s="1"/>
  <c r="P517" i="95"/>
  <c r="M245" i="95"/>
  <c r="N148" i="24" s="1"/>
  <c r="Q260" i="59" s="1"/>
  <c r="Q315" i="59" s="1"/>
  <c r="Q336" i="59" s="1"/>
  <c r="O925" i="95"/>
  <c r="P927" i="95"/>
  <c r="N915" i="95"/>
  <c r="O978" i="95"/>
  <c r="O633" i="95"/>
  <c r="O632" i="95" s="1"/>
  <c r="P635" i="95"/>
  <c r="N419" i="95"/>
  <c r="O149" i="24" s="1"/>
  <c r="R261" i="59" s="1"/>
  <c r="R316" i="59" s="1"/>
  <c r="R24" i="60" s="1"/>
  <c r="P462" i="95"/>
  <c r="O460" i="95"/>
  <c r="O459" i="95" s="1"/>
  <c r="N313" i="95"/>
  <c r="N358" i="95" s="1"/>
  <c r="N357" i="95" s="1"/>
  <c r="O696" i="95"/>
  <c r="N695" i="95"/>
  <c r="O916" i="95"/>
  <c r="P918" i="95"/>
  <c r="N576" i="95"/>
  <c r="N593" i="95" s="1"/>
  <c r="N592" i="95" s="1"/>
  <c r="N222" i="95"/>
  <c r="P340" i="59"/>
  <c r="P215" i="59" s="1"/>
  <c r="O611" i="95"/>
  <c r="P613" i="95"/>
  <c r="P868" i="95"/>
  <c r="Q869" i="95"/>
  <c r="O952" i="95"/>
  <c r="P955" i="95"/>
  <c r="O380" i="95"/>
  <c r="P382" i="95"/>
  <c r="O238" i="95"/>
  <c r="P240" i="95"/>
  <c r="M519" i="95"/>
  <c r="N150" i="24" s="1"/>
  <c r="Q262" i="59" s="1"/>
  <c r="Q317" i="59" s="1"/>
  <c r="Q25" i="60" s="1"/>
  <c r="O335" i="95"/>
  <c r="P337" i="95"/>
  <c r="L7" i="95"/>
  <c r="N71" i="95"/>
  <c r="N69" i="95" s="1"/>
  <c r="O836" i="95"/>
  <c r="O835" i="95" s="1"/>
  <c r="P838" i="95"/>
  <c r="O386" i="95"/>
  <c r="P388" i="95"/>
  <c r="P891" i="95"/>
  <c r="O889" i="95"/>
  <c r="N123" i="95"/>
  <c r="N175" i="95" s="1"/>
  <c r="N174" i="95" s="1"/>
  <c r="N852" i="95"/>
  <c r="N596" i="95"/>
  <c r="O185" i="95"/>
  <c r="P187" i="95"/>
  <c r="P979" i="95"/>
  <c r="Q981" i="95"/>
  <c r="N29" i="95"/>
  <c r="O666" i="95"/>
  <c r="O663" i="95" s="1"/>
  <c r="O662" i="95" s="1"/>
  <c r="P667" i="95"/>
  <c r="M692" i="95"/>
  <c r="M691" i="95" s="1"/>
  <c r="M618" i="95" s="1"/>
  <c r="N151" i="24" s="1"/>
  <c r="Q263" i="59" s="1"/>
  <c r="Q318" i="59" s="1"/>
  <c r="N693" i="95"/>
  <c r="M9" i="95"/>
  <c r="N147" i="24" s="1"/>
  <c r="Q259" i="59" s="1"/>
  <c r="P1015" i="95"/>
  <c r="Q1017" i="95"/>
  <c r="O392" i="95"/>
  <c r="P394" i="95"/>
  <c r="O431" i="95"/>
  <c r="O430" i="95" s="1"/>
  <c r="P434" i="95"/>
  <c r="O716" i="95"/>
  <c r="O708" i="95" s="1"/>
  <c r="O725" i="95" s="1"/>
  <c r="O724" i="95" s="1"/>
  <c r="P718" i="95"/>
  <c r="O131" i="95"/>
  <c r="P133" i="95"/>
  <c r="O777" i="95"/>
  <c r="P779" i="95"/>
  <c r="P478" i="95"/>
  <c r="P477" i="95" s="1"/>
  <c r="P494" i="95" s="1"/>
  <c r="P493" i="95" s="1"/>
  <c r="Q480" i="95"/>
  <c r="O321" i="95"/>
  <c r="P323" i="95"/>
  <c r="M40" i="60"/>
  <c r="P314" i="95"/>
  <c r="Q316" i="95"/>
  <c r="K356" i="59"/>
  <c r="Q659" i="95"/>
  <c r="Q657" i="95" s="1"/>
  <c r="Q656" i="95" s="1"/>
  <c r="Q647" i="95"/>
  <c r="Q652" i="95"/>
  <c r="Q650" i="95" s="1"/>
  <c r="Q665" i="95"/>
  <c r="R640" i="95"/>
  <c r="P474" i="95"/>
  <c r="O472" i="95"/>
  <c r="O820" i="95"/>
  <c r="O811" i="95" s="1"/>
  <c r="P821" i="95"/>
  <c r="O908" i="95"/>
  <c r="P910" i="95"/>
  <c r="O766" i="95"/>
  <c r="P768" i="95"/>
  <c r="P565" i="95"/>
  <c r="P564" i="95" s="1"/>
  <c r="Q566" i="95"/>
  <c r="R729" i="95"/>
  <c r="S731" i="95"/>
  <c r="Q268" i="95"/>
  <c r="Q281" i="95"/>
  <c r="Q275" i="95"/>
  <c r="R261" i="95"/>
  <c r="O34" i="95"/>
  <c r="P37" i="95"/>
  <c r="O902" i="95"/>
  <c r="P904" i="95"/>
  <c r="I198" i="59"/>
  <c r="P342" i="95"/>
  <c r="Q344" i="95"/>
  <c r="O152" i="95"/>
  <c r="P154" i="95"/>
  <c r="P235" i="95"/>
  <c r="Q237" i="95"/>
  <c r="Q203" i="95"/>
  <c r="R205" i="95"/>
  <c r="O229" i="95"/>
  <c r="P231" i="95"/>
  <c r="O526" i="95"/>
  <c r="O525" i="95" s="1"/>
  <c r="P528" i="95"/>
  <c r="Q1023" i="95"/>
  <c r="R1025" i="95"/>
  <c r="O412" i="95"/>
  <c r="P414" i="95"/>
  <c r="O735" i="95"/>
  <c r="O728" i="95" s="1"/>
  <c r="P737" i="95"/>
  <c r="O328" i="95"/>
  <c r="P330" i="95"/>
  <c r="R30" i="60"/>
  <c r="R343" i="59"/>
  <c r="R217" i="59" s="1"/>
  <c r="P848" i="95"/>
  <c r="Q850" i="95"/>
  <c r="P658" i="95"/>
  <c r="P641" i="95"/>
  <c r="P639" i="95" s="1"/>
  <c r="P674" i="95"/>
  <c r="P664" i="95"/>
  <c r="P646" i="95"/>
  <c r="P645" i="95" s="1"/>
  <c r="P644" i="95" s="1"/>
  <c r="Q623" i="95"/>
  <c r="R554" i="95"/>
  <c r="Q485" i="95"/>
  <c r="R487" i="95"/>
  <c r="M353" i="59"/>
  <c r="M356" i="59" s="1"/>
  <c r="M144" i="60" s="1"/>
  <c r="M27" i="68" s="1"/>
  <c r="M374" i="59"/>
  <c r="M375" i="59" s="1"/>
  <c r="M376" i="59" s="1"/>
  <c r="M210" i="59"/>
  <c r="T104" i="95"/>
  <c r="U109" i="95"/>
  <c r="O790" i="95"/>
  <c r="P792" i="95"/>
  <c r="O400" i="95"/>
  <c r="P402" i="95"/>
  <c r="O1020" i="95"/>
  <c r="P1021" i="95"/>
  <c r="O805" i="95"/>
  <c r="P807" i="95"/>
  <c r="P409" i="95"/>
  <c r="Q411" i="95"/>
  <c r="M929" i="95"/>
  <c r="N153" i="24" s="1"/>
  <c r="Q265" i="59" s="1"/>
  <c r="Q320" i="59" s="1"/>
  <c r="P255" i="95"/>
  <c r="P254" i="95" s="1"/>
  <c r="Q257" i="95"/>
  <c r="P680" i="95"/>
  <c r="P679" i="95" s="1"/>
  <c r="Q681" i="95"/>
  <c r="O781" i="95"/>
  <c r="P784" i="95"/>
  <c r="N968" i="95"/>
  <c r="N967" i="95" s="1"/>
  <c r="N956" i="95" s="1"/>
  <c r="N939" i="95"/>
  <c r="N938" i="95" s="1"/>
  <c r="S75" i="95"/>
  <c r="P987" i="95"/>
  <c r="Q989" i="95"/>
  <c r="P1029" i="95"/>
  <c r="Q1031" i="95"/>
  <c r="O859" i="95"/>
  <c r="P860" i="95"/>
  <c r="N901" i="95"/>
  <c r="O972" i="95"/>
  <c r="P974" i="95"/>
  <c r="Q368" i="95"/>
  <c r="R370" i="95"/>
  <c r="R138" i="95"/>
  <c r="S140" i="95"/>
  <c r="O241" i="95"/>
  <c r="P243" i="95"/>
  <c r="P28" i="60"/>
  <c r="P341" i="59"/>
  <c r="P853" i="95"/>
  <c r="Q854" i="95"/>
  <c r="P166" i="95"/>
  <c r="Q168" i="95"/>
  <c r="O957" i="95"/>
  <c r="P959" i="95"/>
  <c r="O145" i="95"/>
  <c r="P147" i="95"/>
  <c r="S50" i="95"/>
  <c r="S48" i="95" s="1"/>
  <c r="S66" i="95"/>
  <c r="S64" i="95" s="1"/>
  <c r="S81" i="95"/>
  <c r="T35" i="95"/>
  <c r="O704" i="95"/>
  <c r="P706" i="95"/>
  <c r="N943" i="95"/>
  <c r="O159" i="95"/>
  <c r="P161" i="95"/>
  <c r="P709" i="95"/>
  <c r="Q711" i="95"/>
  <c r="O82" i="95"/>
  <c r="O79" i="95" s="1"/>
  <c r="P83" i="95"/>
  <c r="O940" i="95"/>
  <c r="P934" i="95"/>
  <c r="P504" i="95"/>
  <c r="P497" i="95" s="1"/>
  <c r="Q506" i="95"/>
  <c r="R964" i="95"/>
  <c r="R962" i="95" s="1"/>
  <c r="R995" i="95"/>
  <c r="R985" i="95"/>
  <c r="R983" i="95" s="1"/>
  <c r="S949" i="95"/>
  <c r="G114" i="60"/>
  <c r="G19" i="60"/>
  <c r="R785" i="95"/>
  <c r="S787" i="95"/>
  <c r="P415" i="95"/>
  <c r="Q417" i="95"/>
  <c r="O289" i="95"/>
  <c r="O288" i="95" s="1"/>
  <c r="P291" i="95"/>
  <c r="P1003" i="95"/>
  <c r="P1002" i="95" s="1"/>
  <c r="Q1005" i="95"/>
  <c r="O584" i="95"/>
  <c r="P586" i="95"/>
  <c r="S546" i="95"/>
  <c r="S544" i="95" s="1"/>
  <c r="S543" i="95" s="1"/>
  <c r="S552" i="95"/>
  <c r="S539" i="95"/>
  <c r="S537" i="95" s="1"/>
  <c r="S536" i="95" s="1"/>
  <c r="T532" i="95"/>
  <c r="N1040" i="95"/>
  <c r="N1039" i="95" s="1"/>
  <c r="N1056" i="95" s="1"/>
  <c r="N1055" i="95" s="1"/>
  <c r="N936" i="95"/>
  <c r="N1061" i="95"/>
  <c r="N1060" i="95" s="1"/>
  <c r="N1059" i="95" s="1"/>
  <c r="N1075" i="95"/>
  <c r="N1074" i="95" s="1"/>
  <c r="N1073" i="95" s="1"/>
  <c r="O1041" i="95"/>
  <c r="R45" i="95"/>
  <c r="R73" i="95"/>
  <c r="R62" i="95"/>
  <c r="S31" i="95"/>
  <c r="O1026" i="95"/>
  <c r="P1027" i="95"/>
  <c r="P223" i="95"/>
  <c r="Q225" i="95"/>
  <c r="O382" i="59"/>
  <c r="O211" i="59"/>
  <c r="O197" i="95"/>
  <c r="P199" i="95"/>
  <c r="O688" i="95"/>
  <c r="O687" i="95" s="1"/>
  <c r="O673" i="95"/>
  <c r="O672" i="95" s="1"/>
  <c r="K182" i="60"/>
  <c r="K377" i="59"/>
  <c r="K389" i="59" s="1"/>
  <c r="O948" i="95"/>
  <c r="P951" i="95"/>
  <c r="L114" i="60"/>
  <c r="L115" i="60" s="1"/>
  <c r="L19" i="60"/>
  <c r="O295" i="95"/>
  <c r="O294" i="95" s="1"/>
  <c r="O293" i="95" s="1"/>
  <c r="O302" i="95"/>
  <c r="O301" i="95" s="1"/>
  <c r="P290" i="95"/>
  <c r="O22" i="95"/>
  <c r="O21" i="95" s="1"/>
  <c r="P24" i="95"/>
  <c r="O865" i="95"/>
  <c r="P866" i="95"/>
  <c r="P769" i="95"/>
  <c r="Q771" i="95"/>
  <c r="O332" i="59"/>
  <c r="O335" i="59"/>
  <c r="O22" i="60"/>
  <c r="O338" i="59"/>
  <c r="O25" i="60"/>
  <c r="O856" i="95"/>
  <c r="P857" i="95"/>
  <c r="P922" i="95"/>
  <c r="P920" i="95"/>
  <c r="P919" i="95" s="1"/>
  <c r="Q923" i="95"/>
  <c r="M215" i="59"/>
  <c r="R209" i="95"/>
  <c r="S211" i="95"/>
  <c r="O698" i="95"/>
  <c r="P699" i="95"/>
  <c r="O215" i="95"/>
  <c r="P217" i="95"/>
  <c r="N40" i="60"/>
  <c r="P406" i="95"/>
  <c r="Q408" i="95"/>
  <c r="P636" i="95"/>
  <c r="Q638" i="95"/>
  <c r="R812" i="95"/>
  <c r="S813" i="95"/>
  <c r="O179" i="95"/>
  <c r="P181" i="95"/>
  <c r="P99" i="95"/>
  <c r="P98" i="95" s="1"/>
  <c r="P97" i="95" s="1"/>
  <c r="P120" i="95"/>
  <c r="P119" i="95" s="1"/>
  <c r="P117" i="95"/>
  <c r="P116" i="95" s="1"/>
  <c r="P44" i="95"/>
  <c r="Q12" i="95"/>
  <c r="P273" i="59"/>
  <c r="P314" i="59"/>
  <c r="S498" i="95"/>
  <c r="T500" i="95"/>
  <c r="P339" i="59"/>
  <c r="P26" i="60"/>
  <c r="N89" i="95"/>
  <c r="N88" i="95" s="1"/>
  <c r="N112" i="95"/>
  <c r="N111" i="95" s="1"/>
  <c r="H954" i="59"/>
  <c r="H945" i="59"/>
  <c r="K48" i="73"/>
  <c r="I5" i="80"/>
  <c r="K117" i="60"/>
  <c r="O437" i="95"/>
  <c r="O436" i="95" s="1"/>
  <c r="P440" i="95"/>
  <c r="O38" i="95"/>
  <c r="P40" i="95"/>
  <c r="S283" i="95"/>
  <c r="O614" i="95"/>
  <c r="P616" i="95"/>
  <c r="O1032" i="95"/>
  <c r="P1033" i="95"/>
  <c r="O773" i="95"/>
  <c r="P758" i="95"/>
  <c r="O841" i="95"/>
  <c r="O840" i="95" s="1"/>
  <c r="P842" i="95"/>
  <c r="R374" i="95"/>
  <c r="S376" i="95"/>
  <c r="P362" i="95"/>
  <c r="Q364" i="95"/>
  <c r="N801" i="95"/>
  <c r="N800" i="95" s="1"/>
  <c r="N789" i="95" s="1"/>
  <c r="N772" i="95"/>
  <c r="N762" i="95" s="1"/>
  <c r="P871" i="95"/>
  <c r="Q873" i="95"/>
  <c r="O531" i="95"/>
  <c r="O530" i="95" s="1"/>
  <c r="P534" i="95"/>
  <c r="L385" i="59"/>
  <c r="L390" i="59" s="1"/>
  <c r="L183" i="60"/>
  <c r="O560" i="95"/>
  <c r="O559" i="95" s="1"/>
  <c r="P562" i="95"/>
  <c r="O877" i="95"/>
  <c r="P879" i="95"/>
  <c r="M750" i="95"/>
  <c r="N152" i="24" s="1"/>
  <c r="Q264" i="59" s="1"/>
  <c r="Q319" i="59" s="1"/>
  <c r="R830" i="95"/>
  <c r="O874" i="95"/>
  <c r="P875" i="95"/>
  <c r="P765" i="95"/>
  <c r="O763" i="95"/>
  <c r="J942" i="59"/>
  <c r="J26" i="68"/>
  <c r="J147" i="60"/>
  <c r="O862" i="95"/>
  <c r="P863" i="95"/>
  <c r="N374" i="59"/>
  <c r="N375" i="59" s="1"/>
  <c r="N376" i="59" s="1"/>
  <c r="N353" i="59"/>
  <c r="N356" i="59" s="1"/>
  <c r="N144" i="60" s="1"/>
  <c r="N27" i="68" s="1"/>
  <c r="N210" i="59"/>
  <c r="N223" i="59" s="1"/>
  <c r="N231" i="59" s="1"/>
  <c r="N233" i="59" s="1"/>
  <c r="N195" i="59" s="1"/>
  <c r="N198" i="59" s="1"/>
  <c r="N18" i="60" s="1"/>
  <c r="O597" i="95"/>
  <c r="P599" i="95"/>
  <c r="H357" i="63"/>
  <c r="H359" i="63" s="1"/>
  <c r="N178" i="95"/>
  <c r="Q53" i="95"/>
  <c r="R56" i="95"/>
  <c r="O30" i="95"/>
  <c r="O90" i="95"/>
  <c r="O60" i="95"/>
  <c r="O59" i="95" s="1"/>
  <c r="K231" i="59"/>
  <c r="S997" i="95"/>
  <c r="Q337" i="59"/>
  <c r="Q212" i="59" s="1"/>
  <c r="Q24" i="60"/>
  <c r="O72" i="95"/>
  <c r="O43" i="95"/>
  <c r="O42" i="95" s="1"/>
  <c r="P465" i="95"/>
  <c r="P464" i="95" s="1"/>
  <c r="Q470" i="95"/>
  <c r="P630" i="95"/>
  <c r="O628" i="95"/>
  <c r="O627" i="95" s="1"/>
  <c r="O1008" i="95"/>
  <c r="O1007" i="95" s="1"/>
  <c r="P1009" i="95"/>
  <c r="O944" i="95"/>
  <c r="P947" i="95"/>
  <c r="J172" i="60"/>
  <c r="L377" i="59"/>
  <c r="L389" i="59" s="1"/>
  <c r="L182" i="60"/>
  <c r="O232" i="95"/>
  <c r="P234" i="95"/>
  <c r="O603" i="95"/>
  <c r="P605" i="95"/>
  <c r="O212" i="59"/>
  <c r="Q124" i="95"/>
  <c r="R126" i="95"/>
  <c r="P349" i="95"/>
  <c r="Q351" i="95"/>
  <c r="O444" i="95"/>
  <c r="O443" i="95" s="1"/>
  <c r="P447" i="95"/>
  <c r="O577" i="95"/>
  <c r="P579" i="95"/>
  <c r="P818" i="95"/>
  <c r="P816" i="95" s="1"/>
  <c r="P797" i="95"/>
  <c r="P795" i="95" s="1"/>
  <c r="P828" i="95"/>
  <c r="Q782" i="95"/>
  <c r="Q191" i="95"/>
  <c r="R193" i="95"/>
  <c r="O882" i="95"/>
  <c r="P884" i="95"/>
  <c r="P25" i="95"/>
  <c r="Q27" i="95"/>
  <c r="N776" i="95"/>
  <c r="N1019" i="95"/>
  <c r="P701" i="95"/>
  <c r="Q703" i="95"/>
  <c r="R454" i="95"/>
  <c r="O572" i="95"/>
  <c r="P574" i="95"/>
  <c r="P70" i="95"/>
  <c r="O1408" i="95"/>
  <c r="O1405" i="95" s="1"/>
  <c r="O1404" i="95" s="1"/>
  <c r="O1380" i="95" s="1"/>
  <c r="P155" i="24" s="1"/>
  <c r="S267" i="59" s="1"/>
  <c r="S322" i="59" s="1"/>
  <c r="O996" i="95"/>
  <c r="O993" i="95" s="1"/>
  <c r="O992" i="95" s="1"/>
  <c r="O74" i="95"/>
  <c r="O282" i="95"/>
  <c r="O279" i="95" s="1"/>
  <c r="O278" i="95" s="1"/>
  <c r="O829" i="95"/>
  <c r="O826" i="95" s="1"/>
  <c r="O825" i="95" s="1"/>
  <c r="O453" i="95"/>
  <c r="O450" i="95" s="1"/>
  <c r="O449" i="95" s="1"/>
  <c r="O553" i="95"/>
  <c r="O550" i="95" s="1"/>
  <c r="O549" i="95" s="1"/>
  <c r="P226" i="95"/>
  <c r="Q228" i="95"/>
  <c r="O746" i="95"/>
  <c r="P748" i="95"/>
  <c r="P512" i="95"/>
  <c r="Q514" i="95"/>
  <c r="O115" i="95"/>
  <c r="P310" i="95" l="1"/>
  <c r="P309" i="95" s="1"/>
  <c r="P307" i="95"/>
  <c r="P306" i="95" s="1"/>
  <c r="P280" i="95"/>
  <c r="P274" i="95"/>
  <c r="P273" i="95" s="1"/>
  <c r="P272" i="95" s="1"/>
  <c r="P267" i="95"/>
  <c r="P266" i="95" s="1"/>
  <c r="P265" i="95" s="1"/>
  <c r="P262" i="95"/>
  <c r="P260" i="95" s="1"/>
  <c r="P259" i="95" s="1"/>
  <c r="Q248" i="95"/>
  <c r="O610" i="95"/>
  <c r="P211" i="59"/>
  <c r="O576" i="95"/>
  <c r="O593" i="95" s="1"/>
  <c r="O592" i="95" s="1"/>
  <c r="Q18" i="95"/>
  <c r="Q32" i="95" s="1"/>
  <c r="P61" i="95"/>
  <c r="P60" i="95" s="1"/>
  <c r="P59" i="95" s="1"/>
  <c r="O742" i="95"/>
  <c r="Q23" i="60"/>
  <c r="N519" i="95"/>
  <c r="O150" i="24" s="1"/>
  <c r="R262" i="59" s="1"/>
  <c r="R317" i="59" s="1"/>
  <c r="R25" i="60" s="1"/>
  <c r="Q338" i="59"/>
  <c r="Q213" i="59" s="1"/>
  <c r="P1035" i="95"/>
  <c r="Q1037" i="95"/>
  <c r="O313" i="95"/>
  <c r="O358" i="95" s="1"/>
  <c r="O357" i="95" s="1"/>
  <c r="O915" i="95"/>
  <c r="P403" i="95"/>
  <c r="Q405" i="95"/>
  <c r="P426" i="95"/>
  <c r="P425" i="95" s="1"/>
  <c r="Q428" i="95"/>
  <c r="Q745" i="95"/>
  <c r="P743" i="95"/>
  <c r="Q517" i="95"/>
  <c r="P515" i="95"/>
  <c r="P511" i="95" s="1"/>
  <c r="P978" i="95"/>
  <c r="R337" i="59"/>
  <c r="R212" i="59" s="1"/>
  <c r="O222" i="95"/>
  <c r="Q927" i="95"/>
  <c r="P925" i="95"/>
  <c r="O881" i="95"/>
  <c r="O898" i="95" s="1"/>
  <c r="O897" i="95" s="1"/>
  <c r="Q635" i="95"/>
  <c r="P633" i="95"/>
  <c r="P632" i="95" s="1"/>
  <c r="N245" i="95"/>
  <c r="O148" i="24" s="1"/>
  <c r="R260" i="59" s="1"/>
  <c r="R315" i="59" s="1"/>
  <c r="O943" i="95"/>
  <c r="P460" i="95"/>
  <c r="P459" i="95" s="1"/>
  <c r="Q462" i="95"/>
  <c r="O399" i="95"/>
  <c r="P916" i="95"/>
  <c r="Q918" i="95"/>
  <c r="O596" i="95"/>
  <c r="P611" i="95"/>
  <c r="Q613" i="95"/>
  <c r="O695" i="95"/>
  <c r="P696" i="95"/>
  <c r="O361" i="95"/>
  <c r="P115" i="95"/>
  <c r="O901" i="95"/>
  <c r="N692" i="95"/>
  <c r="N691" i="95" s="1"/>
  <c r="N618" i="95" s="1"/>
  <c r="O151" i="24" s="1"/>
  <c r="R263" i="59" s="1"/>
  <c r="R318" i="59" s="1"/>
  <c r="R339" i="59" s="1"/>
  <c r="R214" i="59" s="1"/>
  <c r="O693" i="95"/>
  <c r="P836" i="95"/>
  <c r="P835" i="95" s="1"/>
  <c r="Q838" i="95"/>
  <c r="P238" i="95"/>
  <c r="Q240" i="95"/>
  <c r="N750" i="95"/>
  <c r="O152" i="24" s="1"/>
  <c r="R264" i="59" s="1"/>
  <c r="R319" i="59" s="1"/>
  <c r="R340" i="59" s="1"/>
  <c r="R215" i="59" s="1"/>
  <c r="P380" i="95"/>
  <c r="Q382" i="95"/>
  <c r="Q667" i="95"/>
  <c r="P666" i="95"/>
  <c r="P663" i="95" s="1"/>
  <c r="P662" i="95" s="1"/>
  <c r="P952" i="95"/>
  <c r="Q955" i="95"/>
  <c r="O71" i="95"/>
  <c r="O69" i="95" s="1"/>
  <c r="N9" i="95"/>
  <c r="O147" i="24" s="1"/>
  <c r="R259" i="59" s="1"/>
  <c r="Q1015" i="95"/>
  <c r="R1017" i="95"/>
  <c r="Q979" i="95"/>
  <c r="R981" i="95"/>
  <c r="P889" i="95"/>
  <c r="Q891" i="95"/>
  <c r="Q337" i="95"/>
  <c r="P335" i="95"/>
  <c r="O29" i="95"/>
  <c r="P386" i="95"/>
  <c r="Q388" i="95"/>
  <c r="Q868" i="95"/>
  <c r="R869" i="95"/>
  <c r="O852" i="95"/>
  <c r="O178" i="95"/>
  <c r="M7" i="95"/>
  <c r="P185" i="95"/>
  <c r="Q187" i="95"/>
  <c r="N117" i="60"/>
  <c r="N48" i="73"/>
  <c r="L5" i="80"/>
  <c r="P944" i="95"/>
  <c r="Q947" i="95"/>
  <c r="P531" i="95"/>
  <c r="P530" i="95" s="1"/>
  <c r="Q534" i="95"/>
  <c r="S374" i="95"/>
  <c r="T376" i="95"/>
  <c r="T283" i="95"/>
  <c r="P90" i="95"/>
  <c r="P30" i="95"/>
  <c r="S209" i="95"/>
  <c r="T211" i="95"/>
  <c r="P856" i="95"/>
  <c r="Q857" i="95"/>
  <c r="Q769" i="95"/>
  <c r="R771" i="95"/>
  <c r="P1026" i="95"/>
  <c r="Q1027" i="95"/>
  <c r="O936" i="95"/>
  <c r="O1040" i="95"/>
  <c r="O1039" i="95" s="1"/>
  <c r="O1056" i="95" s="1"/>
  <c r="O1055" i="95" s="1"/>
  <c r="O1061" i="95"/>
  <c r="O1060" i="95" s="1"/>
  <c r="O1059" i="95" s="1"/>
  <c r="O1075" i="95"/>
  <c r="O1074" i="95" s="1"/>
  <c r="O1073" i="95" s="1"/>
  <c r="P1041" i="95"/>
  <c r="P289" i="95"/>
  <c r="P288" i="95" s="1"/>
  <c r="Q291" i="95"/>
  <c r="G366" i="59"/>
  <c r="G143" i="60"/>
  <c r="E17" i="80"/>
  <c r="T75" i="95"/>
  <c r="P790" i="95"/>
  <c r="Q792" i="95"/>
  <c r="P328" i="95"/>
  <c r="Q330" i="95"/>
  <c r="P526" i="95"/>
  <c r="P525" i="95" s="1"/>
  <c r="Q528" i="95"/>
  <c r="P152" i="95"/>
  <c r="Q154" i="95"/>
  <c r="P902" i="95"/>
  <c r="Q904" i="95"/>
  <c r="S729" i="95"/>
  <c r="T731" i="95"/>
  <c r="P472" i="95"/>
  <c r="Q474" i="95"/>
  <c r="M117" i="60"/>
  <c r="M48" i="73"/>
  <c r="K5" i="80"/>
  <c r="P131" i="95"/>
  <c r="Q133" i="95"/>
  <c r="Q701" i="95"/>
  <c r="R703" i="95"/>
  <c r="P444" i="95"/>
  <c r="P443" i="95" s="1"/>
  <c r="Q447" i="95"/>
  <c r="T997" i="95"/>
  <c r="T81" i="95"/>
  <c r="T66" i="95"/>
  <c r="T64" i="95" s="1"/>
  <c r="T50" i="95"/>
  <c r="T48" i="95" s="1"/>
  <c r="U35" i="95"/>
  <c r="R368" i="95"/>
  <c r="S370" i="95"/>
  <c r="P859" i="95"/>
  <c r="Q860" i="95"/>
  <c r="R485" i="95"/>
  <c r="S487" i="95"/>
  <c r="P673" i="95"/>
  <c r="P672" i="95" s="1"/>
  <c r="P688" i="95"/>
  <c r="P687" i="95" s="1"/>
  <c r="P1008" i="95"/>
  <c r="P1007" i="95" s="1"/>
  <c r="Q1009" i="95"/>
  <c r="P597" i="95"/>
  <c r="Q599" i="95"/>
  <c r="P862" i="95"/>
  <c r="Q863" i="95"/>
  <c r="P874" i="95"/>
  <c r="Q875" i="95"/>
  <c r="Q871" i="95"/>
  <c r="R873" i="95"/>
  <c r="P841" i="95"/>
  <c r="P840" i="95" s="1"/>
  <c r="Q842" i="95"/>
  <c r="P38" i="95"/>
  <c r="Q40" i="95"/>
  <c r="T498" i="95"/>
  <c r="U500" i="95"/>
  <c r="P865" i="95"/>
  <c r="Q866" i="95"/>
  <c r="P295" i="95"/>
  <c r="P294" i="95" s="1"/>
  <c r="P293" i="95" s="1"/>
  <c r="P302" i="95"/>
  <c r="P301" i="95" s="1"/>
  <c r="Q290" i="95"/>
  <c r="O968" i="95"/>
  <c r="O967" i="95" s="1"/>
  <c r="O956" i="95" s="1"/>
  <c r="O939" i="95"/>
  <c r="O938" i="95" s="1"/>
  <c r="N929" i="95"/>
  <c r="O153" i="24" s="1"/>
  <c r="R265" i="59" s="1"/>
  <c r="R320" i="59" s="1"/>
  <c r="P805" i="95"/>
  <c r="Q807" i="95"/>
  <c r="U104" i="95"/>
  <c r="V109" i="95"/>
  <c r="P735" i="95"/>
  <c r="P728" i="95" s="1"/>
  <c r="Q737" i="95"/>
  <c r="P229" i="95"/>
  <c r="Q231" i="95"/>
  <c r="Q342" i="95"/>
  <c r="R344" i="95"/>
  <c r="P34" i="95"/>
  <c r="Q37" i="95"/>
  <c r="R647" i="95"/>
  <c r="R659" i="95"/>
  <c r="R657" i="95" s="1"/>
  <c r="R656" i="95" s="1"/>
  <c r="R652" i="95"/>
  <c r="R650" i="95" s="1"/>
  <c r="R665" i="95"/>
  <c r="S640" i="95"/>
  <c r="K144" i="60"/>
  <c r="P321" i="95"/>
  <c r="Q323" i="95"/>
  <c r="O123" i="95"/>
  <c r="O175" i="95" s="1"/>
  <c r="O174" i="95" s="1"/>
  <c r="P746" i="95"/>
  <c r="Q748" i="95"/>
  <c r="R191" i="95"/>
  <c r="S193" i="95"/>
  <c r="P584" i="95"/>
  <c r="Q586" i="95"/>
  <c r="S985" i="95"/>
  <c r="S983" i="95" s="1"/>
  <c r="S964" i="95"/>
  <c r="S962" i="95" s="1"/>
  <c r="S995" i="95"/>
  <c r="T949" i="95"/>
  <c r="P159" i="95"/>
  <c r="Q161" i="95"/>
  <c r="P957" i="95"/>
  <c r="Q959" i="95"/>
  <c r="P972" i="95"/>
  <c r="Q974" i="95"/>
  <c r="P908" i="95"/>
  <c r="Q910" i="95"/>
  <c r="P716" i="95"/>
  <c r="P708" i="95" s="1"/>
  <c r="P725" i="95" s="1"/>
  <c r="P724" i="95" s="1"/>
  <c r="Q718" i="95"/>
  <c r="Q226" i="95"/>
  <c r="R228" i="95"/>
  <c r="H947" i="59"/>
  <c r="H949" i="59"/>
  <c r="H948" i="59"/>
  <c r="P1408" i="95"/>
  <c r="P1405" i="95" s="1"/>
  <c r="P1404" i="95" s="1"/>
  <c r="P1380" i="95" s="1"/>
  <c r="Q155" i="24" s="1"/>
  <c r="T267" i="59" s="1"/>
  <c r="T322" i="59" s="1"/>
  <c r="Q70" i="95"/>
  <c r="P74" i="95"/>
  <c r="P996" i="95"/>
  <c r="P993" i="95" s="1"/>
  <c r="P992" i="95" s="1"/>
  <c r="P282" i="95"/>
  <c r="P279" i="95" s="1"/>
  <c r="P278" i="95" s="1"/>
  <c r="P829" i="95"/>
  <c r="P826" i="95" s="1"/>
  <c r="P825" i="95" s="1"/>
  <c r="P553" i="95"/>
  <c r="P550" i="95" s="1"/>
  <c r="P549" i="95" s="1"/>
  <c r="P453" i="95"/>
  <c r="P450" i="95" s="1"/>
  <c r="P449" i="95" s="1"/>
  <c r="Q25" i="95"/>
  <c r="R27" i="95"/>
  <c r="K233" i="59"/>
  <c r="K195" i="59" s="1"/>
  <c r="S830" i="95"/>
  <c r="P773" i="95"/>
  <c r="Q758" i="95"/>
  <c r="P437" i="95"/>
  <c r="P436" i="95" s="1"/>
  <c r="Q440" i="95"/>
  <c r="P332" i="59"/>
  <c r="P335" i="59"/>
  <c r="P22" i="60"/>
  <c r="P40" i="60" s="1"/>
  <c r="Q636" i="95"/>
  <c r="R638" i="95"/>
  <c r="P215" i="95"/>
  <c r="Q217" i="95"/>
  <c r="O213" i="59"/>
  <c r="S62" i="95"/>
  <c r="S45" i="95"/>
  <c r="S73" i="95"/>
  <c r="T31" i="95"/>
  <c r="Q415" i="95"/>
  <c r="R417" i="95"/>
  <c r="P241" i="95"/>
  <c r="Q243" i="95"/>
  <c r="Q1029" i="95"/>
  <c r="R1031" i="95"/>
  <c r="P781" i="95"/>
  <c r="Q784" i="95"/>
  <c r="P1020" i="95"/>
  <c r="Q1021" i="95"/>
  <c r="S554" i="95"/>
  <c r="Q848" i="95"/>
  <c r="R850" i="95"/>
  <c r="P412" i="95"/>
  <c r="Q414" i="95"/>
  <c r="R203" i="95"/>
  <c r="S205" i="95"/>
  <c r="R268" i="95"/>
  <c r="R281" i="95"/>
  <c r="R275" i="95"/>
  <c r="S261" i="95"/>
  <c r="Q478" i="95"/>
  <c r="Q477" i="95" s="1"/>
  <c r="Q494" i="95" s="1"/>
  <c r="Q493" i="95" s="1"/>
  <c r="R480" i="95"/>
  <c r="Q273" i="59"/>
  <c r="Q314" i="59"/>
  <c r="N182" i="60"/>
  <c r="N377" i="59"/>
  <c r="N389" i="59" s="1"/>
  <c r="P1032" i="95"/>
  <c r="Q1033" i="95"/>
  <c r="G115" i="60"/>
  <c r="R257" i="95"/>
  <c r="Q255" i="95"/>
  <c r="Q254" i="95" s="1"/>
  <c r="Q349" i="95"/>
  <c r="R351" i="95"/>
  <c r="R53" i="95"/>
  <c r="S56" i="95"/>
  <c r="P572" i="95"/>
  <c r="Q574" i="95"/>
  <c r="J357" i="63"/>
  <c r="J359" i="63" s="1"/>
  <c r="J364" i="63" s="1"/>
  <c r="J375" i="63" s="1"/>
  <c r="O772" i="95"/>
  <c r="O762" i="95" s="1"/>
  <c r="O801" i="95"/>
  <c r="O800" i="95" s="1"/>
  <c r="O789" i="95" s="1"/>
  <c r="Q922" i="95"/>
  <c r="Q920" i="95"/>
  <c r="Q919" i="95" s="1"/>
  <c r="R923" i="95"/>
  <c r="O40" i="60"/>
  <c r="Q24" i="95"/>
  <c r="P22" i="95"/>
  <c r="P21" i="95" s="1"/>
  <c r="L366" i="59"/>
  <c r="L367" i="59" s="1"/>
  <c r="L368" i="59" s="1"/>
  <c r="L143" i="60"/>
  <c r="J17" i="80"/>
  <c r="O383" i="59"/>
  <c r="O384" i="59" s="1"/>
  <c r="P385" i="59" s="1"/>
  <c r="P390" i="59" s="1"/>
  <c r="Q1003" i="95"/>
  <c r="Q1002" i="95" s="1"/>
  <c r="R1005" i="95"/>
  <c r="P82" i="95"/>
  <c r="P79" i="95" s="1"/>
  <c r="Q83" i="95"/>
  <c r="Q166" i="95"/>
  <c r="R168" i="95"/>
  <c r="Q341" i="59"/>
  <c r="Q28" i="60"/>
  <c r="O1019" i="95"/>
  <c r="M223" i="59"/>
  <c r="I18" i="60"/>
  <c r="Q565" i="95"/>
  <c r="Q564" i="95" s="1"/>
  <c r="R566" i="95"/>
  <c r="P820" i="95"/>
  <c r="P811" i="95" s="1"/>
  <c r="Q821" i="95"/>
  <c r="P431" i="95"/>
  <c r="P430" i="95" s="1"/>
  <c r="Q434" i="95"/>
  <c r="S30" i="60"/>
  <c r="S343" i="59"/>
  <c r="S217" i="59" s="1"/>
  <c r="Q797" i="95"/>
  <c r="Q795" i="95" s="1"/>
  <c r="Q818" i="95"/>
  <c r="Q816" i="95" s="1"/>
  <c r="Q828" i="95"/>
  <c r="R782" i="95"/>
  <c r="P603" i="95"/>
  <c r="Q605" i="95"/>
  <c r="P614" i="95"/>
  <c r="Q616" i="95"/>
  <c r="Q465" i="95"/>
  <c r="Q464" i="95" s="1"/>
  <c r="R470" i="95"/>
  <c r="Q27" i="60"/>
  <c r="Q340" i="59"/>
  <c r="Q362" i="95"/>
  <c r="R364" i="95"/>
  <c r="Q120" i="95"/>
  <c r="Q119" i="95" s="1"/>
  <c r="Q117" i="95"/>
  <c r="Q116" i="95" s="1"/>
  <c r="Q99" i="95"/>
  <c r="Q98" i="95" s="1"/>
  <c r="Q97" i="95" s="1"/>
  <c r="Q44" i="95"/>
  <c r="R12" i="95"/>
  <c r="Q406" i="95"/>
  <c r="R408" i="95"/>
  <c r="P698" i="95"/>
  <c r="Q699" i="95"/>
  <c r="O353" i="59"/>
  <c r="O210" i="59"/>
  <c r="O374" i="59"/>
  <c r="O375" i="59" s="1"/>
  <c r="O376" i="59" s="1"/>
  <c r="Q223" i="95"/>
  <c r="R225" i="95"/>
  <c r="P183" i="60"/>
  <c r="S785" i="95"/>
  <c r="T787" i="95"/>
  <c r="P704" i="95"/>
  <c r="Q706" i="95"/>
  <c r="Q987" i="95"/>
  <c r="R989" i="95"/>
  <c r="Q409" i="95"/>
  <c r="R411" i="95"/>
  <c r="P400" i="95"/>
  <c r="Q402" i="95"/>
  <c r="M377" i="59"/>
  <c r="M389" i="59" s="1"/>
  <c r="M182" i="60"/>
  <c r="Q658" i="95"/>
  <c r="Q664" i="95"/>
  <c r="Q646" i="95"/>
  <c r="Q645" i="95" s="1"/>
  <c r="Q644" i="95" s="1"/>
  <c r="Q674" i="95"/>
  <c r="Q641" i="95"/>
  <c r="Q639" i="95" s="1"/>
  <c r="R623" i="95"/>
  <c r="R1023" i="95"/>
  <c r="S1025" i="95"/>
  <c r="Q235" i="95"/>
  <c r="R237" i="95"/>
  <c r="Q314" i="95"/>
  <c r="R316" i="95"/>
  <c r="P777" i="95"/>
  <c r="Q779" i="95"/>
  <c r="O419" i="95"/>
  <c r="P149" i="24" s="1"/>
  <c r="S261" i="59" s="1"/>
  <c r="S316" i="59" s="1"/>
  <c r="P763" i="95"/>
  <c r="Q765" i="95"/>
  <c r="P214" i="59"/>
  <c r="S812" i="95"/>
  <c r="T813" i="95"/>
  <c r="P940" i="95"/>
  <c r="Q934" i="95"/>
  <c r="P560" i="95"/>
  <c r="P559" i="95" s="1"/>
  <c r="Q562" i="95"/>
  <c r="Q382" i="59"/>
  <c r="Q383" i="59" s="1"/>
  <c r="Q384" i="59" s="1"/>
  <c r="Q211" i="59"/>
  <c r="Q630" i="95"/>
  <c r="P628" i="95"/>
  <c r="P627" i="95" s="1"/>
  <c r="Q512" i="95"/>
  <c r="R514" i="95"/>
  <c r="S454" i="95"/>
  <c r="P882" i="95"/>
  <c r="Q884" i="95"/>
  <c r="P577" i="95"/>
  <c r="Q579" i="95"/>
  <c r="R124" i="95"/>
  <c r="S126" i="95"/>
  <c r="P232" i="95"/>
  <c r="Q234" i="95"/>
  <c r="O89" i="95"/>
  <c r="O88" i="95" s="1"/>
  <c r="O112" i="95"/>
  <c r="O111" i="95" s="1"/>
  <c r="N19" i="60"/>
  <c r="N114" i="60"/>
  <c r="N115" i="60" s="1"/>
  <c r="J954" i="59"/>
  <c r="P877" i="95"/>
  <c r="Q879" i="95"/>
  <c r="P72" i="95"/>
  <c r="P43" i="95"/>
  <c r="P42" i="95" s="1"/>
  <c r="P179" i="95"/>
  <c r="Q181" i="95"/>
  <c r="P948" i="95"/>
  <c r="Q951" i="95"/>
  <c r="P197" i="95"/>
  <c r="Q199" i="95"/>
  <c r="T546" i="95"/>
  <c r="T544" i="95" s="1"/>
  <c r="T543" i="95" s="1"/>
  <c r="T552" i="95"/>
  <c r="T539" i="95"/>
  <c r="T537" i="95" s="1"/>
  <c r="T536" i="95" s="1"/>
  <c r="U532" i="95"/>
  <c r="Q504" i="95"/>
  <c r="Q497" i="95" s="1"/>
  <c r="R506" i="95"/>
  <c r="Q709" i="95"/>
  <c r="R711" i="95"/>
  <c r="P145" i="95"/>
  <c r="Q147" i="95"/>
  <c r="Q853" i="95"/>
  <c r="R854" i="95"/>
  <c r="S138" i="95"/>
  <c r="T140" i="95"/>
  <c r="Q680" i="95"/>
  <c r="Q679" i="95" s="1"/>
  <c r="R681" i="95"/>
  <c r="P766" i="95"/>
  <c r="Q768" i="95"/>
  <c r="O776" i="95"/>
  <c r="P392" i="95"/>
  <c r="Q394" i="95"/>
  <c r="Q26" i="60"/>
  <c r="Q339" i="59"/>
  <c r="Q214" i="59" s="1"/>
  <c r="P881" i="95" l="1"/>
  <c r="P898" i="95" s="1"/>
  <c r="P897" i="95" s="1"/>
  <c r="P305" i="95"/>
  <c r="Q310" i="95"/>
  <c r="Q309" i="95" s="1"/>
  <c r="Q307" i="95"/>
  <c r="Q306" i="95" s="1"/>
  <c r="Q274" i="95"/>
  <c r="Q273" i="95" s="1"/>
  <c r="Q272" i="95" s="1"/>
  <c r="Q267" i="95"/>
  <c r="Q266" i="95" s="1"/>
  <c r="Q265" i="95" s="1"/>
  <c r="Q280" i="95"/>
  <c r="Q262" i="95"/>
  <c r="Q260" i="95" s="1"/>
  <c r="Q259" i="95" s="1"/>
  <c r="R248" i="95"/>
  <c r="O519" i="95"/>
  <c r="P150" i="24" s="1"/>
  <c r="S262" i="59" s="1"/>
  <c r="S317" i="59" s="1"/>
  <c r="S25" i="60" s="1"/>
  <c r="P610" i="95"/>
  <c r="R18" i="95"/>
  <c r="R32" i="95" s="1"/>
  <c r="Q61" i="95"/>
  <c r="R338" i="59"/>
  <c r="R213" i="59" s="1"/>
  <c r="P742" i="95"/>
  <c r="P576" i="95"/>
  <c r="P593" i="95" s="1"/>
  <c r="P592" i="95" s="1"/>
  <c r="R26" i="60"/>
  <c r="P776" i="95"/>
  <c r="Q1035" i="95"/>
  <c r="R1037" i="95"/>
  <c r="Q978" i="95"/>
  <c r="P915" i="95"/>
  <c r="Q743" i="95"/>
  <c r="R745" i="95"/>
  <c r="R428" i="95"/>
  <c r="Q426" i="95"/>
  <c r="Q425" i="95" s="1"/>
  <c r="Q515" i="95"/>
  <c r="Q511" i="95" s="1"/>
  <c r="R517" i="95"/>
  <c r="P222" i="95"/>
  <c r="Q403" i="95"/>
  <c r="R405" i="95"/>
  <c r="O245" i="95"/>
  <c r="P148" i="24" s="1"/>
  <c r="S260" i="59" s="1"/>
  <c r="S315" i="59" s="1"/>
  <c r="S23" i="60" s="1"/>
  <c r="R927" i="95"/>
  <c r="Q925" i="95"/>
  <c r="R635" i="95"/>
  <c r="Q633" i="95"/>
  <c r="Q632" i="95" s="1"/>
  <c r="O223" i="59"/>
  <c r="O231" i="59" s="1"/>
  <c r="O233" i="59" s="1"/>
  <c r="O195" i="59" s="1"/>
  <c r="O198" i="59" s="1"/>
  <c r="O18" i="60" s="1"/>
  <c r="O114" i="60" s="1"/>
  <c r="O115" i="60" s="1"/>
  <c r="R23" i="60"/>
  <c r="R336" i="59"/>
  <c r="P313" i="95"/>
  <c r="P358" i="95" s="1"/>
  <c r="P357" i="95" s="1"/>
  <c r="Q460" i="95"/>
  <c r="Q459" i="95" s="1"/>
  <c r="R462" i="95"/>
  <c r="P361" i="95"/>
  <c r="P1019" i="95"/>
  <c r="P399" i="95"/>
  <c r="R613" i="95"/>
  <c r="Q611" i="95"/>
  <c r="R918" i="95"/>
  <c r="Q916" i="95"/>
  <c r="R27" i="60"/>
  <c r="P695" i="95"/>
  <c r="Q696" i="95"/>
  <c r="S869" i="95"/>
  <c r="R868" i="95"/>
  <c r="Q952" i="95"/>
  <c r="R955" i="95"/>
  <c r="O9" i="95"/>
  <c r="P147" i="24" s="1"/>
  <c r="S259" i="59" s="1"/>
  <c r="S981" i="95"/>
  <c r="R979" i="95"/>
  <c r="R838" i="95"/>
  <c r="Q836" i="95"/>
  <c r="Q835" i="95" s="1"/>
  <c r="R388" i="95"/>
  <c r="Q386" i="95"/>
  <c r="Q185" i="95"/>
  <c r="R187" i="95"/>
  <c r="R1015" i="95"/>
  <c r="S1017" i="95"/>
  <c r="Q666" i="95"/>
  <c r="Q663" i="95" s="1"/>
  <c r="Q662" i="95" s="1"/>
  <c r="R667" i="95"/>
  <c r="O692" i="95"/>
  <c r="O691" i="95" s="1"/>
  <c r="O618" i="95" s="1"/>
  <c r="P151" i="24" s="1"/>
  <c r="S263" i="59" s="1"/>
  <c r="S318" i="59" s="1"/>
  <c r="S26" i="60" s="1"/>
  <c r="P693" i="95"/>
  <c r="O750" i="95"/>
  <c r="P152" i="24" s="1"/>
  <c r="S264" i="59" s="1"/>
  <c r="S319" i="59" s="1"/>
  <c r="S340" i="59" s="1"/>
  <c r="S215" i="59" s="1"/>
  <c r="R382" i="95"/>
  <c r="Q380" i="95"/>
  <c r="Q889" i="95"/>
  <c r="R891" i="95"/>
  <c r="N7" i="95"/>
  <c r="Q238" i="95"/>
  <c r="R240" i="95"/>
  <c r="P178" i="95"/>
  <c r="P419" i="95"/>
  <c r="Q149" i="24" s="1"/>
  <c r="T261" i="59" s="1"/>
  <c r="T316" i="59" s="1"/>
  <c r="T337" i="59" s="1"/>
  <c r="T212" i="59" s="1"/>
  <c r="P852" i="95"/>
  <c r="Q335" i="95"/>
  <c r="R337" i="95"/>
  <c r="S1023" i="95"/>
  <c r="T1025" i="95"/>
  <c r="Q392" i="95"/>
  <c r="R394" i="95"/>
  <c r="Q766" i="95"/>
  <c r="R768" i="95"/>
  <c r="R853" i="95"/>
  <c r="S854" i="95"/>
  <c r="U539" i="95"/>
  <c r="U537" i="95" s="1"/>
  <c r="U536" i="95" s="1"/>
  <c r="U546" i="95"/>
  <c r="U544" i="95" s="1"/>
  <c r="U543" i="95" s="1"/>
  <c r="U552" i="95"/>
  <c r="V532" i="95"/>
  <c r="Q577" i="95"/>
  <c r="R579" i="95"/>
  <c r="R512" i="95"/>
  <c r="S514" i="95"/>
  <c r="Q777" i="95"/>
  <c r="R779" i="95"/>
  <c r="Q704" i="95"/>
  <c r="R706" i="95"/>
  <c r="R406" i="95"/>
  <c r="S408" i="95"/>
  <c r="Q115" i="95"/>
  <c r="R828" i="95"/>
  <c r="R818" i="95"/>
  <c r="R816" i="95" s="1"/>
  <c r="R797" i="95"/>
  <c r="R795" i="95" s="1"/>
  <c r="S782" i="95"/>
  <c r="M231" i="59"/>
  <c r="L942" i="59"/>
  <c r="L147" i="60"/>
  <c r="L26" i="68"/>
  <c r="R255" i="95"/>
  <c r="R254" i="95" s="1"/>
  <c r="S257" i="95"/>
  <c r="T554" i="95"/>
  <c r="P117" i="60"/>
  <c r="P48" i="73"/>
  <c r="N5" i="80"/>
  <c r="P71" i="95"/>
  <c r="P69" i="95" s="1"/>
  <c r="Q159" i="95"/>
  <c r="R161" i="95"/>
  <c r="Q321" i="95"/>
  <c r="R323" i="95"/>
  <c r="Q131" i="95"/>
  <c r="R133" i="95"/>
  <c r="P1061" i="95"/>
  <c r="P1060" i="95" s="1"/>
  <c r="P1059" i="95" s="1"/>
  <c r="P1040" i="95"/>
  <c r="P1039" i="95" s="1"/>
  <c r="P1056" i="95" s="1"/>
  <c r="P1055" i="95" s="1"/>
  <c r="P936" i="95"/>
  <c r="P1075" i="95"/>
  <c r="P1074" i="95" s="1"/>
  <c r="P1073" i="95" s="1"/>
  <c r="Q1041" i="95"/>
  <c r="Q572" i="95"/>
  <c r="R574" i="95"/>
  <c r="P353" i="59"/>
  <c r="P356" i="59" s="1"/>
  <c r="P144" i="60" s="1"/>
  <c r="P27" i="68" s="1"/>
  <c r="P374" i="59"/>
  <c r="P375" i="59" s="1"/>
  <c r="P376" i="59" s="1"/>
  <c r="P210" i="59"/>
  <c r="P223" i="59" s="1"/>
  <c r="P231" i="59" s="1"/>
  <c r="P233" i="59" s="1"/>
  <c r="P195" i="59" s="1"/>
  <c r="P198" i="59" s="1"/>
  <c r="P18" i="60" s="1"/>
  <c r="R25" i="95"/>
  <c r="S27" i="95"/>
  <c r="R70" i="95"/>
  <c r="Q1408" i="95"/>
  <c r="Q1405" i="95" s="1"/>
  <c r="Q1404" i="95" s="1"/>
  <c r="Q1380" i="95" s="1"/>
  <c r="R155" i="24" s="1"/>
  <c r="U267" i="59" s="1"/>
  <c r="U322" i="59" s="1"/>
  <c r="Q282" i="95"/>
  <c r="Q279" i="95" s="1"/>
  <c r="Q278" i="95" s="1"/>
  <c r="Q74" i="95"/>
  <c r="Q996" i="95"/>
  <c r="Q993" i="95" s="1"/>
  <c r="Q992" i="95" s="1"/>
  <c r="Q553" i="95"/>
  <c r="Q550" i="95" s="1"/>
  <c r="Q549" i="95" s="1"/>
  <c r="Q829" i="95"/>
  <c r="Q826" i="95" s="1"/>
  <c r="Q825" i="95" s="1"/>
  <c r="Q453" i="95"/>
  <c r="Q450" i="95" s="1"/>
  <c r="Q449" i="95" s="1"/>
  <c r="Q716" i="95"/>
  <c r="Q708" i="95" s="1"/>
  <c r="Q725" i="95" s="1"/>
  <c r="Q724" i="95" s="1"/>
  <c r="R718" i="95"/>
  <c r="S191" i="95"/>
  <c r="T193" i="95"/>
  <c r="Q34" i="95"/>
  <c r="R37" i="95"/>
  <c r="V104" i="95"/>
  <c r="W109" i="95"/>
  <c r="O929" i="95"/>
  <c r="P153" i="24" s="1"/>
  <c r="S265" i="59" s="1"/>
  <c r="S320" i="59" s="1"/>
  <c r="Q841" i="95"/>
  <c r="Q840" i="95" s="1"/>
  <c r="R842" i="95"/>
  <c r="Q597" i="95"/>
  <c r="R599" i="95"/>
  <c r="S368" i="95"/>
  <c r="T370" i="95"/>
  <c r="P123" i="95"/>
  <c r="P175" i="95" s="1"/>
  <c r="P174" i="95" s="1"/>
  <c r="Q902" i="95"/>
  <c r="R904" i="95"/>
  <c r="Q790" i="95"/>
  <c r="R792" i="95"/>
  <c r="Q856" i="95"/>
  <c r="R857" i="95"/>
  <c r="S203" i="95"/>
  <c r="T205" i="95"/>
  <c r="Q1020" i="95"/>
  <c r="R1021" i="95"/>
  <c r="T30" i="60"/>
  <c r="T343" i="59"/>
  <c r="T217" i="59" s="1"/>
  <c r="Q972" i="95"/>
  <c r="R974" i="95"/>
  <c r="T985" i="95"/>
  <c r="T983" i="95" s="1"/>
  <c r="T964" i="95"/>
  <c r="T962" i="95" s="1"/>
  <c r="T995" i="95"/>
  <c r="U949" i="95"/>
  <c r="Q865" i="95"/>
  <c r="R866" i="95"/>
  <c r="P596" i="95"/>
  <c r="U997" i="95"/>
  <c r="P901" i="95"/>
  <c r="G942" i="59"/>
  <c r="G26" i="68"/>
  <c r="G147" i="60"/>
  <c r="Q944" i="95"/>
  <c r="R947" i="95"/>
  <c r="Q820" i="95"/>
  <c r="Q811" i="95" s="1"/>
  <c r="R821" i="95"/>
  <c r="Q332" i="59"/>
  <c r="Q335" i="59"/>
  <c r="Q22" i="60"/>
  <c r="Q40" i="60" s="1"/>
  <c r="Q385" i="59"/>
  <c r="Q390" i="59" s="1"/>
  <c r="Q183" i="60"/>
  <c r="R314" i="95"/>
  <c r="S316" i="95"/>
  <c r="T785" i="95"/>
  <c r="U787" i="95"/>
  <c r="Q560" i="95"/>
  <c r="Q559" i="95" s="1"/>
  <c r="R562" i="95"/>
  <c r="Q763" i="95"/>
  <c r="R765" i="95"/>
  <c r="O377" i="59"/>
  <c r="O389" i="59" s="1"/>
  <c r="O182" i="60"/>
  <c r="R362" i="95"/>
  <c r="S364" i="95"/>
  <c r="R565" i="95"/>
  <c r="R564" i="95" s="1"/>
  <c r="S566" i="95"/>
  <c r="Q22" i="95"/>
  <c r="Q21" i="95" s="1"/>
  <c r="R24" i="95"/>
  <c r="S53" i="95"/>
  <c r="T56" i="95"/>
  <c r="R478" i="95"/>
  <c r="R477" i="95" s="1"/>
  <c r="R494" i="95" s="1"/>
  <c r="R493" i="95" s="1"/>
  <c r="S480" i="95"/>
  <c r="Q437" i="95"/>
  <c r="Q436" i="95" s="1"/>
  <c r="R440" i="95"/>
  <c r="Q746" i="95"/>
  <c r="R748" i="95"/>
  <c r="K27" i="68"/>
  <c r="R342" i="95"/>
  <c r="S344" i="95"/>
  <c r="Q805" i="95"/>
  <c r="R807" i="95"/>
  <c r="R871" i="95"/>
  <c r="S873" i="95"/>
  <c r="Q1008" i="95"/>
  <c r="Q1007" i="95" s="1"/>
  <c r="R1009" i="95"/>
  <c r="U50" i="95"/>
  <c r="U48" i="95" s="1"/>
  <c r="U81" i="95"/>
  <c r="U66" i="95"/>
  <c r="U64" i="95" s="1"/>
  <c r="V35" i="95"/>
  <c r="Q152" i="95"/>
  <c r="R154" i="95"/>
  <c r="T209" i="95"/>
  <c r="U211" i="95"/>
  <c r="U283" i="95"/>
  <c r="P943" i="95"/>
  <c r="R680" i="95"/>
  <c r="R679" i="95" s="1"/>
  <c r="S681" i="95"/>
  <c r="Q882" i="95"/>
  <c r="R884" i="95"/>
  <c r="R658" i="95"/>
  <c r="R641" i="95"/>
  <c r="R639" i="95" s="1"/>
  <c r="R646" i="95"/>
  <c r="R645" i="95" s="1"/>
  <c r="R644" i="95" s="1"/>
  <c r="R664" i="95"/>
  <c r="R674" i="95"/>
  <c r="S623" i="95"/>
  <c r="Q232" i="95"/>
  <c r="R234" i="95"/>
  <c r="R630" i="95"/>
  <c r="Q628" i="95"/>
  <c r="Q627" i="95" s="1"/>
  <c r="Q688" i="95"/>
  <c r="Q687" i="95" s="1"/>
  <c r="Q673" i="95"/>
  <c r="Q672" i="95" s="1"/>
  <c r="R409" i="95"/>
  <c r="S411" i="95"/>
  <c r="R44" i="95"/>
  <c r="R99" i="95"/>
  <c r="R98" i="95" s="1"/>
  <c r="R97" i="95" s="1"/>
  <c r="R117" i="95"/>
  <c r="R116" i="95" s="1"/>
  <c r="R120" i="95"/>
  <c r="R119" i="95" s="1"/>
  <c r="S12" i="95"/>
  <c r="Q614" i="95"/>
  <c r="R616" i="95"/>
  <c r="R166" i="95"/>
  <c r="S168" i="95"/>
  <c r="O117" i="60"/>
  <c r="O48" i="73"/>
  <c r="M5" i="80"/>
  <c r="Q412" i="95"/>
  <c r="R414" i="95"/>
  <c r="R415" i="95"/>
  <c r="S417" i="95"/>
  <c r="Q215" i="95"/>
  <c r="R217" i="95"/>
  <c r="K198" i="59"/>
  <c r="Q908" i="95"/>
  <c r="R910" i="95"/>
  <c r="S665" i="95"/>
  <c r="S647" i="95"/>
  <c r="S659" i="95"/>
  <c r="S657" i="95" s="1"/>
  <c r="S656" i="95" s="1"/>
  <c r="S652" i="95"/>
  <c r="S650" i="95" s="1"/>
  <c r="T640" i="95"/>
  <c r="S485" i="95"/>
  <c r="T487" i="95"/>
  <c r="Q444" i="95"/>
  <c r="Q443" i="95" s="1"/>
  <c r="R447" i="95"/>
  <c r="G367" i="59"/>
  <c r="G368" i="59" s="1"/>
  <c r="L172" i="60"/>
  <c r="R709" i="95"/>
  <c r="S711" i="95"/>
  <c r="Q197" i="95"/>
  <c r="R199" i="95"/>
  <c r="R934" i="95"/>
  <c r="Q940" i="95"/>
  <c r="O356" i="59"/>
  <c r="Q43" i="95"/>
  <c r="Q42" i="95" s="1"/>
  <c r="Q72" i="95"/>
  <c r="O183" i="60"/>
  <c r="O385" i="59"/>
  <c r="O390" i="59" s="1"/>
  <c r="R922" i="95"/>
  <c r="R920" i="95"/>
  <c r="R919" i="95" s="1"/>
  <c r="S923" i="95"/>
  <c r="R349" i="95"/>
  <c r="S351" i="95"/>
  <c r="Q1032" i="95"/>
  <c r="R1033" i="95"/>
  <c r="Q781" i="95"/>
  <c r="R784" i="95"/>
  <c r="Q773" i="95"/>
  <c r="R758" i="95"/>
  <c r="H951" i="59"/>
  <c r="H985" i="59" s="1"/>
  <c r="H60" i="60" s="1"/>
  <c r="Q229" i="95"/>
  <c r="R231" i="95"/>
  <c r="U498" i="95"/>
  <c r="V500" i="95"/>
  <c r="Q874" i="95"/>
  <c r="R875" i="95"/>
  <c r="Q472" i="95"/>
  <c r="R474" i="95"/>
  <c r="Q526" i="95"/>
  <c r="Q525" i="95" s="1"/>
  <c r="R528" i="95"/>
  <c r="U75" i="95"/>
  <c r="Q1026" i="95"/>
  <c r="R1027" i="95"/>
  <c r="P29" i="95"/>
  <c r="T374" i="95"/>
  <c r="U376" i="95"/>
  <c r="Q179" i="95"/>
  <c r="R181" i="95"/>
  <c r="R1003" i="95"/>
  <c r="R1002" i="95" s="1"/>
  <c r="S1005" i="95"/>
  <c r="Q241" i="95"/>
  <c r="R243" i="95"/>
  <c r="Q145" i="95"/>
  <c r="R147" i="95"/>
  <c r="Q400" i="95"/>
  <c r="R402" i="95"/>
  <c r="Q215" i="59"/>
  <c r="Q603" i="95"/>
  <c r="R605" i="95"/>
  <c r="Q82" i="95"/>
  <c r="Q79" i="95" s="1"/>
  <c r="R83" i="95"/>
  <c r="J382" i="63"/>
  <c r="J383" i="63" s="1"/>
  <c r="J1110" i="59" s="1"/>
  <c r="J376" i="63"/>
  <c r="J1108" i="59" s="1"/>
  <c r="S275" i="95"/>
  <c r="S268" i="95"/>
  <c r="S281" i="95"/>
  <c r="T261" i="95"/>
  <c r="R848" i="95"/>
  <c r="S850" i="95"/>
  <c r="T45" i="95"/>
  <c r="T73" i="95"/>
  <c r="T62" i="95"/>
  <c r="U31" i="95"/>
  <c r="R636" i="95"/>
  <c r="S638" i="95"/>
  <c r="P772" i="95"/>
  <c r="P762" i="95" s="1"/>
  <c r="P801" i="95"/>
  <c r="P800" i="95" s="1"/>
  <c r="P789" i="95" s="1"/>
  <c r="R226" i="95"/>
  <c r="S228" i="95"/>
  <c r="Q957" i="95"/>
  <c r="R959" i="95"/>
  <c r="Q584" i="95"/>
  <c r="R586" i="95"/>
  <c r="R341" i="59"/>
  <c r="R28" i="60"/>
  <c r="R701" i="95"/>
  <c r="S703" i="95"/>
  <c r="Q289" i="95"/>
  <c r="Q288" i="95" s="1"/>
  <c r="R291" i="95"/>
  <c r="R273" i="59"/>
  <c r="R314" i="59"/>
  <c r="Q877" i="95"/>
  <c r="R879" i="95"/>
  <c r="R465" i="95"/>
  <c r="R464" i="95" s="1"/>
  <c r="S470" i="95"/>
  <c r="T138" i="95"/>
  <c r="U140" i="95"/>
  <c r="R504" i="95"/>
  <c r="R497" i="95" s="1"/>
  <c r="S506" i="95"/>
  <c r="S124" i="95"/>
  <c r="T126" i="95"/>
  <c r="T454" i="95"/>
  <c r="P968" i="95"/>
  <c r="P967" i="95" s="1"/>
  <c r="P956" i="95" s="1"/>
  <c r="P939" i="95"/>
  <c r="P938" i="95" s="1"/>
  <c r="R987" i="95"/>
  <c r="S989" i="95"/>
  <c r="Q698" i="95"/>
  <c r="R699" i="95"/>
  <c r="Q948" i="95"/>
  <c r="R951" i="95"/>
  <c r="N366" i="59"/>
  <c r="N367" i="59" s="1"/>
  <c r="N368" i="59" s="1"/>
  <c r="N143" i="60"/>
  <c r="L17" i="80"/>
  <c r="T812" i="95"/>
  <c r="U813" i="95"/>
  <c r="S337" i="59"/>
  <c r="S212" i="59" s="1"/>
  <c r="S24" i="60"/>
  <c r="R235" i="95"/>
  <c r="S237" i="95"/>
  <c r="R223" i="95"/>
  <c r="S225" i="95"/>
  <c r="Q60" i="95"/>
  <c r="Q59" i="95" s="1"/>
  <c r="Q30" i="95"/>
  <c r="Q90" i="95"/>
  <c r="Q431" i="95"/>
  <c r="Q430" i="95" s="1"/>
  <c r="R434" i="95"/>
  <c r="I114" i="60"/>
  <c r="I19" i="60"/>
  <c r="R1029" i="95"/>
  <c r="S1031" i="95"/>
  <c r="T830" i="95"/>
  <c r="Q735" i="95"/>
  <c r="Q728" i="95" s="1"/>
  <c r="R737" i="95"/>
  <c r="Q302" i="95"/>
  <c r="Q301" i="95" s="1"/>
  <c r="Q295" i="95"/>
  <c r="Q294" i="95" s="1"/>
  <c r="Q293" i="95" s="1"/>
  <c r="R290" i="95"/>
  <c r="Q38" i="95"/>
  <c r="R40" i="95"/>
  <c r="Q862" i="95"/>
  <c r="R863" i="95"/>
  <c r="Q859" i="95"/>
  <c r="R860" i="95"/>
  <c r="T729" i="95"/>
  <c r="U731" i="95"/>
  <c r="Q328" i="95"/>
  <c r="R330" i="95"/>
  <c r="R769" i="95"/>
  <c r="S771" i="95"/>
  <c r="P112" i="95"/>
  <c r="P111" i="95" s="1"/>
  <c r="P89" i="95"/>
  <c r="P88" i="95" s="1"/>
  <c r="Q531" i="95"/>
  <c r="Q530" i="95" s="1"/>
  <c r="R534" i="95"/>
  <c r="S338" i="59" l="1"/>
  <c r="Q305" i="95"/>
  <c r="R307" i="95"/>
  <c r="R306" i="95" s="1"/>
  <c r="R310" i="95"/>
  <c r="R309" i="95" s="1"/>
  <c r="R274" i="95"/>
  <c r="R273" i="95" s="1"/>
  <c r="R272" i="95" s="1"/>
  <c r="R280" i="95"/>
  <c r="R262" i="95"/>
  <c r="R260" i="95" s="1"/>
  <c r="R259" i="95" s="1"/>
  <c r="S248" i="95"/>
  <c r="R267" i="95"/>
  <c r="R266" i="95" s="1"/>
  <c r="R265" i="95" s="1"/>
  <c r="R978" i="95"/>
  <c r="P519" i="95"/>
  <c r="Q150" i="24" s="1"/>
  <c r="T262" i="59" s="1"/>
  <c r="T317" i="59" s="1"/>
  <c r="T338" i="59" s="1"/>
  <c r="T213" i="59" s="1"/>
  <c r="S18" i="95"/>
  <c r="S32" i="95" s="1"/>
  <c r="R61" i="95"/>
  <c r="R60" i="95" s="1"/>
  <c r="R59" i="95" s="1"/>
  <c r="S339" i="59"/>
  <c r="S214" i="59" s="1"/>
  <c r="Q361" i="95"/>
  <c r="S336" i="59"/>
  <c r="S211" i="59" s="1"/>
  <c r="Q742" i="95"/>
  <c r="R1035" i="95"/>
  <c r="S1037" i="95"/>
  <c r="R515" i="95"/>
  <c r="R511" i="95" s="1"/>
  <c r="S517" i="95"/>
  <c r="S428" i="95"/>
  <c r="R426" i="95"/>
  <c r="R425" i="95" s="1"/>
  <c r="R743" i="95"/>
  <c r="S745" i="95"/>
  <c r="S405" i="95"/>
  <c r="R403" i="95"/>
  <c r="Q915" i="95"/>
  <c r="O19" i="60"/>
  <c r="O366" i="59" s="1"/>
  <c r="O367" i="59" s="1"/>
  <c r="O368" i="59" s="1"/>
  <c r="Q881" i="95"/>
  <c r="Q898" i="95" s="1"/>
  <c r="Q897" i="95" s="1"/>
  <c r="R925" i="95"/>
  <c r="S927" i="95"/>
  <c r="Q419" i="95"/>
  <c r="R149" i="24" s="1"/>
  <c r="U261" i="59" s="1"/>
  <c r="U316" i="59" s="1"/>
  <c r="U337" i="59" s="1"/>
  <c r="U212" i="59" s="1"/>
  <c r="P245" i="95"/>
  <c r="Q148" i="24" s="1"/>
  <c r="T260" i="59" s="1"/>
  <c r="T315" i="59" s="1"/>
  <c r="T23" i="60" s="1"/>
  <c r="R633" i="95"/>
  <c r="R632" i="95" s="1"/>
  <c r="S635" i="95"/>
  <c r="Q399" i="95"/>
  <c r="T24" i="60"/>
  <c r="R211" i="59"/>
  <c r="R382" i="59"/>
  <c r="R383" i="59" s="1"/>
  <c r="R384" i="59" s="1"/>
  <c r="Q610" i="95"/>
  <c r="R460" i="95"/>
  <c r="R459" i="95" s="1"/>
  <c r="S462" i="95"/>
  <c r="Q852" i="95"/>
  <c r="Q695" i="95"/>
  <c r="R696" i="95"/>
  <c r="Q178" i="95"/>
  <c r="S27" i="60"/>
  <c r="S918" i="95"/>
  <c r="R916" i="95"/>
  <c r="R611" i="95"/>
  <c r="S613" i="95"/>
  <c r="S382" i="95"/>
  <c r="R380" i="95"/>
  <c r="R185" i="95"/>
  <c r="S187" i="95"/>
  <c r="Q29" i="95"/>
  <c r="T981" i="95"/>
  <c r="S979" i="95"/>
  <c r="P9" i="95"/>
  <c r="Q147" i="24" s="1"/>
  <c r="T259" i="59" s="1"/>
  <c r="Q222" i="95"/>
  <c r="R238" i="95"/>
  <c r="S240" i="95"/>
  <c r="P692" i="95"/>
  <c r="P691" i="95" s="1"/>
  <c r="P618" i="95" s="1"/>
  <c r="Q151" i="24" s="1"/>
  <c r="T263" i="59" s="1"/>
  <c r="T318" i="59" s="1"/>
  <c r="T339" i="59" s="1"/>
  <c r="T214" i="59" s="1"/>
  <c r="Q693" i="95"/>
  <c r="O7" i="95"/>
  <c r="R666" i="95"/>
  <c r="R663" i="95" s="1"/>
  <c r="R662" i="95" s="1"/>
  <c r="S667" i="95"/>
  <c r="S955" i="95"/>
  <c r="R952" i="95"/>
  <c r="S337" i="95"/>
  <c r="R335" i="95"/>
  <c r="S891" i="95"/>
  <c r="R889" i="95"/>
  <c r="R386" i="95"/>
  <c r="S388" i="95"/>
  <c r="T1017" i="95"/>
  <c r="S1015" i="95"/>
  <c r="Q313" i="95"/>
  <c r="Q358" i="95" s="1"/>
  <c r="Q357" i="95" s="1"/>
  <c r="R836" i="95"/>
  <c r="R835" i="95" s="1"/>
  <c r="S838" i="95"/>
  <c r="S868" i="95"/>
  <c r="T869" i="95"/>
  <c r="P750" i="95"/>
  <c r="Q152" i="24" s="1"/>
  <c r="T264" i="59" s="1"/>
  <c r="T319" i="59" s="1"/>
  <c r="R38" i="95"/>
  <c r="S40" i="95"/>
  <c r="R289" i="95"/>
  <c r="R288" i="95" s="1"/>
  <c r="S291" i="95"/>
  <c r="R295" i="95"/>
  <c r="R294" i="95" s="1"/>
  <c r="R293" i="95" s="1"/>
  <c r="R302" i="95"/>
  <c r="R301" i="95" s="1"/>
  <c r="S290" i="95"/>
  <c r="R877" i="95"/>
  <c r="S879" i="95"/>
  <c r="H369" i="59"/>
  <c r="H388" i="59" s="1"/>
  <c r="H391" i="59" s="1"/>
  <c r="H42" i="60" s="1"/>
  <c r="G172" i="60"/>
  <c r="G369" i="59"/>
  <c r="G388" i="59" s="1"/>
  <c r="S166" i="95"/>
  <c r="T168" i="95"/>
  <c r="R115" i="95"/>
  <c r="S674" i="95"/>
  <c r="S646" i="95"/>
  <c r="S645" i="95" s="1"/>
  <c r="S644" i="95" s="1"/>
  <c r="S658" i="95"/>
  <c r="S641" i="95"/>
  <c r="S639" i="95" s="1"/>
  <c r="S664" i="95"/>
  <c r="T623" i="95"/>
  <c r="R437" i="95"/>
  <c r="R436" i="95" s="1"/>
  <c r="S440" i="95"/>
  <c r="R22" i="95"/>
  <c r="R21" i="95" s="1"/>
  <c r="S24" i="95"/>
  <c r="S314" i="95"/>
  <c r="T316" i="95"/>
  <c r="R1020" i="95"/>
  <c r="S1021" i="95"/>
  <c r="R856" i="95"/>
  <c r="S857" i="95"/>
  <c r="R902" i="95"/>
  <c r="S904" i="95"/>
  <c r="R597" i="95"/>
  <c r="S599" i="95"/>
  <c r="R131" i="95"/>
  <c r="S133" i="95"/>
  <c r="S512" i="95"/>
  <c r="T514" i="95"/>
  <c r="S853" i="95"/>
  <c r="T854" i="95"/>
  <c r="T1023" i="95"/>
  <c r="U1025" i="95"/>
  <c r="U374" i="95"/>
  <c r="V376" i="95"/>
  <c r="R531" i="95"/>
  <c r="R530" i="95" s="1"/>
  <c r="S534" i="95"/>
  <c r="U830" i="95"/>
  <c r="U812" i="95"/>
  <c r="V813" i="95"/>
  <c r="S701" i="95"/>
  <c r="T703" i="95"/>
  <c r="R584" i="95"/>
  <c r="S586" i="95"/>
  <c r="S1003" i="95"/>
  <c r="S1002" i="95" s="1"/>
  <c r="T1005" i="95"/>
  <c r="R1026" i="95"/>
  <c r="S1027" i="95"/>
  <c r="R874" i="95"/>
  <c r="S875" i="95"/>
  <c r="R773" i="95"/>
  <c r="S758" i="95"/>
  <c r="S922" i="95"/>
  <c r="S920" i="95"/>
  <c r="S919" i="95" s="1"/>
  <c r="T923" i="95"/>
  <c r="O144" i="60"/>
  <c r="S415" i="95"/>
  <c r="T417" i="95"/>
  <c r="R673" i="95"/>
  <c r="R672" i="95" s="1"/>
  <c r="R688" i="95"/>
  <c r="R687" i="95" s="1"/>
  <c r="S680" i="95"/>
  <c r="S679" i="95" s="1"/>
  <c r="T681" i="95"/>
  <c r="R1008" i="95"/>
  <c r="R1007" i="95" s="1"/>
  <c r="S1009" i="95"/>
  <c r="S342" i="95"/>
  <c r="T344" i="95"/>
  <c r="R763" i="95"/>
  <c r="S765" i="95"/>
  <c r="R944" i="95"/>
  <c r="S947" i="95"/>
  <c r="Q1019" i="95"/>
  <c r="Q901" i="95"/>
  <c r="Q596" i="95"/>
  <c r="T191" i="95"/>
  <c r="U193" i="95"/>
  <c r="Q123" i="95"/>
  <c r="Q175" i="95" s="1"/>
  <c r="Q174" i="95" s="1"/>
  <c r="T257" i="95"/>
  <c r="S255" i="95"/>
  <c r="S254" i="95" s="1"/>
  <c r="H123" i="60"/>
  <c r="H28" i="68"/>
  <c r="F7" i="80"/>
  <c r="H76" i="73"/>
  <c r="H78" i="73" s="1"/>
  <c r="H90" i="73" s="1"/>
  <c r="H49" i="73"/>
  <c r="H50" i="73" s="1"/>
  <c r="H63" i="73" s="1"/>
  <c r="T659" i="95"/>
  <c r="T657" i="95" s="1"/>
  <c r="T656" i="95" s="1"/>
  <c r="T647" i="95"/>
  <c r="T665" i="95"/>
  <c r="T652" i="95"/>
  <c r="T650" i="95" s="1"/>
  <c r="U640" i="95"/>
  <c r="U729" i="95"/>
  <c r="V731" i="95"/>
  <c r="N172" i="60"/>
  <c r="R859" i="95"/>
  <c r="S860" i="95"/>
  <c r="S223" i="95"/>
  <c r="T225" i="95"/>
  <c r="R948" i="95"/>
  <c r="S951" i="95"/>
  <c r="S504" i="95"/>
  <c r="S497" i="95" s="1"/>
  <c r="T506" i="95"/>
  <c r="Q772" i="95"/>
  <c r="Q762" i="95" s="1"/>
  <c r="Q801" i="95"/>
  <c r="Q800" i="95" s="1"/>
  <c r="Q789" i="95" s="1"/>
  <c r="R197" i="95"/>
  <c r="S199" i="95"/>
  <c r="R444" i="95"/>
  <c r="R443" i="95" s="1"/>
  <c r="S447" i="95"/>
  <c r="R614" i="95"/>
  <c r="S616" i="95"/>
  <c r="R43" i="95"/>
  <c r="R42" i="95" s="1"/>
  <c r="R72" i="95"/>
  <c r="R152" i="95"/>
  <c r="S154" i="95"/>
  <c r="S478" i="95"/>
  <c r="S477" i="95" s="1"/>
  <c r="S494" i="95" s="1"/>
  <c r="S493" i="95" s="1"/>
  <c r="T480" i="95"/>
  <c r="S565" i="95"/>
  <c r="S564" i="95" s="1"/>
  <c r="T566" i="95"/>
  <c r="Q943" i="95"/>
  <c r="V997" i="95"/>
  <c r="T203" i="95"/>
  <c r="U205" i="95"/>
  <c r="R841" i="95"/>
  <c r="R840" i="95" s="1"/>
  <c r="S842" i="95"/>
  <c r="Q71" i="95"/>
  <c r="Q69" i="95" s="1"/>
  <c r="P19" i="60"/>
  <c r="P114" i="60"/>
  <c r="P115" i="60" s="1"/>
  <c r="Q1075" i="95"/>
  <c r="Q1074" i="95" s="1"/>
  <c r="Q1073" i="95" s="1"/>
  <c r="Q1040" i="95"/>
  <c r="Q1039" i="95" s="1"/>
  <c r="Q1056" i="95" s="1"/>
  <c r="Q1055" i="95" s="1"/>
  <c r="Q1061" i="95"/>
  <c r="Q1060" i="95" s="1"/>
  <c r="Q1059" i="95" s="1"/>
  <c r="Q936" i="95"/>
  <c r="R1041" i="95"/>
  <c r="R321" i="95"/>
  <c r="S323" i="95"/>
  <c r="S797" i="95"/>
  <c r="S795" i="95" s="1"/>
  <c r="S818" i="95"/>
  <c r="S816" i="95" s="1"/>
  <c r="S828" i="95"/>
  <c r="T782" i="95"/>
  <c r="R704" i="95"/>
  <c r="S706" i="95"/>
  <c r="R577" i="95"/>
  <c r="S579" i="95"/>
  <c r="R766" i="95"/>
  <c r="S768" i="95"/>
  <c r="S273" i="59"/>
  <c r="S314" i="59"/>
  <c r="R328" i="95"/>
  <c r="S330" i="95"/>
  <c r="S987" i="95"/>
  <c r="T989" i="95"/>
  <c r="N942" i="59"/>
  <c r="N26" i="68"/>
  <c r="N147" i="60"/>
  <c r="P929" i="95"/>
  <c r="Q153" i="24" s="1"/>
  <c r="T265" i="59" s="1"/>
  <c r="T320" i="59" s="1"/>
  <c r="R735" i="95"/>
  <c r="R728" i="95" s="1"/>
  <c r="S737" i="95"/>
  <c r="G17" i="80"/>
  <c r="I366" i="59"/>
  <c r="I143" i="60"/>
  <c r="U454" i="95"/>
  <c r="R332" i="59"/>
  <c r="R335" i="59"/>
  <c r="R22" i="60"/>
  <c r="R40" i="60" s="1"/>
  <c r="R957" i="95"/>
  <c r="S959" i="95"/>
  <c r="S848" i="95"/>
  <c r="T850" i="95"/>
  <c r="R400" i="95"/>
  <c r="S402" i="95"/>
  <c r="R179" i="95"/>
  <c r="S181" i="95"/>
  <c r="V75" i="95"/>
  <c r="V498" i="95"/>
  <c r="W500" i="95"/>
  <c r="R781" i="95"/>
  <c r="S784" i="95"/>
  <c r="R908" i="95"/>
  <c r="S910" i="95"/>
  <c r="R412" i="95"/>
  <c r="S414" i="95"/>
  <c r="R628" i="95"/>
  <c r="R627" i="95" s="1"/>
  <c r="S630" i="95"/>
  <c r="S871" i="95"/>
  <c r="T873" i="95"/>
  <c r="R560" i="95"/>
  <c r="R559" i="95" s="1"/>
  <c r="S562" i="95"/>
  <c r="G154" i="60"/>
  <c r="R972" i="95"/>
  <c r="S974" i="95"/>
  <c r="T368" i="95"/>
  <c r="U370" i="95"/>
  <c r="P377" i="59"/>
  <c r="P389" i="59" s="1"/>
  <c r="P182" i="60"/>
  <c r="Q576" i="95"/>
  <c r="Q593" i="95" s="1"/>
  <c r="Q592" i="95" s="1"/>
  <c r="S769" i="95"/>
  <c r="T771" i="95"/>
  <c r="I115" i="60"/>
  <c r="T485" i="95"/>
  <c r="U487" i="95"/>
  <c r="R232" i="95"/>
  <c r="S234" i="95"/>
  <c r="S362" i="95"/>
  <c r="T364" i="95"/>
  <c r="Q117" i="60"/>
  <c r="Q48" i="73"/>
  <c r="O5" i="80"/>
  <c r="S341" i="59"/>
  <c r="S28" i="60"/>
  <c r="R716" i="95"/>
  <c r="R708" i="95" s="1"/>
  <c r="R725" i="95" s="1"/>
  <c r="R724" i="95" s="1"/>
  <c r="S718" i="95"/>
  <c r="U30" i="60"/>
  <c r="U343" i="59"/>
  <c r="U217" i="59" s="1"/>
  <c r="L357" i="63"/>
  <c r="L359" i="63" s="1"/>
  <c r="L364" i="63" s="1"/>
  <c r="L375" i="63" s="1"/>
  <c r="V546" i="95"/>
  <c r="V544" i="95" s="1"/>
  <c r="V543" i="95" s="1"/>
  <c r="V539" i="95"/>
  <c r="V537" i="95" s="1"/>
  <c r="V536" i="95" s="1"/>
  <c r="V552" i="95"/>
  <c r="W532" i="95"/>
  <c r="R392" i="95"/>
  <c r="S394" i="95"/>
  <c r="S465" i="95"/>
  <c r="S464" i="95" s="1"/>
  <c r="T470" i="95"/>
  <c r="R862" i="95"/>
  <c r="S863" i="95"/>
  <c r="S1029" i="95"/>
  <c r="T1031" i="95"/>
  <c r="R698" i="95"/>
  <c r="S699" i="95"/>
  <c r="U138" i="95"/>
  <c r="V140" i="95"/>
  <c r="V283" i="95"/>
  <c r="R431" i="95"/>
  <c r="R430" i="95" s="1"/>
  <c r="S434" i="95"/>
  <c r="S235" i="95"/>
  <c r="T237" i="95"/>
  <c r="T124" i="95"/>
  <c r="U126" i="95"/>
  <c r="S636" i="95"/>
  <c r="T638" i="95"/>
  <c r="T275" i="95"/>
  <c r="T281" i="95"/>
  <c r="T268" i="95"/>
  <c r="U261" i="95"/>
  <c r="R82" i="95"/>
  <c r="R79" i="95" s="1"/>
  <c r="S83" i="95"/>
  <c r="R145" i="95"/>
  <c r="S147" i="95"/>
  <c r="R526" i="95"/>
  <c r="R525" i="95" s="1"/>
  <c r="S528" i="95"/>
  <c r="R1032" i="95"/>
  <c r="S1033" i="95"/>
  <c r="S709" i="95"/>
  <c r="T711" i="95"/>
  <c r="S99" i="95"/>
  <c r="S98" i="95" s="1"/>
  <c r="S97" i="95" s="1"/>
  <c r="S120" i="95"/>
  <c r="S119" i="95" s="1"/>
  <c r="S44" i="95"/>
  <c r="S117" i="95"/>
  <c r="S116" i="95" s="1"/>
  <c r="T12" i="95"/>
  <c r="S409" i="95"/>
  <c r="T411" i="95"/>
  <c r="V81" i="95"/>
  <c r="V66" i="95"/>
  <c r="V64" i="95" s="1"/>
  <c r="V50" i="95"/>
  <c r="V48" i="95" s="1"/>
  <c r="W35" i="95"/>
  <c r="R746" i="95"/>
  <c r="S748" i="95"/>
  <c r="Q374" i="59"/>
  <c r="Q375" i="59" s="1"/>
  <c r="Q376" i="59" s="1"/>
  <c r="Q353" i="59"/>
  <c r="Q210" i="59"/>
  <c r="Q223" i="59" s="1"/>
  <c r="Q231" i="59" s="1"/>
  <c r="Q233" i="59" s="1"/>
  <c r="Q195" i="59" s="1"/>
  <c r="Q198" i="59" s="1"/>
  <c r="Q18" i="60" s="1"/>
  <c r="G954" i="59"/>
  <c r="G955" i="59"/>
  <c r="G943" i="59" s="1"/>
  <c r="G945" i="59" s="1"/>
  <c r="R865" i="95"/>
  <c r="S866" i="95"/>
  <c r="W104" i="95"/>
  <c r="X109" i="95"/>
  <c r="S70" i="95"/>
  <c r="R1408" i="95"/>
  <c r="R1405" i="95" s="1"/>
  <c r="R1404" i="95" s="1"/>
  <c r="R1380" i="95" s="1"/>
  <c r="S155" i="24" s="1"/>
  <c r="V267" i="59" s="1"/>
  <c r="V322" i="59" s="1"/>
  <c r="R74" i="95"/>
  <c r="R282" i="95"/>
  <c r="R279" i="95" s="1"/>
  <c r="R278" i="95" s="1"/>
  <c r="R996" i="95"/>
  <c r="R993" i="95" s="1"/>
  <c r="R992" i="95" s="1"/>
  <c r="R453" i="95"/>
  <c r="R450" i="95" s="1"/>
  <c r="R449" i="95" s="1"/>
  <c r="R553" i="95"/>
  <c r="R550" i="95" s="1"/>
  <c r="R549" i="95" s="1"/>
  <c r="R829" i="95"/>
  <c r="R826" i="95" s="1"/>
  <c r="R825" i="95" s="1"/>
  <c r="L954" i="59"/>
  <c r="R777" i="95"/>
  <c r="S779" i="95"/>
  <c r="R790" i="95"/>
  <c r="S792" i="95"/>
  <c r="S25" i="95"/>
  <c r="T27" i="95"/>
  <c r="R572" i="95"/>
  <c r="S574" i="95"/>
  <c r="R159" i="95"/>
  <c r="S161" i="95"/>
  <c r="U554" i="95"/>
  <c r="Q776" i="95"/>
  <c r="Q968" i="95"/>
  <c r="Q967" i="95" s="1"/>
  <c r="Q956" i="95" s="1"/>
  <c r="Q939" i="95"/>
  <c r="Q938" i="95" s="1"/>
  <c r="K18" i="60"/>
  <c r="R882" i="95"/>
  <c r="S884" i="95"/>
  <c r="U209" i="95"/>
  <c r="V211" i="95"/>
  <c r="T53" i="95"/>
  <c r="U56" i="95"/>
  <c r="U785" i="95"/>
  <c r="V787" i="95"/>
  <c r="Q112" i="95"/>
  <c r="Q111" i="95" s="1"/>
  <c r="Q89" i="95"/>
  <c r="Q88" i="95" s="1"/>
  <c r="S226" i="95"/>
  <c r="T228" i="95"/>
  <c r="U45" i="95"/>
  <c r="U73" i="95"/>
  <c r="U62" i="95"/>
  <c r="V31" i="95"/>
  <c r="R603" i="95"/>
  <c r="S605" i="95"/>
  <c r="R241" i="95"/>
  <c r="S243" i="95"/>
  <c r="S474" i="95"/>
  <c r="R472" i="95"/>
  <c r="R229" i="95"/>
  <c r="S231" i="95"/>
  <c r="S349" i="95"/>
  <c r="T351" i="95"/>
  <c r="S934" i="95"/>
  <c r="R940" i="95"/>
  <c r="R215" i="95"/>
  <c r="S217" i="95"/>
  <c r="R90" i="95"/>
  <c r="R30" i="95"/>
  <c r="R805" i="95"/>
  <c r="S807" i="95"/>
  <c r="R820" i="95"/>
  <c r="R811" i="95" s="1"/>
  <c r="S821" i="95"/>
  <c r="U995" i="95"/>
  <c r="U964" i="95"/>
  <c r="U962" i="95" s="1"/>
  <c r="U985" i="95"/>
  <c r="U983" i="95" s="1"/>
  <c r="V949" i="95"/>
  <c r="S213" i="59"/>
  <c r="R34" i="95"/>
  <c r="S37" i="95"/>
  <c r="M233" i="59"/>
  <c r="M195" i="59" s="1"/>
  <c r="S406" i="95"/>
  <c r="T408" i="95"/>
  <c r="T25" i="60" l="1"/>
  <c r="S978" i="95"/>
  <c r="S307" i="95"/>
  <c r="S306" i="95" s="1"/>
  <c r="S310" i="95"/>
  <c r="S309" i="95" s="1"/>
  <c r="S267" i="95"/>
  <c r="S266" i="95" s="1"/>
  <c r="S265" i="95" s="1"/>
  <c r="S280" i="95"/>
  <c r="S274" i="95"/>
  <c r="S273" i="95" s="1"/>
  <c r="S272" i="95" s="1"/>
  <c r="S262" i="95"/>
  <c r="S260" i="95" s="1"/>
  <c r="S259" i="95" s="1"/>
  <c r="T248" i="95"/>
  <c r="R305" i="95"/>
  <c r="R881" i="95"/>
  <c r="R898" i="95" s="1"/>
  <c r="R897" i="95" s="1"/>
  <c r="R361" i="95"/>
  <c r="R742" i="95"/>
  <c r="T18" i="95"/>
  <c r="T32" i="95" s="1"/>
  <c r="S61" i="95"/>
  <c r="R610" i="95"/>
  <c r="T336" i="59"/>
  <c r="T211" i="59" s="1"/>
  <c r="O143" i="60"/>
  <c r="O26" i="68" s="1"/>
  <c r="R71" i="95"/>
  <c r="R69" i="95" s="1"/>
  <c r="S382" i="59"/>
  <c r="S383" i="59" s="1"/>
  <c r="S384" i="59" s="1"/>
  <c r="S183" i="60" s="1"/>
  <c r="R776" i="95"/>
  <c r="M17" i="80"/>
  <c r="S1035" i="95"/>
  <c r="T1037" i="95"/>
  <c r="S743" i="95"/>
  <c r="T745" i="95"/>
  <c r="S403" i="95"/>
  <c r="T405" i="95"/>
  <c r="U24" i="60"/>
  <c r="T428" i="95"/>
  <c r="S426" i="95"/>
  <c r="S425" i="95" s="1"/>
  <c r="S515" i="95"/>
  <c r="S511" i="95" s="1"/>
  <c r="T517" i="95"/>
  <c r="R915" i="95"/>
  <c r="T927" i="95"/>
  <c r="S925" i="95"/>
  <c r="T635" i="95"/>
  <c r="S633" i="95"/>
  <c r="S632" i="95" s="1"/>
  <c r="R385" i="59"/>
  <c r="R390" i="59" s="1"/>
  <c r="R183" i="60"/>
  <c r="S460" i="95"/>
  <c r="S459" i="95" s="1"/>
  <c r="T462" i="95"/>
  <c r="S115" i="95"/>
  <c r="R576" i="95"/>
  <c r="R593" i="95" s="1"/>
  <c r="R592" i="95" s="1"/>
  <c r="R313" i="95"/>
  <c r="R358" i="95" s="1"/>
  <c r="R357" i="95" s="1"/>
  <c r="S916" i="95"/>
  <c r="T918" i="95"/>
  <c r="T26" i="60"/>
  <c r="R695" i="95"/>
  <c r="S696" i="95"/>
  <c r="S611" i="95"/>
  <c r="T613" i="95"/>
  <c r="Q245" i="95"/>
  <c r="R148" i="24" s="1"/>
  <c r="U260" i="59" s="1"/>
  <c r="U315" i="59" s="1"/>
  <c r="R852" i="95"/>
  <c r="S836" i="95"/>
  <c r="S835" i="95" s="1"/>
  <c r="T838" i="95"/>
  <c r="S889" i="95"/>
  <c r="T891" i="95"/>
  <c r="R419" i="95"/>
  <c r="S149" i="24" s="1"/>
  <c r="V261" i="59" s="1"/>
  <c r="V316" i="59" s="1"/>
  <c r="V337" i="59" s="1"/>
  <c r="V212" i="59" s="1"/>
  <c r="Q692" i="95"/>
  <c r="Q691" i="95" s="1"/>
  <c r="Q618" i="95" s="1"/>
  <c r="R151" i="24" s="1"/>
  <c r="U263" i="59" s="1"/>
  <c r="U318" i="59" s="1"/>
  <c r="U339" i="59" s="1"/>
  <c r="U214" i="59" s="1"/>
  <c r="R693" i="95"/>
  <c r="T979" i="95"/>
  <c r="U981" i="95"/>
  <c r="S335" i="95"/>
  <c r="T337" i="95"/>
  <c r="S238" i="95"/>
  <c r="T240" i="95"/>
  <c r="S185" i="95"/>
  <c r="T187" i="95"/>
  <c r="R399" i="95"/>
  <c r="T1015" i="95"/>
  <c r="U1017" i="95"/>
  <c r="R222" i="95"/>
  <c r="S386" i="95"/>
  <c r="T388" i="95"/>
  <c r="T955" i="95"/>
  <c r="S952" i="95"/>
  <c r="Q9" i="95"/>
  <c r="R147" i="24" s="1"/>
  <c r="U259" i="59" s="1"/>
  <c r="T868" i="95"/>
  <c r="U869" i="95"/>
  <c r="S666" i="95"/>
  <c r="S663" i="95" s="1"/>
  <c r="S662" i="95" s="1"/>
  <c r="T667" i="95"/>
  <c r="P7" i="95"/>
  <c r="S380" i="95"/>
  <c r="T382" i="95"/>
  <c r="S526" i="95"/>
  <c r="S525" i="95" s="1"/>
  <c r="T528" i="95"/>
  <c r="T235" i="95"/>
  <c r="U237" i="95"/>
  <c r="S698" i="95"/>
  <c r="T699" i="95"/>
  <c r="S716" i="95"/>
  <c r="S708" i="95" s="1"/>
  <c r="S725" i="95" s="1"/>
  <c r="S724" i="95" s="1"/>
  <c r="T718" i="95"/>
  <c r="R178" i="95"/>
  <c r="R374" i="59"/>
  <c r="R375" i="59" s="1"/>
  <c r="R376" i="59" s="1"/>
  <c r="R353" i="59"/>
  <c r="R356" i="59" s="1"/>
  <c r="R144" i="60" s="1"/>
  <c r="R27" i="68" s="1"/>
  <c r="R210" i="59"/>
  <c r="R223" i="59" s="1"/>
  <c r="R231" i="59" s="1"/>
  <c r="N357" i="63"/>
  <c r="N359" i="63" s="1"/>
  <c r="N364" i="63" s="1"/>
  <c r="N375" i="63" s="1"/>
  <c r="S321" i="95"/>
  <c r="T323" i="95"/>
  <c r="P366" i="59"/>
  <c r="P367" i="59" s="1"/>
  <c r="P368" i="59" s="1"/>
  <c r="P369" i="59" s="1"/>
  <c r="P388" i="59" s="1"/>
  <c r="P391" i="59" s="1"/>
  <c r="P42" i="60" s="1"/>
  <c r="N17" i="80"/>
  <c r="P143" i="60"/>
  <c r="T504" i="95"/>
  <c r="T497" i="95" s="1"/>
  <c r="U506" i="95"/>
  <c r="T1003" i="95"/>
  <c r="T1002" i="95" s="1"/>
  <c r="U1005" i="95"/>
  <c r="V812" i="95"/>
  <c r="W813" i="95"/>
  <c r="R596" i="95"/>
  <c r="T314" i="95"/>
  <c r="U316" i="95"/>
  <c r="T658" i="95"/>
  <c r="T674" i="95"/>
  <c r="T646" i="95"/>
  <c r="T645" i="95" s="1"/>
  <c r="T644" i="95" s="1"/>
  <c r="T641" i="95"/>
  <c r="T639" i="95" s="1"/>
  <c r="T664" i="95"/>
  <c r="U623" i="95"/>
  <c r="L382" i="63"/>
  <c r="L383" i="63" s="1"/>
  <c r="L1110" i="59" s="1"/>
  <c r="L376" i="63"/>
  <c r="L1108" i="59" s="1"/>
  <c r="U485" i="95"/>
  <c r="V487" i="95"/>
  <c r="S560" i="95"/>
  <c r="S559" i="95" s="1"/>
  <c r="T562" i="95"/>
  <c r="S781" i="95"/>
  <c r="T784" i="95"/>
  <c r="S400" i="95"/>
  <c r="T402" i="95"/>
  <c r="I26" i="68"/>
  <c r="I942" i="59"/>
  <c r="I147" i="60"/>
  <c r="S328" i="95"/>
  <c r="T330" i="95"/>
  <c r="S704" i="95"/>
  <c r="T706" i="95"/>
  <c r="Q750" i="95"/>
  <c r="R152" i="24" s="1"/>
  <c r="U264" i="59" s="1"/>
  <c r="U319" i="59" s="1"/>
  <c r="U191" i="95"/>
  <c r="V193" i="95"/>
  <c r="S763" i="95"/>
  <c r="T765" i="95"/>
  <c r="S902" i="95"/>
  <c r="T904" i="95"/>
  <c r="G391" i="59"/>
  <c r="S302" i="95"/>
  <c r="S301" i="95" s="1"/>
  <c r="S295" i="95"/>
  <c r="S294" i="95" s="1"/>
  <c r="S293" i="95" s="1"/>
  <c r="T290" i="95"/>
  <c r="T340" i="59"/>
  <c r="T215" i="59" s="1"/>
  <c r="T27" i="60"/>
  <c r="S882" i="95"/>
  <c r="T884" i="95"/>
  <c r="G948" i="59"/>
  <c r="G949" i="59"/>
  <c r="G947" i="59"/>
  <c r="T409" i="95"/>
  <c r="U411" i="95"/>
  <c r="S820" i="95"/>
  <c r="S811" i="95" s="1"/>
  <c r="T821" i="95"/>
  <c r="S145" i="95"/>
  <c r="T147" i="95"/>
  <c r="S392" i="95"/>
  <c r="T394" i="95"/>
  <c r="T769" i="95"/>
  <c r="U771" i="95"/>
  <c r="U368" i="95"/>
  <c r="V370" i="95"/>
  <c r="N954" i="59"/>
  <c r="R1061" i="95"/>
  <c r="R1060" i="95" s="1"/>
  <c r="R1059" i="95" s="1"/>
  <c r="R1040" i="95"/>
  <c r="R1039" i="95" s="1"/>
  <c r="R1056" i="95" s="1"/>
  <c r="R1055" i="95" s="1"/>
  <c r="R936" i="95"/>
  <c r="R1075" i="95"/>
  <c r="R1074" i="95" s="1"/>
  <c r="R1073" i="95" s="1"/>
  <c r="S1041" i="95"/>
  <c r="S841" i="95"/>
  <c r="S840" i="95" s="1"/>
  <c r="T842" i="95"/>
  <c r="T565" i="95"/>
  <c r="T564" i="95" s="1"/>
  <c r="U566" i="95"/>
  <c r="S197" i="95"/>
  <c r="T199" i="95"/>
  <c r="S948" i="95"/>
  <c r="T951" i="95"/>
  <c r="S773" i="95"/>
  <c r="T758" i="95"/>
  <c r="V830" i="95"/>
  <c r="R901" i="95"/>
  <c r="S22" i="95"/>
  <c r="S21" i="95" s="1"/>
  <c r="T24" i="95"/>
  <c r="T273" i="59"/>
  <c r="T314" i="59"/>
  <c r="V343" i="59"/>
  <c r="V217" i="59" s="1"/>
  <c r="V30" i="60"/>
  <c r="S229" i="95"/>
  <c r="T231" i="95"/>
  <c r="T99" i="95"/>
  <c r="T98" i="95" s="1"/>
  <c r="T97" i="95" s="1"/>
  <c r="T117" i="95"/>
  <c r="T116" i="95" s="1"/>
  <c r="T120" i="95"/>
  <c r="T119" i="95" s="1"/>
  <c r="T44" i="95"/>
  <c r="U12" i="95"/>
  <c r="S431" i="95"/>
  <c r="S430" i="95" s="1"/>
  <c r="T434" i="95"/>
  <c r="O172" i="60"/>
  <c r="W498" i="95"/>
  <c r="X500" i="95"/>
  <c r="T848" i="95"/>
  <c r="U850" i="95"/>
  <c r="V454" i="95"/>
  <c r="I367" i="59"/>
  <c r="I368" i="59" s="1"/>
  <c r="S332" i="59"/>
  <c r="S335" i="59"/>
  <c r="S22" i="60"/>
  <c r="S40" i="60" s="1"/>
  <c r="T797" i="95"/>
  <c r="T795" i="95" s="1"/>
  <c r="T818" i="95"/>
  <c r="T816" i="95" s="1"/>
  <c r="T828" i="95"/>
  <c r="U782" i="95"/>
  <c r="S614" i="95"/>
  <c r="T616" i="95"/>
  <c r="T342" i="95"/>
  <c r="U344" i="95"/>
  <c r="T415" i="95"/>
  <c r="U417" i="95"/>
  <c r="R801" i="95"/>
  <c r="R800" i="95" s="1"/>
  <c r="R789" i="95" s="1"/>
  <c r="R772" i="95"/>
  <c r="R762" i="95" s="1"/>
  <c r="U1023" i="95"/>
  <c r="V1025" i="95"/>
  <c r="S131" i="95"/>
  <c r="T133" i="95"/>
  <c r="S856" i="95"/>
  <c r="T857" i="95"/>
  <c r="H118" i="60"/>
  <c r="H120" i="60" s="1"/>
  <c r="H126" i="60" s="1"/>
  <c r="H29" i="68"/>
  <c r="H33" i="68" s="1"/>
  <c r="F12" i="80"/>
  <c r="H44" i="60"/>
  <c r="S877" i="95"/>
  <c r="T879" i="95"/>
  <c r="S603" i="95"/>
  <c r="T605" i="95"/>
  <c r="S746" i="95"/>
  <c r="T748" i="95"/>
  <c r="S159" i="95"/>
  <c r="T161" i="95"/>
  <c r="S1408" i="95"/>
  <c r="S1405" i="95" s="1"/>
  <c r="S1404" i="95" s="1"/>
  <c r="S1380" i="95" s="1"/>
  <c r="T155" i="24" s="1"/>
  <c r="W267" i="59" s="1"/>
  <c r="W322" i="59" s="1"/>
  <c r="T70" i="95"/>
  <c r="S74" i="95"/>
  <c r="S282" i="95"/>
  <c r="S996" i="95"/>
  <c r="S993" i="95" s="1"/>
  <c r="S992" i="95" s="1"/>
  <c r="S553" i="95"/>
  <c r="S550" i="95" s="1"/>
  <c r="S549" i="95" s="1"/>
  <c r="S453" i="95"/>
  <c r="S450" i="95" s="1"/>
  <c r="S449" i="95" s="1"/>
  <c r="S829" i="95"/>
  <c r="S826" i="95" s="1"/>
  <c r="S825" i="95" s="1"/>
  <c r="X104" i="95"/>
  <c r="Y109" i="95"/>
  <c r="K114" i="60"/>
  <c r="K19" i="60"/>
  <c r="S572" i="95"/>
  <c r="T574" i="95"/>
  <c r="Q19" i="60"/>
  <c r="Q114" i="60"/>
  <c r="Q115" i="60" s="1"/>
  <c r="W50" i="95"/>
  <c r="W48" i="95" s="1"/>
  <c r="W81" i="95"/>
  <c r="W66" i="95"/>
  <c r="W64" i="95" s="1"/>
  <c r="X35" i="95"/>
  <c r="S72" i="95"/>
  <c r="S43" i="95"/>
  <c r="S42" i="95" s="1"/>
  <c r="S1032" i="95"/>
  <c r="T1033" i="95"/>
  <c r="S82" i="95"/>
  <c r="S79" i="95" s="1"/>
  <c r="T83" i="95"/>
  <c r="S862" i="95"/>
  <c r="T863" i="95"/>
  <c r="W546" i="95"/>
  <c r="W544" i="95" s="1"/>
  <c r="W543" i="95" s="1"/>
  <c r="W539" i="95"/>
  <c r="W537" i="95" s="1"/>
  <c r="W536" i="95" s="1"/>
  <c r="W552" i="95"/>
  <c r="X532" i="95"/>
  <c r="T362" i="95"/>
  <c r="U364" i="95"/>
  <c r="S972" i="95"/>
  <c r="T974" i="95"/>
  <c r="T871" i="95"/>
  <c r="U873" i="95"/>
  <c r="S412" i="95"/>
  <c r="T414" i="95"/>
  <c r="U203" i="95"/>
  <c r="V205" i="95"/>
  <c r="T478" i="95"/>
  <c r="T477" i="95" s="1"/>
  <c r="T494" i="95" s="1"/>
  <c r="T493" i="95" s="1"/>
  <c r="U480" i="95"/>
  <c r="O369" i="59"/>
  <c r="O388" i="59" s="1"/>
  <c r="O391" i="59" s="1"/>
  <c r="O42" i="60" s="1"/>
  <c r="S874" i="95"/>
  <c r="T875" i="95"/>
  <c r="S584" i="95"/>
  <c r="T586" i="95"/>
  <c r="R123" i="95"/>
  <c r="R175" i="95" s="1"/>
  <c r="R174" i="95" s="1"/>
  <c r="S437" i="95"/>
  <c r="S436" i="95" s="1"/>
  <c r="T440" i="95"/>
  <c r="S289" i="95"/>
  <c r="S288" i="95" s="1"/>
  <c r="T291" i="95"/>
  <c r="S34" i="95"/>
  <c r="T37" i="95"/>
  <c r="R89" i="95"/>
  <c r="R88" i="95" s="1"/>
  <c r="R112" i="95"/>
  <c r="R111" i="95" s="1"/>
  <c r="T349" i="95"/>
  <c r="U351" i="95"/>
  <c r="T709" i="95"/>
  <c r="U711" i="95"/>
  <c r="V73" i="95"/>
  <c r="V62" i="95"/>
  <c r="V45" i="95"/>
  <c r="W31" i="95"/>
  <c r="G956" i="59"/>
  <c r="H953" i="59" s="1"/>
  <c r="T636" i="95"/>
  <c r="U638" i="95"/>
  <c r="T1029" i="95"/>
  <c r="U1031" i="95"/>
  <c r="T406" i="95"/>
  <c r="U408" i="95"/>
  <c r="S805" i="95"/>
  <c r="T807" i="95"/>
  <c r="U53" i="95"/>
  <c r="V56" i="95"/>
  <c r="V995" i="95"/>
  <c r="V985" i="95"/>
  <c r="V983" i="95" s="1"/>
  <c r="V964" i="95"/>
  <c r="V962" i="95" s="1"/>
  <c r="W949" i="95"/>
  <c r="S472" i="95"/>
  <c r="T474" i="95"/>
  <c r="Q929" i="95"/>
  <c r="R153" i="24" s="1"/>
  <c r="U265" i="59" s="1"/>
  <c r="U320" i="59" s="1"/>
  <c r="S777" i="95"/>
  <c r="T779" i="95"/>
  <c r="Q356" i="59"/>
  <c r="W75" i="95"/>
  <c r="S957" i="95"/>
  <c r="T959" i="95"/>
  <c r="S735" i="95"/>
  <c r="S728" i="95" s="1"/>
  <c r="T737" i="95"/>
  <c r="S766" i="95"/>
  <c r="T768" i="95"/>
  <c r="T223" i="95"/>
  <c r="U225" i="95"/>
  <c r="V729" i="95"/>
  <c r="W731" i="95"/>
  <c r="T255" i="95"/>
  <c r="T254" i="95" s="1"/>
  <c r="U257" i="95"/>
  <c r="S1008" i="95"/>
  <c r="S1007" i="95" s="1"/>
  <c r="T1009" i="95"/>
  <c r="S531" i="95"/>
  <c r="S530" i="95" s="1"/>
  <c r="T534" i="95"/>
  <c r="T853" i="95"/>
  <c r="U854" i="95"/>
  <c r="S1020" i="95"/>
  <c r="T1021" i="95"/>
  <c r="S673" i="95"/>
  <c r="S672" i="95" s="1"/>
  <c r="S688" i="95"/>
  <c r="S687" i="95" s="1"/>
  <c r="S790" i="95"/>
  <c r="T792" i="95"/>
  <c r="S215" i="95"/>
  <c r="T217" i="95"/>
  <c r="V785" i="95"/>
  <c r="W787" i="95"/>
  <c r="R968" i="95"/>
  <c r="R967" i="95" s="1"/>
  <c r="R956" i="95" s="1"/>
  <c r="R939" i="95"/>
  <c r="R938" i="95" s="1"/>
  <c r="S241" i="95"/>
  <c r="T243" i="95"/>
  <c r="T226" i="95"/>
  <c r="U228" i="95"/>
  <c r="V209" i="95"/>
  <c r="W211" i="95"/>
  <c r="T25" i="95"/>
  <c r="U27" i="95"/>
  <c r="S865" i="95"/>
  <c r="T866" i="95"/>
  <c r="Q377" i="59"/>
  <c r="Q389" i="59" s="1"/>
  <c r="Q182" i="60"/>
  <c r="U281" i="95"/>
  <c r="U268" i="95"/>
  <c r="U275" i="95"/>
  <c r="V261" i="95"/>
  <c r="U124" i="95"/>
  <c r="V126" i="95"/>
  <c r="W283" i="95"/>
  <c r="V138" i="95"/>
  <c r="W140" i="95"/>
  <c r="T465" i="95"/>
  <c r="T464" i="95" s="1"/>
  <c r="U470" i="95"/>
  <c r="G967" i="59"/>
  <c r="S628" i="95"/>
  <c r="S627" i="95" s="1"/>
  <c r="T630" i="95"/>
  <c r="S908" i="95"/>
  <c r="T910" i="95"/>
  <c r="Q519" i="95"/>
  <c r="R150" i="24" s="1"/>
  <c r="U262" i="59" s="1"/>
  <c r="U317" i="59" s="1"/>
  <c r="W997" i="95"/>
  <c r="S152" i="95"/>
  <c r="T154" i="95"/>
  <c r="S444" i="95"/>
  <c r="S443" i="95" s="1"/>
  <c r="T447" i="95"/>
  <c r="S944" i="95"/>
  <c r="T947" i="95"/>
  <c r="O27" i="68"/>
  <c r="S1026" i="95"/>
  <c r="T1027" i="95"/>
  <c r="T701" i="95"/>
  <c r="U703" i="95"/>
  <c r="R1019" i="95"/>
  <c r="S38" i="95"/>
  <c r="T40" i="95"/>
  <c r="V554" i="95"/>
  <c r="M198" i="59"/>
  <c r="R29" i="95"/>
  <c r="T934" i="95"/>
  <c r="S940" i="95"/>
  <c r="S30" i="95"/>
  <c r="S90" i="95"/>
  <c r="S60" i="95"/>
  <c r="S59" i="95" s="1"/>
  <c r="S232" i="95"/>
  <c r="T234" i="95"/>
  <c r="S179" i="95"/>
  <c r="T181" i="95"/>
  <c r="R117" i="60"/>
  <c r="R48" i="73"/>
  <c r="P5" i="80"/>
  <c r="T28" i="60"/>
  <c r="T341" i="59"/>
  <c r="T987" i="95"/>
  <c r="U989" i="95"/>
  <c r="S577" i="95"/>
  <c r="T579" i="95"/>
  <c r="S859" i="95"/>
  <c r="T860" i="95"/>
  <c r="U652" i="95"/>
  <c r="U650" i="95" s="1"/>
  <c r="U647" i="95"/>
  <c r="U665" i="95"/>
  <c r="U659" i="95"/>
  <c r="U657" i="95" s="1"/>
  <c r="U656" i="95" s="1"/>
  <c r="V640" i="95"/>
  <c r="R943" i="95"/>
  <c r="T680" i="95"/>
  <c r="T679" i="95" s="1"/>
  <c r="U681" i="95"/>
  <c r="T920" i="95"/>
  <c r="T919" i="95" s="1"/>
  <c r="T922" i="95"/>
  <c r="U923" i="95"/>
  <c r="V374" i="95"/>
  <c r="W376" i="95"/>
  <c r="T512" i="95"/>
  <c r="U514" i="95"/>
  <c r="S597" i="95"/>
  <c r="T599" i="95"/>
  <c r="T166" i="95"/>
  <c r="U168" i="95"/>
  <c r="S279" i="95" l="1"/>
  <c r="S278" i="95" s="1"/>
  <c r="S742" i="95"/>
  <c r="T307" i="95"/>
  <c r="T306" i="95" s="1"/>
  <c r="T310" i="95"/>
  <c r="T309" i="95" s="1"/>
  <c r="T280" i="95"/>
  <c r="T267" i="95"/>
  <c r="T266" i="95" s="1"/>
  <c r="T265" i="95" s="1"/>
  <c r="T262" i="95"/>
  <c r="T260" i="95" s="1"/>
  <c r="T259" i="95" s="1"/>
  <c r="T274" i="95"/>
  <c r="T273" i="95" s="1"/>
  <c r="T272" i="95" s="1"/>
  <c r="U248" i="95"/>
  <c r="S305" i="95"/>
  <c r="O147" i="60"/>
  <c r="O357" i="63" s="1"/>
  <c r="O359" i="63" s="1"/>
  <c r="O364" i="63" s="1"/>
  <c r="O375" i="63" s="1"/>
  <c r="O942" i="59"/>
  <c r="O954" i="59" s="1"/>
  <c r="U18" i="95"/>
  <c r="U32" i="95" s="1"/>
  <c r="T61" i="95"/>
  <c r="T60" i="95" s="1"/>
  <c r="T59" i="95" s="1"/>
  <c r="T382" i="59"/>
  <c r="T383" i="59" s="1"/>
  <c r="T384" i="59" s="1"/>
  <c r="T385" i="59" s="1"/>
  <c r="T390" i="59" s="1"/>
  <c r="S776" i="95"/>
  <c r="S881" i="95"/>
  <c r="S898" i="95" s="1"/>
  <c r="S897" i="95" s="1"/>
  <c r="S361" i="95"/>
  <c r="S385" i="59"/>
  <c r="S390" i="59" s="1"/>
  <c r="S610" i="95"/>
  <c r="R519" i="95"/>
  <c r="S150" i="24" s="1"/>
  <c r="V262" i="59" s="1"/>
  <c r="V317" i="59" s="1"/>
  <c r="V338" i="59" s="1"/>
  <c r="V213" i="59" s="1"/>
  <c r="S915" i="95"/>
  <c r="T1035" i="95"/>
  <c r="U1037" i="95"/>
  <c r="U428" i="95"/>
  <c r="T426" i="95"/>
  <c r="T425" i="95" s="1"/>
  <c r="U405" i="95"/>
  <c r="T403" i="95"/>
  <c r="T515" i="95"/>
  <c r="T511" i="95" s="1"/>
  <c r="U517" i="95"/>
  <c r="T743" i="95"/>
  <c r="U745" i="95"/>
  <c r="S943" i="95"/>
  <c r="S596" i="95"/>
  <c r="T925" i="95"/>
  <c r="U927" i="95"/>
  <c r="T633" i="95"/>
  <c r="T632" i="95" s="1"/>
  <c r="U635" i="95"/>
  <c r="R245" i="95"/>
  <c r="S148" i="24" s="1"/>
  <c r="V260" i="59" s="1"/>
  <c r="V315" i="59" s="1"/>
  <c r="V23" i="60" s="1"/>
  <c r="S178" i="95"/>
  <c r="T978" i="95"/>
  <c r="S222" i="95"/>
  <c r="U26" i="60"/>
  <c r="T460" i="95"/>
  <c r="T459" i="95" s="1"/>
  <c r="U462" i="95"/>
  <c r="S695" i="95"/>
  <c r="T696" i="95"/>
  <c r="S852" i="95"/>
  <c r="V24" i="60"/>
  <c r="T115" i="95"/>
  <c r="S576" i="95"/>
  <c r="S593" i="95" s="1"/>
  <c r="S592" i="95" s="1"/>
  <c r="S313" i="95"/>
  <c r="S358" i="95" s="1"/>
  <c r="S357" i="95" s="1"/>
  <c r="T916" i="95"/>
  <c r="U918" i="95"/>
  <c r="U613" i="95"/>
  <c r="T611" i="95"/>
  <c r="T386" i="95"/>
  <c r="U388" i="95"/>
  <c r="U240" i="95"/>
  <c r="T238" i="95"/>
  <c r="T666" i="95"/>
  <c r="T663" i="95" s="1"/>
  <c r="T662" i="95" s="1"/>
  <c r="U667" i="95"/>
  <c r="T889" i="95"/>
  <c r="U891" i="95"/>
  <c r="T335" i="95"/>
  <c r="U337" i="95"/>
  <c r="S123" i="95"/>
  <c r="S175" i="95" s="1"/>
  <c r="S174" i="95" s="1"/>
  <c r="U868" i="95"/>
  <c r="V869" i="95"/>
  <c r="U1015" i="95"/>
  <c r="V1017" i="95"/>
  <c r="T836" i="95"/>
  <c r="T835" i="95" s="1"/>
  <c r="U838" i="95"/>
  <c r="U979" i="95"/>
  <c r="V981" i="95"/>
  <c r="R9" i="95"/>
  <c r="S147" i="24" s="1"/>
  <c r="V259" i="59" s="1"/>
  <c r="Q7" i="95"/>
  <c r="R750" i="95"/>
  <c r="S152" i="24" s="1"/>
  <c r="V264" i="59" s="1"/>
  <c r="V319" i="59" s="1"/>
  <c r="V27" i="60" s="1"/>
  <c r="U382" i="95"/>
  <c r="T380" i="95"/>
  <c r="T185" i="95"/>
  <c r="U187" i="95"/>
  <c r="R692" i="95"/>
  <c r="R691" i="95" s="1"/>
  <c r="R618" i="95" s="1"/>
  <c r="S151" i="24" s="1"/>
  <c r="V263" i="59" s="1"/>
  <c r="V318" i="59" s="1"/>
  <c r="V339" i="59" s="1"/>
  <c r="V214" i="59" s="1"/>
  <c r="S693" i="95"/>
  <c r="U23" i="60"/>
  <c r="U336" i="59"/>
  <c r="T952" i="95"/>
  <c r="U955" i="95"/>
  <c r="G979" i="59"/>
  <c r="G980" i="59"/>
  <c r="G968" i="59" s="1"/>
  <c r="G970" i="59" s="1"/>
  <c r="U680" i="95"/>
  <c r="U679" i="95" s="1"/>
  <c r="V681" i="95"/>
  <c r="T531" i="95"/>
  <c r="T530" i="95" s="1"/>
  <c r="U534" i="95"/>
  <c r="T241" i="95"/>
  <c r="U243" i="95"/>
  <c r="T34" i="95"/>
  <c r="U37" i="95"/>
  <c r="T972" i="95"/>
  <c r="U974" i="95"/>
  <c r="X552" i="95"/>
  <c r="X539" i="95"/>
  <c r="X537" i="95" s="1"/>
  <c r="X536" i="95" s="1"/>
  <c r="X546" i="95"/>
  <c r="X544" i="95" s="1"/>
  <c r="X543" i="95" s="1"/>
  <c r="Y532" i="95"/>
  <c r="T572" i="95"/>
  <c r="U574" i="95"/>
  <c r="W343" i="59"/>
  <c r="W217" i="59" s="1"/>
  <c r="W30" i="60"/>
  <c r="T603" i="95"/>
  <c r="U605" i="95"/>
  <c r="P29" i="68"/>
  <c r="N12" i="80"/>
  <c r="P118" i="60"/>
  <c r="P120" i="60" s="1"/>
  <c r="S419" i="95"/>
  <c r="T149" i="24" s="1"/>
  <c r="W261" i="59" s="1"/>
  <c r="W316" i="59" s="1"/>
  <c r="T948" i="95"/>
  <c r="U951" i="95"/>
  <c r="S936" i="95"/>
  <c r="S1040" i="95"/>
  <c r="S1039" i="95" s="1"/>
  <c r="S1056" i="95" s="1"/>
  <c r="S1055" i="95" s="1"/>
  <c r="S1061" i="95"/>
  <c r="S1060" i="95" s="1"/>
  <c r="S1059" i="95" s="1"/>
  <c r="S1075" i="95"/>
  <c r="S1074" i="95" s="1"/>
  <c r="S1073" i="95" s="1"/>
  <c r="T1041" i="95"/>
  <c r="V368" i="95"/>
  <c r="W370" i="95"/>
  <c r="I357" i="63"/>
  <c r="I359" i="63" s="1"/>
  <c r="I364" i="63" s="1"/>
  <c r="T688" i="95"/>
  <c r="T687" i="95" s="1"/>
  <c r="T673" i="95"/>
  <c r="T672" i="95" s="1"/>
  <c r="P172" i="60"/>
  <c r="T526" i="95"/>
  <c r="T525" i="95" s="1"/>
  <c r="U528" i="95"/>
  <c r="T940" i="95"/>
  <c r="U934" i="95"/>
  <c r="T859" i="95"/>
  <c r="U860" i="95"/>
  <c r="T1026" i="95"/>
  <c r="U1027" i="95"/>
  <c r="U465" i="95"/>
  <c r="U464" i="95" s="1"/>
  <c r="V470" i="95"/>
  <c r="T865" i="95"/>
  <c r="U866" i="95"/>
  <c r="W374" i="95"/>
  <c r="X376" i="95"/>
  <c r="T444" i="95"/>
  <c r="T443" i="95" s="1"/>
  <c r="U447" i="95"/>
  <c r="T1008" i="95"/>
  <c r="T1007" i="95" s="1"/>
  <c r="U1009" i="95"/>
  <c r="T584" i="95"/>
  <c r="U586" i="95"/>
  <c r="T159" i="95"/>
  <c r="U161" i="95"/>
  <c r="I172" i="60"/>
  <c r="J369" i="59"/>
  <c r="J388" i="59" s="1"/>
  <c r="J391" i="59" s="1"/>
  <c r="J42" i="60" s="1"/>
  <c r="I369" i="59"/>
  <c r="I388" i="59" s="1"/>
  <c r="U99" i="95"/>
  <c r="U98" i="95" s="1"/>
  <c r="U97" i="95" s="1"/>
  <c r="U120" i="95"/>
  <c r="U119" i="95" s="1"/>
  <c r="U117" i="95"/>
  <c r="U116" i="95" s="1"/>
  <c r="U44" i="95"/>
  <c r="V12" i="95"/>
  <c r="T229" i="95"/>
  <c r="U231" i="95"/>
  <c r="G42" i="60"/>
  <c r="T763" i="95"/>
  <c r="U765" i="95"/>
  <c r="U340" i="59"/>
  <c r="U215" i="59" s="1"/>
  <c r="U27" i="60"/>
  <c r="I954" i="59"/>
  <c r="T560" i="95"/>
  <c r="T559" i="95" s="1"/>
  <c r="U562" i="95"/>
  <c r="U504" i="95"/>
  <c r="U497" i="95" s="1"/>
  <c r="V506" i="95"/>
  <c r="T321" i="95"/>
  <c r="U323" i="95"/>
  <c r="T716" i="95"/>
  <c r="T708" i="95" s="1"/>
  <c r="T725" i="95" s="1"/>
  <c r="T724" i="95" s="1"/>
  <c r="U718" i="95"/>
  <c r="T472" i="95"/>
  <c r="U474" i="95"/>
  <c r="U709" i="95"/>
  <c r="V711" i="95"/>
  <c r="M18" i="60"/>
  <c r="W138" i="95"/>
  <c r="X140" i="95"/>
  <c r="U25" i="95"/>
  <c r="V27" i="95"/>
  <c r="R929" i="95"/>
  <c r="S153" i="24" s="1"/>
  <c r="V265" i="59" s="1"/>
  <c r="V320" i="59" s="1"/>
  <c r="S1019" i="95"/>
  <c r="T766" i="95"/>
  <c r="U768" i="95"/>
  <c r="X75" i="95"/>
  <c r="W985" i="95"/>
  <c r="W983" i="95" s="1"/>
  <c r="W964" i="95"/>
  <c r="W962" i="95" s="1"/>
  <c r="W995" i="95"/>
  <c r="X949" i="95"/>
  <c r="T289" i="95"/>
  <c r="T288" i="95" s="1"/>
  <c r="U291" i="95"/>
  <c r="U478" i="95"/>
  <c r="U477" i="95" s="1"/>
  <c r="U494" i="95" s="1"/>
  <c r="U493" i="95" s="1"/>
  <c r="V480" i="95"/>
  <c r="U362" i="95"/>
  <c r="V364" i="95"/>
  <c r="X81" i="95"/>
  <c r="X66" i="95"/>
  <c r="X64" i="95" s="1"/>
  <c r="X50" i="95"/>
  <c r="X48" i="95" s="1"/>
  <c r="Y35" i="95"/>
  <c r="T856" i="95"/>
  <c r="U857" i="95"/>
  <c r="U415" i="95"/>
  <c r="V417" i="95"/>
  <c r="W454" i="95"/>
  <c r="T72" i="95"/>
  <c r="T43" i="95"/>
  <c r="T42" i="95" s="1"/>
  <c r="T197" i="95"/>
  <c r="U199" i="95"/>
  <c r="U769" i="95"/>
  <c r="V771" i="95"/>
  <c r="T820" i="95"/>
  <c r="T811" i="95" s="1"/>
  <c r="U821" i="95"/>
  <c r="T882" i="95"/>
  <c r="U884" i="95"/>
  <c r="T704" i="95"/>
  <c r="U706" i="95"/>
  <c r="U314" i="95"/>
  <c r="V316" i="95"/>
  <c r="U338" i="59"/>
  <c r="U213" i="59" s="1"/>
  <c r="U25" i="60"/>
  <c r="T957" i="95"/>
  <c r="U959" i="95"/>
  <c r="T908" i="95"/>
  <c r="U910" i="95"/>
  <c r="U166" i="95"/>
  <c r="V168" i="95"/>
  <c r="U922" i="95"/>
  <c r="U920" i="95"/>
  <c r="U919" i="95" s="1"/>
  <c r="V923" i="95"/>
  <c r="T577" i="95"/>
  <c r="U579" i="95"/>
  <c r="Q144" i="60"/>
  <c r="T805" i="95"/>
  <c r="U807" i="95"/>
  <c r="T874" i="95"/>
  <c r="U875" i="95"/>
  <c r="T877" i="95"/>
  <c r="U879" i="95"/>
  <c r="S48" i="73"/>
  <c r="S117" i="60"/>
  <c r="Q5" i="80"/>
  <c r="T30" i="95"/>
  <c r="T90" i="95"/>
  <c r="W830" i="95"/>
  <c r="V191" i="95"/>
  <c r="W193" i="95"/>
  <c r="T400" i="95"/>
  <c r="U402" i="95"/>
  <c r="T698" i="95"/>
  <c r="U699" i="95"/>
  <c r="T597" i="95"/>
  <c r="U599" i="95"/>
  <c r="X997" i="95"/>
  <c r="S968" i="95"/>
  <c r="S967" i="95" s="1"/>
  <c r="S956" i="95" s="1"/>
  <c r="S939" i="95"/>
  <c r="S938" i="95" s="1"/>
  <c r="U512" i="95"/>
  <c r="V514" i="95"/>
  <c r="T232" i="95"/>
  <c r="U234" i="95"/>
  <c r="T38" i="95"/>
  <c r="U40" i="95"/>
  <c r="U223" i="95"/>
  <c r="V225" i="95"/>
  <c r="V281" i="95"/>
  <c r="V268" i="95"/>
  <c r="V275" i="95"/>
  <c r="W261" i="95"/>
  <c r="T790" i="95"/>
  <c r="U792" i="95"/>
  <c r="T1020" i="95"/>
  <c r="U1021" i="95"/>
  <c r="U636" i="95"/>
  <c r="V638" i="95"/>
  <c r="V659" i="95"/>
  <c r="V657" i="95" s="1"/>
  <c r="V656" i="95" s="1"/>
  <c r="V652" i="95"/>
  <c r="V650" i="95" s="1"/>
  <c r="V647" i="95"/>
  <c r="V665" i="95"/>
  <c r="W640" i="95"/>
  <c r="S89" i="95"/>
  <c r="S88" i="95" s="1"/>
  <c r="S112" i="95"/>
  <c r="S111" i="95" s="1"/>
  <c r="W554" i="95"/>
  <c r="T152" i="95"/>
  <c r="U154" i="95"/>
  <c r="T628" i="95"/>
  <c r="T627" i="95" s="1"/>
  <c r="U630" i="95"/>
  <c r="U255" i="95"/>
  <c r="U254" i="95" s="1"/>
  <c r="V257" i="95"/>
  <c r="T179" i="95"/>
  <c r="U181" i="95"/>
  <c r="S29" i="95"/>
  <c r="T944" i="95"/>
  <c r="U947" i="95"/>
  <c r="X283" i="95"/>
  <c r="W209" i="95"/>
  <c r="X211" i="95"/>
  <c r="W785" i="95"/>
  <c r="X787" i="95"/>
  <c r="T735" i="95"/>
  <c r="T728" i="95" s="1"/>
  <c r="U737" i="95"/>
  <c r="T777" i="95"/>
  <c r="U779" i="95"/>
  <c r="H955" i="59"/>
  <c r="H943" i="59" s="1"/>
  <c r="U349" i="95"/>
  <c r="V351" i="95"/>
  <c r="V203" i="95"/>
  <c r="W205" i="95"/>
  <c r="T412" i="95"/>
  <c r="U414" i="95"/>
  <c r="T862" i="95"/>
  <c r="U863" i="95"/>
  <c r="T82" i="95"/>
  <c r="T79" i="95" s="1"/>
  <c r="U83" i="95"/>
  <c r="T131" i="95"/>
  <c r="U133" i="95"/>
  <c r="U342" i="95"/>
  <c r="V344" i="95"/>
  <c r="S353" i="59"/>
  <c r="S356" i="59" s="1"/>
  <c r="S144" i="60" s="1"/>
  <c r="S27" i="68" s="1"/>
  <c r="S374" i="59"/>
  <c r="S375" i="59" s="1"/>
  <c r="S376" i="59" s="1"/>
  <c r="S210" i="59"/>
  <c r="S223" i="59" s="1"/>
  <c r="S231" i="59" s="1"/>
  <c r="S233" i="59" s="1"/>
  <c r="S195" i="59" s="1"/>
  <c r="S198" i="59" s="1"/>
  <c r="S18" i="60" s="1"/>
  <c r="U848" i="95"/>
  <c r="V850" i="95"/>
  <c r="U565" i="95"/>
  <c r="U564" i="95" s="1"/>
  <c r="V566" i="95"/>
  <c r="U409" i="95"/>
  <c r="V411" i="95"/>
  <c r="T902" i="95"/>
  <c r="U904" i="95"/>
  <c r="T328" i="95"/>
  <c r="U330" i="95"/>
  <c r="S399" i="95"/>
  <c r="U664" i="95"/>
  <c r="U658" i="95"/>
  <c r="U641" i="95"/>
  <c r="U639" i="95" s="1"/>
  <c r="U646" i="95"/>
  <c r="U645" i="95" s="1"/>
  <c r="U644" i="95" s="1"/>
  <c r="U674" i="95"/>
  <c r="V623" i="95"/>
  <c r="N382" i="63"/>
  <c r="N383" i="63" s="1"/>
  <c r="N1110" i="59" s="1"/>
  <c r="N376" i="63"/>
  <c r="N1108" i="59" s="1"/>
  <c r="U273" i="59"/>
  <c r="U314" i="59"/>
  <c r="U853" i="95"/>
  <c r="V854" i="95"/>
  <c r="W729" i="95"/>
  <c r="X731" i="95"/>
  <c r="U406" i="95"/>
  <c r="V408" i="95"/>
  <c r="W62" i="95"/>
  <c r="W45" i="95"/>
  <c r="W73" i="95"/>
  <c r="X31" i="95"/>
  <c r="K366" i="59"/>
  <c r="K143" i="60"/>
  <c r="I17" i="80"/>
  <c r="H50" i="68"/>
  <c r="H56" i="60"/>
  <c r="H62" i="60" s="1"/>
  <c r="H69" i="60" s="1"/>
  <c r="H252" i="63"/>
  <c r="H253" i="63" s="1"/>
  <c r="H258" i="63" s="1"/>
  <c r="T614" i="95"/>
  <c r="U616" i="95"/>
  <c r="T332" i="59"/>
  <c r="T335" i="59"/>
  <c r="T22" i="60"/>
  <c r="T40" i="60" s="1"/>
  <c r="T773" i="95"/>
  <c r="U758" i="95"/>
  <c r="T392" i="95"/>
  <c r="U394" i="95"/>
  <c r="S901" i="95"/>
  <c r="T781" i="95"/>
  <c r="U784" i="95"/>
  <c r="V485" i="95"/>
  <c r="W487" i="95"/>
  <c r="W812" i="95"/>
  <c r="X813" i="95"/>
  <c r="P942" i="59"/>
  <c r="P26" i="68"/>
  <c r="P147" i="60"/>
  <c r="R233" i="59"/>
  <c r="R195" i="59" s="1"/>
  <c r="U235" i="95"/>
  <c r="V237" i="95"/>
  <c r="U987" i="95"/>
  <c r="V989" i="95"/>
  <c r="U701" i="95"/>
  <c r="V703" i="95"/>
  <c r="V124" i="95"/>
  <c r="W126" i="95"/>
  <c r="U226" i="95"/>
  <c r="V228" i="95"/>
  <c r="T215" i="95"/>
  <c r="U217" i="95"/>
  <c r="V53" i="95"/>
  <c r="W56" i="95"/>
  <c r="T437" i="95"/>
  <c r="T436" i="95" s="1"/>
  <c r="U440" i="95"/>
  <c r="U871" i="95"/>
  <c r="V873" i="95"/>
  <c r="T1032" i="95"/>
  <c r="U1033" i="95"/>
  <c r="K115" i="60"/>
  <c r="S71" i="95"/>
  <c r="S69" i="95" s="1"/>
  <c r="T746" i="95"/>
  <c r="U748" i="95"/>
  <c r="V1023" i="95"/>
  <c r="W1025" i="95"/>
  <c r="X498" i="95"/>
  <c r="Y500" i="95"/>
  <c r="S772" i="95"/>
  <c r="S762" i="95" s="1"/>
  <c r="S801" i="95"/>
  <c r="S800" i="95" s="1"/>
  <c r="S789" i="95" s="1"/>
  <c r="T841" i="95"/>
  <c r="T840" i="95" s="1"/>
  <c r="U842" i="95"/>
  <c r="G951" i="59"/>
  <c r="T295" i="95"/>
  <c r="T294" i="95" s="1"/>
  <c r="T293" i="95" s="1"/>
  <c r="T302" i="95"/>
  <c r="T301" i="95" s="1"/>
  <c r="U290" i="95"/>
  <c r="U28" i="60"/>
  <c r="U341" i="59"/>
  <c r="U1029" i="95"/>
  <c r="V1031" i="95"/>
  <c r="M12" i="80"/>
  <c r="O118" i="60"/>
  <c r="O120" i="60" s="1"/>
  <c r="O29" i="68"/>
  <c r="O44" i="60"/>
  <c r="Q366" i="59"/>
  <c r="Q367" i="59" s="1"/>
  <c r="Q368" i="59" s="1"/>
  <c r="Q369" i="59" s="1"/>
  <c r="Q388" i="59" s="1"/>
  <c r="Q391" i="59" s="1"/>
  <c r="Q42" i="60" s="1"/>
  <c r="Q143" i="60"/>
  <c r="O17" i="80"/>
  <c r="Y104" i="95"/>
  <c r="Z109" i="95"/>
  <c r="T1408" i="95"/>
  <c r="T1405" i="95" s="1"/>
  <c r="T1404" i="95" s="1"/>
  <c r="T1380" i="95" s="1"/>
  <c r="U155" i="24" s="1"/>
  <c r="X267" i="59" s="1"/>
  <c r="X322" i="59" s="1"/>
  <c r="U70" i="95"/>
  <c r="T282" i="95"/>
  <c r="T279" i="95" s="1"/>
  <c r="T278" i="95" s="1"/>
  <c r="T74" i="95"/>
  <c r="T996" i="95"/>
  <c r="T993" i="95" s="1"/>
  <c r="T992" i="95" s="1"/>
  <c r="T453" i="95"/>
  <c r="T450" i="95" s="1"/>
  <c r="T449" i="95" s="1"/>
  <c r="T829" i="95"/>
  <c r="T826" i="95" s="1"/>
  <c r="T825" i="95" s="1"/>
  <c r="T553" i="95"/>
  <c r="T550" i="95" s="1"/>
  <c r="T549" i="95" s="1"/>
  <c r="U818" i="95"/>
  <c r="U816" i="95" s="1"/>
  <c r="U828" i="95"/>
  <c r="U797" i="95"/>
  <c r="U795" i="95" s="1"/>
  <c r="V782" i="95"/>
  <c r="T431" i="95"/>
  <c r="T430" i="95" s="1"/>
  <c r="U434" i="95"/>
  <c r="U24" i="95"/>
  <c r="T22" i="95"/>
  <c r="T21" i="95" s="1"/>
  <c r="T145" i="95"/>
  <c r="U147" i="95"/>
  <c r="U1003" i="95"/>
  <c r="U1002" i="95" s="1"/>
  <c r="V1005" i="95"/>
  <c r="P44" i="60"/>
  <c r="R377" i="59"/>
  <c r="R389" i="59" s="1"/>
  <c r="R182" i="60"/>
  <c r="U307" i="95" l="1"/>
  <c r="U306" i="95" s="1"/>
  <c r="U310" i="95"/>
  <c r="U309" i="95" s="1"/>
  <c r="U280" i="95"/>
  <c r="U262" i="95"/>
  <c r="U260" i="95" s="1"/>
  <c r="U259" i="95" s="1"/>
  <c r="U267" i="95"/>
  <c r="U266" i="95" s="1"/>
  <c r="U265" i="95" s="1"/>
  <c r="V248" i="95"/>
  <c r="U274" i="95"/>
  <c r="U273" i="95" s="1"/>
  <c r="U272" i="95" s="1"/>
  <c r="T305" i="95"/>
  <c r="T183" i="60"/>
  <c r="S245" i="95"/>
  <c r="T148" i="24" s="1"/>
  <c r="W260" i="59" s="1"/>
  <c r="W315" i="59" s="1"/>
  <c r="W336" i="59" s="1"/>
  <c r="V18" i="95"/>
  <c r="V32" i="95" s="1"/>
  <c r="U61" i="95"/>
  <c r="U60" i="95" s="1"/>
  <c r="U59" i="95" s="1"/>
  <c r="T915" i="95"/>
  <c r="T742" i="95"/>
  <c r="T361" i="95"/>
  <c r="V25" i="60"/>
  <c r="V26" i="60"/>
  <c r="T596" i="95"/>
  <c r="S519" i="95"/>
  <c r="T150" i="24" s="1"/>
  <c r="W262" i="59" s="1"/>
  <c r="W317" i="59" s="1"/>
  <c r="W25" i="60" s="1"/>
  <c r="T71" i="95"/>
  <c r="T69" i="95" s="1"/>
  <c r="U1035" i="95"/>
  <c r="V1037" i="95"/>
  <c r="U978" i="95"/>
  <c r="U743" i="95"/>
  <c r="V745" i="95"/>
  <c r="U515" i="95"/>
  <c r="U511" i="95" s="1"/>
  <c r="V517" i="95"/>
  <c r="U403" i="95"/>
  <c r="V405" i="95"/>
  <c r="U426" i="95"/>
  <c r="U425" i="95" s="1"/>
  <c r="V428" i="95"/>
  <c r="V927" i="95"/>
  <c r="U925" i="95"/>
  <c r="T610" i="95"/>
  <c r="T881" i="95"/>
  <c r="T898" i="95" s="1"/>
  <c r="T897" i="95" s="1"/>
  <c r="V336" i="59"/>
  <c r="U633" i="95"/>
  <c r="U632" i="95" s="1"/>
  <c r="V635" i="95"/>
  <c r="V340" i="59"/>
  <c r="V215" i="59" s="1"/>
  <c r="T399" i="95"/>
  <c r="U460" i="95"/>
  <c r="U459" i="95" s="1"/>
  <c r="V462" i="95"/>
  <c r="T313" i="95"/>
  <c r="T358" i="95" s="1"/>
  <c r="T357" i="95" s="1"/>
  <c r="T852" i="95"/>
  <c r="V613" i="95"/>
  <c r="U611" i="95"/>
  <c r="T695" i="95"/>
  <c r="U696" i="95"/>
  <c r="U916" i="95"/>
  <c r="V918" i="95"/>
  <c r="U666" i="95"/>
  <c r="U663" i="95" s="1"/>
  <c r="U662" i="95" s="1"/>
  <c r="V667" i="95"/>
  <c r="S692" i="95"/>
  <c r="S691" i="95" s="1"/>
  <c r="S618" i="95" s="1"/>
  <c r="T151" i="24" s="1"/>
  <c r="W263" i="59" s="1"/>
  <c r="W318" i="59" s="1"/>
  <c r="W339" i="59" s="1"/>
  <c r="W214" i="59" s="1"/>
  <c r="T693" i="95"/>
  <c r="R7" i="95"/>
  <c r="V868" i="95"/>
  <c r="W869" i="95"/>
  <c r="V979" i="95"/>
  <c r="W981" i="95"/>
  <c r="T222" i="95"/>
  <c r="U185" i="95"/>
  <c r="V187" i="95"/>
  <c r="U238" i="95"/>
  <c r="V240" i="95"/>
  <c r="H956" i="59"/>
  <c r="I953" i="59" s="1"/>
  <c r="I955" i="59" s="1"/>
  <c r="I943" i="59" s="1"/>
  <c r="I945" i="59" s="1"/>
  <c r="I948" i="59" s="1"/>
  <c r="T943" i="95"/>
  <c r="U952" i="95"/>
  <c r="V955" i="95"/>
  <c r="V337" i="95"/>
  <c r="U335" i="95"/>
  <c r="V388" i="95"/>
  <c r="U386" i="95"/>
  <c r="T419" i="95"/>
  <c r="U149" i="24" s="1"/>
  <c r="X261" i="59" s="1"/>
  <c r="X316" i="59" s="1"/>
  <c r="X24" i="60" s="1"/>
  <c r="S9" i="95"/>
  <c r="T147" i="24" s="1"/>
  <c r="W259" i="59" s="1"/>
  <c r="T29" i="95"/>
  <c r="T576" i="95"/>
  <c r="T593" i="95" s="1"/>
  <c r="T592" i="95" s="1"/>
  <c r="V838" i="95"/>
  <c r="U836" i="95"/>
  <c r="U835" i="95" s="1"/>
  <c r="T776" i="95"/>
  <c r="U115" i="95"/>
  <c r="U380" i="95"/>
  <c r="V382" i="95"/>
  <c r="U889" i="95"/>
  <c r="V891" i="95"/>
  <c r="U211" i="59"/>
  <c r="U382" i="59"/>
  <c r="U383" i="59" s="1"/>
  <c r="U384" i="59" s="1"/>
  <c r="V1015" i="95"/>
  <c r="W1017" i="95"/>
  <c r="G981" i="59"/>
  <c r="H978" i="59" s="1"/>
  <c r="O12" i="80"/>
  <c r="Q118" i="60"/>
  <c r="Q120" i="60" s="1"/>
  <c r="Q29" i="68"/>
  <c r="Q44" i="60"/>
  <c r="P252" i="63"/>
  <c r="P253" i="63" s="1"/>
  <c r="P258" i="63" s="1"/>
  <c r="P56" i="60"/>
  <c r="U431" i="95"/>
  <c r="U430" i="95" s="1"/>
  <c r="V434" i="95"/>
  <c r="Z104" i="95"/>
  <c r="AA109" i="95"/>
  <c r="U295" i="95"/>
  <c r="U294" i="95" s="1"/>
  <c r="U293" i="95" s="1"/>
  <c r="U302" i="95"/>
  <c r="U301" i="95" s="1"/>
  <c r="V290" i="95"/>
  <c r="U841" i="95"/>
  <c r="U840" i="95" s="1"/>
  <c r="V842" i="95"/>
  <c r="P954" i="59"/>
  <c r="U392" i="95"/>
  <c r="V394" i="95"/>
  <c r="U332" i="59"/>
  <c r="U335" i="59"/>
  <c r="U22" i="60"/>
  <c r="U40" i="60" s="1"/>
  <c r="V409" i="95"/>
  <c r="W411" i="95"/>
  <c r="S377" i="59"/>
  <c r="S389" i="59" s="1"/>
  <c r="S182" i="60"/>
  <c r="U944" i="95"/>
  <c r="V947" i="95"/>
  <c r="U628" i="95"/>
  <c r="U627" i="95" s="1"/>
  <c r="V630" i="95"/>
  <c r="W659" i="95"/>
  <c r="W657" i="95" s="1"/>
  <c r="W656" i="95" s="1"/>
  <c r="W652" i="95"/>
  <c r="W650" i="95" s="1"/>
  <c r="W647" i="95"/>
  <c r="W665" i="95"/>
  <c r="X640" i="95"/>
  <c r="T1019" i="95"/>
  <c r="U957" i="95"/>
  <c r="V959" i="95"/>
  <c r="V362" i="95"/>
  <c r="W364" i="95"/>
  <c r="M19" i="60"/>
  <c r="M114" i="60"/>
  <c r="U560" i="95"/>
  <c r="U559" i="95" s="1"/>
  <c r="V562" i="95"/>
  <c r="V765" i="95"/>
  <c r="U763" i="95"/>
  <c r="V120" i="95"/>
  <c r="V119" i="95" s="1"/>
  <c r="V117" i="95"/>
  <c r="V116" i="95" s="1"/>
  <c r="V44" i="95"/>
  <c r="V99" i="95"/>
  <c r="V98" i="95" s="1"/>
  <c r="V97" i="95" s="1"/>
  <c r="W12" i="95"/>
  <c r="T968" i="95"/>
  <c r="T967" i="95" s="1"/>
  <c r="T956" i="95" s="1"/>
  <c r="T939" i="95"/>
  <c r="T938" i="95" s="1"/>
  <c r="U572" i="95"/>
  <c r="V574" i="95"/>
  <c r="U972" i="95"/>
  <c r="V974" i="95"/>
  <c r="U241" i="95"/>
  <c r="V243" i="95"/>
  <c r="G973" i="59"/>
  <c r="G972" i="59"/>
  <c r="G974" i="59"/>
  <c r="W53" i="95"/>
  <c r="X56" i="95"/>
  <c r="X812" i="95"/>
  <c r="Y813" i="95"/>
  <c r="U614" i="95"/>
  <c r="V616" i="95"/>
  <c r="K942" i="59"/>
  <c r="K26" i="68"/>
  <c r="K147" i="60"/>
  <c r="U862" i="95"/>
  <c r="V863" i="95"/>
  <c r="X209" i="95"/>
  <c r="Y211" i="95"/>
  <c r="V512" i="95"/>
  <c r="W514" i="95"/>
  <c r="U400" i="95"/>
  <c r="V402" i="95"/>
  <c r="Q27" i="68"/>
  <c r="V166" i="95"/>
  <c r="W168" i="95"/>
  <c r="V769" i="95"/>
  <c r="W771" i="95"/>
  <c r="U43" i="95"/>
  <c r="U42" i="95" s="1"/>
  <c r="U72" i="95"/>
  <c r="U1008" i="95"/>
  <c r="U1007" i="95" s="1"/>
  <c r="V1009" i="95"/>
  <c r="V465" i="95"/>
  <c r="V464" i="95" s="1"/>
  <c r="W470" i="95"/>
  <c r="V528" i="95"/>
  <c r="U526" i="95"/>
  <c r="U525" i="95" s="1"/>
  <c r="I375" i="63"/>
  <c r="O382" i="63"/>
  <c r="O383" i="63" s="1"/>
  <c r="O1110" i="59" s="1"/>
  <c r="O376" i="63"/>
  <c r="O1108" i="59" s="1"/>
  <c r="V342" i="95"/>
  <c r="W344" i="95"/>
  <c r="U152" i="95"/>
  <c r="V154" i="95"/>
  <c r="V223" i="95"/>
  <c r="W225" i="95"/>
  <c r="U597" i="95"/>
  <c r="V599" i="95"/>
  <c r="U704" i="95"/>
  <c r="V706" i="95"/>
  <c r="X454" i="95"/>
  <c r="Y81" i="95"/>
  <c r="Y66" i="95"/>
  <c r="Y64" i="95" s="1"/>
  <c r="Y50" i="95"/>
  <c r="Y48" i="95" s="1"/>
  <c r="Z35" i="95"/>
  <c r="V478" i="95"/>
  <c r="V477" i="95" s="1"/>
  <c r="V494" i="95" s="1"/>
  <c r="V493" i="95" s="1"/>
  <c r="W480" i="95"/>
  <c r="V341" i="59"/>
  <c r="V28" i="60"/>
  <c r="V709" i="95"/>
  <c r="W711" i="95"/>
  <c r="U716" i="95"/>
  <c r="U708" i="95" s="1"/>
  <c r="U725" i="95" s="1"/>
  <c r="U724" i="95" s="1"/>
  <c r="V718" i="95"/>
  <c r="G29" i="68"/>
  <c r="G118" i="60"/>
  <c r="E12" i="80"/>
  <c r="G44" i="60"/>
  <c r="U159" i="95"/>
  <c r="V161" i="95"/>
  <c r="U531" i="95"/>
  <c r="U530" i="95" s="1"/>
  <c r="V534" i="95"/>
  <c r="U145" i="95"/>
  <c r="V147" i="95"/>
  <c r="U746" i="95"/>
  <c r="V748" i="95"/>
  <c r="V235" i="95"/>
  <c r="W237" i="95"/>
  <c r="K367" i="59"/>
  <c r="K368" i="59" s="1"/>
  <c r="X729" i="95"/>
  <c r="Y731" i="95"/>
  <c r="V797" i="95"/>
  <c r="V795" i="95" s="1"/>
  <c r="V818" i="95"/>
  <c r="V816" i="95" s="1"/>
  <c r="V828" i="95"/>
  <c r="W782" i="95"/>
  <c r="Q942" i="59"/>
  <c r="Q26" i="68"/>
  <c r="Q147" i="60"/>
  <c r="V1029" i="95"/>
  <c r="W1031" i="95"/>
  <c r="G985" i="59"/>
  <c r="W124" i="95"/>
  <c r="X126" i="95"/>
  <c r="W485" i="95"/>
  <c r="X487" i="95"/>
  <c r="X45" i="95"/>
  <c r="X73" i="95"/>
  <c r="X62" i="95"/>
  <c r="Y31" i="95"/>
  <c r="V565" i="95"/>
  <c r="V564" i="95" s="1"/>
  <c r="W566" i="95"/>
  <c r="V349" i="95"/>
  <c r="W351" i="95"/>
  <c r="U735" i="95"/>
  <c r="U728" i="95" s="1"/>
  <c r="V737" i="95"/>
  <c r="U179" i="95"/>
  <c r="V181" i="95"/>
  <c r="S929" i="95"/>
  <c r="T153" i="24" s="1"/>
  <c r="W265" i="59" s="1"/>
  <c r="W320" i="59" s="1"/>
  <c r="W191" i="95"/>
  <c r="X193" i="95"/>
  <c r="U908" i="95"/>
  <c r="V910" i="95"/>
  <c r="Y75" i="95"/>
  <c r="V25" i="95"/>
  <c r="W27" i="95"/>
  <c r="U90" i="95"/>
  <c r="U30" i="95"/>
  <c r="U444" i="95"/>
  <c r="U443" i="95" s="1"/>
  <c r="V447" i="95"/>
  <c r="U1026" i="95"/>
  <c r="V1027" i="95"/>
  <c r="U948" i="95"/>
  <c r="V951" i="95"/>
  <c r="W368" i="95"/>
  <c r="X370" i="95"/>
  <c r="U603" i="95"/>
  <c r="V605" i="95"/>
  <c r="Y546" i="95"/>
  <c r="Y544" i="95" s="1"/>
  <c r="Y543" i="95" s="1"/>
  <c r="Y552" i="95"/>
  <c r="Y539" i="95"/>
  <c r="Y537" i="95" s="1"/>
  <c r="Y536" i="95" s="1"/>
  <c r="Z532" i="95"/>
  <c r="U34" i="95"/>
  <c r="V37" i="95"/>
  <c r="V680" i="95"/>
  <c r="V679" i="95" s="1"/>
  <c r="W681" i="95"/>
  <c r="V273" i="59"/>
  <c r="V314" i="59"/>
  <c r="Y498" i="95"/>
  <c r="Z500" i="95"/>
  <c r="U773" i="95"/>
  <c r="V758" i="95"/>
  <c r="V853" i="95"/>
  <c r="W854" i="95"/>
  <c r="U328" i="95"/>
  <c r="V330" i="95"/>
  <c r="U874" i="95"/>
  <c r="V875" i="95"/>
  <c r="U577" i="95"/>
  <c r="V579" i="95"/>
  <c r="V314" i="95"/>
  <c r="W316" i="95"/>
  <c r="S750" i="95"/>
  <c r="T152" i="24" s="1"/>
  <c r="W264" i="59" s="1"/>
  <c r="W319" i="59" s="1"/>
  <c r="U197" i="95"/>
  <c r="V199" i="95"/>
  <c r="V415" i="95"/>
  <c r="W417" i="95"/>
  <c r="U289" i="95"/>
  <c r="U288" i="95" s="1"/>
  <c r="V291" i="95"/>
  <c r="U321" i="95"/>
  <c r="V323" i="95"/>
  <c r="V1003" i="95"/>
  <c r="V1002" i="95" s="1"/>
  <c r="W1005" i="95"/>
  <c r="U22" i="95"/>
  <c r="U21" i="95" s="1"/>
  <c r="V24" i="95"/>
  <c r="Q172" i="60"/>
  <c r="V871" i="95"/>
  <c r="W873" i="95"/>
  <c r="V701" i="95"/>
  <c r="W703" i="95"/>
  <c r="R198" i="59"/>
  <c r="U781" i="95"/>
  <c r="V784" i="95"/>
  <c r="T801" i="95"/>
  <c r="T800" i="95" s="1"/>
  <c r="T789" i="95" s="1"/>
  <c r="T772" i="95"/>
  <c r="T762" i="95" s="1"/>
  <c r="H63" i="68"/>
  <c r="H64" i="68" s="1"/>
  <c r="H52" i="68"/>
  <c r="H55" i="68" s="1"/>
  <c r="V658" i="95"/>
  <c r="V646" i="95"/>
  <c r="V645" i="95" s="1"/>
  <c r="V644" i="95" s="1"/>
  <c r="V674" i="95"/>
  <c r="V664" i="95"/>
  <c r="V641" i="95"/>
  <c r="V639" i="95" s="1"/>
  <c r="W623" i="95"/>
  <c r="V848" i="95"/>
  <c r="W850" i="95"/>
  <c r="T123" i="95"/>
  <c r="T175" i="95" s="1"/>
  <c r="T174" i="95" s="1"/>
  <c r="U412" i="95"/>
  <c r="V414" i="95"/>
  <c r="Y283" i="95"/>
  <c r="V255" i="95"/>
  <c r="V254" i="95" s="1"/>
  <c r="W257" i="95"/>
  <c r="V636" i="95"/>
  <c r="W638" i="95"/>
  <c r="U38" i="95"/>
  <c r="V40" i="95"/>
  <c r="X830" i="95"/>
  <c r="U877" i="95"/>
  <c r="V879" i="95"/>
  <c r="U882" i="95"/>
  <c r="V884" i="95"/>
  <c r="U766" i="95"/>
  <c r="V768" i="95"/>
  <c r="X138" i="95"/>
  <c r="Y140" i="95"/>
  <c r="U472" i="95"/>
  <c r="V474" i="95"/>
  <c r="U584" i="95"/>
  <c r="V586" i="95"/>
  <c r="X374" i="95"/>
  <c r="Y376" i="95"/>
  <c r="U859" i="95"/>
  <c r="V860" i="95"/>
  <c r="V226" i="95"/>
  <c r="W228" i="95"/>
  <c r="H320" i="63"/>
  <c r="U131" i="95"/>
  <c r="V133" i="95"/>
  <c r="T178" i="95"/>
  <c r="X554" i="95"/>
  <c r="U790" i="95"/>
  <c r="V792" i="95"/>
  <c r="U698" i="95"/>
  <c r="V699" i="95"/>
  <c r="U1408" i="95"/>
  <c r="U1405" i="95" s="1"/>
  <c r="U1404" i="95" s="1"/>
  <c r="U1380" i="95" s="1"/>
  <c r="V155" i="24" s="1"/>
  <c r="Y267" i="59" s="1"/>
  <c r="Y322" i="59" s="1"/>
  <c r="V70" i="95"/>
  <c r="U996" i="95"/>
  <c r="U993" i="95" s="1"/>
  <c r="U992" i="95" s="1"/>
  <c r="U282" i="95"/>
  <c r="U279" i="95" s="1"/>
  <c r="U278" i="95" s="1"/>
  <c r="U74" i="95"/>
  <c r="U829" i="95"/>
  <c r="U826" i="95" s="1"/>
  <c r="U825" i="95" s="1"/>
  <c r="U553" i="95"/>
  <c r="U550" i="95" s="1"/>
  <c r="U549" i="95" s="1"/>
  <c r="U453" i="95"/>
  <c r="U450" i="95" s="1"/>
  <c r="U449" i="95" s="1"/>
  <c r="O252" i="63"/>
  <c r="O253" i="63" s="1"/>
  <c r="O258" i="63" s="1"/>
  <c r="O56" i="60"/>
  <c r="P357" i="63"/>
  <c r="P359" i="63" s="1"/>
  <c r="P364" i="63" s="1"/>
  <c r="P375" i="63" s="1"/>
  <c r="T117" i="60"/>
  <c r="T48" i="73"/>
  <c r="R5" i="80"/>
  <c r="U673" i="95"/>
  <c r="U672" i="95" s="1"/>
  <c r="U688" i="95"/>
  <c r="U687" i="95" s="1"/>
  <c r="U902" i="95"/>
  <c r="V904" i="95"/>
  <c r="W275" i="95"/>
  <c r="W281" i="95"/>
  <c r="W268" i="95"/>
  <c r="X261" i="95"/>
  <c r="U805" i="95"/>
  <c r="V807" i="95"/>
  <c r="V922" i="95"/>
  <c r="V920" i="95"/>
  <c r="V919" i="95" s="1"/>
  <c r="W923" i="95"/>
  <c r="U856" i="95"/>
  <c r="V857" i="95"/>
  <c r="V504" i="95"/>
  <c r="V497" i="95" s="1"/>
  <c r="W506" i="95"/>
  <c r="U229" i="95"/>
  <c r="V231" i="95"/>
  <c r="I391" i="59"/>
  <c r="T936" i="95"/>
  <c r="T1061" i="95"/>
  <c r="T1060" i="95" s="1"/>
  <c r="T1059" i="95" s="1"/>
  <c r="T1040" i="95"/>
  <c r="T1039" i="95" s="1"/>
  <c r="T1056" i="95" s="1"/>
  <c r="T1055" i="95" s="1"/>
  <c r="T1075" i="95"/>
  <c r="T1074" i="95" s="1"/>
  <c r="T1073" i="95" s="1"/>
  <c r="U1041" i="95"/>
  <c r="W337" i="59"/>
  <c r="W212" i="59" s="1"/>
  <c r="W24" i="60"/>
  <c r="X343" i="59"/>
  <c r="X217" i="59" s="1"/>
  <c r="X30" i="60"/>
  <c r="W1023" i="95"/>
  <c r="X1025" i="95"/>
  <c r="U1032" i="95"/>
  <c r="V1033" i="95"/>
  <c r="U437" i="95"/>
  <c r="U436" i="95" s="1"/>
  <c r="V440" i="95"/>
  <c r="U215" i="95"/>
  <c r="V217" i="95"/>
  <c r="V987" i="95"/>
  <c r="W989" i="95"/>
  <c r="T353" i="59"/>
  <c r="T356" i="59" s="1"/>
  <c r="T144" i="60" s="1"/>
  <c r="T27" i="68" s="1"/>
  <c r="T374" i="59"/>
  <c r="T375" i="59" s="1"/>
  <c r="T376" i="59" s="1"/>
  <c r="T210" i="59"/>
  <c r="T223" i="59" s="1"/>
  <c r="T231" i="59" s="1"/>
  <c r="T233" i="59" s="1"/>
  <c r="T195" i="59" s="1"/>
  <c r="T198" i="59" s="1"/>
  <c r="T18" i="60" s="1"/>
  <c r="V406" i="95"/>
  <c r="W408" i="95"/>
  <c r="T901" i="95"/>
  <c r="S114" i="60"/>
  <c r="S115" i="60" s="1"/>
  <c r="S19" i="60"/>
  <c r="U82" i="95"/>
  <c r="U79" i="95" s="1"/>
  <c r="V83" i="95"/>
  <c r="W203" i="95"/>
  <c r="X205" i="95"/>
  <c r="U777" i="95"/>
  <c r="V779" i="95"/>
  <c r="X785" i="95"/>
  <c r="Y787" i="95"/>
  <c r="U1020" i="95"/>
  <c r="V1021" i="95"/>
  <c r="U232" i="95"/>
  <c r="V234" i="95"/>
  <c r="Y997" i="95"/>
  <c r="T89" i="95"/>
  <c r="T88" i="95" s="1"/>
  <c r="T112" i="95"/>
  <c r="T111" i="95" s="1"/>
  <c r="U820" i="95"/>
  <c r="U811" i="95" s="1"/>
  <c r="V821" i="95"/>
  <c r="X985" i="95"/>
  <c r="X983" i="95" s="1"/>
  <c r="X964" i="95"/>
  <c r="X962" i="95" s="1"/>
  <c r="X995" i="95"/>
  <c r="Y949" i="95"/>
  <c r="J118" i="60"/>
  <c r="J120" i="60" s="1"/>
  <c r="J29" i="68"/>
  <c r="H12" i="80"/>
  <c r="J44" i="60"/>
  <c r="U865" i="95"/>
  <c r="V866" i="95"/>
  <c r="U940" i="95"/>
  <c r="V934" i="95"/>
  <c r="V307" i="95" l="1"/>
  <c r="V306" i="95" s="1"/>
  <c r="V310" i="95"/>
  <c r="V309" i="95" s="1"/>
  <c r="V267" i="95"/>
  <c r="V266" i="95" s="1"/>
  <c r="V265" i="95" s="1"/>
  <c r="V274" i="95"/>
  <c r="V273" i="95" s="1"/>
  <c r="V272" i="95" s="1"/>
  <c r="V280" i="95"/>
  <c r="W248" i="95"/>
  <c r="V262" i="95"/>
  <c r="V260" i="95" s="1"/>
  <c r="V259" i="95" s="1"/>
  <c r="U305" i="95"/>
  <c r="U881" i="95"/>
  <c r="U898" i="95" s="1"/>
  <c r="U897" i="95" s="1"/>
  <c r="I949" i="59"/>
  <c r="I947" i="59"/>
  <c r="W23" i="60"/>
  <c r="U901" i="95"/>
  <c r="U742" i="95"/>
  <c r="W18" i="95"/>
  <c r="W32" i="95" s="1"/>
  <c r="V61" i="95"/>
  <c r="V60" i="95" s="1"/>
  <c r="V59" i="95" s="1"/>
  <c r="U776" i="95"/>
  <c r="W338" i="59"/>
  <c r="W213" i="59" s="1"/>
  <c r="U915" i="95"/>
  <c r="V978" i="95"/>
  <c r="V1035" i="95"/>
  <c r="W1037" i="95"/>
  <c r="V403" i="95"/>
  <c r="W405" i="95"/>
  <c r="V515" i="95"/>
  <c r="V511" i="95" s="1"/>
  <c r="W517" i="95"/>
  <c r="W26" i="60"/>
  <c r="V743" i="95"/>
  <c r="W745" i="95"/>
  <c r="W428" i="95"/>
  <c r="V426" i="95"/>
  <c r="V425" i="95" s="1"/>
  <c r="U313" i="95"/>
  <c r="U358" i="95" s="1"/>
  <c r="U357" i="95" s="1"/>
  <c r="V382" i="59"/>
  <c r="V383" i="59" s="1"/>
  <c r="V384" i="59" s="1"/>
  <c r="V183" i="60" s="1"/>
  <c r="V211" i="59"/>
  <c r="T519" i="95"/>
  <c r="U150" i="24" s="1"/>
  <c r="X262" i="59" s="1"/>
  <c r="X317" i="59" s="1"/>
  <c r="X25" i="60" s="1"/>
  <c r="U610" i="95"/>
  <c r="V925" i="95"/>
  <c r="W927" i="95"/>
  <c r="U71" i="95"/>
  <c r="U69" i="95" s="1"/>
  <c r="U361" i="95"/>
  <c r="X337" i="59"/>
  <c r="X212" i="59" s="1"/>
  <c r="T245" i="95"/>
  <c r="U148" i="24" s="1"/>
  <c r="X260" i="59" s="1"/>
  <c r="X315" i="59" s="1"/>
  <c r="W635" i="95"/>
  <c r="V633" i="95"/>
  <c r="V632" i="95" s="1"/>
  <c r="V460" i="95"/>
  <c r="V459" i="95" s="1"/>
  <c r="W462" i="95"/>
  <c r="I956" i="59"/>
  <c r="J953" i="59" s="1"/>
  <c r="J955" i="59" s="1"/>
  <c r="J943" i="59" s="1"/>
  <c r="J945" i="59" s="1"/>
  <c r="U695" i="95"/>
  <c r="V696" i="95"/>
  <c r="V611" i="95"/>
  <c r="W613" i="95"/>
  <c r="U222" i="95"/>
  <c r="T9" i="95"/>
  <c r="U147" i="24" s="1"/>
  <c r="X259" i="59" s="1"/>
  <c r="W918" i="95"/>
  <c r="V916" i="95"/>
  <c r="U183" i="60"/>
  <c r="U385" i="59"/>
  <c r="U390" i="59" s="1"/>
  <c r="V386" i="95"/>
  <c r="W388" i="95"/>
  <c r="W240" i="95"/>
  <c r="V238" i="95"/>
  <c r="X869" i="95"/>
  <c r="W868" i="95"/>
  <c r="V836" i="95"/>
  <c r="V835" i="95" s="1"/>
  <c r="W838" i="95"/>
  <c r="V335" i="95"/>
  <c r="W337" i="95"/>
  <c r="V185" i="95"/>
  <c r="W187" i="95"/>
  <c r="U852" i="95"/>
  <c r="W891" i="95"/>
  <c r="V889" i="95"/>
  <c r="W955" i="95"/>
  <c r="V952" i="95"/>
  <c r="U693" i="95"/>
  <c r="T692" i="95"/>
  <c r="T691" i="95" s="1"/>
  <c r="T618" i="95" s="1"/>
  <c r="U151" i="24" s="1"/>
  <c r="X263" i="59" s="1"/>
  <c r="X318" i="59" s="1"/>
  <c r="X26" i="60" s="1"/>
  <c r="W1015" i="95"/>
  <c r="X1017" i="95"/>
  <c r="V380" i="95"/>
  <c r="W382" i="95"/>
  <c r="S7" i="95"/>
  <c r="X981" i="95"/>
  <c r="W979" i="95"/>
  <c r="V666" i="95"/>
  <c r="V663" i="95" s="1"/>
  <c r="V662" i="95" s="1"/>
  <c r="W667" i="95"/>
  <c r="T750" i="95"/>
  <c r="U152" i="24" s="1"/>
  <c r="X264" i="59" s="1"/>
  <c r="X319" i="59" s="1"/>
  <c r="W340" i="59"/>
  <c r="W215" i="59" s="1"/>
  <c r="W27" i="60"/>
  <c r="V328" i="95"/>
  <c r="W330" i="95"/>
  <c r="Z498" i="95"/>
  <c r="AA500" i="95"/>
  <c r="Z552" i="95"/>
  <c r="Z539" i="95"/>
  <c r="Z537" i="95" s="1"/>
  <c r="Z536" i="95" s="1"/>
  <c r="Z546" i="95"/>
  <c r="Z544" i="95" s="1"/>
  <c r="Z543" i="95" s="1"/>
  <c r="AA532" i="95"/>
  <c r="U112" i="95"/>
  <c r="U111" i="95" s="1"/>
  <c r="U89" i="95"/>
  <c r="U88" i="95" s="1"/>
  <c r="V152" i="95"/>
  <c r="W154" i="95"/>
  <c r="U1019" i="95"/>
  <c r="V437" i="95"/>
  <c r="V436" i="95" s="1"/>
  <c r="W440" i="95"/>
  <c r="V856" i="95"/>
  <c r="W857" i="95"/>
  <c r="U123" i="95"/>
  <c r="U175" i="95" s="1"/>
  <c r="U174" i="95" s="1"/>
  <c r="V874" i="95"/>
  <c r="W875" i="95"/>
  <c r="V773" i="95"/>
  <c r="W758" i="95"/>
  <c r="X191" i="95"/>
  <c r="Y193" i="95"/>
  <c r="V735" i="95"/>
  <c r="V728" i="95" s="1"/>
  <c r="W737" i="95"/>
  <c r="X124" i="95"/>
  <c r="Y126" i="95"/>
  <c r="V746" i="95"/>
  <c r="W748" i="95"/>
  <c r="W478" i="95"/>
  <c r="W477" i="95" s="1"/>
  <c r="W494" i="95" s="1"/>
  <c r="W493" i="95" s="1"/>
  <c r="X480" i="95"/>
  <c r="V704" i="95"/>
  <c r="W706" i="95"/>
  <c r="V614" i="95"/>
  <c r="W616" i="95"/>
  <c r="V572" i="95"/>
  <c r="W574" i="95"/>
  <c r="V90" i="95"/>
  <c r="V30" i="95"/>
  <c r="M366" i="59"/>
  <c r="M143" i="60"/>
  <c r="K17" i="80"/>
  <c r="W409" i="95"/>
  <c r="X411" i="95"/>
  <c r="U419" i="95"/>
  <c r="V149" i="24" s="1"/>
  <c r="Y261" i="59" s="1"/>
  <c r="Y316" i="59" s="1"/>
  <c r="Q252" i="63"/>
  <c r="Q253" i="63" s="1"/>
  <c r="Q258" i="63" s="1"/>
  <c r="Q56" i="60"/>
  <c r="J252" i="63"/>
  <c r="J253" i="63" s="1"/>
  <c r="J258" i="63" s="1"/>
  <c r="J56" i="60"/>
  <c r="T19" i="60"/>
  <c r="T114" i="60"/>
  <c r="T115" i="60" s="1"/>
  <c r="V698" i="95"/>
  <c r="W699" i="95"/>
  <c r="W1029" i="95"/>
  <c r="X1031" i="95"/>
  <c r="V82" i="95"/>
  <c r="V79" i="95" s="1"/>
  <c r="W83" i="95"/>
  <c r="T377" i="59"/>
  <c r="T389" i="59" s="1"/>
  <c r="T182" i="60"/>
  <c r="I42" i="60"/>
  <c r="X268" i="95"/>
  <c r="X275" i="95"/>
  <c r="X281" i="95"/>
  <c r="Y261" i="95"/>
  <c r="V859" i="95"/>
  <c r="W860" i="95"/>
  <c r="Y138" i="95"/>
  <c r="Z140" i="95"/>
  <c r="V412" i="95"/>
  <c r="W414" i="95"/>
  <c r="V673" i="95"/>
  <c r="V672" i="95" s="1"/>
  <c r="V688" i="95"/>
  <c r="V687" i="95" s="1"/>
  <c r="V781" i="95"/>
  <c r="W784" i="95"/>
  <c r="W1003" i="95"/>
  <c r="W1002" i="95" s="1"/>
  <c r="X1005" i="95"/>
  <c r="V197" i="95"/>
  <c r="W199" i="95"/>
  <c r="U772" i="95"/>
  <c r="U762" i="95" s="1"/>
  <c r="U801" i="95"/>
  <c r="U800" i="95" s="1"/>
  <c r="U789" i="95" s="1"/>
  <c r="V34" i="95"/>
  <c r="W37" i="95"/>
  <c r="X368" i="95"/>
  <c r="Y370" i="95"/>
  <c r="U29" i="95"/>
  <c r="W25" i="95"/>
  <c r="X27" i="95"/>
  <c r="Y45" i="95"/>
  <c r="Y73" i="95"/>
  <c r="Y62" i="95"/>
  <c r="Z31" i="95"/>
  <c r="Y729" i="95"/>
  <c r="Z731" i="95"/>
  <c r="W166" i="95"/>
  <c r="X168" i="95"/>
  <c r="G976" i="59"/>
  <c r="V392" i="95"/>
  <c r="W394" i="95"/>
  <c r="Z997" i="95"/>
  <c r="V1032" i="95"/>
  <c r="W1033" i="95"/>
  <c r="V229" i="95"/>
  <c r="W231" i="95"/>
  <c r="W922" i="95"/>
  <c r="W920" i="95"/>
  <c r="W919" i="95" s="1"/>
  <c r="X923" i="95"/>
  <c r="P382" i="63"/>
  <c r="P383" i="63" s="1"/>
  <c r="P1110" i="59" s="1"/>
  <c r="P376" i="63"/>
  <c r="P1108" i="59" s="1"/>
  <c r="V790" i="95"/>
  <c r="W792" i="95"/>
  <c r="W636" i="95"/>
  <c r="X638" i="95"/>
  <c r="W28" i="60"/>
  <c r="W341" i="59"/>
  <c r="W349" i="95"/>
  <c r="X351" i="95"/>
  <c r="Q357" i="63"/>
  <c r="Q359" i="63" s="1"/>
  <c r="Q364" i="63" s="1"/>
  <c r="Q375" i="63" s="1"/>
  <c r="V145" i="95"/>
  <c r="W147" i="95"/>
  <c r="V716" i="95"/>
  <c r="V708" i="95" s="1"/>
  <c r="V725" i="95" s="1"/>
  <c r="V724" i="95" s="1"/>
  <c r="W718" i="95"/>
  <c r="Z66" i="95"/>
  <c r="Z64" i="95" s="1"/>
  <c r="Z50" i="95"/>
  <c r="Z48" i="95" s="1"/>
  <c r="Z81" i="95"/>
  <c r="AA35" i="95"/>
  <c r="V526" i="95"/>
  <c r="V525" i="95" s="1"/>
  <c r="W528" i="95"/>
  <c r="V862" i="95"/>
  <c r="W863" i="95"/>
  <c r="Y812" i="95"/>
  <c r="Z813" i="95"/>
  <c r="T929" i="95"/>
  <c r="U153" i="24" s="1"/>
  <c r="X265" i="59" s="1"/>
  <c r="X320" i="59" s="1"/>
  <c r="V957" i="95"/>
  <c r="W959" i="95"/>
  <c r="V628" i="95"/>
  <c r="V627" i="95" s="1"/>
  <c r="W630" i="95"/>
  <c r="U117" i="60"/>
  <c r="U48" i="73"/>
  <c r="S5" i="80"/>
  <c r="W765" i="95"/>
  <c r="V763" i="95"/>
  <c r="U374" i="59"/>
  <c r="U375" i="59" s="1"/>
  <c r="U376" i="59" s="1"/>
  <c r="U353" i="59"/>
  <c r="U356" i="59" s="1"/>
  <c r="U144" i="60" s="1"/>
  <c r="U27" i="68" s="1"/>
  <c r="U210" i="59"/>
  <c r="U223" i="59" s="1"/>
  <c r="U231" i="59" s="1"/>
  <c r="U233" i="59" s="1"/>
  <c r="U195" i="59" s="1"/>
  <c r="U198" i="59" s="1"/>
  <c r="U18" i="60" s="1"/>
  <c r="V1408" i="95"/>
  <c r="V1405" i="95" s="1"/>
  <c r="V1404" i="95" s="1"/>
  <c r="V1380" i="95" s="1"/>
  <c r="W155" i="24" s="1"/>
  <c r="Z267" i="59" s="1"/>
  <c r="Z322" i="59" s="1"/>
  <c r="W70" i="95"/>
  <c r="V996" i="95"/>
  <c r="V993" i="95" s="1"/>
  <c r="V992" i="95" s="1"/>
  <c r="V74" i="95"/>
  <c r="V282" i="95"/>
  <c r="V279" i="95" s="1"/>
  <c r="V278" i="95" s="1"/>
  <c r="V829" i="95"/>
  <c r="V826" i="95" s="1"/>
  <c r="V825" i="95" s="1"/>
  <c r="V553" i="95"/>
  <c r="V550" i="95" s="1"/>
  <c r="V549" i="95" s="1"/>
  <c r="V453" i="95"/>
  <c r="V450" i="95" s="1"/>
  <c r="V449" i="95" s="1"/>
  <c r="Y374" i="95"/>
  <c r="Z376" i="95"/>
  <c r="V877" i="95"/>
  <c r="W879" i="95"/>
  <c r="Z75" i="95"/>
  <c r="V159" i="95"/>
  <c r="W161" i="95"/>
  <c r="W465" i="95"/>
  <c r="W464" i="95" s="1"/>
  <c r="X470" i="95"/>
  <c r="W934" i="95"/>
  <c r="V940" i="95"/>
  <c r="V232" i="95"/>
  <c r="W234" i="95"/>
  <c r="W987" i="95"/>
  <c r="X989" i="95"/>
  <c r="X1023" i="95"/>
  <c r="Y1025" i="95"/>
  <c r="W504" i="95"/>
  <c r="W497" i="95" s="1"/>
  <c r="X506" i="95"/>
  <c r="Y343" i="59"/>
  <c r="Y217" i="59" s="1"/>
  <c r="Y30" i="60"/>
  <c r="Y554" i="95"/>
  <c r="W255" i="95"/>
  <c r="W254" i="95" s="1"/>
  <c r="X257" i="95"/>
  <c r="W848" i="95"/>
  <c r="X850" i="95"/>
  <c r="R18" i="60"/>
  <c r="W314" i="95"/>
  <c r="X316" i="95"/>
  <c r="V179" i="95"/>
  <c r="W181" i="95"/>
  <c r="Q954" i="59"/>
  <c r="K172" i="60"/>
  <c r="L369" i="59"/>
  <c r="L388" i="59" s="1"/>
  <c r="L391" i="59" s="1"/>
  <c r="L42" i="60" s="1"/>
  <c r="K369" i="59"/>
  <c r="K388" i="59" s="1"/>
  <c r="V531" i="95"/>
  <c r="V530" i="95" s="1"/>
  <c r="W534" i="95"/>
  <c r="W709" i="95"/>
  <c r="X711" i="95"/>
  <c r="Y209" i="95"/>
  <c r="Z211" i="95"/>
  <c r="X53" i="95"/>
  <c r="Y56" i="95"/>
  <c r="V241" i="95"/>
  <c r="W243" i="95"/>
  <c r="W120" i="95"/>
  <c r="W119" i="95" s="1"/>
  <c r="W44" i="95"/>
  <c r="W99" i="95"/>
  <c r="W98" i="95" s="1"/>
  <c r="W97" i="95" s="1"/>
  <c r="W117" i="95"/>
  <c r="W116" i="95" s="1"/>
  <c r="X12" i="95"/>
  <c r="V560" i="95"/>
  <c r="V559" i="95" s="1"/>
  <c r="W562" i="95"/>
  <c r="W362" i="95"/>
  <c r="X364" i="95"/>
  <c r="V944" i="95"/>
  <c r="W947" i="95"/>
  <c r="S366" i="59"/>
  <c r="S367" i="59" s="1"/>
  <c r="S368" i="59" s="1"/>
  <c r="Q17" i="80"/>
  <c r="S143" i="60"/>
  <c r="V777" i="95"/>
  <c r="W779" i="95"/>
  <c r="V805" i="95"/>
  <c r="W807" i="95"/>
  <c r="V584" i="95"/>
  <c r="W586" i="95"/>
  <c r="Y830" i="95"/>
  <c r="W701" i="95"/>
  <c r="X703" i="95"/>
  <c r="V289" i="95"/>
  <c r="V288" i="95" s="1"/>
  <c r="W291" i="95"/>
  <c r="W853" i="95"/>
  <c r="X854" i="95"/>
  <c r="V332" i="59"/>
  <c r="V335" i="59"/>
  <c r="V22" i="60"/>
  <c r="V40" i="60" s="1"/>
  <c r="V1026" i="95"/>
  <c r="W1027" i="95"/>
  <c r="V908" i="95"/>
  <c r="W910" i="95"/>
  <c r="U178" i="95"/>
  <c r="W797" i="95"/>
  <c r="W795" i="95" s="1"/>
  <c r="W828" i="95"/>
  <c r="W818" i="95"/>
  <c r="W816" i="95" s="1"/>
  <c r="X782" i="95"/>
  <c r="G252" i="63"/>
  <c r="G253" i="63" s="1"/>
  <c r="G56" i="60"/>
  <c r="V597" i="95"/>
  <c r="W599" i="95"/>
  <c r="V1008" i="95"/>
  <c r="V1007" i="95" s="1"/>
  <c r="W1009" i="95"/>
  <c r="V400" i="95"/>
  <c r="W402" i="95"/>
  <c r="K357" i="63"/>
  <c r="K359" i="63" s="1"/>
  <c r="K364" i="63" s="1"/>
  <c r="X659" i="95"/>
  <c r="X657" i="95" s="1"/>
  <c r="X656" i="95" s="1"/>
  <c r="X652" i="95"/>
  <c r="X650" i="95" s="1"/>
  <c r="X647" i="95"/>
  <c r="X665" i="95"/>
  <c r="Y640" i="95"/>
  <c r="U943" i="95"/>
  <c r="V841" i="95"/>
  <c r="V840" i="95" s="1"/>
  <c r="W842" i="95"/>
  <c r="AA104" i="95"/>
  <c r="AB109" i="95"/>
  <c r="V820" i="95"/>
  <c r="V811" i="95" s="1"/>
  <c r="W821" i="95"/>
  <c r="Y785" i="95"/>
  <c r="Z787" i="95"/>
  <c r="U1061" i="95"/>
  <c r="U1060" i="95" s="1"/>
  <c r="U1059" i="95" s="1"/>
  <c r="U1040" i="95"/>
  <c r="U1039" i="95" s="1"/>
  <c r="U1056" i="95" s="1"/>
  <c r="U1055" i="95" s="1"/>
  <c r="U1075" i="95"/>
  <c r="U1074" i="95" s="1"/>
  <c r="U1073" i="95" s="1"/>
  <c r="U936" i="95"/>
  <c r="V1041" i="95"/>
  <c r="V766" i="95"/>
  <c r="W768" i="95"/>
  <c r="V948" i="95"/>
  <c r="W951" i="95"/>
  <c r="W406" i="95"/>
  <c r="X408" i="95"/>
  <c r="V215" i="95"/>
  <c r="W217" i="95"/>
  <c r="W226" i="95"/>
  <c r="X228" i="95"/>
  <c r="V882" i="95"/>
  <c r="W884" i="95"/>
  <c r="Z283" i="95"/>
  <c r="W646" i="95"/>
  <c r="W645" i="95" s="1"/>
  <c r="W644" i="95" s="1"/>
  <c r="W674" i="95"/>
  <c r="W664" i="95"/>
  <c r="W641" i="95"/>
  <c r="W639" i="95" s="1"/>
  <c r="W658" i="95"/>
  <c r="X623" i="95"/>
  <c r="V577" i="95"/>
  <c r="W579" i="95"/>
  <c r="W565" i="95"/>
  <c r="W564" i="95" s="1"/>
  <c r="X566" i="95"/>
  <c r="X485" i="95"/>
  <c r="Y487" i="95"/>
  <c r="G60" i="60"/>
  <c r="G50" i="68" s="1"/>
  <c r="W235" i="95"/>
  <c r="X237" i="95"/>
  <c r="Y454" i="95"/>
  <c r="U596" i="95"/>
  <c r="W342" i="95"/>
  <c r="X344" i="95"/>
  <c r="I382" i="63"/>
  <c r="I383" i="63" s="1"/>
  <c r="I376" i="63"/>
  <c r="W769" i="95"/>
  <c r="X771" i="95"/>
  <c r="U399" i="95"/>
  <c r="V972" i="95"/>
  <c r="W974" i="95"/>
  <c r="V72" i="95"/>
  <c r="V43" i="95"/>
  <c r="V42" i="95" s="1"/>
  <c r="W273" i="59"/>
  <c r="W314" i="59"/>
  <c r="V321" i="95"/>
  <c r="W323" i="95"/>
  <c r="U968" i="95"/>
  <c r="U967" i="95" s="1"/>
  <c r="U956" i="95" s="1"/>
  <c r="U939" i="95"/>
  <c r="U938" i="95" s="1"/>
  <c r="V865" i="95"/>
  <c r="W866" i="95"/>
  <c r="Y995" i="95"/>
  <c r="Y985" i="95"/>
  <c r="Y983" i="95" s="1"/>
  <c r="Y964" i="95"/>
  <c r="Y962" i="95" s="1"/>
  <c r="Z949" i="95"/>
  <c r="V1020" i="95"/>
  <c r="W1021" i="95"/>
  <c r="X203" i="95"/>
  <c r="Y205" i="95"/>
  <c r="V902" i="95"/>
  <c r="W904" i="95"/>
  <c r="V131" i="95"/>
  <c r="W133" i="95"/>
  <c r="V472" i="95"/>
  <c r="W474" i="95"/>
  <c r="V38" i="95"/>
  <c r="W40" i="95"/>
  <c r="W871" i="95"/>
  <c r="X873" i="95"/>
  <c r="V22" i="95"/>
  <c r="V21" i="95" s="1"/>
  <c r="W24" i="95"/>
  <c r="W415" i="95"/>
  <c r="X417" i="95"/>
  <c r="U576" i="95"/>
  <c r="U593" i="95" s="1"/>
  <c r="U592" i="95" s="1"/>
  <c r="W680" i="95"/>
  <c r="W679" i="95" s="1"/>
  <c r="X681" i="95"/>
  <c r="V603" i="95"/>
  <c r="W605" i="95"/>
  <c r="V444" i="95"/>
  <c r="V443" i="95" s="1"/>
  <c r="W447" i="95"/>
  <c r="G120" i="60"/>
  <c r="W223" i="95"/>
  <c r="X225" i="95"/>
  <c r="W512" i="95"/>
  <c r="X514" i="95"/>
  <c r="K954" i="59"/>
  <c r="V115" i="95"/>
  <c r="M115" i="60"/>
  <c r="V302" i="95"/>
  <c r="V301" i="95" s="1"/>
  <c r="V295" i="95"/>
  <c r="V294" i="95" s="1"/>
  <c r="V293" i="95" s="1"/>
  <c r="W290" i="95"/>
  <c r="V431" i="95"/>
  <c r="V430" i="95" s="1"/>
  <c r="W434" i="95"/>
  <c r="W382" i="59"/>
  <c r="W383" i="59" s="1"/>
  <c r="W384" i="59" s="1"/>
  <c r="W211" i="59"/>
  <c r="W307" i="95" l="1"/>
  <c r="W306" i="95" s="1"/>
  <c r="W310" i="95"/>
  <c r="W309" i="95" s="1"/>
  <c r="W262" i="95"/>
  <c r="W260" i="95" s="1"/>
  <c r="W259" i="95" s="1"/>
  <c r="W274" i="95"/>
  <c r="W273" i="95" s="1"/>
  <c r="W272" i="95" s="1"/>
  <c r="W280" i="95"/>
  <c r="X248" i="95"/>
  <c r="W267" i="95"/>
  <c r="W266" i="95" s="1"/>
  <c r="W265" i="95" s="1"/>
  <c r="V305" i="95"/>
  <c r="I951" i="59"/>
  <c r="I985" i="59" s="1"/>
  <c r="V742" i="95"/>
  <c r="V313" i="95"/>
  <c r="V358" i="95" s="1"/>
  <c r="V357" i="95" s="1"/>
  <c r="X18" i="95"/>
  <c r="X32" i="95" s="1"/>
  <c r="W61" i="95"/>
  <c r="X338" i="59"/>
  <c r="X213" i="59" s="1"/>
  <c r="X339" i="59"/>
  <c r="X214" i="59" s="1"/>
  <c r="J948" i="59"/>
  <c r="J949" i="59"/>
  <c r="J947" i="59"/>
  <c r="V610" i="95"/>
  <c r="V881" i="95"/>
  <c r="V898" i="95" s="1"/>
  <c r="V897" i="95" s="1"/>
  <c r="U245" i="95"/>
  <c r="V148" i="24" s="1"/>
  <c r="Y260" i="59" s="1"/>
  <c r="Y315" i="59" s="1"/>
  <c r="Y23" i="60" s="1"/>
  <c r="X1037" i="95"/>
  <c r="W1035" i="95"/>
  <c r="V385" i="59"/>
  <c r="V390" i="59" s="1"/>
  <c r="X745" i="95"/>
  <c r="W743" i="95"/>
  <c r="W515" i="95"/>
  <c r="W511" i="95" s="1"/>
  <c r="X517" i="95"/>
  <c r="W403" i="95"/>
  <c r="X405" i="95"/>
  <c r="W426" i="95"/>
  <c r="W425" i="95" s="1"/>
  <c r="X428" i="95"/>
  <c r="W925" i="95"/>
  <c r="X927" i="95"/>
  <c r="W978" i="95"/>
  <c r="V915" i="95"/>
  <c r="W633" i="95"/>
  <c r="W632" i="95" s="1"/>
  <c r="X635" i="95"/>
  <c r="X23" i="60"/>
  <c r="X336" i="59"/>
  <c r="V901" i="95"/>
  <c r="V361" i="95"/>
  <c r="V399" i="95"/>
  <c r="W115" i="95"/>
  <c r="W460" i="95"/>
  <c r="W459" i="95" s="1"/>
  <c r="X462" i="95"/>
  <c r="V1019" i="95"/>
  <c r="X613" i="95"/>
  <c r="W611" i="95"/>
  <c r="V695" i="95"/>
  <c r="W696" i="95"/>
  <c r="W916" i="95"/>
  <c r="X918" i="95"/>
  <c r="V123" i="95"/>
  <c r="V175" i="95" s="1"/>
  <c r="V174" i="95" s="1"/>
  <c r="V576" i="95"/>
  <c r="V593" i="95" s="1"/>
  <c r="V592" i="95" s="1"/>
  <c r="V596" i="95"/>
  <c r="V222" i="95"/>
  <c r="Y981" i="95"/>
  <c r="X979" i="95"/>
  <c r="X187" i="95"/>
  <c r="W185" i="95"/>
  <c r="X868" i="95"/>
  <c r="Y869" i="95"/>
  <c r="U692" i="95"/>
  <c r="U691" i="95" s="1"/>
  <c r="U618" i="95" s="1"/>
  <c r="V151" i="24" s="1"/>
  <c r="Y263" i="59" s="1"/>
  <c r="Y318" i="59" s="1"/>
  <c r="Y339" i="59" s="1"/>
  <c r="Y214" i="59" s="1"/>
  <c r="V693" i="95"/>
  <c r="W380" i="95"/>
  <c r="X382" i="95"/>
  <c r="X337" i="95"/>
  <c r="W335" i="95"/>
  <c r="W238" i="95"/>
  <c r="X240" i="95"/>
  <c r="V776" i="95"/>
  <c r="W952" i="95"/>
  <c r="X955" i="95"/>
  <c r="X388" i="95"/>
  <c r="W386" i="95"/>
  <c r="U9" i="95"/>
  <c r="X1015" i="95"/>
  <c r="Y1017" i="95"/>
  <c r="W836" i="95"/>
  <c r="W835" i="95" s="1"/>
  <c r="X838" i="95"/>
  <c r="W666" i="95"/>
  <c r="W663" i="95" s="1"/>
  <c r="W662" i="95" s="1"/>
  <c r="X667" i="95"/>
  <c r="W889" i="95"/>
  <c r="X891" i="95"/>
  <c r="V852" i="95"/>
  <c r="T7" i="95"/>
  <c r="G62" i="60"/>
  <c r="K391" i="59"/>
  <c r="U929" i="95"/>
  <c r="V153" i="24" s="1"/>
  <c r="Y265" i="59" s="1"/>
  <c r="Y320" i="59" s="1"/>
  <c r="W183" i="60"/>
  <c r="W385" i="59"/>
  <c r="W390" i="59" s="1"/>
  <c r="X512" i="95"/>
  <c r="Y514" i="95"/>
  <c r="W444" i="95"/>
  <c r="W443" i="95" s="1"/>
  <c r="X447" i="95"/>
  <c r="Z995" i="95"/>
  <c r="Z964" i="95"/>
  <c r="Z962" i="95" s="1"/>
  <c r="Z985" i="95"/>
  <c r="Z983" i="95" s="1"/>
  <c r="AA949" i="95"/>
  <c r="X235" i="95"/>
  <c r="Y237" i="95"/>
  <c r="W215" i="95"/>
  <c r="X217" i="95"/>
  <c r="V943" i="95"/>
  <c r="W30" i="95"/>
  <c r="W90" i="95"/>
  <c r="W60" i="95"/>
  <c r="W59" i="95" s="1"/>
  <c r="V178" i="95"/>
  <c r="X255" i="95"/>
  <c r="X254" i="95" s="1"/>
  <c r="Y257" i="95"/>
  <c r="V968" i="95"/>
  <c r="V967" i="95" s="1"/>
  <c r="V956" i="95" s="1"/>
  <c r="V939" i="95"/>
  <c r="V938" i="95" s="1"/>
  <c r="AA75" i="95"/>
  <c r="X630" i="95"/>
  <c r="W628" i="95"/>
  <c r="W627" i="95" s="1"/>
  <c r="W1032" i="95"/>
  <c r="X1033" i="95"/>
  <c r="X25" i="95"/>
  <c r="Y27" i="95"/>
  <c r="W746" i="95"/>
  <c r="X748" i="95"/>
  <c r="W773" i="95"/>
  <c r="X758" i="95"/>
  <c r="I1108" i="59"/>
  <c r="Y485" i="95"/>
  <c r="Z487" i="95"/>
  <c r="AA283" i="95"/>
  <c r="X99" i="95"/>
  <c r="X98" i="95" s="1"/>
  <c r="X97" i="95" s="1"/>
  <c r="X44" i="95"/>
  <c r="X120" i="95"/>
  <c r="X119" i="95" s="1"/>
  <c r="X117" i="95"/>
  <c r="X116" i="95" s="1"/>
  <c r="Y12" i="95"/>
  <c r="W431" i="95"/>
  <c r="W430" i="95" s="1"/>
  <c r="X434" i="95"/>
  <c r="X226" i="95"/>
  <c r="Y228" i="95"/>
  <c r="Z830" i="95"/>
  <c r="W43" i="95"/>
  <c r="W42" i="95" s="1"/>
  <c r="W72" i="95"/>
  <c r="X709" i="95"/>
  <c r="Y711" i="95"/>
  <c r="Y1023" i="95"/>
  <c r="Z1025" i="95"/>
  <c r="W940" i="95"/>
  <c r="X934" i="95"/>
  <c r="W862" i="95"/>
  <c r="X863" i="95"/>
  <c r="G986" i="59"/>
  <c r="Z729" i="95"/>
  <c r="AA731" i="95"/>
  <c r="W197" i="95"/>
  <c r="X199" i="95"/>
  <c r="W412" i="95"/>
  <c r="X414" i="95"/>
  <c r="W572" i="95"/>
  <c r="X574" i="95"/>
  <c r="W704" i="95"/>
  <c r="X706" i="95"/>
  <c r="V801" i="95"/>
  <c r="V800" i="95" s="1"/>
  <c r="V789" i="95" s="1"/>
  <c r="V772" i="95"/>
  <c r="V762" i="95" s="1"/>
  <c r="W437" i="95"/>
  <c r="W436" i="95" s="1"/>
  <c r="X440" i="95"/>
  <c r="W328" i="95"/>
  <c r="X330" i="95"/>
  <c r="Z785" i="95"/>
  <c r="AA787" i="95"/>
  <c r="W597" i="95"/>
  <c r="X599" i="95"/>
  <c r="X797" i="95"/>
  <c r="X795" i="95" s="1"/>
  <c r="X828" i="95"/>
  <c r="X818" i="95"/>
  <c r="X816" i="95" s="1"/>
  <c r="Y782" i="95"/>
  <c r="X853" i="95"/>
  <c r="Y854" i="95"/>
  <c r="X362" i="95"/>
  <c r="Y364" i="95"/>
  <c r="W603" i="95"/>
  <c r="X605" i="95"/>
  <c r="W321" i="95"/>
  <c r="X323" i="95"/>
  <c r="X406" i="95"/>
  <c r="Y408" i="95"/>
  <c r="X314" i="95"/>
  <c r="Y316" i="95"/>
  <c r="Z554" i="95"/>
  <c r="X465" i="95"/>
  <c r="X464" i="95" s="1"/>
  <c r="Y470" i="95"/>
  <c r="W877" i="95"/>
  <c r="X879" i="95"/>
  <c r="W763" i="95"/>
  <c r="X765" i="95"/>
  <c r="W957" i="95"/>
  <c r="X959" i="95"/>
  <c r="Q376" i="63"/>
  <c r="Q1108" i="59" s="1"/>
  <c r="Q382" i="63"/>
  <c r="Q383" i="63" s="1"/>
  <c r="Q1110" i="59" s="1"/>
  <c r="AA997" i="95"/>
  <c r="Y275" i="95"/>
  <c r="Y281" i="95"/>
  <c r="Y268" i="95"/>
  <c r="Z261" i="95"/>
  <c r="W82" i="95"/>
  <c r="W79" i="95" s="1"/>
  <c r="X83" i="95"/>
  <c r="Y124" i="95"/>
  <c r="Z126" i="95"/>
  <c r="W874" i="95"/>
  <c r="X875" i="95"/>
  <c r="W38" i="95"/>
  <c r="X40" i="95"/>
  <c r="W577" i="95"/>
  <c r="X579" i="95"/>
  <c r="W400" i="95"/>
  <c r="X402" i="95"/>
  <c r="W22" i="95"/>
  <c r="W21" i="95" s="1"/>
  <c r="X24" i="95"/>
  <c r="W131" i="95"/>
  <c r="X133" i="95"/>
  <c r="Y203" i="95"/>
  <c r="Z205" i="95"/>
  <c r="W841" i="95"/>
  <c r="W840" i="95" s="1"/>
  <c r="X842" i="95"/>
  <c r="V419" i="95"/>
  <c r="W149" i="24" s="1"/>
  <c r="Z261" i="59" s="1"/>
  <c r="Z316" i="59" s="1"/>
  <c r="X223" i="95"/>
  <c r="Y225" i="95"/>
  <c r="W972" i="95"/>
  <c r="X974" i="95"/>
  <c r="Z454" i="95"/>
  <c r="W302" i="95"/>
  <c r="W301" i="95" s="1"/>
  <c r="W295" i="95"/>
  <c r="W294" i="95" s="1"/>
  <c r="W293" i="95" s="1"/>
  <c r="X290" i="95"/>
  <c r="X871" i="95"/>
  <c r="Y873" i="95"/>
  <c r="W1020" i="95"/>
  <c r="X1021" i="95"/>
  <c r="X769" i="95"/>
  <c r="Y771" i="95"/>
  <c r="G76" i="73"/>
  <c r="G123" i="60"/>
  <c r="G28" i="68"/>
  <c r="G49" i="73"/>
  <c r="E7" i="80"/>
  <c r="W688" i="95"/>
  <c r="W687" i="95" s="1"/>
  <c r="W673" i="95"/>
  <c r="W672" i="95" s="1"/>
  <c r="W820" i="95"/>
  <c r="W811" i="95" s="1"/>
  <c r="X821" i="95"/>
  <c r="W1026" i="95"/>
  <c r="X1027" i="95"/>
  <c r="W584" i="95"/>
  <c r="X586" i="95"/>
  <c r="W805" i="95"/>
  <c r="X807" i="95"/>
  <c r="W560" i="95"/>
  <c r="W559" i="95" s="1"/>
  <c r="X562" i="95"/>
  <c r="W241" i="95"/>
  <c r="X243" i="95"/>
  <c r="W531" i="95"/>
  <c r="W530" i="95" s="1"/>
  <c r="X534" i="95"/>
  <c r="X987" i="95"/>
  <c r="Y989" i="95"/>
  <c r="W526" i="95"/>
  <c r="W525" i="95" s="1"/>
  <c r="X528" i="95"/>
  <c r="W716" i="95"/>
  <c r="W708" i="95" s="1"/>
  <c r="W725" i="95" s="1"/>
  <c r="W724" i="95" s="1"/>
  <c r="X718" i="95"/>
  <c r="X636" i="95"/>
  <c r="Y638" i="95"/>
  <c r="X922" i="95"/>
  <c r="X920" i="95"/>
  <c r="X919" i="95" s="1"/>
  <c r="Y923" i="95"/>
  <c r="X166" i="95"/>
  <c r="Y168" i="95"/>
  <c r="Y368" i="95"/>
  <c r="Z370" i="95"/>
  <c r="X1003" i="95"/>
  <c r="X1002" i="95" s="1"/>
  <c r="Y1005" i="95"/>
  <c r="X478" i="95"/>
  <c r="X477" i="95" s="1"/>
  <c r="X494" i="95" s="1"/>
  <c r="X493" i="95" s="1"/>
  <c r="Y480" i="95"/>
  <c r="AA539" i="95"/>
  <c r="AA537" i="95" s="1"/>
  <c r="AA536" i="95" s="1"/>
  <c r="AA552" i="95"/>
  <c r="AA546" i="95"/>
  <c r="AA544" i="95" s="1"/>
  <c r="AA543" i="95" s="1"/>
  <c r="AB532" i="95"/>
  <c r="X680" i="95"/>
  <c r="X679" i="95" s="1"/>
  <c r="Y681" i="95"/>
  <c r="W902" i="95"/>
  <c r="X904" i="95"/>
  <c r="W865" i="95"/>
  <c r="X866" i="95"/>
  <c r="W332" i="59"/>
  <c r="W335" i="59"/>
  <c r="W22" i="60"/>
  <c r="W40" i="60" s="1"/>
  <c r="W948" i="95"/>
  <c r="X951" i="95"/>
  <c r="V1040" i="95"/>
  <c r="V1039" i="95" s="1"/>
  <c r="V1056" i="95" s="1"/>
  <c r="V1055" i="95" s="1"/>
  <c r="V936" i="95"/>
  <c r="V1075" i="95"/>
  <c r="V1074" i="95" s="1"/>
  <c r="V1073" i="95" s="1"/>
  <c r="V1061" i="95"/>
  <c r="V1060" i="95" s="1"/>
  <c r="V1059" i="95" s="1"/>
  <c r="W1041" i="95"/>
  <c r="Y647" i="95"/>
  <c r="Y665" i="95"/>
  <c r="Y659" i="95"/>
  <c r="Y657" i="95" s="1"/>
  <c r="Y656" i="95" s="1"/>
  <c r="Y652" i="95"/>
  <c r="Y650" i="95" s="1"/>
  <c r="Z640" i="95"/>
  <c r="K375" i="63"/>
  <c r="W289" i="95"/>
  <c r="W288" i="95" s="1"/>
  <c r="X291" i="95"/>
  <c r="S942" i="59"/>
  <c r="S26" i="68"/>
  <c r="S147" i="60"/>
  <c r="Z374" i="95"/>
  <c r="AA376" i="95"/>
  <c r="V71" i="95"/>
  <c r="V69" i="95" s="1"/>
  <c r="U19" i="60"/>
  <c r="U114" i="60"/>
  <c r="U115" i="60" s="1"/>
  <c r="U750" i="95"/>
  <c r="V152" i="24" s="1"/>
  <c r="Y264" i="59" s="1"/>
  <c r="Y319" i="59" s="1"/>
  <c r="Z45" i="95"/>
  <c r="Z73" i="95"/>
  <c r="Z62" i="95"/>
  <c r="AA31" i="95"/>
  <c r="X1029" i="95"/>
  <c r="Y1031" i="95"/>
  <c r="T366" i="59"/>
  <c r="T367" i="59" s="1"/>
  <c r="T368" i="59" s="1"/>
  <c r="T369" i="59" s="1"/>
  <c r="T388" i="59" s="1"/>
  <c r="T391" i="59" s="1"/>
  <c r="T42" i="60" s="1"/>
  <c r="T143" i="60"/>
  <c r="R17" i="80"/>
  <c r="Y337" i="59"/>
  <c r="Y212" i="59" s="1"/>
  <c r="Y24" i="60"/>
  <c r="M26" i="68"/>
  <c r="M942" i="59"/>
  <c r="M147" i="60"/>
  <c r="W614" i="95"/>
  <c r="X616" i="95"/>
  <c r="W735" i="95"/>
  <c r="W728" i="95" s="1"/>
  <c r="X737" i="95"/>
  <c r="Y53" i="95"/>
  <c r="Z56" i="95"/>
  <c r="R114" i="60"/>
  <c r="R19" i="60"/>
  <c r="W159" i="95"/>
  <c r="X161" i="95"/>
  <c r="X341" i="59"/>
  <c r="X28" i="60"/>
  <c r="W790" i="95"/>
  <c r="X792" i="95"/>
  <c r="W392" i="95"/>
  <c r="X394" i="95"/>
  <c r="U519" i="95"/>
  <c r="V150" i="24" s="1"/>
  <c r="Y262" i="59" s="1"/>
  <c r="Y317" i="59" s="1"/>
  <c r="W34" i="95"/>
  <c r="X37" i="95"/>
  <c r="W781" i="95"/>
  <c r="X784" i="95"/>
  <c r="Z138" i="95"/>
  <c r="AA140" i="95"/>
  <c r="X409" i="95"/>
  <c r="Y411" i="95"/>
  <c r="M367" i="59"/>
  <c r="M368" i="59" s="1"/>
  <c r="X340" i="59"/>
  <c r="X215" i="59" s="1"/>
  <c r="X27" i="60"/>
  <c r="W777" i="95"/>
  <c r="X779" i="95"/>
  <c r="G258" i="63"/>
  <c r="V117" i="60"/>
  <c r="V48" i="73"/>
  <c r="T5" i="80"/>
  <c r="X701" i="95"/>
  <c r="Y703" i="95"/>
  <c r="S172" i="60"/>
  <c r="L118" i="60"/>
  <c r="L120" i="60" s="1"/>
  <c r="J12" i="80"/>
  <c r="L29" i="68"/>
  <c r="L44" i="60"/>
  <c r="X848" i="95"/>
  <c r="Y850" i="95"/>
  <c r="W232" i="95"/>
  <c r="X234" i="95"/>
  <c r="X70" i="95"/>
  <c r="W1408" i="95"/>
  <c r="W1405" i="95" s="1"/>
  <c r="W1404" i="95" s="1"/>
  <c r="W1380" i="95" s="1"/>
  <c r="X155" i="24" s="1"/>
  <c r="AA267" i="59" s="1"/>
  <c r="AA322" i="59" s="1"/>
  <c r="W282" i="95"/>
  <c r="W279" i="95" s="1"/>
  <c r="W278" i="95" s="1"/>
  <c r="W74" i="95"/>
  <c r="W996" i="95"/>
  <c r="W993" i="95" s="1"/>
  <c r="W992" i="95" s="1"/>
  <c r="W453" i="95"/>
  <c r="W450" i="95" s="1"/>
  <c r="W449" i="95" s="1"/>
  <c r="W829" i="95"/>
  <c r="W826" i="95" s="1"/>
  <c r="W825" i="95" s="1"/>
  <c r="W553" i="95"/>
  <c r="W550" i="95" s="1"/>
  <c r="W549" i="95" s="1"/>
  <c r="U182" i="60"/>
  <c r="U377" i="59"/>
  <c r="U389" i="59" s="1"/>
  <c r="W229" i="95"/>
  <c r="X231" i="95"/>
  <c r="V29" i="95"/>
  <c r="Y191" i="95"/>
  <c r="Z193" i="95"/>
  <c r="W152" i="95"/>
  <c r="X154" i="95"/>
  <c r="X273" i="59"/>
  <c r="X314" i="59"/>
  <c r="I1110" i="59"/>
  <c r="W766" i="95"/>
  <c r="X768" i="95"/>
  <c r="X415" i="95"/>
  <c r="Y417" i="95"/>
  <c r="W472" i="95"/>
  <c r="X474" i="95"/>
  <c r="J956" i="59"/>
  <c r="K953" i="59" s="1"/>
  <c r="X342" i="95"/>
  <c r="Y344" i="95"/>
  <c r="X565" i="95"/>
  <c r="X564" i="95" s="1"/>
  <c r="Y566" i="95"/>
  <c r="X658" i="95"/>
  <c r="X646" i="95"/>
  <c r="X645" i="95" s="1"/>
  <c r="X644" i="95" s="1"/>
  <c r="X664" i="95"/>
  <c r="X674" i="95"/>
  <c r="X641" i="95"/>
  <c r="X639" i="95" s="1"/>
  <c r="Y623" i="95"/>
  <c r="W882" i="95"/>
  <c r="X884" i="95"/>
  <c r="AB104" i="95"/>
  <c r="AC109" i="95"/>
  <c r="W1008" i="95"/>
  <c r="W1007" i="95" s="1"/>
  <c r="X1009" i="95"/>
  <c r="G63" i="68"/>
  <c r="G52" i="68"/>
  <c r="W908" i="95"/>
  <c r="X910" i="95"/>
  <c r="V353" i="59"/>
  <c r="V356" i="59" s="1"/>
  <c r="V144" i="60" s="1"/>
  <c r="V27" i="68" s="1"/>
  <c r="V374" i="59"/>
  <c r="V375" i="59" s="1"/>
  <c r="V376" i="59" s="1"/>
  <c r="V210" i="59"/>
  <c r="V223" i="59" s="1"/>
  <c r="V231" i="59" s="1"/>
  <c r="V233" i="59" s="1"/>
  <c r="V195" i="59" s="1"/>
  <c r="V198" i="59" s="1"/>
  <c r="V18" i="60" s="1"/>
  <c r="W944" i="95"/>
  <c r="X947" i="95"/>
  <c r="Z209" i="95"/>
  <c r="AA211" i="95"/>
  <c r="W179" i="95"/>
  <c r="X181" i="95"/>
  <c r="X504" i="95"/>
  <c r="X497" i="95" s="1"/>
  <c r="Y506" i="95"/>
  <c r="Z343" i="59"/>
  <c r="Z217" i="59" s="1"/>
  <c r="Z30" i="60"/>
  <c r="Z812" i="95"/>
  <c r="AA813" i="95"/>
  <c r="AA81" i="95"/>
  <c r="AA66" i="95"/>
  <c r="AA64" i="95" s="1"/>
  <c r="AA50" i="95"/>
  <c r="AA48" i="95" s="1"/>
  <c r="AB35" i="95"/>
  <c r="W145" i="95"/>
  <c r="X147" i="95"/>
  <c r="X349" i="95"/>
  <c r="Y351" i="95"/>
  <c r="W859" i="95"/>
  <c r="X860" i="95"/>
  <c r="I29" i="68"/>
  <c r="I118" i="60"/>
  <c r="G12" i="80"/>
  <c r="I44" i="60"/>
  <c r="W698" i="95"/>
  <c r="X699" i="95"/>
  <c r="V112" i="95"/>
  <c r="V111" i="95" s="1"/>
  <c r="V89" i="95"/>
  <c r="V88" i="95" s="1"/>
  <c r="W856" i="95"/>
  <c r="X857" i="95"/>
  <c r="AA498" i="95"/>
  <c r="AB500" i="95"/>
  <c r="W881" i="95" l="1"/>
  <c r="W898" i="95" s="1"/>
  <c r="W897" i="95" s="1"/>
  <c r="W305" i="95"/>
  <c r="X310" i="95"/>
  <c r="X309" i="95" s="1"/>
  <c r="X307" i="95"/>
  <c r="X306" i="95" s="1"/>
  <c r="X274" i="95"/>
  <c r="X273" i="95" s="1"/>
  <c r="X272" i="95" s="1"/>
  <c r="X280" i="95"/>
  <c r="X262" i="95"/>
  <c r="X260" i="95" s="1"/>
  <c r="X259" i="95" s="1"/>
  <c r="Y248" i="95"/>
  <c r="X267" i="95"/>
  <c r="X266" i="95" s="1"/>
  <c r="X265" i="95" s="1"/>
  <c r="Y18" i="95"/>
  <c r="Y32" i="95" s="1"/>
  <c r="X61" i="95"/>
  <c r="X60" i="95" s="1"/>
  <c r="X59" i="95" s="1"/>
  <c r="J951" i="59"/>
  <c r="J985" i="59" s="1"/>
  <c r="J60" i="60" s="1"/>
  <c r="J123" i="60" s="1"/>
  <c r="J126" i="60" s="1"/>
  <c r="W742" i="95"/>
  <c r="Y336" i="59"/>
  <c r="Y382" i="59" s="1"/>
  <c r="Y383" i="59" s="1"/>
  <c r="Y384" i="59" s="1"/>
  <c r="V245" i="95"/>
  <c r="W148" i="24" s="1"/>
  <c r="Z260" i="59" s="1"/>
  <c r="Z315" i="59" s="1"/>
  <c r="Z23" i="60" s="1"/>
  <c r="W178" i="95"/>
  <c r="V519" i="95"/>
  <c r="W150" i="24" s="1"/>
  <c r="Z262" i="59" s="1"/>
  <c r="Z317" i="59" s="1"/>
  <c r="Z338" i="59" s="1"/>
  <c r="Z213" i="59" s="1"/>
  <c r="W915" i="95"/>
  <c r="W313" i="95"/>
  <c r="W358" i="95" s="1"/>
  <c r="W357" i="95" s="1"/>
  <c r="W222" i="95"/>
  <c r="Y1037" i="95"/>
  <c r="X1035" i="95"/>
  <c r="X403" i="95"/>
  <c r="Y405" i="95"/>
  <c r="X515" i="95"/>
  <c r="X511" i="95" s="1"/>
  <c r="Y517" i="95"/>
  <c r="W361" i="95"/>
  <c r="X426" i="95"/>
  <c r="X425" i="95" s="1"/>
  <c r="Y428" i="95"/>
  <c r="Y745" i="95"/>
  <c r="X743" i="95"/>
  <c r="X925" i="95"/>
  <c r="Y927" i="95"/>
  <c r="X978" i="95"/>
  <c r="X382" i="59"/>
  <c r="X383" i="59" s="1"/>
  <c r="X384" i="59" s="1"/>
  <c r="X211" i="59"/>
  <c r="X633" i="95"/>
  <c r="X632" i="95" s="1"/>
  <c r="Y635" i="95"/>
  <c r="Y462" i="95"/>
  <c r="X460" i="95"/>
  <c r="X459" i="95" s="1"/>
  <c r="W71" i="95"/>
  <c r="W69" i="95" s="1"/>
  <c r="Y26" i="60"/>
  <c r="W610" i="95"/>
  <c r="X916" i="95"/>
  <c r="Y918" i="95"/>
  <c r="W695" i="95"/>
  <c r="X696" i="95"/>
  <c r="Y613" i="95"/>
  <c r="X611" i="95"/>
  <c r="W1019" i="95"/>
  <c r="X115" i="95"/>
  <c r="X889" i="95"/>
  <c r="Y891" i="95"/>
  <c r="U7" i="95"/>
  <c r="V750" i="95"/>
  <c r="W152" i="24" s="1"/>
  <c r="Z264" i="59" s="1"/>
  <c r="Z319" i="59" s="1"/>
  <c r="Z340" i="59" s="1"/>
  <c r="Z215" i="59" s="1"/>
  <c r="X335" i="95"/>
  <c r="Y337" i="95"/>
  <c r="X185" i="95"/>
  <c r="Y187" i="95"/>
  <c r="W29" i="95"/>
  <c r="X666" i="95"/>
  <c r="X663" i="95" s="1"/>
  <c r="X662" i="95" s="1"/>
  <c r="Y667" i="95"/>
  <c r="X386" i="95"/>
  <c r="Y388" i="95"/>
  <c r="X380" i="95"/>
  <c r="Y382" i="95"/>
  <c r="X952" i="95"/>
  <c r="Y955" i="95"/>
  <c r="Y979" i="95"/>
  <c r="Z981" i="95"/>
  <c r="X836" i="95"/>
  <c r="X835" i="95" s="1"/>
  <c r="Y838" i="95"/>
  <c r="W693" i="95"/>
  <c r="V692" i="95"/>
  <c r="V691" i="95" s="1"/>
  <c r="V618" i="95" s="1"/>
  <c r="W151" i="24" s="1"/>
  <c r="Z263" i="59" s="1"/>
  <c r="Z318" i="59" s="1"/>
  <c r="Z339" i="59" s="1"/>
  <c r="Z214" i="59" s="1"/>
  <c r="W852" i="95"/>
  <c r="V9" i="95"/>
  <c r="W147" i="24" s="1"/>
  <c r="Z259" i="59" s="1"/>
  <c r="Y1015" i="95"/>
  <c r="Z1017" i="95"/>
  <c r="X238" i="95"/>
  <c r="Y240" i="95"/>
  <c r="Y868" i="95"/>
  <c r="Z869" i="95"/>
  <c r="V147" i="24"/>
  <c r="Y259" i="59" s="1"/>
  <c r="Y314" i="59" s="1"/>
  <c r="Y349" i="95"/>
  <c r="Z351" i="95"/>
  <c r="X412" i="95"/>
  <c r="Y414" i="95"/>
  <c r="Y226" i="95"/>
  <c r="Z228" i="95"/>
  <c r="X43" i="95"/>
  <c r="X42" i="95" s="1"/>
  <c r="X72" i="95"/>
  <c r="Y341" i="59"/>
  <c r="Y28" i="60"/>
  <c r="X332" i="59"/>
  <c r="X335" i="59"/>
  <c r="X22" i="60"/>
  <c r="X40" i="60" s="1"/>
  <c r="X948" i="95"/>
  <c r="Y951" i="95"/>
  <c r="X862" i="95"/>
  <c r="Y863" i="95"/>
  <c r="X1032" i="95"/>
  <c r="Y1033" i="95"/>
  <c r="V929" i="95"/>
  <c r="W153" i="24" s="1"/>
  <c r="Z265" i="59" s="1"/>
  <c r="Z320" i="59" s="1"/>
  <c r="Y512" i="95"/>
  <c r="Z514" i="95"/>
  <c r="I120" i="60"/>
  <c r="AA812" i="95"/>
  <c r="AB813" i="95"/>
  <c r="AA209" i="95"/>
  <c r="AB211" i="95"/>
  <c r="AA62" i="95"/>
  <c r="AA73" i="95"/>
  <c r="AA45" i="95"/>
  <c r="AB31" i="95"/>
  <c r="Y871" i="95"/>
  <c r="Z873" i="95"/>
  <c r="X972" i="95"/>
  <c r="Y974" i="95"/>
  <c r="Z203" i="95"/>
  <c r="AA205" i="95"/>
  <c r="X400" i="95"/>
  <c r="Y402" i="95"/>
  <c r="Z124" i="95"/>
  <c r="AA126" i="95"/>
  <c r="X763" i="95"/>
  <c r="Y765" i="95"/>
  <c r="Y314" i="95"/>
  <c r="Z316" i="95"/>
  <c r="X859" i="95"/>
  <c r="Y860" i="95"/>
  <c r="X145" i="95"/>
  <c r="Y147" i="95"/>
  <c r="X944" i="95"/>
  <c r="Y947" i="95"/>
  <c r="X472" i="95"/>
  <c r="Y474" i="95"/>
  <c r="R12" i="80"/>
  <c r="T29" i="68"/>
  <c r="T118" i="60"/>
  <c r="T120" i="60" s="1"/>
  <c r="X34" i="95"/>
  <c r="Y37" i="95"/>
  <c r="R366" i="59"/>
  <c r="P17" i="80"/>
  <c r="R143" i="60"/>
  <c r="X614" i="95"/>
  <c r="Y616" i="95"/>
  <c r="U366" i="59"/>
  <c r="U367" i="59" s="1"/>
  <c r="U368" i="59" s="1"/>
  <c r="U369" i="59" s="1"/>
  <c r="U388" i="59" s="1"/>
  <c r="U391" i="59" s="1"/>
  <c r="U42" i="60" s="1"/>
  <c r="U44" i="60" s="1"/>
  <c r="S17" i="80"/>
  <c r="U143" i="60"/>
  <c r="W901" i="95"/>
  <c r="Y166" i="95"/>
  <c r="Z168" i="95"/>
  <c r="G78" i="73"/>
  <c r="G90" i="73" s="1"/>
  <c r="W399" i="95"/>
  <c r="Y362" i="95"/>
  <c r="Z364" i="95"/>
  <c r="X597" i="95"/>
  <c r="Y599" i="95"/>
  <c r="X197" i="95"/>
  <c r="Y199" i="95"/>
  <c r="Y709" i="95"/>
  <c r="Z711" i="95"/>
  <c r="X431" i="95"/>
  <c r="X430" i="95" s="1"/>
  <c r="Y434" i="95"/>
  <c r="X773" i="95"/>
  <c r="Y758" i="95"/>
  <c r="W943" i="95"/>
  <c r="X882" i="95"/>
  <c r="Y884" i="95"/>
  <c r="Y565" i="95"/>
  <c r="Y564" i="95" s="1"/>
  <c r="Z566" i="95"/>
  <c r="X152" i="95"/>
  <c r="Y154" i="95"/>
  <c r="Y848" i="95"/>
  <c r="Z850" i="95"/>
  <c r="M172" i="60"/>
  <c r="N369" i="59"/>
  <c r="N388" i="59" s="1"/>
  <c r="N391" i="59" s="1"/>
  <c r="N42" i="60" s="1"/>
  <c r="M369" i="59"/>
  <c r="M388" i="59" s="1"/>
  <c r="R115" i="60"/>
  <c r="T26" i="68"/>
  <c r="T942" i="59"/>
  <c r="T147" i="60"/>
  <c r="W936" i="95"/>
  <c r="W1040" i="95"/>
  <c r="W1039" i="95" s="1"/>
  <c r="W1056" i="95" s="1"/>
  <c r="W1055" i="95" s="1"/>
  <c r="W1075" i="95"/>
  <c r="W1074" i="95" s="1"/>
  <c r="W1073" i="95" s="1"/>
  <c r="W1061" i="95"/>
  <c r="W1060" i="95" s="1"/>
  <c r="W1059" i="95" s="1"/>
  <c r="X1041" i="95"/>
  <c r="Y680" i="95"/>
  <c r="Y679" i="95" s="1"/>
  <c r="Z681" i="95"/>
  <c r="Y528" i="95"/>
  <c r="X526" i="95"/>
  <c r="X525" i="95" s="1"/>
  <c r="X531" i="95"/>
  <c r="X530" i="95" s="1"/>
  <c r="Y534" i="95"/>
  <c r="X584" i="95"/>
  <c r="Y586" i="95"/>
  <c r="X131" i="95"/>
  <c r="Y133" i="95"/>
  <c r="X577" i="95"/>
  <c r="Y579" i="95"/>
  <c r="AB997" i="95"/>
  <c r="X877" i="95"/>
  <c r="Y879" i="95"/>
  <c r="Y406" i="95"/>
  <c r="Z408" i="95"/>
  <c r="W596" i="95"/>
  <c r="X704" i="95"/>
  <c r="Y706" i="95"/>
  <c r="W419" i="95"/>
  <c r="X149" i="24" s="1"/>
  <c r="AA261" i="59" s="1"/>
  <c r="AA316" i="59" s="1"/>
  <c r="AB283" i="95"/>
  <c r="W801" i="95"/>
  <c r="W800" i="95" s="1"/>
  <c r="W789" i="95" s="1"/>
  <c r="W772" i="95"/>
  <c r="W762" i="95" s="1"/>
  <c r="Y255" i="95"/>
  <c r="Y254" i="95" s="1"/>
  <c r="Z257" i="95"/>
  <c r="AA995" i="95"/>
  <c r="AA985" i="95"/>
  <c r="AA983" i="95" s="1"/>
  <c r="AA964" i="95"/>
  <c r="AA962" i="95" s="1"/>
  <c r="AB949" i="95"/>
  <c r="K955" i="59"/>
  <c r="K943" i="59" s="1"/>
  <c r="K945" i="59" s="1"/>
  <c r="X766" i="95"/>
  <c r="Y768" i="95"/>
  <c r="X781" i="95"/>
  <c r="Y784" i="95"/>
  <c r="X232" i="95"/>
  <c r="Y234" i="95"/>
  <c r="X902" i="95"/>
  <c r="Y904" i="95"/>
  <c r="X716" i="95"/>
  <c r="X708" i="95" s="1"/>
  <c r="X725" i="95" s="1"/>
  <c r="X724" i="95" s="1"/>
  <c r="Y718" i="95"/>
  <c r="X805" i="95"/>
  <c r="Y807" i="95"/>
  <c r="AB50" i="95"/>
  <c r="AB48" i="95" s="1"/>
  <c r="AB81" i="95"/>
  <c r="AB66" i="95"/>
  <c r="AB64" i="95" s="1"/>
  <c r="AC35" i="95"/>
  <c r="Y504" i="95"/>
  <c r="Y497" i="95" s="1"/>
  <c r="Z506" i="95"/>
  <c r="G73" i="68"/>
  <c r="G55" i="68"/>
  <c r="Y415" i="95"/>
  <c r="Z417" i="95"/>
  <c r="Y701" i="95"/>
  <c r="Z703" i="95"/>
  <c r="X777" i="95"/>
  <c r="Y779" i="95"/>
  <c r="Y409" i="95"/>
  <c r="Z411" i="95"/>
  <c r="Z53" i="95"/>
  <c r="AA56" i="95"/>
  <c r="T44" i="60"/>
  <c r="AA374" i="95"/>
  <c r="AB376" i="95"/>
  <c r="W117" i="60"/>
  <c r="W48" i="73"/>
  <c r="U5" i="80"/>
  <c r="Y478" i="95"/>
  <c r="Y477" i="95" s="1"/>
  <c r="Y494" i="95" s="1"/>
  <c r="Y493" i="95" s="1"/>
  <c r="Z480" i="95"/>
  <c r="Y922" i="95"/>
  <c r="Y920" i="95"/>
  <c r="Y919" i="95" s="1"/>
  <c r="Z923" i="95"/>
  <c r="Y769" i="95"/>
  <c r="Z771" i="95"/>
  <c r="X302" i="95"/>
  <c r="X301" i="95" s="1"/>
  <c r="X295" i="95"/>
  <c r="X294" i="95" s="1"/>
  <c r="X293" i="95" s="1"/>
  <c r="Y290" i="95"/>
  <c r="Y223" i="95"/>
  <c r="Z225" i="95"/>
  <c r="W123" i="95"/>
  <c r="W175" i="95" s="1"/>
  <c r="W174" i="95" s="1"/>
  <c r="W576" i="95"/>
  <c r="W593" i="95" s="1"/>
  <c r="W592" i="95" s="1"/>
  <c r="X82" i="95"/>
  <c r="X79" i="95" s="1"/>
  <c r="Y83" i="95"/>
  <c r="Y853" i="95"/>
  <c r="Z854" i="95"/>
  <c r="AA785" i="95"/>
  <c r="AB787" i="95"/>
  <c r="AA729" i="95"/>
  <c r="AB731" i="95"/>
  <c r="Y99" i="95"/>
  <c r="Y98" i="95" s="1"/>
  <c r="Y97" i="95" s="1"/>
  <c r="Y120" i="95"/>
  <c r="Y119" i="95" s="1"/>
  <c r="Y117" i="95"/>
  <c r="Y116" i="95" s="1"/>
  <c r="Y44" i="95"/>
  <c r="Z12" i="95"/>
  <c r="X746" i="95"/>
  <c r="Y748" i="95"/>
  <c r="AC104" i="95"/>
  <c r="AD109" i="95"/>
  <c r="X229" i="95"/>
  <c r="Y231" i="95"/>
  <c r="S954" i="59"/>
  <c r="X603" i="95"/>
  <c r="Y605" i="95"/>
  <c r="X289" i="95"/>
  <c r="X288" i="95" s="1"/>
  <c r="Y291" i="95"/>
  <c r="X856" i="95"/>
  <c r="Y857" i="95"/>
  <c r="X698" i="95"/>
  <c r="Y699" i="95"/>
  <c r="G64" i="68"/>
  <c r="Y674" i="95"/>
  <c r="Y641" i="95"/>
  <c r="Y639" i="95" s="1"/>
  <c r="Y658" i="95"/>
  <c r="Y664" i="95"/>
  <c r="Y646" i="95"/>
  <c r="Y645" i="95" s="1"/>
  <c r="Y644" i="95" s="1"/>
  <c r="Z623" i="95"/>
  <c r="Y342" i="95"/>
  <c r="Z344" i="95"/>
  <c r="AA30" i="60"/>
  <c r="AA343" i="59"/>
  <c r="AA217" i="59" s="1"/>
  <c r="L252" i="63"/>
  <c r="L253" i="63" s="1"/>
  <c r="L258" i="63" s="1"/>
  <c r="L56" i="60"/>
  <c r="W776" i="95"/>
  <c r="Y338" i="59"/>
  <c r="Y213" i="59" s="1"/>
  <c r="Y25" i="60"/>
  <c r="M357" i="63"/>
  <c r="M359" i="63" s="1"/>
  <c r="M364" i="63" s="1"/>
  <c r="T172" i="60"/>
  <c r="K382" i="63"/>
  <c r="K383" i="63" s="1"/>
  <c r="K376" i="63"/>
  <c r="W353" i="59"/>
  <c r="W356" i="59" s="1"/>
  <c r="W144" i="60" s="1"/>
  <c r="W27" i="68" s="1"/>
  <c r="W374" i="59"/>
  <c r="W375" i="59" s="1"/>
  <c r="W376" i="59" s="1"/>
  <c r="W210" i="59"/>
  <c r="W223" i="59" s="1"/>
  <c r="W231" i="59" s="1"/>
  <c r="W233" i="59" s="1"/>
  <c r="W195" i="59" s="1"/>
  <c r="W198" i="59" s="1"/>
  <c r="W18" i="60" s="1"/>
  <c r="G126" i="60"/>
  <c r="X241" i="95"/>
  <c r="Y243" i="95"/>
  <c r="X1026" i="95"/>
  <c r="Y1027" i="95"/>
  <c r="Y24" i="95"/>
  <c r="X22" i="95"/>
  <c r="X21" i="95" s="1"/>
  <c r="X38" i="95"/>
  <c r="Y40" i="95"/>
  <c r="Y465" i="95"/>
  <c r="Y464" i="95" s="1"/>
  <c r="Z470" i="95"/>
  <c r="X321" i="95"/>
  <c r="Y323" i="95"/>
  <c r="X328" i="95"/>
  <c r="Y330" i="95"/>
  <c r="X572" i="95"/>
  <c r="Y574" i="95"/>
  <c r="X940" i="95"/>
  <c r="Y934" i="95"/>
  <c r="X30" i="95"/>
  <c r="X90" i="95"/>
  <c r="Z485" i="95"/>
  <c r="AA487" i="95"/>
  <c r="X215" i="95"/>
  <c r="Y217" i="95"/>
  <c r="X790" i="95"/>
  <c r="Y792" i="95"/>
  <c r="X735" i="95"/>
  <c r="X728" i="95" s="1"/>
  <c r="Y737" i="95"/>
  <c r="Z368" i="95"/>
  <c r="AA370" i="95"/>
  <c r="X820" i="95"/>
  <c r="X811" i="95" s="1"/>
  <c r="Y821" i="95"/>
  <c r="V114" i="60"/>
  <c r="V115" i="60" s="1"/>
  <c r="V19" i="60"/>
  <c r="X1008" i="95"/>
  <c r="X1007" i="95" s="1"/>
  <c r="Y1009" i="95"/>
  <c r="Z191" i="95"/>
  <c r="AA193" i="95"/>
  <c r="Y70" i="95"/>
  <c r="X1408" i="95"/>
  <c r="X1405" i="95" s="1"/>
  <c r="X1404" i="95" s="1"/>
  <c r="X1380" i="95" s="1"/>
  <c r="Y155" i="24" s="1"/>
  <c r="AB267" i="59" s="1"/>
  <c r="AB322" i="59" s="1"/>
  <c r="X282" i="95"/>
  <c r="X279" i="95" s="1"/>
  <c r="X278" i="95" s="1"/>
  <c r="X996" i="95"/>
  <c r="X993" i="95" s="1"/>
  <c r="X992" i="95" s="1"/>
  <c r="X74" i="95"/>
  <c r="X553" i="95"/>
  <c r="X550" i="95" s="1"/>
  <c r="X549" i="95" s="1"/>
  <c r="X453" i="95"/>
  <c r="X450" i="95" s="1"/>
  <c r="X449" i="95" s="1"/>
  <c r="X829" i="95"/>
  <c r="X826" i="95" s="1"/>
  <c r="X825" i="95" s="1"/>
  <c r="AA138" i="95"/>
  <c r="AB140" i="95"/>
  <c r="X392" i="95"/>
  <c r="Y394" i="95"/>
  <c r="M954" i="59"/>
  <c r="Y1029" i="95"/>
  <c r="Z1031" i="95"/>
  <c r="S357" i="63"/>
  <c r="S359" i="63" s="1"/>
  <c r="S364" i="63" s="1"/>
  <c r="S375" i="63" s="1"/>
  <c r="Z659" i="95"/>
  <c r="Z657" i="95" s="1"/>
  <c r="Z656" i="95" s="1"/>
  <c r="Z652" i="95"/>
  <c r="Z650" i="95" s="1"/>
  <c r="Z665" i="95"/>
  <c r="Z647" i="95"/>
  <c r="AA640" i="95"/>
  <c r="Y1003" i="95"/>
  <c r="Y1002" i="95" s="1"/>
  <c r="Z1005" i="95"/>
  <c r="Y987" i="95"/>
  <c r="Z989" i="95"/>
  <c r="Z337" i="59"/>
  <c r="Z212" i="59" s="1"/>
  <c r="Z24" i="60"/>
  <c r="Z281" i="95"/>
  <c r="Z268" i="95"/>
  <c r="Z275" i="95"/>
  <c r="AA261" i="95"/>
  <c r="Y818" i="95"/>
  <c r="Y816" i="95" s="1"/>
  <c r="Y797" i="95"/>
  <c r="Y795" i="95" s="1"/>
  <c r="Y828" i="95"/>
  <c r="Z782" i="95"/>
  <c r="G157" i="60"/>
  <c r="G990" i="59"/>
  <c r="G991" i="59" s="1"/>
  <c r="W968" i="95"/>
  <c r="W967" i="95" s="1"/>
  <c r="W956" i="95" s="1"/>
  <c r="W939" i="95"/>
  <c r="W938" i="95" s="1"/>
  <c r="AA830" i="95"/>
  <c r="Y630" i="95"/>
  <c r="X628" i="95"/>
  <c r="X627" i="95" s="1"/>
  <c r="K42" i="60"/>
  <c r="Y340" i="59"/>
  <c r="Y215" i="59" s="1"/>
  <c r="Y27" i="60"/>
  <c r="G33" i="68"/>
  <c r="AB498" i="95"/>
  <c r="AC500" i="95"/>
  <c r="X908" i="95"/>
  <c r="Y910" i="95"/>
  <c r="G260" i="63"/>
  <c r="I252" i="63"/>
  <c r="I253" i="63" s="1"/>
  <c r="I56" i="60"/>
  <c r="X179" i="95"/>
  <c r="Y181" i="95"/>
  <c r="V182" i="60"/>
  <c r="V377" i="59"/>
  <c r="V389" i="59" s="1"/>
  <c r="X673" i="95"/>
  <c r="X672" i="95" s="1"/>
  <c r="X688" i="95"/>
  <c r="X687" i="95" s="1"/>
  <c r="X159" i="95"/>
  <c r="Y161" i="95"/>
  <c r="X865" i="95"/>
  <c r="Y866" i="95"/>
  <c r="AB552" i="95"/>
  <c r="AB539" i="95"/>
  <c r="AB537" i="95" s="1"/>
  <c r="AB536" i="95" s="1"/>
  <c r="AB546" i="95"/>
  <c r="AB544" i="95" s="1"/>
  <c r="AB543" i="95" s="1"/>
  <c r="AC532" i="95"/>
  <c r="Y636" i="95"/>
  <c r="Z638" i="95"/>
  <c r="X560" i="95"/>
  <c r="X559" i="95" s="1"/>
  <c r="Y562" i="95"/>
  <c r="G50" i="73"/>
  <c r="X1020" i="95"/>
  <c r="Y1021" i="95"/>
  <c r="AA454" i="95"/>
  <c r="X841" i="95"/>
  <c r="X840" i="95" s="1"/>
  <c r="Y842" i="95"/>
  <c r="X874" i="95"/>
  <c r="Y875" i="95"/>
  <c r="X957" i="95"/>
  <c r="Y959" i="95"/>
  <c r="AA554" i="95"/>
  <c r="I60" i="60"/>
  <c r="I50" i="68" s="1"/>
  <c r="X437" i="95"/>
  <c r="X436" i="95" s="1"/>
  <c r="Y440" i="95"/>
  <c r="Z1023" i="95"/>
  <c r="AA1025" i="95"/>
  <c r="Y25" i="95"/>
  <c r="Z27" i="95"/>
  <c r="AB75" i="95"/>
  <c r="W89" i="95"/>
  <c r="W88" i="95" s="1"/>
  <c r="W112" i="95"/>
  <c r="W111" i="95" s="1"/>
  <c r="Y235" i="95"/>
  <c r="Z237" i="95"/>
  <c r="X444" i="95"/>
  <c r="X443" i="95" s="1"/>
  <c r="Y447" i="95"/>
  <c r="G357" i="63"/>
  <c r="G359" i="63" s="1"/>
  <c r="G69" i="60"/>
  <c r="X305" i="95" l="1"/>
  <c r="Y310" i="95"/>
  <c r="Y309" i="95" s="1"/>
  <c r="Y307" i="95"/>
  <c r="Y306" i="95" s="1"/>
  <c r="Y262" i="95"/>
  <c r="Y260" i="95" s="1"/>
  <c r="Y259" i="95" s="1"/>
  <c r="Z248" i="95"/>
  <c r="Y280" i="95"/>
  <c r="Y267" i="95"/>
  <c r="Y266" i="95" s="1"/>
  <c r="Y265" i="95" s="1"/>
  <c r="Y274" i="95"/>
  <c r="Y273" i="95" s="1"/>
  <c r="Y272" i="95" s="1"/>
  <c r="X610" i="95"/>
  <c r="Y211" i="59"/>
  <c r="Z18" i="95"/>
  <c r="Z32" i="95" s="1"/>
  <c r="Y61" i="95"/>
  <c r="Y60" i="95" s="1"/>
  <c r="Y59" i="95" s="1"/>
  <c r="J62" i="60"/>
  <c r="J69" i="60" s="1"/>
  <c r="J320" i="63" s="1"/>
  <c r="J50" i="68"/>
  <c r="J52" i="68" s="1"/>
  <c r="J55" i="68" s="1"/>
  <c r="H7" i="80"/>
  <c r="J49" i="73"/>
  <c r="J50" i="73" s="1"/>
  <c r="J63" i="73" s="1"/>
  <c r="Z336" i="59"/>
  <c r="Z382" i="59" s="1"/>
  <c r="Z383" i="59" s="1"/>
  <c r="Z384" i="59" s="1"/>
  <c r="J28" i="68"/>
  <c r="J33" i="68" s="1"/>
  <c r="J76" i="73"/>
  <c r="J78" i="73" s="1"/>
  <c r="J90" i="73" s="1"/>
  <c r="K948" i="59"/>
  <c r="K947" i="59"/>
  <c r="K949" i="59"/>
  <c r="Z25" i="60"/>
  <c r="X361" i="95"/>
  <c r="X742" i="95"/>
  <c r="X776" i="95"/>
  <c r="X71" i="95"/>
  <c r="X69" i="95" s="1"/>
  <c r="W245" i="95"/>
  <c r="X148" i="24" s="1"/>
  <c r="AA260" i="59" s="1"/>
  <c r="AA315" i="59" s="1"/>
  <c r="AA336" i="59" s="1"/>
  <c r="X915" i="95"/>
  <c r="Y1035" i="95"/>
  <c r="Z1037" i="95"/>
  <c r="Y426" i="95"/>
  <c r="Y425" i="95" s="1"/>
  <c r="Z428" i="95"/>
  <c r="Z517" i="95"/>
  <c r="Y515" i="95"/>
  <c r="Y511" i="95" s="1"/>
  <c r="Y403" i="95"/>
  <c r="Z405" i="95"/>
  <c r="Z745" i="95"/>
  <c r="Y743" i="95"/>
  <c r="Y273" i="59"/>
  <c r="Y925" i="95"/>
  <c r="Z927" i="95"/>
  <c r="Y978" i="95"/>
  <c r="Y633" i="95"/>
  <c r="Y632" i="95" s="1"/>
  <c r="Z635" i="95"/>
  <c r="X385" i="59"/>
  <c r="X390" i="59" s="1"/>
  <c r="X183" i="60"/>
  <c r="X1019" i="95"/>
  <c r="Z26" i="60"/>
  <c r="X881" i="95"/>
  <c r="X898" i="95" s="1"/>
  <c r="X897" i="95" s="1"/>
  <c r="W519" i="95"/>
  <c r="X150" i="24" s="1"/>
  <c r="AA262" i="59" s="1"/>
  <c r="AA317" i="59" s="1"/>
  <c r="AA338" i="59" s="1"/>
  <c r="AA213" i="59" s="1"/>
  <c r="Z462" i="95"/>
  <c r="Y460" i="95"/>
  <c r="Y459" i="95" s="1"/>
  <c r="X29" i="95"/>
  <c r="X313" i="95"/>
  <c r="X358" i="95" s="1"/>
  <c r="X357" i="95" s="1"/>
  <c r="X576" i="95"/>
  <c r="X593" i="95" s="1"/>
  <c r="X592" i="95" s="1"/>
  <c r="Y611" i="95"/>
  <c r="Z613" i="95"/>
  <c r="Y696" i="95"/>
  <c r="X695" i="95"/>
  <c r="X222" i="95"/>
  <c r="Y916" i="95"/>
  <c r="Z918" i="95"/>
  <c r="Z27" i="60"/>
  <c r="Z337" i="95"/>
  <c r="Y335" i="95"/>
  <c r="W750" i="95"/>
  <c r="X152" i="24" s="1"/>
  <c r="AA264" i="59" s="1"/>
  <c r="AA319" i="59" s="1"/>
  <c r="AA340" i="59" s="1"/>
  <c r="AA215" i="59" s="1"/>
  <c r="Z1015" i="95"/>
  <c r="AA1017" i="95"/>
  <c r="Y386" i="95"/>
  <c r="Z388" i="95"/>
  <c r="Z979" i="95"/>
  <c r="AA981" i="95"/>
  <c r="W9" i="95"/>
  <c r="X147" i="24" s="1"/>
  <c r="AA259" i="59" s="1"/>
  <c r="X852" i="95"/>
  <c r="V7" i="95"/>
  <c r="Z667" i="95"/>
  <c r="Y666" i="95"/>
  <c r="Y663" i="95" s="1"/>
  <c r="Y662" i="95" s="1"/>
  <c r="Y952" i="95"/>
  <c r="Z955" i="95"/>
  <c r="Y889" i="95"/>
  <c r="Z891" i="95"/>
  <c r="X943" i="95"/>
  <c r="AA869" i="95"/>
  <c r="Z868" i="95"/>
  <c r="W692" i="95"/>
  <c r="W691" i="95" s="1"/>
  <c r="W618" i="95" s="1"/>
  <c r="X151" i="24" s="1"/>
  <c r="AA263" i="59" s="1"/>
  <c r="AA318" i="59" s="1"/>
  <c r="AA26" i="60" s="1"/>
  <c r="X693" i="95"/>
  <c r="Z187" i="95"/>
  <c r="Y185" i="95"/>
  <c r="Y238" i="95"/>
  <c r="Z240" i="95"/>
  <c r="Y836" i="95"/>
  <c r="Y835" i="95" s="1"/>
  <c r="Z838" i="95"/>
  <c r="Y380" i="95"/>
  <c r="Z382" i="95"/>
  <c r="U252" i="63"/>
  <c r="U253" i="63" s="1"/>
  <c r="U258" i="63" s="1"/>
  <c r="U56" i="60"/>
  <c r="Y874" i="95"/>
  <c r="Z875" i="95"/>
  <c r="AC75" i="95"/>
  <c r="I63" i="68"/>
  <c r="I52" i="68"/>
  <c r="AA652" i="95"/>
  <c r="AA650" i="95" s="1"/>
  <c r="AA659" i="95"/>
  <c r="AA657" i="95" s="1"/>
  <c r="AA656" i="95" s="1"/>
  <c r="AA647" i="95"/>
  <c r="AA665" i="95"/>
  <c r="AB640" i="95"/>
  <c r="V366" i="59"/>
  <c r="V367" i="59" s="1"/>
  <c r="V368" i="59" s="1"/>
  <c r="V369" i="59" s="1"/>
  <c r="V388" i="59" s="1"/>
  <c r="V391" i="59" s="1"/>
  <c r="V42" i="60" s="1"/>
  <c r="V44" i="60" s="1"/>
  <c r="V143" i="60"/>
  <c r="T17" i="80"/>
  <c r="Y790" i="95"/>
  <c r="Z792" i="95"/>
  <c r="AA485" i="95"/>
  <c r="AB487" i="95"/>
  <c r="Y572" i="95"/>
  <c r="Z574" i="95"/>
  <c r="Y241" i="95"/>
  <c r="Z243" i="95"/>
  <c r="Z342" i="95"/>
  <c r="AA344" i="95"/>
  <c r="T954" i="59"/>
  <c r="Z25" i="95"/>
  <c r="AA27" i="95"/>
  <c r="I258" i="63"/>
  <c r="G995" i="59"/>
  <c r="G996" i="59" s="1"/>
  <c r="Z235" i="95"/>
  <c r="AA237" i="95"/>
  <c r="AA1023" i="95"/>
  <c r="AB1025" i="95"/>
  <c r="AB830" i="95"/>
  <c r="AB193" i="95"/>
  <c r="AA191" i="95"/>
  <c r="W114" i="60"/>
  <c r="W115" i="60" s="1"/>
  <c r="W19" i="60"/>
  <c r="Y30" i="95"/>
  <c r="Y90" i="95"/>
  <c r="Z853" i="95"/>
  <c r="AA854" i="95"/>
  <c r="Y295" i="95"/>
  <c r="Y294" i="95" s="1"/>
  <c r="Y293" i="95" s="1"/>
  <c r="Y302" i="95"/>
  <c r="Y301" i="95" s="1"/>
  <c r="Z290" i="95"/>
  <c r="AB374" i="95"/>
  <c r="AC376" i="95"/>
  <c r="X901" i="95"/>
  <c r="Y766" i="95"/>
  <c r="Z768" i="95"/>
  <c r="AC283" i="95"/>
  <c r="Y577" i="95"/>
  <c r="Z579" i="95"/>
  <c r="Y531" i="95"/>
  <c r="Y530" i="95" s="1"/>
  <c r="Z534" i="95"/>
  <c r="X419" i="95"/>
  <c r="Y149" i="24" s="1"/>
  <c r="AB261" i="59" s="1"/>
  <c r="AB316" i="59" s="1"/>
  <c r="Z314" i="95"/>
  <c r="AA316" i="95"/>
  <c r="AA203" i="95"/>
  <c r="AB205" i="95"/>
  <c r="Z512" i="95"/>
  <c r="AA514" i="95"/>
  <c r="G158" i="60"/>
  <c r="G387" i="63"/>
  <c r="Y773" i="95"/>
  <c r="Z758" i="95"/>
  <c r="I76" i="73"/>
  <c r="I123" i="60"/>
  <c r="I126" i="60" s="1"/>
  <c r="I28" i="68"/>
  <c r="G7" i="80"/>
  <c r="I49" i="73"/>
  <c r="Y159" i="95"/>
  <c r="Z161" i="95"/>
  <c r="X178" i="95"/>
  <c r="G320" i="63"/>
  <c r="G321" i="63" s="1"/>
  <c r="Y957" i="95"/>
  <c r="Z959" i="95"/>
  <c r="AB454" i="95"/>
  <c r="Z636" i="95"/>
  <c r="AA638" i="95"/>
  <c r="Y908" i="95"/>
  <c r="Z910" i="95"/>
  <c r="Z987" i="95"/>
  <c r="AA989" i="95"/>
  <c r="AA368" i="95"/>
  <c r="AB370" i="95"/>
  <c r="Y22" i="95"/>
  <c r="Y21" i="95" s="1"/>
  <c r="Z24" i="95"/>
  <c r="W377" i="59"/>
  <c r="W389" i="59" s="1"/>
  <c r="W182" i="60"/>
  <c r="Y856" i="95"/>
  <c r="Z857" i="95"/>
  <c r="Y385" i="59"/>
  <c r="Y390" i="59" s="1"/>
  <c r="Y183" i="60"/>
  <c r="Y115" i="95"/>
  <c r="Z701" i="95"/>
  <c r="AA703" i="95"/>
  <c r="Z565" i="95"/>
  <c r="Z564" i="95" s="1"/>
  <c r="AA566" i="95"/>
  <c r="Z709" i="95"/>
  <c r="AA711" i="95"/>
  <c r="R367" i="59"/>
  <c r="R368" i="59" s="1"/>
  <c r="Y145" i="95"/>
  <c r="Z147" i="95"/>
  <c r="AB45" i="95"/>
  <c r="AB62" i="95"/>
  <c r="AB73" i="95"/>
  <c r="AC31" i="95"/>
  <c r="AB209" i="95"/>
  <c r="AC211" i="95"/>
  <c r="Y948" i="95"/>
  <c r="Z951" i="95"/>
  <c r="Z349" i="95"/>
  <c r="AA351" i="95"/>
  <c r="Y437" i="95"/>
  <c r="Y436" i="95" s="1"/>
  <c r="Z440" i="95"/>
  <c r="K29" i="68"/>
  <c r="I12" i="80"/>
  <c r="K118" i="60"/>
  <c r="K44" i="60"/>
  <c r="W929" i="95"/>
  <c r="X153" i="24" s="1"/>
  <c r="AA265" i="59" s="1"/>
  <c r="AA320" i="59" s="1"/>
  <c r="Z797" i="95"/>
  <c r="Z795" i="95" s="1"/>
  <c r="Z818" i="95"/>
  <c r="Z816" i="95" s="1"/>
  <c r="Z828" i="95"/>
  <c r="AA782" i="95"/>
  <c r="S382" i="63"/>
  <c r="S383" i="63" s="1"/>
  <c r="S1110" i="59" s="1"/>
  <c r="S376" i="63"/>
  <c r="S1108" i="59" s="1"/>
  <c r="Y215" i="95"/>
  <c r="Z217" i="95"/>
  <c r="Z934" i="95"/>
  <c r="Y940" i="95"/>
  <c r="Y321" i="95"/>
  <c r="Z323" i="95"/>
  <c r="M375" i="63"/>
  <c r="Y82" i="95"/>
  <c r="Y79" i="95" s="1"/>
  <c r="Z83" i="95"/>
  <c r="T252" i="63"/>
  <c r="T253" i="63" s="1"/>
  <c r="T258" i="63" s="1"/>
  <c r="T56" i="60"/>
  <c r="Z504" i="95"/>
  <c r="Z497" i="95" s="1"/>
  <c r="AA506" i="95"/>
  <c r="Y805" i="95"/>
  <c r="Z807" i="95"/>
  <c r="AA337" i="59"/>
  <c r="AA212" i="59" s="1"/>
  <c r="AA24" i="60"/>
  <c r="Z406" i="95"/>
  <c r="AA408" i="95"/>
  <c r="Y131" i="95"/>
  <c r="Z133" i="95"/>
  <c r="M391" i="59"/>
  <c r="Y763" i="95"/>
  <c r="Z765" i="95"/>
  <c r="Y972" i="95"/>
  <c r="Z974" i="95"/>
  <c r="Y1020" i="95"/>
  <c r="Z1021" i="95"/>
  <c r="AC498" i="95"/>
  <c r="AD500" i="95"/>
  <c r="Z1003" i="95"/>
  <c r="Z1002" i="95" s="1"/>
  <c r="AA1005" i="95"/>
  <c r="Y1008" i="95"/>
  <c r="Y1007" i="95" s="1"/>
  <c r="Z1009" i="95"/>
  <c r="Y1026" i="95"/>
  <c r="Z1027" i="95"/>
  <c r="K1108" i="59"/>
  <c r="Y289" i="95"/>
  <c r="Y288" i="95" s="1"/>
  <c r="Z291" i="95"/>
  <c r="Z769" i="95"/>
  <c r="AA771" i="95"/>
  <c r="Z478" i="95"/>
  <c r="Z477" i="95" s="1"/>
  <c r="Z494" i="95" s="1"/>
  <c r="Z493" i="95" s="1"/>
  <c r="AA480" i="95"/>
  <c r="AB56" i="95"/>
  <c r="AA53" i="95"/>
  <c r="Z415" i="95"/>
  <c r="AA417" i="95"/>
  <c r="Y232" i="95"/>
  <c r="Z234" i="95"/>
  <c r="K956" i="59"/>
  <c r="L953" i="59" s="1"/>
  <c r="X123" i="95"/>
  <c r="X175" i="95" s="1"/>
  <c r="X174" i="95" s="1"/>
  <c r="Y526" i="95"/>
  <c r="Y525" i="95" s="1"/>
  <c r="Z528" i="95"/>
  <c r="L12" i="80"/>
  <c r="N118" i="60"/>
  <c r="N120" i="60" s="1"/>
  <c r="N29" i="68"/>
  <c r="N44" i="60"/>
  <c r="Y882" i="95"/>
  <c r="Z884" i="95"/>
  <c r="Y197" i="95"/>
  <c r="Z199" i="95"/>
  <c r="Y614" i="95"/>
  <c r="Z616" i="95"/>
  <c r="Y859" i="95"/>
  <c r="Z860" i="95"/>
  <c r="AB812" i="95"/>
  <c r="AC813" i="95"/>
  <c r="X48" i="73"/>
  <c r="X117" i="60"/>
  <c r="V5" i="80"/>
  <c r="Y735" i="95"/>
  <c r="Y728" i="95" s="1"/>
  <c r="Z737" i="95"/>
  <c r="X968" i="95"/>
  <c r="X967" i="95" s="1"/>
  <c r="X956" i="95" s="1"/>
  <c r="X939" i="95"/>
  <c r="X938" i="95" s="1"/>
  <c r="I62" i="60"/>
  <c r="G181" i="60"/>
  <c r="G185" i="60" s="1"/>
  <c r="H989" i="59"/>
  <c r="Z1029" i="95"/>
  <c r="AA1031" i="95"/>
  <c r="Y392" i="95"/>
  <c r="Z394" i="95"/>
  <c r="Z465" i="95"/>
  <c r="Z464" i="95" s="1"/>
  <c r="AA470" i="95"/>
  <c r="K1110" i="59"/>
  <c r="Y688" i="95"/>
  <c r="Y687" i="95" s="1"/>
  <c r="Y673" i="95"/>
  <c r="Y672" i="95" s="1"/>
  <c r="Y229" i="95"/>
  <c r="Z231" i="95"/>
  <c r="Y746" i="95"/>
  <c r="Z748" i="95"/>
  <c r="AB729" i="95"/>
  <c r="AC731" i="95"/>
  <c r="AC66" i="95"/>
  <c r="AC64" i="95" s="1"/>
  <c r="AC81" i="95"/>
  <c r="AC50" i="95"/>
  <c r="AC48" i="95" s="1"/>
  <c r="AD35" i="95"/>
  <c r="Y716" i="95"/>
  <c r="Y708" i="95" s="1"/>
  <c r="Y725" i="95" s="1"/>
  <c r="Y724" i="95" s="1"/>
  <c r="Z718" i="95"/>
  <c r="Z255" i="95"/>
  <c r="Z254" i="95" s="1"/>
  <c r="AA257" i="95"/>
  <c r="Y877" i="95"/>
  <c r="Z879" i="95"/>
  <c r="Z680" i="95"/>
  <c r="Z679" i="95" s="1"/>
  <c r="AA681" i="95"/>
  <c r="T357" i="63"/>
  <c r="T359" i="63" s="1"/>
  <c r="T364" i="63" s="1"/>
  <c r="T375" i="63" s="1"/>
  <c r="U26" i="68"/>
  <c r="U942" i="59"/>
  <c r="U147" i="60"/>
  <c r="Y34" i="95"/>
  <c r="Z37" i="95"/>
  <c r="AA124" i="95"/>
  <c r="AB126" i="95"/>
  <c r="Z871" i="95"/>
  <c r="AA873" i="95"/>
  <c r="Z341" i="59"/>
  <c r="Z28" i="60"/>
  <c r="X374" i="59"/>
  <c r="X375" i="59" s="1"/>
  <c r="X376" i="59" s="1"/>
  <c r="X353" i="59"/>
  <c r="X356" i="59" s="1"/>
  <c r="X144" i="60" s="1"/>
  <c r="X27" i="68" s="1"/>
  <c r="X210" i="59"/>
  <c r="X223" i="59" s="1"/>
  <c r="X231" i="59" s="1"/>
  <c r="X233" i="59" s="1"/>
  <c r="X195" i="59" s="1"/>
  <c r="X198" i="59" s="1"/>
  <c r="X18" i="60" s="1"/>
  <c r="Y597" i="95"/>
  <c r="Z599" i="95"/>
  <c r="Y472" i="95"/>
  <c r="Z474" i="95"/>
  <c r="Y1032" i="95"/>
  <c r="Z1033" i="95"/>
  <c r="Z226" i="95"/>
  <c r="AA228" i="95"/>
  <c r="Z409" i="95"/>
  <c r="AA411" i="95"/>
  <c r="Z848" i="95"/>
  <c r="AA850" i="95"/>
  <c r="Y444" i="95"/>
  <c r="Y443" i="95" s="1"/>
  <c r="Z447" i="95"/>
  <c r="AB138" i="95"/>
  <c r="AC140" i="95"/>
  <c r="AB30" i="60"/>
  <c r="AB343" i="59"/>
  <c r="AB217" i="59" s="1"/>
  <c r="Y38" i="95"/>
  <c r="Z40" i="95"/>
  <c r="Y603" i="95"/>
  <c r="Z605" i="95"/>
  <c r="AD104" i="95"/>
  <c r="AE109" i="95"/>
  <c r="Z99" i="95"/>
  <c r="Z98" i="95" s="1"/>
  <c r="Z97" i="95" s="1"/>
  <c r="Z120" i="95"/>
  <c r="Z119" i="95" s="1"/>
  <c r="Z44" i="95"/>
  <c r="Z117" i="95"/>
  <c r="Z116" i="95" s="1"/>
  <c r="AA12" i="95"/>
  <c r="AB785" i="95"/>
  <c r="AC787" i="95"/>
  <c r="Z223" i="95"/>
  <c r="AA225" i="95"/>
  <c r="Z922" i="95"/>
  <c r="Z920" i="95"/>
  <c r="Z919" i="95" s="1"/>
  <c r="AA923" i="95"/>
  <c r="Y781" i="95"/>
  <c r="Z784" i="95"/>
  <c r="AB985" i="95"/>
  <c r="AB983" i="95" s="1"/>
  <c r="AB995" i="95"/>
  <c r="AB964" i="95"/>
  <c r="AB962" i="95" s="1"/>
  <c r="AC949" i="95"/>
  <c r="Y704" i="95"/>
  <c r="Z706" i="95"/>
  <c r="AC997" i="95"/>
  <c r="Y584" i="95"/>
  <c r="Z586" i="95"/>
  <c r="X936" i="95"/>
  <c r="X1040" i="95"/>
  <c r="X1039" i="95" s="1"/>
  <c r="X1056" i="95" s="1"/>
  <c r="X1055" i="95" s="1"/>
  <c r="X1061" i="95"/>
  <c r="X1060" i="95" s="1"/>
  <c r="X1059" i="95" s="1"/>
  <c r="X1075" i="95"/>
  <c r="X1074" i="95" s="1"/>
  <c r="X1073" i="95" s="1"/>
  <c r="Y1041" i="95"/>
  <c r="X801" i="95"/>
  <c r="X800" i="95" s="1"/>
  <c r="X789" i="95" s="1"/>
  <c r="X772" i="95"/>
  <c r="X762" i="95" s="1"/>
  <c r="X596" i="95"/>
  <c r="R26" i="68"/>
  <c r="R942" i="59"/>
  <c r="R147" i="60"/>
  <c r="Y400" i="95"/>
  <c r="Z402" i="95"/>
  <c r="Z273" i="59"/>
  <c r="Z314" i="59"/>
  <c r="AC546" i="95"/>
  <c r="AC544" i="95" s="1"/>
  <c r="AC543" i="95" s="1"/>
  <c r="AC552" i="95"/>
  <c r="AC539" i="95"/>
  <c r="AC537" i="95" s="1"/>
  <c r="AC536" i="95" s="1"/>
  <c r="AD532" i="95"/>
  <c r="G63" i="73"/>
  <c r="G74" i="68"/>
  <c r="AB554" i="95"/>
  <c r="Y841" i="95"/>
  <c r="Y840" i="95" s="1"/>
  <c r="Z842" i="95"/>
  <c r="Y560" i="95"/>
  <c r="Y559" i="95" s="1"/>
  <c r="Z562" i="95"/>
  <c r="Y865" i="95"/>
  <c r="Z866" i="95"/>
  <c r="Y179" i="95"/>
  <c r="Z181" i="95"/>
  <c r="G245" i="63"/>
  <c r="G274" i="63"/>
  <c r="Y628" i="95"/>
  <c r="Y627" i="95" s="1"/>
  <c r="Z630" i="95"/>
  <c r="AA275" i="95"/>
  <c r="AA268" i="95"/>
  <c r="AA281" i="95"/>
  <c r="AB261" i="95"/>
  <c r="Z70" i="95"/>
  <c r="Y1408" i="95"/>
  <c r="Y1405" i="95" s="1"/>
  <c r="Y1404" i="95" s="1"/>
  <c r="Y1380" i="95" s="1"/>
  <c r="Z155" i="24" s="1"/>
  <c r="AC267" i="59" s="1"/>
  <c r="AC322" i="59" s="1"/>
  <c r="Y996" i="95"/>
  <c r="Y993" i="95" s="1"/>
  <c r="Y992" i="95" s="1"/>
  <c r="Y74" i="95"/>
  <c r="Y282" i="95"/>
  <c r="Y279" i="95" s="1"/>
  <c r="Y278" i="95" s="1"/>
  <c r="Y829" i="95"/>
  <c r="Y826" i="95" s="1"/>
  <c r="Y825" i="95" s="1"/>
  <c r="Y453" i="95"/>
  <c r="Y450" i="95" s="1"/>
  <c r="Y449" i="95" s="1"/>
  <c r="Y553" i="95"/>
  <c r="Y550" i="95" s="1"/>
  <c r="Y549" i="95" s="1"/>
  <c r="Y820" i="95"/>
  <c r="Y811" i="95" s="1"/>
  <c r="Z821" i="95"/>
  <c r="X112" i="95"/>
  <c r="X111" i="95" s="1"/>
  <c r="X89" i="95"/>
  <c r="X88" i="95" s="1"/>
  <c r="Y328" i="95"/>
  <c r="Z330" i="95"/>
  <c r="U118" i="60"/>
  <c r="U120" i="60" s="1"/>
  <c r="U29" i="68"/>
  <c r="S12" i="80"/>
  <c r="Z664" i="95"/>
  <c r="Z658" i="95"/>
  <c r="Z641" i="95"/>
  <c r="Z639" i="95" s="1"/>
  <c r="Z646" i="95"/>
  <c r="Z645" i="95" s="1"/>
  <c r="Z644" i="95" s="1"/>
  <c r="Z674" i="95"/>
  <c r="AA623" i="95"/>
  <c r="Y698" i="95"/>
  <c r="Z699" i="95"/>
  <c r="Y72" i="95"/>
  <c r="Y43" i="95"/>
  <c r="Y42" i="95" s="1"/>
  <c r="Y777" i="95"/>
  <c r="Z779" i="95"/>
  <c r="H73" i="68"/>
  <c r="Y902" i="95"/>
  <c r="Z904" i="95"/>
  <c r="Y152" i="95"/>
  <c r="Z154" i="95"/>
  <c r="Y431" i="95"/>
  <c r="Y430" i="95" s="1"/>
  <c r="Z434" i="95"/>
  <c r="Z362" i="95"/>
  <c r="AA364" i="95"/>
  <c r="Z166" i="95"/>
  <c r="AA168" i="95"/>
  <c r="U172" i="60"/>
  <c r="Y944" i="95"/>
  <c r="Z947" i="95"/>
  <c r="X399" i="95"/>
  <c r="Y332" i="59"/>
  <c r="Y22" i="60"/>
  <c r="Y40" i="60" s="1"/>
  <c r="Y335" i="59"/>
  <c r="Y862" i="95"/>
  <c r="Z863" i="95"/>
  <c r="Y412" i="95"/>
  <c r="Z414" i="95"/>
  <c r="Y881" i="95" l="1"/>
  <c r="Y898" i="95" s="1"/>
  <c r="Y897" i="95" s="1"/>
  <c r="Y305" i="95"/>
  <c r="Z310" i="95"/>
  <c r="Z309" i="95" s="1"/>
  <c r="Z307" i="95"/>
  <c r="Z306" i="95" s="1"/>
  <c r="Z262" i="95"/>
  <c r="Z260" i="95" s="1"/>
  <c r="Z259" i="95" s="1"/>
  <c r="AA248" i="95"/>
  <c r="Z280" i="95"/>
  <c r="Z267" i="95"/>
  <c r="Z266" i="95" s="1"/>
  <c r="Z265" i="95" s="1"/>
  <c r="Z274" i="95"/>
  <c r="Z273" i="95" s="1"/>
  <c r="Z272" i="95" s="1"/>
  <c r="X519" i="95"/>
  <c r="Y150" i="24" s="1"/>
  <c r="AB262" i="59" s="1"/>
  <c r="AB317" i="59" s="1"/>
  <c r="AB25" i="60" s="1"/>
  <c r="Y610" i="95"/>
  <c r="Z211" i="59"/>
  <c r="J63" i="68"/>
  <c r="J64" i="68" s="1"/>
  <c r="AA18" i="95"/>
  <c r="AA32" i="95" s="1"/>
  <c r="Z61" i="95"/>
  <c r="Y901" i="95"/>
  <c r="Z978" i="95"/>
  <c r="K951" i="59"/>
  <c r="K985" i="59" s="1"/>
  <c r="K60" i="60" s="1"/>
  <c r="K50" i="68" s="1"/>
  <c r="AA23" i="60"/>
  <c r="AA27" i="60"/>
  <c r="Y742" i="95"/>
  <c r="AA25" i="60"/>
  <c r="Z1035" i="95"/>
  <c r="AA1037" i="95"/>
  <c r="Y943" i="95"/>
  <c r="AA405" i="95"/>
  <c r="Z403" i="95"/>
  <c r="AA745" i="95"/>
  <c r="Z743" i="95"/>
  <c r="Z515" i="95"/>
  <c r="Z511" i="95" s="1"/>
  <c r="AA517" i="95"/>
  <c r="AA428" i="95"/>
  <c r="Z426" i="95"/>
  <c r="Z425" i="95" s="1"/>
  <c r="Y915" i="95"/>
  <c r="X245" i="95"/>
  <c r="Y148" i="24" s="1"/>
  <c r="AB260" i="59" s="1"/>
  <c r="AB315" i="59" s="1"/>
  <c r="AB336" i="59" s="1"/>
  <c r="Z925" i="95"/>
  <c r="AA927" i="95"/>
  <c r="AA339" i="59"/>
  <c r="AA214" i="59" s="1"/>
  <c r="Z633" i="95"/>
  <c r="Z632" i="95" s="1"/>
  <c r="AA635" i="95"/>
  <c r="X9" i="95"/>
  <c r="Y147" i="24" s="1"/>
  <c r="AB259" i="59" s="1"/>
  <c r="Y361" i="95"/>
  <c r="AA462" i="95"/>
  <c r="Z460" i="95"/>
  <c r="Z459" i="95" s="1"/>
  <c r="Y222" i="95"/>
  <c r="Y695" i="95"/>
  <c r="Z696" i="95"/>
  <c r="Z611" i="95"/>
  <c r="AA613" i="95"/>
  <c r="Z916" i="95"/>
  <c r="AA918" i="95"/>
  <c r="Z115" i="95"/>
  <c r="Y419" i="95"/>
  <c r="Z149" i="24" s="1"/>
  <c r="AC261" i="59" s="1"/>
  <c r="AC316" i="59" s="1"/>
  <c r="AC24" i="60" s="1"/>
  <c r="Y399" i="95"/>
  <c r="Z386" i="95"/>
  <c r="AA388" i="95"/>
  <c r="Y776" i="95"/>
  <c r="Z836" i="95"/>
  <c r="Z835" i="95" s="1"/>
  <c r="AA838" i="95"/>
  <c r="Z666" i="95"/>
  <c r="Z663" i="95" s="1"/>
  <c r="Z662" i="95" s="1"/>
  <c r="AA667" i="95"/>
  <c r="AA868" i="95"/>
  <c r="AB869" i="95"/>
  <c r="AA1015" i="95"/>
  <c r="AB1017" i="95"/>
  <c r="Z889" i="95"/>
  <c r="AA891" i="95"/>
  <c r="W7" i="95"/>
  <c r="Y852" i="95"/>
  <c r="Y313" i="95"/>
  <c r="Y358" i="95" s="1"/>
  <c r="Y357" i="95" s="1"/>
  <c r="Z238" i="95"/>
  <c r="AA240" i="95"/>
  <c r="AA187" i="95"/>
  <c r="Z185" i="95"/>
  <c r="Z952" i="95"/>
  <c r="AA955" i="95"/>
  <c r="AA979" i="95"/>
  <c r="AB981" i="95"/>
  <c r="Z335" i="95"/>
  <c r="AA337" i="95"/>
  <c r="Z380" i="95"/>
  <c r="AA382" i="95"/>
  <c r="X692" i="95"/>
  <c r="X691" i="95" s="1"/>
  <c r="X618" i="95" s="1"/>
  <c r="Y151" i="24" s="1"/>
  <c r="AB263" i="59" s="1"/>
  <c r="AB318" i="59" s="1"/>
  <c r="AB339" i="59" s="1"/>
  <c r="AB214" i="59" s="1"/>
  <c r="Y693" i="95"/>
  <c r="X750" i="95"/>
  <c r="Y152" i="24" s="1"/>
  <c r="AB264" i="59" s="1"/>
  <c r="AB319" i="59" s="1"/>
  <c r="Z197" i="95"/>
  <c r="AA199" i="95"/>
  <c r="I50" i="73"/>
  <c r="AA382" i="59"/>
  <c r="AA383" i="59" s="1"/>
  <c r="AA384" i="59" s="1"/>
  <c r="AA211" i="59"/>
  <c r="Z332" i="59"/>
  <c r="Z335" i="59"/>
  <c r="Z22" i="60"/>
  <c r="Z40" i="60" s="1"/>
  <c r="AA474" i="95"/>
  <c r="Z472" i="95"/>
  <c r="K252" i="63"/>
  <c r="K253" i="63" s="1"/>
  <c r="K56" i="60"/>
  <c r="AB203" i="95"/>
  <c r="AC205" i="95"/>
  <c r="Z577" i="95"/>
  <c r="AA579" i="95"/>
  <c r="AA853" i="95"/>
  <c r="AB854" i="95"/>
  <c r="V172" i="60"/>
  <c r="I64" i="68"/>
  <c r="Y353" i="59"/>
  <c r="Y356" i="59" s="1"/>
  <c r="Y144" i="60" s="1"/>
  <c r="Y27" i="68" s="1"/>
  <c r="Y374" i="59"/>
  <c r="Y375" i="59" s="1"/>
  <c r="Y376" i="59" s="1"/>
  <c r="Y210" i="59"/>
  <c r="Y223" i="59" s="1"/>
  <c r="Y231" i="59" s="1"/>
  <c r="Y233" i="59" s="1"/>
  <c r="Y195" i="59" s="1"/>
  <c r="Y198" i="59" s="1"/>
  <c r="Y18" i="60" s="1"/>
  <c r="Z603" i="95"/>
  <c r="AA605" i="95"/>
  <c r="Z972" i="95"/>
  <c r="AA974" i="95"/>
  <c r="AC985" i="95"/>
  <c r="AC983" i="95" s="1"/>
  <c r="AC995" i="95"/>
  <c r="AC964" i="95"/>
  <c r="AC962" i="95" s="1"/>
  <c r="AD949" i="95"/>
  <c r="AC138" i="95"/>
  <c r="AD140" i="95"/>
  <c r="Z34" i="95"/>
  <c r="AA37" i="95"/>
  <c r="Z882" i="95"/>
  <c r="AA884" i="95"/>
  <c r="AA478" i="95"/>
  <c r="AA477" i="95" s="1"/>
  <c r="AA494" i="95" s="1"/>
  <c r="AA493" i="95" s="1"/>
  <c r="AB480" i="95"/>
  <c r="Z1026" i="95"/>
  <c r="AA1027" i="95"/>
  <c r="AA765" i="95"/>
  <c r="Z763" i="95"/>
  <c r="M42" i="60"/>
  <c r="Y968" i="95"/>
  <c r="Y967" i="95" s="1"/>
  <c r="Y956" i="95" s="1"/>
  <c r="Y939" i="95"/>
  <c r="Y938" i="95" s="1"/>
  <c r="K120" i="60"/>
  <c r="Z948" i="95"/>
  <c r="AA951" i="95"/>
  <c r="Z145" i="95"/>
  <c r="AA147" i="95"/>
  <c r="Z908" i="95"/>
  <c r="AA910" i="95"/>
  <c r="AC454" i="95"/>
  <c r="I33" i="68"/>
  <c r="AB337" i="59"/>
  <c r="AB212" i="59" s="1"/>
  <c r="AB24" i="60"/>
  <c r="Y576" i="95"/>
  <c r="Y593" i="95" s="1"/>
  <c r="Y592" i="95" s="1"/>
  <c r="AC830" i="95"/>
  <c r="AA342" i="95"/>
  <c r="AB344" i="95"/>
  <c r="AB485" i="95"/>
  <c r="AC487" i="95"/>
  <c r="AB659" i="95"/>
  <c r="AB657" i="95" s="1"/>
  <c r="AB656" i="95" s="1"/>
  <c r="AB665" i="95"/>
  <c r="AB647" i="95"/>
  <c r="AB652" i="95"/>
  <c r="AB650" i="95" s="1"/>
  <c r="AC640" i="95"/>
  <c r="AD75" i="95"/>
  <c r="Z944" i="95"/>
  <c r="AA947" i="95"/>
  <c r="Z431" i="95"/>
  <c r="Z430" i="95" s="1"/>
  <c r="AA434" i="95"/>
  <c r="Z777" i="95"/>
  <c r="AA779" i="95"/>
  <c r="Z673" i="95"/>
  <c r="Z672" i="95" s="1"/>
  <c r="Z688" i="95"/>
  <c r="Z687" i="95" s="1"/>
  <c r="G246" i="63"/>
  <c r="H243" i="63" s="1"/>
  <c r="Z841" i="95"/>
  <c r="Z840" i="95" s="1"/>
  <c r="AA842" i="95"/>
  <c r="AA922" i="95"/>
  <c r="AA920" i="95"/>
  <c r="AA919" i="95" s="1"/>
  <c r="AB923" i="95"/>
  <c r="T12" i="80"/>
  <c r="V118" i="60"/>
  <c r="V120" i="60" s="1"/>
  <c r="V29" i="68"/>
  <c r="Z328" i="95"/>
  <c r="AA330" i="95"/>
  <c r="Z179" i="95"/>
  <c r="AA181" i="95"/>
  <c r="AC554" i="95"/>
  <c r="Z584" i="95"/>
  <c r="AA586" i="95"/>
  <c r="Z72" i="95"/>
  <c r="Z43" i="95"/>
  <c r="Z42" i="95" s="1"/>
  <c r="Z597" i="95"/>
  <c r="AA599" i="95"/>
  <c r="AD81" i="95"/>
  <c r="AD66" i="95"/>
  <c r="AD64" i="95" s="1"/>
  <c r="AD50" i="95"/>
  <c r="AD48" i="95" s="1"/>
  <c r="AE35" i="95"/>
  <c r="Z229" i="95"/>
  <c r="AA231" i="95"/>
  <c r="X929" i="95"/>
  <c r="Y153" i="24" s="1"/>
  <c r="AB265" i="59" s="1"/>
  <c r="AB320" i="59" s="1"/>
  <c r="L955" i="59"/>
  <c r="L943" i="59" s="1"/>
  <c r="L945" i="59" s="1"/>
  <c r="Z82" i="95"/>
  <c r="Z79" i="95" s="1"/>
  <c r="AA83" i="95"/>
  <c r="AA934" i="95"/>
  <c r="Z940" i="95"/>
  <c r="AA818" i="95"/>
  <c r="AA816" i="95" s="1"/>
  <c r="AA797" i="95"/>
  <c r="AA795" i="95" s="1"/>
  <c r="AA828" i="95"/>
  <c r="AB782" i="95"/>
  <c r="AC209" i="95"/>
  <c r="AD211" i="95"/>
  <c r="AA565" i="95"/>
  <c r="AA564" i="95" s="1"/>
  <c r="AB566" i="95"/>
  <c r="Z22" i="95"/>
  <c r="Z21" i="95" s="1"/>
  <c r="AA24" i="95"/>
  <c r="Z183" i="60"/>
  <c r="Z385" i="59"/>
  <c r="Z390" i="59" s="1"/>
  <c r="AA314" i="95"/>
  <c r="AB316" i="95"/>
  <c r="AD283" i="95"/>
  <c r="AA25" i="95"/>
  <c r="AB27" i="95"/>
  <c r="H994" i="59"/>
  <c r="G177" i="60"/>
  <c r="AA409" i="95"/>
  <c r="AB411" i="95"/>
  <c r="AA680" i="95"/>
  <c r="AA679" i="95" s="1"/>
  <c r="AB681" i="95"/>
  <c r="Z152" i="95"/>
  <c r="AA154" i="95"/>
  <c r="AB275" i="95"/>
  <c r="AB268" i="95"/>
  <c r="AB281" i="95"/>
  <c r="AC261" i="95"/>
  <c r="Z412" i="95"/>
  <c r="AA414" i="95"/>
  <c r="Y178" i="95"/>
  <c r="R357" i="63"/>
  <c r="R359" i="63" s="1"/>
  <c r="R364" i="63" s="1"/>
  <c r="AA223" i="95"/>
  <c r="AB225" i="95"/>
  <c r="Z38" i="95"/>
  <c r="AA40" i="95"/>
  <c r="AA226" i="95"/>
  <c r="AB228" i="95"/>
  <c r="Y596" i="95"/>
  <c r="U357" i="63"/>
  <c r="U359" i="63" s="1"/>
  <c r="U364" i="63" s="1"/>
  <c r="U375" i="63" s="1"/>
  <c r="N252" i="63"/>
  <c r="N253" i="63" s="1"/>
  <c r="N258" i="63" s="1"/>
  <c r="N56" i="60"/>
  <c r="Z232" i="95"/>
  <c r="AA234" i="95"/>
  <c r="AA769" i="95"/>
  <c r="AB771" i="95"/>
  <c r="Z1008" i="95"/>
  <c r="Z1007" i="95" s="1"/>
  <c r="AA1009" i="95"/>
  <c r="Z1020" i="95"/>
  <c r="AA1021" i="95"/>
  <c r="Z131" i="95"/>
  <c r="AA133" i="95"/>
  <c r="Z805" i="95"/>
  <c r="AA807" i="95"/>
  <c r="Z215" i="95"/>
  <c r="AA217" i="95"/>
  <c r="Z957" i="95"/>
  <c r="AA959" i="95"/>
  <c r="Z159" i="95"/>
  <c r="AA161" i="95"/>
  <c r="I78" i="73"/>
  <c r="I90" i="73" s="1"/>
  <c r="G1099" i="59"/>
  <c r="G1086" i="59"/>
  <c r="AD376" i="95"/>
  <c r="AC374" i="95"/>
  <c r="Y112" i="95"/>
  <c r="Y111" i="95" s="1"/>
  <c r="Y89" i="95"/>
  <c r="Y88" i="95" s="1"/>
  <c r="AC193" i="95"/>
  <c r="AB191" i="95"/>
  <c r="AB1023" i="95"/>
  <c r="AC1025" i="95"/>
  <c r="Z790" i="95"/>
  <c r="AA792" i="95"/>
  <c r="Z874" i="95"/>
  <c r="AA875" i="95"/>
  <c r="AA70" i="95"/>
  <c r="Z1408" i="95"/>
  <c r="Z1405" i="95" s="1"/>
  <c r="Z1404" i="95" s="1"/>
  <c r="Z1380" i="95" s="1"/>
  <c r="AA155" i="24" s="1"/>
  <c r="AD267" i="59" s="1"/>
  <c r="AD322" i="59" s="1"/>
  <c r="Z282" i="95"/>
  <c r="Z279" i="95" s="1"/>
  <c r="Z278" i="95" s="1"/>
  <c r="Z996" i="95"/>
  <c r="Z993" i="95" s="1"/>
  <c r="Z992" i="95" s="1"/>
  <c r="Z74" i="95"/>
  <c r="Z453" i="95"/>
  <c r="Z450" i="95" s="1"/>
  <c r="Z449" i="95" s="1"/>
  <c r="Z829" i="95"/>
  <c r="Z826" i="95" s="1"/>
  <c r="Z825" i="95" s="1"/>
  <c r="Z553" i="95"/>
  <c r="Z550" i="95" s="1"/>
  <c r="Z549" i="95" s="1"/>
  <c r="AA99" i="95"/>
  <c r="AA98" i="95" s="1"/>
  <c r="AA97" i="95" s="1"/>
  <c r="AA120" i="95"/>
  <c r="AA119" i="95" s="1"/>
  <c r="AA44" i="95"/>
  <c r="AA117" i="95"/>
  <c r="AA116" i="95" s="1"/>
  <c r="AB12" i="95"/>
  <c r="AB124" i="95"/>
  <c r="AC126" i="95"/>
  <c r="AA528" i="95"/>
  <c r="Z526" i="95"/>
  <c r="Z525" i="95" s="1"/>
  <c r="I55" i="68"/>
  <c r="Z859" i="95"/>
  <c r="AA860" i="95"/>
  <c r="AC56" i="95"/>
  <c r="AB53" i="95"/>
  <c r="Z60" i="95"/>
  <c r="Z59" i="95" s="1"/>
  <c r="Z90" i="95"/>
  <c r="Z30" i="95"/>
  <c r="Y71" i="95"/>
  <c r="Y69" i="95" s="1"/>
  <c r="Z865" i="95"/>
  <c r="AA866" i="95"/>
  <c r="H74" i="68"/>
  <c r="AD546" i="95"/>
  <c r="AD544" i="95" s="1"/>
  <c r="AD543" i="95" s="1"/>
  <c r="AD539" i="95"/>
  <c r="AD537" i="95" s="1"/>
  <c r="AD536" i="95" s="1"/>
  <c r="AD552" i="95"/>
  <c r="AE532" i="95"/>
  <c r="R954" i="59"/>
  <c r="Z781" i="95"/>
  <c r="AA784" i="95"/>
  <c r="Z444" i="95"/>
  <c r="Z443" i="95" s="1"/>
  <c r="AA447" i="95"/>
  <c r="U954" i="59"/>
  <c r="Z877" i="95"/>
  <c r="AA879" i="95"/>
  <c r="Z392" i="95"/>
  <c r="AA394" i="95"/>
  <c r="I69" i="60"/>
  <c r="Z735" i="95"/>
  <c r="Z728" i="95" s="1"/>
  <c r="AA737" i="95"/>
  <c r="AC812" i="95"/>
  <c r="AD813" i="95"/>
  <c r="Y1019" i="95"/>
  <c r="Y123" i="95"/>
  <c r="Y175" i="95" s="1"/>
  <c r="Y174" i="95" s="1"/>
  <c r="AC45" i="95"/>
  <c r="AC73" i="95"/>
  <c r="AC62" i="95"/>
  <c r="AD31" i="95"/>
  <c r="Z773" i="95"/>
  <c r="AA758" i="95"/>
  <c r="Z766" i="95"/>
  <c r="AA768" i="95"/>
  <c r="Y29" i="95"/>
  <c r="T382" i="63"/>
  <c r="T383" i="63" s="1"/>
  <c r="T1110" i="59" s="1"/>
  <c r="T376" i="63"/>
  <c r="T1108" i="59" s="1"/>
  <c r="AD498" i="95"/>
  <c r="AE500" i="95"/>
  <c r="Z321" i="95"/>
  <c r="AA323" i="95"/>
  <c r="AA709" i="95"/>
  <c r="AB711" i="95"/>
  <c r="AA636" i="95"/>
  <c r="AB638" i="95"/>
  <c r="V252" i="63"/>
  <c r="V253" i="63" s="1"/>
  <c r="V258" i="63" s="1"/>
  <c r="V56" i="60"/>
  <c r="X377" i="59"/>
  <c r="X389" i="59" s="1"/>
  <c r="X182" i="60"/>
  <c r="Z716" i="95"/>
  <c r="Z708" i="95" s="1"/>
  <c r="Z725" i="95" s="1"/>
  <c r="Z724" i="95" s="1"/>
  <c r="AA718" i="95"/>
  <c r="Z746" i="95"/>
  <c r="AA748" i="95"/>
  <c r="AA465" i="95"/>
  <c r="AA464" i="95" s="1"/>
  <c r="AB470" i="95"/>
  <c r="AA166" i="95"/>
  <c r="AB168" i="95"/>
  <c r="Z902" i="95"/>
  <c r="AA904" i="95"/>
  <c r="Z698" i="95"/>
  <c r="AA699" i="95"/>
  <c r="Z862" i="95"/>
  <c r="AA863" i="95"/>
  <c r="AA362" i="95"/>
  <c r="AB364" i="95"/>
  <c r="Z628" i="95"/>
  <c r="Z627" i="95" s="1"/>
  <c r="AA630" i="95"/>
  <c r="Z400" i="95"/>
  <c r="AA402" i="95"/>
  <c r="Y936" i="95"/>
  <c r="Y1040" i="95"/>
  <c r="Y1039" i="95" s="1"/>
  <c r="Y1056" i="95" s="1"/>
  <c r="Y1055" i="95" s="1"/>
  <c r="Y1075" i="95"/>
  <c r="Y1074" i="95" s="1"/>
  <c r="Y1073" i="95" s="1"/>
  <c r="Y1061" i="95"/>
  <c r="Y1060" i="95" s="1"/>
  <c r="Y1059" i="95" s="1"/>
  <c r="Z1041" i="95"/>
  <c r="AD997" i="95"/>
  <c r="AC785" i="95"/>
  <c r="AD787" i="95"/>
  <c r="AE104" i="95"/>
  <c r="AF109" i="95"/>
  <c r="AF104" i="95" s="1"/>
  <c r="Z1032" i="95"/>
  <c r="AA1033" i="95"/>
  <c r="AA871" i="95"/>
  <c r="AB873" i="95"/>
  <c r="Z614" i="95"/>
  <c r="AA616" i="95"/>
  <c r="AA415" i="95"/>
  <c r="AB417" i="95"/>
  <c r="Z289" i="95"/>
  <c r="Z288" i="95" s="1"/>
  <c r="AA291" i="95"/>
  <c r="AA1003" i="95"/>
  <c r="AA1002" i="95" s="1"/>
  <c r="AB1005" i="95"/>
  <c r="AA406" i="95"/>
  <c r="AB408" i="95"/>
  <c r="AA504" i="95"/>
  <c r="AA497" i="95" s="1"/>
  <c r="AB506" i="95"/>
  <c r="Z437" i="95"/>
  <c r="Z436" i="95" s="1"/>
  <c r="AA440" i="95"/>
  <c r="AA701" i="95"/>
  <c r="AB703" i="95"/>
  <c r="Z856" i="95"/>
  <c r="AA857" i="95"/>
  <c r="AB368" i="95"/>
  <c r="AC370" i="95"/>
  <c r="Y772" i="95"/>
  <c r="Y762" i="95" s="1"/>
  <c r="Y801" i="95"/>
  <c r="Y800" i="95" s="1"/>
  <c r="Y789" i="95" s="1"/>
  <c r="Z295" i="95"/>
  <c r="Z294" i="95" s="1"/>
  <c r="Z293" i="95" s="1"/>
  <c r="Z302" i="95"/>
  <c r="Z301" i="95" s="1"/>
  <c r="AA290" i="95"/>
  <c r="W143" i="60"/>
  <c r="W366" i="59"/>
  <c r="W367" i="59" s="1"/>
  <c r="W368" i="59" s="1"/>
  <c r="U17" i="80"/>
  <c r="AA235" i="95"/>
  <c r="AB237" i="95"/>
  <c r="Z241" i="95"/>
  <c r="AA243" i="95"/>
  <c r="AA273" i="59"/>
  <c r="AA314" i="59"/>
  <c r="AA349" i="95"/>
  <c r="AB351" i="95"/>
  <c r="AA987" i="95"/>
  <c r="AB989" i="95"/>
  <c r="Z572" i="95"/>
  <c r="AA574" i="95"/>
  <c r="Y117" i="60"/>
  <c r="Y48" i="73"/>
  <c r="W5" i="80"/>
  <c r="I73" i="68"/>
  <c r="J73" i="68" s="1"/>
  <c r="AA658" i="95"/>
  <c r="AA646" i="95"/>
  <c r="AA645" i="95" s="1"/>
  <c r="AA644" i="95" s="1"/>
  <c r="AA664" i="95"/>
  <c r="AA674" i="95"/>
  <c r="AA641" i="95"/>
  <c r="AA639" i="95" s="1"/>
  <c r="AB623" i="95"/>
  <c r="Z820" i="95"/>
  <c r="Z811" i="95" s="1"/>
  <c r="AA821" i="95"/>
  <c r="AC343" i="59"/>
  <c r="AC217" i="59" s="1"/>
  <c r="AC30" i="60"/>
  <c r="Z560" i="95"/>
  <c r="Z559" i="95" s="1"/>
  <c r="AA562" i="95"/>
  <c r="Z704" i="95"/>
  <c r="AA706" i="95"/>
  <c r="AA848" i="95"/>
  <c r="AB850" i="95"/>
  <c r="X19" i="60"/>
  <c r="X114" i="60"/>
  <c r="X115" i="60" s="1"/>
  <c r="AB257" i="95"/>
  <c r="AA255" i="95"/>
  <c r="AA254" i="95" s="1"/>
  <c r="AC729" i="95"/>
  <c r="AD731" i="95"/>
  <c r="AA1029" i="95"/>
  <c r="AB1031" i="95"/>
  <c r="M382" i="63"/>
  <c r="M383" i="63" s="1"/>
  <c r="M376" i="63"/>
  <c r="AA28" i="60"/>
  <c r="AA341" i="59"/>
  <c r="R172" i="60"/>
  <c r="S369" i="59"/>
  <c r="S388" i="59" s="1"/>
  <c r="S391" i="59" s="1"/>
  <c r="S42" i="60" s="1"/>
  <c r="R369" i="59"/>
  <c r="R388" i="59" s="1"/>
  <c r="G326" i="63"/>
  <c r="G327" i="63" s="1"/>
  <c r="G323" i="63"/>
  <c r="AA512" i="95"/>
  <c r="AB514" i="95"/>
  <c r="Z531" i="95"/>
  <c r="Z530" i="95" s="1"/>
  <c r="AA534" i="95"/>
  <c r="V26" i="68"/>
  <c r="V942" i="59"/>
  <c r="V147" i="60"/>
  <c r="Z305" i="95" l="1"/>
  <c r="AA310" i="95"/>
  <c r="AA309" i="95" s="1"/>
  <c r="AA307" i="95"/>
  <c r="AA306" i="95" s="1"/>
  <c r="AA280" i="95"/>
  <c r="AA267" i="95"/>
  <c r="AA266" i="95" s="1"/>
  <c r="AA265" i="95" s="1"/>
  <c r="AA274" i="95"/>
  <c r="AA273" i="95" s="1"/>
  <c r="AA272" i="95" s="1"/>
  <c r="AA262" i="95"/>
  <c r="AA260" i="95" s="1"/>
  <c r="AA259" i="95" s="1"/>
  <c r="AB248" i="95"/>
  <c r="AB338" i="59"/>
  <c r="AB213" i="59" s="1"/>
  <c r="AB18" i="95"/>
  <c r="AB32" i="95" s="1"/>
  <c r="AA61" i="95"/>
  <c r="AA60" i="95" s="1"/>
  <c r="AA59" i="95" s="1"/>
  <c r="AC337" i="59"/>
  <c r="AC212" i="59" s="1"/>
  <c r="Z915" i="95"/>
  <c r="AB26" i="60"/>
  <c r="Z596" i="95"/>
  <c r="Z943" i="95"/>
  <c r="AB23" i="60"/>
  <c r="AA1035" i="95"/>
  <c r="AB1037" i="95"/>
  <c r="Z742" i="95"/>
  <c r="Z881" i="95"/>
  <c r="Z898" i="95" s="1"/>
  <c r="Z897" i="95" s="1"/>
  <c r="AA426" i="95"/>
  <c r="AA425" i="95" s="1"/>
  <c r="AB428" i="95"/>
  <c r="AA515" i="95"/>
  <c r="AA511" i="95" s="1"/>
  <c r="AB517" i="95"/>
  <c r="AA978" i="95"/>
  <c r="AA743" i="95"/>
  <c r="AB745" i="95"/>
  <c r="AA403" i="95"/>
  <c r="AB405" i="95"/>
  <c r="Z313" i="95"/>
  <c r="Z358" i="95" s="1"/>
  <c r="Z357" i="95" s="1"/>
  <c r="AB927" i="95"/>
  <c r="AA925" i="95"/>
  <c r="Z610" i="95"/>
  <c r="AA633" i="95"/>
  <c r="AA632" i="95" s="1"/>
  <c r="AB635" i="95"/>
  <c r="Z852" i="95"/>
  <c r="Y245" i="95"/>
  <c r="Z148" i="24" s="1"/>
  <c r="AC260" i="59" s="1"/>
  <c r="AC315" i="59" s="1"/>
  <c r="AC23" i="60" s="1"/>
  <c r="Z901" i="95"/>
  <c r="Z71" i="95"/>
  <c r="Z69" i="95" s="1"/>
  <c r="Z361" i="95"/>
  <c r="Z399" i="95"/>
  <c r="AB462" i="95"/>
  <c r="AA460" i="95"/>
  <c r="AA459" i="95" s="1"/>
  <c r="AA115" i="95"/>
  <c r="AB918" i="95"/>
  <c r="AA916" i="95"/>
  <c r="AA611" i="95"/>
  <c r="AB613" i="95"/>
  <c r="Z222" i="95"/>
  <c r="Z695" i="95"/>
  <c r="AA696" i="95"/>
  <c r="AA380" i="95"/>
  <c r="AB382" i="95"/>
  <c r="AA889" i="95"/>
  <c r="AB891" i="95"/>
  <c r="AA836" i="95"/>
  <c r="AA835" i="95" s="1"/>
  <c r="AB838" i="95"/>
  <c r="AA185" i="95"/>
  <c r="AB187" i="95"/>
  <c r="Z29" i="95"/>
  <c r="AA335" i="95"/>
  <c r="AB337" i="95"/>
  <c r="AA238" i="95"/>
  <c r="AB240" i="95"/>
  <c r="AB1015" i="95"/>
  <c r="AC1017" i="95"/>
  <c r="Y9" i="95"/>
  <c r="Z147" i="24" s="1"/>
  <c r="AC259" i="59" s="1"/>
  <c r="Y519" i="95"/>
  <c r="Z150" i="24" s="1"/>
  <c r="AC262" i="59" s="1"/>
  <c r="AC317" i="59" s="1"/>
  <c r="AC338" i="59" s="1"/>
  <c r="AC213" i="59" s="1"/>
  <c r="AB979" i="95"/>
  <c r="AC981" i="95"/>
  <c r="AC869" i="95"/>
  <c r="AB868" i="95"/>
  <c r="AB388" i="95"/>
  <c r="AA386" i="95"/>
  <c r="L956" i="59"/>
  <c r="M953" i="59" s="1"/>
  <c r="M955" i="59" s="1"/>
  <c r="M943" i="59" s="1"/>
  <c r="M945" i="59" s="1"/>
  <c r="I74" i="68"/>
  <c r="J74" i="68" s="1"/>
  <c r="Y692" i="95"/>
  <c r="Y691" i="95" s="1"/>
  <c r="Y618" i="95" s="1"/>
  <c r="Z151" i="24" s="1"/>
  <c r="AC263" i="59" s="1"/>
  <c r="AC318" i="59" s="1"/>
  <c r="AC339" i="59" s="1"/>
  <c r="AC214" i="59" s="1"/>
  <c r="Z693" i="95"/>
  <c r="AA952" i="95"/>
  <c r="AB955" i="95"/>
  <c r="AA666" i="95"/>
  <c r="AA663" i="95" s="1"/>
  <c r="AA662" i="95" s="1"/>
  <c r="AB667" i="95"/>
  <c r="X7" i="95"/>
  <c r="Y750" i="95"/>
  <c r="Z152" i="24" s="1"/>
  <c r="AC264" i="59" s="1"/>
  <c r="AC319" i="59" s="1"/>
  <c r="K52" i="68"/>
  <c r="K73" i="68" s="1"/>
  <c r="K63" i="68"/>
  <c r="V954" i="59"/>
  <c r="AA628" i="95"/>
  <c r="AA627" i="95" s="1"/>
  <c r="AB630" i="95"/>
  <c r="AA698" i="95"/>
  <c r="AB699" i="95"/>
  <c r="R391" i="59"/>
  <c r="AA43" i="95"/>
  <c r="AA42" i="95" s="1"/>
  <c r="AA72" i="95"/>
  <c r="AA131" i="95"/>
  <c r="AB133" i="95"/>
  <c r="AB769" i="95"/>
  <c r="AC771" i="95"/>
  <c r="AA38" i="95"/>
  <c r="AB40" i="95"/>
  <c r="AA412" i="95"/>
  <c r="AB414" i="95"/>
  <c r="AB680" i="95"/>
  <c r="AB679" i="95" s="1"/>
  <c r="AC681" i="95"/>
  <c r="AA940" i="95"/>
  <c r="AB934" i="95"/>
  <c r="AA841" i="95"/>
  <c r="AA840" i="95" s="1"/>
  <c r="AB842" i="95"/>
  <c r="AC485" i="95"/>
  <c r="AD487" i="95"/>
  <c r="M29" i="68"/>
  <c r="K12" i="80"/>
  <c r="M118" i="60"/>
  <c r="M44" i="60"/>
  <c r="AA882" i="95"/>
  <c r="AB884" i="95"/>
  <c r="M1108" i="59"/>
  <c r="AB701" i="95"/>
  <c r="AC703" i="95"/>
  <c r="AB504" i="95"/>
  <c r="AB497" i="95" s="1"/>
  <c r="AC506" i="95"/>
  <c r="AB1003" i="95"/>
  <c r="AB1002" i="95" s="1"/>
  <c r="AC1005" i="95"/>
  <c r="AA1032" i="95"/>
  <c r="AB1033" i="95"/>
  <c r="Z1075" i="95"/>
  <c r="Z1074" i="95" s="1"/>
  <c r="Z1073" i="95" s="1"/>
  <c r="Z936" i="95"/>
  <c r="Z1040" i="95"/>
  <c r="Z1039" i="95" s="1"/>
  <c r="Z1056" i="95" s="1"/>
  <c r="Z1055" i="95" s="1"/>
  <c r="Z1061" i="95"/>
  <c r="Z1060" i="95" s="1"/>
  <c r="Z1059" i="95" s="1"/>
  <c r="AA1041" i="95"/>
  <c r="AA332" i="59"/>
  <c r="AA335" i="59"/>
  <c r="AA22" i="60"/>
  <c r="AA40" i="60" s="1"/>
  <c r="AB465" i="95"/>
  <c r="AB464" i="95" s="1"/>
  <c r="AC470" i="95"/>
  <c r="Z772" i="95"/>
  <c r="Z762" i="95" s="1"/>
  <c r="Z801" i="95"/>
  <c r="Z800" i="95" s="1"/>
  <c r="Z789" i="95" s="1"/>
  <c r="AD209" i="95"/>
  <c r="AE211" i="95"/>
  <c r="AA944" i="95"/>
  <c r="AB947" i="95"/>
  <c r="AA385" i="59"/>
  <c r="AA390" i="59" s="1"/>
  <c r="AA183" i="60"/>
  <c r="W172" i="60"/>
  <c r="S118" i="60"/>
  <c r="S120" i="60" s="1"/>
  <c r="Q12" i="80"/>
  <c r="S29" i="68"/>
  <c r="S44" i="60"/>
  <c r="W26" i="68"/>
  <c r="W942" i="59"/>
  <c r="W147" i="60"/>
  <c r="AB362" i="95"/>
  <c r="AC364" i="95"/>
  <c r="AA902" i="95"/>
  <c r="AB904" i="95"/>
  <c r="AA746" i="95"/>
  <c r="AB748" i="95"/>
  <c r="AD45" i="95"/>
  <c r="AD73" i="95"/>
  <c r="AD62" i="95"/>
  <c r="AE31" i="95"/>
  <c r="AD812" i="95"/>
  <c r="AE813" i="95"/>
  <c r="AA444" i="95"/>
  <c r="AA443" i="95" s="1"/>
  <c r="AB447" i="95"/>
  <c r="AA865" i="95"/>
  <c r="AB866" i="95"/>
  <c r="AA859" i="95"/>
  <c r="AB860" i="95"/>
  <c r="AA526" i="95"/>
  <c r="AA525" i="95" s="1"/>
  <c r="AB528" i="95"/>
  <c r="AD343" i="59"/>
  <c r="AD217" i="59" s="1"/>
  <c r="AD30" i="60"/>
  <c r="AE376" i="95"/>
  <c r="AD374" i="95"/>
  <c r="Z123" i="95"/>
  <c r="Z175" i="95" s="1"/>
  <c r="Z174" i="95" s="1"/>
  <c r="AE283" i="95"/>
  <c r="AA82" i="95"/>
  <c r="AA79" i="95" s="1"/>
  <c r="AB83" i="95"/>
  <c r="AA597" i="95"/>
  <c r="AB599" i="95"/>
  <c r="AD554" i="95"/>
  <c r="AD454" i="95"/>
  <c r="AA972" i="95"/>
  <c r="AB974" i="95"/>
  <c r="AA577" i="95"/>
  <c r="AB579" i="95"/>
  <c r="AA560" i="95"/>
  <c r="AA559" i="95" s="1"/>
  <c r="AB562" i="95"/>
  <c r="AA773" i="95"/>
  <c r="AB758" i="95"/>
  <c r="AA948" i="95"/>
  <c r="AB951" i="95"/>
  <c r="Y182" i="60"/>
  <c r="Y377" i="59"/>
  <c r="Y389" i="59" s="1"/>
  <c r="AA572" i="95"/>
  <c r="AB574" i="95"/>
  <c r="AB406" i="95"/>
  <c r="AC408" i="95"/>
  <c r="AA289" i="95"/>
  <c r="AA288" i="95" s="1"/>
  <c r="AB291" i="95"/>
  <c r="AB709" i="95"/>
  <c r="AC711" i="95"/>
  <c r="AD56" i="95"/>
  <c r="AC53" i="95"/>
  <c r="AC368" i="95"/>
  <c r="AD370" i="95"/>
  <c r="AA437" i="95"/>
  <c r="AA436" i="95" s="1"/>
  <c r="AB440" i="95"/>
  <c r="AB415" i="95"/>
  <c r="AC417" i="95"/>
  <c r="AA321" i="95"/>
  <c r="AB323" i="95"/>
  <c r="AA1408" i="95"/>
  <c r="AA1405" i="95" s="1"/>
  <c r="AA1404" i="95" s="1"/>
  <c r="AA1380" i="95" s="1"/>
  <c r="AB155" i="24" s="1"/>
  <c r="AE267" i="59" s="1"/>
  <c r="AE322" i="59" s="1"/>
  <c r="AB70" i="95"/>
  <c r="AA996" i="95"/>
  <c r="AA993" i="95" s="1"/>
  <c r="AA992" i="95" s="1"/>
  <c r="AA74" i="95"/>
  <c r="AA282" i="95"/>
  <c r="AA279" i="95" s="1"/>
  <c r="AA278" i="95" s="1"/>
  <c r="AA553" i="95"/>
  <c r="AA550" i="95" s="1"/>
  <c r="AA549" i="95" s="1"/>
  <c r="AA829" i="95"/>
  <c r="AA826" i="95" s="1"/>
  <c r="AA825" i="95" s="1"/>
  <c r="AA453" i="95"/>
  <c r="AA450" i="95" s="1"/>
  <c r="AA449" i="95" s="1"/>
  <c r="AC1023" i="95"/>
  <c r="AD1025" i="95"/>
  <c r="AA159" i="95"/>
  <c r="AB161" i="95"/>
  <c r="AA232" i="95"/>
  <c r="AB234" i="95"/>
  <c r="U382" i="63"/>
  <c r="U383" i="63" s="1"/>
  <c r="U1110" i="59" s="1"/>
  <c r="U376" i="63"/>
  <c r="U1108" i="59" s="1"/>
  <c r="AB223" i="95"/>
  <c r="AC225" i="95"/>
  <c r="AC281" i="95"/>
  <c r="AC275" i="95"/>
  <c r="AC268" i="95"/>
  <c r="AD261" i="95"/>
  <c r="AB409" i="95"/>
  <c r="AC411" i="95"/>
  <c r="AB341" i="59"/>
  <c r="AB28" i="60"/>
  <c r="H255" i="63"/>
  <c r="H240" i="63"/>
  <c r="AE75" i="95"/>
  <c r="AB342" i="95"/>
  <c r="AC344" i="95"/>
  <c r="AA763" i="95"/>
  <c r="AB765" i="95"/>
  <c r="AD985" i="95"/>
  <c r="AD983" i="95" s="1"/>
  <c r="AD995" i="95"/>
  <c r="AE949" i="95"/>
  <c r="AD964" i="95"/>
  <c r="AD962" i="95" s="1"/>
  <c r="Z576" i="95"/>
  <c r="Z593" i="95" s="1"/>
  <c r="Z592" i="95" s="1"/>
  <c r="K62" i="60"/>
  <c r="AB474" i="95"/>
  <c r="AA472" i="95"/>
  <c r="AD785" i="95"/>
  <c r="AE787" i="95"/>
  <c r="AA877" i="95"/>
  <c r="AB879" i="95"/>
  <c r="AB512" i="95"/>
  <c r="AC514" i="95"/>
  <c r="AD729" i="95"/>
  <c r="AE731" i="95"/>
  <c r="AA704" i="95"/>
  <c r="AB706" i="95"/>
  <c r="AA820" i="95"/>
  <c r="AA811" i="95" s="1"/>
  <c r="AB821" i="95"/>
  <c r="AA241" i="95"/>
  <c r="AB243" i="95"/>
  <c r="AA302" i="95"/>
  <c r="AA301" i="95" s="1"/>
  <c r="AA295" i="95"/>
  <c r="AA294" i="95" s="1"/>
  <c r="AA293" i="95" s="1"/>
  <c r="AB290" i="95"/>
  <c r="AB871" i="95"/>
  <c r="AC873" i="95"/>
  <c r="AB166" i="95"/>
  <c r="AC168" i="95"/>
  <c r="AA716" i="95"/>
  <c r="AA708" i="95" s="1"/>
  <c r="AA725" i="95" s="1"/>
  <c r="AA724" i="95" s="1"/>
  <c r="AB718" i="95"/>
  <c r="AA735" i="95"/>
  <c r="AA728" i="95" s="1"/>
  <c r="AB737" i="95"/>
  <c r="AE539" i="95"/>
  <c r="AE537" i="95" s="1"/>
  <c r="AE536" i="95" s="1"/>
  <c r="AF532" i="95"/>
  <c r="AE552" i="95"/>
  <c r="AE546" i="95"/>
  <c r="AE544" i="95" s="1"/>
  <c r="AE543" i="95" s="1"/>
  <c r="AC124" i="95"/>
  <c r="AD126" i="95"/>
  <c r="AA22" i="95"/>
  <c r="AA21" i="95" s="1"/>
  <c r="AB24" i="95"/>
  <c r="AB818" i="95"/>
  <c r="AB816" i="95" s="1"/>
  <c r="AB828" i="95"/>
  <c r="AB797" i="95"/>
  <c r="AB795" i="95" s="1"/>
  <c r="AC782" i="95"/>
  <c r="AA229" i="95"/>
  <c r="AB231" i="95"/>
  <c r="AA179" i="95"/>
  <c r="AB181" i="95"/>
  <c r="AA777" i="95"/>
  <c r="AB779" i="95"/>
  <c r="AC652" i="95"/>
  <c r="AC650" i="95" s="1"/>
  <c r="AC665" i="95"/>
  <c r="AC659" i="95"/>
  <c r="AC657" i="95" s="1"/>
  <c r="AC656" i="95" s="1"/>
  <c r="AC647" i="95"/>
  <c r="AD640" i="95"/>
  <c r="AA908" i="95"/>
  <c r="AB910" i="95"/>
  <c r="Y929" i="95"/>
  <c r="Z153" i="24" s="1"/>
  <c r="AC265" i="59" s="1"/>
  <c r="AC320" i="59" s="1"/>
  <c r="W369" i="59"/>
  <c r="W388" i="59" s="1"/>
  <c r="W391" i="59" s="1"/>
  <c r="W42" i="60" s="1"/>
  <c r="AC203" i="95"/>
  <c r="AD205" i="95"/>
  <c r="Z117" i="60"/>
  <c r="Z48" i="73"/>
  <c r="X5" i="80"/>
  <c r="I63" i="73"/>
  <c r="G335" i="63"/>
  <c r="G336" i="63" s="1"/>
  <c r="AB255" i="95"/>
  <c r="AB254" i="95" s="1"/>
  <c r="AC257" i="95"/>
  <c r="I320" i="63"/>
  <c r="M1110" i="59"/>
  <c r="AA688" i="95"/>
  <c r="AA687" i="95" s="1"/>
  <c r="AA673" i="95"/>
  <c r="AA672" i="95" s="1"/>
  <c r="AA531" i="95"/>
  <c r="AA530" i="95" s="1"/>
  <c r="AB534" i="95"/>
  <c r="AB1029" i="95"/>
  <c r="AC1031" i="95"/>
  <c r="AC989" i="95"/>
  <c r="AB987" i="95"/>
  <c r="AB349" i="95"/>
  <c r="AC351" i="95"/>
  <c r="AA856" i="95"/>
  <c r="AB857" i="95"/>
  <c r="AE997" i="95"/>
  <c r="AB636" i="95"/>
  <c r="AC638" i="95"/>
  <c r="AE498" i="95"/>
  <c r="AF500" i="95"/>
  <c r="AF498" i="95" s="1"/>
  <c r="AA766" i="95"/>
  <c r="AB768" i="95"/>
  <c r="AA781" i="95"/>
  <c r="AB784" i="95"/>
  <c r="AA874" i="95"/>
  <c r="AB875" i="95"/>
  <c r="AA957" i="95"/>
  <c r="AB959" i="95"/>
  <c r="AA215" i="95"/>
  <c r="AB217" i="95"/>
  <c r="AA1020" i="95"/>
  <c r="AB1021" i="95"/>
  <c r="AB226" i="95"/>
  <c r="AC228" i="95"/>
  <c r="Z178" i="95"/>
  <c r="Z776" i="95"/>
  <c r="AA1026" i="95"/>
  <c r="AB1027" i="95"/>
  <c r="AA34" i="95"/>
  <c r="AB37" i="95"/>
  <c r="AA603" i="95"/>
  <c r="AB605" i="95"/>
  <c r="K258" i="63"/>
  <c r="Z353" i="59"/>
  <c r="Z356" i="59" s="1"/>
  <c r="Z144" i="60" s="1"/>
  <c r="Z27" i="68" s="1"/>
  <c r="Z374" i="59"/>
  <c r="Z375" i="59" s="1"/>
  <c r="Z376" i="59" s="1"/>
  <c r="Z210" i="59"/>
  <c r="Z223" i="59" s="1"/>
  <c r="Z231" i="59" s="1"/>
  <c r="Z233" i="59" s="1"/>
  <c r="Z195" i="59" s="1"/>
  <c r="Z198" i="59" s="1"/>
  <c r="Z18" i="60" s="1"/>
  <c r="AA197" i="95"/>
  <c r="AB199" i="95"/>
  <c r="AA392" i="95"/>
  <c r="AB394" i="95"/>
  <c r="K76" i="73"/>
  <c r="I7" i="80"/>
  <c r="K28" i="68"/>
  <c r="K49" i="73"/>
  <c r="K123" i="60"/>
  <c r="AB25" i="95"/>
  <c r="AC27" i="95"/>
  <c r="Z968" i="95"/>
  <c r="Z967" i="95" s="1"/>
  <c r="Z956" i="95" s="1"/>
  <c r="Z939" i="95"/>
  <c r="Z938" i="95" s="1"/>
  <c r="AB853" i="95"/>
  <c r="AC854" i="95"/>
  <c r="X366" i="59"/>
  <c r="X367" i="59" s="1"/>
  <c r="X368" i="59" s="1"/>
  <c r="X143" i="60"/>
  <c r="V17" i="80"/>
  <c r="AB848" i="95"/>
  <c r="AC850" i="95"/>
  <c r="V357" i="63"/>
  <c r="V359" i="63" s="1"/>
  <c r="V364" i="63" s="1"/>
  <c r="V375" i="63" s="1"/>
  <c r="G324" i="63"/>
  <c r="AB658" i="95"/>
  <c r="AB641" i="95"/>
  <c r="AB639" i="95" s="1"/>
  <c r="AB646" i="95"/>
  <c r="AB645" i="95" s="1"/>
  <c r="AB644" i="95" s="1"/>
  <c r="AB674" i="95"/>
  <c r="AB664" i="95"/>
  <c r="AC623" i="95"/>
  <c r="AB235" i="95"/>
  <c r="AC237" i="95"/>
  <c r="AA614" i="95"/>
  <c r="AB616" i="95"/>
  <c r="AA400" i="95"/>
  <c r="AB402" i="95"/>
  <c r="AA862" i="95"/>
  <c r="AB863" i="95"/>
  <c r="Z112" i="95"/>
  <c r="Z111" i="95" s="1"/>
  <c r="Z89" i="95"/>
  <c r="Z88" i="95" s="1"/>
  <c r="AB44" i="95"/>
  <c r="AB99" i="95"/>
  <c r="AB98" i="95" s="1"/>
  <c r="AB97" i="95" s="1"/>
  <c r="AB117" i="95"/>
  <c r="AB116" i="95" s="1"/>
  <c r="AB120" i="95"/>
  <c r="AB119" i="95" s="1"/>
  <c r="AC12" i="95"/>
  <c r="AC191" i="95"/>
  <c r="AD193" i="95"/>
  <c r="Z1019" i="95"/>
  <c r="AB314" i="95"/>
  <c r="AC316" i="95"/>
  <c r="AB565" i="95"/>
  <c r="AB564" i="95" s="1"/>
  <c r="AC566" i="95"/>
  <c r="AE50" i="95"/>
  <c r="AE48" i="95" s="1"/>
  <c r="AE66" i="95"/>
  <c r="AE64" i="95" s="1"/>
  <c r="AF35" i="95"/>
  <c r="AE81" i="95"/>
  <c r="AB922" i="95"/>
  <c r="AB920" i="95"/>
  <c r="AB919" i="95" s="1"/>
  <c r="AC923" i="95"/>
  <c r="AA431" i="95"/>
  <c r="AA430" i="95" s="1"/>
  <c r="AB434" i="95"/>
  <c r="AA145" i="95"/>
  <c r="AB147" i="95"/>
  <c r="AB382" i="59"/>
  <c r="AB383" i="59" s="1"/>
  <c r="AB384" i="59" s="1"/>
  <c r="AB211" i="59"/>
  <c r="AA30" i="95"/>
  <c r="AA90" i="95"/>
  <c r="AA790" i="95"/>
  <c r="AB792" i="95"/>
  <c r="AA805" i="95"/>
  <c r="AB807" i="95"/>
  <c r="AA1008" i="95"/>
  <c r="AA1007" i="95" s="1"/>
  <c r="AB1009" i="95"/>
  <c r="R375" i="63"/>
  <c r="D366" i="63"/>
  <c r="AA152" i="95"/>
  <c r="AB154" i="95"/>
  <c r="L948" i="59"/>
  <c r="L949" i="59"/>
  <c r="L947" i="59"/>
  <c r="AA584" i="95"/>
  <c r="AB586" i="95"/>
  <c r="AA328" i="95"/>
  <c r="AB330" i="95"/>
  <c r="Z419" i="95"/>
  <c r="AA149" i="24" s="1"/>
  <c r="AD261" i="59" s="1"/>
  <c r="AD316" i="59" s="1"/>
  <c r="AD830" i="95"/>
  <c r="AB478" i="95"/>
  <c r="AB477" i="95" s="1"/>
  <c r="AB494" i="95" s="1"/>
  <c r="AB493" i="95" s="1"/>
  <c r="AC480" i="95"/>
  <c r="AD138" i="95"/>
  <c r="AE140" i="95"/>
  <c r="AB273" i="59"/>
  <c r="AB314" i="59"/>
  <c r="Y114" i="60"/>
  <c r="Y115" i="60" s="1"/>
  <c r="Y19" i="60"/>
  <c r="AB340" i="59"/>
  <c r="AB215" i="59" s="1"/>
  <c r="AB27" i="60"/>
  <c r="AA305" i="95" l="1"/>
  <c r="AB310" i="95"/>
  <c r="AB309" i="95" s="1"/>
  <c r="AB307" i="95"/>
  <c r="AB306" i="95" s="1"/>
  <c r="AB280" i="95"/>
  <c r="AB274" i="95"/>
  <c r="AB273" i="95" s="1"/>
  <c r="AB272" i="95" s="1"/>
  <c r="AB267" i="95"/>
  <c r="AB266" i="95" s="1"/>
  <c r="AB265" i="95" s="1"/>
  <c r="AC248" i="95"/>
  <c r="AB262" i="95"/>
  <c r="AB260" i="95" s="1"/>
  <c r="AB259" i="95" s="1"/>
  <c r="AA915" i="95"/>
  <c r="AC18" i="95"/>
  <c r="AC32" i="95" s="1"/>
  <c r="AB61" i="95"/>
  <c r="AA742" i="95"/>
  <c r="AA399" i="95"/>
  <c r="M947" i="59"/>
  <c r="M948" i="59"/>
  <c r="M949" i="59"/>
  <c r="AC26" i="60"/>
  <c r="AC336" i="59"/>
  <c r="AC211" i="59" s="1"/>
  <c r="AC25" i="60"/>
  <c r="AB1035" i="95"/>
  <c r="AC1037" i="95"/>
  <c r="AC745" i="95"/>
  <c r="AB743" i="95"/>
  <c r="AB515" i="95"/>
  <c r="AB511" i="95" s="1"/>
  <c r="AC517" i="95"/>
  <c r="AB403" i="95"/>
  <c r="AC405" i="95"/>
  <c r="AC428" i="95"/>
  <c r="AB426" i="95"/>
  <c r="AB425" i="95" s="1"/>
  <c r="AA361" i="95"/>
  <c r="AA71" i="95"/>
  <c r="AA69" i="95" s="1"/>
  <c r="AB925" i="95"/>
  <c r="AC927" i="95"/>
  <c r="AA419" i="95"/>
  <c r="AB149" i="24" s="1"/>
  <c r="AE261" i="59" s="1"/>
  <c r="AE316" i="59" s="1"/>
  <c r="AE337" i="59" s="1"/>
  <c r="AE212" i="59" s="1"/>
  <c r="AA881" i="95"/>
  <c r="AA898" i="95" s="1"/>
  <c r="AA897" i="95" s="1"/>
  <c r="AB633" i="95"/>
  <c r="AB632" i="95" s="1"/>
  <c r="AC635" i="95"/>
  <c r="AA610" i="95"/>
  <c r="Z245" i="95"/>
  <c r="AA148" i="24" s="1"/>
  <c r="AD260" i="59" s="1"/>
  <c r="AD315" i="59" s="1"/>
  <c r="AD336" i="59" s="1"/>
  <c r="Z519" i="95"/>
  <c r="AA150" i="24" s="1"/>
  <c r="AD262" i="59" s="1"/>
  <c r="AD317" i="59" s="1"/>
  <c r="AD338" i="59" s="1"/>
  <c r="AD213" i="59" s="1"/>
  <c r="AB978" i="95"/>
  <c r="AB460" i="95"/>
  <c r="AB459" i="95" s="1"/>
  <c r="AC462" i="95"/>
  <c r="AA313" i="95"/>
  <c r="AA358" i="95" s="1"/>
  <c r="AA357" i="95" s="1"/>
  <c r="AA695" i="95"/>
  <c r="AB696" i="95"/>
  <c r="AB611" i="95"/>
  <c r="AC613" i="95"/>
  <c r="M956" i="59"/>
  <c r="N953" i="59" s="1"/>
  <c r="N955" i="59" s="1"/>
  <c r="N943" i="59" s="1"/>
  <c r="N945" i="59" s="1"/>
  <c r="AB916" i="95"/>
  <c r="AC918" i="95"/>
  <c r="AC1015" i="95"/>
  <c r="AD1017" i="95"/>
  <c r="AC187" i="95"/>
  <c r="AB185" i="95"/>
  <c r="AA29" i="95"/>
  <c r="Z9" i="95"/>
  <c r="AA222" i="95"/>
  <c r="AB952" i="95"/>
  <c r="AC955" i="95"/>
  <c r="AC388" i="95"/>
  <c r="AB386" i="95"/>
  <c r="AB238" i="95"/>
  <c r="AC240" i="95"/>
  <c r="AB836" i="95"/>
  <c r="AB835" i="95" s="1"/>
  <c r="AC838" i="95"/>
  <c r="Z692" i="95"/>
  <c r="Z691" i="95" s="1"/>
  <c r="Z618" i="95" s="1"/>
  <c r="AA151" i="24" s="1"/>
  <c r="AD263" i="59" s="1"/>
  <c r="AD318" i="59" s="1"/>
  <c r="AD339" i="59" s="1"/>
  <c r="AD214" i="59" s="1"/>
  <c r="AA693" i="95"/>
  <c r="AD869" i="95"/>
  <c r="AC868" i="95"/>
  <c r="AD981" i="95"/>
  <c r="AC979" i="95"/>
  <c r="AC337" i="95"/>
  <c r="AB335" i="95"/>
  <c r="AB889" i="95"/>
  <c r="AC891" i="95"/>
  <c r="AA1019" i="95"/>
  <c r="AB380" i="95"/>
  <c r="AC382" i="95"/>
  <c r="AA852" i="95"/>
  <c r="AC667" i="95"/>
  <c r="AB666" i="95"/>
  <c r="AB663" i="95" s="1"/>
  <c r="AB662" i="95" s="1"/>
  <c r="Y7" i="95"/>
  <c r="AB862" i="95"/>
  <c r="AC863" i="95"/>
  <c r="AB603" i="95"/>
  <c r="AC605" i="95"/>
  <c r="AB790" i="95"/>
  <c r="AC792" i="95"/>
  <c r="AC28" i="60"/>
  <c r="AC341" i="59"/>
  <c r="AB777" i="95"/>
  <c r="AC779" i="95"/>
  <c r="AE964" i="95"/>
  <c r="AE962" i="95" s="1"/>
  <c r="AE995" i="95"/>
  <c r="AF949" i="95"/>
  <c r="AE985" i="95"/>
  <c r="AE983" i="95" s="1"/>
  <c r="AC223" i="95"/>
  <c r="AD225" i="95"/>
  <c r="AB159" i="95"/>
  <c r="AC161" i="95"/>
  <c r="AC415" i="95"/>
  <c r="AD417" i="95"/>
  <c r="AE554" i="95"/>
  <c r="AB526" i="95"/>
  <c r="AB525" i="95" s="1"/>
  <c r="AC528" i="95"/>
  <c r="AF813" i="95"/>
  <c r="AF812" i="95" s="1"/>
  <c r="AE812" i="95"/>
  <c r="AB746" i="95"/>
  <c r="AC748" i="95"/>
  <c r="AC465" i="95"/>
  <c r="AC464" i="95" s="1"/>
  <c r="AD470" i="95"/>
  <c r="AC504" i="95"/>
  <c r="AC497" i="95" s="1"/>
  <c r="AD506" i="95"/>
  <c r="AA123" i="95"/>
  <c r="AA175" i="95" s="1"/>
  <c r="AA174" i="95" s="1"/>
  <c r="R42" i="60"/>
  <c r="R382" i="63"/>
  <c r="R383" i="63" s="1"/>
  <c r="R376" i="63"/>
  <c r="AB328" i="95"/>
  <c r="AC330" i="95"/>
  <c r="AB400" i="95"/>
  <c r="AC402" i="95"/>
  <c r="X172" i="60"/>
  <c r="Z19" i="60"/>
  <c r="Z114" i="60"/>
  <c r="Z115" i="60" s="1"/>
  <c r="AB215" i="95"/>
  <c r="AC217" i="95"/>
  <c r="AB874" i="95"/>
  <c r="AC875" i="95"/>
  <c r="AD989" i="95"/>
  <c r="AC987" i="95"/>
  <c r="AB908" i="95"/>
  <c r="AC910" i="95"/>
  <c r="AA776" i="95"/>
  <c r="AE126" i="95"/>
  <c r="AD124" i="95"/>
  <c r="AC871" i="95"/>
  <c r="AD873" i="95"/>
  <c r="AB820" i="95"/>
  <c r="AB811" i="95" s="1"/>
  <c r="AC821" i="95"/>
  <c r="AB877" i="95"/>
  <c r="AC879" i="95"/>
  <c r="AE785" i="95"/>
  <c r="AF787" i="95"/>
  <c r="AF785" i="95" s="1"/>
  <c r="AB472" i="95"/>
  <c r="AC474" i="95"/>
  <c r="AC342" i="95"/>
  <c r="AD344" i="95"/>
  <c r="AD53" i="95"/>
  <c r="AE56" i="95"/>
  <c r="AB572" i="95"/>
  <c r="AC574" i="95"/>
  <c r="AB577" i="95"/>
  <c r="AC579" i="95"/>
  <c r="S252" i="63"/>
  <c r="S253" i="63" s="1"/>
  <c r="S258" i="63" s="1"/>
  <c r="S56" i="60"/>
  <c r="AB882" i="95"/>
  <c r="AC884" i="95"/>
  <c r="AB38" i="95"/>
  <c r="AC40" i="95"/>
  <c r="AC478" i="95"/>
  <c r="AC477" i="95" s="1"/>
  <c r="AC494" i="95" s="1"/>
  <c r="AC493" i="95" s="1"/>
  <c r="AD480" i="95"/>
  <c r="AB1008" i="95"/>
  <c r="AB1007" i="95" s="1"/>
  <c r="AC1009" i="95"/>
  <c r="AC565" i="95"/>
  <c r="AC564" i="95" s="1"/>
  <c r="AD566" i="95"/>
  <c r="AE193" i="95"/>
  <c r="AD191" i="95"/>
  <c r="AC641" i="95"/>
  <c r="AC639" i="95" s="1"/>
  <c r="AC674" i="95"/>
  <c r="AC646" i="95"/>
  <c r="AC645" i="95" s="1"/>
  <c r="AC644" i="95" s="1"/>
  <c r="AC658" i="95"/>
  <c r="AC664" i="95"/>
  <c r="AD623" i="95"/>
  <c r="V382" i="63"/>
  <c r="V383" i="63" s="1"/>
  <c r="V1110" i="59" s="1"/>
  <c r="V376" i="63"/>
  <c r="V1108" i="59" s="1"/>
  <c r="AD854" i="95"/>
  <c r="AC853" i="95"/>
  <c r="K50" i="73"/>
  <c r="AB34" i="95"/>
  <c r="AC37" i="95"/>
  <c r="Y366" i="59"/>
  <c r="Y367" i="59" s="1"/>
  <c r="Y368" i="59" s="1"/>
  <c r="Y143" i="60"/>
  <c r="W17" i="80"/>
  <c r="AE830" i="95"/>
  <c r="AB584" i="95"/>
  <c r="AC586" i="95"/>
  <c r="AB152" i="95"/>
  <c r="AC154" i="95"/>
  <c r="AB805" i="95"/>
  <c r="AC807" i="95"/>
  <c r="AA112" i="95"/>
  <c r="AA111" i="95" s="1"/>
  <c r="AA89" i="95"/>
  <c r="AA88" i="95" s="1"/>
  <c r="AC314" i="95"/>
  <c r="AD316" i="95"/>
  <c r="AC120" i="95"/>
  <c r="AC119" i="95" s="1"/>
  <c r="AC117" i="95"/>
  <c r="AC116" i="95" s="1"/>
  <c r="AC99" i="95"/>
  <c r="AC98" i="95" s="1"/>
  <c r="AC97" i="95" s="1"/>
  <c r="AC44" i="95"/>
  <c r="AD12" i="95"/>
  <c r="AB614" i="95"/>
  <c r="AC616" i="95"/>
  <c r="AB688" i="95"/>
  <c r="AB687" i="95" s="1"/>
  <c r="AB673" i="95"/>
  <c r="AB672" i="95" s="1"/>
  <c r="K33" i="68"/>
  <c r="Z377" i="59"/>
  <c r="Z389" i="59" s="1"/>
  <c r="Z182" i="60"/>
  <c r="AC1029" i="95"/>
  <c r="AD1031" i="95"/>
  <c r="AC409" i="95"/>
  <c r="AD411" i="95"/>
  <c r="AD1023" i="95"/>
  <c r="AE1025" i="95"/>
  <c r="AB1408" i="95"/>
  <c r="AB1405" i="95" s="1"/>
  <c r="AB1404" i="95" s="1"/>
  <c r="AB1380" i="95" s="1"/>
  <c r="AC155" i="24" s="1"/>
  <c r="AF267" i="59" s="1"/>
  <c r="AF322" i="59" s="1"/>
  <c r="AC70" i="95"/>
  <c r="AB996" i="95"/>
  <c r="AB993" i="95" s="1"/>
  <c r="AB992" i="95" s="1"/>
  <c r="AB282" i="95"/>
  <c r="AB279" i="95" s="1"/>
  <c r="AB278" i="95" s="1"/>
  <c r="AB74" i="95"/>
  <c r="AB453" i="95"/>
  <c r="AB450" i="95" s="1"/>
  <c r="AB449" i="95" s="1"/>
  <c r="AB553" i="95"/>
  <c r="AB550" i="95" s="1"/>
  <c r="AB549" i="95" s="1"/>
  <c r="AB829" i="95"/>
  <c r="AB826" i="95" s="1"/>
  <c r="AB825" i="95" s="1"/>
  <c r="AA576" i="95"/>
  <c r="AA593" i="95" s="1"/>
  <c r="AA592" i="95" s="1"/>
  <c r="AB597" i="95"/>
  <c r="AC599" i="95"/>
  <c r="AB859" i="95"/>
  <c r="AC860" i="95"/>
  <c r="AE45" i="95"/>
  <c r="AE73" i="95"/>
  <c r="AE62" i="95"/>
  <c r="AF31" i="95"/>
  <c r="AB902" i="95"/>
  <c r="AC904" i="95"/>
  <c r="AB944" i="95"/>
  <c r="AC947" i="95"/>
  <c r="AA117" i="60"/>
  <c r="AA48" i="73"/>
  <c r="Y5" i="80"/>
  <c r="AC701" i="95"/>
  <c r="AD703" i="95"/>
  <c r="AD485" i="95"/>
  <c r="AE487" i="95"/>
  <c r="K64" i="68"/>
  <c r="AD652" i="95"/>
  <c r="AD650" i="95" s="1"/>
  <c r="AD665" i="95"/>
  <c r="AD647" i="95"/>
  <c r="AD659" i="95"/>
  <c r="AD657" i="95" s="1"/>
  <c r="AD656" i="95" s="1"/>
  <c r="AE640" i="95"/>
  <c r="AB179" i="95"/>
  <c r="AC181" i="95"/>
  <c r="AC24" i="95"/>
  <c r="AB22" i="95"/>
  <c r="AB21" i="95" s="1"/>
  <c r="AB716" i="95"/>
  <c r="AB708" i="95" s="1"/>
  <c r="AB725" i="95" s="1"/>
  <c r="AB724" i="95" s="1"/>
  <c r="AC718" i="95"/>
  <c r="AB295" i="95"/>
  <c r="AB294" i="95" s="1"/>
  <c r="AB293" i="95" s="1"/>
  <c r="AB302" i="95"/>
  <c r="AB301" i="95" s="1"/>
  <c r="AC290" i="95"/>
  <c r="AB704" i="95"/>
  <c r="AC706" i="95"/>
  <c r="K69" i="60"/>
  <c r="AB763" i="95"/>
  <c r="AC765" i="95"/>
  <c r="AF75" i="95"/>
  <c r="AE343" i="59"/>
  <c r="AE217" i="59" s="1"/>
  <c r="AE30" i="60"/>
  <c r="AC709" i="95"/>
  <c r="AD711" i="95"/>
  <c r="AB972" i="95"/>
  <c r="AC974" i="95"/>
  <c r="AA596" i="95"/>
  <c r="AA901" i="95"/>
  <c r="AA943" i="95"/>
  <c r="AA353" i="59"/>
  <c r="AA356" i="59" s="1"/>
  <c r="AA144" i="60" s="1"/>
  <c r="AA27" i="68" s="1"/>
  <c r="AA374" i="59"/>
  <c r="AA375" i="59" s="1"/>
  <c r="AA376" i="59" s="1"/>
  <c r="AA210" i="59"/>
  <c r="AA223" i="59" s="1"/>
  <c r="AA231" i="59" s="1"/>
  <c r="AA233" i="59" s="1"/>
  <c r="AA195" i="59" s="1"/>
  <c r="AA198" i="59" s="1"/>
  <c r="AA18" i="60" s="1"/>
  <c r="AB940" i="95"/>
  <c r="AC934" i="95"/>
  <c r="K55" i="68"/>
  <c r="AB145" i="95"/>
  <c r="AC147" i="95"/>
  <c r="Z929" i="95"/>
  <c r="AA153" i="24" s="1"/>
  <c r="AD265" i="59" s="1"/>
  <c r="AD320" i="59" s="1"/>
  <c r="AB1026" i="95"/>
  <c r="AC1027" i="95"/>
  <c r="AB957" i="95"/>
  <c r="AC959" i="95"/>
  <c r="AC255" i="95"/>
  <c r="AC254" i="95" s="1"/>
  <c r="AD257" i="95"/>
  <c r="AB60" i="95"/>
  <c r="AB59" i="95" s="1"/>
  <c r="AB30" i="95"/>
  <c r="AB90" i="95"/>
  <c r="K78" i="73"/>
  <c r="K90" i="73" s="1"/>
  <c r="AC226" i="95"/>
  <c r="AD228" i="95"/>
  <c r="AB531" i="95"/>
  <c r="AB530" i="95" s="1"/>
  <c r="AC534" i="95"/>
  <c r="AA178" i="95"/>
  <c r="AD275" i="95"/>
  <c r="AD268" i="95"/>
  <c r="AD281" i="95"/>
  <c r="AE261" i="95"/>
  <c r="AB232" i="95"/>
  <c r="AC234" i="95"/>
  <c r="AB437" i="95"/>
  <c r="AB436" i="95" s="1"/>
  <c r="AC440" i="95"/>
  <c r="AB773" i="95"/>
  <c r="AC758" i="95"/>
  <c r="AB82" i="95"/>
  <c r="AB79" i="95" s="1"/>
  <c r="AC83" i="95"/>
  <c r="AB865" i="95"/>
  <c r="AC866" i="95"/>
  <c r="AC362" i="95"/>
  <c r="AD364" i="95"/>
  <c r="AE209" i="95"/>
  <c r="AF211" i="95"/>
  <c r="AF209" i="95" s="1"/>
  <c r="AC1033" i="95"/>
  <c r="AB1032" i="95"/>
  <c r="M252" i="63"/>
  <c r="M253" i="63" s="1"/>
  <c r="M56" i="60"/>
  <c r="AB841" i="95"/>
  <c r="AB840" i="95" s="1"/>
  <c r="AC842" i="95"/>
  <c r="AA968" i="95"/>
  <c r="AA967" i="95" s="1"/>
  <c r="AA956" i="95" s="1"/>
  <c r="AA939" i="95"/>
  <c r="AA938" i="95" s="1"/>
  <c r="AB183" i="60"/>
  <c r="AB385" i="59"/>
  <c r="AB390" i="59" s="1"/>
  <c r="AF81" i="95"/>
  <c r="AF66" i="95"/>
  <c r="AF64" i="95" s="1"/>
  <c r="AF50" i="95"/>
  <c r="AF48" i="95" s="1"/>
  <c r="AC848" i="95"/>
  <c r="AD850" i="95"/>
  <c r="AC636" i="95"/>
  <c r="AD638" i="95"/>
  <c r="AB856" i="95"/>
  <c r="AC857" i="95"/>
  <c r="AB332" i="59"/>
  <c r="AB335" i="59"/>
  <c r="AB22" i="60"/>
  <c r="AB40" i="60" s="1"/>
  <c r="AD337" i="59"/>
  <c r="AD212" i="59" s="1"/>
  <c r="AD24" i="60"/>
  <c r="L951" i="59"/>
  <c r="AB431" i="95"/>
  <c r="AB430" i="95" s="1"/>
  <c r="AC434" i="95"/>
  <c r="AB115" i="95"/>
  <c r="AC235" i="95"/>
  <c r="AD237" i="95"/>
  <c r="AC25" i="95"/>
  <c r="AD27" i="95"/>
  <c r="AB392" i="95"/>
  <c r="AC394" i="95"/>
  <c r="AB781" i="95"/>
  <c r="AC784" i="95"/>
  <c r="AF997" i="95"/>
  <c r="AC349" i="95"/>
  <c r="AD351" i="95"/>
  <c r="G338" i="63"/>
  <c r="AD203" i="95"/>
  <c r="AE205" i="95"/>
  <c r="AB229" i="95"/>
  <c r="AC231" i="95"/>
  <c r="AF546" i="95"/>
  <c r="AF544" i="95" s="1"/>
  <c r="AF543" i="95" s="1"/>
  <c r="AH543" i="95" s="1"/>
  <c r="AF552" i="95"/>
  <c r="AF539" i="95"/>
  <c r="AF537" i="95" s="1"/>
  <c r="AF536" i="95" s="1"/>
  <c r="AH536" i="95" s="1"/>
  <c r="AC166" i="95"/>
  <c r="AD168" i="95"/>
  <c r="AE729" i="95"/>
  <c r="AF731" i="95"/>
  <c r="AF729" i="95" s="1"/>
  <c r="AB321" i="95"/>
  <c r="AC323" i="95"/>
  <c r="AB289" i="95"/>
  <c r="AB288" i="95" s="1"/>
  <c r="AC291" i="95"/>
  <c r="AA772" i="95"/>
  <c r="AA762" i="95" s="1"/>
  <c r="AA801" i="95"/>
  <c r="AA800" i="95" s="1"/>
  <c r="AA789" i="95" s="1"/>
  <c r="Z750" i="95"/>
  <c r="AA152" i="24" s="1"/>
  <c r="AD264" i="59" s="1"/>
  <c r="AD319" i="59" s="1"/>
  <c r="AF376" i="95"/>
  <c r="AF374" i="95" s="1"/>
  <c r="AE374" i="95"/>
  <c r="M120" i="60"/>
  <c r="AC680" i="95"/>
  <c r="AC679" i="95" s="1"/>
  <c r="AD681" i="95"/>
  <c r="AC769" i="95"/>
  <c r="AD771" i="95"/>
  <c r="AB698" i="95"/>
  <c r="AC699" i="95"/>
  <c r="AC273" i="59"/>
  <c r="AC314" i="59"/>
  <c r="AE138" i="95"/>
  <c r="AF140" i="95"/>
  <c r="AF138" i="95" s="1"/>
  <c r="AB241" i="95"/>
  <c r="AC243" i="95"/>
  <c r="K126" i="60"/>
  <c r="H259" i="63"/>
  <c r="AD368" i="95"/>
  <c r="AE370" i="95"/>
  <c r="AB560" i="95"/>
  <c r="AB559" i="95" s="1"/>
  <c r="AC562" i="95"/>
  <c r="AE454" i="95"/>
  <c r="AF283" i="95"/>
  <c r="AB444" i="95"/>
  <c r="AB443" i="95" s="1"/>
  <c r="AC447" i="95"/>
  <c r="W357" i="63"/>
  <c r="W359" i="63" s="1"/>
  <c r="W364" i="63" s="1"/>
  <c r="W375" i="63" s="1"/>
  <c r="AC1003" i="95"/>
  <c r="AC1002" i="95" s="1"/>
  <c r="AD1005" i="95"/>
  <c r="AC922" i="95"/>
  <c r="AC920" i="95"/>
  <c r="AC919" i="95" s="1"/>
  <c r="AD923" i="95"/>
  <c r="AB72" i="95"/>
  <c r="AB43" i="95"/>
  <c r="AB42" i="95" s="1"/>
  <c r="G329" i="63"/>
  <c r="X26" i="68"/>
  <c r="X942" i="59"/>
  <c r="X147" i="60"/>
  <c r="AB197" i="95"/>
  <c r="AC199" i="95"/>
  <c r="AB1020" i="95"/>
  <c r="AC1021" i="95"/>
  <c r="AB766" i="95"/>
  <c r="AC768" i="95"/>
  <c r="W29" i="68"/>
  <c r="U12" i="80"/>
  <c r="W118" i="60"/>
  <c r="W120" i="60" s="1"/>
  <c r="W44" i="60"/>
  <c r="AC818" i="95"/>
  <c r="AC816" i="95" s="1"/>
  <c r="AC828" i="95"/>
  <c r="AC797" i="95"/>
  <c r="AC795" i="95" s="1"/>
  <c r="AD782" i="95"/>
  <c r="AB735" i="95"/>
  <c r="AB728" i="95" s="1"/>
  <c r="AC737" i="95"/>
  <c r="AC512" i="95"/>
  <c r="AD514" i="95"/>
  <c r="AC406" i="95"/>
  <c r="AD408" i="95"/>
  <c r="AB948" i="95"/>
  <c r="AC951" i="95"/>
  <c r="W954" i="59"/>
  <c r="X369" i="59"/>
  <c r="X388" i="59" s="1"/>
  <c r="X391" i="59" s="1"/>
  <c r="X42" i="60" s="1"/>
  <c r="AA1061" i="95"/>
  <c r="AA1060" i="95" s="1"/>
  <c r="AA1059" i="95" s="1"/>
  <c r="AA936" i="95"/>
  <c r="AA1040" i="95"/>
  <c r="AA1039" i="95" s="1"/>
  <c r="AA1056" i="95" s="1"/>
  <c r="AA1055" i="95" s="1"/>
  <c r="AA1075" i="95"/>
  <c r="AA1074" i="95" s="1"/>
  <c r="AA1073" i="95" s="1"/>
  <c r="AB1041" i="95"/>
  <c r="AB412" i="95"/>
  <c r="AC414" i="95"/>
  <c r="AB131" i="95"/>
  <c r="AC133" i="95"/>
  <c r="AB628" i="95"/>
  <c r="AB627" i="95" s="1"/>
  <c r="AC630" i="95"/>
  <c r="AC340" i="59"/>
  <c r="AC215" i="59" s="1"/>
  <c r="AC27" i="60"/>
  <c r="AB305" i="95" l="1"/>
  <c r="AC310" i="95"/>
  <c r="AC309" i="95" s="1"/>
  <c r="AC307" i="95"/>
  <c r="AC306" i="95" s="1"/>
  <c r="AC267" i="95"/>
  <c r="AC266" i="95" s="1"/>
  <c r="AC265" i="95" s="1"/>
  <c r="AC280" i="95"/>
  <c r="AD248" i="95"/>
  <c r="AC262" i="95"/>
  <c r="AC260" i="95" s="1"/>
  <c r="AC259" i="95" s="1"/>
  <c r="AC274" i="95"/>
  <c r="AC273" i="95" s="1"/>
  <c r="AC272" i="95" s="1"/>
  <c r="AD18" i="95"/>
  <c r="AD32" i="95" s="1"/>
  <c r="AC61" i="95"/>
  <c r="AC60" i="95" s="1"/>
  <c r="AC59" i="95" s="1"/>
  <c r="AC382" i="59"/>
  <c r="AC383" i="59" s="1"/>
  <c r="AC384" i="59" s="1"/>
  <c r="AC385" i="59" s="1"/>
  <c r="AC390" i="59" s="1"/>
  <c r="AB915" i="95"/>
  <c r="AB610" i="95"/>
  <c r="AD23" i="60"/>
  <c r="M951" i="59"/>
  <c r="M985" i="59" s="1"/>
  <c r="M60" i="60" s="1"/>
  <c r="M62" i="60" s="1"/>
  <c r="M69" i="60" s="1"/>
  <c r="AB361" i="95"/>
  <c r="AB881" i="95"/>
  <c r="AB898" i="95" s="1"/>
  <c r="AB897" i="95" s="1"/>
  <c r="AB742" i="95"/>
  <c r="AB29" i="95"/>
  <c r="AD1037" i="95"/>
  <c r="AC1035" i="95"/>
  <c r="AD428" i="95"/>
  <c r="AC426" i="95"/>
  <c r="AC425" i="95" s="1"/>
  <c r="AC403" i="95"/>
  <c r="AD405" i="95"/>
  <c r="AC515" i="95"/>
  <c r="AC511" i="95" s="1"/>
  <c r="AD517" i="95"/>
  <c r="AC743" i="95"/>
  <c r="AD745" i="95"/>
  <c r="AD25" i="60"/>
  <c r="AE24" i="60"/>
  <c r="AB596" i="95"/>
  <c r="AD927" i="95"/>
  <c r="AC925" i="95"/>
  <c r="AC633" i="95"/>
  <c r="AC632" i="95" s="1"/>
  <c r="AD635" i="95"/>
  <c r="AB313" i="95"/>
  <c r="AB358" i="95" s="1"/>
  <c r="AB357" i="95" s="1"/>
  <c r="AB852" i="95"/>
  <c r="AA245" i="95"/>
  <c r="AB148" i="24" s="1"/>
  <c r="AE260" i="59" s="1"/>
  <c r="AE315" i="59" s="1"/>
  <c r="AE336" i="59" s="1"/>
  <c r="AC978" i="95"/>
  <c r="AD462" i="95"/>
  <c r="AC460" i="95"/>
  <c r="AC459" i="95" s="1"/>
  <c r="AC916" i="95"/>
  <c r="AD918" i="95"/>
  <c r="AD26" i="60"/>
  <c r="AD613" i="95"/>
  <c r="AC611" i="95"/>
  <c r="AB695" i="95"/>
  <c r="AC696" i="95"/>
  <c r="AB901" i="95"/>
  <c r="AB222" i="95"/>
  <c r="AC380" i="95"/>
  <c r="AD382" i="95"/>
  <c r="AC335" i="95"/>
  <c r="AD337" i="95"/>
  <c r="AD838" i="95"/>
  <c r="AC836" i="95"/>
  <c r="AC835" i="95" s="1"/>
  <c r="Z7" i="95"/>
  <c r="AB1019" i="95"/>
  <c r="AE981" i="95"/>
  <c r="AD979" i="95"/>
  <c r="AC238" i="95"/>
  <c r="AD240" i="95"/>
  <c r="AA9" i="95"/>
  <c r="AB147" i="24" s="1"/>
  <c r="AE259" i="59" s="1"/>
  <c r="AA147" i="24"/>
  <c r="AD259" i="59" s="1"/>
  <c r="AD273" i="59" s="1"/>
  <c r="AC185" i="95"/>
  <c r="AD187" i="95"/>
  <c r="AC889" i="95"/>
  <c r="AD891" i="95"/>
  <c r="AE869" i="95"/>
  <c r="AD868" i="95"/>
  <c r="AD388" i="95"/>
  <c r="AC386" i="95"/>
  <c r="AE1017" i="95"/>
  <c r="AD1015" i="95"/>
  <c r="AB123" i="95"/>
  <c r="AB175" i="95" s="1"/>
  <c r="AB174" i="95" s="1"/>
  <c r="AC115" i="95"/>
  <c r="AD667" i="95"/>
  <c r="AC666" i="95"/>
  <c r="AC663" i="95" s="1"/>
  <c r="AC662" i="95" s="1"/>
  <c r="AB693" i="95"/>
  <c r="AA692" i="95"/>
  <c r="AA691" i="95" s="1"/>
  <c r="AA618" i="95" s="1"/>
  <c r="AB151" i="24" s="1"/>
  <c r="AE263" i="59" s="1"/>
  <c r="AE318" i="59" s="1"/>
  <c r="AE339" i="59" s="1"/>
  <c r="AE214" i="59" s="1"/>
  <c r="AC952" i="95"/>
  <c r="AD955" i="95"/>
  <c r="AA750" i="95"/>
  <c r="AB152" i="24" s="1"/>
  <c r="AE264" i="59" s="1"/>
  <c r="AE319" i="59" s="1"/>
  <c r="AD1003" i="95"/>
  <c r="AD1002" i="95" s="1"/>
  <c r="AE1005" i="95"/>
  <c r="AC698" i="95"/>
  <c r="AD699" i="95"/>
  <c r="AE168" i="95"/>
  <c r="AD166" i="95"/>
  <c r="AF205" i="95"/>
  <c r="AF203" i="95" s="1"/>
  <c r="AE203" i="95"/>
  <c r="AC781" i="95"/>
  <c r="AD784" i="95"/>
  <c r="AD25" i="95"/>
  <c r="AE27" i="95"/>
  <c r="AB374" i="59"/>
  <c r="AB375" i="59" s="1"/>
  <c r="AB376" i="59" s="1"/>
  <c r="AB353" i="59"/>
  <c r="AB356" i="59" s="1"/>
  <c r="AB144" i="60" s="1"/>
  <c r="AB27" i="68" s="1"/>
  <c r="AB210" i="59"/>
  <c r="AB223" i="59" s="1"/>
  <c r="AB231" i="59" s="1"/>
  <c r="AB233" i="59" s="1"/>
  <c r="AB195" i="59" s="1"/>
  <c r="AB198" i="59" s="1"/>
  <c r="AB18" i="60" s="1"/>
  <c r="AD362" i="95"/>
  <c r="AE364" i="95"/>
  <c r="AB772" i="95"/>
  <c r="AB762" i="95" s="1"/>
  <c r="AB801" i="95"/>
  <c r="AB800" i="95" s="1"/>
  <c r="AB789" i="95" s="1"/>
  <c r="AC531" i="95"/>
  <c r="AC530" i="95" s="1"/>
  <c r="AD534" i="95"/>
  <c r="AB112" i="95"/>
  <c r="AB111" i="95" s="1"/>
  <c r="AB89" i="95"/>
  <c r="AB88" i="95" s="1"/>
  <c r="AC957" i="95"/>
  <c r="AD959" i="95"/>
  <c r="AA377" i="59"/>
  <c r="AA389" i="59" s="1"/>
  <c r="AA182" i="60"/>
  <c r="AD709" i="95"/>
  <c r="AE711" i="95"/>
  <c r="AD765" i="95"/>
  <c r="AC763" i="95"/>
  <c r="AC295" i="95"/>
  <c r="AC294" i="95" s="1"/>
  <c r="AC293" i="95" s="1"/>
  <c r="AC302" i="95"/>
  <c r="AC301" i="95" s="1"/>
  <c r="AD290" i="95"/>
  <c r="AB178" i="95"/>
  <c r="AD701" i="95"/>
  <c r="AE703" i="95"/>
  <c r="AC1408" i="95"/>
  <c r="AC1405" i="95" s="1"/>
  <c r="AC1404" i="95" s="1"/>
  <c r="AC1380" i="95" s="1"/>
  <c r="AD155" i="24" s="1"/>
  <c r="AG267" i="59" s="1"/>
  <c r="AG322" i="59" s="1"/>
  <c r="AD70" i="95"/>
  <c r="AC996" i="95"/>
  <c r="AC993" i="95" s="1"/>
  <c r="AC992" i="95" s="1"/>
  <c r="AC282" i="95"/>
  <c r="AC279" i="95" s="1"/>
  <c r="AC278" i="95" s="1"/>
  <c r="AC74" i="95"/>
  <c r="AC453" i="95"/>
  <c r="AC450" i="95" s="1"/>
  <c r="AC449" i="95" s="1"/>
  <c r="AC829" i="95"/>
  <c r="AC826" i="95" s="1"/>
  <c r="AC825" i="95" s="1"/>
  <c r="AC553" i="95"/>
  <c r="AC550" i="95" s="1"/>
  <c r="AC549" i="95" s="1"/>
  <c r="AC805" i="95"/>
  <c r="AD807" i="95"/>
  <c r="AD641" i="95"/>
  <c r="AD639" i="95" s="1"/>
  <c r="AD658" i="95"/>
  <c r="AD646" i="95"/>
  <c r="AD645" i="95" s="1"/>
  <c r="AD644" i="95" s="1"/>
  <c r="AD664" i="95"/>
  <c r="AD674" i="95"/>
  <c r="AE623" i="95"/>
  <c r="AD565" i="95"/>
  <c r="AD564" i="95" s="1"/>
  <c r="AE566" i="95"/>
  <c r="AE53" i="95"/>
  <c r="AF56" i="95"/>
  <c r="AF53" i="95" s="1"/>
  <c r="AC215" i="95"/>
  <c r="AD217" i="95"/>
  <c r="AC400" i="95"/>
  <c r="AD402" i="95"/>
  <c r="AF554" i="95"/>
  <c r="AD863" i="95"/>
  <c r="AC862" i="95"/>
  <c r="AE647" i="95"/>
  <c r="AE665" i="95"/>
  <c r="AE659" i="95"/>
  <c r="AE657" i="95" s="1"/>
  <c r="AE656" i="95" s="1"/>
  <c r="AE652" i="95"/>
  <c r="AE650" i="95" s="1"/>
  <c r="AF640" i="95"/>
  <c r="AF45" i="95"/>
  <c r="AF62" i="95"/>
  <c r="AF73" i="95"/>
  <c r="AF30" i="60"/>
  <c r="AF343" i="59"/>
  <c r="AF217" i="59" s="1"/>
  <c r="AE1031" i="95"/>
  <c r="AD1029" i="95"/>
  <c r="Y26" i="68"/>
  <c r="Y942" i="59"/>
  <c r="Y147" i="60"/>
  <c r="AD853" i="95"/>
  <c r="AE854" i="95"/>
  <c r="AA519" i="95"/>
  <c r="AB150" i="24" s="1"/>
  <c r="AE262" i="59" s="1"/>
  <c r="AE317" i="59" s="1"/>
  <c r="AF126" i="95"/>
  <c r="AF124" i="95" s="1"/>
  <c r="AE124" i="95"/>
  <c r="AB399" i="95"/>
  <c r="AC746" i="95"/>
  <c r="AD748" i="95"/>
  <c r="AF995" i="95"/>
  <c r="AF985" i="95"/>
  <c r="AF983" i="95" s="1"/>
  <c r="AF964" i="95"/>
  <c r="AF962" i="95" s="1"/>
  <c r="AC1020" i="95"/>
  <c r="AD1021" i="95"/>
  <c r="AC241" i="95"/>
  <c r="AD243" i="95"/>
  <c r="AD434" i="95"/>
  <c r="AC431" i="95"/>
  <c r="AC430" i="95" s="1"/>
  <c r="AB936" i="95"/>
  <c r="AB1040" i="95"/>
  <c r="AB1039" i="95" s="1"/>
  <c r="AB1056" i="95" s="1"/>
  <c r="AB1055" i="95" s="1"/>
  <c r="AB1061" i="95"/>
  <c r="AB1060" i="95" s="1"/>
  <c r="AB1059" i="95" s="1"/>
  <c r="AB1075" i="95"/>
  <c r="AB1074" i="95" s="1"/>
  <c r="AB1073" i="95" s="1"/>
  <c r="AC1041" i="95"/>
  <c r="AD828" i="95"/>
  <c r="AD797" i="95"/>
  <c r="AD795" i="95" s="1"/>
  <c r="AD818" i="95"/>
  <c r="AD816" i="95" s="1"/>
  <c r="AE782" i="95"/>
  <c r="AC197" i="95"/>
  <c r="AD199" i="95"/>
  <c r="AF454" i="95"/>
  <c r="AC289" i="95"/>
  <c r="AC288" i="95" s="1"/>
  <c r="AD291" i="95"/>
  <c r="G340" i="63"/>
  <c r="AB419" i="95"/>
  <c r="AC149" i="24" s="1"/>
  <c r="AF261" i="59" s="1"/>
  <c r="AF316" i="59" s="1"/>
  <c r="AC856" i="95"/>
  <c r="AD857" i="95"/>
  <c r="M258" i="63"/>
  <c r="AC437" i="95"/>
  <c r="AC436" i="95" s="1"/>
  <c r="AD440" i="95"/>
  <c r="AC1026" i="95"/>
  <c r="AD1027" i="95"/>
  <c r="K74" i="68"/>
  <c r="AE1023" i="95"/>
  <c r="AF1025" i="95"/>
  <c r="AF1023" i="95" s="1"/>
  <c r="AC152" i="95"/>
  <c r="AD154" i="95"/>
  <c r="AC877" i="95"/>
  <c r="AD879" i="95"/>
  <c r="AD987" i="95"/>
  <c r="AE989" i="95"/>
  <c r="AC328" i="95"/>
  <c r="AD330" i="95"/>
  <c r="R29" i="68"/>
  <c r="P12" i="80"/>
  <c r="R118" i="60"/>
  <c r="R44" i="60"/>
  <c r="AE417" i="95"/>
  <c r="AD415" i="95"/>
  <c r="X118" i="60"/>
  <c r="X120" i="60" s="1"/>
  <c r="X29" i="68"/>
  <c r="V12" i="80"/>
  <c r="X44" i="60"/>
  <c r="AC412" i="95"/>
  <c r="AD414" i="95"/>
  <c r="AC735" i="95"/>
  <c r="AC728" i="95" s="1"/>
  <c r="AD737" i="95"/>
  <c r="AC948" i="95"/>
  <c r="AD951" i="95"/>
  <c r="H269" i="63"/>
  <c r="H260" i="63"/>
  <c r="AA929" i="95"/>
  <c r="AB153" i="24" s="1"/>
  <c r="AE265" i="59" s="1"/>
  <c r="AE320" i="59" s="1"/>
  <c r="AD866" i="95"/>
  <c r="AC865" i="95"/>
  <c r="AD226" i="95"/>
  <c r="AE228" i="95"/>
  <c r="K320" i="63"/>
  <c r="AC716" i="95"/>
  <c r="AC708" i="95" s="1"/>
  <c r="AC725" i="95" s="1"/>
  <c r="AC724" i="95" s="1"/>
  <c r="AD718" i="95"/>
  <c r="AC614" i="95"/>
  <c r="AD616" i="95"/>
  <c r="AD314" i="95"/>
  <c r="AE316" i="95"/>
  <c r="Y172" i="60"/>
  <c r="AC1008" i="95"/>
  <c r="AC1007" i="95" s="1"/>
  <c r="AD1009" i="95"/>
  <c r="AC882" i="95"/>
  <c r="AD884" i="95"/>
  <c r="AD342" i="95"/>
  <c r="AE344" i="95"/>
  <c r="Z366" i="59"/>
  <c r="Z367" i="59" s="1"/>
  <c r="Z368" i="59" s="1"/>
  <c r="Z369" i="59" s="1"/>
  <c r="Z388" i="59" s="1"/>
  <c r="Z391" i="59" s="1"/>
  <c r="Z42" i="60" s="1"/>
  <c r="Z44" i="60" s="1"/>
  <c r="Z143" i="60"/>
  <c r="X17" i="80"/>
  <c r="AD630" i="95"/>
  <c r="AC628" i="95"/>
  <c r="AC627" i="95" s="1"/>
  <c r="AE514" i="95"/>
  <c r="AD512" i="95"/>
  <c r="AD922" i="95"/>
  <c r="AD920" i="95"/>
  <c r="AD919" i="95" s="1"/>
  <c r="AE923" i="95"/>
  <c r="N948" i="59"/>
  <c r="N949" i="59"/>
  <c r="N947" i="59"/>
  <c r="AC584" i="95"/>
  <c r="AD586" i="95"/>
  <c r="AC34" i="95"/>
  <c r="AD37" i="95"/>
  <c r="AC688" i="95"/>
  <c r="AC687" i="95" s="1"/>
  <c r="AC673" i="95"/>
  <c r="AC672" i="95" s="1"/>
  <c r="AC577" i="95"/>
  <c r="AD579" i="95"/>
  <c r="AC820" i="95"/>
  <c r="AC811" i="95" s="1"/>
  <c r="AD821" i="95"/>
  <c r="AC908" i="95"/>
  <c r="AD910" i="95"/>
  <c r="AD504" i="95"/>
  <c r="AD497" i="95" s="1"/>
  <c r="AE506" i="95"/>
  <c r="AC159" i="95"/>
  <c r="AD161" i="95"/>
  <c r="AC790" i="95"/>
  <c r="AD792" i="95"/>
  <c r="G331" i="63"/>
  <c r="W382" i="63"/>
  <c r="W383" i="63" s="1"/>
  <c r="W1110" i="59" s="1"/>
  <c r="W376" i="63"/>
  <c r="W1108" i="59" s="1"/>
  <c r="AC560" i="95"/>
  <c r="AC559" i="95" s="1"/>
  <c r="AD562" i="95"/>
  <c r="AD769" i="95"/>
  <c r="AE771" i="95"/>
  <c r="AD323" i="95"/>
  <c r="AC321" i="95"/>
  <c r="AD349" i="95"/>
  <c r="AE351" i="95"/>
  <c r="AD235" i="95"/>
  <c r="AE237" i="95"/>
  <c r="L985" i="59"/>
  <c r="AE638" i="95"/>
  <c r="AD636" i="95"/>
  <c r="AC1032" i="95"/>
  <c r="AD1033" i="95"/>
  <c r="AC232" i="95"/>
  <c r="AD234" i="95"/>
  <c r="AD28" i="60"/>
  <c r="AD341" i="59"/>
  <c r="AD406" i="95"/>
  <c r="AE408" i="95"/>
  <c r="AC766" i="95"/>
  <c r="AD768" i="95"/>
  <c r="X954" i="59"/>
  <c r="AD842" i="95"/>
  <c r="AC841" i="95"/>
  <c r="AC840" i="95" s="1"/>
  <c r="AC82" i="95"/>
  <c r="AC79" i="95" s="1"/>
  <c r="AD83" i="95"/>
  <c r="AC940" i="95"/>
  <c r="AD934" i="95"/>
  <c r="N956" i="59"/>
  <c r="O953" i="59" s="1"/>
  <c r="AC944" i="95"/>
  <c r="AD947" i="95"/>
  <c r="AC859" i="95"/>
  <c r="AD860" i="95"/>
  <c r="AB71" i="95"/>
  <c r="AB69" i="95" s="1"/>
  <c r="AD409" i="95"/>
  <c r="AE411" i="95"/>
  <c r="AD99" i="95"/>
  <c r="AD98" i="95" s="1"/>
  <c r="AD97" i="95" s="1"/>
  <c r="AD120" i="95"/>
  <c r="AD119" i="95" s="1"/>
  <c r="AD44" i="95"/>
  <c r="AD117" i="95"/>
  <c r="AD116" i="95" s="1"/>
  <c r="AE12" i="95"/>
  <c r="AD478" i="95"/>
  <c r="AD477" i="95" s="1"/>
  <c r="AD494" i="95" s="1"/>
  <c r="AD493" i="95" s="1"/>
  <c r="AE480" i="95"/>
  <c r="AB576" i="95"/>
  <c r="AB593" i="95" s="1"/>
  <c r="AB592" i="95" s="1"/>
  <c r="AD528" i="95"/>
  <c r="AC526" i="95"/>
  <c r="AC525" i="95" s="1"/>
  <c r="AC777" i="95"/>
  <c r="AD779" i="95"/>
  <c r="X357" i="63"/>
  <c r="X359" i="63" s="1"/>
  <c r="X364" i="63" s="1"/>
  <c r="X375" i="63" s="1"/>
  <c r="AC131" i="95"/>
  <c r="AD133" i="95"/>
  <c r="W252" i="63"/>
  <c r="W253" i="63" s="1"/>
  <c r="W258" i="63" s="1"/>
  <c r="W56" i="60"/>
  <c r="AD447" i="95"/>
  <c r="AC444" i="95"/>
  <c r="AC443" i="95" s="1"/>
  <c r="AE368" i="95"/>
  <c r="AF370" i="95"/>
  <c r="AF368" i="95" s="1"/>
  <c r="AC332" i="59"/>
  <c r="AC22" i="60"/>
  <c r="AC40" i="60" s="1"/>
  <c r="AC335" i="59"/>
  <c r="AD680" i="95"/>
  <c r="AD679" i="95" s="1"/>
  <c r="AE681" i="95"/>
  <c r="AC229" i="95"/>
  <c r="AD231" i="95"/>
  <c r="AC392" i="95"/>
  <c r="AD394" i="95"/>
  <c r="AD848" i="95"/>
  <c r="AE850" i="95"/>
  <c r="AD382" i="59"/>
  <c r="AD383" i="59" s="1"/>
  <c r="AD384" i="59" s="1"/>
  <c r="AD211" i="59"/>
  <c r="AE268" i="95"/>
  <c r="AE275" i="95"/>
  <c r="AE281" i="95"/>
  <c r="AF261" i="95"/>
  <c r="AD255" i="95"/>
  <c r="AD254" i="95" s="1"/>
  <c r="AE257" i="95"/>
  <c r="AC145" i="95"/>
  <c r="AD147" i="95"/>
  <c r="AB968" i="95"/>
  <c r="AB967" i="95" s="1"/>
  <c r="AB956" i="95" s="1"/>
  <c r="AB939" i="95"/>
  <c r="AB938" i="95" s="1"/>
  <c r="AC972" i="95"/>
  <c r="AD974" i="95"/>
  <c r="AC704" i="95"/>
  <c r="AD706" i="95"/>
  <c r="AC22" i="95"/>
  <c r="AC21" i="95" s="1"/>
  <c r="AD24" i="95"/>
  <c r="AE485" i="95"/>
  <c r="AF487" i="95"/>
  <c r="AF485" i="95" s="1"/>
  <c r="AB943" i="95"/>
  <c r="AC30" i="95"/>
  <c r="AC90" i="95"/>
  <c r="AF830" i="95"/>
  <c r="AC572" i="95"/>
  <c r="AD574" i="95"/>
  <c r="AC472" i="95"/>
  <c r="AD474" i="95"/>
  <c r="AE873" i="95"/>
  <c r="AD871" i="95"/>
  <c r="AC874" i="95"/>
  <c r="AD875" i="95"/>
  <c r="Y369" i="59"/>
  <c r="Y388" i="59" s="1"/>
  <c r="Y391" i="59" s="1"/>
  <c r="Y42" i="60" s="1"/>
  <c r="R1108" i="59"/>
  <c r="AD465" i="95"/>
  <c r="AD464" i="95" s="1"/>
  <c r="AE470" i="95"/>
  <c r="AE225" i="95"/>
  <c r="AD223" i="95"/>
  <c r="AB776" i="95"/>
  <c r="AC603" i="95"/>
  <c r="AD605" i="95"/>
  <c r="AD340" i="59"/>
  <c r="AD215" i="59" s="1"/>
  <c r="AD27" i="60"/>
  <c r="AB117" i="60"/>
  <c r="AB48" i="73"/>
  <c r="Z5" i="80"/>
  <c r="AC773" i="95"/>
  <c r="AD758" i="95"/>
  <c r="AA114" i="60"/>
  <c r="AA115" i="60" s="1"/>
  <c r="AA19" i="60"/>
  <c r="AC179" i="95"/>
  <c r="AD181" i="95"/>
  <c r="AC902" i="95"/>
  <c r="AD904" i="95"/>
  <c r="AC597" i="95"/>
  <c r="AD599" i="95"/>
  <c r="AC72" i="95"/>
  <c r="AC43" i="95"/>
  <c r="AC42" i="95" s="1"/>
  <c r="K63" i="73"/>
  <c r="AE191" i="95"/>
  <c r="AF193" i="95"/>
  <c r="AF191" i="95" s="1"/>
  <c r="AD40" i="95"/>
  <c r="AC38" i="95"/>
  <c r="R1110" i="59"/>
  <c r="AC305" i="95" l="1"/>
  <c r="AC183" i="60"/>
  <c r="AD307" i="95"/>
  <c r="AD306" i="95" s="1"/>
  <c r="AD310" i="95"/>
  <c r="AD309" i="95" s="1"/>
  <c r="AE248" i="95"/>
  <c r="AD262" i="95"/>
  <c r="AD260" i="95" s="1"/>
  <c r="AD259" i="95" s="1"/>
  <c r="AD280" i="95"/>
  <c r="AD267" i="95"/>
  <c r="AD266" i="95" s="1"/>
  <c r="AD265" i="95" s="1"/>
  <c r="AD274" i="95"/>
  <c r="AD273" i="95" s="1"/>
  <c r="AD272" i="95" s="1"/>
  <c r="AE18" i="95"/>
  <c r="AE32" i="95" s="1"/>
  <c r="AD61" i="95"/>
  <c r="AD60" i="95" s="1"/>
  <c r="AD59" i="95" s="1"/>
  <c r="AD314" i="59"/>
  <c r="AD335" i="59" s="1"/>
  <c r="AC901" i="95"/>
  <c r="AC943" i="95"/>
  <c r="M49" i="73"/>
  <c r="M50" i="73" s="1"/>
  <c r="M63" i="73" s="1"/>
  <c r="K7" i="80"/>
  <c r="M76" i="73"/>
  <c r="M78" i="73" s="1"/>
  <c r="M90" i="73" s="1"/>
  <c r="M28" i="68"/>
  <c r="M33" i="68" s="1"/>
  <c r="M123" i="60"/>
  <c r="M126" i="60" s="1"/>
  <c r="M50" i="68"/>
  <c r="AC881" i="95"/>
  <c r="AC898" i="95" s="1"/>
  <c r="AC897" i="95" s="1"/>
  <c r="AC361" i="95"/>
  <c r="AC610" i="95"/>
  <c r="AC776" i="95"/>
  <c r="AE1037" i="95"/>
  <c r="AD1035" i="95"/>
  <c r="AC915" i="95"/>
  <c r="AD515" i="95"/>
  <c r="AD511" i="95" s="1"/>
  <c r="AE517" i="95"/>
  <c r="AD403" i="95"/>
  <c r="AE405" i="95"/>
  <c r="AC742" i="95"/>
  <c r="AC178" i="95"/>
  <c r="AD743" i="95"/>
  <c r="AE745" i="95"/>
  <c r="AD426" i="95"/>
  <c r="AD425" i="95" s="1"/>
  <c r="AE428" i="95"/>
  <c r="AB245" i="95"/>
  <c r="AC148" i="24" s="1"/>
  <c r="AF260" i="59" s="1"/>
  <c r="AF315" i="59" s="1"/>
  <c r="AF23" i="60" s="1"/>
  <c r="AD978" i="95"/>
  <c r="AE23" i="60"/>
  <c r="AD925" i="95"/>
  <c r="AE927" i="95"/>
  <c r="AD633" i="95"/>
  <c r="AD632" i="95" s="1"/>
  <c r="AE635" i="95"/>
  <c r="AB519" i="95"/>
  <c r="AC150" i="24" s="1"/>
  <c r="AF262" i="59" s="1"/>
  <c r="AF317" i="59" s="1"/>
  <c r="AF338" i="59" s="1"/>
  <c r="AF213" i="59" s="1"/>
  <c r="AD460" i="95"/>
  <c r="AD459" i="95" s="1"/>
  <c r="AE462" i="95"/>
  <c r="AD696" i="95"/>
  <c r="AC695" i="95"/>
  <c r="AC123" i="95"/>
  <c r="AC175" i="95" s="1"/>
  <c r="AC174" i="95" s="1"/>
  <c r="AD611" i="95"/>
  <c r="AE613" i="95"/>
  <c r="AC596" i="95"/>
  <c r="AE918" i="95"/>
  <c r="AD916" i="95"/>
  <c r="AB692" i="95"/>
  <c r="AB691" i="95" s="1"/>
  <c r="AB618" i="95" s="1"/>
  <c r="AC151" i="24" s="1"/>
  <c r="AF263" i="59" s="1"/>
  <c r="AF318" i="59" s="1"/>
  <c r="AF339" i="59" s="1"/>
  <c r="AF214" i="59" s="1"/>
  <c r="AC693" i="95"/>
  <c r="AD386" i="95"/>
  <c r="AE388" i="95"/>
  <c r="AA7" i="95"/>
  <c r="AD836" i="95"/>
  <c r="AD835" i="95" s="1"/>
  <c r="AE838" i="95"/>
  <c r="AC852" i="95"/>
  <c r="AD238" i="95"/>
  <c r="AE240" i="95"/>
  <c r="AE337" i="95"/>
  <c r="AD335" i="95"/>
  <c r="AE26" i="60"/>
  <c r="AD666" i="95"/>
  <c r="AD663" i="95" s="1"/>
  <c r="AD662" i="95" s="1"/>
  <c r="AE667" i="95"/>
  <c r="AF869" i="95"/>
  <c r="AF868" i="95" s="1"/>
  <c r="AE868" i="95"/>
  <c r="AD889" i="95"/>
  <c r="AE891" i="95"/>
  <c r="AD380" i="95"/>
  <c r="AE382" i="95"/>
  <c r="AC222" i="95"/>
  <c r="AE979" i="95"/>
  <c r="AF981" i="95"/>
  <c r="AF979" i="95" s="1"/>
  <c r="AC576" i="95"/>
  <c r="AC593" i="95" s="1"/>
  <c r="AC592" i="95" s="1"/>
  <c r="AD952" i="95"/>
  <c r="AE955" i="95"/>
  <c r="AD185" i="95"/>
  <c r="AE187" i="95"/>
  <c r="AD115" i="95"/>
  <c r="AB9" i="95"/>
  <c r="AC147" i="24" s="1"/>
  <c r="AF259" i="59" s="1"/>
  <c r="AC313" i="95"/>
  <c r="AC358" i="95" s="1"/>
  <c r="AC357" i="95" s="1"/>
  <c r="AE1015" i="95"/>
  <c r="AF1017" i="95"/>
  <c r="AF1015" i="95" s="1"/>
  <c r="Z252" i="63"/>
  <c r="Z253" i="63" s="1"/>
  <c r="Z258" i="63" s="1"/>
  <c r="Z56" i="60"/>
  <c r="AD183" i="60"/>
  <c r="AD385" i="59"/>
  <c r="AD390" i="59" s="1"/>
  <c r="AE99" i="95"/>
  <c r="AE98" i="95" s="1"/>
  <c r="AE97" i="95" s="1"/>
  <c r="AE120" i="95"/>
  <c r="AE119" i="95" s="1"/>
  <c r="AE117" i="95"/>
  <c r="AE116" i="95" s="1"/>
  <c r="AE44" i="95"/>
  <c r="AF12" i="95"/>
  <c r="AD159" i="95"/>
  <c r="AE161" i="95"/>
  <c r="AD412" i="95"/>
  <c r="AE414" i="95"/>
  <c r="AD1026" i="95"/>
  <c r="AE1027" i="95"/>
  <c r="AD400" i="95"/>
  <c r="AE402" i="95"/>
  <c r="AD957" i="95"/>
  <c r="AE959" i="95"/>
  <c r="AE362" i="95"/>
  <c r="AF364" i="95"/>
  <c r="AF362" i="95" s="1"/>
  <c r="AC112" i="95"/>
  <c r="AC111" i="95" s="1"/>
  <c r="AC89" i="95"/>
  <c r="AC88" i="95" s="1"/>
  <c r="AD704" i="95"/>
  <c r="AE706" i="95"/>
  <c r="AF257" i="95"/>
  <c r="AF255" i="95" s="1"/>
  <c r="AF254" i="95" s="1"/>
  <c r="AE255" i="95"/>
  <c r="AE254" i="95" s="1"/>
  <c r="AE528" i="95"/>
  <c r="AD526" i="95"/>
  <c r="AD525" i="95" s="1"/>
  <c r="AE934" i="95"/>
  <c r="AD940" i="95"/>
  <c r="AF638" i="95"/>
  <c r="AF636" i="95" s="1"/>
  <c r="AE636" i="95"/>
  <c r="AD321" i="95"/>
  <c r="AE323" i="95"/>
  <c r="AD820" i="95"/>
  <c r="AD811" i="95" s="1"/>
  <c r="AE821" i="95"/>
  <c r="AD584" i="95"/>
  <c r="AE586" i="95"/>
  <c r="AD628" i="95"/>
  <c r="AD627" i="95" s="1"/>
  <c r="AE630" i="95"/>
  <c r="AE884" i="95"/>
  <c r="AD882" i="95"/>
  <c r="AD614" i="95"/>
  <c r="AE616" i="95"/>
  <c r="AD865" i="95"/>
  <c r="AE866" i="95"/>
  <c r="AF337" i="59"/>
  <c r="AF212" i="59" s="1"/>
  <c r="AF24" i="60"/>
  <c r="AE818" i="95"/>
  <c r="AE816" i="95" s="1"/>
  <c r="AE828" i="95"/>
  <c r="AE797" i="95"/>
  <c r="AE795" i="95" s="1"/>
  <c r="AF782" i="95"/>
  <c r="AE1021" i="95"/>
  <c r="AD1020" i="95"/>
  <c r="AC399" i="95"/>
  <c r="AE646" i="95"/>
  <c r="AE645" i="95" s="1"/>
  <c r="AE644" i="95" s="1"/>
  <c r="AE664" i="95"/>
  <c r="AE658" i="95"/>
  <c r="AE641" i="95"/>
  <c r="AE639" i="95" s="1"/>
  <c r="AE674" i="95"/>
  <c r="AF623" i="95"/>
  <c r="AD781" i="95"/>
  <c r="AE784" i="95"/>
  <c r="AE273" i="59"/>
  <c r="AE314" i="59"/>
  <c r="AC772" i="95"/>
  <c r="AC762" i="95" s="1"/>
  <c r="AC801" i="95"/>
  <c r="AC800" i="95" s="1"/>
  <c r="AC789" i="95" s="1"/>
  <c r="AE465" i="95"/>
  <c r="AE464" i="95" s="1"/>
  <c r="AF470" i="95"/>
  <c r="AF465" i="95" s="1"/>
  <c r="AF464" i="95" s="1"/>
  <c r="AE871" i="95"/>
  <c r="AF873" i="95"/>
  <c r="AF871" i="95" s="1"/>
  <c r="AF850" i="95"/>
  <c r="AF848" i="95" s="1"/>
  <c r="AE848" i="95"/>
  <c r="AD38" i="95"/>
  <c r="AE40" i="95"/>
  <c r="AE474" i="95"/>
  <c r="AD472" i="95"/>
  <c r="AC29" i="95"/>
  <c r="AD972" i="95"/>
  <c r="AE974" i="95"/>
  <c r="AE680" i="95"/>
  <c r="AE679" i="95" s="1"/>
  <c r="AF681" i="95"/>
  <c r="AF680" i="95" s="1"/>
  <c r="AF679" i="95" s="1"/>
  <c r="X376" i="63"/>
  <c r="X382" i="63"/>
  <c r="X383" i="63" s="1"/>
  <c r="X1110" i="59" s="1"/>
  <c r="AD30" i="95"/>
  <c r="AD90" i="95"/>
  <c r="AE860" i="95"/>
  <c r="AD859" i="95"/>
  <c r="AC968" i="95"/>
  <c r="AC967" i="95" s="1"/>
  <c r="AC956" i="95" s="1"/>
  <c r="AC939" i="95"/>
  <c r="AC938" i="95" s="1"/>
  <c r="AF771" i="95"/>
  <c r="AF769" i="95" s="1"/>
  <c r="AE769" i="95"/>
  <c r="G293" i="63"/>
  <c r="AE341" i="59"/>
  <c r="AE28" i="60"/>
  <c r="AD328" i="95"/>
  <c r="AE330" i="95"/>
  <c r="AD437" i="95"/>
  <c r="AD436" i="95" s="1"/>
  <c r="AE440" i="95"/>
  <c r="AC419" i="95"/>
  <c r="AD149" i="24" s="1"/>
  <c r="AG261" i="59" s="1"/>
  <c r="AG316" i="59" s="1"/>
  <c r="AC1019" i="95"/>
  <c r="AF1031" i="95"/>
  <c r="AF1029" i="95" s="1"/>
  <c r="AE1029" i="95"/>
  <c r="AD215" i="95"/>
  <c r="AE217" i="95"/>
  <c r="AD673" i="95"/>
  <c r="AD672" i="95" s="1"/>
  <c r="AD688" i="95"/>
  <c r="AD687" i="95" s="1"/>
  <c r="AD805" i="95"/>
  <c r="AE807" i="95"/>
  <c r="AD1408" i="95"/>
  <c r="AD1405" i="95" s="1"/>
  <c r="AD1404" i="95" s="1"/>
  <c r="AD1380" i="95" s="1"/>
  <c r="AE155" i="24" s="1"/>
  <c r="AH267" i="59" s="1"/>
  <c r="AH322" i="59" s="1"/>
  <c r="AE70" i="95"/>
  <c r="AD282" i="95"/>
  <c r="AD279" i="95" s="1"/>
  <c r="AD278" i="95" s="1"/>
  <c r="AD996" i="95"/>
  <c r="AD993" i="95" s="1"/>
  <c r="AD992" i="95" s="1"/>
  <c r="AD74" i="95"/>
  <c r="AD553" i="95"/>
  <c r="AD550" i="95" s="1"/>
  <c r="AD549" i="95" s="1"/>
  <c r="AD829" i="95"/>
  <c r="AD826" i="95" s="1"/>
  <c r="AD825" i="95" s="1"/>
  <c r="AD453" i="95"/>
  <c r="AD450" i="95" s="1"/>
  <c r="AD449" i="95" s="1"/>
  <c r="AD179" i="95"/>
  <c r="AE181" i="95"/>
  <c r="AD603" i="95"/>
  <c r="AE605" i="95"/>
  <c r="AE922" i="95"/>
  <c r="AE920" i="95"/>
  <c r="AE919" i="95" s="1"/>
  <c r="AF923" i="95"/>
  <c r="AD1008" i="95"/>
  <c r="AD1007" i="95" s="1"/>
  <c r="AE1009" i="95"/>
  <c r="G294" i="63"/>
  <c r="G73" i="60" s="1"/>
  <c r="AE434" i="95"/>
  <c r="AD431" i="95"/>
  <c r="AD430" i="95" s="1"/>
  <c r="AE338" i="59"/>
  <c r="AE213" i="59" s="1"/>
  <c r="AE25" i="60"/>
  <c r="AG343" i="59"/>
  <c r="AG217" i="59" s="1"/>
  <c r="AG30" i="60"/>
  <c r="AE765" i="95"/>
  <c r="AD763" i="95"/>
  <c r="M320" i="63"/>
  <c r="AE340" i="59"/>
  <c r="AE215" i="59" s="1"/>
  <c r="AE27" i="60"/>
  <c r="AD43" i="95"/>
  <c r="AD42" i="95" s="1"/>
  <c r="AD72" i="95"/>
  <c r="L60" i="60"/>
  <c r="AD577" i="95"/>
  <c r="AE579" i="95"/>
  <c r="AD597" i="95"/>
  <c r="AE599" i="95"/>
  <c r="AD572" i="95"/>
  <c r="AE574" i="95"/>
  <c r="AB929" i="95"/>
  <c r="AC153" i="24" s="1"/>
  <c r="AF265" i="59" s="1"/>
  <c r="AF320" i="59" s="1"/>
  <c r="AC374" i="59"/>
  <c r="AC375" i="59" s="1"/>
  <c r="AC376" i="59" s="1"/>
  <c r="AC353" i="59"/>
  <c r="AC356" i="59" s="1"/>
  <c r="AC144" i="60" s="1"/>
  <c r="AC27" i="68" s="1"/>
  <c r="AC210" i="59"/>
  <c r="AC223" i="59" s="1"/>
  <c r="AC231" i="59" s="1"/>
  <c r="AC233" i="59" s="1"/>
  <c r="AC195" i="59" s="1"/>
  <c r="AC198" i="59" s="1"/>
  <c r="AC18" i="60" s="1"/>
  <c r="AD944" i="95"/>
  <c r="AE947" i="95"/>
  <c r="AD766" i="95"/>
  <c r="AE768" i="95"/>
  <c r="AD232" i="95"/>
  <c r="AE234" i="95"/>
  <c r="AF237" i="95"/>
  <c r="AF235" i="95" s="1"/>
  <c r="AE235" i="95"/>
  <c r="AD948" i="95"/>
  <c r="AE951" i="95"/>
  <c r="AF417" i="95"/>
  <c r="AF415" i="95" s="1"/>
  <c r="AE415" i="95"/>
  <c r="AD241" i="95"/>
  <c r="AE243" i="95"/>
  <c r="AF854" i="95"/>
  <c r="AF853" i="95" s="1"/>
  <c r="AE853" i="95"/>
  <c r="AB750" i="95"/>
  <c r="AC152" i="24" s="1"/>
  <c r="AF264" i="59" s="1"/>
  <c r="AF319" i="59" s="1"/>
  <c r="AE701" i="95"/>
  <c r="AF703" i="95"/>
  <c r="AF701" i="95" s="1"/>
  <c r="AF711" i="95"/>
  <c r="AF709" i="95" s="1"/>
  <c r="AE709" i="95"/>
  <c r="AD531" i="95"/>
  <c r="AD530" i="95" s="1"/>
  <c r="AE534" i="95"/>
  <c r="AB19" i="60"/>
  <c r="AB114" i="60"/>
  <c r="AB115" i="60" s="1"/>
  <c r="AF268" i="95"/>
  <c r="AF281" i="95"/>
  <c r="AF275" i="95"/>
  <c r="AD82" i="95"/>
  <c r="AD79" i="95" s="1"/>
  <c r="AE83" i="95"/>
  <c r="AD392" i="95"/>
  <c r="AE394" i="95"/>
  <c r="AD777" i="95"/>
  <c r="AE779" i="95"/>
  <c r="H274" i="63"/>
  <c r="H245" i="63"/>
  <c r="AE987" i="95"/>
  <c r="AF989" i="95"/>
  <c r="AF987" i="95" s="1"/>
  <c r="AD289" i="95"/>
  <c r="AD288" i="95" s="1"/>
  <c r="AE291" i="95"/>
  <c r="AC936" i="95"/>
  <c r="AC1040" i="95"/>
  <c r="AC1039" i="95" s="1"/>
  <c r="AC1056" i="95" s="1"/>
  <c r="AC1055" i="95" s="1"/>
  <c r="AC1061" i="95"/>
  <c r="AC1060" i="95" s="1"/>
  <c r="AC1059" i="95" s="1"/>
  <c r="AD1041" i="95"/>
  <c r="AC1075" i="95"/>
  <c r="AC1074" i="95" s="1"/>
  <c r="AC1073" i="95" s="1"/>
  <c r="AE863" i="95"/>
  <c r="AD862" i="95"/>
  <c r="AE1003" i="95"/>
  <c r="AE1002" i="95" s="1"/>
  <c r="AF1005" i="95"/>
  <c r="AF1003" i="95" s="1"/>
  <c r="AF1002" i="95" s="1"/>
  <c r="AA366" i="59"/>
  <c r="AA367" i="59" s="1"/>
  <c r="AA368" i="59" s="1"/>
  <c r="AA369" i="59" s="1"/>
  <c r="AA388" i="59" s="1"/>
  <c r="AA391" i="59" s="1"/>
  <c r="AA42" i="60" s="1"/>
  <c r="AA44" i="60" s="1"/>
  <c r="Y17" i="80"/>
  <c r="AA143" i="60"/>
  <c r="AC117" i="60"/>
  <c r="AC48" i="73"/>
  <c r="AA5" i="80"/>
  <c r="AE382" i="59"/>
  <c r="AE383" i="59" s="1"/>
  <c r="AE384" i="59" s="1"/>
  <c r="AE211" i="59"/>
  <c r="Z118" i="60"/>
  <c r="Z120" i="60" s="1"/>
  <c r="Z29" i="68"/>
  <c r="X12" i="80"/>
  <c r="AE447" i="95"/>
  <c r="AD444" i="95"/>
  <c r="AD443" i="95" s="1"/>
  <c r="AE478" i="95"/>
  <c r="AE477" i="95" s="1"/>
  <c r="AE494" i="95" s="1"/>
  <c r="AE493" i="95" s="1"/>
  <c r="AF480" i="95"/>
  <c r="AF478" i="95" s="1"/>
  <c r="AF477" i="95" s="1"/>
  <c r="O955" i="59"/>
  <c r="O943" i="59" s="1"/>
  <c r="O945" i="59" s="1"/>
  <c r="AE842" i="95"/>
  <c r="AD841" i="95"/>
  <c r="AD840" i="95" s="1"/>
  <c r="AD1032" i="95"/>
  <c r="AE1033" i="95"/>
  <c r="AE349" i="95"/>
  <c r="AF351" i="95"/>
  <c r="AF349" i="95" s="1"/>
  <c r="AD790" i="95"/>
  <c r="AE792" i="95"/>
  <c r="Z172" i="60"/>
  <c r="AE226" i="95"/>
  <c r="AF228" i="95"/>
  <c r="AF226" i="95" s="1"/>
  <c r="AD735" i="95"/>
  <c r="AD728" i="95" s="1"/>
  <c r="AE737" i="95"/>
  <c r="X252" i="63"/>
  <c r="X253" i="63" s="1"/>
  <c r="X258" i="63" s="1"/>
  <c r="X56" i="60"/>
  <c r="R252" i="63"/>
  <c r="R253" i="63" s="1"/>
  <c r="R56" i="60"/>
  <c r="AD152" i="95"/>
  <c r="AE154" i="95"/>
  <c r="AE748" i="95"/>
  <c r="AD746" i="95"/>
  <c r="Y357" i="63"/>
  <c r="Y359" i="63" s="1"/>
  <c r="Y364" i="63" s="1"/>
  <c r="Y375" i="63" s="1"/>
  <c r="AB182" i="60"/>
  <c r="AB377" i="59"/>
  <c r="AB389" i="59" s="1"/>
  <c r="AE166" i="95"/>
  <c r="AF168" i="95"/>
  <c r="AF166" i="95" s="1"/>
  <c r="AF506" i="95"/>
  <c r="AF504" i="95" s="1"/>
  <c r="AF497" i="95" s="1"/>
  <c r="AE504" i="95"/>
  <c r="AE497" i="95" s="1"/>
  <c r="Y118" i="60"/>
  <c r="Y120" i="60" s="1"/>
  <c r="W12" i="80"/>
  <c r="Y29" i="68"/>
  <c r="Y44" i="60"/>
  <c r="AD560" i="95"/>
  <c r="AD559" i="95" s="1"/>
  <c r="AE562" i="95"/>
  <c r="N951" i="59"/>
  <c r="Z942" i="59"/>
  <c r="Z26" i="68"/>
  <c r="Z147" i="60"/>
  <c r="AD902" i="95"/>
  <c r="AE904" i="95"/>
  <c r="AE875" i="95"/>
  <c r="AD874" i="95"/>
  <c r="AE24" i="95"/>
  <c r="AD22" i="95"/>
  <c r="AD21" i="95" s="1"/>
  <c r="AD145" i="95"/>
  <c r="AE147" i="95"/>
  <c r="AD773" i="95"/>
  <c r="AE758" i="95"/>
  <c r="AE223" i="95"/>
  <c r="AF225" i="95"/>
  <c r="AF223" i="95" s="1"/>
  <c r="AE231" i="95"/>
  <c r="AD229" i="95"/>
  <c r="AD131" i="95"/>
  <c r="AE133" i="95"/>
  <c r="AE409" i="95"/>
  <c r="AF411" i="95"/>
  <c r="AF409" i="95" s="1"/>
  <c r="AE406" i="95"/>
  <c r="AF408" i="95"/>
  <c r="AF406" i="95" s="1"/>
  <c r="AD908" i="95"/>
  <c r="AE910" i="95"/>
  <c r="AE37" i="95"/>
  <c r="AD34" i="95"/>
  <c r="AF514" i="95"/>
  <c r="AF512" i="95" s="1"/>
  <c r="AE512" i="95"/>
  <c r="AF344" i="95"/>
  <c r="AF342" i="95" s="1"/>
  <c r="AE342" i="95"/>
  <c r="AF316" i="95"/>
  <c r="AF314" i="95" s="1"/>
  <c r="AE314" i="95"/>
  <c r="AD716" i="95"/>
  <c r="AD708" i="95" s="1"/>
  <c r="AD725" i="95" s="1"/>
  <c r="AD724" i="95" s="1"/>
  <c r="AE718" i="95"/>
  <c r="R120" i="60"/>
  <c r="AE879" i="95"/>
  <c r="AD877" i="95"/>
  <c r="AD856" i="95"/>
  <c r="AE857" i="95"/>
  <c r="AD197" i="95"/>
  <c r="AE199" i="95"/>
  <c r="Y954" i="59"/>
  <c r="AF659" i="95"/>
  <c r="AF657" i="95" s="1"/>
  <c r="AF656" i="95" s="1"/>
  <c r="AH656" i="95" s="1"/>
  <c r="AF647" i="95"/>
  <c r="AF665" i="95"/>
  <c r="AF652" i="95"/>
  <c r="AF650" i="95" s="1"/>
  <c r="AF566" i="95"/>
  <c r="AF565" i="95" s="1"/>
  <c r="AF564" i="95" s="1"/>
  <c r="AE565" i="95"/>
  <c r="AE564" i="95" s="1"/>
  <c r="AC71" i="95"/>
  <c r="AC69" i="95" s="1"/>
  <c r="AD295" i="95"/>
  <c r="AD294" i="95" s="1"/>
  <c r="AD293" i="95" s="1"/>
  <c r="AD302" i="95"/>
  <c r="AD301" i="95" s="1"/>
  <c r="AE290" i="95"/>
  <c r="AE25" i="95"/>
  <c r="AF27" i="95"/>
  <c r="AF25" i="95" s="1"/>
  <c r="AD698" i="95"/>
  <c r="AE699" i="95"/>
  <c r="AD332" i="59" l="1"/>
  <c r="AD22" i="60"/>
  <c r="AD40" i="60" s="1"/>
  <c r="AD117" i="60" s="1"/>
  <c r="AE307" i="95"/>
  <c r="AE306" i="95" s="1"/>
  <c r="AE310" i="95"/>
  <c r="AE309" i="95" s="1"/>
  <c r="AE267" i="95"/>
  <c r="AE266" i="95" s="1"/>
  <c r="AE265" i="95" s="1"/>
  <c r="AE274" i="95"/>
  <c r="AE273" i="95" s="1"/>
  <c r="AE272" i="95" s="1"/>
  <c r="AE280" i="95"/>
  <c r="AE262" i="95"/>
  <c r="AE260" i="95" s="1"/>
  <c r="AE259" i="95" s="1"/>
  <c r="AF248" i="95"/>
  <c r="AD305" i="95"/>
  <c r="AF978" i="95"/>
  <c r="AF18" i="95"/>
  <c r="AF61" i="95" s="1"/>
  <c r="AE61" i="95"/>
  <c r="AD776" i="95"/>
  <c r="O949" i="59"/>
  <c r="O947" i="59"/>
  <c r="O948" i="59"/>
  <c r="M63" i="68"/>
  <c r="M64" i="68" s="1"/>
  <c r="M52" i="68"/>
  <c r="M55" i="68" s="1"/>
  <c r="AF25" i="60"/>
  <c r="AF336" i="59"/>
  <c r="AF211" i="59" s="1"/>
  <c r="AE1035" i="95"/>
  <c r="AF1037" i="95"/>
  <c r="AF1035" i="95" s="1"/>
  <c r="AD361" i="95"/>
  <c r="AE403" i="95"/>
  <c r="AF405" i="95"/>
  <c r="AF403" i="95" s="1"/>
  <c r="AC519" i="95"/>
  <c r="AD150" i="24" s="1"/>
  <c r="AG262" i="59" s="1"/>
  <c r="AG317" i="59" s="1"/>
  <c r="AG338" i="59" s="1"/>
  <c r="AG213" i="59" s="1"/>
  <c r="AF428" i="95"/>
  <c r="AF426" i="95" s="1"/>
  <c r="AF425" i="95" s="1"/>
  <c r="AE426" i="95"/>
  <c r="AE425" i="95" s="1"/>
  <c r="AE515" i="95"/>
  <c r="AE511" i="95" s="1"/>
  <c r="AF517" i="95"/>
  <c r="AF515" i="95" s="1"/>
  <c r="AF511" i="95" s="1"/>
  <c r="AC9" i="95"/>
  <c r="AD147" i="24" s="1"/>
  <c r="AG259" i="59" s="1"/>
  <c r="AD742" i="95"/>
  <c r="AE743" i="95"/>
  <c r="AF745" i="95"/>
  <c r="AF743" i="95" s="1"/>
  <c r="AD915" i="95"/>
  <c r="AD576" i="95"/>
  <c r="AD593" i="95" s="1"/>
  <c r="AD592" i="95" s="1"/>
  <c r="AF927" i="95"/>
  <c r="AF925" i="95" s="1"/>
  <c r="AE925" i="95"/>
  <c r="AE978" i="95"/>
  <c r="AE633" i="95"/>
  <c r="AE632" i="95" s="1"/>
  <c r="AF635" i="95"/>
  <c r="AF633" i="95" s="1"/>
  <c r="AH1015" i="95"/>
  <c r="AD596" i="95"/>
  <c r="AF26" i="60"/>
  <c r="AD610" i="95"/>
  <c r="AD881" i="95"/>
  <c r="AD898" i="95" s="1"/>
  <c r="AD897" i="95" s="1"/>
  <c r="AE460" i="95"/>
  <c r="AE459" i="95" s="1"/>
  <c r="AF462" i="95"/>
  <c r="AF460" i="95" s="1"/>
  <c r="AF459" i="95" s="1"/>
  <c r="AE916" i="95"/>
  <c r="AF918" i="95"/>
  <c r="AF916" i="95" s="1"/>
  <c r="AF613" i="95"/>
  <c r="AF611" i="95" s="1"/>
  <c r="AE611" i="95"/>
  <c r="AD222" i="95"/>
  <c r="AD695" i="95"/>
  <c r="AE696" i="95"/>
  <c r="AC245" i="95"/>
  <c r="AD148" i="24" s="1"/>
  <c r="AG260" i="59" s="1"/>
  <c r="AG315" i="59" s="1"/>
  <c r="AG23" i="60" s="1"/>
  <c r="AB7" i="95"/>
  <c r="AE666" i="95"/>
  <c r="AE663" i="95" s="1"/>
  <c r="AE662" i="95" s="1"/>
  <c r="AF667" i="95"/>
  <c r="AF666" i="95" s="1"/>
  <c r="AE836" i="95"/>
  <c r="AE835" i="95" s="1"/>
  <c r="AF838" i="95"/>
  <c r="AF836" i="95" s="1"/>
  <c r="AF835" i="95" s="1"/>
  <c r="AH497" i="95"/>
  <c r="AD313" i="95"/>
  <c r="AD358" i="95" s="1"/>
  <c r="AD357" i="95" s="1"/>
  <c r="AF187" i="95"/>
  <c r="AF185" i="95" s="1"/>
  <c r="AE185" i="95"/>
  <c r="AF382" i="95"/>
  <c r="AF380" i="95" s="1"/>
  <c r="AE380" i="95"/>
  <c r="AE386" i="95"/>
  <c r="AF388" i="95"/>
  <c r="AF386" i="95" s="1"/>
  <c r="AH564" i="95"/>
  <c r="AD399" i="95"/>
  <c r="AE952" i="95"/>
  <c r="AF955" i="95"/>
  <c r="AF952" i="95" s="1"/>
  <c r="AF891" i="95"/>
  <c r="AF889" i="95" s="1"/>
  <c r="AE889" i="95"/>
  <c r="AE335" i="95"/>
  <c r="AF337" i="95"/>
  <c r="AF335" i="95" s="1"/>
  <c r="AD852" i="95"/>
  <c r="AF240" i="95"/>
  <c r="AF238" i="95" s="1"/>
  <c r="AE238" i="95"/>
  <c r="AC692" i="95"/>
  <c r="AC691" i="95" s="1"/>
  <c r="AC618" i="95" s="1"/>
  <c r="AD151" i="24" s="1"/>
  <c r="AG263" i="59" s="1"/>
  <c r="AG318" i="59" s="1"/>
  <c r="AG26" i="60" s="1"/>
  <c r="AD693" i="95"/>
  <c r="AA252" i="63"/>
  <c r="AA253" i="63" s="1"/>
  <c r="AA258" i="63" s="1"/>
  <c r="AA56" i="60"/>
  <c r="AE145" i="95"/>
  <c r="AF147" i="95"/>
  <c r="AF145" i="95" s="1"/>
  <c r="AE902" i="95"/>
  <c r="AF904" i="95"/>
  <c r="AF902" i="95" s="1"/>
  <c r="AF1033" i="95"/>
  <c r="AF1032" i="95" s="1"/>
  <c r="AE1032" i="95"/>
  <c r="AE716" i="95"/>
  <c r="AE708" i="95" s="1"/>
  <c r="AE725" i="95" s="1"/>
  <c r="AE724" i="95" s="1"/>
  <c r="AF718" i="95"/>
  <c r="AF716" i="95" s="1"/>
  <c r="AF708" i="95" s="1"/>
  <c r="AE302" i="95"/>
  <c r="AE301" i="95" s="1"/>
  <c r="AE295" i="95"/>
  <c r="AE294" i="95" s="1"/>
  <c r="AE293" i="95" s="1"/>
  <c r="AF290" i="95"/>
  <c r="AF37" i="95"/>
  <c r="AF34" i="95" s="1"/>
  <c r="AE34" i="95"/>
  <c r="AE152" i="95"/>
  <c r="AF154" i="95"/>
  <c r="AF152" i="95" s="1"/>
  <c r="AE862" i="95"/>
  <c r="AF863" i="95"/>
  <c r="AF862" i="95" s="1"/>
  <c r="AF83" i="95"/>
  <c r="AF82" i="95" s="1"/>
  <c r="AF79" i="95" s="1"/>
  <c r="AE82" i="95"/>
  <c r="AE79" i="95" s="1"/>
  <c r="AB366" i="59"/>
  <c r="AB367" i="59" s="1"/>
  <c r="AB368" i="59" s="1"/>
  <c r="AB369" i="59" s="1"/>
  <c r="AB388" i="59" s="1"/>
  <c r="AB391" i="59" s="1"/>
  <c r="AB42" i="60" s="1"/>
  <c r="Z17" i="80"/>
  <c r="AB143" i="60"/>
  <c r="AE232" i="95"/>
  <c r="AF234" i="95"/>
  <c r="AF232" i="95" s="1"/>
  <c r="L123" i="60"/>
  <c r="L126" i="60" s="1"/>
  <c r="L28" i="68"/>
  <c r="J7" i="80"/>
  <c r="L76" i="73"/>
  <c r="L49" i="73"/>
  <c r="L50" i="68"/>
  <c r="L62" i="60"/>
  <c r="AF40" i="95"/>
  <c r="AF38" i="95" s="1"/>
  <c r="AE38" i="95"/>
  <c r="AE781" i="95"/>
  <c r="AF784" i="95"/>
  <c r="AF781" i="95" s="1"/>
  <c r="AF934" i="95"/>
  <c r="AF940" i="95" s="1"/>
  <c r="AE940" i="95"/>
  <c r="AE115" i="95"/>
  <c r="AE908" i="95"/>
  <c r="AF910" i="95"/>
  <c r="AF908" i="95" s="1"/>
  <c r="AF24" i="95"/>
  <c r="AF22" i="95" s="1"/>
  <c r="AF21" i="95" s="1"/>
  <c r="AE22" i="95"/>
  <c r="AE21" i="95" s="1"/>
  <c r="Z357" i="63"/>
  <c r="Z359" i="63" s="1"/>
  <c r="Z364" i="63" s="1"/>
  <c r="Z375" i="63" s="1"/>
  <c r="Y252" i="63"/>
  <c r="Y253" i="63" s="1"/>
  <c r="Y258" i="63" s="1"/>
  <c r="Y56" i="60"/>
  <c r="AF737" i="95"/>
  <c r="AF735" i="95" s="1"/>
  <c r="AF728" i="95" s="1"/>
  <c r="AE735" i="95"/>
  <c r="AE728" i="95" s="1"/>
  <c r="AE841" i="95"/>
  <c r="AE840" i="95" s="1"/>
  <c r="AF842" i="95"/>
  <c r="AF841" i="95" s="1"/>
  <c r="AF840" i="95" s="1"/>
  <c r="AA26" i="68"/>
  <c r="AA942" i="59"/>
  <c r="AA147" i="60"/>
  <c r="AF534" i="95"/>
  <c r="AF531" i="95" s="1"/>
  <c r="AF530" i="95" s="1"/>
  <c r="AE531" i="95"/>
  <c r="AE530" i="95" s="1"/>
  <c r="AC182" i="60"/>
  <c r="AC377" i="59"/>
  <c r="AC389" i="59" s="1"/>
  <c r="AF765" i="95"/>
  <c r="AF763" i="95" s="1"/>
  <c r="AE763" i="95"/>
  <c r="AE179" i="95"/>
  <c r="AF181" i="95"/>
  <c r="AF179" i="95" s="1"/>
  <c r="AD71" i="95"/>
  <c r="AD69" i="95" s="1"/>
  <c r="AG337" i="59"/>
  <c r="AG212" i="59" s="1"/>
  <c r="AG24" i="60"/>
  <c r="AH679" i="95"/>
  <c r="AD374" i="59"/>
  <c r="AD375" i="59" s="1"/>
  <c r="AD376" i="59" s="1"/>
  <c r="AD353" i="59"/>
  <c r="AD356" i="59" s="1"/>
  <c r="AD144" i="60" s="1"/>
  <c r="AD27" i="68" s="1"/>
  <c r="AD210" i="59"/>
  <c r="AD223" i="59" s="1"/>
  <c r="AD231" i="59" s="1"/>
  <c r="AD233" i="59" s="1"/>
  <c r="AD195" i="59" s="1"/>
  <c r="AD198" i="59" s="1"/>
  <c r="AD18" i="60" s="1"/>
  <c r="AE820" i="95"/>
  <c r="AE811" i="95" s="1"/>
  <c r="AF821" i="95"/>
  <c r="AF820" i="95" s="1"/>
  <c r="AF133" i="95"/>
  <c r="AF131" i="95" s="1"/>
  <c r="AE131" i="95"/>
  <c r="AE289" i="95"/>
  <c r="AE288" i="95" s="1"/>
  <c r="AF291" i="95"/>
  <c r="H246" i="63"/>
  <c r="I243" i="63" s="1"/>
  <c r="AE948" i="95"/>
  <c r="AF951" i="95"/>
  <c r="AF948" i="95" s="1"/>
  <c r="AE766" i="95"/>
  <c r="AF768" i="95"/>
  <c r="AF766" i="95" s="1"/>
  <c r="AE1008" i="95"/>
  <c r="AE1007" i="95" s="1"/>
  <c r="AF1009" i="95"/>
  <c r="AF1008" i="95" s="1"/>
  <c r="AF1007" i="95" s="1"/>
  <c r="AD178" i="95"/>
  <c r="AE215" i="95"/>
  <c r="AF217" i="95"/>
  <c r="AF215" i="95" s="1"/>
  <c r="AE859" i="95"/>
  <c r="AF860" i="95"/>
  <c r="AF859" i="95" s="1"/>
  <c r="AF884" i="95"/>
  <c r="AF882" i="95" s="1"/>
  <c r="AE882" i="95"/>
  <c r="AF528" i="95"/>
  <c r="AF526" i="95" s="1"/>
  <c r="AF525" i="95" s="1"/>
  <c r="AE526" i="95"/>
  <c r="AE525" i="95" s="1"/>
  <c r="AF273" i="59"/>
  <c r="AF314" i="59"/>
  <c r="AE790" i="95"/>
  <c r="AF792" i="95"/>
  <c r="AF790" i="95" s="1"/>
  <c r="AD123" i="95"/>
  <c r="AD175" i="95" s="1"/>
  <c r="AD174" i="95" s="1"/>
  <c r="AE773" i="95"/>
  <c r="AF758" i="95"/>
  <c r="AF773" i="95" s="1"/>
  <c r="Z954" i="59"/>
  <c r="O956" i="59"/>
  <c r="P953" i="59" s="1"/>
  <c r="AA172" i="60"/>
  <c r="AE241" i="95"/>
  <c r="AF243" i="95"/>
  <c r="AF241" i="95" s="1"/>
  <c r="AF599" i="95"/>
  <c r="AF597" i="95" s="1"/>
  <c r="AE597" i="95"/>
  <c r="AE437" i="95"/>
  <c r="AE436" i="95" s="1"/>
  <c r="AF440" i="95"/>
  <c r="AF437" i="95" s="1"/>
  <c r="AF436" i="95" s="1"/>
  <c r="G295" i="63"/>
  <c r="G72" i="60"/>
  <c r="AD89" i="95"/>
  <c r="AD88" i="95" s="1"/>
  <c r="AD112" i="95"/>
  <c r="AD111" i="95" s="1"/>
  <c r="AE972" i="95"/>
  <c r="AF974" i="95"/>
  <c r="AF972" i="95" s="1"/>
  <c r="AH848" i="95"/>
  <c r="AF630" i="95"/>
  <c r="AF628" i="95" s="1"/>
  <c r="AF627" i="95" s="1"/>
  <c r="AE628" i="95"/>
  <c r="AE627" i="95" s="1"/>
  <c r="AE321" i="95"/>
  <c r="AF323" i="95"/>
  <c r="AF321" i="95" s="1"/>
  <c r="AF1027" i="95"/>
  <c r="AF1026" i="95" s="1"/>
  <c r="AE1026" i="95"/>
  <c r="AE159" i="95"/>
  <c r="AF161" i="95"/>
  <c r="AF159" i="95" s="1"/>
  <c r="AE877" i="95"/>
  <c r="AF879" i="95"/>
  <c r="AF877" i="95" s="1"/>
  <c r="AD772" i="95"/>
  <c r="AD762" i="95" s="1"/>
  <c r="AD801" i="95"/>
  <c r="AD800" i="95" s="1"/>
  <c r="AD789" i="95" s="1"/>
  <c r="AE874" i="95"/>
  <c r="AF875" i="95"/>
  <c r="AF874" i="95" s="1"/>
  <c r="AF494" i="95"/>
  <c r="AF493" i="95" s="1"/>
  <c r="AH493" i="95" s="1"/>
  <c r="AH477" i="95"/>
  <c r="AE385" i="59"/>
  <c r="AE390" i="59" s="1"/>
  <c r="AE183" i="60"/>
  <c r="AH1002" i="95"/>
  <c r="AF779" i="95"/>
  <c r="AF777" i="95" s="1"/>
  <c r="AE777" i="95"/>
  <c r="AE944" i="95"/>
  <c r="AF947" i="95"/>
  <c r="AF944" i="95" s="1"/>
  <c r="AF28" i="60"/>
  <c r="AF341" i="59"/>
  <c r="AF922" i="95"/>
  <c r="AF920" i="95"/>
  <c r="AF919" i="95" s="1"/>
  <c r="AE1408" i="95"/>
  <c r="AE1405" i="95" s="1"/>
  <c r="AE1404" i="95" s="1"/>
  <c r="AE1380" i="95" s="1"/>
  <c r="AF155" i="24" s="1"/>
  <c r="AI267" i="59" s="1"/>
  <c r="AI322" i="59" s="1"/>
  <c r="AF70" i="95"/>
  <c r="AE74" i="95"/>
  <c r="AE996" i="95"/>
  <c r="AE993" i="95" s="1"/>
  <c r="AE992" i="95" s="1"/>
  <c r="AE282" i="95"/>
  <c r="AE553" i="95"/>
  <c r="AE550" i="95" s="1"/>
  <c r="AE549" i="95" s="1"/>
  <c r="AE829" i="95"/>
  <c r="AE826" i="95" s="1"/>
  <c r="AE825" i="95" s="1"/>
  <c r="AE453" i="95"/>
  <c r="AE450" i="95" s="1"/>
  <c r="AE449" i="95" s="1"/>
  <c r="AF641" i="95"/>
  <c r="AF639" i="95" s="1"/>
  <c r="AF674" i="95"/>
  <c r="AF658" i="95"/>
  <c r="AF664" i="95"/>
  <c r="AF646" i="95"/>
  <c r="AF645" i="95" s="1"/>
  <c r="AF644" i="95" s="1"/>
  <c r="AH644" i="95" s="1"/>
  <c r="AD1019" i="95"/>
  <c r="AH254" i="95"/>
  <c r="AE197" i="95"/>
  <c r="AF199" i="95"/>
  <c r="AF197" i="95" s="1"/>
  <c r="N985" i="59"/>
  <c r="Y382" i="63"/>
  <c r="Y383" i="63" s="1"/>
  <c r="Y1110" i="59" s="1"/>
  <c r="Y376" i="63"/>
  <c r="Y1108" i="59" s="1"/>
  <c r="R258" i="63"/>
  <c r="AD943" i="95"/>
  <c r="AE572" i="95"/>
  <c r="AF574" i="95"/>
  <c r="AF572" i="95" s="1"/>
  <c r="AF579" i="95"/>
  <c r="AF577" i="95" s="1"/>
  <c r="AE577" i="95"/>
  <c r="AD419" i="95"/>
  <c r="AE149" i="24" s="1"/>
  <c r="AH261" i="59" s="1"/>
  <c r="AH316" i="59" s="1"/>
  <c r="AC750" i="95"/>
  <c r="AD152" i="24" s="1"/>
  <c r="AG264" i="59" s="1"/>
  <c r="AG319" i="59" s="1"/>
  <c r="AH343" i="59"/>
  <c r="AH217" i="59" s="1"/>
  <c r="AH30" i="60"/>
  <c r="AF330" i="95"/>
  <c r="AF328" i="95" s="1"/>
  <c r="AE328" i="95"/>
  <c r="AD29" i="95"/>
  <c r="AE673" i="95"/>
  <c r="AE672" i="95" s="1"/>
  <c r="AE688" i="95"/>
  <c r="AE687" i="95" s="1"/>
  <c r="AE1020" i="95"/>
  <c r="AF1021" i="95"/>
  <c r="AF1020" i="95" s="1"/>
  <c r="AF866" i="95"/>
  <c r="AF865" i="95" s="1"/>
  <c r="AE865" i="95"/>
  <c r="AF706" i="95"/>
  <c r="AF704" i="95" s="1"/>
  <c r="AE704" i="95"/>
  <c r="AE957" i="95"/>
  <c r="AF959" i="95"/>
  <c r="AF957" i="95" s="1"/>
  <c r="AF120" i="95"/>
  <c r="AF119" i="95" s="1"/>
  <c r="AF99" i="95"/>
  <c r="AF98" i="95" s="1"/>
  <c r="AF97" i="95" s="1"/>
  <c r="AH97" i="95" s="1"/>
  <c r="AF44" i="95"/>
  <c r="AF117" i="95"/>
  <c r="AF116" i="95" s="1"/>
  <c r="AD936" i="95"/>
  <c r="AD1040" i="95"/>
  <c r="AD1039" i="95" s="1"/>
  <c r="AD1056" i="95" s="1"/>
  <c r="AD1055" i="95" s="1"/>
  <c r="AD1061" i="95"/>
  <c r="AD1060" i="95" s="1"/>
  <c r="AD1059" i="95" s="1"/>
  <c r="AE1041" i="95"/>
  <c r="AD1075" i="95"/>
  <c r="AD1074" i="95" s="1"/>
  <c r="AD1073" i="95" s="1"/>
  <c r="AE392" i="95"/>
  <c r="AF394" i="95"/>
  <c r="AF392" i="95" s="1"/>
  <c r="AF434" i="95"/>
  <c r="AF431" i="95" s="1"/>
  <c r="AF430" i="95" s="1"/>
  <c r="AE431" i="95"/>
  <c r="AE430" i="95" s="1"/>
  <c r="AE805" i="95"/>
  <c r="AF807" i="95"/>
  <c r="AF805" i="95" s="1"/>
  <c r="AE332" i="59"/>
  <c r="AE22" i="60"/>
  <c r="AE40" i="60" s="1"/>
  <c r="AE335" i="59"/>
  <c r="AF797" i="95"/>
  <c r="AF795" i="95" s="1"/>
  <c r="AF818" i="95"/>
  <c r="AF816" i="95" s="1"/>
  <c r="AF828" i="95"/>
  <c r="AE72" i="95"/>
  <c r="AE43" i="95"/>
  <c r="AE42" i="95" s="1"/>
  <c r="AE698" i="95"/>
  <c r="AF699" i="95"/>
  <c r="AF698" i="95" s="1"/>
  <c r="AF857" i="95"/>
  <c r="AF856" i="95" s="1"/>
  <c r="AE856" i="95"/>
  <c r="AE229" i="95"/>
  <c r="AF231" i="95"/>
  <c r="AF229" i="95" s="1"/>
  <c r="AD901" i="95"/>
  <c r="AE560" i="95"/>
  <c r="AE559" i="95" s="1"/>
  <c r="AF562" i="95"/>
  <c r="AF560" i="95" s="1"/>
  <c r="AF559" i="95" s="1"/>
  <c r="AE746" i="95"/>
  <c r="AF748" i="95"/>
  <c r="AF746" i="95" s="1"/>
  <c r="AA118" i="60"/>
  <c r="AA120" i="60" s="1"/>
  <c r="AA29" i="68"/>
  <c r="Y12" i="80"/>
  <c r="AE444" i="95"/>
  <c r="AE443" i="95" s="1"/>
  <c r="AF447" i="95"/>
  <c r="AF444" i="95" s="1"/>
  <c r="AF443" i="95" s="1"/>
  <c r="AF340" i="59"/>
  <c r="AF215" i="59" s="1"/>
  <c r="AF27" i="60"/>
  <c r="AC114" i="60"/>
  <c r="AC115" i="60" s="1"/>
  <c r="AC19" i="60"/>
  <c r="E20" i="80"/>
  <c r="AE603" i="95"/>
  <c r="AF605" i="95"/>
  <c r="AF603" i="95" s="1"/>
  <c r="AC929" i="95"/>
  <c r="AD153" i="24" s="1"/>
  <c r="AG265" i="59" s="1"/>
  <c r="AG320" i="59" s="1"/>
  <c r="X1108" i="59"/>
  <c r="AF474" i="95"/>
  <c r="AF472" i="95" s="1"/>
  <c r="AE472" i="95"/>
  <c r="AH464" i="95"/>
  <c r="AE614" i="95"/>
  <c r="AF616" i="95"/>
  <c r="AF614" i="95" s="1"/>
  <c r="AF586" i="95"/>
  <c r="AF584" i="95" s="1"/>
  <c r="AE584" i="95"/>
  <c r="AD968" i="95"/>
  <c r="AD967" i="95" s="1"/>
  <c r="AD956" i="95" s="1"/>
  <c r="AD939" i="95"/>
  <c r="AD938" i="95" s="1"/>
  <c r="AE400" i="95"/>
  <c r="AF402" i="95"/>
  <c r="AF400" i="95" s="1"/>
  <c r="AF414" i="95"/>
  <c r="AF412" i="95" s="1"/>
  <c r="AE412" i="95"/>
  <c r="AE60" i="95"/>
  <c r="AE59" i="95" s="1"/>
  <c r="AE90" i="95"/>
  <c r="AE30" i="95"/>
  <c r="AE279" i="95" l="1"/>
  <c r="AE278" i="95" s="1"/>
  <c r="AD48" i="73"/>
  <c r="AB5" i="80"/>
  <c r="AF307" i="95"/>
  <c r="AF306" i="95" s="1"/>
  <c r="AF310" i="95"/>
  <c r="AF309" i="95" s="1"/>
  <c r="AF262" i="95"/>
  <c r="AF260" i="95" s="1"/>
  <c r="AF259" i="95" s="1"/>
  <c r="AH259" i="95" s="1"/>
  <c r="AF267" i="95"/>
  <c r="AF266" i="95" s="1"/>
  <c r="AF265" i="95" s="1"/>
  <c r="AH265" i="95" s="1"/>
  <c r="AF280" i="95"/>
  <c r="AF274" i="95"/>
  <c r="AF273" i="95" s="1"/>
  <c r="AF272" i="95" s="1"/>
  <c r="AH272" i="95" s="1"/>
  <c r="AH978" i="95"/>
  <c r="AE305" i="95"/>
  <c r="AF32" i="95"/>
  <c r="AF30" i="95" s="1"/>
  <c r="AF29" i="95" s="1"/>
  <c r="AG25" i="60"/>
  <c r="AE881" i="95"/>
  <c r="AE898" i="95" s="1"/>
  <c r="AE897" i="95" s="1"/>
  <c r="AF881" i="95"/>
  <c r="AF898" i="95" s="1"/>
  <c r="AF897" i="95" s="1"/>
  <c r="AH511" i="95"/>
  <c r="AF742" i="95"/>
  <c r="AF361" i="95"/>
  <c r="AF382" i="59"/>
  <c r="AF383" i="59" s="1"/>
  <c r="AF384" i="59" s="1"/>
  <c r="AF183" i="60" s="1"/>
  <c r="O951" i="59"/>
  <c r="O985" i="59" s="1"/>
  <c r="O60" i="60" s="1"/>
  <c r="AE742" i="95"/>
  <c r="AF632" i="95"/>
  <c r="AH632" i="95" s="1"/>
  <c r="AH425" i="95"/>
  <c r="AE915" i="95"/>
  <c r="AE776" i="95"/>
  <c r="AF289" i="95"/>
  <c r="AF288" i="95" s="1"/>
  <c r="AH288" i="95" s="1"/>
  <c r="AE610" i="95"/>
  <c r="AD519" i="95"/>
  <c r="AE150" i="24" s="1"/>
  <c r="AH262" i="59" s="1"/>
  <c r="AH317" i="59" s="1"/>
  <c r="AH338" i="59" s="1"/>
  <c r="AH213" i="59" s="1"/>
  <c r="AE361" i="95"/>
  <c r="AF610" i="95"/>
  <c r="AF663" i="95"/>
  <c r="AF662" i="95" s="1"/>
  <c r="AH662" i="95" s="1"/>
  <c r="AE29" i="95"/>
  <c r="AE313" i="95"/>
  <c r="AE358" i="95" s="1"/>
  <c r="AE357" i="95" s="1"/>
  <c r="AF115" i="95"/>
  <c r="AH115" i="95" s="1"/>
  <c r="AH472" i="95"/>
  <c r="AH840" i="95"/>
  <c r="AH459" i="95"/>
  <c r="AF222" i="95"/>
  <c r="AE695" i="95"/>
  <c r="AF696" i="95"/>
  <c r="AF695" i="95" s="1"/>
  <c r="AD9" i="95"/>
  <c r="AE147" i="24" s="1"/>
  <c r="AH259" i="59" s="1"/>
  <c r="AG336" i="59"/>
  <c r="AG382" i="59" s="1"/>
  <c r="AG383" i="59" s="1"/>
  <c r="AG384" i="59" s="1"/>
  <c r="AE222" i="95"/>
  <c r="AF1019" i="95"/>
  <c r="AH436" i="95"/>
  <c r="AE71" i="95"/>
  <c r="AE69" i="95" s="1"/>
  <c r="AE943" i="95"/>
  <c r="AG339" i="59"/>
  <c r="AG214" i="59" s="1"/>
  <c r="AD692" i="95"/>
  <c r="AD691" i="95" s="1"/>
  <c r="AD618" i="95" s="1"/>
  <c r="AE151" i="24" s="1"/>
  <c r="AH263" i="59" s="1"/>
  <c r="AH318" i="59" s="1"/>
  <c r="AH339" i="59" s="1"/>
  <c r="AH214" i="59" s="1"/>
  <c r="AE693" i="95"/>
  <c r="AH835" i="95"/>
  <c r="AE852" i="95"/>
  <c r="AH530" i="95"/>
  <c r="AC7" i="95"/>
  <c r="AF399" i="95"/>
  <c r="AF852" i="95"/>
  <c r="AF915" i="95"/>
  <c r="AF313" i="95"/>
  <c r="AD750" i="95"/>
  <c r="AE152" i="24" s="1"/>
  <c r="AH264" i="59" s="1"/>
  <c r="AH319" i="59" s="1"/>
  <c r="AH340" i="59" s="1"/>
  <c r="AH215" i="59" s="1"/>
  <c r="AE1019" i="95"/>
  <c r="AE123" i="95"/>
  <c r="AE175" i="95" s="1"/>
  <c r="AE174" i="95" s="1"/>
  <c r="AD245" i="95"/>
  <c r="AE148" i="24" s="1"/>
  <c r="AH260" i="59" s="1"/>
  <c r="AH315" i="59" s="1"/>
  <c r="AE968" i="95"/>
  <c r="AE967" i="95" s="1"/>
  <c r="AE956" i="95" s="1"/>
  <c r="AE939" i="95"/>
  <c r="AE938" i="95" s="1"/>
  <c r="AF302" i="95"/>
  <c r="AF295" i="95"/>
  <c r="AF294" i="95" s="1"/>
  <c r="AF293" i="95" s="1"/>
  <c r="AH293" i="95" s="1"/>
  <c r="AH337" i="59"/>
  <c r="AH212" i="59" s="1"/>
  <c r="AH24" i="60"/>
  <c r="AF688" i="95"/>
  <c r="AF687" i="95" s="1"/>
  <c r="AH687" i="95" s="1"/>
  <c r="AF673" i="95"/>
  <c r="AF672" i="95" s="1"/>
  <c r="AH672" i="95" s="1"/>
  <c r="AF1408" i="95"/>
  <c r="AF1405" i="95" s="1"/>
  <c r="AF1404" i="95" s="1"/>
  <c r="AF996" i="95"/>
  <c r="AF993" i="95" s="1"/>
  <c r="AF992" i="95" s="1"/>
  <c r="AH992" i="95" s="1"/>
  <c r="AF282" i="95"/>
  <c r="AF74" i="95"/>
  <c r="AF829" i="95"/>
  <c r="AF826" i="95" s="1"/>
  <c r="AF825" i="95" s="1"/>
  <c r="AH825" i="95" s="1"/>
  <c r="AF453" i="95"/>
  <c r="AF450" i="95" s="1"/>
  <c r="AF449" i="95" s="1"/>
  <c r="AH449" i="95" s="1"/>
  <c r="AF553" i="95"/>
  <c r="AF550" i="95" s="1"/>
  <c r="AF549" i="95" s="1"/>
  <c r="AH549" i="95" s="1"/>
  <c r="AF725" i="95"/>
  <c r="AF724" i="95" s="1"/>
  <c r="AH724" i="95" s="1"/>
  <c r="AH708" i="95"/>
  <c r="E8" i="80"/>
  <c r="G74" i="60"/>
  <c r="AH525" i="95"/>
  <c r="AF123" i="95"/>
  <c r="Z382" i="63"/>
  <c r="Z383" i="63" s="1"/>
  <c r="Z1110" i="59" s="1"/>
  <c r="Z376" i="63"/>
  <c r="Z1108" i="59" s="1"/>
  <c r="AF968" i="95"/>
  <c r="AF967" i="95" s="1"/>
  <c r="AF956" i="95" s="1"/>
  <c r="AF939" i="95"/>
  <c r="AF938" i="95" s="1"/>
  <c r="AF901" i="95"/>
  <c r="AG341" i="59"/>
  <c r="AG28" i="60"/>
  <c r="AD182" i="60"/>
  <c r="AD377" i="59"/>
  <c r="AD389" i="59" s="1"/>
  <c r="AH443" i="95"/>
  <c r="AH559" i="95"/>
  <c r="AE1040" i="95"/>
  <c r="AE1039" i="95" s="1"/>
  <c r="AE1056" i="95" s="1"/>
  <c r="AE1055" i="95" s="1"/>
  <c r="AE936" i="95"/>
  <c r="AE1061" i="95"/>
  <c r="AE1060" i="95" s="1"/>
  <c r="AE1059" i="95" s="1"/>
  <c r="AE1075" i="95"/>
  <c r="AE1074" i="95" s="1"/>
  <c r="AE1073" i="95" s="1"/>
  <c r="AF1041" i="95"/>
  <c r="AF60" i="95"/>
  <c r="AF59" i="95" s="1"/>
  <c r="AH59" i="95" s="1"/>
  <c r="AI343" i="59"/>
  <c r="AI217" i="59" s="1"/>
  <c r="AI30" i="60"/>
  <c r="G171" i="60"/>
  <c r="G344" i="63"/>
  <c r="G346" i="63" s="1"/>
  <c r="H292" i="63"/>
  <c r="L69" i="60"/>
  <c r="AE901" i="95"/>
  <c r="AG340" i="59"/>
  <c r="AG215" i="59" s="1"/>
  <c r="AG27" i="60"/>
  <c r="AB29" i="68"/>
  <c r="Z12" i="80"/>
  <c r="AB118" i="60"/>
  <c r="AB120" i="60" s="1"/>
  <c r="I255" i="63"/>
  <c r="I240" i="63"/>
  <c r="L63" i="68"/>
  <c r="L52" i="68"/>
  <c r="AB44" i="60"/>
  <c r="AE576" i="95"/>
  <c r="AE593" i="95" s="1"/>
  <c r="AE592" i="95" s="1"/>
  <c r="AH21" i="95"/>
  <c r="AE399" i="95"/>
  <c r="AE419" i="95"/>
  <c r="AF149" i="24" s="1"/>
  <c r="AI261" i="59" s="1"/>
  <c r="AI316" i="59" s="1"/>
  <c r="AF43" i="95"/>
  <c r="AF42" i="95" s="1"/>
  <c r="AH42" i="95" s="1"/>
  <c r="AF72" i="95"/>
  <c r="AF576" i="95"/>
  <c r="AF776" i="95"/>
  <c r="AF772" i="95"/>
  <c r="AF762" i="95" s="1"/>
  <c r="AF801" i="95"/>
  <c r="AF800" i="95" s="1"/>
  <c r="AF789" i="95" s="1"/>
  <c r="AH1007" i="95"/>
  <c r="AH728" i="95"/>
  <c r="L50" i="73"/>
  <c r="AB26" i="68"/>
  <c r="AB942" i="59"/>
  <c r="AB147" i="60"/>
  <c r="AE117" i="60"/>
  <c r="AE48" i="73"/>
  <c r="AC5" i="80"/>
  <c r="AH627" i="95"/>
  <c r="AD929" i="95"/>
  <c r="AE153" i="24" s="1"/>
  <c r="AH265" i="59" s="1"/>
  <c r="AH320" i="59" s="1"/>
  <c r="AC366" i="59"/>
  <c r="AC367" i="59" s="1"/>
  <c r="AC368" i="59" s="1"/>
  <c r="AC369" i="59" s="1"/>
  <c r="AC388" i="59" s="1"/>
  <c r="AC391" i="59" s="1"/>
  <c r="AC42" i="60" s="1"/>
  <c r="AC44" i="60" s="1"/>
  <c r="AA17" i="80"/>
  <c r="AC143" i="60"/>
  <c r="AF811" i="95"/>
  <c r="AH811" i="95" s="1"/>
  <c r="AH430" i="95"/>
  <c r="AH572" i="95"/>
  <c r="AE596" i="95"/>
  <c r="P955" i="59"/>
  <c r="P943" i="59" s="1"/>
  <c r="P945" i="59" s="1"/>
  <c r="AE772" i="95"/>
  <c r="AE762" i="95" s="1"/>
  <c r="AE801" i="95"/>
  <c r="AE800" i="95" s="1"/>
  <c r="AE789" i="95" s="1"/>
  <c r="AF178" i="95"/>
  <c r="L78" i="73"/>
  <c r="L90" i="73" s="1"/>
  <c r="AG273" i="59"/>
  <c r="AG314" i="59"/>
  <c r="N60" i="60"/>
  <c r="AF596" i="95"/>
  <c r="AF332" i="59"/>
  <c r="AF335" i="59"/>
  <c r="AF22" i="60"/>
  <c r="AF40" i="60" s="1"/>
  <c r="AD19" i="60"/>
  <c r="AD114" i="60"/>
  <c r="AD115" i="60" s="1"/>
  <c r="AE178" i="95"/>
  <c r="AA357" i="63"/>
  <c r="AA359" i="63" s="1"/>
  <c r="AA364" i="63" s="1"/>
  <c r="AA375" i="63" s="1"/>
  <c r="AB172" i="60"/>
  <c r="AE112" i="95"/>
  <c r="AE111" i="95" s="1"/>
  <c r="AE89" i="95"/>
  <c r="AE88" i="95" s="1"/>
  <c r="AE374" i="59"/>
  <c r="AE375" i="59" s="1"/>
  <c r="AE376" i="59" s="1"/>
  <c r="AE353" i="59"/>
  <c r="AE356" i="59" s="1"/>
  <c r="AE144" i="60" s="1"/>
  <c r="AE27" i="68" s="1"/>
  <c r="AE210" i="59"/>
  <c r="AE223" i="59" s="1"/>
  <c r="AE231" i="59" s="1"/>
  <c r="AE233" i="59" s="1"/>
  <c r="AE195" i="59" s="1"/>
  <c r="AE198" i="59" s="1"/>
  <c r="AE18" i="60" s="1"/>
  <c r="AF943" i="95"/>
  <c r="AA954" i="59"/>
  <c r="L33" i="68"/>
  <c r="AF279" i="95" l="1"/>
  <c r="AF278" i="95" s="1"/>
  <c r="AF90" i="95"/>
  <c r="AF305" i="95"/>
  <c r="AH305" i="95" s="1"/>
  <c r="AH897" i="95"/>
  <c r="AH881" i="95"/>
  <c r="AH943" i="95"/>
  <c r="AH399" i="95"/>
  <c r="AH361" i="95"/>
  <c r="AH915" i="95"/>
  <c r="AH742" i="95"/>
  <c r="AH1019" i="95"/>
  <c r="AF385" i="59"/>
  <c r="AF390" i="59" s="1"/>
  <c r="AH610" i="95"/>
  <c r="AH29" i="95"/>
  <c r="O50" i="68"/>
  <c r="O76" i="73"/>
  <c r="O78" i="73" s="1"/>
  <c r="O90" i="73" s="1"/>
  <c r="O49" i="73"/>
  <c r="O50" i="73" s="1"/>
  <c r="O63" i="73" s="1"/>
  <c r="O28" i="68"/>
  <c r="O33" i="68" s="1"/>
  <c r="O62" i="60"/>
  <c r="O69" i="60" s="1"/>
  <c r="O320" i="63" s="1"/>
  <c r="M7" i="80"/>
  <c r="O123" i="60"/>
  <c r="O126" i="60" s="1"/>
  <c r="AH776" i="95"/>
  <c r="AH25" i="60"/>
  <c r="AG211" i="59"/>
  <c r="AH852" i="95"/>
  <c r="AH313" i="95"/>
  <c r="AF358" i="95"/>
  <c r="AF357" i="95" s="1"/>
  <c r="AH357" i="95" s="1"/>
  <c r="AH27" i="60"/>
  <c r="AH222" i="95"/>
  <c r="AF419" i="95"/>
  <c r="AG149" i="24" s="1"/>
  <c r="AJ261" i="59" s="1"/>
  <c r="AH26" i="60"/>
  <c r="AE245" i="95"/>
  <c r="AF148" i="24" s="1"/>
  <c r="AI260" i="59" s="1"/>
  <c r="AI315" i="59" s="1"/>
  <c r="AI23" i="60" s="1"/>
  <c r="AH596" i="95"/>
  <c r="AE9" i="95"/>
  <c r="AF147" i="24" s="1"/>
  <c r="AI259" i="59" s="1"/>
  <c r="AE692" i="95"/>
  <c r="AE691" i="95" s="1"/>
  <c r="AE618" i="95" s="1"/>
  <c r="AF151" i="24" s="1"/>
  <c r="AI263" i="59" s="1"/>
  <c r="AI318" i="59" s="1"/>
  <c r="AI26" i="60" s="1"/>
  <c r="AF693" i="95"/>
  <c r="AF692" i="95" s="1"/>
  <c r="AF691" i="95" s="1"/>
  <c r="AD7" i="95"/>
  <c r="AH956" i="95"/>
  <c r="AH789" i="95"/>
  <c r="AH23" i="60"/>
  <c r="AH336" i="59"/>
  <c r="P956" i="59"/>
  <c r="Q953" i="59" s="1"/>
  <c r="Q955" i="59" s="1"/>
  <c r="Q943" i="59" s="1"/>
  <c r="Q945" i="59" s="1"/>
  <c r="AF750" i="95"/>
  <c r="AH762" i="95"/>
  <c r="AC252" i="63"/>
  <c r="AC253" i="63" s="1"/>
  <c r="AC258" i="63" s="1"/>
  <c r="AC56" i="60"/>
  <c r="P949" i="59"/>
  <c r="P948" i="59"/>
  <c r="P947" i="59"/>
  <c r="L63" i="73"/>
  <c r="L320" i="63"/>
  <c r="AF936" i="95"/>
  <c r="AF1061" i="95"/>
  <c r="AF1060" i="95" s="1"/>
  <c r="AF1059" i="95" s="1"/>
  <c r="AH1059" i="95" s="1"/>
  <c r="AF1075" i="95"/>
  <c r="AF1074" i="95" s="1"/>
  <c r="AF1073" i="95" s="1"/>
  <c r="AH1073" i="95" s="1"/>
  <c r="AF1040" i="95"/>
  <c r="AF1039" i="95" s="1"/>
  <c r="AF175" i="95"/>
  <c r="AF174" i="95" s="1"/>
  <c r="AH174" i="95" s="1"/>
  <c r="AH123" i="95"/>
  <c r="AF301" i="95"/>
  <c r="AH301" i="95" s="1"/>
  <c r="AG302" i="95"/>
  <c r="AG332" i="59"/>
  <c r="AG335" i="59"/>
  <c r="AG22" i="60"/>
  <c r="AG40" i="60" s="1"/>
  <c r="N49" i="73"/>
  <c r="N123" i="60"/>
  <c r="N126" i="60" s="1"/>
  <c r="N28" i="68"/>
  <c r="N76" i="73"/>
  <c r="L7" i="80"/>
  <c r="N50" i="68"/>
  <c r="N62" i="60"/>
  <c r="L55" i="68"/>
  <c r="L73" i="68"/>
  <c r="M73" i="68" s="1"/>
  <c r="AF117" i="60"/>
  <c r="AF48" i="73"/>
  <c r="AD5" i="80"/>
  <c r="AE750" i="95"/>
  <c r="AF152" i="24" s="1"/>
  <c r="AI264" i="59" s="1"/>
  <c r="AI319" i="59" s="1"/>
  <c r="AE114" i="60"/>
  <c r="AE115" i="60" s="1"/>
  <c r="AE19" i="60"/>
  <c r="AC29" i="68"/>
  <c r="AA12" i="80"/>
  <c r="AC118" i="60"/>
  <c r="AC120" i="60" s="1"/>
  <c r="AC172" i="60"/>
  <c r="L64" i="68"/>
  <c r="I259" i="63"/>
  <c r="AD366" i="59"/>
  <c r="AD367" i="59" s="1"/>
  <c r="AD368" i="59" s="1"/>
  <c r="AD369" i="59" s="1"/>
  <c r="AD388" i="59" s="1"/>
  <c r="AD391" i="59" s="1"/>
  <c r="AD42" i="60" s="1"/>
  <c r="AB17" i="80"/>
  <c r="AD143" i="60"/>
  <c r="AH178" i="95"/>
  <c r="AH341" i="59"/>
  <c r="AH28" i="60"/>
  <c r="AI337" i="59"/>
  <c r="AI212" i="59" s="1"/>
  <c r="AI24" i="60"/>
  <c r="AH901" i="95"/>
  <c r="AE929" i="95"/>
  <c r="AF153" i="24" s="1"/>
  <c r="AI265" i="59" s="1"/>
  <c r="AI320" i="59" s="1"/>
  <c r="AH938" i="95"/>
  <c r="G128" i="60"/>
  <c r="G76" i="60"/>
  <c r="AF71" i="95"/>
  <c r="AF69" i="95" s="1"/>
  <c r="AH69" i="95" s="1"/>
  <c r="AE519" i="95"/>
  <c r="AF150" i="24" s="1"/>
  <c r="AI262" i="59" s="1"/>
  <c r="AI317" i="59" s="1"/>
  <c r="AF353" i="59"/>
  <c r="AF356" i="59" s="1"/>
  <c r="AF144" i="60" s="1"/>
  <c r="AF27" i="68" s="1"/>
  <c r="AF374" i="59"/>
  <c r="AF375" i="59" s="1"/>
  <c r="AF376" i="59" s="1"/>
  <c r="AF210" i="59"/>
  <c r="AF223" i="59" s="1"/>
  <c r="AF231" i="59" s="1"/>
  <c r="AF233" i="59" s="1"/>
  <c r="AF195" i="59" s="1"/>
  <c r="AF198" i="59" s="1"/>
  <c r="AF18" i="60" s="1"/>
  <c r="AB954" i="59"/>
  <c r="AG183" i="60"/>
  <c r="AG385" i="59"/>
  <c r="AG390" i="59" s="1"/>
  <c r="H334" i="63"/>
  <c r="H312" i="63"/>
  <c r="H313" i="63" s="1"/>
  <c r="AF89" i="95"/>
  <c r="AF88" i="95" s="1"/>
  <c r="AH88" i="95" s="1"/>
  <c r="AF112" i="95"/>
  <c r="AF111" i="95" s="1"/>
  <c r="AH111" i="95" s="1"/>
  <c r="AH278" i="95"/>
  <c r="AB357" i="63"/>
  <c r="AB359" i="63" s="1"/>
  <c r="AB364" i="63" s="1"/>
  <c r="AB375" i="63" s="1"/>
  <c r="G1111" i="59"/>
  <c r="AE182" i="60"/>
  <c r="AE377" i="59"/>
  <c r="AE389" i="59" s="1"/>
  <c r="AA382" i="63"/>
  <c r="AA383" i="63" s="1"/>
  <c r="AA1110" i="59" s="1"/>
  <c r="AA376" i="63"/>
  <c r="AA1108" i="59" s="1"/>
  <c r="AC942" i="59"/>
  <c r="AC26" i="68"/>
  <c r="AC147" i="60"/>
  <c r="AF593" i="95"/>
  <c r="AF592" i="95" s="1"/>
  <c r="AH592" i="95" s="1"/>
  <c r="AH576" i="95"/>
  <c r="AB252" i="63"/>
  <c r="AB253" i="63" s="1"/>
  <c r="AB258" i="63" s="1"/>
  <c r="AB56" i="60"/>
  <c r="AF1380" i="95"/>
  <c r="AH1404" i="95"/>
  <c r="AH273" i="59"/>
  <c r="AH314" i="59"/>
  <c r="AF245" i="95" l="1"/>
  <c r="AG148" i="24" s="1"/>
  <c r="AJ260" i="59" s="1"/>
  <c r="O63" i="68"/>
  <c r="O64" i="68" s="1"/>
  <c r="O52" i="68"/>
  <c r="O55" i="68" s="1"/>
  <c r="AH419" i="95"/>
  <c r="AI336" i="59"/>
  <c r="AI382" i="59" s="1"/>
  <c r="AI383" i="59" s="1"/>
  <c r="AI384" i="59" s="1"/>
  <c r="AI339" i="59"/>
  <c r="AI214" i="59" s="1"/>
  <c r="AF9" i="95"/>
  <c r="AG147" i="24" s="1"/>
  <c r="AJ259" i="59" s="1"/>
  <c r="AH211" i="59"/>
  <c r="AH382" i="59"/>
  <c r="AH383" i="59" s="1"/>
  <c r="AH384" i="59" s="1"/>
  <c r="AH691" i="95"/>
  <c r="AF618" i="95"/>
  <c r="AE7" i="95"/>
  <c r="AH332" i="59"/>
  <c r="AH335" i="59"/>
  <c r="AH22" i="60"/>
  <c r="AH40" i="60" s="1"/>
  <c r="AC357" i="63"/>
  <c r="AC359" i="63" s="1"/>
  <c r="AC364" i="63" s="1"/>
  <c r="AC375" i="63" s="1"/>
  <c r="G81" i="60"/>
  <c r="AD118" i="60"/>
  <c r="AD120" i="60" s="1"/>
  <c r="AB12" i="80"/>
  <c r="AD29" i="68"/>
  <c r="Q947" i="59"/>
  <c r="Q949" i="59"/>
  <c r="Q948" i="59"/>
  <c r="H315" i="63"/>
  <c r="H330" i="63" s="1"/>
  <c r="H316" i="63"/>
  <c r="H339" i="63" s="1"/>
  <c r="AB382" i="63"/>
  <c r="AB383" i="63" s="1"/>
  <c r="AB1110" i="59" s="1"/>
  <c r="AB376" i="63"/>
  <c r="AB1108" i="59" s="1"/>
  <c r="G130" i="60"/>
  <c r="I269" i="63"/>
  <c r="I260" i="63"/>
  <c r="AI27" i="60"/>
  <c r="AI340" i="59"/>
  <c r="AI215" i="59" s="1"/>
  <c r="Q956" i="59"/>
  <c r="R953" i="59" s="1"/>
  <c r="N50" i="73"/>
  <c r="P951" i="59"/>
  <c r="P985" i="59" s="1"/>
  <c r="P60" i="60" s="1"/>
  <c r="AG48" i="73"/>
  <c r="AG117" i="60"/>
  <c r="AE5" i="80"/>
  <c r="AF114" i="60"/>
  <c r="AF115" i="60" s="1"/>
  <c r="AF19" i="60"/>
  <c r="AJ316" i="59"/>
  <c r="F261" i="59"/>
  <c r="N69" i="60"/>
  <c r="AG353" i="59"/>
  <c r="AG356" i="59" s="1"/>
  <c r="AG144" i="60" s="1"/>
  <c r="AG27" i="68" s="1"/>
  <c r="AG374" i="59"/>
  <c r="AG375" i="59" s="1"/>
  <c r="AG376" i="59" s="1"/>
  <c r="AG210" i="59"/>
  <c r="AG223" i="59" s="1"/>
  <c r="AG231" i="59" s="1"/>
  <c r="AG233" i="59" s="1"/>
  <c r="AG195" i="59" s="1"/>
  <c r="AG198" i="59" s="1"/>
  <c r="AG18" i="60" s="1"/>
  <c r="AI273" i="59"/>
  <c r="AI314" i="59"/>
  <c r="AF1056" i="95"/>
  <c r="AF1055" i="95" s="1"/>
  <c r="AH1055" i="95" s="1"/>
  <c r="AH1039" i="95"/>
  <c r="AF377" i="59"/>
  <c r="AF389" i="59" s="1"/>
  <c r="AF182" i="60"/>
  <c r="AD26" i="68"/>
  <c r="AD942" i="59"/>
  <c r="AD147" i="60"/>
  <c r="N52" i="68"/>
  <c r="N73" i="68" s="1"/>
  <c r="N63" i="68"/>
  <c r="AI341" i="59"/>
  <c r="AI28" i="60"/>
  <c r="AD44" i="60"/>
  <c r="AF519" i="95"/>
  <c r="AG155" i="24"/>
  <c r="AJ267" i="59" s="1"/>
  <c r="AH1380" i="95"/>
  <c r="AI338" i="59"/>
  <c r="AI213" i="59" s="1"/>
  <c r="AI25" i="60"/>
  <c r="AE366" i="59"/>
  <c r="AE367" i="59" s="1"/>
  <c r="AE368" i="59" s="1"/>
  <c r="AE369" i="59" s="1"/>
  <c r="AE388" i="59" s="1"/>
  <c r="AE391" i="59" s="1"/>
  <c r="AE42" i="60" s="1"/>
  <c r="AE143" i="60"/>
  <c r="AC17" i="80"/>
  <c r="N78" i="73"/>
  <c r="N90" i="73" s="1"/>
  <c r="G1112" i="59"/>
  <c r="AC954" i="59"/>
  <c r="AD172" i="60"/>
  <c r="L74" i="68"/>
  <c r="N33" i="68"/>
  <c r="AG152" i="24"/>
  <c r="AJ264" i="59" s="1"/>
  <c r="AH750" i="95"/>
  <c r="AH245" i="95" l="1"/>
  <c r="O73" i="68"/>
  <c r="AI211" i="59"/>
  <c r="AH9" i="95"/>
  <c r="AF929" i="95"/>
  <c r="AF7" i="95" s="1"/>
  <c r="AH7" i="95" s="1"/>
  <c r="AH618" i="95"/>
  <c r="AG151" i="24"/>
  <c r="AJ263" i="59" s="1"/>
  <c r="AH183" i="60"/>
  <c r="AH385" i="59"/>
  <c r="AH390" i="59" s="1"/>
  <c r="AC12" i="80"/>
  <c r="AE29" i="68"/>
  <c r="AE118" i="60"/>
  <c r="AE120" i="60" s="1"/>
  <c r="AE44" i="60"/>
  <c r="AJ322" i="59"/>
  <c r="F267" i="59"/>
  <c r="AI332" i="59"/>
  <c r="AI335" i="59"/>
  <c r="AI22" i="60"/>
  <c r="AI40" i="60" s="1"/>
  <c r="G1094" i="59"/>
  <c r="G1062" i="59"/>
  <c r="AE172" i="60"/>
  <c r="AG150" i="24"/>
  <c r="AJ262" i="59" s="1"/>
  <c r="AH519" i="95"/>
  <c r="AJ319" i="59"/>
  <c r="F264" i="59"/>
  <c r="AI183" i="60"/>
  <c r="AI385" i="59"/>
  <c r="AI390" i="59" s="1"/>
  <c r="AG114" i="60"/>
  <c r="AG115" i="60" s="1"/>
  <c r="AG19" i="60"/>
  <c r="AJ24" i="60"/>
  <c r="F24" i="60" s="1"/>
  <c r="AJ337" i="59"/>
  <c r="F316" i="59"/>
  <c r="AJ315" i="59"/>
  <c r="F260" i="59"/>
  <c r="AJ314" i="59"/>
  <c r="F259" i="59"/>
  <c r="I245" i="63"/>
  <c r="I274" i="63"/>
  <c r="AC382" i="63"/>
  <c r="AC383" i="63" s="1"/>
  <c r="AC1110" i="59" s="1"/>
  <c r="AC376" i="63"/>
  <c r="AC1108" i="59" s="1"/>
  <c r="AG182" i="60"/>
  <c r="AG377" i="59"/>
  <c r="AG389" i="59" s="1"/>
  <c r="N64" i="68"/>
  <c r="P49" i="73"/>
  <c r="P50" i="73" s="1"/>
  <c r="P63" i="73" s="1"/>
  <c r="P76" i="73"/>
  <c r="P78" i="73" s="1"/>
  <c r="P90" i="73" s="1"/>
  <c r="P123" i="60"/>
  <c r="P126" i="60" s="1"/>
  <c r="P28" i="68"/>
  <c r="P33" i="68" s="1"/>
  <c r="N7" i="80"/>
  <c r="P50" i="68"/>
  <c r="P62" i="60"/>
  <c r="P69" i="60" s="1"/>
  <c r="Q951" i="59"/>
  <c r="Q985" i="59" s="1"/>
  <c r="Q60" i="60" s="1"/>
  <c r="M74" i="68"/>
  <c r="N55" i="68"/>
  <c r="G134" i="60"/>
  <c r="AH117" i="60"/>
  <c r="AH48" i="73"/>
  <c r="AF5" i="80"/>
  <c r="AF366" i="59"/>
  <c r="AF367" i="59" s="1"/>
  <c r="AF368" i="59" s="1"/>
  <c r="AF143" i="60"/>
  <c r="AD17" i="80"/>
  <c r="AD357" i="63"/>
  <c r="AD359" i="63" s="1"/>
  <c r="AD364" i="63" s="1"/>
  <c r="AD375" i="63" s="1"/>
  <c r="N320" i="63"/>
  <c r="N63" i="73"/>
  <c r="AH353" i="59"/>
  <c r="AH356" i="59" s="1"/>
  <c r="AH144" i="60" s="1"/>
  <c r="AH27" i="68" s="1"/>
  <c r="AH374" i="59"/>
  <c r="AH375" i="59" s="1"/>
  <c r="AH376" i="59" s="1"/>
  <c r="AH210" i="59"/>
  <c r="AH223" i="59" s="1"/>
  <c r="AH231" i="59" s="1"/>
  <c r="AH233" i="59" s="1"/>
  <c r="AH195" i="59" s="1"/>
  <c r="AH198" i="59" s="1"/>
  <c r="AH18" i="60" s="1"/>
  <c r="G1115" i="59"/>
  <c r="AE26" i="68"/>
  <c r="AE942" i="59"/>
  <c r="AE147" i="60"/>
  <c r="AD252" i="63"/>
  <c r="AD253" i="63" s="1"/>
  <c r="AD258" i="63" s="1"/>
  <c r="AD56" i="60"/>
  <c r="AD954" i="59"/>
  <c r="R955" i="59"/>
  <c r="R943" i="59" s="1"/>
  <c r="R945" i="59" s="1"/>
  <c r="AH929" i="95" l="1"/>
  <c r="AG153" i="24"/>
  <c r="AJ265" i="59" s="1"/>
  <c r="AJ320" i="59" s="1"/>
  <c r="R956" i="59"/>
  <c r="S953" i="59" s="1"/>
  <c r="S955" i="59" s="1"/>
  <c r="S943" i="59" s="1"/>
  <c r="S945" i="59" s="1"/>
  <c r="AJ318" i="59"/>
  <c r="F263" i="59"/>
  <c r="P320" i="63"/>
  <c r="AJ336" i="59"/>
  <c r="AJ23" i="60"/>
  <c r="F23" i="60" s="1"/>
  <c r="F315" i="59"/>
  <c r="AF172" i="60"/>
  <c r="P52" i="68"/>
  <c r="P63" i="68"/>
  <c r="P64" i="68" s="1"/>
  <c r="AH377" i="59"/>
  <c r="AH389" i="59" s="1"/>
  <c r="AH182" i="60"/>
  <c r="AE357" i="63"/>
  <c r="AE359" i="63" s="1"/>
  <c r="AE364" i="63" s="1"/>
  <c r="AE375" i="63" s="1"/>
  <c r="AJ212" i="59"/>
  <c r="F212" i="59" s="1"/>
  <c r="F337" i="59"/>
  <c r="AJ340" i="59"/>
  <c r="AJ27" i="60"/>
  <c r="F27" i="60" s="1"/>
  <c r="F319" i="59"/>
  <c r="G1057" i="59"/>
  <c r="AE954" i="59"/>
  <c r="AD382" i="63"/>
  <c r="AD383" i="63" s="1"/>
  <c r="AD1110" i="59" s="1"/>
  <c r="AD376" i="63"/>
  <c r="AD1108" i="59" s="1"/>
  <c r="I246" i="63"/>
  <c r="J243" i="63" s="1"/>
  <c r="AJ30" i="60"/>
  <c r="F30" i="60" s="1"/>
  <c r="AJ343" i="59"/>
  <c r="F322" i="59"/>
  <c r="AG366" i="59"/>
  <c r="AG367" i="59" s="1"/>
  <c r="AG368" i="59" s="1"/>
  <c r="AG369" i="59" s="1"/>
  <c r="AG388" i="59" s="1"/>
  <c r="AG391" i="59" s="1"/>
  <c r="AG42" i="60" s="1"/>
  <c r="AG143" i="60"/>
  <c r="AE17" i="80"/>
  <c r="AE252" i="63"/>
  <c r="AE253" i="63" s="1"/>
  <c r="AE258" i="63" s="1"/>
  <c r="AE56" i="60"/>
  <c r="N74" i="68"/>
  <c r="AJ22" i="60"/>
  <c r="AJ335" i="59"/>
  <c r="F314" i="59"/>
  <c r="Q76" i="73"/>
  <c r="Q78" i="73" s="1"/>
  <c r="Q90" i="73" s="1"/>
  <c r="Q28" i="68"/>
  <c r="Q33" i="68" s="1"/>
  <c r="Q49" i="73"/>
  <c r="Q50" i="73" s="1"/>
  <c r="Q63" i="73" s="1"/>
  <c r="Q123" i="60"/>
  <c r="Q126" i="60" s="1"/>
  <c r="O7" i="80"/>
  <c r="Q50" i="68"/>
  <c r="Q62" i="60"/>
  <c r="Q69" i="60" s="1"/>
  <c r="AJ317" i="59"/>
  <c r="F262" i="59"/>
  <c r="AI117" i="60"/>
  <c r="AI48" i="73"/>
  <c r="AG5" i="80"/>
  <c r="R948" i="59"/>
  <c r="R947" i="59"/>
  <c r="R949" i="59"/>
  <c r="AH19" i="60"/>
  <c r="AH114" i="60"/>
  <c r="AH115" i="60" s="1"/>
  <c r="AF942" i="59"/>
  <c r="AF26" i="68"/>
  <c r="AF147" i="60"/>
  <c r="AF369" i="59"/>
  <c r="AF388" i="59" s="1"/>
  <c r="AF391" i="59" s="1"/>
  <c r="AF42" i="60" s="1"/>
  <c r="AI374" i="59"/>
  <c r="AI375" i="59" s="1"/>
  <c r="AI376" i="59" s="1"/>
  <c r="AI353" i="59"/>
  <c r="AI356" i="59" s="1"/>
  <c r="AI144" i="60" s="1"/>
  <c r="AI27" i="68" s="1"/>
  <c r="AI210" i="59"/>
  <c r="AI223" i="59" s="1"/>
  <c r="AI231" i="59" s="1"/>
  <c r="AI233" i="59" s="1"/>
  <c r="AI195" i="59" s="1"/>
  <c r="AI198" i="59" s="1"/>
  <c r="AI18" i="60" s="1"/>
  <c r="AJ273" i="59" l="1"/>
  <c r="F273" i="59" s="1"/>
  <c r="F265" i="59"/>
  <c r="AJ332" i="59"/>
  <c r="F332" i="59" s="1"/>
  <c r="AJ339" i="59"/>
  <c r="F318" i="59"/>
  <c r="AJ26" i="60"/>
  <c r="F26" i="60" s="1"/>
  <c r="AG118" i="60"/>
  <c r="AG120" i="60" s="1"/>
  <c r="AG29" i="68"/>
  <c r="AE12" i="80"/>
  <c r="AG44" i="60"/>
  <c r="AE382" i="63"/>
  <c r="AE383" i="63" s="1"/>
  <c r="AE1110" i="59" s="1"/>
  <c r="AE376" i="63"/>
  <c r="AE1108" i="59" s="1"/>
  <c r="R951" i="59"/>
  <c r="R985" i="59" s="1"/>
  <c r="R60" i="60" s="1"/>
  <c r="AJ25" i="60"/>
  <c r="F25" i="60" s="1"/>
  <c r="AJ338" i="59"/>
  <c r="AJ374" i="59" s="1"/>
  <c r="F317" i="59"/>
  <c r="F22" i="60"/>
  <c r="AJ210" i="59"/>
  <c r="F335" i="59"/>
  <c r="J255" i="63"/>
  <c r="J240" i="63"/>
  <c r="AJ215" i="59"/>
  <c r="F215" i="59" s="1"/>
  <c r="F340" i="59"/>
  <c r="O74" i="68"/>
  <c r="AG26" i="68"/>
  <c r="AG942" i="59"/>
  <c r="AG147" i="60"/>
  <c r="Q320" i="63"/>
  <c r="AG172" i="60"/>
  <c r="AI19" i="60"/>
  <c r="AI114" i="60"/>
  <c r="AI115" i="60" s="1"/>
  <c r="Q63" i="68"/>
  <c r="Q64" i="68" s="1"/>
  <c r="Q52" i="68"/>
  <c r="Q55" i="68" s="1"/>
  <c r="S956" i="59"/>
  <c r="T953" i="59" s="1"/>
  <c r="AJ382" i="59"/>
  <c r="AJ211" i="59"/>
  <c r="F211" i="59" s="1"/>
  <c r="F336" i="59"/>
  <c r="AJ28" i="60"/>
  <c r="F28" i="60" s="1"/>
  <c r="AJ341" i="59"/>
  <c r="F341" i="59" s="1"/>
  <c r="F320" i="59"/>
  <c r="AF357" i="63"/>
  <c r="AF359" i="63" s="1"/>
  <c r="AF364" i="63" s="1"/>
  <c r="AF375" i="63" s="1"/>
  <c r="AI377" i="59"/>
  <c r="AI389" i="59" s="1"/>
  <c r="AI182" i="60"/>
  <c r="AH366" i="59"/>
  <c r="AH367" i="59" s="1"/>
  <c r="AH368" i="59" s="1"/>
  <c r="AH369" i="59" s="1"/>
  <c r="AH388" i="59" s="1"/>
  <c r="AH391" i="59" s="1"/>
  <c r="AH42" i="60" s="1"/>
  <c r="AF17" i="80"/>
  <c r="AH143" i="60"/>
  <c r="G1063" i="59"/>
  <c r="G1058" i="59"/>
  <c r="G1089" i="59" s="1"/>
  <c r="AF954" i="59"/>
  <c r="S947" i="59"/>
  <c r="S948" i="59"/>
  <c r="S949" i="59"/>
  <c r="AD12" i="80"/>
  <c r="AF118" i="60"/>
  <c r="AF120" i="60" s="1"/>
  <c r="AF29" i="68"/>
  <c r="AF44" i="60"/>
  <c r="AJ217" i="59"/>
  <c r="F217" i="59" s="1"/>
  <c r="F343" i="59"/>
  <c r="P55" i="68"/>
  <c r="P73" i="68"/>
  <c r="G84" i="60" l="1"/>
  <c r="G136" i="60" s="1"/>
  <c r="G138" i="60" s="1"/>
  <c r="G1090" i="59"/>
  <c r="G1095" i="59"/>
  <c r="G161" i="60"/>
  <c r="AJ214" i="59"/>
  <c r="F214" i="59" s="1"/>
  <c r="F339" i="59"/>
  <c r="Q73" i="68"/>
  <c r="AF12" i="80"/>
  <c r="AH29" i="68"/>
  <c r="AH118" i="60"/>
  <c r="AH120" i="60" s="1"/>
  <c r="AH44" i="60"/>
  <c r="AJ375" i="59"/>
  <c r="AJ376" i="59" s="1"/>
  <c r="F374" i="59"/>
  <c r="AG357" i="63"/>
  <c r="AG359" i="63" s="1"/>
  <c r="AG364" i="63" s="1"/>
  <c r="AG375" i="63" s="1"/>
  <c r="J259" i="63"/>
  <c r="AG954" i="59"/>
  <c r="R28" i="68"/>
  <c r="R33" i="68" s="1"/>
  <c r="P7" i="80"/>
  <c r="R76" i="73"/>
  <c r="R78" i="73" s="1"/>
  <c r="R90" i="73" s="1"/>
  <c r="R49" i="73"/>
  <c r="R50" i="73" s="1"/>
  <c r="R63" i="73" s="1"/>
  <c r="R123" i="60"/>
  <c r="R126" i="60" s="1"/>
  <c r="R50" i="68"/>
  <c r="R62" i="60"/>
  <c r="R69" i="60" s="1"/>
  <c r="AJ383" i="59"/>
  <c r="AJ384" i="59" s="1"/>
  <c r="F382" i="59"/>
  <c r="AI366" i="59"/>
  <c r="AI367" i="59" s="1"/>
  <c r="AI368" i="59" s="1"/>
  <c r="AG17" i="80"/>
  <c r="AI143" i="60"/>
  <c r="AF382" i="63"/>
  <c r="AF383" i="63" s="1"/>
  <c r="AF1110" i="59" s="1"/>
  <c r="AF376" i="63"/>
  <c r="AF1108" i="59" s="1"/>
  <c r="T955" i="59"/>
  <c r="T943" i="59" s="1"/>
  <c r="T945" i="59" s="1"/>
  <c r="P74" i="68"/>
  <c r="Q74" i="68" s="1"/>
  <c r="AG252" i="63"/>
  <c r="AG253" i="63" s="1"/>
  <c r="AG258" i="63" s="1"/>
  <c r="AG56" i="60"/>
  <c r="S951" i="59"/>
  <c r="S985" i="59" s="1"/>
  <c r="S60" i="60" s="1"/>
  <c r="AF252" i="63"/>
  <c r="AF253" i="63" s="1"/>
  <c r="AF258" i="63" s="1"/>
  <c r="AF56" i="60"/>
  <c r="AH942" i="59"/>
  <c r="AH26" i="68"/>
  <c r="AH147" i="60"/>
  <c r="G188" i="60"/>
  <c r="H1055" i="59"/>
  <c r="AH172" i="60"/>
  <c r="F210" i="59"/>
  <c r="AJ40" i="60"/>
  <c r="E18" i="80"/>
  <c r="AJ353" i="59"/>
  <c r="AJ213" i="59"/>
  <c r="F213" i="59" s="1"/>
  <c r="F338" i="59"/>
  <c r="AK377" i="59" l="1"/>
  <c r="AK389" i="59" s="1"/>
  <c r="AJ182" i="60"/>
  <c r="AJ377" i="59"/>
  <c r="AJ389" i="59" s="1"/>
  <c r="F389" i="59" s="1"/>
  <c r="G1100" i="59"/>
  <c r="G1101" i="59" s="1"/>
  <c r="G1096" i="59"/>
  <c r="AJ183" i="60"/>
  <c r="AK385" i="59"/>
  <c r="AK390" i="59" s="1"/>
  <c r="AJ385" i="59"/>
  <c r="AJ390" i="59" s="1"/>
  <c r="G189" i="60"/>
  <c r="H1088" i="59"/>
  <c r="AG376" i="63"/>
  <c r="AG1108" i="59" s="1"/>
  <c r="AG382" i="63"/>
  <c r="AG383" i="63" s="1"/>
  <c r="AG1110" i="59" s="1"/>
  <c r="R320" i="63"/>
  <c r="Q7" i="80"/>
  <c r="S123" i="60"/>
  <c r="S126" i="60" s="1"/>
  <c r="S28" i="68"/>
  <c r="S33" i="68" s="1"/>
  <c r="S76" i="73"/>
  <c r="S78" i="73" s="1"/>
  <c r="S90" i="73" s="1"/>
  <c r="S49" i="73"/>
  <c r="S50" i="73" s="1"/>
  <c r="S63" i="73" s="1"/>
  <c r="S50" i="68"/>
  <c r="S62" i="60"/>
  <c r="S69" i="60" s="1"/>
  <c r="R52" i="68"/>
  <c r="R63" i="68"/>
  <c r="R64" i="68" s="1"/>
  <c r="H319" i="63"/>
  <c r="H321" i="63" s="1"/>
  <c r="E22" i="80"/>
  <c r="AH357" i="63"/>
  <c r="AH359" i="63" s="1"/>
  <c r="AH364" i="63" s="1"/>
  <c r="AH375" i="63" s="1"/>
  <c r="AI172" i="60"/>
  <c r="AH252" i="63"/>
  <c r="AH253" i="63" s="1"/>
  <c r="AH258" i="63" s="1"/>
  <c r="AH56" i="60"/>
  <c r="AJ223" i="59"/>
  <c r="AH954" i="59"/>
  <c r="AI26" i="68"/>
  <c r="AI942" i="59"/>
  <c r="AI147" i="60"/>
  <c r="AJ356" i="59"/>
  <c r="F353" i="59"/>
  <c r="AI369" i="59"/>
  <c r="AI388" i="59" s="1"/>
  <c r="AI391" i="59" s="1"/>
  <c r="AI42" i="60" s="1"/>
  <c r="T949" i="59"/>
  <c r="T948" i="59"/>
  <c r="T947" i="59"/>
  <c r="AJ117" i="60"/>
  <c r="F117" i="60" s="1"/>
  <c r="AJ48" i="73"/>
  <c r="AH5" i="80"/>
  <c r="F40" i="60"/>
  <c r="T956" i="59"/>
  <c r="U953" i="59" s="1"/>
  <c r="J269" i="63"/>
  <c r="J260" i="63"/>
  <c r="G1104" i="59" l="1"/>
  <c r="G1114" i="59" s="1"/>
  <c r="G1116" i="59" s="1"/>
  <c r="G160" i="60" s="1"/>
  <c r="G162" i="60" s="1"/>
  <c r="G165" i="60" s="1"/>
  <c r="F390" i="59"/>
  <c r="AI954" i="59"/>
  <c r="AH382" i="63"/>
  <c r="AH383" i="63" s="1"/>
  <c r="AH1110" i="59" s="1"/>
  <c r="AH376" i="63"/>
  <c r="AH1108" i="59" s="1"/>
  <c r="R55" i="68"/>
  <c r="R74" i="68" s="1"/>
  <c r="R73" i="68"/>
  <c r="S320" i="63"/>
  <c r="S63" i="68"/>
  <c r="S64" i="68" s="1"/>
  <c r="S52" i="68"/>
  <c r="S55" i="68" s="1"/>
  <c r="U955" i="59"/>
  <c r="U943" i="59" s="1"/>
  <c r="U945" i="59" s="1"/>
  <c r="AG12" i="80"/>
  <c r="AI29" i="68"/>
  <c r="AI118" i="60"/>
  <c r="AI120" i="60" s="1"/>
  <c r="AI44" i="60"/>
  <c r="E34" i="66"/>
  <c r="D5" i="80"/>
  <c r="F48" i="73"/>
  <c r="T951" i="59"/>
  <c r="T985" i="59" s="1"/>
  <c r="T60" i="60" s="1"/>
  <c r="J245" i="63"/>
  <c r="J274" i="63"/>
  <c r="AJ231" i="59"/>
  <c r="F223" i="59"/>
  <c r="H323" i="63"/>
  <c r="H326" i="63"/>
  <c r="H327" i="63" s="1"/>
  <c r="AJ144" i="60"/>
  <c r="F356" i="59"/>
  <c r="AI357" i="63"/>
  <c r="AI359" i="63" s="1"/>
  <c r="AI364" i="63" s="1"/>
  <c r="AI375" i="63" s="1"/>
  <c r="G83" i="60" l="1"/>
  <c r="E13" i="80" s="1"/>
  <c r="G1064" i="59"/>
  <c r="G1065" i="59" s="1"/>
  <c r="G88" i="60" s="1"/>
  <c r="G89" i="60" s="1"/>
  <c r="H164" i="60"/>
  <c r="H1098" i="59" s="1"/>
  <c r="G190" i="60"/>
  <c r="G191" i="60" s="1"/>
  <c r="S74" i="68"/>
  <c r="T76" i="73"/>
  <c r="T78" i="73" s="1"/>
  <c r="T90" i="73" s="1"/>
  <c r="T123" i="60"/>
  <c r="T126" i="60" s="1"/>
  <c r="R7" i="80"/>
  <c r="T28" i="68"/>
  <c r="T33" i="68" s="1"/>
  <c r="T49" i="73"/>
  <c r="T50" i="73" s="1"/>
  <c r="T63" i="73" s="1"/>
  <c r="T50" i="68"/>
  <c r="T62" i="60"/>
  <c r="T69" i="60" s="1"/>
  <c r="H324" i="63"/>
  <c r="U948" i="59"/>
  <c r="U949" i="59"/>
  <c r="U947" i="59"/>
  <c r="J246" i="63"/>
  <c r="K243" i="63" s="1"/>
  <c r="AI382" i="63"/>
  <c r="AI383" i="63" s="1"/>
  <c r="AI1110" i="59" s="1"/>
  <c r="AI376" i="63"/>
  <c r="AI1108" i="59" s="1"/>
  <c r="AJ233" i="59"/>
  <c r="AJ195" i="59" s="1"/>
  <c r="F231" i="59"/>
  <c r="AI252" i="63"/>
  <c r="AI253" i="63" s="1"/>
  <c r="AI258" i="63" s="1"/>
  <c r="AI56" i="60"/>
  <c r="U956" i="59"/>
  <c r="V953" i="59" s="1"/>
  <c r="H335" i="63"/>
  <c r="H336" i="63" s="1"/>
  <c r="AJ27" i="68"/>
  <c r="F27" i="68" s="1"/>
  <c r="F144" i="60"/>
  <c r="S73" i="68"/>
  <c r="H1061" i="59" l="1"/>
  <c r="G170" i="60"/>
  <c r="G173" i="60" s="1"/>
  <c r="G178" i="60" s="1"/>
  <c r="G193" i="60" s="1"/>
  <c r="G86" i="60"/>
  <c r="E14" i="80"/>
  <c r="H1093" i="59"/>
  <c r="H1069" i="59"/>
  <c r="H1078" i="59" s="1"/>
  <c r="U951" i="59"/>
  <c r="U985" i="59" s="1"/>
  <c r="U60" i="60" s="1"/>
  <c r="U28" i="68" s="1"/>
  <c r="U33" i="68" s="1"/>
  <c r="V955" i="59"/>
  <c r="V943" i="59" s="1"/>
  <c r="V945" i="59" s="1"/>
  <c r="K240" i="63"/>
  <c r="K255" i="63"/>
  <c r="H329" i="63"/>
  <c r="T320" i="63"/>
  <c r="T63" i="68"/>
  <c r="T64" i="68" s="1"/>
  <c r="T52" i="68"/>
  <c r="T55" i="68" s="1"/>
  <c r="T74" i="68" s="1"/>
  <c r="H338" i="63"/>
  <c r="AJ198" i="59"/>
  <c r="F195" i="59"/>
  <c r="H152" i="60" l="1"/>
  <c r="H154" i="60" s="1"/>
  <c r="H967" i="59" s="1"/>
  <c r="H78" i="60"/>
  <c r="E15" i="80"/>
  <c r="E24" i="80"/>
  <c r="U76" i="73"/>
  <c r="U78" i="73" s="1"/>
  <c r="U90" i="73" s="1"/>
  <c r="U123" i="60"/>
  <c r="U126" i="60" s="1"/>
  <c r="U49" i="73"/>
  <c r="U50" i="73" s="1"/>
  <c r="U63" i="73" s="1"/>
  <c r="S7" i="80"/>
  <c r="U62" i="60"/>
  <c r="U69" i="60" s="1"/>
  <c r="U320" i="63" s="1"/>
  <c r="U50" i="68"/>
  <c r="U52" i="68" s="1"/>
  <c r="U55" i="68" s="1"/>
  <c r="U74" i="68" s="1"/>
  <c r="T73" i="68"/>
  <c r="K259" i="63"/>
  <c r="V948" i="59"/>
  <c r="V949" i="59"/>
  <c r="V947" i="59"/>
  <c r="V956" i="59"/>
  <c r="W953" i="59" s="1"/>
  <c r="AJ18" i="60"/>
  <c r="F198" i="59"/>
  <c r="H340" i="63"/>
  <c r="H331" i="63"/>
  <c r="H132" i="60" l="1"/>
  <c r="F21" i="80"/>
  <c r="U63" i="68"/>
  <c r="U64" i="68" s="1"/>
  <c r="V951" i="59"/>
  <c r="V985" i="59" s="1"/>
  <c r="V60" i="60" s="1"/>
  <c r="V123" i="60" s="1"/>
  <c r="V126" i="60" s="1"/>
  <c r="AJ19" i="60"/>
  <c r="AJ114" i="60"/>
  <c r="F18" i="60"/>
  <c r="H979" i="59"/>
  <c r="H970" i="59"/>
  <c r="H980" i="59"/>
  <c r="H968" i="59" s="1"/>
  <c r="H293" i="63"/>
  <c r="U73" i="68"/>
  <c r="K269" i="63"/>
  <c r="K260" i="63"/>
  <c r="W955" i="59"/>
  <c r="W943" i="59" s="1"/>
  <c r="W945" i="59" s="1"/>
  <c r="H294" i="63"/>
  <c r="H73" i="60" s="1"/>
  <c r="V76" i="73" l="1"/>
  <c r="V78" i="73" s="1"/>
  <c r="V90" i="73" s="1"/>
  <c r="V62" i="60"/>
  <c r="V69" i="60" s="1"/>
  <c r="V320" i="63" s="1"/>
  <c r="V28" i="68"/>
  <c r="V33" i="68" s="1"/>
  <c r="V50" i="68"/>
  <c r="V63" i="68" s="1"/>
  <c r="V64" i="68" s="1"/>
  <c r="V49" i="73"/>
  <c r="V50" i="73" s="1"/>
  <c r="V63" i="73" s="1"/>
  <c r="T7" i="80"/>
  <c r="W956" i="59"/>
  <c r="X953" i="59" s="1"/>
  <c r="W949" i="59"/>
  <c r="W947" i="59"/>
  <c r="W948" i="59"/>
  <c r="H973" i="59"/>
  <c r="H974" i="59"/>
  <c r="H972" i="59"/>
  <c r="H981" i="59"/>
  <c r="I978" i="59" s="1"/>
  <c r="K245" i="63"/>
  <c r="K274" i="63"/>
  <c r="AJ115" i="60"/>
  <c r="F114" i="60"/>
  <c r="F20" i="80"/>
  <c r="H72" i="60"/>
  <c r="H295" i="63"/>
  <c r="AJ366" i="59"/>
  <c r="AH17" i="80"/>
  <c r="AJ143" i="60"/>
  <c r="F19" i="60"/>
  <c r="X955" i="59" l="1"/>
  <c r="X943" i="59" s="1"/>
  <c r="X945" i="59" s="1"/>
  <c r="X948" i="59" s="1"/>
  <c r="V52" i="68"/>
  <c r="V55" i="68" s="1"/>
  <c r="V74" i="68" s="1"/>
  <c r="H976" i="59"/>
  <c r="AJ367" i="59"/>
  <c r="AJ368" i="59" s="1"/>
  <c r="F366" i="59"/>
  <c r="K246" i="63"/>
  <c r="L243" i="63" s="1"/>
  <c r="AJ26" i="68"/>
  <c r="AJ942" i="59"/>
  <c r="AJ147" i="60"/>
  <c r="F143" i="60"/>
  <c r="H344" i="63"/>
  <c r="H346" i="63" s="1"/>
  <c r="H171" i="60"/>
  <c r="I292" i="63"/>
  <c r="F115" i="60"/>
  <c r="W951" i="59"/>
  <c r="W985" i="59" s="1"/>
  <c r="W60" i="60" s="1"/>
  <c r="E21" i="66"/>
  <c r="D17" i="80"/>
  <c r="F8" i="80"/>
  <c r="H74" i="60"/>
  <c r="AJ172" i="60" l="1"/>
  <c r="AK369" i="59"/>
  <c r="AK388" i="59" s="1"/>
  <c r="AK391" i="59" s="1"/>
  <c r="AK42" i="60" s="1"/>
  <c r="AJ369" i="59"/>
  <c r="AJ388" i="59" s="1"/>
  <c r="X949" i="59"/>
  <c r="X947" i="59"/>
  <c r="X956" i="59"/>
  <c r="Y953" i="59" s="1"/>
  <c r="Y955" i="59" s="1"/>
  <c r="Y943" i="59" s="1"/>
  <c r="Y945" i="59" s="1"/>
  <c r="Y949" i="59" s="1"/>
  <c r="V73" i="68"/>
  <c r="AJ357" i="63"/>
  <c r="AJ359" i="63" s="1"/>
  <c r="AJ364" i="63" s="1"/>
  <c r="F147" i="60"/>
  <c r="AJ954" i="59"/>
  <c r="F942" i="59"/>
  <c r="H986" i="59"/>
  <c r="I312" i="63"/>
  <c r="I313" i="63" s="1"/>
  <c r="I334" i="63"/>
  <c r="H1111" i="59"/>
  <c r="F26" i="68"/>
  <c r="L255" i="63"/>
  <c r="L240" i="63"/>
  <c r="W28" i="68"/>
  <c r="W33" i="68" s="1"/>
  <c r="U7" i="80"/>
  <c r="W76" i="73"/>
  <c r="W78" i="73" s="1"/>
  <c r="W90" i="73" s="1"/>
  <c r="W49" i="73"/>
  <c r="W50" i="73" s="1"/>
  <c r="W63" i="73" s="1"/>
  <c r="W123" i="60"/>
  <c r="W126" i="60" s="1"/>
  <c r="W50" i="68"/>
  <c r="W62" i="60"/>
  <c r="W69" i="60" s="1"/>
  <c r="H128" i="60"/>
  <c r="H76" i="60"/>
  <c r="AJ391" i="59" l="1"/>
  <c r="F388" i="59"/>
  <c r="AK118" i="60"/>
  <c r="AK120" i="60" s="1"/>
  <c r="AK29" i="68"/>
  <c r="AK44" i="60"/>
  <c r="X951" i="59"/>
  <c r="X985" i="59" s="1"/>
  <c r="X60" i="60" s="1"/>
  <c r="X50" i="68" s="1"/>
  <c r="Y947" i="59"/>
  <c r="Y956" i="59"/>
  <c r="Z953" i="59" s="1"/>
  <c r="Z955" i="59" s="1"/>
  <c r="Z943" i="59" s="1"/>
  <c r="Z945" i="59" s="1"/>
  <c r="Y948" i="59"/>
  <c r="W52" i="68"/>
  <c r="W63" i="68"/>
  <c r="W64" i="68" s="1"/>
  <c r="L259" i="63"/>
  <c r="I316" i="63"/>
  <c r="I339" i="63" s="1"/>
  <c r="I315" i="63"/>
  <c r="I330" i="63" s="1"/>
  <c r="W320" i="63"/>
  <c r="H990" i="59"/>
  <c r="H991" i="59" s="1"/>
  <c r="H157" i="60"/>
  <c r="H130" i="60"/>
  <c r="AJ375" i="63"/>
  <c r="D365" i="63"/>
  <c r="H81" i="60"/>
  <c r="H1112" i="59"/>
  <c r="AK56" i="60" l="1"/>
  <c r="AK252" i="63"/>
  <c r="AK253" i="63" s="1"/>
  <c r="AK258" i="63" s="1"/>
  <c r="AJ42" i="60"/>
  <c r="F391" i="59"/>
  <c r="X123" i="60"/>
  <c r="X126" i="60" s="1"/>
  <c r="X76" i="73"/>
  <c r="X78" i="73" s="1"/>
  <c r="X90" i="73" s="1"/>
  <c r="X28" i="68"/>
  <c r="X33" i="68" s="1"/>
  <c r="V7" i="80"/>
  <c r="X49" i="73"/>
  <c r="X50" i="73" s="1"/>
  <c r="X63" i="73" s="1"/>
  <c r="X62" i="60"/>
  <c r="X69" i="60" s="1"/>
  <c r="X320" i="63" s="1"/>
  <c r="Y951" i="59"/>
  <c r="Y985" i="59" s="1"/>
  <c r="Y60" i="60" s="1"/>
  <c r="Y62" i="60" s="1"/>
  <c r="Y69" i="60" s="1"/>
  <c r="Z956" i="59"/>
  <c r="AA953" i="59" s="1"/>
  <c r="AA955" i="59" s="1"/>
  <c r="AA943" i="59" s="1"/>
  <c r="AA945" i="59" s="1"/>
  <c r="H995" i="59"/>
  <c r="H996" i="59" s="1"/>
  <c r="I994" i="59" s="1"/>
  <c r="X63" i="68"/>
  <c r="X64" i="68" s="1"/>
  <c r="X52" i="68"/>
  <c r="X55" i="68" s="1"/>
  <c r="L269" i="63"/>
  <c r="L260" i="63"/>
  <c r="AJ382" i="63"/>
  <c r="AJ383" i="63" s="1"/>
  <c r="AJ376" i="63"/>
  <c r="H181" i="60"/>
  <c r="H185" i="60" s="1"/>
  <c r="I989" i="59"/>
  <c r="H158" i="60"/>
  <c r="H387" i="63"/>
  <c r="H1115" i="59"/>
  <c r="W55" i="68"/>
  <c r="W74" i="68" s="1"/>
  <c r="W73" i="68"/>
  <c r="H1062" i="59"/>
  <c r="H1094" i="59"/>
  <c r="H134" i="60"/>
  <c r="Z949" i="59"/>
  <c r="Z948" i="59"/>
  <c r="Z947" i="59"/>
  <c r="AH12" i="80" l="1"/>
  <c r="AJ29" i="68"/>
  <c r="F29" i="68" s="1"/>
  <c r="F42" i="60"/>
  <c r="AJ118" i="60"/>
  <c r="AJ44" i="60"/>
  <c r="W7" i="80"/>
  <c r="Y50" i="68"/>
  <c r="Y52" i="68" s="1"/>
  <c r="Y55" i="68" s="1"/>
  <c r="Y28" i="68"/>
  <c r="Y33" i="68" s="1"/>
  <c r="Y76" i="73"/>
  <c r="Y78" i="73" s="1"/>
  <c r="Y90" i="73" s="1"/>
  <c r="Y123" i="60"/>
  <c r="Y126" i="60" s="1"/>
  <c r="Y49" i="73"/>
  <c r="Y50" i="73" s="1"/>
  <c r="Y63" i="73" s="1"/>
  <c r="H177" i="60"/>
  <c r="Z951" i="59"/>
  <c r="Z985" i="59" s="1"/>
  <c r="Z60" i="60" s="1"/>
  <c r="Z50" i="68" s="1"/>
  <c r="L245" i="63"/>
  <c r="L246" i="63" s="1"/>
  <c r="M243" i="63" s="1"/>
  <c r="L274" i="63"/>
  <c r="AJ1108" i="59"/>
  <c r="F376" i="63"/>
  <c r="D377" i="63" s="1"/>
  <c r="E6" i="58" s="1"/>
  <c r="F6" i="58" s="1"/>
  <c r="Y320" i="63"/>
  <c r="AJ1110" i="59"/>
  <c r="F1110" i="59" s="1"/>
  <c r="F383" i="63"/>
  <c r="D384" i="63" s="1"/>
  <c r="E8" i="58" s="1"/>
  <c r="F8" i="58" s="1"/>
  <c r="X73" i="68"/>
  <c r="H1099" i="59"/>
  <c r="H1086" i="59"/>
  <c r="H1089" i="59" s="1"/>
  <c r="AA949" i="59"/>
  <c r="AA947" i="59"/>
  <c r="AA948" i="59"/>
  <c r="H1057" i="59"/>
  <c r="X74" i="68"/>
  <c r="AA956" i="59"/>
  <c r="AB953" i="59" s="1"/>
  <c r="AJ252" i="63" l="1"/>
  <c r="AJ253" i="63" s="1"/>
  <c r="AJ56" i="60"/>
  <c r="F56" i="60" s="1"/>
  <c r="F44" i="60"/>
  <c r="F118" i="60"/>
  <c r="AJ120" i="60"/>
  <c r="F120" i="60" s="1"/>
  <c r="E41" i="66"/>
  <c r="D12" i="80"/>
  <c r="Y63" i="68"/>
  <c r="Y64" i="68" s="1"/>
  <c r="X7" i="80"/>
  <c r="Z28" i="68"/>
  <c r="Z33" i="68" s="1"/>
  <c r="Z76" i="73"/>
  <c r="Z78" i="73" s="1"/>
  <c r="Z90" i="73" s="1"/>
  <c r="Z123" i="60"/>
  <c r="Z126" i="60" s="1"/>
  <c r="Z49" i="73"/>
  <c r="Z50" i="73" s="1"/>
  <c r="Z63" i="73" s="1"/>
  <c r="Z62" i="60"/>
  <c r="Z69" i="60" s="1"/>
  <c r="Z320" i="63" s="1"/>
  <c r="Y74" i="68"/>
  <c r="Y73" i="68"/>
  <c r="AB955" i="59"/>
  <c r="AB943" i="59" s="1"/>
  <c r="AB945" i="59" s="1"/>
  <c r="H1095" i="59"/>
  <c r="H161" i="60"/>
  <c r="H84" i="60"/>
  <c r="H1090" i="59"/>
  <c r="F1108" i="59"/>
  <c r="Z52" i="68"/>
  <c r="Z55" i="68" s="1"/>
  <c r="Z63" i="68"/>
  <c r="Z64" i="68" s="1"/>
  <c r="AA951" i="59"/>
  <c r="AA985" i="59" s="1"/>
  <c r="AA60" i="60" s="1"/>
  <c r="H1063" i="59"/>
  <c r="H1058" i="59"/>
  <c r="M255" i="63"/>
  <c r="M240" i="63"/>
  <c r="M259" i="63" s="1"/>
  <c r="F253" i="63" l="1"/>
  <c r="AJ258" i="63"/>
  <c r="F258" i="63" s="1"/>
  <c r="Z74" i="68"/>
  <c r="H1100" i="59"/>
  <c r="H1101" i="59" s="1"/>
  <c r="H1096" i="59"/>
  <c r="H188" i="60"/>
  <c r="I1055" i="59"/>
  <c r="H189" i="60"/>
  <c r="I1088" i="59"/>
  <c r="Z73" i="68"/>
  <c r="M269" i="63"/>
  <c r="M260" i="63"/>
  <c r="H136" i="60"/>
  <c r="AB948" i="59"/>
  <c r="AB947" i="59"/>
  <c r="AB949" i="59"/>
  <c r="AA76" i="73"/>
  <c r="AA78" i="73" s="1"/>
  <c r="AA90" i="73" s="1"/>
  <c r="AA123" i="60"/>
  <c r="AA126" i="60" s="1"/>
  <c r="AA28" i="68"/>
  <c r="AA33" i="68" s="1"/>
  <c r="AA49" i="73"/>
  <c r="AA50" i="73" s="1"/>
  <c r="AA63" i="73" s="1"/>
  <c r="Y7" i="80"/>
  <c r="AA50" i="68"/>
  <c r="AA62" i="60"/>
  <c r="AA69" i="60" s="1"/>
  <c r="F18" i="80"/>
  <c r="AB956" i="59"/>
  <c r="AC953" i="59" s="1"/>
  <c r="I319" i="63" l="1"/>
  <c r="I321" i="63" s="1"/>
  <c r="AA320" i="63"/>
  <c r="M274" i="63"/>
  <c r="M245" i="63"/>
  <c r="M246" i="63" s="1"/>
  <c r="N243" i="63" s="1"/>
  <c r="AA63" i="68"/>
  <c r="AA64" i="68" s="1"/>
  <c r="AA52" i="68"/>
  <c r="AA55" i="68" s="1"/>
  <c r="AA74" i="68" s="1"/>
  <c r="H1104" i="59"/>
  <c r="H1114" i="59" s="1"/>
  <c r="H1116" i="59" s="1"/>
  <c r="F22" i="80"/>
  <c r="AB951" i="59"/>
  <c r="AB985" i="59" s="1"/>
  <c r="AB60" i="60" s="1"/>
  <c r="AC955" i="59"/>
  <c r="AC943" i="59" s="1"/>
  <c r="AC945" i="59" s="1"/>
  <c r="H138" i="60"/>
  <c r="AA73" i="68" l="1"/>
  <c r="N255" i="63"/>
  <c r="N240" i="63"/>
  <c r="N259" i="63" s="1"/>
  <c r="H1064" i="59"/>
  <c r="H83" i="60"/>
  <c r="H160" i="60"/>
  <c r="AC949" i="59"/>
  <c r="AC948" i="59"/>
  <c r="AC947" i="59"/>
  <c r="AC956" i="59"/>
  <c r="AD953" i="59" s="1"/>
  <c r="I323" i="63"/>
  <c r="I326" i="63"/>
  <c r="I327" i="63" s="1"/>
  <c r="AB28" i="68"/>
  <c r="AB33" i="68" s="1"/>
  <c r="Z7" i="80"/>
  <c r="AB76" i="73"/>
  <c r="AB78" i="73" s="1"/>
  <c r="AB90" i="73" s="1"/>
  <c r="AB49" i="73"/>
  <c r="AB50" i="73" s="1"/>
  <c r="AB63" i="73" s="1"/>
  <c r="AB123" i="60"/>
  <c r="AB126" i="60" s="1"/>
  <c r="AB50" i="68"/>
  <c r="AB62" i="60"/>
  <c r="AB69" i="60" s="1"/>
  <c r="AB52" i="68" l="1"/>
  <c r="AB63" i="68"/>
  <c r="AB64" i="68" s="1"/>
  <c r="I324" i="63"/>
  <c r="F13" i="80"/>
  <c r="H86" i="60"/>
  <c r="I335" i="63"/>
  <c r="I336" i="63" s="1"/>
  <c r="AD955" i="59"/>
  <c r="AD943" i="59" s="1"/>
  <c r="AD945" i="59" s="1"/>
  <c r="N269" i="63"/>
  <c r="N260" i="63"/>
  <c r="H1065" i="59"/>
  <c r="AC951" i="59"/>
  <c r="AC985" i="59" s="1"/>
  <c r="AC60" i="60" s="1"/>
  <c r="H162" i="60"/>
  <c r="AB320" i="63"/>
  <c r="I338" i="63" l="1"/>
  <c r="N274" i="63"/>
  <c r="N245" i="63"/>
  <c r="N246" i="63" s="1"/>
  <c r="O243" i="63" s="1"/>
  <c r="H165" i="60"/>
  <c r="AD956" i="59"/>
  <c r="AE953" i="59" s="1"/>
  <c r="I329" i="63"/>
  <c r="AD949" i="59"/>
  <c r="AD947" i="59"/>
  <c r="AD948" i="59"/>
  <c r="AA7" i="80"/>
  <c r="AC123" i="60"/>
  <c r="AC126" i="60" s="1"/>
  <c r="AC28" i="68"/>
  <c r="AC33" i="68" s="1"/>
  <c r="AC76" i="73"/>
  <c r="AC78" i="73" s="1"/>
  <c r="AC90" i="73" s="1"/>
  <c r="AC49" i="73"/>
  <c r="AC50" i="73" s="1"/>
  <c r="AC63" i="73" s="1"/>
  <c r="AC50" i="68"/>
  <c r="AC62" i="60"/>
  <c r="AC69" i="60" s="1"/>
  <c r="H170" i="60"/>
  <c r="H88" i="60"/>
  <c r="H89" i="60" s="1"/>
  <c r="I1061" i="59"/>
  <c r="AB55" i="68"/>
  <c r="AB74" i="68" s="1"/>
  <c r="AB73" i="68"/>
  <c r="O240" i="63" l="1"/>
  <c r="O259" i="63" s="1"/>
  <c r="O255" i="63"/>
  <c r="AC320" i="63"/>
  <c r="AD951" i="59"/>
  <c r="AD985" i="59" s="1"/>
  <c r="AD60" i="60" s="1"/>
  <c r="I340" i="63"/>
  <c r="AC63" i="68"/>
  <c r="AC64" i="68" s="1"/>
  <c r="AC52" i="68"/>
  <c r="AC55" i="68" s="1"/>
  <c r="AC74" i="68" s="1"/>
  <c r="F14" i="80"/>
  <c r="H173" i="60"/>
  <c r="H178" i="60" s="1"/>
  <c r="H190" i="60"/>
  <c r="H191" i="60" s="1"/>
  <c r="I164" i="60"/>
  <c r="I331" i="63"/>
  <c r="AE955" i="59"/>
  <c r="AE943" i="59" s="1"/>
  <c r="AE945" i="59" s="1"/>
  <c r="I1093" i="59"/>
  <c r="I1069" i="59"/>
  <c r="I1078" i="59" s="1"/>
  <c r="AE956" i="59" l="1"/>
  <c r="AF953" i="59" s="1"/>
  <c r="AF955" i="59" s="1"/>
  <c r="AF943" i="59" s="1"/>
  <c r="AF945" i="59" s="1"/>
  <c r="I1098" i="59"/>
  <c r="I294" i="63"/>
  <c r="I73" i="60" s="1"/>
  <c r="AD49" i="73"/>
  <c r="AD50" i="73" s="1"/>
  <c r="AD63" i="73" s="1"/>
  <c r="AD123" i="60"/>
  <c r="AD126" i="60" s="1"/>
  <c r="AB7" i="80"/>
  <c r="AD76" i="73"/>
  <c r="AD78" i="73" s="1"/>
  <c r="AD90" i="73" s="1"/>
  <c r="AD28" i="68"/>
  <c r="AD33" i="68" s="1"/>
  <c r="AD50" i="68"/>
  <c r="AD62" i="60"/>
  <c r="AD69" i="60" s="1"/>
  <c r="I152" i="60"/>
  <c r="I78" i="60"/>
  <c r="I293" i="63"/>
  <c r="F15" i="80"/>
  <c r="F24" i="80"/>
  <c r="AE947" i="59"/>
  <c r="AE949" i="59"/>
  <c r="AE948" i="59"/>
  <c r="H193" i="60"/>
  <c r="AC73" i="68"/>
  <c r="O269" i="63"/>
  <c r="O260" i="63"/>
  <c r="AF956" i="59" l="1"/>
  <c r="AG953" i="59" s="1"/>
  <c r="AG955" i="59" s="1"/>
  <c r="AG943" i="59" s="1"/>
  <c r="AG945" i="59" s="1"/>
  <c r="AE951" i="59"/>
  <c r="AE985" i="59" s="1"/>
  <c r="AE60" i="60" s="1"/>
  <c r="AC7" i="80" s="1"/>
  <c r="I132" i="60"/>
  <c r="G21" i="80"/>
  <c r="I72" i="60"/>
  <c r="I295" i="63"/>
  <c r="AD320" i="63"/>
  <c r="G20" i="80"/>
  <c r="I154" i="60"/>
  <c r="AF948" i="59"/>
  <c r="AF949" i="59"/>
  <c r="AF947" i="59"/>
  <c r="AD52" i="68"/>
  <c r="AD55" i="68" s="1"/>
  <c r="AD74" i="68" s="1"/>
  <c r="AD63" i="68"/>
  <c r="AD64" i="68" s="1"/>
  <c r="O274" i="63"/>
  <c r="O245" i="63"/>
  <c r="O246" i="63" s="1"/>
  <c r="P243" i="63" s="1"/>
  <c r="AE62" i="60" l="1"/>
  <c r="AE69" i="60" s="1"/>
  <c r="AE320" i="63" s="1"/>
  <c r="AE50" i="68"/>
  <c r="AE52" i="68" s="1"/>
  <c r="AE55" i="68" s="1"/>
  <c r="AE74" i="68" s="1"/>
  <c r="AE123" i="60"/>
  <c r="AE126" i="60" s="1"/>
  <c r="AE49" i="73"/>
  <c r="AE50" i="73" s="1"/>
  <c r="AE63" i="73" s="1"/>
  <c r="AE28" i="68"/>
  <c r="AE33" i="68" s="1"/>
  <c r="AE76" i="73"/>
  <c r="AE78" i="73" s="1"/>
  <c r="AE90" i="73" s="1"/>
  <c r="AF951" i="59"/>
  <c r="AF985" i="59" s="1"/>
  <c r="AF60" i="60" s="1"/>
  <c r="AF76" i="73" s="1"/>
  <c r="AF78" i="73" s="1"/>
  <c r="AF90" i="73" s="1"/>
  <c r="AD73" i="68"/>
  <c r="I171" i="60"/>
  <c r="I344" i="63"/>
  <c r="I346" i="63" s="1"/>
  <c r="J292" i="63"/>
  <c r="G8" i="80"/>
  <c r="I74" i="60"/>
  <c r="P255" i="63"/>
  <c r="P240" i="63"/>
  <c r="P259" i="63" s="1"/>
  <c r="AG956" i="59"/>
  <c r="AH953" i="59" s="1"/>
  <c r="I967" i="59"/>
  <c r="AG948" i="59"/>
  <c r="AG947" i="59"/>
  <c r="AG949" i="59"/>
  <c r="AE63" i="68" l="1"/>
  <c r="AE64" i="68" s="1"/>
  <c r="AF62" i="60"/>
  <c r="AF69" i="60" s="1"/>
  <c r="AF320" i="63" s="1"/>
  <c r="AF50" i="68"/>
  <c r="AF52" i="68" s="1"/>
  <c r="AF55" i="68" s="1"/>
  <c r="AF74" i="68" s="1"/>
  <c r="AF49" i="73"/>
  <c r="AF50" i="73" s="1"/>
  <c r="AF63" i="73" s="1"/>
  <c r="AF28" i="68"/>
  <c r="AF33" i="68" s="1"/>
  <c r="AF123" i="60"/>
  <c r="AF126" i="60" s="1"/>
  <c r="AD7" i="80"/>
  <c r="AH955" i="59"/>
  <c r="AH943" i="59" s="1"/>
  <c r="AH945" i="59" s="1"/>
  <c r="P269" i="63"/>
  <c r="P260" i="63"/>
  <c r="I128" i="60"/>
  <c r="I76" i="60"/>
  <c r="AG951" i="59"/>
  <c r="AG985" i="59" s="1"/>
  <c r="AG60" i="60" s="1"/>
  <c r="J334" i="63"/>
  <c r="J312" i="63"/>
  <c r="J313" i="63" s="1"/>
  <c r="I1111" i="59"/>
  <c r="AE73" i="68"/>
  <c r="I979" i="59"/>
  <c r="I980" i="59"/>
  <c r="I968" i="59" s="1"/>
  <c r="I970" i="59" s="1"/>
  <c r="AF63" i="68" l="1"/>
  <c r="AF64" i="68" s="1"/>
  <c r="AF73" i="68"/>
  <c r="I81" i="60"/>
  <c r="P245" i="63"/>
  <c r="P246" i="63" s="1"/>
  <c r="Q243" i="63" s="1"/>
  <c r="P274" i="63"/>
  <c r="I130" i="60"/>
  <c r="I1112" i="59"/>
  <c r="I974" i="59"/>
  <c r="I973" i="59"/>
  <c r="I972" i="59"/>
  <c r="J316" i="63"/>
  <c r="J339" i="63" s="1"/>
  <c r="J315" i="63"/>
  <c r="J330" i="63" s="1"/>
  <c r="AH949" i="59"/>
  <c r="AH948" i="59"/>
  <c r="AH947" i="59"/>
  <c r="AG76" i="73"/>
  <c r="AG78" i="73" s="1"/>
  <c r="AG90" i="73" s="1"/>
  <c r="AG28" i="68"/>
  <c r="AG33" i="68" s="1"/>
  <c r="AG123" i="60"/>
  <c r="AG126" i="60" s="1"/>
  <c r="AE7" i="80"/>
  <c r="AG49" i="73"/>
  <c r="AG50" i="73" s="1"/>
  <c r="AG63" i="73" s="1"/>
  <c r="AG50" i="68"/>
  <c r="AG62" i="60"/>
  <c r="AG69" i="60" s="1"/>
  <c r="I981" i="59"/>
  <c r="J978" i="59" s="1"/>
  <c r="AH956" i="59"/>
  <c r="AI953" i="59" s="1"/>
  <c r="AH951" i="59" l="1"/>
  <c r="AH985" i="59" s="1"/>
  <c r="AH60" i="60" s="1"/>
  <c r="AH76" i="73" s="1"/>
  <c r="AH78" i="73" s="1"/>
  <c r="AH90" i="73" s="1"/>
  <c r="Q255" i="63"/>
  <c r="Q240" i="63"/>
  <c r="Q259" i="63" s="1"/>
  <c r="I134" i="60"/>
  <c r="AG320" i="63"/>
  <c r="I1062" i="59"/>
  <c r="I1094" i="59"/>
  <c r="AI955" i="59"/>
  <c r="AI943" i="59" s="1"/>
  <c r="AI945" i="59" s="1"/>
  <c r="I976" i="59"/>
  <c r="AG63" i="68"/>
  <c r="AG64" i="68" s="1"/>
  <c r="AG52" i="68"/>
  <c r="I1115" i="59"/>
  <c r="AH50" i="68" l="1"/>
  <c r="AH63" i="68" s="1"/>
  <c r="AH64" i="68" s="1"/>
  <c r="AH62" i="60"/>
  <c r="AH69" i="60" s="1"/>
  <c r="AH320" i="63" s="1"/>
  <c r="AH28" i="68"/>
  <c r="AH33" i="68" s="1"/>
  <c r="AH49" i="73"/>
  <c r="AH50" i="73" s="1"/>
  <c r="AH63" i="73" s="1"/>
  <c r="AH123" i="60"/>
  <c r="AH126" i="60" s="1"/>
  <c r="AF7" i="80"/>
  <c r="I1057" i="59"/>
  <c r="AG55" i="68"/>
  <c r="AG74" i="68" s="1"/>
  <c r="AG73" i="68"/>
  <c r="AI949" i="59"/>
  <c r="AI947" i="59"/>
  <c r="AI948" i="59"/>
  <c r="Q269" i="63"/>
  <c r="Q260" i="63"/>
  <c r="I986" i="59"/>
  <c r="AI956" i="59"/>
  <c r="AJ953" i="59" s="1"/>
  <c r="AH52" i="68" l="1"/>
  <c r="AH55" i="68" s="1"/>
  <c r="AH74" i="68" s="1"/>
  <c r="I157" i="60"/>
  <c r="I990" i="59"/>
  <c r="I991" i="59" s="1"/>
  <c r="Q245" i="63"/>
  <c r="Q246" i="63" s="1"/>
  <c r="R243" i="63" s="1"/>
  <c r="Q274" i="63"/>
  <c r="I1063" i="59"/>
  <c r="I1058" i="59"/>
  <c r="AJ955" i="59"/>
  <c r="AJ943" i="59" s="1"/>
  <c r="AJ945" i="59" s="1"/>
  <c r="AI951" i="59"/>
  <c r="AI985" i="59" s="1"/>
  <c r="AI60" i="60" s="1"/>
  <c r="AH73" i="68" l="1"/>
  <c r="I995" i="59"/>
  <c r="I996" i="59" s="1"/>
  <c r="J994" i="59" s="1"/>
  <c r="G18" i="80"/>
  <c r="AI49" i="73"/>
  <c r="AI50" i="73" s="1"/>
  <c r="AI63" i="73" s="1"/>
  <c r="AI123" i="60"/>
  <c r="AI126" i="60" s="1"/>
  <c r="AG7" i="80"/>
  <c r="AI76" i="73"/>
  <c r="AI78" i="73" s="1"/>
  <c r="AI90" i="73" s="1"/>
  <c r="AI28" i="68"/>
  <c r="AI33" i="68" s="1"/>
  <c r="AI50" i="68"/>
  <c r="AI62" i="60"/>
  <c r="AI69" i="60" s="1"/>
  <c r="AJ949" i="59"/>
  <c r="AJ948" i="59"/>
  <c r="AJ947" i="59"/>
  <c r="I181" i="60"/>
  <c r="I185" i="60" s="1"/>
  <c r="J989" i="59"/>
  <c r="R255" i="63"/>
  <c r="R240" i="63"/>
  <c r="R259" i="63" s="1"/>
  <c r="AJ956" i="59"/>
  <c r="AK953" i="59" s="1"/>
  <c r="I188" i="60"/>
  <c r="J1055" i="59"/>
  <c r="I158" i="60"/>
  <c r="I387" i="63"/>
  <c r="I177" i="60" l="1"/>
  <c r="J319" i="63"/>
  <c r="J321" i="63" s="1"/>
  <c r="AJ951" i="59"/>
  <c r="AK955" i="59"/>
  <c r="AK943" i="59" s="1"/>
  <c r="AK945" i="59" s="1"/>
  <c r="R269" i="63"/>
  <c r="R260" i="63"/>
  <c r="AI320" i="63"/>
  <c r="I1086" i="59"/>
  <c r="I1089" i="59" s="1"/>
  <c r="I1099" i="59"/>
  <c r="AI52" i="68"/>
  <c r="AI63" i="68"/>
  <c r="AI64" i="68" s="1"/>
  <c r="G22" i="80"/>
  <c r="AK949" i="59" l="1"/>
  <c r="F949" i="59" s="1"/>
  <c r="AK948" i="59"/>
  <c r="F948" i="59" s="1"/>
  <c r="AK947" i="59"/>
  <c r="F945" i="59"/>
  <c r="AI55" i="68"/>
  <c r="AI74" i="68" s="1"/>
  <c r="AI73" i="68"/>
  <c r="R274" i="63"/>
  <c r="R245" i="63"/>
  <c r="R246" i="63" s="1"/>
  <c r="S243" i="63" s="1"/>
  <c r="AJ985" i="59"/>
  <c r="I84" i="60"/>
  <c r="I161" i="60"/>
  <c r="I1095" i="59"/>
  <c r="I1090" i="59"/>
  <c r="AK956" i="59"/>
  <c r="AL953" i="59" s="1"/>
  <c r="J326" i="63"/>
  <c r="J327" i="63" s="1"/>
  <c r="J323" i="63"/>
  <c r="AK951" i="59" l="1"/>
  <c r="F947" i="59"/>
  <c r="J335" i="63"/>
  <c r="J336" i="63" s="1"/>
  <c r="AL955" i="59"/>
  <c r="AL943" i="59" s="1"/>
  <c r="J324" i="63"/>
  <c r="I189" i="60"/>
  <c r="J1088" i="59"/>
  <c r="I1100" i="59"/>
  <c r="I1101" i="59" s="1"/>
  <c r="I1096" i="59"/>
  <c r="AJ60" i="60"/>
  <c r="S255" i="63"/>
  <c r="S240" i="63"/>
  <c r="S259" i="63" s="1"/>
  <c r="I136" i="60"/>
  <c r="AK985" i="59" l="1"/>
  <c r="F951" i="59"/>
  <c r="J329" i="63"/>
  <c r="I138" i="60"/>
  <c r="AL956" i="59"/>
  <c r="AM953" i="59" s="1"/>
  <c r="AJ76" i="73"/>
  <c r="AJ49" i="73"/>
  <c r="AH7" i="80"/>
  <c r="AJ28" i="68"/>
  <c r="AJ123" i="60"/>
  <c r="F60" i="60"/>
  <c r="AJ50" i="68"/>
  <c r="AJ62" i="60"/>
  <c r="S269" i="63"/>
  <c r="S260" i="63"/>
  <c r="I1104" i="59"/>
  <c r="I1114" i="59" s="1"/>
  <c r="I1116" i="59" s="1"/>
  <c r="J338" i="63"/>
  <c r="AK60" i="60" l="1"/>
  <c r="F985" i="59"/>
  <c r="AM955" i="59"/>
  <c r="AM943" i="59" s="1"/>
  <c r="AJ63" i="68"/>
  <c r="AJ52" i="68"/>
  <c r="AJ78" i="73"/>
  <c r="AJ90" i="73" s="1"/>
  <c r="AJ33" i="68"/>
  <c r="I83" i="60"/>
  <c r="I1064" i="59"/>
  <c r="I160" i="60"/>
  <c r="J331" i="63"/>
  <c r="AJ69" i="60"/>
  <c r="F62" i="60"/>
  <c r="J340" i="63"/>
  <c r="AJ126" i="60"/>
  <c r="D7" i="80"/>
  <c r="E36" i="66"/>
  <c r="S245" i="63"/>
  <c r="S246" i="63" s="1"/>
  <c r="T243" i="63" s="1"/>
  <c r="S274" i="63"/>
  <c r="AJ50" i="73"/>
  <c r="AK123" i="60" l="1"/>
  <c r="AK76" i="73"/>
  <c r="AK28" i="68"/>
  <c r="AK49" i="73"/>
  <c r="AK50" i="68"/>
  <c r="AK62" i="60"/>
  <c r="AK69" i="60" s="1"/>
  <c r="AK320" i="63" s="1"/>
  <c r="AM956" i="59"/>
  <c r="AN953" i="59" s="1"/>
  <c r="AN955" i="59" s="1"/>
  <c r="AN943" i="59" s="1"/>
  <c r="F943" i="59" s="1"/>
  <c r="J293" i="63"/>
  <c r="I162" i="60"/>
  <c r="AJ55" i="68"/>
  <c r="AJ73" i="68"/>
  <c r="AJ320" i="63"/>
  <c r="F69" i="60"/>
  <c r="F320" i="63" s="1"/>
  <c r="AJ63" i="73"/>
  <c r="J294" i="63"/>
  <c r="J73" i="60" s="1"/>
  <c r="I1065" i="59"/>
  <c r="AJ64" i="68"/>
  <c r="T240" i="63"/>
  <c r="T259" i="63" s="1"/>
  <c r="T255" i="63"/>
  <c r="G13" i="80"/>
  <c r="I86" i="60"/>
  <c r="F357" i="63"/>
  <c r="F252" i="63"/>
  <c r="AK52" i="68" l="1"/>
  <c r="AK73" i="68" s="1"/>
  <c r="AL73" i="68" s="1"/>
  <c r="AM73" i="68" s="1"/>
  <c r="AN73" i="68" s="1"/>
  <c r="E73" i="68" s="1"/>
  <c r="AK63" i="68"/>
  <c r="F50" i="68"/>
  <c r="AK50" i="73"/>
  <c r="F49" i="73"/>
  <c r="AK33" i="68"/>
  <c r="F28" i="68"/>
  <c r="AK78" i="73"/>
  <c r="AK90" i="73" s="1"/>
  <c r="D90" i="73" s="1"/>
  <c r="D96" i="73" s="1"/>
  <c r="F76" i="73"/>
  <c r="F78" i="73" s="1"/>
  <c r="AK126" i="60"/>
  <c r="F126" i="60" s="1"/>
  <c r="F123" i="60"/>
  <c r="T269" i="63"/>
  <c r="T260" i="63"/>
  <c r="AJ74" i="68"/>
  <c r="I165" i="60"/>
  <c r="AN956" i="59"/>
  <c r="D67" i="68"/>
  <c r="I88" i="60"/>
  <c r="I89" i="60" s="1"/>
  <c r="I170" i="60"/>
  <c r="J1061" i="59"/>
  <c r="J72" i="60"/>
  <c r="J295" i="63"/>
  <c r="H20" i="80"/>
  <c r="F33" i="68" l="1"/>
  <c r="D35" i="68"/>
  <c r="D53" i="66" s="1"/>
  <c r="AK63" i="73"/>
  <c r="F63" i="73" s="1"/>
  <c r="D63" i="73"/>
  <c r="D95" i="73" s="1"/>
  <c r="D97" i="73" s="1"/>
  <c r="F50" i="73"/>
  <c r="AK64" i="68"/>
  <c r="F64" i="68" s="1"/>
  <c r="F63" i="68"/>
  <c r="AK55" i="68"/>
  <c r="F55" i="68" s="1"/>
  <c r="D57" i="68" s="1"/>
  <c r="G2" i="59" s="1"/>
  <c r="F52" i="68"/>
  <c r="J1093" i="59"/>
  <c r="J1069" i="59"/>
  <c r="J1078" i="59" s="1"/>
  <c r="I173" i="60"/>
  <c r="I178" i="60" s="1"/>
  <c r="G14" i="80"/>
  <c r="J344" i="63"/>
  <c r="J346" i="63" s="1"/>
  <c r="J171" i="60"/>
  <c r="K292" i="63"/>
  <c r="I190" i="60"/>
  <c r="I191" i="60" s="1"/>
  <c r="J164" i="60"/>
  <c r="H8" i="80"/>
  <c r="J74" i="60"/>
  <c r="T245" i="63"/>
  <c r="T246" i="63" s="1"/>
  <c r="U243" i="63" s="1"/>
  <c r="T274" i="63"/>
  <c r="F2" i="59"/>
  <c r="I11" i="97" s="1"/>
  <c r="F2" i="46"/>
  <c r="F2" i="63"/>
  <c r="F2" i="68"/>
  <c r="D52" i="66"/>
  <c r="D4" i="71" s="1"/>
  <c r="F2" i="73"/>
  <c r="F2" i="60"/>
  <c r="E11" i="56"/>
  <c r="AK74" i="68" l="1"/>
  <c r="AL74" i="68" s="1"/>
  <c r="AM74" i="68" s="1"/>
  <c r="AN74" i="68" s="1"/>
  <c r="E74" i="68" s="1"/>
  <c r="D54" i="66" s="1"/>
  <c r="G2" i="63"/>
  <c r="G2" i="46"/>
  <c r="G2" i="73"/>
  <c r="G2" i="60"/>
  <c r="G2" i="68"/>
  <c r="D51" i="66"/>
  <c r="K312" i="63"/>
  <c r="K313" i="63" s="1"/>
  <c r="K334" i="63"/>
  <c r="J1111" i="59"/>
  <c r="G15" i="80"/>
  <c r="G24" i="80"/>
  <c r="I193" i="60"/>
  <c r="J128" i="60"/>
  <c r="J76" i="60"/>
  <c r="J152" i="60"/>
  <c r="J78" i="60"/>
  <c r="D7" i="56"/>
  <c r="F7" i="56" s="1"/>
  <c r="F8" i="56" s="1"/>
  <c r="F11" i="56"/>
  <c r="F12" i="56" s="1"/>
  <c r="U255" i="63"/>
  <c r="U240" i="63"/>
  <c r="U259" i="63" s="1"/>
  <c r="J1098" i="59"/>
  <c r="U269" i="63" l="1"/>
  <c r="U260" i="63"/>
  <c r="D11" i="66"/>
  <c r="E14" i="58"/>
  <c r="F14" i="58" s="1"/>
  <c r="J81" i="60"/>
  <c r="J1112" i="59"/>
  <c r="J130" i="60"/>
  <c r="J132" i="60"/>
  <c r="H21" i="80"/>
  <c r="J154" i="60"/>
  <c r="K316" i="63"/>
  <c r="K339" i="63" s="1"/>
  <c r="K315" i="63"/>
  <c r="K330" i="63" s="1"/>
  <c r="J1094" i="59" l="1"/>
  <c r="J1062" i="59"/>
  <c r="J1115" i="59"/>
  <c r="U274" i="63"/>
  <c r="U245" i="63"/>
  <c r="U246" i="63" s="1"/>
  <c r="V243" i="63" s="1"/>
  <c r="H2" i="68"/>
  <c r="H2" i="60"/>
  <c r="H2" i="73"/>
  <c r="H2" i="59"/>
  <c r="H2" i="46"/>
  <c r="H2" i="63"/>
  <c r="J134" i="60"/>
  <c r="J967" i="59"/>
  <c r="J979" i="59" l="1"/>
  <c r="J980" i="59"/>
  <c r="J968" i="59" s="1"/>
  <c r="J970" i="59" s="1"/>
  <c r="J1057" i="59"/>
  <c r="V255" i="63"/>
  <c r="V240" i="63"/>
  <c r="V259" i="63" s="1"/>
  <c r="J972" i="59" l="1"/>
  <c r="J973" i="59"/>
  <c r="J974" i="59"/>
  <c r="J1063" i="59"/>
  <c r="J1058" i="59"/>
  <c r="V269" i="63"/>
  <c r="V260" i="63"/>
  <c r="J981" i="59"/>
  <c r="K978" i="59" s="1"/>
  <c r="J188" i="60" l="1"/>
  <c r="K1055" i="59"/>
  <c r="H18" i="80"/>
  <c r="V245" i="63"/>
  <c r="V246" i="63" s="1"/>
  <c r="W243" i="63" s="1"/>
  <c r="V274" i="63"/>
  <c r="J976" i="59"/>
  <c r="H22" i="80" l="1"/>
  <c r="K319" i="63"/>
  <c r="K321" i="63" s="1"/>
  <c r="W255" i="63"/>
  <c r="W240" i="63"/>
  <c r="W259" i="63" s="1"/>
  <c r="J986" i="59"/>
  <c r="W269" i="63" l="1"/>
  <c r="W260" i="63"/>
  <c r="K326" i="63"/>
  <c r="K327" i="63" s="1"/>
  <c r="K323" i="63"/>
  <c r="J157" i="60"/>
  <c r="J990" i="59"/>
  <c r="J991" i="59" s="1"/>
  <c r="J181" i="60" l="1"/>
  <c r="J185" i="60" s="1"/>
  <c r="K989" i="59"/>
  <c r="K324" i="63"/>
  <c r="J995" i="59"/>
  <c r="J996" i="59" s="1"/>
  <c r="W274" i="63"/>
  <c r="W245" i="63"/>
  <c r="W246" i="63" s="1"/>
  <c r="X243" i="63" s="1"/>
  <c r="J158" i="60"/>
  <c r="J387" i="63"/>
  <c r="K335" i="63"/>
  <c r="K336" i="63" s="1"/>
  <c r="X240" i="63" l="1"/>
  <c r="X259" i="63" s="1"/>
  <c r="X255" i="63"/>
  <c r="J1099" i="59"/>
  <c r="J1086" i="59"/>
  <c r="J1089" i="59" s="1"/>
  <c r="K338" i="63"/>
  <c r="J177" i="60"/>
  <c r="K994" i="59"/>
  <c r="K329" i="63"/>
  <c r="K340" i="63" l="1"/>
  <c r="J161" i="60"/>
  <c r="J84" i="60"/>
  <c r="J1095" i="59"/>
  <c r="J1090" i="59"/>
  <c r="K331" i="63"/>
  <c r="X269" i="63"/>
  <c r="X260" i="63"/>
  <c r="J189" i="60" l="1"/>
  <c r="K1088" i="59"/>
  <c r="X245" i="63"/>
  <c r="X246" i="63" s="1"/>
  <c r="Y243" i="63" s="1"/>
  <c r="X274" i="63"/>
  <c r="K294" i="63"/>
  <c r="K73" i="60" s="1"/>
  <c r="J1100" i="59"/>
  <c r="J1101" i="59" s="1"/>
  <c r="J1096" i="59"/>
  <c r="J136" i="60"/>
  <c r="K293" i="63"/>
  <c r="J1104" i="59" l="1"/>
  <c r="J1114" i="59" s="1"/>
  <c r="J1116" i="59" s="1"/>
  <c r="K72" i="60"/>
  <c r="K295" i="63"/>
  <c r="Y255" i="63"/>
  <c r="Y240" i="63"/>
  <c r="Y259" i="63" s="1"/>
  <c r="J138" i="60"/>
  <c r="I20" i="80"/>
  <c r="Y269" i="63" l="1"/>
  <c r="Y260" i="63"/>
  <c r="I8" i="80"/>
  <c r="K74" i="60"/>
  <c r="K171" i="60"/>
  <c r="K344" i="63"/>
  <c r="K346" i="63" s="1"/>
  <c r="L292" i="63"/>
  <c r="J160" i="60"/>
  <c r="J83" i="60"/>
  <c r="J1064" i="59"/>
  <c r="K128" i="60" l="1"/>
  <c r="K76" i="60"/>
  <c r="H13" i="80"/>
  <c r="J86" i="60"/>
  <c r="J162" i="60"/>
  <c r="L334" i="63"/>
  <c r="L312" i="63"/>
  <c r="L313" i="63" s="1"/>
  <c r="Y274" i="63"/>
  <c r="Y245" i="63"/>
  <c r="Y246" i="63" s="1"/>
  <c r="Z243" i="63" s="1"/>
  <c r="J1065" i="59"/>
  <c r="K1111" i="59"/>
  <c r="K1112" i="59" l="1"/>
  <c r="Z255" i="63"/>
  <c r="Z240" i="63"/>
  <c r="Z259" i="63" s="1"/>
  <c r="L315" i="63"/>
  <c r="L330" i="63" s="1"/>
  <c r="L316" i="63"/>
  <c r="L339" i="63" s="1"/>
  <c r="J165" i="60"/>
  <c r="J170" i="60"/>
  <c r="J88" i="60"/>
  <c r="J89" i="60" s="1"/>
  <c r="K1061" i="59"/>
  <c r="K130" i="60"/>
  <c r="H14" i="80" l="1"/>
  <c r="J173" i="60"/>
  <c r="J178" i="60" s="1"/>
  <c r="Z269" i="63"/>
  <c r="Z260" i="63"/>
  <c r="J190" i="60"/>
  <c r="J191" i="60" s="1"/>
  <c r="K164" i="60"/>
  <c r="K1069" i="59"/>
  <c r="K1078" i="59" s="1"/>
  <c r="K1093" i="59"/>
  <c r="K1115" i="59"/>
  <c r="J193" i="60" l="1"/>
  <c r="K78" i="60"/>
  <c r="K152" i="60"/>
  <c r="K1098" i="59"/>
  <c r="Z274" i="63"/>
  <c r="Z245" i="63"/>
  <c r="Z246" i="63" s="1"/>
  <c r="AA243" i="63" s="1"/>
  <c r="H15" i="80"/>
  <c r="H24" i="80"/>
  <c r="AA255" i="63" l="1"/>
  <c r="AA240" i="63"/>
  <c r="AA259" i="63" s="1"/>
  <c r="K154" i="60"/>
  <c r="K132" i="60"/>
  <c r="K134" i="60" s="1"/>
  <c r="I21" i="80"/>
  <c r="K81" i="60"/>
  <c r="K967" i="59" l="1"/>
  <c r="AA269" i="63"/>
  <c r="AA260" i="63"/>
  <c r="K1094" i="59"/>
  <c r="K1062" i="59"/>
  <c r="K979" i="59" l="1"/>
  <c r="K980" i="59"/>
  <c r="K968" i="59" s="1"/>
  <c r="K970" i="59" s="1"/>
  <c r="AA245" i="63"/>
  <c r="AA246" i="63" s="1"/>
  <c r="AB243" i="63" s="1"/>
  <c r="AA274" i="63"/>
  <c r="K1057" i="59"/>
  <c r="K974" i="59" l="1"/>
  <c r="K973" i="59"/>
  <c r="K972" i="59"/>
  <c r="AB240" i="63"/>
  <c r="AB259" i="63" s="1"/>
  <c r="AB255" i="63"/>
  <c r="K981" i="59"/>
  <c r="L978" i="59" s="1"/>
  <c r="K1063" i="59"/>
  <c r="K1058" i="59"/>
  <c r="AB269" i="63" l="1"/>
  <c r="AB260" i="63"/>
  <c r="K188" i="60"/>
  <c r="L1055" i="59"/>
  <c r="K976" i="59"/>
  <c r="I18" i="80"/>
  <c r="L319" i="63" l="1"/>
  <c r="L321" i="63" s="1"/>
  <c r="K986" i="59"/>
  <c r="AB274" i="63"/>
  <c r="AB245" i="63"/>
  <c r="AB246" i="63" s="1"/>
  <c r="AC243" i="63" s="1"/>
  <c r="I22" i="80"/>
  <c r="K990" i="59" l="1"/>
  <c r="K991" i="59" s="1"/>
  <c r="K157" i="60"/>
  <c r="AC240" i="63"/>
  <c r="AC259" i="63" s="1"/>
  <c r="AC255" i="63"/>
  <c r="L326" i="63"/>
  <c r="L327" i="63" s="1"/>
  <c r="L335" i="63" s="1"/>
  <c r="L336" i="63" s="1"/>
  <c r="L338" i="63" s="1"/>
  <c r="L340" i="63" s="1"/>
  <c r="L294" i="63" s="1"/>
  <c r="L73" i="60" s="1"/>
  <c r="J20" i="80" s="1"/>
  <c r="L323" i="63"/>
  <c r="L324" i="63" s="1"/>
  <c r="L329" i="63" s="1"/>
  <c r="L331" i="63" s="1"/>
  <c r="L293" i="63" s="1"/>
  <c r="K995" i="59" l="1"/>
  <c r="K996" i="59" s="1"/>
  <c r="K177" i="60" s="1"/>
  <c r="K158" i="60"/>
  <c r="K387" i="63"/>
  <c r="AC269" i="63"/>
  <c r="AC260" i="63"/>
  <c r="L72" i="60"/>
  <c r="L295" i="63"/>
  <c r="K181" i="60"/>
  <c r="K185" i="60" s="1"/>
  <c r="L989" i="59"/>
  <c r="L994" i="59" l="1"/>
  <c r="J8" i="80"/>
  <c r="L74" i="60"/>
  <c r="AC274" i="63"/>
  <c r="AC245" i="63"/>
  <c r="AC246" i="63" s="1"/>
  <c r="AD243" i="63" s="1"/>
  <c r="L171" i="60"/>
  <c r="L344" i="63"/>
  <c r="L346" i="63" s="1"/>
  <c r="L1111" i="59" s="1"/>
  <c r="L1112" i="59" s="1"/>
  <c r="L1115" i="59" s="1"/>
  <c r="M292" i="63"/>
  <c r="K1099" i="59"/>
  <c r="K1086" i="59"/>
  <c r="K1089" i="59" s="1"/>
  <c r="K1095" i="59" l="1"/>
  <c r="K161" i="60"/>
  <c r="K84" i="60"/>
  <c r="K1090" i="59"/>
  <c r="AD240" i="63"/>
  <c r="AD259" i="63" s="1"/>
  <c r="AD255" i="63"/>
  <c r="M312" i="63"/>
  <c r="M313" i="63" s="1"/>
  <c r="M334" i="63"/>
  <c r="L128" i="60"/>
  <c r="L130" i="60" s="1"/>
  <c r="L76" i="60"/>
  <c r="K189" i="60" l="1"/>
  <c r="L1088" i="59"/>
  <c r="M316" i="63"/>
  <c r="M339" i="63" s="1"/>
  <c r="M315" i="63"/>
  <c r="M330" i="63" s="1"/>
  <c r="AD269" i="63"/>
  <c r="AD260" i="63"/>
  <c r="K136" i="60"/>
  <c r="K138" i="60" s="1"/>
  <c r="K1100" i="59"/>
  <c r="K1101" i="59" s="1"/>
  <c r="K1096" i="59"/>
  <c r="K1104" i="59" l="1"/>
  <c r="K1114" i="59" s="1"/>
  <c r="K1116" i="59" s="1"/>
  <c r="AD274" i="63"/>
  <c r="AD245" i="63"/>
  <c r="AD246" i="63" s="1"/>
  <c r="AE243" i="63" s="1"/>
  <c r="AE255" i="63" l="1"/>
  <c r="AE240" i="63"/>
  <c r="AE259" i="63" s="1"/>
  <c r="K83" i="60"/>
  <c r="K1064" i="59"/>
  <c r="K1065" i="59" s="1"/>
  <c r="K160" i="60"/>
  <c r="K162" i="60" l="1"/>
  <c r="K170" i="60"/>
  <c r="K88" i="60"/>
  <c r="K89" i="60" s="1"/>
  <c r="L1061" i="59"/>
  <c r="I13" i="80"/>
  <c r="K86" i="60"/>
  <c r="AE269" i="63"/>
  <c r="AE260" i="63"/>
  <c r="I14" i="80" l="1"/>
  <c r="I24" i="80" s="1"/>
  <c r="K173" i="60"/>
  <c r="K178" i="60" s="1"/>
  <c r="K165" i="60"/>
  <c r="L1069" i="59"/>
  <c r="L1078" i="59" s="1"/>
  <c r="L1093" i="59"/>
  <c r="AE274" i="63"/>
  <c r="AE245" i="63"/>
  <c r="AE246" i="63" s="1"/>
  <c r="AF243" i="63" s="1"/>
  <c r="AF255" i="63" l="1"/>
  <c r="AF240" i="63"/>
  <c r="AF259" i="63" s="1"/>
  <c r="K190" i="60"/>
  <c r="K191" i="60" s="1"/>
  <c r="K193" i="60" s="1"/>
  <c r="L164" i="60"/>
  <c r="L152" i="60"/>
  <c r="L78" i="60"/>
  <c r="I15" i="80"/>
  <c r="AF269" i="63" l="1"/>
  <c r="AF260" i="63"/>
  <c r="L1098" i="59"/>
  <c r="L132" i="60"/>
  <c r="L134" i="60" s="1"/>
  <c r="J21" i="80"/>
  <c r="L81" i="60"/>
  <c r="L154" i="60"/>
  <c r="L967" i="59" s="1"/>
  <c r="AF245" i="63" l="1"/>
  <c r="AF246" i="63" s="1"/>
  <c r="AG243" i="63" s="1"/>
  <c r="AF274" i="63"/>
  <c r="L1094" i="59"/>
  <c r="L1062" i="59"/>
  <c r="L1057" i="59" s="1"/>
  <c r="L979" i="59"/>
  <c r="L980" i="59"/>
  <c r="L968" i="59" s="1"/>
  <c r="L970" i="59" s="1"/>
  <c r="L1063" i="59" l="1"/>
  <c r="L1058" i="59"/>
  <c r="AG240" i="63"/>
  <c r="AG259" i="63" s="1"/>
  <c r="AG255" i="63"/>
  <c r="L981" i="59"/>
  <c r="M978" i="59" s="1"/>
  <c r="L974" i="59"/>
  <c r="L973" i="59"/>
  <c r="L972" i="59"/>
  <c r="AG269" i="63" l="1"/>
  <c r="AG260" i="63"/>
  <c r="L976" i="59"/>
  <c r="L986" i="59" s="1"/>
  <c r="L188" i="60"/>
  <c r="M1055" i="59"/>
  <c r="J18" i="80"/>
  <c r="M319" i="63" l="1"/>
  <c r="M321" i="63" s="1"/>
  <c r="AG245" i="63"/>
  <c r="AG246" i="63" s="1"/>
  <c r="AH243" i="63" s="1"/>
  <c r="AG274" i="63"/>
  <c r="J22" i="80"/>
  <c r="L157" i="60"/>
  <c r="L990" i="59"/>
  <c r="L991" i="59" s="1"/>
  <c r="L995" i="59" l="1"/>
  <c r="L996" i="59" s="1"/>
  <c r="L177" i="60" s="1"/>
  <c r="L181" i="60"/>
  <c r="L185" i="60" s="1"/>
  <c r="M989" i="59"/>
  <c r="AH240" i="63"/>
  <c r="AH259" i="63" s="1"/>
  <c r="AH255" i="63"/>
  <c r="L158" i="60"/>
  <c r="L387" i="63"/>
  <c r="M326" i="63"/>
  <c r="M327" i="63" s="1"/>
  <c r="M335" i="63" s="1"/>
  <c r="M336" i="63" s="1"/>
  <c r="M338" i="63" s="1"/>
  <c r="M340" i="63" s="1"/>
  <c r="M294" i="63" s="1"/>
  <c r="M73" i="60" s="1"/>
  <c r="K20" i="80" s="1"/>
  <c r="M323" i="63"/>
  <c r="M324" i="63" s="1"/>
  <c r="M329" i="63" s="1"/>
  <c r="M331" i="63" s="1"/>
  <c r="M293" i="63" s="1"/>
  <c r="M994" i="59" l="1"/>
  <c r="M72" i="60"/>
  <c r="M295" i="63"/>
  <c r="L1099" i="59"/>
  <c r="L1086" i="59"/>
  <c r="L1089" i="59" s="1"/>
  <c r="AH269" i="63"/>
  <c r="AH260" i="63"/>
  <c r="AH274" i="63" l="1"/>
  <c r="AH245" i="63"/>
  <c r="AH246" i="63" s="1"/>
  <c r="AI243" i="63" s="1"/>
  <c r="M171" i="60"/>
  <c r="M344" i="63"/>
  <c r="M346" i="63" s="1"/>
  <c r="M1111" i="59" s="1"/>
  <c r="M1112" i="59" s="1"/>
  <c r="M1115" i="59" s="1"/>
  <c r="N292" i="63"/>
  <c r="L84" i="60"/>
  <c r="L136" i="60" s="1"/>
  <c r="L138" i="60" s="1"/>
  <c r="L1095" i="59"/>
  <c r="L161" i="60"/>
  <c r="L1090" i="59"/>
  <c r="M74" i="60"/>
  <c r="K8" i="80"/>
  <c r="L1100" i="59" l="1"/>
  <c r="L1101" i="59" s="1"/>
  <c r="L1096" i="59"/>
  <c r="M128" i="60"/>
  <c r="M130" i="60" s="1"/>
  <c r="M76" i="60"/>
  <c r="L189" i="60"/>
  <c r="M1088" i="59"/>
  <c r="N334" i="63"/>
  <c r="N312" i="63"/>
  <c r="N313" i="63" s="1"/>
  <c r="AI255" i="63"/>
  <c r="AI240" i="63"/>
  <c r="AI259" i="63" s="1"/>
  <c r="AI269" i="63" l="1"/>
  <c r="AI260" i="63"/>
  <c r="N316" i="63"/>
  <c r="N339" i="63" s="1"/>
  <c r="N315" i="63"/>
  <c r="N330" i="63" s="1"/>
  <c r="L1104" i="59"/>
  <c r="L1114" i="59" s="1"/>
  <c r="L1116" i="59" s="1"/>
  <c r="AI274" i="63" l="1"/>
  <c r="AI245" i="63"/>
  <c r="AI246" i="63" s="1"/>
  <c r="AJ243" i="63" s="1"/>
  <c r="L160" i="60"/>
  <c r="L162" i="60" s="1"/>
  <c r="L165" i="60" s="1"/>
  <c r="L83" i="60"/>
  <c r="L1064" i="59"/>
  <c r="L1065" i="59" s="1"/>
  <c r="L88" i="60" l="1"/>
  <c r="L89" i="60" s="1"/>
  <c r="L170" i="60"/>
  <c r="M1061" i="59"/>
  <c r="L190" i="60"/>
  <c r="L191" i="60" s="1"/>
  <c r="M164" i="60"/>
  <c r="J13" i="80"/>
  <c r="L86" i="60"/>
  <c r="AJ255" i="63"/>
  <c r="AJ240" i="63"/>
  <c r="AJ259" i="63" s="1"/>
  <c r="M1093" i="59" l="1"/>
  <c r="M1069" i="59"/>
  <c r="M1078" i="59" s="1"/>
  <c r="L173" i="60"/>
  <c r="L178" i="60" s="1"/>
  <c r="L193" i="60" s="1"/>
  <c r="J14" i="80"/>
  <c r="J15" i="80" s="1"/>
  <c r="M1098" i="59"/>
  <c r="AJ269" i="63"/>
  <c r="AJ260" i="63"/>
  <c r="M152" i="60" l="1"/>
  <c r="M154" i="60" s="1"/>
  <c r="M967" i="59" s="1"/>
  <c r="M78" i="60"/>
  <c r="AJ274" i="63"/>
  <c r="AJ245" i="63"/>
  <c r="AJ246" i="63" s="1"/>
  <c r="AK243" i="63" s="1"/>
  <c r="J24" i="80"/>
  <c r="AK240" i="63" l="1"/>
  <c r="AK259" i="63" s="1"/>
  <c r="AK255" i="63"/>
  <c r="M980" i="59"/>
  <c r="M968" i="59" s="1"/>
  <c r="M970" i="59" s="1"/>
  <c r="M979" i="59"/>
  <c r="K21" i="80"/>
  <c r="M132" i="60"/>
  <c r="M134" i="60" s="1"/>
  <c r="M81" i="60"/>
  <c r="M973" i="59" l="1"/>
  <c r="M974" i="59"/>
  <c r="M972" i="59"/>
  <c r="M981" i="59"/>
  <c r="N978" i="59" s="1"/>
  <c r="M1062" i="59"/>
  <c r="M1057" i="59" s="1"/>
  <c r="M1094" i="59"/>
  <c r="AK260" i="63"/>
  <c r="AK269" i="63"/>
  <c r="M976" i="59" l="1"/>
  <c r="M986" i="59" s="1"/>
  <c r="M990" i="59" s="1"/>
  <c r="M991" i="59" s="1"/>
  <c r="M1063" i="59"/>
  <c r="M1058" i="59"/>
  <c r="AK245" i="63"/>
  <c r="AK246" i="63" s="1"/>
  <c r="AL243" i="63" s="1"/>
  <c r="AK274" i="63"/>
  <c r="M157" i="60" l="1"/>
  <c r="M158" i="60" s="1"/>
  <c r="M995" i="59"/>
  <c r="M996" i="59" s="1"/>
  <c r="M177" i="60" s="1"/>
  <c r="AL240" i="63"/>
  <c r="AL259" i="63" s="1"/>
  <c r="AL255" i="63"/>
  <c r="M181" i="60"/>
  <c r="M185" i="60" s="1"/>
  <c r="N989" i="59"/>
  <c r="M188" i="60"/>
  <c r="N1055" i="59"/>
  <c r="K18" i="80"/>
  <c r="M387" i="63" l="1"/>
  <c r="N994" i="59"/>
  <c r="M1099" i="59"/>
  <c r="M1086" i="59"/>
  <c r="M1089" i="59" s="1"/>
  <c r="K22" i="80"/>
  <c r="N319" i="63"/>
  <c r="N321" i="63" s="1"/>
  <c r="AL260" i="63"/>
  <c r="AL269" i="63"/>
  <c r="N326" i="63" l="1"/>
  <c r="N327" i="63" s="1"/>
  <c r="N335" i="63" s="1"/>
  <c r="N336" i="63" s="1"/>
  <c r="N338" i="63" s="1"/>
  <c r="N340" i="63" s="1"/>
  <c r="N294" i="63" s="1"/>
  <c r="N73" i="60" s="1"/>
  <c r="L20" i="80" s="1"/>
  <c r="N323" i="63"/>
  <c r="N324" i="63" s="1"/>
  <c r="N329" i="63" s="1"/>
  <c r="N331" i="63" s="1"/>
  <c r="N293" i="63" s="1"/>
  <c r="AL274" i="63"/>
  <c r="AL245" i="63"/>
  <c r="AL246" i="63" s="1"/>
  <c r="AM243" i="63" s="1"/>
  <c r="M1095" i="59"/>
  <c r="M84" i="60"/>
  <c r="M136" i="60" s="1"/>
  <c r="M138" i="60" s="1"/>
  <c r="M161" i="60"/>
  <c r="M1090" i="59"/>
  <c r="M1100" i="59" l="1"/>
  <c r="M1101" i="59" s="1"/>
  <c r="M1096" i="59"/>
  <c r="AM255" i="63"/>
  <c r="AM240" i="63"/>
  <c r="AM259" i="63" s="1"/>
  <c r="N72" i="60"/>
  <c r="N295" i="63"/>
  <c r="M189" i="60"/>
  <c r="N1088" i="59"/>
  <c r="AM260" i="63" l="1"/>
  <c r="AM269" i="63"/>
  <c r="N344" i="63"/>
  <c r="N346" i="63" s="1"/>
  <c r="N1111" i="59" s="1"/>
  <c r="N1112" i="59" s="1"/>
  <c r="N1115" i="59" s="1"/>
  <c r="N171" i="60"/>
  <c r="O292" i="63"/>
  <c r="L8" i="80"/>
  <c r="N74" i="60"/>
  <c r="M1104" i="59"/>
  <c r="M1114" i="59" s="1"/>
  <c r="M1116" i="59" s="1"/>
  <c r="N128" i="60" l="1"/>
  <c r="N130" i="60" s="1"/>
  <c r="N76" i="60"/>
  <c r="O334" i="63"/>
  <c r="O312" i="63"/>
  <c r="O313" i="63" s="1"/>
  <c r="M83" i="60"/>
  <c r="M1064" i="59"/>
  <c r="M1065" i="59" s="1"/>
  <c r="M160" i="60"/>
  <c r="M162" i="60" s="1"/>
  <c r="M165" i="60" s="1"/>
  <c r="AM245" i="63"/>
  <c r="AM246" i="63" s="1"/>
  <c r="AN243" i="63" s="1"/>
  <c r="AM274" i="63"/>
  <c r="M88" i="60" l="1"/>
  <c r="M89" i="60" s="1"/>
  <c r="M170" i="60"/>
  <c r="N1061" i="59"/>
  <c r="O315" i="63"/>
  <c r="O330" i="63" s="1"/>
  <c r="O316" i="63"/>
  <c r="O339" i="63" s="1"/>
  <c r="AN255" i="63"/>
  <c r="AN240" i="63"/>
  <c r="K13" i="80"/>
  <c r="M86" i="60"/>
  <c r="M190" i="60"/>
  <c r="M191" i="60" s="1"/>
  <c r="N164" i="60"/>
  <c r="N1093" i="59" l="1"/>
  <c r="N1069" i="59"/>
  <c r="N1078" i="59" s="1"/>
  <c r="AN259" i="63"/>
  <c r="F240" i="63"/>
  <c r="K14" i="80"/>
  <c r="K15" i="80" s="1"/>
  <c r="M173" i="60"/>
  <c r="M178" i="60" s="1"/>
  <c r="M193" i="60" s="1"/>
  <c r="N1098" i="59"/>
  <c r="N152" i="60" l="1"/>
  <c r="N154" i="60" s="1"/>
  <c r="N967" i="59" s="1"/>
  <c r="N78" i="60"/>
  <c r="K24" i="80"/>
  <c r="AN269" i="63"/>
  <c r="F269" i="63" s="1"/>
  <c r="AN260" i="63"/>
  <c r="F259" i="63"/>
  <c r="N132" i="60" l="1"/>
  <c r="N134" i="60" s="1"/>
  <c r="L21" i="80"/>
  <c r="N81" i="60"/>
  <c r="AN274" i="63"/>
  <c r="F274" i="63" s="1"/>
  <c r="AN245" i="63"/>
  <c r="F260" i="63"/>
  <c r="N979" i="59"/>
  <c r="N980" i="59"/>
  <c r="N968" i="59" s="1"/>
  <c r="N970" i="59" s="1"/>
  <c r="N981" i="59" l="1"/>
  <c r="O978" i="59" s="1"/>
  <c r="N1062" i="59"/>
  <c r="N1057" i="59" s="1"/>
  <c r="N1094" i="59"/>
  <c r="N974" i="59"/>
  <c r="N972" i="59"/>
  <c r="N973" i="59"/>
  <c r="F245" i="63"/>
  <c r="AN246" i="63"/>
  <c r="N1063" i="59" l="1"/>
  <c r="N1058" i="59"/>
  <c r="N976" i="59"/>
  <c r="N986" i="59" s="1"/>
  <c r="N990" i="59" l="1"/>
  <c r="N991" i="59" s="1"/>
  <c r="N157" i="60"/>
  <c r="N188" i="60"/>
  <c r="O1055" i="59"/>
  <c r="L18" i="80"/>
  <c r="N995" i="59" l="1"/>
  <c r="N996" i="59" s="1"/>
  <c r="N177" i="60" s="1"/>
  <c r="L22" i="80"/>
  <c r="O319" i="63"/>
  <c r="O321" i="63" s="1"/>
  <c r="N158" i="60"/>
  <c r="N387" i="63"/>
  <c r="N181" i="60"/>
  <c r="N185" i="60" s="1"/>
  <c r="O989" i="59"/>
  <c r="O994" i="59" l="1"/>
  <c r="N1099" i="59"/>
  <c r="N1086" i="59"/>
  <c r="N1089" i="59" s="1"/>
  <c r="O323" i="63"/>
  <c r="O324" i="63" s="1"/>
  <c r="O329" i="63" s="1"/>
  <c r="O331" i="63" s="1"/>
  <c r="O293" i="63" s="1"/>
  <c r="O326" i="63"/>
  <c r="O327" i="63" s="1"/>
  <c r="O335" i="63" s="1"/>
  <c r="O336" i="63" s="1"/>
  <c r="O338" i="63" s="1"/>
  <c r="O340" i="63" s="1"/>
  <c r="O294" i="63" s="1"/>
  <c r="O73" i="60" s="1"/>
  <c r="M20" i="80" s="1"/>
  <c r="O72" i="60" l="1"/>
  <c r="O295" i="63"/>
  <c r="N161" i="60"/>
  <c r="N84" i="60"/>
  <c r="N136" i="60" s="1"/>
  <c r="N138" i="60" s="1"/>
  <c r="N1095" i="59"/>
  <c r="N1090" i="59"/>
  <c r="N189" i="60" l="1"/>
  <c r="O1088" i="59"/>
  <c r="N1100" i="59"/>
  <c r="N1101" i="59" s="1"/>
  <c r="N1096" i="59"/>
  <c r="O344" i="63"/>
  <c r="O346" i="63" s="1"/>
  <c r="O1111" i="59" s="1"/>
  <c r="O1112" i="59" s="1"/>
  <c r="O1115" i="59" s="1"/>
  <c r="O171" i="60"/>
  <c r="P292" i="63"/>
  <c r="M8" i="80"/>
  <c r="O74" i="60"/>
  <c r="N1104" i="59" l="1"/>
  <c r="N1114" i="59" s="1"/>
  <c r="N1116" i="59" s="1"/>
  <c r="N1064" i="59" s="1"/>
  <c r="N1065" i="59" s="1"/>
  <c r="P334" i="63"/>
  <c r="P312" i="63"/>
  <c r="P313" i="63" s="1"/>
  <c r="O128" i="60"/>
  <c r="O130" i="60" s="1"/>
  <c r="O76" i="60"/>
  <c r="N160" i="60" l="1"/>
  <c r="N162" i="60" s="1"/>
  <c r="N165" i="60" s="1"/>
  <c r="N190" i="60" s="1"/>
  <c r="N191" i="60" s="1"/>
  <c r="N83" i="60"/>
  <c r="L13" i="80" s="1"/>
  <c r="N170" i="60"/>
  <c r="N88" i="60"/>
  <c r="N89" i="60" s="1"/>
  <c r="O1061" i="59"/>
  <c r="P316" i="63"/>
  <c r="P339" i="63" s="1"/>
  <c r="P315" i="63"/>
  <c r="P330" i="63" s="1"/>
  <c r="O164" i="60" l="1"/>
  <c r="O1098" i="59" s="1"/>
  <c r="N86" i="60"/>
  <c r="N173" i="60"/>
  <c r="N178" i="60" s="1"/>
  <c r="N193" i="60" s="1"/>
  <c r="L14" i="80"/>
  <c r="L15" i="80" s="1"/>
  <c r="O1093" i="59"/>
  <c r="O1069" i="59"/>
  <c r="O1078" i="59" s="1"/>
  <c r="L24" i="80" l="1"/>
  <c r="O152" i="60"/>
  <c r="O154" i="60" s="1"/>
  <c r="O967" i="59" s="1"/>
  <c r="O78" i="60"/>
  <c r="O132" i="60" l="1"/>
  <c r="O134" i="60" s="1"/>
  <c r="M21" i="80"/>
  <c r="O81" i="60"/>
  <c r="O980" i="59"/>
  <c r="O968" i="59" s="1"/>
  <c r="O970" i="59" s="1"/>
  <c r="O979" i="59"/>
  <c r="O981" i="59" l="1"/>
  <c r="P978" i="59" s="1"/>
  <c r="O974" i="59"/>
  <c r="O972" i="59"/>
  <c r="O973" i="59"/>
  <c r="O1094" i="59"/>
  <c r="O1062" i="59"/>
  <c r="O1057" i="59" s="1"/>
  <c r="O1063" i="59" l="1"/>
  <c r="O1058" i="59"/>
  <c r="O976" i="59"/>
  <c r="O986" i="59" s="1"/>
  <c r="O157" i="60" l="1"/>
  <c r="O990" i="59"/>
  <c r="O991" i="59" s="1"/>
  <c r="O188" i="60"/>
  <c r="P1055" i="59"/>
  <c r="M18" i="80"/>
  <c r="O995" i="59" l="1"/>
  <c r="O996" i="59" s="1"/>
  <c r="O177" i="60" s="1"/>
  <c r="P319" i="63"/>
  <c r="P321" i="63" s="1"/>
  <c r="M22" i="80"/>
  <c r="O181" i="60"/>
  <c r="O185" i="60" s="1"/>
  <c r="P989" i="59"/>
  <c r="O158" i="60"/>
  <c r="O387" i="63"/>
  <c r="P994" i="59" l="1"/>
  <c r="O1086" i="59"/>
  <c r="O1089" i="59" s="1"/>
  <c r="O1099" i="59"/>
  <c r="P323" i="63"/>
  <c r="P324" i="63" s="1"/>
  <c r="P329" i="63" s="1"/>
  <c r="P331" i="63" s="1"/>
  <c r="P293" i="63" s="1"/>
  <c r="P326" i="63"/>
  <c r="P327" i="63" s="1"/>
  <c r="P335" i="63" s="1"/>
  <c r="P336" i="63" s="1"/>
  <c r="P338" i="63" s="1"/>
  <c r="P340" i="63" s="1"/>
  <c r="P294" i="63" s="1"/>
  <c r="P73" i="60" s="1"/>
  <c r="N20" i="80" s="1"/>
  <c r="P72" i="60" l="1"/>
  <c r="P295" i="63"/>
  <c r="O1095" i="59"/>
  <c r="O161" i="60"/>
  <c r="O84" i="60"/>
  <c r="O136" i="60" s="1"/>
  <c r="O138" i="60" s="1"/>
  <c r="O1090" i="59"/>
  <c r="O1100" i="59" l="1"/>
  <c r="O1101" i="59" s="1"/>
  <c r="O1096" i="59"/>
  <c r="P344" i="63"/>
  <c r="P346" i="63" s="1"/>
  <c r="P1111" i="59" s="1"/>
  <c r="P1112" i="59" s="1"/>
  <c r="P1115" i="59" s="1"/>
  <c r="P171" i="60"/>
  <c r="Q292" i="63"/>
  <c r="O189" i="60"/>
  <c r="P1088" i="59"/>
  <c r="N8" i="80"/>
  <c r="P74" i="60"/>
  <c r="Q334" i="63" l="1"/>
  <c r="Q312" i="63"/>
  <c r="Q313" i="63" s="1"/>
  <c r="P128" i="60"/>
  <c r="P130" i="60" s="1"/>
  <c r="P76" i="60"/>
  <c r="O1104" i="59"/>
  <c r="O1114" i="59" s="1"/>
  <c r="O1116" i="59" s="1"/>
  <c r="Q316" i="63" l="1"/>
  <c r="Q339" i="63" s="1"/>
  <c r="Q315" i="63"/>
  <c r="Q330" i="63" s="1"/>
  <c r="O83" i="60"/>
  <c r="O1064" i="59"/>
  <c r="O1065" i="59" s="1"/>
  <c r="O160" i="60"/>
  <c r="O162" i="60" s="1"/>
  <c r="O165" i="60" s="1"/>
  <c r="O190" i="60" l="1"/>
  <c r="O191" i="60" s="1"/>
  <c r="P164" i="60"/>
  <c r="M13" i="80"/>
  <c r="O86" i="60"/>
  <c r="O170" i="60"/>
  <c r="O88" i="60"/>
  <c r="O89" i="60" s="1"/>
  <c r="P1061" i="59"/>
  <c r="P1069" i="59" l="1"/>
  <c r="P1078" i="59" s="1"/>
  <c r="P1093" i="59"/>
  <c r="P1098" i="59"/>
  <c r="M14" i="80"/>
  <c r="M15" i="80" s="1"/>
  <c r="O173" i="60"/>
  <c r="O178" i="60" s="1"/>
  <c r="O193" i="60" s="1"/>
  <c r="M24" i="80" l="1"/>
  <c r="P152" i="60"/>
  <c r="P154" i="60" s="1"/>
  <c r="P967" i="59" s="1"/>
  <c r="P78" i="60"/>
  <c r="P979" i="59" l="1"/>
  <c r="P980" i="59"/>
  <c r="P968" i="59" s="1"/>
  <c r="P970" i="59" s="1"/>
  <c r="N21" i="80"/>
  <c r="P132" i="60"/>
  <c r="P134" i="60" s="1"/>
  <c r="P81" i="60"/>
  <c r="P973" i="59" l="1"/>
  <c r="P974" i="59"/>
  <c r="P972" i="59"/>
  <c r="P1094" i="59"/>
  <c r="P1062" i="59"/>
  <c r="P1057" i="59" s="1"/>
  <c r="P981" i="59"/>
  <c r="Q978" i="59" s="1"/>
  <c r="P976" i="59" l="1"/>
  <c r="P986" i="59" s="1"/>
  <c r="P990" i="59" s="1"/>
  <c r="P991" i="59" s="1"/>
  <c r="P1063" i="59"/>
  <c r="P1058" i="59"/>
  <c r="P157" i="60" l="1"/>
  <c r="P158" i="60" s="1"/>
  <c r="P995" i="59"/>
  <c r="P996" i="59" s="1"/>
  <c r="P177" i="60" s="1"/>
  <c r="P181" i="60"/>
  <c r="P185" i="60" s="1"/>
  <c r="Q989" i="59"/>
  <c r="P188" i="60"/>
  <c r="Q1055" i="59"/>
  <c r="N18" i="80"/>
  <c r="Q994" i="59" l="1"/>
  <c r="P387" i="63"/>
  <c r="Q319" i="63"/>
  <c r="Q321" i="63" s="1"/>
  <c r="N22" i="80"/>
  <c r="P1086" i="59"/>
  <c r="P1089" i="59" s="1"/>
  <c r="P1099" i="59"/>
  <c r="Q326" i="63" l="1"/>
  <c r="Q327" i="63" s="1"/>
  <c r="Q335" i="63" s="1"/>
  <c r="Q336" i="63" s="1"/>
  <c r="Q338" i="63" s="1"/>
  <c r="Q340" i="63" s="1"/>
  <c r="Q294" i="63" s="1"/>
  <c r="Q73" i="60" s="1"/>
  <c r="O20" i="80" s="1"/>
  <c r="Q323" i="63"/>
  <c r="Q324" i="63" s="1"/>
  <c r="Q329" i="63" s="1"/>
  <c r="Q331" i="63" s="1"/>
  <c r="Q293" i="63" s="1"/>
  <c r="P161" i="60"/>
  <c r="P84" i="60"/>
  <c r="P136" i="60" s="1"/>
  <c r="P138" i="60" s="1"/>
  <c r="P1095" i="59"/>
  <c r="P1090" i="59"/>
  <c r="P189" i="60" l="1"/>
  <c r="Q1088" i="59"/>
  <c r="P1100" i="59"/>
  <c r="P1101" i="59" s="1"/>
  <c r="P1096" i="59"/>
  <c r="Q72" i="60"/>
  <c r="Q295" i="63"/>
  <c r="O8" i="80" l="1"/>
  <c r="Q74" i="60"/>
  <c r="P1104" i="59"/>
  <c r="P1114" i="59" s="1"/>
  <c r="P1116" i="59" s="1"/>
  <c r="Q344" i="63"/>
  <c r="Q346" i="63" s="1"/>
  <c r="Q1111" i="59" s="1"/>
  <c r="Q1112" i="59" s="1"/>
  <c r="Q1115" i="59" s="1"/>
  <c r="Q171" i="60"/>
  <c r="R292" i="63"/>
  <c r="P160" i="60" l="1"/>
  <c r="P162" i="60" s="1"/>
  <c r="P165" i="60" s="1"/>
  <c r="P83" i="60"/>
  <c r="P1064" i="59"/>
  <c r="P1065" i="59" s="1"/>
  <c r="R334" i="63"/>
  <c r="R312" i="63"/>
  <c r="R313" i="63" s="1"/>
  <c r="Q128" i="60"/>
  <c r="Q130" i="60" s="1"/>
  <c r="Q76" i="60"/>
  <c r="P88" i="60" l="1"/>
  <c r="P89" i="60" s="1"/>
  <c r="P170" i="60"/>
  <c r="Q1061" i="59"/>
  <c r="N13" i="80"/>
  <c r="P86" i="60"/>
  <c r="R316" i="63"/>
  <c r="R339" i="63" s="1"/>
  <c r="R315" i="63"/>
  <c r="R330" i="63" s="1"/>
  <c r="P190" i="60"/>
  <c r="P191" i="60" s="1"/>
  <c r="Q164" i="60"/>
  <c r="Q1093" i="59" l="1"/>
  <c r="Q1069" i="59"/>
  <c r="Q1078" i="59" s="1"/>
  <c r="P173" i="60"/>
  <c r="P178" i="60" s="1"/>
  <c r="P193" i="60" s="1"/>
  <c r="N14" i="80"/>
  <c r="N15" i="80" s="1"/>
  <c r="Q1098" i="59"/>
  <c r="Q152" i="60" l="1"/>
  <c r="Q154" i="60" s="1"/>
  <c r="Q967" i="59" s="1"/>
  <c r="Q78" i="60"/>
  <c r="N24" i="80"/>
  <c r="Q132" i="60" l="1"/>
  <c r="Q134" i="60" s="1"/>
  <c r="O21" i="80"/>
  <c r="Q81" i="60"/>
  <c r="Q980" i="59"/>
  <c r="Q968" i="59" s="1"/>
  <c r="Q970" i="59" s="1"/>
  <c r="Q979" i="59"/>
  <c r="Q974" i="59" l="1"/>
  <c r="Q973" i="59"/>
  <c r="Q972" i="59"/>
  <c r="Q981" i="59"/>
  <c r="R978" i="59" s="1"/>
  <c r="Q1094" i="59"/>
  <c r="Q1062" i="59"/>
  <c r="Q1057" i="59" s="1"/>
  <c r="Q976" i="59" l="1"/>
  <c r="Q986" i="59" s="1"/>
  <c r="Q157" i="60" s="1"/>
  <c r="Q1063" i="59"/>
  <c r="Q1058" i="59"/>
  <c r="Q990" i="59" l="1"/>
  <c r="Q991" i="59" s="1"/>
  <c r="Q181" i="60" s="1"/>
  <c r="Q185" i="60" s="1"/>
  <c r="Q158" i="60"/>
  <c r="Q387" i="63"/>
  <c r="Q188" i="60"/>
  <c r="R1055" i="59"/>
  <c r="O18" i="80"/>
  <c r="Q995" i="59" l="1"/>
  <c r="Q996" i="59" s="1"/>
  <c r="R994" i="59" s="1"/>
  <c r="R989" i="59"/>
  <c r="Q1086" i="59"/>
  <c r="Q1089" i="59" s="1"/>
  <c r="Q1099" i="59"/>
  <c r="O22" i="80"/>
  <c r="R319" i="63"/>
  <c r="R321" i="63" s="1"/>
  <c r="Q177" i="60" l="1"/>
  <c r="Q1095" i="59"/>
  <c r="Q84" i="60"/>
  <c r="Q136" i="60" s="1"/>
  <c r="Q138" i="60" s="1"/>
  <c r="Q161" i="60"/>
  <c r="Q1090" i="59"/>
  <c r="R326" i="63"/>
  <c r="R327" i="63" s="1"/>
  <c r="R335" i="63" s="1"/>
  <c r="R336" i="63" s="1"/>
  <c r="R338" i="63" s="1"/>
  <c r="R340" i="63" s="1"/>
  <c r="R294" i="63" s="1"/>
  <c r="R73" i="60" s="1"/>
  <c r="P20" i="80" s="1"/>
  <c r="R323" i="63"/>
  <c r="R324" i="63" s="1"/>
  <c r="R329" i="63" s="1"/>
  <c r="R331" i="63" s="1"/>
  <c r="R293" i="63" s="1"/>
  <c r="R72" i="60" l="1"/>
  <c r="R295" i="63"/>
  <c r="Q189" i="60"/>
  <c r="R1088" i="59"/>
  <c r="Q1100" i="59"/>
  <c r="Q1101" i="59" s="1"/>
  <c r="Q1096" i="59"/>
  <c r="Q1104" i="59" l="1"/>
  <c r="Q1114" i="59" s="1"/>
  <c r="Q1116" i="59" s="1"/>
  <c r="Q160" i="60" s="1"/>
  <c r="Q162" i="60" s="1"/>
  <c r="Q165" i="60" s="1"/>
  <c r="R344" i="63"/>
  <c r="R346" i="63" s="1"/>
  <c r="R1111" i="59" s="1"/>
  <c r="R1112" i="59" s="1"/>
  <c r="R1115" i="59" s="1"/>
  <c r="R171" i="60"/>
  <c r="S292" i="63"/>
  <c r="P8" i="80"/>
  <c r="R74" i="60"/>
  <c r="Q83" i="60" l="1"/>
  <c r="O13" i="80" s="1"/>
  <c r="Q1064" i="59"/>
  <c r="Q1065" i="59" s="1"/>
  <c r="R1061" i="59" s="1"/>
  <c r="S334" i="63"/>
  <c r="S312" i="63"/>
  <c r="S313" i="63" s="1"/>
  <c r="R128" i="60"/>
  <c r="R130" i="60" s="1"/>
  <c r="R76" i="60"/>
  <c r="Q190" i="60"/>
  <c r="Q191" i="60" s="1"/>
  <c r="R164" i="60"/>
  <c r="Q86" i="60" l="1"/>
  <c r="Q88" i="60"/>
  <c r="Q89" i="60" s="1"/>
  <c r="Q170" i="60"/>
  <c r="Q173" i="60" s="1"/>
  <c r="Q178" i="60" s="1"/>
  <c r="Q193" i="60" s="1"/>
  <c r="R1098" i="59"/>
  <c r="R1093" i="59"/>
  <c r="R1069" i="59"/>
  <c r="R1078" i="59" s="1"/>
  <c r="S316" i="63"/>
  <c r="S339" i="63" s="1"/>
  <c r="S315" i="63"/>
  <c r="S330" i="63" s="1"/>
  <c r="O14" i="80" l="1"/>
  <c r="O15" i="80" s="1"/>
  <c r="R78" i="60"/>
  <c r="R152" i="60"/>
  <c r="R154" i="60" s="1"/>
  <c r="R967" i="59" s="1"/>
  <c r="O24" i="80" l="1"/>
  <c r="R132" i="60"/>
  <c r="R134" i="60" s="1"/>
  <c r="P21" i="80"/>
  <c r="R81" i="60"/>
  <c r="R980" i="59"/>
  <c r="R968" i="59" s="1"/>
  <c r="R970" i="59" s="1"/>
  <c r="R979" i="59"/>
  <c r="R973" i="59" l="1"/>
  <c r="R974" i="59"/>
  <c r="R972" i="59"/>
  <c r="R981" i="59"/>
  <c r="S978" i="59" s="1"/>
  <c r="R1062" i="59"/>
  <c r="R1057" i="59" s="1"/>
  <c r="R1094" i="59"/>
  <c r="R976" i="59" l="1"/>
  <c r="R986" i="59" s="1"/>
  <c r="R990" i="59" s="1"/>
  <c r="R991" i="59" s="1"/>
  <c r="R1063" i="59"/>
  <c r="R1058" i="59"/>
  <c r="R157" i="60" l="1"/>
  <c r="R158" i="60" s="1"/>
  <c r="R181" i="60"/>
  <c r="R185" i="60" s="1"/>
  <c r="S989" i="59"/>
  <c r="R995" i="59"/>
  <c r="R996" i="59" s="1"/>
  <c r="R188" i="60"/>
  <c r="S1055" i="59"/>
  <c r="P18" i="80"/>
  <c r="R387" i="63" l="1"/>
  <c r="S319" i="63"/>
  <c r="S321" i="63" s="1"/>
  <c r="R177" i="60"/>
  <c r="S994" i="59"/>
  <c r="P22" i="80"/>
  <c r="R1086" i="59"/>
  <c r="R1089" i="59" s="1"/>
  <c r="R1099" i="59"/>
  <c r="R1095" i="59" l="1"/>
  <c r="R84" i="60"/>
  <c r="R136" i="60" s="1"/>
  <c r="R138" i="60" s="1"/>
  <c r="R161" i="60"/>
  <c r="R1090" i="59"/>
  <c r="S326" i="63"/>
  <c r="S327" i="63" s="1"/>
  <c r="S335" i="63" s="1"/>
  <c r="S336" i="63" s="1"/>
  <c r="S338" i="63" s="1"/>
  <c r="S340" i="63" s="1"/>
  <c r="S294" i="63" s="1"/>
  <c r="S73" i="60" s="1"/>
  <c r="Q20" i="80" s="1"/>
  <c r="S323" i="63"/>
  <c r="S324" i="63" s="1"/>
  <c r="S329" i="63" s="1"/>
  <c r="S331" i="63" s="1"/>
  <c r="S293" i="63" s="1"/>
  <c r="R189" i="60" l="1"/>
  <c r="S1088" i="59"/>
  <c r="R1100" i="59"/>
  <c r="R1101" i="59" s="1"/>
  <c r="R1096" i="59"/>
  <c r="S72" i="60"/>
  <c r="S295" i="63"/>
  <c r="S74" i="60" l="1"/>
  <c r="Q8" i="80"/>
  <c r="S344" i="63"/>
  <c r="S346" i="63" s="1"/>
  <c r="S1111" i="59" s="1"/>
  <c r="S1112" i="59" s="1"/>
  <c r="S1115" i="59" s="1"/>
  <c r="T292" i="63"/>
  <c r="S171" i="60"/>
  <c r="R1104" i="59"/>
  <c r="R1114" i="59" s="1"/>
  <c r="R1116" i="59" s="1"/>
  <c r="T334" i="63" l="1"/>
  <c r="T312" i="63"/>
  <c r="T313" i="63" s="1"/>
  <c r="R160" i="60"/>
  <c r="R162" i="60" s="1"/>
  <c r="R165" i="60" s="1"/>
  <c r="R83" i="60"/>
  <c r="R1064" i="59"/>
  <c r="R1065" i="59" s="1"/>
  <c r="S128" i="60"/>
  <c r="S130" i="60" s="1"/>
  <c r="S76" i="60"/>
  <c r="R88" i="60" l="1"/>
  <c r="R89" i="60" s="1"/>
  <c r="R170" i="60"/>
  <c r="S1061" i="59"/>
  <c r="R190" i="60"/>
  <c r="R191" i="60" s="1"/>
  <c r="S164" i="60"/>
  <c r="T315" i="63"/>
  <c r="T330" i="63" s="1"/>
  <c r="T316" i="63"/>
  <c r="T339" i="63" s="1"/>
  <c r="P13" i="80"/>
  <c r="R86" i="60"/>
  <c r="S1093" i="59" l="1"/>
  <c r="S1069" i="59"/>
  <c r="S1078" i="59" s="1"/>
  <c r="P14" i="80"/>
  <c r="P15" i="80" s="1"/>
  <c r="R173" i="60"/>
  <c r="R178" i="60" s="1"/>
  <c r="R193" i="60" s="1"/>
  <c r="S1098" i="59"/>
  <c r="S78" i="60" l="1"/>
  <c r="S152" i="60"/>
  <c r="S154" i="60" s="1"/>
  <c r="S967" i="59" s="1"/>
  <c r="P24" i="80"/>
  <c r="S980" i="59" l="1"/>
  <c r="S968" i="59" s="1"/>
  <c r="S970" i="59" s="1"/>
  <c r="S979" i="59"/>
  <c r="S132" i="60"/>
  <c r="S134" i="60" s="1"/>
  <c r="Q21" i="80"/>
  <c r="S81" i="60"/>
  <c r="S974" i="59" l="1"/>
  <c r="S973" i="59"/>
  <c r="S972" i="59"/>
  <c r="S1094" i="59"/>
  <c r="S1062" i="59"/>
  <c r="S1057" i="59" s="1"/>
  <c r="S981" i="59"/>
  <c r="T978" i="59" s="1"/>
  <c r="S976" i="59" l="1"/>
  <c r="S986" i="59" s="1"/>
  <c r="S990" i="59" s="1"/>
  <c r="S991" i="59" s="1"/>
  <c r="S1063" i="59"/>
  <c r="S1058" i="59"/>
  <c r="S157" i="60" l="1"/>
  <c r="S158" i="60" s="1"/>
  <c r="S995" i="59"/>
  <c r="S996" i="59" s="1"/>
  <c r="T994" i="59" s="1"/>
  <c r="S188" i="60"/>
  <c r="T1055" i="59"/>
  <c r="S181" i="60"/>
  <c r="S185" i="60" s="1"/>
  <c r="T989" i="59"/>
  <c r="Q18" i="80"/>
  <c r="S177" i="60" l="1"/>
  <c r="S387" i="63"/>
  <c r="T319" i="63"/>
  <c r="T321" i="63" s="1"/>
  <c r="Q22" i="80"/>
  <c r="S1086" i="59"/>
  <c r="S1089" i="59" s="1"/>
  <c r="S1099" i="59"/>
  <c r="T323" i="63" l="1"/>
  <c r="T324" i="63" s="1"/>
  <c r="T329" i="63" s="1"/>
  <c r="T331" i="63" s="1"/>
  <c r="T293" i="63" s="1"/>
  <c r="T326" i="63"/>
  <c r="T327" i="63" s="1"/>
  <c r="T335" i="63" s="1"/>
  <c r="T336" i="63" s="1"/>
  <c r="T338" i="63" s="1"/>
  <c r="T340" i="63" s="1"/>
  <c r="T294" i="63" s="1"/>
  <c r="T73" i="60" s="1"/>
  <c r="R20" i="80" s="1"/>
  <c r="S84" i="60"/>
  <c r="S136" i="60" s="1"/>
  <c r="S138" i="60" s="1"/>
  <c r="S1095" i="59"/>
  <c r="S161" i="60"/>
  <c r="S1090" i="59"/>
  <c r="S189" i="60" l="1"/>
  <c r="T1088" i="59"/>
  <c r="S1100" i="59"/>
  <c r="S1101" i="59" s="1"/>
  <c r="S1096" i="59"/>
  <c r="T72" i="60"/>
  <c r="T295" i="63"/>
  <c r="T171" i="60" l="1"/>
  <c r="T344" i="63"/>
  <c r="T346" i="63" s="1"/>
  <c r="T1111" i="59" s="1"/>
  <c r="T1112" i="59" s="1"/>
  <c r="T1115" i="59" s="1"/>
  <c r="U292" i="63"/>
  <c r="R8" i="80"/>
  <c r="T74" i="60"/>
  <c r="S1104" i="59"/>
  <c r="S1114" i="59" s="1"/>
  <c r="S1116" i="59" s="1"/>
  <c r="T128" i="60" l="1"/>
  <c r="T130" i="60" s="1"/>
  <c r="T76" i="60"/>
  <c r="U312" i="63"/>
  <c r="U313" i="63" s="1"/>
  <c r="U334" i="63"/>
  <c r="S160" i="60"/>
  <c r="S162" i="60" s="1"/>
  <c r="S165" i="60" s="1"/>
  <c r="S83" i="60"/>
  <c r="S1064" i="59"/>
  <c r="S1065" i="59" s="1"/>
  <c r="Q13" i="80" l="1"/>
  <c r="S86" i="60"/>
  <c r="U316" i="63"/>
  <c r="U339" i="63" s="1"/>
  <c r="U315" i="63"/>
  <c r="U330" i="63" s="1"/>
  <c r="S190" i="60"/>
  <c r="S191" i="60" s="1"/>
  <c r="T164" i="60"/>
  <c r="S88" i="60"/>
  <c r="S89" i="60" s="1"/>
  <c r="S170" i="60"/>
  <c r="T1061" i="59"/>
  <c r="T1098" i="59" l="1"/>
  <c r="T1093" i="59"/>
  <c r="T1069" i="59"/>
  <c r="T1078" i="59" s="1"/>
  <c r="Q14" i="80"/>
  <c r="Q15" i="80" s="1"/>
  <c r="S173" i="60"/>
  <c r="S178" i="60" s="1"/>
  <c r="S193" i="60" s="1"/>
  <c r="Q24" i="80" l="1"/>
  <c r="T152" i="60"/>
  <c r="T154" i="60" s="1"/>
  <c r="T967" i="59" s="1"/>
  <c r="T78" i="60"/>
  <c r="T980" i="59" l="1"/>
  <c r="T968" i="59" s="1"/>
  <c r="T970" i="59" s="1"/>
  <c r="T979" i="59"/>
  <c r="T132" i="60"/>
  <c r="T134" i="60" s="1"/>
  <c r="R21" i="80"/>
  <c r="T81" i="60"/>
  <c r="T974" i="59" l="1"/>
  <c r="T973" i="59"/>
  <c r="T972" i="59"/>
  <c r="T1062" i="59"/>
  <c r="T1057" i="59" s="1"/>
  <c r="T1094" i="59"/>
  <c r="T981" i="59"/>
  <c r="U978" i="59" s="1"/>
  <c r="T976" i="59" l="1"/>
  <c r="T986" i="59" s="1"/>
  <c r="T990" i="59" s="1"/>
  <c r="T991" i="59" s="1"/>
  <c r="T1063" i="59"/>
  <c r="T1058" i="59"/>
  <c r="T157" i="60" l="1"/>
  <c r="T158" i="60" s="1"/>
  <c r="T181" i="60"/>
  <c r="T185" i="60" s="1"/>
  <c r="U989" i="59"/>
  <c r="T995" i="59"/>
  <c r="T996" i="59" s="1"/>
  <c r="T188" i="60"/>
  <c r="U1055" i="59"/>
  <c r="R18" i="80"/>
  <c r="T387" i="63" l="1"/>
  <c r="T177" i="60"/>
  <c r="U994" i="59"/>
  <c r="R22" i="80"/>
  <c r="U319" i="63"/>
  <c r="U321" i="63" s="1"/>
  <c r="T1086" i="59"/>
  <c r="T1089" i="59" s="1"/>
  <c r="T1099" i="59"/>
  <c r="U326" i="63" l="1"/>
  <c r="U327" i="63" s="1"/>
  <c r="U335" i="63" s="1"/>
  <c r="U336" i="63" s="1"/>
  <c r="U338" i="63" s="1"/>
  <c r="U340" i="63" s="1"/>
  <c r="U294" i="63" s="1"/>
  <c r="U73" i="60" s="1"/>
  <c r="S20" i="80" s="1"/>
  <c r="U323" i="63"/>
  <c r="U324" i="63" s="1"/>
  <c r="U329" i="63" s="1"/>
  <c r="U331" i="63" s="1"/>
  <c r="U293" i="63" s="1"/>
  <c r="T161" i="60"/>
  <c r="T84" i="60"/>
  <c r="T136" i="60" s="1"/>
  <c r="T138" i="60" s="1"/>
  <c r="T1095" i="59"/>
  <c r="T1090" i="59"/>
  <c r="T189" i="60" l="1"/>
  <c r="U1088" i="59"/>
  <c r="U72" i="60"/>
  <c r="U295" i="63"/>
  <c r="T1100" i="59"/>
  <c r="T1101" i="59" s="1"/>
  <c r="T1096" i="59"/>
  <c r="T1104" i="59" l="1"/>
  <c r="T1114" i="59" s="1"/>
  <c r="T1116" i="59" s="1"/>
  <c r="T160" i="60" s="1"/>
  <c r="T162" i="60" s="1"/>
  <c r="T165" i="60" s="1"/>
  <c r="U171" i="60"/>
  <c r="U344" i="63"/>
  <c r="U346" i="63" s="1"/>
  <c r="U1111" i="59" s="1"/>
  <c r="U1112" i="59" s="1"/>
  <c r="U1115" i="59" s="1"/>
  <c r="V292" i="63"/>
  <c r="S8" i="80"/>
  <c r="U74" i="60"/>
  <c r="T83" i="60" l="1"/>
  <c r="R13" i="80" s="1"/>
  <c r="T1064" i="59"/>
  <c r="T1065" i="59" s="1"/>
  <c r="T88" i="60" s="1"/>
  <c r="T89" i="60" s="1"/>
  <c r="V334" i="63"/>
  <c r="V312" i="63"/>
  <c r="V313" i="63" s="1"/>
  <c r="T190" i="60"/>
  <c r="T191" i="60" s="1"/>
  <c r="U164" i="60"/>
  <c r="U128" i="60"/>
  <c r="U130" i="60" s="1"/>
  <c r="U76" i="60"/>
  <c r="T86" i="60" l="1"/>
  <c r="U1061" i="59"/>
  <c r="U1093" i="59" s="1"/>
  <c r="T170" i="60"/>
  <c r="R14" i="80" s="1"/>
  <c r="R15" i="80" s="1"/>
  <c r="V316" i="63"/>
  <c r="V339" i="63" s="1"/>
  <c r="V315" i="63"/>
  <c r="V330" i="63" s="1"/>
  <c r="U1098" i="59"/>
  <c r="U1069" i="59" l="1"/>
  <c r="U1078" i="59" s="1"/>
  <c r="U152" i="60" s="1"/>
  <c r="U154" i="60" s="1"/>
  <c r="U967" i="59" s="1"/>
  <c r="T173" i="60"/>
  <c r="T178" i="60" s="1"/>
  <c r="T193" i="60" s="1"/>
  <c r="R24" i="80"/>
  <c r="U78" i="60" l="1"/>
  <c r="U132" i="60" s="1"/>
  <c r="U134" i="60" s="1"/>
  <c r="U980" i="59"/>
  <c r="U968" i="59" s="1"/>
  <c r="U970" i="59" s="1"/>
  <c r="U979" i="59"/>
  <c r="U81" i="60" l="1"/>
  <c r="U1062" i="59" s="1"/>
  <c r="U1057" i="59" s="1"/>
  <c r="S21" i="80"/>
  <c r="U981" i="59"/>
  <c r="V978" i="59" s="1"/>
  <c r="U972" i="59"/>
  <c r="U974" i="59"/>
  <c r="U973" i="59"/>
  <c r="U1094" i="59" l="1"/>
  <c r="U1063" i="59"/>
  <c r="U1058" i="59"/>
  <c r="U976" i="59"/>
  <c r="U986" i="59" s="1"/>
  <c r="U188" i="60" l="1"/>
  <c r="V1055" i="59"/>
  <c r="U157" i="60"/>
  <c r="U990" i="59"/>
  <c r="U991" i="59" s="1"/>
  <c r="S18" i="80"/>
  <c r="S22" i="80" l="1"/>
  <c r="U158" i="60"/>
  <c r="U387" i="63"/>
  <c r="V319" i="63"/>
  <c r="V321" i="63" s="1"/>
  <c r="U181" i="60"/>
  <c r="U185" i="60" s="1"/>
  <c r="V989" i="59"/>
  <c r="U995" i="59"/>
  <c r="U996" i="59" s="1"/>
  <c r="V323" i="63" l="1"/>
  <c r="V324" i="63" s="1"/>
  <c r="V329" i="63" s="1"/>
  <c r="V331" i="63" s="1"/>
  <c r="V293" i="63" s="1"/>
  <c r="V326" i="63"/>
  <c r="V327" i="63" s="1"/>
  <c r="V335" i="63" s="1"/>
  <c r="V336" i="63" s="1"/>
  <c r="V338" i="63" s="1"/>
  <c r="V340" i="63" s="1"/>
  <c r="V294" i="63" s="1"/>
  <c r="V73" i="60" s="1"/>
  <c r="T20" i="80" s="1"/>
  <c r="U1086" i="59"/>
  <c r="U1089" i="59" s="1"/>
  <c r="U1099" i="59"/>
  <c r="U177" i="60"/>
  <c r="V994" i="59"/>
  <c r="U161" i="60" l="1"/>
  <c r="U84" i="60"/>
  <c r="U136" i="60" s="1"/>
  <c r="U138" i="60" s="1"/>
  <c r="U1095" i="59"/>
  <c r="U1090" i="59"/>
  <c r="V72" i="60"/>
  <c r="V295" i="63"/>
  <c r="T8" i="80" l="1"/>
  <c r="V74" i="60"/>
  <c r="U1100" i="59"/>
  <c r="U1101" i="59" s="1"/>
  <c r="U1096" i="59"/>
  <c r="U189" i="60"/>
  <c r="V1088" i="59"/>
  <c r="V344" i="63"/>
  <c r="V346" i="63" s="1"/>
  <c r="V1111" i="59" s="1"/>
  <c r="V1112" i="59" s="1"/>
  <c r="V1115" i="59" s="1"/>
  <c r="V171" i="60"/>
  <c r="W292" i="63"/>
  <c r="U1104" i="59" l="1"/>
  <c r="U1114" i="59" s="1"/>
  <c r="U1116" i="59" s="1"/>
  <c r="U1064" i="59" s="1"/>
  <c r="U1065" i="59" s="1"/>
  <c r="V128" i="60"/>
  <c r="V130" i="60" s="1"/>
  <c r="V76" i="60"/>
  <c r="W334" i="63"/>
  <c r="W312" i="63"/>
  <c r="W313" i="63" s="1"/>
  <c r="U83" i="60" l="1"/>
  <c r="S13" i="80" s="1"/>
  <c r="U160" i="60"/>
  <c r="U162" i="60" s="1"/>
  <c r="U165" i="60" s="1"/>
  <c r="U190" i="60" s="1"/>
  <c r="U191" i="60" s="1"/>
  <c r="W316" i="63"/>
  <c r="W339" i="63" s="1"/>
  <c r="W315" i="63"/>
  <c r="W330" i="63" s="1"/>
  <c r="U170" i="60"/>
  <c r="U88" i="60"/>
  <c r="U89" i="60" s="1"/>
  <c r="V1061" i="59"/>
  <c r="U86" i="60" l="1"/>
  <c r="V164" i="60"/>
  <c r="V1098" i="59" s="1"/>
  <c r="V1069" i="59"/>
  <c r="V1078" i="59" s="1"/>
  <c r="V1093" i="59"/>
  <c r="U173" i="60"/>
  <c r="U178" i="60" s="1"/>
  <c r="U193" i="60" s="1"/>
  <c r="S14" i="80"/>
  <c r="S15" i="80" s="1"/>
  <c r="S24" i="80" l="1"/>
  <c r="V78" i="60"/>
  <c r="V152" i="60"/>
  <c r="V154" i="60" s="1"/>
  <c r="V967" i="59" s="1"/>
  <c r="V980" i="59" l="1"/>
  <c r="V968" i="59" s="1"/>
  <c r="V970" i="59" s="1"/>
  <c r="V979" i="59"/>
  <c r="V132" i="60"/>
  <c r="V134" i="60" s="1"/>
  <c r="T21" i="80"/>
  <c r="V81" i="60"/>
  <c r="V981" i="59" l="1"/>
  <c r="W978" i="59" s="1"/>
  <c r="V973" i="59"/>
  <c r="V974" i="59"/>
  <c r="V972" i="59"/>
  <c r="V1094" i="59"/>
  <c r="V1062" i="59"/>
  <c r="V1057" i="59" s="1"/>
  <c r="V976" i="59" l="1"/>
  <c r="V986" i="59" s="1"/>
  <c r="V990" i="59" s="1"/>
  <c r="V991" i="59" s="1"/>
  <c r="V1063" i="59"/>
  <c r="V1058" i="59"/>
  <c r="V157" i="60" l="1"/>
  <c r="V158" i="60" s="1"/>
  <c r="V995" i="59"/>
  <c r="V996" i="59" s="1"/>
  <c r="V177" i="60" s="1"/>
  <c r="V181" i="60"/>
  <c r="V185" i="60" s="1"/>
  <c r="W989" i="59"/>
  <c r="V188" i="60"/>
  <c r="W1055" i="59"/>
  <c r="T18" i="80"/>
  <c r="V387" i="63" l="1"/>
  <c r="W994" i="59"/>
  <c r="W319" i="63"/>
  <c r="W321" i="63" s="1"/>
  <c r="V1086" i="59"/>
  <c r="V1089" i="59" s="1"/>
  <c r="V1099" i="59"/>
  <c r="T22" i="80"/>
  <c r="V161" i="60" l="1"/>
  <c r="V84" i="60"/>
  <c r="V136" i="60" s="1"/>
  <c r="V138" i="60" s="1"/>
  <c r="V1095" i="59"/>
  <c r="V1090" i="59"/>
  <c r="W323" i="63"/>
  <c r="W324" i="63" s="1"/>
  <c r="W329" i="63" s="1"/>
  <c r="W331" i="63" s="1"/>
  <c r="W293" i="63" s="1"/>
  <c r="W326" i="63"/>
  <c r="W327" i="63" s="1"/>
  <c r="W335" i="63" s="1"/>
  <c r="W336" i="63" s="1"/>
  <c r="W338" i="63" s="1"/>
  <c r="W340" i="63" s="1"/>
  <c r="W294" i="63" s="1"/>
  <c r="W73" i="60" s="1"/>
  <c r="U20" i="80" s="1"/>
  <c r="V1100" i="59" l="1"/>
  <c r="V1101" i="59" s="1"/>
  <c r="V1096" i="59"/>
  <c r="W72" i="60"/>
  <c r="W295" i="63"/>
  <c r="V189" i="60"/>
  <c r="W1088" i="59"/>
  <c r="W344" i="63" l="1"/>
  <c r="W346" i="63" s="1"/>
  <c r="W1111" i="59" s="1"/>
  <c r="W1112" i="59" s="1"/>
  <c r="W1115" i="59" s="1"/>
  <c r="W171" i="60"/>
  <c r="X292" i="63"/>
  <c r="W74" i="60"/>
  <c r="U8" i="80"/>
  <c r="V1104" i="59"/>
  <c r="V1114" i="59" s="1"/>
  <c r="V1116" i="59" s="1"/>
  <c r="V160" i="60" l="1"/>
  <c r="V162" i="60" s="1"/>
  <c r="V165" i="60" s="1"/>
  <c r="V83" i="60"/>
  <c r="V1064" i="59"/>
  <c r="V1065" i="59" s="1"/>
  <c r="W128" i="60"/>
  <c r="W130" i="60" s="1"/>
  <c r="W76" i="60"/>
  <c r="X312" i="63"/>
  <c r="X313" i="63" s="1"/>
  <c r="X334" i="63"/>
  <c r="V88" i="60" l="1"/>
  <c r="V89" i="60" s="1"/>
  <c r="V170" i="60"/>
  <c r="W1061" i="59"/>
  <c r="X316" i="63"/>
  <c r="X339" i="63" s="1"/>
  <c r="X315" i="63"/>
  <c r="X330" i="63" s="1"/>
  <c r="T13" i="80"/>
  <c r="V86" i="60"/>
  <c r="V190" i="60"/>
  <c r="V191" i="60" s="1"/>
  <c r="W164" i="60"/>
  <c r="V173" i="60" l="1"/>
  <c r="V178" i="60" s="1"/>
  <c r="V193" i="60" s="1"/>
  <c r="T14" i="80"/>
  <c r="T15" i="80" s="1"/>
  <c r="W1069" i="59"/>
  <c r="W1078" i="59" s="1"/>
  <c r="W1093" i="59"/>
  <c r="W1098" i="59"/>
  <c r="T24" i="80" l="1"/>
  <c r="W78" i="60"/>
  <c r="W152" i="60"/>
  <c r="W154" i="60" s="1"/>
  <c r="W967" i="59" s="1"/>
  <c r="W132" i="60" l="1"/>
  <c r="W134" i="60" s="1"/>
  <c r="U21" i="80"/>
  <c r="W81" i="60"/>
  <c r="W979" i="59"/>
  <c r="W980" i="59"/>
  <c r="W968" i="59" s="1"/>
  <c r="W970" i="59" s="1"/>
  <c r="W974" i="59" l="1"/>
  <c r="W972" i="59"/>
  <c r="W973" i="59"/>
  <c r="W981" i="59"/>
  <c r="X978" i="59" s="1"/>
  <c r="W1094" i="59"/>
  <c r="W1062" i="59"/>
  <c r="W1057" i="59" s="1"/>
  <c r="W1063" i="59" l="1"/>
  <c r="W1058" i="59"/>
  <c r="W976" i="59"/>
  <c r="W986" i="59" s="1"/>
  <c r="W188" i="60" l="1"/>
  <c r="X1055" i="59"/>
  <c r="W990" i="59"/>
  <c r="W991" i="59" s="1"/>
  <c r="W157" i="60"/>
  <c r="U18" i="80"/>
  <c r="W158" i="60" l="1"/>
  <c r="W387" i="63"/>
  <c r="W995" i="59"/>
  <c r="W996" i="59" s="1"/>
  <c r="X319" i="63"/>
  <c r="X321" i="63" s="1"/>
  <c r="U22" i="80"/>
  <c r="W181" i="60"/>
  <c r="W185" i="60" s="1"/>
  <c r="X989" i="59"/>
  <c r="W177" i="60" l="1"/>
  <c r="X994" i="59"/>
  <c r="X326" i="63"/>
  <c r="X327" i="63" s="1"/>
  <c r="X335" i="63" s="1"/>
  <c r="X336" i="63" s="1"/>
  <c r="X338" i="63" s="1"/>
  <c r="X340" i="63" s="1"/>
  <c r="X294" i="63" s="1"/>
  <c r="X73" i="60" s="1"/>
  <c r="V20" i="80" s="1"/>
  <c r="X323" i="63"/>
  <c r="X324" i="63" s="1"/>
  <c r="X329" i="63" s="1"/>
  <c r="X331" i="63" s="1"/>
  <c r="X293" i="63" s="1"/>
  <c r="W1099" i="59"/>
  <c r="W1086" i="59"/>
  <c r="W1089" i="59" s="1"/>
  <c r="W1095" i="59" l="1"/>
  <c r="W161" i="60"/>
  <c r="W84" i="60"/>
  <c r="W136" i="60" s="1"/>
  <c r="W138" i="60" s="1"/>
  <c r="W1090" i="59"/>
  <c r="X72" i="60"/>
  <c r="X295" i="63"/>
  <c r="X74" i="60" l="1"/>
  <c r="V8" i="80"/>
  <c r="W189" i="60"/>
  <c r="X1088" i="59"/>
  <c r="W1100" i="59"/>
  <c r="W1101" i="59" s="1"/>
  <c r="W1096" i="59"/>
  <c r="X344" i="63"/>
  <c r="X346" i="63" s="1"/>
  <c r="X1111" i="59" s="1"/>
  <c r="X1112" i="59" s="1"/>
  <c r="X1115" i="59" s="1"/>
  <c r="Y292" i="63"/>
  <c r="X171" i="60"/>
  <c r="Y312" i="63" l="1"/>
  <c r="Y313" i="63" s="1"/>
  <c r="Y334" i="63"/>
  <c r="W1104" i="59"/>
  <c r="W1114" i="59" s="1"/>
  <c r="W1116" i="59" s="1"/>
  <c r="X128" i="60"/>
  <c r="X130" i="60" s="1"/>
  <c r="X76" i="60"/>
  <c r="W1064" i="59" l="1"/>
  <c r="W1065" i="59" s="1"/>
  <c r="W83" i="60"/>
  <c r="W160" i="60"/>
  <c r="W162" i="60" s="1"/>
  <c r="W165" i="60" s="1"/>
  <c r="Y316" i="63"/>
  <c r="Y339" i="63" s="1"/>
  <c r="Y315" i="63"/>
  <c r="Y330" i="63" s="1"/>
  <c r="U13" i="80" l="1"/>
  <c r="W86" i="60"/>
  <c r="W190" i="60"/>
  <c r="W191" i="60" s="1"/>
  <c r="X164" i="60"/>
  <c r="W170" i="60"/>
  <c r="W88" i="60"/>
  <c r="W89" i="60" s="1"/>
  <c r="X1061" i="59"/>
  <c r="U14" i="80" l="1"/>
  <c r="U15" i="80" s="1"/>
  <c r="W173" i="60"/>
  <c r="W178" i="60" s="1"/>
  <c r="W193" i="60" s="1"/>
  <c r="X1098" i="59"/>
  <c r="X1069" i="59"/>
  <c r="X1078" i="59" s="1"/>
  <c r="X1093" i="59"/>
  <c r="U24" i="80" l="1"/>
  <c r="X152" i="60"/>
  <c r="X154" i="60" s="1"/>
  <c r="X967" i="59" s="1"/>
  <c r="X78" i="60"/>
  <c r="V21" i="80" l="1"/>
  <c r="X132" i="60"/>
  <c r="X134" i="60" s="1"/>
  <c r="X81" i="60"/>
  <c r="X979" i="59"/>
  <c r="X980" i="59"/>
  <c r="X968" i="59" s="1"/>
  <c r="X970" i="59" s="1"/>
  <c r="X974" i="59" l="1"/>
  <c r="X972" i="59"/>
  <c r="X973" i="59"/>
  <c r="X981" i="59"/>
  <c r="Y978" i="59" s="1"/>
  <c r="X1094" i="59"/>
  <c r="X1062" i="59"/>
  <c r="X1057" i="59" s="1"/>
  <c r="X1063" i="59" l="1"/>
  <c r="X1058" i="59"/>
  <c r="X976" i="59"/>
  <c r="X986" i="59" s="1"/>
  <c r="X990" i="59" l="1"/>
  <c r="X991" i="59" s="1"/>
  <c r="X157" i="60"/>
  <c r="X188" i="60"/>
  <c r="Y1055" i="59"/>
  <c r="V18" i="80"/>
  <c r="X158" i="60" l="1"/>
  <c r="X387" i="63"/>
  <c r="V22" i="80"/>
  <c r="Y319" i="63"/>
  <c r="Y321" i="63" s="1"/>
  <c r="X181" i="60"/>
  <c r="X185" i="60" s="1"/>
  <c r="Y989" i="59"/>
  <c r="X995" i="59"/>
  <c r="X996" i="59" s="1"/>
  <c r="Y326" i="63" l="1"/>
  <c r="Y327" i="63" s="1"/>
  <c r="Y335" i="63" s="1"/>
  <c r="Y336" i="63" s="1"/>
  <c r="Y338" i="63" s="1"/>
  <c r="Y340" i="63" s="1"/>
  <c r="Y294" i="63" s="1"/>
  <c r="Y73" i="60" s="1"/>
  <c r="W20" i="80" s="1"/>
  <c r="Y323" i="63"/>
  <c r="Y324" i="63" s="1"/>
  <c r="Y329" i="63" s="1"/>
  <c r="Y331" i="63" s="1"/>
  <c r="Y293" i="63" s="1"/>
  <c r="X177" i="60"/>
  <c r="Y994" i="59"/>
  <c r="X1099" i="59"/>
  <c r="X1086" i="59"/>
  <c r="X1089" i="59" s="1"/>
  <c r="X84" i="60" l="1"/>
  <c r="X136" i="60" s="1"/>
  <c r="X138" i="60" s="1"/>
  <c r="X1095" i="59"/>
  <c r="X161" i="60"/>
  <c r="X1090" i="59"/>
  <c r="Y72" i="60"/>
  <c r="Y295" i="63"/>
  <c r="Y344" i="63" l="1"/>
  <c r="Y346" i="63" s="1"/>
  <c r="Y1111" i="59" s="1"/>
  <c r="Y1112" i="59" s="1"/>
  <c r="Y1115" i="59" s="1"/>
  <c r="Y171" i="60"/>
  <c r="Z292" i="63"/>
  <c r="X1100" i="59"/>
  <c r="X1101" i="59" s="1"/>
  <c r="X1096" i="59"/>
  <c r="Y74" i="60"/>
  <c r="W8" i="80"/>
  <c r="X189" i="60"/>
  <c r="Y1088" i="59"/>
  <c r="X1104" i="59" l="1"/>
  <c r="X1114" i="59" s="1"/>
  <c r="X1116" i="59" s="1"/>
  <c r="X1064" i="59" s="1"/>
  <c r="X1065" i="59" s="1"/>
  <c r="Y128" i="60"/>
  <c r="Y130" i="60" s="1"/>
  <c r="Y76" i="60"/>
  <c r="Z334" i="63"/>
  <c r="Z312" i="63"/>
  <c r="Z313" i="63" s="1"/>
  <c r="X160" i="60" l="1"/>
  <c r="X162" i="60" s="1"/>
  <c r="X165" i="60" s="1"/>
  <c r="X190" i="60" s="1"/>
  <c r="X191" i="60" s="1"/>
  <c r="X83" i="60"/>
  <c r="V13" i="80" s="1"/>
  <c r="Y1061" i="59"/>
  <c r="X170" i="60"/>
  <c r="X88" i="60"/>
  <c r="X89" i="60" s="1"/>
  <c r="Z316" i="63"/>
  <c r="Z339" i="63" s="1"/>
  <c r="Z315" i="63"/>
  <c r="Z330" i="63" s="1"/>
  <c r="X86" i="60" l="1"/>
  <c r="Y164" i="60"/>
  <c r="Y1098" i="59" s="1"/>
  <c r="Y1093" i="59"/>
  <c r="Y1069" i="59"/>
  <c r="Y1078" i="59" s="1"/>
  <c r="X173" i="60"/>
  <c r="X178" i="60" s="1"/>
  <c r="X193" i="60" s="1"/>
  <c r="V14" i="80"/>
  <c r="V15" i="80" s="1"/>
  <c r="V24" i="80" l="1"/>
  <c r="Y78" i="60"/>
  <c r="Y152" i="60"/>
  <c r="Y154" i="60" s="1"/>
  <c r="Y967" i="59" s="1"/>
  <c r="W21" i="80" l="1"/>
  <c r="Y132" i="60"/>
  <c r="Y134" i="60" s="1"/>
  <c r="Y81" i="60"/>
  <c r="Y980" i="59"/>
  <c r="Y968" i="59" s="1"/>
  <c r="Y970" i="59" s="1"/>
  <c r="Y979" i="59"/>
  <c r="Y981" i="59" l="1"/>
  <c r="Z978" i="59" s="1"/>
  <c r="Y974" i="59"/>
  <c r="Y973" i="59"/>
  <c r="Y972" i="59"/>
  <c r="Y1094" i="59"/>
  <c r="Y1062" i="59"/>
  <c r="Y1057" i="59" s="1"/>
  <c r="Y976" i="59" l="1"/>
  <c r="Y986" i="59" s="1"/>
  <c r="Y990" i="59" s="1"/>
  <c r="Y991" i="59" s="1"/>
  <c r="Y1063" i="59"/>
  <c r="Y1058" i="59"/>
  <c r="Y157" i="60" l="1"/>
  <c r="Y158" i="60" s="1"/>
  <c r="Y995" i="59"/>
  <c r="Y996" i="59" s="1"/>
  <c r="Y177" i="60" s="1"/>
  <c r="Y181" i="60"/>
  <c r="Y185" i="60" s="1"/>
  <c r="Z989" i="59"/>
  <c r="Y188" i="60"/>
  <c r="Z1055" i="59"/>
  <c r="W18" i="80"/>
  <c r="Z994" i="59" l="1"/>
  <c r="Y387" i="63"/>
  <c r="Z319" i="63"/>
  <c r="Z321" i="63" s="1"/>
  <c r="W22" i="80"/>
  <c r="Y1099" i="59"/>
  <c r="Y1086" i="59"/>
  <c r="Y1089" i="59" s="1"/>
  <c r="Z326" i="63" l="1"/>
  <c r="Z327" i="63" s="1"/>
  <c r="Z335" i="63" s="1"/>
  <c r="Z336" i="63" s="1"/>
  <c r="Z338" i="63" s="1"/>
  <c r="Z340" i="63" s="1"/>
  <c r="Z294" i="63" s="1"/>
  <c r="Z73" i="60" s="1"/>
  <c r="X20" i="80" s="1"/>
  <c r="Z323" i="63"/>
  <c r="Z324" i="63" s="1"/>
  <c r="Z329" i="63" s="1"/>
  <c r="Z331" i="63" s="1"/>
  <c r="Z293" i="63" s="1"/>
  <c r="Y84" i="60"/>
  <c r="Y136" i="60" s="1"/>
  <c r="Y138" i="60" s="1"/>
  <c r="Y161" i="60"/>
  <c r="Y1095" i="59"/>
  <c r="Y1090" i="59"/>
  <c r="Y189" i="60" l="1"/>
  <c r="Z1088" i="59"/>
  <c r="Z72" i="60"/>
  <c r="Z295" i="63"/>
  <c r="Y1100" i="59"/>
  <c r="Y1101" i="59" s="1"/>
  <c r="Y1096" i="59"/>
  <c r="Z344" i="63" l="1"/>
  <c r="Z346" i="63" s="1"/>
  <c r="Z1111" i="59" s="1"/>
  <c r="Z1112" i="59" s="1"/>
  <c r="Z1115" i="59" s="1"/>
  <c r="AA292" i="63"/>
  <c r="Z171" i="60"/>
  <c r="Y1104" i="59"/>
  <c r="Y1114" i="59" s="1"/>
  <c r="Y1116" i="59" s="1"/>
  <c r="X8" i="80"/>
  <c r="Z74" i="60"/>
  <c r="Y83" i="60" l="1"/>
  <c r="Y1064" i="59"/>
  <c r="Y1065" i="59" s="1"/>
  <c r="Y160" i="60"/>
  <c r="Y162" i="60" s="1"/>
  <c r="Y165" i="60" s="1"/>
  <c r="Z128" i="60"/>
  <c r="Z130" i="60" s="1"/>
  <c r="Z76" i="60"/>
  <c r="AA334" i="63"/>
  <c r="AA312" i="63"/>
  <c r="AA313" i="63" s="1"/>
  <c r="Y190" i="60" l="1"/>
  <c r="Y191" i="60" s="1"/>
  <c r="Z164" i="60"/>
  <c r="Y88" i="60"/>
  <c r="Y89" i="60" s="1"/>
  <c r="Z1061" i="59"/>
  <c r="Y170" i="60"/>
  <c r="AA315" i="63"/>
  <c r="AA330" i="63" s="1"/>
  <c r="AA316" i="63"/>
  <c r="AA339" i="63" s="1"/>
  <c r="W13" i="80"/>
  <c r="Y86" i="60"/>
  <c r="W14" i="80" l="1"/>
  <c r="W15" i="80" s="1"/>
  <c r="Y173" i="60"/>
  <c r="Y178" i="60" s="1"/>
  <c r="Y193" i="60" s="1"/>
  <c r="Z1069" i="59"/>
  <c r="Z1078" i="59" s="1"/>
  <c r="Z1093" i="59"/>
  <c r="Z1098" i="59"/>
  <c r="W24" i="80" l="1"/>
  <c r="Z78" i="60"/>
  <c r="Z152" i="60"/>
  <c r="Z154" i="60" s="1"/>
  <c r="Z967" i="59" s="1"/>
  <c r="Z980" i="59" l="1"/>
  <c r="Z968" i="59" s="1"/>
  <c r="Z970" i="59" s="1"/>
  <c r="Z979" i="59"/>
  <c r="X21" i="80"/>
  <c r="Z132" i="60"/>
  <c r="Z134" i="60" s="1"/>
  <c r="Z81" i="60"/>
  <c r="Z981" i="59" l="1"/>
  <c r="AA978" i="59" s="1"/>
  <c r="Z1062" i="59"/>
  <c r="Z1057" i="59" s="1"/>
  <c r="Z1094" i="59"/>
  <c r="Z972" i="59"/>
  <c r="Z973" i="59"/>
  <c r="Z974" i="59"/>
  <c r="Z976" i="59" l="1"/>
  <c r="Z986" i="59" s="1"/>
  <c r="Z1063" i="59"/>
  <c r="Z1058" i="59"/>
  <c r="X18" i="80" l="1"/>
  <c r="Z188" i="60"/>
  <c r="AA1055" i="59"/>
  <c r="Z990" i="59"/>
  <c r="Z991" i="59" s="1"/>
  <c r="Z157" i="60"/>
  <c r="Z995" i="59" l="1"/>
  <c r="Z996" i="59" s="1"/>
  <c r="AA994" i="59" s="1"/>
  <c r="Z158" i="60"/>
  <c r="Z387" i="63"/>
  <c r="Z181" i="60"/>
  <c r="Z185" i="60" s="1"/>
  <c r="AA989" i="59"/>
  <c r="AA319" i="63"/>
  <c r="AA321" i="63" s="1"/>
  <c r="X22" i="80"/>
  <c r="Z177" i="60" l="1"/>
  <c r="AA323" i="63"/>
  <c r="AA324" i="63" s="1"/>
  <c r="AA329" i="63" s="1"/>
  <c r="AA331" i="63" s="1"/>
  <c r="AA293" i="63" s="1"/>
  <c r="AA326" i="63"/>
  <c r="AA327" i="63" s="1"/>
  <c r="AA335" i="63" s="1"/>
  <c r="AA336" i="63" s="1"/>
  <c r="AA338" i="63" s="1"/>
  <c r="AA340" i="63" s="1"/>
  <c r="AA294" i="63" s="1"/>
  <c r="AA73" i="60" s="1"/>
  <c r="Y20" i="80" s="1"/>
  <c r="Z1086" i="59"/>
  <c r="Z1089" i="59" s="1"/>
  <c r="Z1099" i="59"/>
  <c r="Z161" i="60" l="1"/>
  <c r="Z84" i="60"/>
  <c r="Z136" i="60" s="1"/>
  <c r="Z138" i="60" s="1"/>
  <c r="Z1095" i="59"/>
  <c r="Z1090" i="59"/>
  <c r="AA72" i="60"/>
  <c r="AA295" i="63"/>
  <c r="Y8" i="80" l="1"/>
  <c r="AA74" i="60"/>
  <c r="AA344" i="63"/>
  <c r="AA346" i="63" s="1"/>
  <c r="AA1111" i="59" s="1"/>
  <c r="AA1112" i="59" s="1"/>
  <c r="AA1115" i="59" s="1"/>
  <c r="AA171" i="60"/>
  <c r="AB292" i="63"/>
  <c r="Z189" i="60"/>
  <c r="AA1088" i="59"/>
  <c r="Z1100" i="59"/>
  <c r="Z1101" i="59" s="1"/>
  <c r="Z1096" i="59"/>
  <c r="Z1104" i="59" l="1"/>
  <c r="Z1114" i="59" s="1"/>
  <c r="Z1116" i="59" s="1"/>
  <c r="Z1064" i="59" s="1"/>
  <c r="Z1065" i="59" s="1"/>
  <c r="AA128" i="60"/>
  <c r="AA130" i="60" s="1"/>
  <c r="AA76" i="60"/>
  <c r="AB312" i="63"/>
  <c r="AB313" i="63" s="1"/>
  <c r="AB334" i="63"/>
  <c r="Z160" i="60" l="1"/>
  <c r="Z162" i="60" s="1"/>
  <c r="Z165" i="60" s="1"/>
  <c r="Z190" i="60" s="1"/>
  <c r="Z191" i="60" s="1"/>
  <c r="Z83" i="60"/>
  <c r="Z86" i="60" s="1"/>
  <c r="AB315" i="63"/>
  <c r="AB330" i="63" s="1"/>
  <c r="AB316" i="63"/>
  <c r="AB339" i="63" s="1"/>
  <c r="Z88" i="60"/>
  <c r="Z89" i="60" s="1"/>
  <c r="AA1061" i="59"/>
  <c r="Z170" i="60"/>
  <c r="AA164" i="60" l="1"/>
  <c r="AA1098" i="59" s="1"/>
  <c r="X13" i="80"/>
  <c r="X14" i="80"/>
  <c r="Z173" i="60"/>
  <c r="Z178" i="60" s="1"/>
  <c r="Z193" i="60" s="1"/>
  <c r="AA1069" i="59"/>
  <c r="AA1078" i="59" s="1"/>
  <c r="AA1093" i="59"/>
  <c r="X15" i="80" l="1"/>
  <c r="AA152" i="60"/>
  <c r="AA154" i="60" s="1"/>
  <c r="AA967" i="59" s="1"/>
  <c r="AA78" i="60"/>
  <c r="X24" i="80"/>
  <c r="AA132" i="60" l="1"/>
  <c r="AA134" i="60" s="1"/>
  <c r="Y21" i="80"/>
  <c r="AA81" i="60"/>
  <c r="AA980" i="59"/>
  <c r="AA968" i="59" s="1"/>
  <c r="AA970" i="59" s="1"/>
  <c r="AA979" i="59"/>
  <c r="AA981" i="59" l="1"/>
  <c r="AB978" i="59" s="1"/>
  <c r="AA973" i="59"/>
  <c r="AA972" i="59"/>
  <c r="AA974" i="59"/>
  <c r="AA1094" i="59"/>
  <c r="AA1062" i="59"/>
  <c r="AA1057" i="59" s="1"/>
  <c r="AA1063" i="59" l="1"/>
  <c r="AA1058" i="59"/>
  <c r="AA976" i="59"/>
  <c r="AA986" i="59" s="1"/>
  <c r="AA990" i="59" l="1"/>
  <c r="AA991" i="59" s="1"/>
  <c r="AA157" i="60"/>
  <c r="AB1055" i="59"/>
  <c r="AA188" i="60"/>
  <c r="Y18" i="80"/>
  <c r="AA995" i="59" l="1"/>
  <c r="AA996" i="59" s="1"/>
  <c r="AB994" i="59" s="1"/>
  <c r="AB319" i="63"/>
  <c r="AB321" i="63" s="1"/>
  <c r="Y22" i="80"/>
  <c r="AA158" i="60"/>
  <c r="AA387" i="63"/>
  <c r="AB989" i="59"/>
  <c r="AA181" i="60"/>
  <c r="AA185" i="60" s="1"/>
  <c r="AA177" i="60" l="1"/>
  <c r="AA1086" i="59"/>
  <c r="AA1089" i="59" s="1"/>
  <c r="AA1099" i="59"/>
  <c r="AB323" i="63"/>
  <c r="AB324" i="63" s="1"/>
  <c r="AB329" i="63" s="1"/>
  <c r="AB331" i="63" s="1"/>
  <c r="AB293" i="63" s="1"/>
  <c r="AB326" i="63"/>
  <c r="AB327" i="63" s="1"/>
  <c r="AB335" i="63" s="1"/>
  <c r="AB336" i="63" s="1"/>
  <c r="AB338" i="63" s="1"/>
  <c r="AB340" i="63" s="1"/>
  <c r="AB294" i="63" s="1"/>
  <c r="AB73" i="60" s="1"/>
  <c r="Z20" i="80" s="1"/>
  <c r="AB72" i="60" l="1"/>
  <c r="AB295" i="63"/>
  <c r="AA161" i="60"/>
  <c r="AA84" i="60"/>
  <c r="AA136" i="60" s="1"/>
  <c r="AA138" i="60" s="1"/>
  <c r="AA1095" i="59"/>
  <c r="AA1090" i="59"/>
  <c r="AA189" i="60" l="1"/>
  <c r="AB1088" i="59"/>
  <c r="AB344" i="63"/>
  <c r="AB346" i="63" s="1"/>
  <c r="AB1111" i="59" s="1"/>
  <c r="AB1112" i="59" s="1"/>
  <c r="AB1115" i="59" s="1"/>
  <c r="AB171" i="60"/>
  <c r="AC292" i="63"/>
  <c r="AA1100" i="59"/>
  <c r="AA1101" i="59" s="1"/>
  <c r="AA1096" i="59"/>
  <c r="Z8" i="80"/>
  <c r="AB74" i="60"/>
  <c r="AC334" i="63" l="1"/>
  <c r="AC312" i="63"/>
  <c r="AC313" i="63" s="1"/>
  <c r="AA1104" i="59"/>
  <c r="AA1114" i="59" s="1"/>
  <c r="AA1116" i="59" s="1"/>
  <c r="AB128" i="60"/>
  <c r="AB130" i="60" s="1"/>
  <c r="AB76" i="60"/>
  <c r="AA160" i="60" l="1"/>
  <c r="AA162" i="60" s="1"/>
  <c r="AA165" i="60" s="1"/>
  <c r="AA83" i="60"/>
  <c r="AA1064" i="59"/>
  <c r="AA1065" i="59" s="1"/>
  <c r="AC316" i="63"/>
  <c r="AC339" i="63" s="1"/>
  <c r="AC315" i="63"/>
  <c r="AC330" i="63" s="1"/>
  <c r="Y13" i="80" l="1"/>
  <c r="AA86" i="60"/>
  <c r="AA88" i="60"/>
  <c r="AA89" i="60" s="1"/>
  <c r="AA170" i="60"/>
  <c r="AB1061" i="59"/>
  <c r="AA190" i="60"/>
  <c r="AA191" i="60" s="1"/>
  <c r="AB164" i="60"/>
  <c r="AB1069" i="59" l="1"/>
  <c r="AB1078" i="59" s="1"/>
  <c r="AB1093" i="59"/>
  <c r="Y14" i="80"/>
  <c r="Y15" i="80" s="1"/>
  <c r="AA173" i="60"/>
  <c r="AA178" i="60" s="1"/>
  <c r="AA193" i="60" s="1"/>
  <c r="AB1098" i="59"/>
  <c r="Y24" i="80" l="1"/>
  <c r="AB152" i="60"/>
  <c r="AB154" i="60" s="1"/>
  <c r="AB967" i="59" s="1"/>
  <c r="AB78" i="60"/>
  <c r="AB132" i="60" l="1"/>
  <c r="AB134" i="60" s="1"/>
  <c r="Z21" i="80"/>
  <c r="AB81" i="60"/>
  <c r="AB980" i="59"/>
  <c r="AB968" i="59" s="1"/>
  <c r="AB970" i="59" s="1"/>
  <c r="AB979" i="59"/>
  <c r="AB981" i="59" l="1"/>
  <c r="AC978" i="59" s="1"/>
  <c r="AB973" i="59"/>
  <c r="AB972" i="59"/>
  <c r="AB974" i="59"/>
  <c r="AB1094" i="59"/>
  <c r="AB1062" i="59"/>
  <c r="AB1057" i="59" s="1"/>
  <c r="AB1063" i="59" l="1"/>
  <c r="AB1058" i="59"/>
  <c r="AB976" i="59"/>
  <c r="AB986" i="59" s="1"/>
  <c r="AB990" i="59" l="1"/>
  <c r="AB991" i="59" s="1"/>
  <c r="AB157" i="60"/>
  <c r="AB188" i="60"/>
  <c r="AC1055" i="59"/>
  <c r="Z18" i="80"/>
  <c r="Z22" i="80" l="1"/>
  <c r="AC319" i="63"/>
  <c r="AC321" i="63" s="1"/>
  <c r="AB158" i="60"/>
  <c r="AB387" i="63"/>
  <c r="AB181" i="60"/>
  <c r="AB185" i="60" s="1"/>
  <c r="AC989" i="59"/>
  <c r="AB995" i="59"/>
  <c r="AB996" i="59" s="1"/>
  <c r="AB1086" i="59" l="1"/>
  <c r="AB1089" i="59" s="1"/>
  <c r="AB1099" i="59"/>
  <c r="AC326" i="63"/>
  <c r="AC327" i="63" s="1"/>
  <c r="AC335" i="63" s="1"/>
  <c r="AC336" i="63" s="1"/>
  <c r="AC338" i="63" s="1"/>
  <c r="AC340" i="63" s="1"/>
  <c r="AC294" i="63" s="1"/>
  <c r="AC73" i="60" s="1"/>
  <c r="AA20" i="80" s="1"/>
  <c r="AC323" i="63"/>
  <c r="AC324" i="63" s="1"/>
  <c r="AC329" i="63" s="1"/>
  <c r="AC331" i="63" s="1"/>
  <c r="AC293" i="63" s="1"/>
  <c r="AB177" i="60"/>
  <c r="AC994" i="59"/>
  <c r="AC72" i="60" l="1"/>
  <c r="AC295" i="63"/>
  <c r="AB1095" i="59"/>
  <c r="AB84" i="60"/>
  <c r="AB136" i="60" s="1"/>
  <c r="AB138" i="60" s="1"/>
  <c r="AB161" i="60"/>
  <c r="AB1090" i="59"/>
  <c r="AC344" i="63" l="1"/>
  <c r="AC346" i="63" s="1"/>
  <c r="AC1111" i="59" s="1"/>
  <c r="AC1112" i="59" s="1"/>
  <c r="AC1115" i="59" s="1"/>
  <c r="AC171" i="60"/>
  <c r="AD292" i="63"/>
  <c r="AB1100" i="59"/>
  <c r="AB1101" i="59" s="1"/>
  <c r="AB1096" i="59"/>
  <c r="AB189" i="60"/>
  <c r="AC1088" i="59"/>
  <c r="AC74" i="60"/>
  <c r="AA8" i="80"/>
  <c r="AB1104" i="59" l="1"/>
  <c r="AB1114" i="59" s="1"/>
  <c r="AB1116" i="59" s="1"/>
  <c r="AB83" i="60" s="1"/>
  <c r="AC128" i="60"/>
  <c r="AC130" i="60" s="1"/>
  <c r="AC76" i="60"/>
  <c r="AD312" i="63"/>
  <c r="AD313" i="63" s="1"/>
  <c r="AD334" i="63"/>
  <c r="AB1064" i="59" l="1"/>
  <c r="AB1065" i="59" s="1"/>
  <c r="AC1061" i="59" s="1"/>
  <c r="AB160" i="60"/>
  <c r="AB162" i="60" s="1"/>
  <c r="AB165" i="60" s="1"/>
  <c r="AB190" i="60" s="1"/>
  <c r="AB191" i="60" s="1"/>
  <c r="Z13" i="80"/>
  <c r="AB86" i="60"/>
  <c r="AD315" i="63"/>
  <c r="AD330" i="63" s="1"/>
  <c r="AD316" i="63"/>
  <c r="AD339" i="63" s="1"/>
  <c r="AB170" i="60" l="1"/>
  <c r="AB173" i="60" s="1"/>
  <c r="AB178" i="60" s="1"/>
  <c r="AB193" i="60" s="1"/>
  <c r="AB88" i="60"/>
  <c r="AB89" i="60" s="1"/>
  <c r="AC164" i="60"/>
  <c r="AC1098" i="59" s="1"/>
  <c r="AC1069" i="59"/>
  <c r="AC1078" i="59" s="1"/>
  <c r="AC1093" i="59"/>
  <c r="Z14" i="80" l="1"/>
  <c r="Z15" i="80" s="1"/>
  <c r="AC152" i="60"/>
  <c r="AC154" i="60" s="1"/>
  <c r="AC967" i="59" s="1"/>
  <c r="AC78" i="60"/>
  <c r="Z24" i="80" l="1"/>
  <c r="AC132" i="60"/>
  <c r="AC134" i="60" s="1"/>
  <c r="AA21" i="80"/>
  <c r="AC81" i="60"/>
  <c r="AC980" i="59"/>
  <c r="AC968" i="59" s="1"/>
  <c r="AC970" i="59" s="1"/>
  <c r="AC979" i="59"/>
  <c r="AC973" i="59" l="1"/>
  <c r="AC974" i="59"/>
  <c r="AC972" i="59"/>
  <c r="AC981" i="59"/>
  <c r="AD978" i="59" s="1"/>
  <c r="AC1062" i="59"/>
  <c r="AC1057" i="59" s="1"/>
  <c r="AC1094" i="59"/>
  <c r="AC976" i="59" l="1"/>
  <c r="AC986" i="59" s="1"/>
  <c r="AC990" i="59" s="1"/>
  <c r="AC991" i="59" s="1"/>
  <c r="AC1063" i="59"/>
  <c r="AC1058" i="59"/>
  <c r="AC157" i="60" l="1"/>
  <c r="AC387" i="63" s="1"/>
  <c r="AC995" i="59"/>
  <c r="AC996" i="59" s="1"/>
  <c r="AC177" i="60" s="1"/>
  <c r="AA18" i="80"/>
  <c r="AC181" i="60"/>
  <c r="AC185" i="60" s="1"/>
  <c r="AD989" i="59"/>
  <c r="AD1055" i="59"/>
  <c r="AC188" i="60"/>
  <c r="AC158" i="60" l="1"/>
  <c r="AC1099" i="59" s="1"/>
  <c r="AD994" i="59"/>
  <c r="AA22" i="80"/>
  <c r="AD319" i="63"/>
  <c r="AD321" i="63" s="1"/>
  <c r="AC1086" i="59" l="1"/>
  <c r="AC1089" i="59" s="1"/>
  <c r="AC1095" i="59" s="1"/>
  <c r="AD323" i="63"/>
  <c r="AD324" i="63" s="1"/>
  <c r="AD329" i="63" s="1"/>
  <c r="AD331" i="63" s="1"/>
  <c r="AD293" i="63" s="1"/>
  <c r="AD326" i="63"/>
  <c r="AD327" i="63" s="1"/>
  <c r="AD335" i="63" s="1"/>
  <c r="AD336" i="63" s="1"/>
  <c r="AD338" i="63" s="1"/>
  <c r="AD340" i="63" s="1"/>
  <c r="AD294" i="63" s="1"/>
  <c r="AD73" i="60" s="1"/>
  <c r="AB20" i="80" s="1"/>
  <c r="AC84" i="60" l="1"/>
  <c r="AC136" i="60" s="1"/>
  <c r="AC138" i="60" s="1"/>
  <c r="AC1090" i="59"/>
  <c r="AD1088" i="59" s="1"/>
  <c r="AC161" i="60"/>
  <c r="AD72" i="60"/>
  <c r="AD295" i="63"/>
  <c r="AC1100" i="59"/>
  <c r="AC1101" i="59" s="1"/>
  <c r="AC1096" i="59"/>
  <c r="AC189" i="60" l="1"/>
  <c r="AD344" i="63"/>
  <c r="AD346" i="63" s="1"/>
  <c r="AD1111" i="59" s="1"/>
  <c r="AD1112" i="59" s="1"/>
  <c r="AD1115" i="59" s="1"/>
  <c r="AD171" i="60"/>
  <c r="AE292" i="63"/>
  <c r="AC1104" i="59"/>
  <c r="AC1114" i="59" s="1"/>
  <c r="AC1116" i="59" s="1"/>
  <c r="AB8" i="80"/>
  <c r="AD74" i="60"/>
  <c r="AC160" i="60" l="1"/>
  <c r="AC162" i="60" s="1"/>
  <c r="AC165" i="60" s="1"/>
  <c r="AC83" i="60"/>
  <c r="AC1064" i="59"/>
  <c r="AC1065" i="59" s="1"/>
  <c r="AD128" i="60"/>
  <c r="AD130" i="60" s="1"/>
  <c r="AD76" i="60"/>
  <c r="AE334" i="63"/>
  <c r="AE312" i="63"/>
  <c r="AE313" i="63" s="1"/>
  <c r="AC170" i="60" l="1"/>
  <c r="AC88" i="60"/>
  <c r="AC89" i="60" s="1"/>
  <c r="AD1061" i="59"/>
  <c r="AA13" i="80"/>
  <c r="AC86" i="60"/>
  <c r="AE316" i="63"/>
  <c r="AE339" i="63" s="1"/>
  <c r="AE315" i="63"/>
  <c r="AE330" i="63" s="1"/>
  <c r="AC190" i="60"/>
  <c r="AC191" i="60" s="1"/>
  <c r="AD164" i="60"/>
  <c r="AD1093" i="59" l="1"/>
  <c r="AD1069" i="59"/>
  <c r="AD1078" i="59" s="1"/>
  <c r="AA14" i="80"/>
  <c r="AA15" i="80" s="1"/>
  <c r="AC173" i="60"/>
  <c r="AC178" i="60" s="1"/>
  <c r="AC193" i="60" s="1"/>
  <c r="AD1098" i="59"/>
  <c r="AA24" i="80" l="1"/>
  <c r="AD78" i="60"/>
  <c r="AD152" i="60"/>
  <c r="AD154" i="60" s="1"/>
  <c r="AD967" i="59" s="1"/>
  <c r="AD132" i="60" l="1"/>
  <c r="AD134" i="60" s="1"/>
  <c r="AB21" i="80"/>
  <c r="AD81" i="60"/>
  <c r="AD980" i="59"/>
  <c r="AD968" i="59" s="1"/>
  <c r="AD970" i="59" s="1"/>
  <c r="AD979" i="59"/>
  <c r="AD974" i="59" l="1"/>
  <c r="AD973" i="59"/>
  <c r="AD972" i="59"/>
  <c r="AD981" i="59"/>
  <c r="AE978" i="59" s="1"/>
  <c r="AD1062" i="59"/>
  <c r="AD1057" i="59" s="1"/>
  <c r="AD1094" i="59"/>
  <c r="AD976" i="59" l="1"/>
  <c r="AD986" i="59" s="1"/>
  <c r="AD157" i="60" s="1"/>
  <c r="AD1063" i="59"/>
  <c r="AD1058" i="59"/>
  <c r="AD990" i="59" l="1"/>
  <c r="AD991" i="59" s="1"/>
  <c r="AE989" i="59" s="1"/>
  <c r="AD158" i="60"/>
  <c r="AD387" i="63"/>
  <c r="AD188" i="60"/>
  <c r="AE1055" i="59"/>
  <c r="AB18" i="80"/>
  <c r="AD995" i="59" l="1"/>
  <c r="AD996" i="59" s="1"/>
  <c r="AE994" i="59" s="1"/>
  <c r="AD181" i="60"/>
  <c r="AD185" i="60" s="1"/>
  <c r="AB22" i="80"/>
  <c r="AE319" i="63"/>
  <c r="AE321" i="63" s="1"/>
  <c r="AD1099" i="59"/>
  <c r="AD1086" i="59"/>
  <c r="AD1089" i="59" s="1"/>
  <c r="AD177" i="60" l="1"/>
  <c r="AE326" i="63"/>
  <c r="AE327" i="63" s="1"/>
  <c r="AE335" i="63" s="1"/>
  <c r="AE336" i="63" s="1"/>
  <c r="AE338" i="63" s="1"/>
  <c r="AE340" i="63" s="1"/>
  <c r="AE294" i="63" s="1"/>
  <c r="AE73" i="60" s="1"/>
  <c r="AC20" i="80" s="1"/>
  <c r="AE323" i="63"/>
  <c r="AE324" i="63" s="1"/>
  <c r="AE329" i="63" s="1"/>
  <c r="AE331" i="63" s="1"/>
  <c r="AE293" i="63" s="1"/>
  <c r="AD84" i="60"/>
  <c r="AD136" i="60" s="1"/>
  <c r="AD138" i="60" s="1"/>
  <c r="AD161" i="60"/>
  <c r="AD1095" i="59"/>
  <c r="AD1090" i="59"/>
  <c r="AD1100" i="59" l="1"/>
  <c r="AD1101" i="59" s="1"/>
  <c r="AD1096" i="59"/>
  <c r="AD189" i="60"/>
  <c r="AE1088" i="59"/>
  <c r="AE72" i="60"/>
  <c r="AE295" i="63"/>
  <c r="AE74" i="60" l="1"/>
  <c r="AC8" i="80"/>
  <c r="AE344" i="63"/>
  <c r="AE346" i="63" s="1"/>
  <c r="AE1111" i="59" s="1"/>
  <c r="AE1112" i="59" s="1"/>
  <c r="AE1115" i="59" s="1"/>
  <c r="AF292" i="63"/>
  <c r="AE171" i="60"/>
  <c r="AD1104" i="59"/>
  <c r="AD1114" i="59" s="1"/>
  <c r="AD1116" i="59" s="1"/>
  <c r="AF334" i="63" l="1"/>
  <c r="AF312" i="63"/>
  <c r="AF313" i="63" s="1"/>
  <c r="AD160" i="60"/>
  <c r="AD162" i="60" s="1"/>
  <c r="AD165" i="60" s="1"/>
  <c r="AD83" i="60"/>
  <c r="AD1064" i="59"/>
  <c r="AD1065" i="59" s="1"/>
  <c r="AE128" i="60"/>
  <c r="AE130" i="60" s="1"/>
  <c r="AE76" i="60"/>
  <c r="AD170" i="60" l="1"/>
  <c r="AD88" i="60"/>
  <c r="AD89" i="60" s="1"/>
  <c r="AE1061" i="59"/>
  <c r="AD190" i="60"/>
  <c r="AD191" i="60" s="1"/>
  <c r="AE164" i="60"/>
  <c r="AF315" i="63"/>
  <c r="AF330" i="63" s="1"/>
  <c r="AF316" i="63"/>
  <c r="AF339" i="63" s="1"/>
  <c r="AB13" i="80"/>
  <c r="AD86" i="60"/>
  <c r="AE1098" i="59" l="1"/>
  <c r="AE1069" i="59"/>
  <c r="AE1078" i="59" s="1"/>
  <c r="AE1093" i="59"/>
  <c r="AD173" i="60"/>
  <c r="AD178" i="60" s="1"/>
  <c r="AD193" i="60" s="1"/>
  <c r="AB14" i="80"/>
  <c r="AB15" i="80" s="1"/>
  <c r="AB24" i="80" l="1"/>
  <c r="AE78" i="60"/>
  <c r="AE152" i="60"/>
  <c r="AE154" i="60" s="1"/>
  <c r="AE967" i="59" s="1"/>
  <c r="AE979" i="59" l="1"/>
  <c r="AE980" i="59"/>
  <c r="AE968" i="59" s="1"/>
  <c r="AE970" i="59" s="1"/>
  <c r="AE132" i="60"/>
  <c r="AE134" i="60" s="1"/>
  <c r="AC21" i="80"/>
  <c r="AE81" i="60"/>
  <c r="AE1094" i="59" l="1"/>
  <c r="AE1062" i="59"/>
  <c r="AE1057" i="59" s="1"/>
  <c r="AE973" i="59"/>
  <c r="AE972" i="59"/>
  <c r="AE974" i="59"/>
  <c r="AE981" i="59"/>
  <c r="AF978" i="59" s="1"/>
  <c r="AE976" i="59" l="1"/>
  <c r="AE986" i="59" s="1"/>
  <c r="AE1063" i="59"/>
  <c r="AE1058" i="59"/>
  <c r="AF1055" i="59" l="1"/>
  <c r="AE188" i="60"/>
  <c r="AC18" i="80"/>
  <c r="AE990" i="59"/>
  <c r="AE991" i="59" s="1"/>
  <c r="AE157" i="60"/>
  <c r="AE995" i="59" l="1"/>
  <c r="AE996" i="59" s="1"/>
  <c r="AE177" i="60" s="1"/>
  <c r="AE158" i="60"/>
  <c r="AE387" i="63"/>
  <c r="AC22" i="80"/>
  <c r="AE181" i="60"/>
  <c r="AE185" i="60" s="1"/>
  <c r="AF989" i="59"/>
  <c r="AF319" i="63"/>
  <c r="AF321" i="63" s="1"/>
  <c r="AF994" i="59" l="1"/>
  <c r="AF323" i="63"/>
  <c r="AF324" i="63" s="1"/>
  <c r="AF329" i="63" s="1"/>
  <c r="AF331" i="63" s="1"/>
  <c r="AF293" i="63" s="1"/>
  <c r="AF326" i="63"/>
  <c r="AF327" i="63" s="1"/>
  <c r="AF335" i="63" s="1"/>
  <c r="AF336" i="63" s="1"/>
  <c r="AF338" i="63" s="1"/>
  <c r="AF340" i="63" s="1"/>
  <c r="AF294" i="63" s="1"/>
  <c r="AF73" i="60" s="1"/>
  <c r="AD20" i="80" s="1"/>
  <c r="AE1086" i="59"/>
  <c r="AE1089" i="59" s="1"/>
  <c r="AE1099" i="59"/>
  <c r="AE161" i="60" l="1"/>
  <c r="AE84" i="60"/>
  <c r="AE136" i="60" s="1"/>
  <c r="AE138" i="60" s="1"/>
  <c r="AE1095" i="59"/>
  <c r="AE1090" i="59"/>
  <c r="AF72" i="60"/>
  <c r="AF295" i="63"/>
  <c r="AF171" i="60" l="1"/>
  <c r="AF344" i="63"/>
  <c r="AF346" i="63" s="1"/>
  <c r="AF1111" i="59" s="1"/>
  <c r="AF1112" i="59" s="1"/>
  <c r="AF1115" i="59" s="1"/>
  <c r="AG292" i="63"/>
  <c r="AF74" i="60"/>
  <c r="AD8" i="80"/>
  <c r="AE189" i="60"/>
  <c r="AF1088" i="59"/>
  <c r="AE1100" i="59"/>
  <c r="AE1101" i="59" s="1"/>
  <c r="AE1096" i="59"/>
  <c r="AE1104" i="59" l="1"/>
  <c r="AE1114" i="59" s="1"/>
  <c r="AE1116" i="59" s="1"/>
  <c r="AE1064" i="59" s="1"/>
  <c r="AE1065" i="59" s="1"/>
  <c r="AF128" i="60"/>
  <c r="AF130" i="60" s="1"/>
  <c r="AF76" i="60"/>
  <c r="AG312" i="63"/>
  <c r="AG313" i="63" s="1"/>
  <c r="AG334" i="63"/>
  <c r="AE160" i="60" l="1"/>
  <c r="AE162" i="60" s="1"/>
  <c r="AE165" i="60" s="1"/>
  <c r="AE190" i="60" s="1"/>
  <c r="AE191" i="60" s="1"/>
  <c r="AE83" i="60"/>
  <c r="AE86" i="60" s="1"/>
  <c r="AE170" i="60"/>
  <c r="AE88" i="60"/>
  <c r="AE89" i="60" s="1"/>
  <c r="AF1061" i="59"/>
  <c r="AG315" i="63"/>
  <c r="AG330" i="63" s="1"/>
  <c r="AG316" i="63"/>
  <c r="AG339" i="63" s="1"/>
  <c r="AC13" i="80" l="1"/>
  <c r="AF164" i="60"/>
  <c r="AF1098" i="59" s="1"/>
  <c r="AF1093" i="59"/>
  <c r="AF1069" i="59"/>
  <c r="AF1078" i="59" s="1"/>
  <c r="AE173" i="60"/>
  <c r="AE178" i="60" s="1"/>
  <c r="AE193" i="60" s="1"/>
  <c r="AC14" i="80"/>
  <c r="AC15" i="80" l="1"/>
  <c r="AC24" i="80"/>
  <c r="AF78" i="60"/>
  <c r="AF152" i="60"/>
  <c r="AF154" i="60" s="1"/>
  <c r="AF967" i="59" s="1"/>
  <c r="AD21" i="80" l="1"/>
  <c r="AF132" i="60"/>
  <c r="AF134" i="60" s="1"/>
  <c r="AF81" i="60"/>
  <c r="AF979" i="59"/>
  <c r="AF980" i="59"/>
  <c r="AF968" i="59" s="1"/>
  <c r="AF970" i="59" s="1"/>
  <c r="AF973" i="59" l="1"/>
  <c r="AF974" i="59"/>
  <c r="AF972" i="59"/>
  <c r="AF981" i="59"/>
  <c r="AG978" i="59" s="1"/>
  <c r="AF1062" i="59"/>
  <c r="AF1057" i="59" s="1"/>
  <c r="AF1094" i="59"/>
  <c r="AF976" i="59" l="1"/>
  <c r="AF986" i="59" s="1"/>
  <c r="AF990" i="59" s="1"/>
  <c r="AF1063" i="59"/>
  <c r="AF1058" i="59"/>
  <c r="AF157" i="60" l="1"/>
  <c r="AF158" i="60" s="1"/>
  <c r="AF991" i="59"/>
  <c r="AF181" i="60" s="1"/>
  <c r="AF185" i="60" s="1"/>
  <c r="AF995" i="59"/>
  <c r="AF996" i="59" s="1"/>
  <c r="AG994" i="59" s="1"/>
  <c r="AF188" i="60"/>
  <c r="AG1055" i="59"/>
  <c r="AD18" i="80"/>
  <c r="AG989" i="59" l="1"/>
  <c r="AF387" i="63"/>
  <c r="AF177" i="60"/>
  <c r="AF1099" i="59"/>
  <c r="AF1086" i="59"/>
  <c r="AF1089" i="59" s="1"/>
  <c r="AG319" i="63"/>
  <c r="AG321" i="63" s="1"/>
  <c r="AD22" i="80"/>
  <c r="AF161" i="60" l="1"/>
  <c r="AF1095" i="59"/>
  <c r="AF84" i="60"/>
  <c r="AF136" i="60" s="1"/>
  <c r="AF138" i="60" s="1"/>
  <c r="AF1090" i="59"/>
  <c r="AG323" i="63"/>
  <c r="AG324" i="63" s="1"/>
  <c r="AG329" i="63" s="1"/>
  <c r="AG331" i="63" s="1"/>
  <c r="AG293" i="63" s="1"/>
  <c r="AG326" i="63"/>
  <c r="AG327" i="63" s="1"/>
  <c r="AG335" i="63" s="1"/>
  <c r="AG336" i="63" s="1"/>
  <c r="AG338" i="63" s="1"/>
  <c r="AG340" i="63" s="1"/>
  <c r="AG294" i="63" s="1"/>
  <c r="AG73" i="60" s="1"/>
  <c r="AE20" i="80" s="1"/>
  <c r="AF189" i="60" l="1"/>
  <c r="AG1088" i="59"/>
  <c r="AF1100" i="59"/>
  <c r="AF1101" i="59" s="1"/>
  <c r="AF1096" i="59"/>
  <c r="AG72" i="60"/>
  <c r="AG295" i="63"/>
  <c r="AE8" i="80" l="1"/>
  <c r="AG74" i="60"/>
  <c r="AG171" i="60"/>
  <c r="AH292" i="63"/>
  <c r="AG344" i="63"/>
  <c r="AG346" i="63" s="1"/>
  <c r="AG1111" i="59" s="1"/>
  <c r="AG1112" i="59" s="1"/>
  <c r="AG1115" i="59" s="1"/>
  <c r="AF1104" i="59"/>
  <c r="AF1114" i="59" s="1"/>
  <c r="AF1116" i="59" s="1"/>
  <c r="AH334" i="63" l="1"/>
  <c r="AH312" i="63"/>
  <c r="AH313" i="63" s="1"/>
  <c r="AF160" i="60"/>
  <c r="AF162" i="60" s="1"/>
  <c r="AF165" i="60" s="1"/>
  <c r="AF83" i="60"/>
  <c r="AF1064" i="59"/>
  <c r="AF1065" i="59" s="1"/>
  <c r="AG128" i="60"/>
  <c r="AG130" i="60" s="1"/>
  <c r="AG76" i="60"/>
  <c r="AF88" i="60" l="1"/>
  <c r="AF89" i="60" s="1"/>
  <c r="AF170" i="60"/>
  <c r="AG1061" i="59"/>
  <c r="AG164" i="60"/>
  <c r="AF190" i="60"/>
  <c r="AF191" i="60" s="1"/>
  <c r="AH315" i="63"/>
  <c r="AH330" i="63" s="1"/>
  <c r="AH316" i="63"/>
  <c r="AH339" i="63" s="1"/>
  <c r="AD13" i="80"/>
  <c r="AF86" i="60"/>
  <c r="AG1098" i="59" l="1"/>
  <c r="AG1069" i="59"/>
  <c r="AG1078" i="59" s="1"/>
  <c r="AG1093" i="59"/>
  <c r="AD14" i="80"/>
  <c r="AD15" i="80" s="1"/>
  <c r="AF173" i="60"/>
  <c r="AF178" i="60" s="1"/>
  <c r="AF193" i="60" s="1"/>
  <c r="AD24" i="80" l="1"/>
  <c r="AG78" i="60"/>
  <c r="AG152" i="60"/>
  <c r="AG154" i="60" s="1"/>
  <c r="AG967" i="59" s="1"/>
  <c r="AG132" i="60" l="1"/>
  <c r="AG134" i="60" s="1"/>
  <c r="AE21" i="80"/>
  <c r="AG81" i="60"/>
  <c r="AG979" i="59"/>
  <c r="AG980" i="59"/>
  <c r="AG968" i="59" s="1"/>
  <c r="AG970" i="59" s="1"/>
  <c r="AG973" i="59" l="1"/>
  <c r="AG974" i="59"/>
  <c r="AG972" i="59"/>
  <c r="AG981" i="59"/>
  <c r="AH978" i="59" s="1"/>
  <c r="AG1094" i="59"/>
  <c r="AG1062" i="59"/>
  <c r="AG1057" i="59" s="1"/>
  <c r="AG976" i="59" l="1"/>
  <c r="AG986" i="59" s="1"/>
  <c r="AG990" i="59" s="1"/>
  <c r="AG991" i="59" s="1"/>
  <c r="AG1063" i="59"/>
  <c r="AG1058" i="59"/>
  <c r="AG157" i="60" l="1"/>
  <c r="AG158" i="60" s="1"/>
  <c r="AG995" i="59"/>
  <c r="AG996" i="59" s="1"/>
  <c r="AG177" i="60" s="1"/>
  <c r="AG181" i="60"/>
  <c r="AG185" i="60" s="1"/>
  <c r="AH989" i="59"/>
  <c r="AG188" i="60"/>
  <c r="AH1055" i="59"/>
  <c r="AE18" i="80"/>
  <c r="AG387" i="63" l="1"/>
  <c r="AH994" i="59"/>
  <c r="AH319" i="63"/>
  <c r="AH321" i="63" s="1"/>
  <c r="AG1086" i="59"/>
  <c r="AG1089" i="59" s="1"/>
  <c r="AG1099" i="59"/>
  <c r="AE22" i="80"/>
  <c r="AG1095" i="59" l="1"/>
  <c r="AG84" i="60"/>
  <c r="AG136" i="60" s="1"/>
  <c r="AG138" i="60" s="1"/>
  <c r="AG161" i="60"/>
  <c r="AG1090" i="59"/>
  <c r="AH323" i="63"/>
  <c r="AH324" i="63" s="1"/>
  <c r="AH329" i="63" s="1"/>
  <c r="AH331" i="63" s="1"/>
  <c r="AH293" i="63" s="1"/>
  <c r="AH326" i="63"/>
  <c r="AH327" i="63" s="1"/>
  <c r="AH335" i="63" s="1"/>
  <c r="AH336" i="63" s="1"/>
  <c r="AH338" i="63" s="1"/>
  <c r="AH340" i="63" s="1"/>
  <c r="AH294" i="63" s="1"/>
  <c r="AH73" i="60" s="1"/>
  <c r="AF20" i="80" s="1"/>
  <c r="AH72" i="60" l="1"/>
  <c r="AH295" i="63"/>
  <c r="AH1088" i="59"/>
  <c r="AG189" i="60"/>
  <c r="AG1100" i="59"/>
  <c r="AG1101" i="59" s="1"/>
  <c r="AG1096" i="59"/>
  <c r="AG1104" i="59" l="1"/>
  <c r="AG1114" i="59" s="1"/>
  <c r="AG1116" i="59" s="1"/>
  <c r="AG160" i="60" s="1"/>
  <c r="AG162" i="60" s="1"/>
  <c r="AG165" i="60" s="1"/>
  <c r="AH171" i="60"/>
  <c r="AH344" i="63"/>
  <c r="AH346" i="63" s="1"/>
  <c r="AH1111" i="59" s="1"/>
  <c r="AH1112" i="59" s="1"/>
  <c r="AH1115" i="59" s="1"/>
  <c r="AI292" i="63"/>
  <c r="AH74" i="60"/>
  <c r="AF8" i="80"/>
  <c r="AG1064" i="59" l="1"/>
  <c r="AG1065" i="59" s="1"/>
  <c r="AG88" i="60" s="1"/>
  <c r="AG89" i="60" s="1"/>
  <c r="AG83" i="60"/>
  <c r="AE13" i="80" s="1"/>
  <c r="AI312" i="63"/>
  <c r="AI313" i="63" s="1"/>
  <c r="AI334" i="63"/>
  <c r="AH128" i="60"/>
  <c r="AH130" i="60" s="1"/>
  <c r="AH76" i="60"/>
  <c r="AG190" i="60"/>
  <c r="AG191" i="60" s="1"/>
  <c r="AH164" i="60"/>
  <c r="AH1061" i="59" l="1"/>
  <c r="AH1069" i="59" s="1"/>
  <c r="AH1078" i="59" s="1"/>
  <c r="AG170" i="60"/>
  <c r="AE14" i="80" s="1"/>
  <c r="AE15" i="80" s="1"/>
  <c r="AG86" i="60"/>
  <c r="AH1098" i="59"/>
  <c r="AI315" i="63"/>
  <c r="AI330" i="63" s="1"/>
  <c r="AI316" i="63"/>
  <c r="AI339" i="63" s="1"/>
  <c r="AG173" i="60" l="1"/>
  <c r="AG178" i="60" s="1"/>
  <c r="AG193" i="60" s="1"/>
  <c r="AH1093" i="59"/>
  <c r="AE24" i="80"/>
  <c r="AH78" i="60"/>
  <c r="AH152" i="60"/>
  <c r="AH154" i="60" s="1"/>
  <c r="AH967" i="59" s="1"/>
  <c r="AH979" i="59" l="1"/>
  <c r="AH980" i="59"/>
  <c r="AH968" i="59" s="1"/>
  <c r="AH970" i="59" s="1"/>
  <c r="AH132" i="60"/>
  <c r="AH134" i="60" s="1"/>
  <c r="AF21" i="80"/>
  <c r="AH81" i="60"/>
  <c r="AH1062" i="59" l="1"/>
  <c r="AH1057" i="59" s="1"/>
  <c r="AH1094" i="59"/>
  <c r="AH974" i="59"/>
  <c r="AH972" i="59"/>
  <c r="AH973" i="59"/>
  <c r="AH981" i="59"/>
  <c r="AI978" i="59" s="1"/>
  <c r="AH976" i="59" l="1"/>
  <c r="AH986" i="59" s="1"/>
  <c r="AH1063" i="59"/>
  <c r="AH1058" i="59"/>
  <c r="AI1055" i="59" l="1"/>
  <c r="AH188" i="60"/>
  <c r="AF18" i="80"/>
  <c r="AH990" i="59"/>
  <c r="AH991" i="59" s="1"/>
  <c r="AH157" i="60"/>
  <c r="AH158" i="60" l="1"/>
  <c r="AH387" i="63"/>
  <c r="AH995" i="59"/>
  <c r="AH996" i="59" s="1"/>
  <c r="AF22" i="80"/>
  <c r="AH181" i="60"/>
  <c r="AH185" i="60" s="1"/>
  <c r="AI989" i="59"/>
  <c r="AI319" i="63"/>
  <c r="AI321" i="63" s="1"/>
  <c r="AH177" i="60" l="1"/>
  <c r="AI994" i="59"/>
  <c r="AI326" i="63"/>
  <c r="AI327" i="63" s="1"/>
  <c r="AI335" i="63" s="1"/>
  <c r="AI336" i="63" s="1"/>
  <c r="AI338" i="63" s="1"/>
  <c r="AI340" i="63" s="1"/>
  <c r="AI294" i="63" s="1"/>
  <c r="AI73" i="60" s="1"/>
  <c r="AG20" i="80" s="1"/>
  <c r="AI323" i="63"/>
  <c r="AI324" i="63" s="1"/>
  <c r="AI329" i="63" s="1"/>
  <c r="AI331" i="63" s="1"/>
  <c r="AI293" i="63" s="1"/>
  <c r="AH1099" i="59"/>
  <c r="AH1086" i="59"/>
  <c r="AH1089" i="59" s="1"/>
  <c r="AH1095" i="59" l="1"/>
  <c r="AH84" i="60"/>
  <c r="AH136" i="60" s="1"/>
  <c r="AH138" i="60" s="1"/>
  <c r="AH161" i="60"/>
  <c r="AH1090" i="59"/>
  <c r="AI72" i="60"/>
  <c r="AI295" i="63"/>
  <c r="AH189" i="60" l="1"/>
  <c r="AI1088" i="59"/>
  <c r="AI171" i="60"/>
  <c r="AI344" i="63"/>
  <c r="AI346" i="63" s="1"/>
  <c r="AI1111" i="59" s="1"/>
  <c r="AI1112" i="59" s="1"/>
  <c r="AI1115" i="59" s="1"/>
  <c r="AJ292" i="63"/>
  <c r="AI74" i="60"/>
  <c r="AG8" i="80"/>
  <c r="AH1100" i="59"/>
  <c r="AH1101" i="59" s="1"/>
  <c r="AH1096" i="59"/>
  <c r="AH1104" i="59" l="1"/>
  <c r="AH1114" i="59" s="1"/>
  <c r="AH1116" i="59" s="1"/>
  <c r="AH1064" i="59" s="1"/>
  <c r="AH1065" i="59" s="1"/>
  <c r="AJ312" i="63"/>
  <c r="AJ313" i="63" s="1"/>
  <c r="AJ334" i="63"/>
  <c r="AI128" i="60"/>
  <c r="AI130" i="60" s="1"/>
  <c r="AI76" i="60"/>
  <c r="AH160" i="60" l="1"/>
  <c r="AH162" i="60" s="1"/>
  <c r="AH165" i="60" s="1"/>
  <c r="AH190" i="60" s="1"/>
  <c r="AH191" i="60" s="1"/>
  <c r="AH83" i="60"/>
  <c r="AF13" i="80" s="1"/>
  <c r="AJ316" i="63"/>
  <c r="AJ339" i="63" s="1"/>
  <c r="AJ315" i="63"/>
  <c r="AJ330" i="63" s="1"/>
  <c r="AH170" i="60"/>
  <c r="AI1061" i="59"/>
  <c r="AH88" i="60"/>
  <c r="AH89" i="60" s="1"/>
  <c r="AI164" i="60" l="1"/>
  <c r="AI1098" i="59" s="1"/>
  <c r="AH86" i="60"/>
  <c r="AI1069" i="59"/>
  <c r="AI1078" i="59" s="1"/>
  <c r="AI1093" i="59"/>
  <c r="AH173" i="60"/>
  <c r="AH178" i="60" s="1"/>
  <c r="AH193" i="60" s="1"/>
  <c r="AF14" i="80"/>
  <c r="AF15" i="80" s="1"/>
  <c r="AI152" i="60" l="1"/>
  <c r="AI154" i="60" s="1"/>
  <c r="AI967" i="59" s="1"/>
  <c r="AI78" i="60"/>
  <c r="AF24" i="80"/>
  <c r="AG21" i="80" l="1"/>
  <c r="AI132" i="60"/>
  <c r="AI134" i="60" s="1"/>
  <c r="AI81" i="60"/>
  <c r="AI979" i="59"/>
  <c r="AI980" i="59"/>
  <c r="AI968" i="59" s="1"/>
  <c r="AI970" i="59" s="1"/>
  <c r="AI972" i="59" l="1"/>
  <c r="AI973" i="59"/>
  <c r="AI974" i="59"/>
  <c r="AI1094" i="59"/>
  <c r="AI1062" i="59"/>
  <c r="AI1057" i="59" s="1"/>
  <c r="AI981" i="59"/>
  <c r="AJ978" i="59" s="1"/>
  <c r="AI1063" i="59" l="1"/>
  <c r="AI1058" i="59"/>
  <c r="AI976" i="59"/>
  <c r="AI986" i="59" s="1"/>
  <c r="AI188" i="60" l="1"/>
  <c r="AJ1055" i="59"/>
  <c r="AI990" i="59"/>
  <c r="AI991" i="59" s="1"/>
  <c r="AI157" i="60"/>
  <c r="AG18" i="80"/>
  <c r="AG22" i="80" l="1"/>
  <c r="AI158" i="60"/>
  <c r="AI387" i="63"/>
  <c r="AI995" i="59"/>
  <c r="AI996" i="59" s="1"/>
  <c r="AJ319" i="63"/>
  <c r="AJ321" i="63" s="1"/>
  <c r="AI181" i="60"/>
  <c r="AI185" i="60" s="1"/>
  <c r="AJ989" i="59"/>
  <c r="AI1086" i="59" l="1"/>
  <c r="AI1089" i="59" s="1"/>
  <c r="AI1099" i="59"/>
  <c r="AI177" i="60"/>
  <c r="AJ994" i="59"/>
  <c r="AJ323" i="63"/>
  <c r="AJ324" i="63" s="1"/>
  <c r="AJ329" i="63" s="1"/>
  <c r="AJ331" i="63" s="1"/>
  <c r="AJ293" i="63" s="1"/>
  <c r="AJ326" i="63"/>
  <c r="AJ327" i="63" s="1"/>
  <c r="AJ335" i="63" s="1"/>
  <c r="AJ336" i="63" s="1"/>
  <c r="AJ338" i="63" s="1"/>
  <c r="AJ340" i="63" s="1"/>
  <c r="AJ294" i="63" s="1"/>
  <c r="AJ73" i="60" s="1"/>
  <c r="AH20" i="80" l="1"/>
  <c r="F73" i="60"/>
  <c r="AJ72" i="60"/>
  <c r="AJ295" i="63"/>
  <c r="AI84" i="60"/>
  <c r="AI136" i="60" s="1"/>
  <c r="AI138" i="60" s="1"/>
  <c r="AI161" i="60"/>
  <c r="AI1095" i="59"/>
  <c r="AI1090" i="59"/>
  <c r="AJ74" i="60" l="1"/>
  <c r="AH8" i="80"/>
  <c r="F72" i="60"/>
  <c r="AJ344" i="63"/>
  <c r="AJ346" i="63" s="1"/>
  <c r="AJ1111" i="59" s="1"/>
  <c r="AJ1112" i="59" s="1"/>
  <c r="AJ1115" i="59" s="1"/>
  <c r="AK292" i="63"/>
  <c r="AJ171" i="60"/>
  <c r="AI189" i="60"/>
  <c r="AJ1088" i="59"/>
  <c r="AI1100" i="59"/>
  <c r="AI1101" i="59" s="1"/>
  <c r="AI1096" i="59"/>
  <c r="D20" i="80"/>
  <c r="E24" i="66"/>
  <c r="D8" i="80" l="1"/>
  <c r="E37" i="66"/>
  <c r="AK312" i="63"/>
  <c r="AK313" i="63" s="1"/>
  <c r="AK334" i="63"/>
  <c r="AI1104" i="59"/>
  <c r="AI1114" i="59" s="1"/>
  <c r="AI1116" i="59" s="1"/>
  <c r="AJ128" i="60"/>
  <c r="AJ130" i="60" s="1"/>
  <c r="AJ76" i="60"/>
  <c r="F74" i="60"/>
  <c r="F76" i="60" l="1"/>
  <c r="AI1064" i="59"/>
  <c r="AI1065" i="59" s="1"/>
  <c r="AI160" i="60"/>
  <c r="AI162" i="60" s="1"/>
  <c r="AI165" i="60" s="1"/>
  <c r="AI83" i="60"/>
  <c r="AK315" i="63"/>
  <c r="AK330" i="63" s="1"/>
  <c r="AK316" i="63"/>
  <c r="AK339" i="63" s="1"/>
  <c r="AG13" i="80" l="1"/>
  <c r="AI86" i="60"/>
  <c r="AJ164" i="60"/>
  <c r="AI190" i="60"/>
  <c r="AI191" i="60" s="1"/>
  <c r="AI170" i="60"/>
  <c r="AI88" i="60"/>
  <c r="AI89" i="60" s="1"/>
  <c r="AJ1061" i="59"/>
  <c r="AG14" i="80" l="1"/>
  <c r="AG15" i="80" s="1"/>
  <c r="AI173" i="60"/>
  <c r="AI178" i="60" s="1"/>
  <c r="AI193" i="60" s="1"/>
  <c r="AJ1098" i="59"/>
  <c r="AJ1093" i="59"/>
  <c r="AJ1069" i="59"/>
  <c r="AJ1078" i="59" s="1"/>
  <c r="AG24" i="80" l="1"/>
  <c r="AJ152" i="60"/>
  <c r="AJ154" i="60" s="1"/>
  <c r="AJ78" i="60"/>
  <c r="AJ967" i="59" l="1"/>
  <c r="F154" i="60"/>
  <c r="AJ132" i="60"/>
  <c r="AJ134" i="60" s="1"/>
  <c r="AH21" i="80"/>
  <c r="F78" i="60"/>
  <c r="AJ81" i="60"/>
  <c r="AJ1094" i="59" l="1"/>
  <c r="AJ1062" i="59"/>
  <c r="AJ1057" i="59" s="1"/>
  <c r="F81" i="60"/>
  <c r="F1094" i="59" s="1"/>
  <c r="E25" i="66"/>
  <c r="D21" i="80"/>
  <c r="AJ970" i="59"/>
  <c r="AJ980" i="59"/>
  <c r="AJ968" i="59" s="1"/>
  <c r="AJ979" i="59"/>
  <c r="AJ981" i="59" l="1"/>
  <c r="AK978" i="59" s="1"/>
  <c r="AJ1063" i="59"/>
  <c r="F1057" i="59"/>
  <c r="AJ1058" i="59"/>
  <c r="AJ973" i="59"/>
  <c r="AJ974" i="59"/>
  <c r="AJ972" i="59"/>
  <c r="AJ976" i="59" l="1"/>
  <c r="AJ986" i="59" s="1"/>
  <c r="AH18" i="80"/>
  <c r="AJ188" i="60"/>
  <c r="AK1055" i="59"/>
  <c r="AK319" i="63" l="1"/>
  <c r="AK321" i="63" s="1"/>
  <c r="AH22" i="80"/>
  <c r="D22" i="80" s="1"/>
  <c r="D18" i="80"/>
  <c r="D24" i="80" s="1"/>
  <c r="E22" i="66"/>
  <c r="AJ157" i="60"/>
  <c r="AJ990" i="59"/>
  <c r="AJ991" i="59" s="1"/>
  <c r="AJ158" i="60" l="1"/>
  <c r="AJ387" i="63"/>
  <c r="F157" i="60"/>
  <c r="AJ181" i="60"/>
  <c r="AJ185" i="60" s="1"/>
  <c r="AK989" i="59"/>
  <c r="E27" i="66"/>
  <c r="AJ995" i="59"/>
  <c r="AJ996" i="59" s="1"/>
  <c r="AK323" i="63"/>
  <c r="AK324" i="63" s="1"/>
  <c r="AK329" i="63" s="1"/>
  <c r="AK331" i="63" s="1"/>
  <c r="AK293" i="63" s="1"/>
  <c r="AK326" i="63"/>
  <c r="AK327" i="63" s="1"/>
  <c r="AK335" i="63" s="1"/>
  <c r="AK336" i="63" s="1"/>
  <c r="AK338" i="63" s="1"/>
  <c r="AK340" i="63" s="1"/>
  <c r="AK294" i="63" s="1"/>
  <c r="AK73" i="60" s="1"/>
  <c r="D23" i="66" l="1"/>
  <c r="D21" i="66"/>
  <c r="D24" i="66"/>
  <c r="D25" i="66"/>
  <c r="D22" i="66"/>
  <c r="AJ177" i="60"/>
  <c r="AK994" i="59"/>
  <c r="AK72" i="60"/>
  <c r="AK74" i="60" s="1"/>
  <c r="AK295" i="63"/>
  <c r="AJ1099" i="59"/>
  <c r="AJ1086" i="59"/>
  <c r="AJ1089" i="59" s="1"/>
  <c r="F158" i="60"/>
  <c r="D27" i="66" l="1"/>
  <c r="AJ161" i="60"/>
  <c r="F161" i="60" s="1"/>
  <c r="AJ84" i="60"/>
  <c r="AJ1095" i="59"/>
  <c r="AJ1090" i="59"/>
  <c r="AL292" i="63"/>
  <c r="AK344" i="63"/>
  <c r="AK346" i="63" s="1"/>
  <c r="AK1111" i="59" s="1"/>
  <c r="AK1112" i="59" s="1"/>
  <c r="AK1115" i="59" s="1"/>
  <c r="AK76" i="60"/>
  <c r="AK128" i="60"/>
  <c r="AK130" i="60" s="1"/>
  <c r="AJ136" i="60" l="1"/>
  <c r="AJ138" i="60" s="1"/>
  <c r="F84" i="60"/>
  <c r="AJ1100" i="59"/>
  <c r="AJ1101" i="59" s="1"/>
  <c r="AJ1096" i="59"/>
  <c r="AJ189" i="60"/>
  <c r="AK1088" i="59"/>
  <c r="AL334" i="63"/>
  <c r="AL312" i="63"/>
  <c r="AL313" i="63" s="1"/>
  <c r="AJ1104" i="59" l="1"/>
  <c r="AJ1114" i="59" s="1"/>
  <c r="AJ1116" i="59" s="1"/>
  <c r="AJ1064" i="59" s="1"/>
  <c r="AJ1065" i="59" s="1"/>
  <c r="AL315" i="63"/>
  <c r="AL330" i="63" s="1"/>
  <c r="AL316" i="63"/>
  <c r="AL339" i="63" s="1"/>
  <c r="AJ83" i="60" l="1"/>
  <c r="AH13" i="80" s="1"/>
  <c r="AJ160" i="60"/>
  <c r="F160" i="60" s="1"/>
  <c r="AJ88" i="60"/>
  <c r="AJ89" i="60" s="1"/>
  <c r="F89" i="60" s="1"/>
  <c r="AJ170" i="60"/>
  <c r="AK1061" i="59"/>
  <c r="F83" i="60" l="1"/>
  <c r="AJ86" i="60"/>
  <c r="F86" i="60" s="1"/>
  <c r="AJ162" i="60"/>
  <c r="F162" i="60" s="1"/>
  <c r="E42" i="66"/>
  <c r="D13" i="80"/>
  <c r="AK1069" i="59"/>
  <c r="AK1078" i="59" s="1"/>
  <c r="AK1093" i="59"/>
  <c r="AJ173" i="60"/>
  <c r="AJ178" i="60" s="1"/>
  <c r="AH14" i="80"/>
  <c r="AH24" i="80" s="1"/>
  <c r="AJ165" i="60" l="1"/>
  <c r="AH15" i="80"/>
  <c r="D15" i="80" s="1"/>
  <c r="AK152" i="60"/>
  <c r="AK154" i="60" s="1"/>
  <c r="AK967" i="59" s="1"/>
  <c r="AK78" i="60"/>
  <c r="E43" i="66"/>
  <c r="D14" i="80"/>
  <c r="AJ190" i="60" l="1"/>
  <c r="AJ191" i="60" s="1"/>
  <c r="AJ193" i="60" s="1"/>
  <c r="F193" i="60" s="1"/>
  <c r="E13" i="58" s="1"/>
  <c r="F13" i="58" s="1"/>
  <c r="F15" i="58" s="1"/>
  <c r="E2" i="63" s="1"/>
  <c r="AK132" i="60"/>
  <c r="AK134" i="60" s="1"/>
  <c r="AK81" i="60"/>
  <c r="AK1098" i="59"/>
  <c r="E46" i="66"/>
  <c r="D43" i="66" s="1"/>
  <c r="AK980" i="59"/>
  <c r="AK968" i="59" s="1"/>
  <c r="AK970" i="59"/>
  <c r="AK979" i="59"/>
  <c r="E2" i="59" l="1"/>
  <c r="E2" i="60"/>
  <c r="E2" i="68"/>
  <c r="E2" i="73"/>
  <c r="E2" i="46"/>
  <c r="AK981" i="59"/>
  <c r="AL978" i="59" s="1"/>
  <c r="AK972" i="59"/>
  <c r="AK973" i="59"/>
  <c r="AK974" i="59"/>
  <c r="D35" i="66"/>
  <c r="D38" i="66"/>
  <c r="D39" i="66"/>
  <c r="D40" i="66"/>
  <c r="D34" i="66"/>
  <c r="D41" i="66"/>
  <c r="D36" i="66"/>
  <c r="D37" i="66"/>
  <c r="D42" i="66"/>
  <c r="AK1094" i="59"/>
  <c r="AK1062" i="59"/>
  <c r="AK1057" i="59" s="1"/>
  <c r="AK976" i="59" l="1"/>
  <c r="AK986" i="59" s="1"/>
  <c r="AK1063" i="59"/>
  <c r="AK1058" i="59"/>
  <c r="D46" i="66"/>
  <c r="AL1055" i="59" l="1"/>
  <c r="AK990" i="59"/>
  <c r="AK991" i="59" s="1"/>
  <c r="AK157" i="60"/>
  <c r="AL989" i="59" l="1"/>
  <c r="AK995" i="59"/>
  <c r="AK996" i="59" s="1"/>
  <c r="AL319" i="63"/>
  <c r="AL321" i="63" s="1"/>
  <c r="AK158" i="60"/>
  <c r="AK387" i="63"/>
  <c r="AK1099" i="59" l="1"/>
  <c r="AK1086" i="59"/>
  <c r="AK1089" i="59" s="1"/>
  <c r="AL323" i="63"/>
  <c r="AL324" i="63" s="1"/>
  <c r="AL329" i="63" s="1"/>
  <c r="AL331" i="63" s="1"/>
  <c r="AL293" i="63" s="1"/>
  <c r="AL326" i="63"/>
  <c r="AL327" i="63" s="1"/>
  <c r="AL335" i="63" s="1"/>
  <c r="AL336" i="63" s="1"/>
  <c r="AL338" i="63" s="1"/>
  <c r="AL340" i="63" s="1"/>
  <c r="AL294" i="63" s="1"/>
  <c r="AL73" i="60" s="1"/>
  <c r="AL994" i="59"/>
  <c r="AL72" i="60" l="1"/>
  <c r="AL74" i="60" s="1"/>
  <c r="AL295" i="63"/>
  <c r="AK84" i="60"/>
  <c r="AK136" i="60" s="1"/>
  <c r="AK138" i="60" s="1"/>
  <c r="AK161" i="60"/>
  <c r="AK1095" i="59"/>
  <c r="AK1090" i="59"/>
  <c r="AL1088" i="59" l="1"/>
  <c r="AL344" i="63"/>
  <c r="AL346" i="63" s="1"/>
  <c r="AL1111" i="59" s="1"/>
  <c r="AL1112" i="59" s="1"/>
  <c r="AL1115" i="59" s="1"/>
  <c r="AM292" i="63"/>
  <c r="AK1100" i="59"/>
  <c r="AK1101" i="59" s="1"/>
  <c r="AK1096" i="59"/>
  <c r="AL76" i="60"/>
  <c r="AL128" i="60"/>
  <c r="AL130" i="60" s="1"/>
  <c r="AK1104" i="59" l="1"/>
  <c r="AK1114" i="59" s="1"/>
  <c r="AK1116" i="59" s="1"/>
  <c r="AM334" i="63"/>
  <c r="AM312" i="63"/>
  <c r="AM313" i="63" s="1"/>
  <c r="AM316" i="63" l="1"/>
  <c r="AM339" i="63" s="1"/>
  <c r="AM315" i="63"/>
  <c r="AM330" i="63" s="1"/>
  <c r="AK83" i="60"/>
  <c r="AK86" i="60" s="1"/>
  <c r="AK1064" i="59"/>
  <c r="AK1065" i="59" s="1"/>
  <c r="AK160" i="60"/>
  <c r="AK162" i="60" s="1"/>
  <c r="AK88" i="60" l="1"/>
  <c r="AK89" i="60" s="1"/>
  <c r="AL1061" i="59"/>
  <c r="AL1098" i="59" l="1"/>
  <c r="AL1069" i="59"/>
  <c r="AL1078" i="59" s="1"/>
  <c r="AL1093" i="59"/>
  <c r="AL78" i="60" l="1"/>
  <c r="AL152" i="60"/>
  <c r="AL154" i="60" s="1"/>
  <c r="AL967" i="59" s="1"/>
  <c r="AL980" i="59" l="1"/>
  <c r="AL968" i="59" s="1"/>
  <c r="AL979" i="59"/>
  <c r="AL970" i="59"/>
  <c r="AL132" i="60"/>
  <c r="AL134" i="60" s="1"/>
  <c r="AL81" i="60"/>
  <c r="AL981" i="59" l="1"/>
  <c r="AM978" i="59" s="1"/>
  <c r="AL1062" i="59"/>
  <c r="AL1057" i="59" s="1"/>
  <c r="AL1094" i="59"/>
  <c r="AL972" i="59"/>
  <c r="AL974" i="59"/>
  <c r="AL973" i="59"/>
  <c r="AL976" i="59" l="1"/>
  <c r="AL986" i="59" s="1"/>
  <c r="AL157" i="60" s="1"/>
  <c r="AL1063" i="59"/>
  <c r="AL1058" i="59"/>
  <c r="AL990" i="59" l="1"/>
  <c r="AL991" i="59" s="1"/>
  <c r="AM1055" i="59"/>
  <c r="AL158" i="60"/>
  <c r="AL387" i="63"/>
  <c r="AL995" i="59" l="1"/>
  <c r="AL996" i="59" s="1"/>
  <c r="AM994" i="59" s="1"/>
  <c r="AM989" i="59"/>
  <c r="AL1099" i="59"/>
  <c r="AL1086" i="59"/>
  <c r="AL1089" i="59" s="1"/>
  <c r="AM319" i="63"/>
  <c r="AM321" i="63" s="1"/>
  <c r="AL161" i="60" l="1"/>
  <c r="AL1095" i="59"/>
  <c r="AL84" i="60"/>
  <c r="AL136" i="60" s="1"/>
  <c r="AL138" i="60" s="1"/>
  <c r="AL1090" i="59"/>
  <c r="AM323" i="63"/>
  <c r="AM324" i="63" s="1"/>
  <c r="AM329" i="63" s="1"/>
  <c r="AM331" i="63" s="1"/>
  <c r="AM293" i="63" s="1"/>
  <c r="AM326" i="63"/>
  <c r="AM327" i="63" s="1"/>
  <c r="AM335" i="63" s="1"/>
  <c r="AM336" i="63" s="1"/>
  <c r="AM338" i="63" s="1"/>
  <c r="AM340" i="63" s="1"/>
  <c r="AM294" i="63" s="1"/>
  <c r="AM73" i="60" s="1"/>
  <c r="AL1100" i="59" l="1"/>
  <c r="AL1101" i="59" s="1"/>
  <c r="AL1096" i="59"/>
  <c r="AM72" i="60"/>
  <c r="AM74" i="60" s="1"/>
  <c r="AM295" i="63"/>
  <c r="AM1088" i="59"/>
  <c r="AM344" i="63" l="1"/>
  <c r="AM346" i="63" s="1"/>
  <c r="AM1111" i="59" s="1"/>
  <c r="AM1112" i="59" s="1"/>
  <c r="AM1115" i="59" s="1"/>
  <c r="AN292" i="63"/>
  <c r="AM128" i="60"/>
  <c r="AM76" i="60"/>
  <c r="AL1104" i="59"/>
  <c r="AL1114" i="59" s="1"/>
  <c r="AL1116" i="59" s="1"/>
  <c r="AL1064" i="59" l="1"/>
  <c r="AL1065" i="59" s="1"/>
  <c r="AL160" i="60"/>
  <c r="AL162" i="60" s="1"/>
  <c r="AL83" i="60"/>
  <c r="AL86" i="60" s="1"/>
  <c r="AM130" i="60"/>
  <c r="F128" i="60"/>
  <c r="AN334" i="63"/>
  <c r="AN312" i="63"/>
  <c r="AN313" i="63" s="1"/>
  <c r="AN315" i="63" l="1"/>
  <c r="AN330" i="63" s="1"/>
  <c r="AN316" i="63"/>
  <c r="AN339" i="63" s="1"/>
  <c r="F130" i="60"/>
  <c r="AL88" i="60"/>
  <c r="AL89" i="60" s="1"/>
  <c r="AM1061" i="59"/>
  <c r="AM1098" i="59" l="1"/>
  <c r="AM1069" i="59"/>
  <c r="AM1078" i="59" s="1"/>
  <c r="AM1093" i="59"/>
  <c r="F339" i="63"/>
  <c r="AM78" i="60" l="1"/>
  <c r="AM152" i="60"/>
  <c r="AM132" i="60" l="1"/>
  <c r="AM81" i="60"/>
  <c r="AM154" i="60"/>
  <c r="AM967" i="59" s="1"/>
  <c r="F152" i="60"/>
  <c r="AM980" i="59" l="1"/>
  <c r="AM968" i="59" s="1"/>
  <c r="AM979" i="59"/>
  <c r="AM970" i="59"/>
  <c r="F967" i="59"/>
  <c r="AM1094" i="59"/>
  <c r="AM1062" i="59"/>
  <c r="F132" i="60"/>
  <c r="AM134" i="60"/>
  <c r="AM981" i="59" l="1"/>
  <c r="AN978" i="59" s="1"/>
  <c r="AN980" i="59" s="1"/>
  <c r="AN968" i="59" s="1"/>
  <c r="F968" i="59" s="1"/>
  <c r="AM1057" i="59"/>
  <c r="F1062" i="59"/>
  <c r="AM973" i="59"/>
  <c r="F973" i="59" s="1"/>
  <c r="AM972" i="59"/>
  <c r="AM974" i="59"/>
  <c r="F974" i="59" s="1"/>
  <c r="F970" i="59"/>
  <c r="F134" i="60"/>
  <c r="AN981" i="59" l="1"/>
  <c r="AM1063" i="59"/>
  <c r="AM1058" i="59"/>
  <c r="AM976" i="59"/>
  <c r="F972" i="59"/>
  <c r="AM986" i="59" l="1"/>
  <c r="F976" i="59"/>
  <c r="AN1055" i="59"/>
  <c r="AN319" i="63" l="1"/>
  <c r="AN321" i="63" s="1"/>
  <c r="AM990" i="59"/>
  <c r="AM991" i="59" s="1"/>
  <c r="AM157" i="60"/>
  <c r="F986" i="59"/>
  <c r="AM995" i="59" l="1"/>
  <c r="AM996" i="59" s="1"/>
  <c r="AN994" i="59" s="1"/>
  <c r="AM158" i="60"/>
  <c r="AM387" i="63"/>
  <c r="F387" i="63" s="1"/>
  <c r="F389" i="63" s="1"/>
  <c r="AN323" i="63"/>
  <c r="AN326" i="63"/>
  <c r="AN327" i="63" s="1"/>
  <c r="F321" i="63"/>
  <c r="F326" i="63" s="1"/>
  <c r="AN989" i="59"/>
  <c r="AN335" i="63" l="1"/>
  <c r="AN336" i="63" s="1"/>
  <c r="F327" i="63"/>
  <c r="F335" i="63" s="1"/>
  <c r="AM1086" i="59"/>
  <c r="AM1089" i="59" s="1"/>
  <c r="AM1099" i="59"/>
  <c r="AN324" i="63"/>
  <c r="F323" i="63"/>
  <c r="AN990" i="59"/>
  <c r="AN995" i="59" s="1"/>
  <c r="AN996" i="59" s="1"/>
  <c r="AN329" i="63" l="1"/>
  <c r="F324" i="63"/>
  <c r="F1099" i="59"/>
  <c r="AM161" i="60"/>
  <c r="AM1095" i="59"/>
  <c r="AM84" i="60"/>
  <c r="AM136" i="60" s="1"/>
  <c r="AM1090" i="59"/>
  <c r="AN991" i="59"/>
  <c r="AN338" i="63"/>
  <c r="F336" i="63"/>
  <c r="AN1088" i="59" l="1"/>
  <c r="AM1100" i="59"/>
  <c r="AM1101" i="59" s="1"/>
  <c r="AM1096" i="59"/>
  <c r="F136" i="60"/>
  <c r="AM138" i="60"/>
  <c r="F138" i="60" s="1"/>
  <c r="F338" i="63"/>
  <c r="AN340" i="63"/>
  <c r="F329" i="63"/>
  <c r="AN331" i="63"/>
  <c r="AM1104" i="59" l="1"/>
  <c r="AM1114" i="59" s="1"/>
  <c r="AM1116" i="59" s="1"/>
  <c r="AM160" i="60" s="1"/>
  <c r="AM162" i="60" s="1"/>
  <c r="AN294" i="63"/>
  <c r="F340" i="63"/>
  <c r="AN293" i="63"/>
  <c r="F331" i="63"/>
  <c r="AN295" i="63" l="1"/>
  <c r="AN344" i="63" s="1"/>
  <c r="AN346" i="63" s="1"/>
  <c r="AN1111" i="59" s="1"/>
  <c r="AM83" i="60"/>
  <c r="AM86" i="60" s="1"/>
  <c r="AM1064" i="59"/>
  <c r="AM1065" i="59" s="1"/>
  <c r="AM88" i="60" s="1"/>
  <c r="AM89" i="60" s="1"/>
  <c r="E7" i="58" s="1"/>
  <c r="F7" i="58" s="1"/>
  <c r="F9" i="58" s="1"/>
  <c r="F346" i="63" l="1"/>
  <c r="D347" i="63" s="1"/>
  <c r="AN1061" i="59"/>
  <c r="AN1057" i="59" s="1"/>
  <c r="D2" i="46"/>
  <c r="D2" i="59"/>
  <c r="D2" i="60"/>
  <c r="D2" i="68"/>
  <c r="D2" i="73"/>
  <c r="D2" i="63"/>
  <c r="AN1112" i="59"/>
  <c r="F1111" i="59"/>
  <c r="AN1093" i="59" l="1"/>
  <c r="AN1069" i="59"/>
  <c r="AN1078" i="59" s="1"/>
  <c r="F1078" i="59" s="1"/>
  <c r="AN1115" i="59"/>
  <c r="F1112" i="59"/>
  <c r="F1115" i="59" s="1"/>
  <c r="AN1063" i="59"/>
  <c r="AN1058" i="59"/>
  <c r="AN1089" i="59" s="1"/>
  <c r="AN1095" i="59" l="1"/>
  <c r="AN1090" i="59"/>
  <c r="F1063" i="59"/>
  <c r="AN1100" i="59" l="1"/>
  <c r="AN1101" i="59" s="1"/>
  <c r="F1095" i="59"/>
  <c r="F1100" i="59" s="1"/>
  <c r="AN1096" i="59"/>
  <c r="AN1104" i="59" l="1"/>
  <c r="AN1114" i="59" s="1"/>
  <c r="AN1116" i="59" s="1"/>
  <c r="F1101" i="59"/>
  <c r="AN1064" i="59" l="1"/>
  <c r="F1116" i="59"/>
  <c r="F1064" i="59" l="1"/>
  <c r="AN1065" i="59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<sst xmlns="http://schemas.openxmlformats.org/spreadsheetml/2006/main" count="4840" uniqueCount="1548">
  <si>
    <t>Modelagem Econômico-Financeira</t>
  </si>
  <si>
    <t>Disclaimer</t>
  </si>
  <si>
    <t>Note:</t>
  </si>
  <si>
    <t>O presente Modelo Econômico-Financeiro tem por objeto estabelecer as diretrizes para subsidiar os estudos de modelagem econômico-financeira, possuindo como respaldo também estudos de modelagem técnica e jurídica, com vistas à estruturação de concessão patrocinada dos serviços de manejo de resíduos sólidos e limpeza pública do município de Xanxerê.</t>
  </si>
  <si>
    <t>Summary</t>
  </si>
  <si>
    <t>Key Outputs</t>
  </si>
  <si>
    <t>Seleção de Cenário</t>
  </si>
  <si>
    <t>Cenário</t>
  </si>
  <si>
    <t>Real / Nominal</t>
  </si>
  <si>
    <t>Macro Check</t>
  </si>
  <si>
    <t>Financiamento Investimentos</t>
  </si>
  <si>
    <t>FONTES</t>
  </si>
  <si>
    <t xml:space="preserve">Fontes </t>
  </si>
  <si>
    <t>$ 000s</t>
  </si>
  <si>
    <t>TOTAL FONTES</t>
  </si>
  <si>
    <t>USOS</t>
  </si>
  <si>
    <t>Usos</t>
  </si>
  <si>
    <t>TOTAL USOS</t>
  </si>
  <si>
    <t>Retornos</t>
  </si>
  <si>
    <t>Project NPV</t>
  </si>
  <si>
    <t>R$</t>
  </si>
  <si>
    <t>Project IRR</t>
  </si>
  <si>
    <t>% Real</t>
  </si>
  <si>
    <t>%</t>
  </si>
  <si>
    <t>Anos</t>
  </si>
  <si>
    <t>Indicadores contrato</t>
  </si>
  <si>
    <t>Prazo contrato</t>
  </si>
  <si>
    <t>Contraprestação total</t>
  </si>
  <si>
    <t>Contraprestação anual</t>
  </si>
  <si>
    <t>Contraprestação mensal</t>
  </si>
  <si>
    <r>
      <t>∑</t>
    </r>
    <r>
      <rPr>
        <sz val="10.199999999999999"/>
        <color theme="1"/>
        <rFont val="Arial Narrow"/>
        <family val="2"/>
      </rPr>
      <t xml:space="preserve"> </t>
    </r>
    <r>
      <rPr>
        <sz val="12"/>
        <color theme="1"/>
        <rFont val="Arial Narrow"/>
        <family val="2"/>
      </rPr>
      <t>VPL Contraprestações</t>
    </r>
  </si>
  <si>
    <t>Investimentos + ReInvest</t>
  </si>
  <si>
    <t>DEMONSTRAÇÕES FINANCEIRAS</t>
  </si>
  <si>
    <t>Alerta</t>
  </si>
  <si>
    <t>Erro</t>
  </si>
  <si>
    <t>IRR</t>
  </si>
  <si>
    <t>NPV</t>
  </si>
  <si>
    <t>Macro</t>
  </si>
  <si>
    <t>Ano</t>
  </si>
  <si>
    <t>Ano de Concessão</t>
  </si>
  <si>
    <t>Fluxo de Caixa (Waterfall) R$</t>
  </si>
  <si>
    <t>Receita Líquida</t>
  </si>
  <si>
    <t>Contraprestação Pública Anual</t>
  </si>
  <si>
    <t>Receitas Tarifárias</t>
  </si>
  <si>
    <t>Deduções da Receita</t>
  </si>
  <si>
    <t>Total</t>
  </si>
  <si>
    <t>Custos e Despesas Operacionais</t>
  </si>
  <si>
    <t>Upfront fee</t>
  </si>
  <si>
    <t>Total Opex</t>
  </si>
  <si>
    <t>Ajustes de Capital de Giro</t>
  </si>
  <si>
    <t>Fluxo de Caixa Operacional</t>
  </si>
  <si>
    <t>Investimentos (Usos)</t>
  </si>
  <si>
    <t>CAPEX total</t>
  </si>
  <si>
    <t>Funding (Fontes)</t>
  </si>
  <si>
    <t>Equity - Indivisiveis</t>
  </si>
  <si>
    <t>Dívida Senior</t>
  </si>
  <si>
    <t>Fluxo de Caixa após funding</t>
  </si>
  <si>
    <t>Venda de Ativo de imobilizado</t>
  </si>
  <si>
    <t>IR / CSLL pagos</t>
  </si>
  <si>
    <t>Fluxo de Caixa para Serviços da Dívida</t>
  </si>
  <si>
    <t>Pagamento de Juros</t>
  </si>
  <si>
    <t>Pagamento de Principal</t>
  </si>
  <si>
    <t>Juros Pagos e Amortização total</t>
  </si>
  <si>
    <t>Fluxo de Caixa para Conta Reserva</t>
  </si>
  <si>
    <t>Conta reserva</t>
  </si>
  <si>
    <t>Depósitos Conta Reserva</t>
  </si>
  <si>
    <t>Saques Conta Reserva</t>
  </si>
  <si>
    <t>Fluxo de caixa antes de receita financeira</t>
  </si>
  <si>
    <t>Receitas Financeiras</t>
  </si>
  <si>
    <t>Fiança Bancária</t>
  </si>
  <si>
    <t>Fluxo de Caixa para Acionista</t>
  </si>
  <si>
    <t>Dividendos</t>
  </si>
  <si>
    <t>Reserva legal</t>
  </si>
  <si>
    <t>Fluxo de Caixa líquido</t>
  </si>
  <si>
    <t>Saldo caixa c/f</t>
  </si>
  <si>
    <t>Exposição Máxima</t>
  </si>
  <si>
    <t>Fluxo de Caixa S/ Alavancagem R$</t>
  </si>
  <si>
    <t>Total Receitas</t>
  </si>
  <si>
    <t>OPEX</t>
  </si>
  <si>
    <t>CAPEX</t>
  </si>
  <si>
    <t>IR/CSLL pagos</t>
  </si>
  <si>
    <t>Venda de ativo imobilizado</t>
  </si>
  <si>
    <t>Demonstração de Resultado (Contábil &amp; Regulatória) (R$)</t>
  </si>
  <si>
    <t>Receita Ativo da Concessão (IFRIC 12)</t>
  </si>
  <si>
    <t>Receita de Construção (IFRIC 12)</t>
  </si>
  <si>
    <t>EBITDA</t>
  </si>
  <si>
    <t>Amortização Ativo Financeiro (IFRIC 12)</t>
  </si>
  <si>
    <t>Despesas com Juros</t>
  </si>
  <si>
    <t>Outras despesas financeiras (Fiança Dívida)</t>
  </si>
  <si>
    <t>Custo de Construção (IFRIC 12)</t>
  </si>
  <si>
    <t>EBT</t>
  </si>
  <si>
    <t>Outras receitas não operacionais</t>
  </si>
  <si>
    <t>Despesas de IR / CSLL</t>
  </si>
  <si>
    <t>Lucro Líquido</t>
  </si>
  <si>
    <t>Lucros retidos</t>
  </si>
  <si>
    <t>Lucros retidos b/f</t>
  </si>
  <si>
    <t>Lucros retidos c/f</t>
  </si>
  <si>
    <t>Balanço Patrimonial (R$)</t>
  </si>
  <si>
    <t>Ativo Circulante</t>
  </si>
  <si>
    <t>Caixa e Equivalentes</t>
  </si>
  <si>
    <t>Conta Reserva</t>
  </si>
  <si>
    <t>Contas a Receber</t>
  </si>
  <si>
    <t>Ativo financeiro (IFRIC 12)</t>
  </si>
  <si>
    <t>Ativo intangivel (IFRIC 12)</t>
  </si>
  <si>
    <t>Imposto Diferido (Ativo)</t>
  </si>
  <si>
    <t>Total de Ativos</t>
  </si>
  <si>
    <t>Passivo</t>
  </si>
  <si>
    <t>Imposto Diferido (Passivo)</t>
  </si>
  <si>
    <t>Contas a pagar</t>
  </si>
  <si>
    <t>Dívida Senior - Comercial</t>
  </si>
  <si>
    <t>Passivo total</t>
  </si>
  <si>
    <t>Patrimônio Líquido</t>
  </si>
  <si>
    <t>Capital Social</t>
  </si>
  <si>
    <t>Reserva Legal</t>
  </si>
  <si>
    <t>Lucros Retidos</t>
  </si>
  <si>
    <t>Total Patrimônio Líquido</t>
  </si>
  <si>
    <t>Check</t>
  </si>
  <si>
    <t>Usos e fontes total</t>
  </si>
  <si>
    <t>Usos e Fontes</t>
  </si>
  <si>
    <t>Unit</t>
  </si>
  <si>
    <t>Custos</t>
  </si>
  <si>
    <t>Investimentos</t>
  </si>
  <si>
    <t>Imposto de renda pago</t>
  </si>
  <si>
    <t>Capital de Giro</t>
  </si>
  <si>
    <t>Aumento / Redução conta caixa</t>
  </si>
  <si>
    <t>Usos totais do projeto</t>
  </si>
  <si>
    <t xml:space="preserve">Receitas </t>
  </si>
  <si>
    <t>Equity</t>
  </si>
  <si>
    <t>Fontes totais do projeto</t>
  </si>
  <si>
    <t>INPUTS</t>
  </si>
  <si>
    <t>SCENARIO SELECTION</t>
  </si>
  <si>
    <t>Premissas Modelo</t>
  </si>
  <si>
    <t>Modelo começa?</t>
  </si>
  <si>
    <t>Data</t>
  </si>
  <si>
    <t>Meses no ano</t>
  </si>
  <si>
    <t>Cenários</t>
  </si>
  <si>
    <t>Cenário Base</t>
  </si>
  <si>
    <t>Investimentos Antecipados</t>
  </si>
  <si>
    <t>Cenário 2</t>
  </si>
  <si>
    <t>Cenário 3</t>
  </si>
  <si>
    <t xml:space="preserve">Real / Nominal </t>
  </si>
  <si>
    <t xml:space="preserve">Nominal </t>
  </si>
  <si>
    <t>Real</t>
  </si>
  <si>
    <t>Premissas Temporais</t>
  </si>
  <si>
    <t>Início</t>
  </si>
  <si>
    <t>Começo de Investimentos</t>
  </si>
  <si>
    <t>Data Inicial</t>
  </si>
  <si>
    <t>Financial Close date</t>
  </si>
  <si>
    <t>Prazo</t>
  </si>
  <si>
    <t>Concessão</t>
  </si>
  <si>
    <t>Years</t>
  </si>
  <si>
    <t>Investimentos (CAPEX)</t>
  </si>
  <si>
    <t>CAPEX Investimento</t>
  </si>
  <si>
    <t>Sensibilidade CAPEX</t>
  </si>
  <si>
    <t>CAPEX segregado</t>
  </si>
  <si>
    <t>CAPEX de Investimento</t>
  </si>
  <si>
    <t>Coleta Manual E Conteinerizada Rsc</t>
  </si>
  <si>
    <t>Coleta De Materiais Recicláveis</t>
  </si>
  <si>
    <t>Transporte E Destinação Final - Resíduos Pevs</t>
  </si>
  <si>
    <t>Coleta Programada  De Volumosos</t>
  </si>
  <si>
    <t>Varrição Manual</t>
  </si>
  <si>
    <t>Serviços Gerais</t>
  </si>
  <si>
    <t>Roçada</t>
  </si>
  <si>
    <t>Investimentos Destinação Final</t>
  </si>
  <si>
    <t>Educação Ambiental</t>
  </si>
  <si>
    <t>Relação Com O Usuário</t>
  </si>
  <si>
    <t>Administração Local</t>
  </si>
  <si>
    <t>Reembolso Do PMI</t>
  </si>
  <si>
    <t>Investimentos divisíveis e indivisíveis</t>
  </si>
  <si>
    <t>#</t>
  </si>
  <si>
    <t>Divisivel</t>
  </si>
  <si>
    <t>Indivisível</t>
  </si>
  <si>
    <t>Coleta De Resíduos Do Serviço De Saúde Municipal</t>
  </si>
  <si>
    <t>Contraprestação Pública Mensal</t>
  </si>
  <si>
    <t>Contraprestação Ano 1</t>
  </si>
  <si>
    <t>BRL R$</t>
  </si>
  <si>
    <t>Contraprestação transitória</t>
  </si>
  <si>
    <t>Desconto</t>
  </si>
  <si>
    <t>Parcela A - Remuneração Investimentos</t>
  </si>
  <si>
    <t>Parcela B - Remuneração Serviços</t>
  </si>
  <si>
    <t>Fator de Desempenho</t>
  </si>
  <si>
    <t>Fator</t>
  </si>
  <si>
    <t>% de recebimento contraprestação - faseado</t>
  </si>
  <si>
    <t>Receitas tarifárias</t>
  </si>
  <si>
    <t>Tarifa</t>
  </si>
  <si>
    <t>Aumento Real</t>
  </si>
  <si>
    <t>Residenciais Frequência Semanal - 6 vezes</t>
  </si>
  <si>
    <t xml:space="preserve">Valor básico referencial </t>
  </si>
  <si>
    <t>ResidenciaisFrequência Semanal - 3 vezes</t>
  </si>
  <si>
    <t>Residenciais - Tarifa Social</t>
  </si>
  <si>
    <t>Não Residenciais</t>
  </si>
  <si>
    <t>Receitas acessórias</t>
  </si>
  <si>
    <t>% de Receitas Acessórias</t>
  </si>
  <si>
    <t>Receitas acessórias esperadas</t>
  </si>
  <si>
    <t>Crescimento Populacional</t>
  </si>
  <si>
    <t>PROJEÇÃO POPULACIONAL</t>
  </si>
  <si>
    <t>Ano Concessão</t>
  </si>
  <si>
    <t>ANO 0</t>
  </si>
  <si>
    <t>ANO 1</t>
  </si>
  <si>
    <t>ANO 2</t>
  </si>
  <si>
    <t>ANO 3</t>
  </si>
  <si>
    <t>ANO 4</t>
  </si>
  <si>
    <t>ANO 5</t>
  </si>
  <si>
    <t>ANO 6</t>
  </si>
  <si>
    <t>ANO 7</t>
  </si>
  <si>
    <t>ANO 8</t>
  </si>
  <si>
    <t>ANO 9</t>
  </si>
  <si>
    <t>ANO 10</t>
  </si>
  <si>
    <t>ANO 11</t>
  </si>
  <si>
    <t>ANO 12</t>
  </si>
  <si>
    <t>ANO 13</t>
  </si>
  <si>
    <t>ANO 14</t>
  </si>
  <si>
    <t>ANO 15</t>
  </si>
  <si>
    <t>ANO 16</t>
  </si>
  <si>
    <t>ANO 17</t>
  </si>
  <si>
    <t>ANO 18</t>
  </si>
  <si>
    <t>ANO 19</t>
  </si>
  <si>
    <t>ANO 20</t>
  </si>
  <si>
    <t>ANO 21</t>
  </si>
  <si>
    <t>ANO 22</t>
  </si>
  <si>
    <t>ANO 23</t>
  </si>
  <si>
    <t>ANO 24</t>
  </si>
  <si>
    <t>ANO 25</t>
  </si>
  <si>
    <t>ANO 26</t>
  </si>
  <si>
    <t>ANO 27</t>
  </si>
  <si>
    <t>ANO 28</t>
  </si>
  <si>
    <t>ANO 29</t>
  </si>
  <si>
    <t>ANO 30</t>
  </si>
  <si>
    <t>População Total</t>
  </si>
  <si>
    <t>Crescimento %</t>
  </si>
  <si>
    <t>Imposto s/ serviço - (ISS)</t>
  </si>
  <si>
    <t>Programa Integração Social - (PIS)</t>
  </si>
  <si>
    <t>Contribuição para Financiamento de Seguridade Social - (COFINS)</t>
  </si>
  <si>
    <t>Crédito de PIS / Cofins a ser utilizado sobre CAPEX e OPEX</t>
  </si>
  <si>
    <t>Inadimplência das Receitas Tarifárias</t>
  </si>
  <si>
    <t>Recuperação da Inadimplência</t>
  </si>
  <si>
    <t xml:space="preserve">Custos e Despesas Operacionais (OPEX) </t>
  </si>
  <si>
    <t xml:space="preserve">Custos e Despesas </t>
  </si>
  <si>
    <t>Valor do contrato de PPP</t>
  </si>
  <si>
    <t>Gerenciamento do Contrato</t>
  </si>
  <si>
    <t>Sensibilidade OPEX</t>
  </si>
  <si>
    <t>Coleta Manual E Conteinerizada Resíduos Comuns</t>
  </si>
  <si>
    <t>Coleta Materias Recicláveis</t>
  </si>
  <si>
    <t>Transporte E Destinação - Resíduos Dos  Pevs</t>
  </si>
  <si>
    <t>Coleta Programada De Volumosos</t>
  </si>
  <si>
    <t>Serviços Gerais (Tipos I E II)</t>
  </si>
  <si>
    <t xml:space="preserve">Destinação Final </t>
  </si>
  <si>
    <t>Educaçao Ambiental</t>
  </si>
  <si>
    <t>Administração Central</t>
  </si>
  <si>
    <t>Gerencialmento Contrato</t>
  </si>
  <si>
    <t>Taxa ARIS</t>
  </si>
  <si>
    <t xml:space="preserve">Taxas pagas mensalmente pelo prestador de serviço </t>
  </si>
  <si>
    <t>*PROTOCOLO DE INTENÇÕES ARIS:
Art. 88. No caso da prestadora de serviços executar duas ou mais atividades objeto das taxas de regulação e fiscalização, serão devidas as respectivas taxas cumulativamente, conforme cada atividade desempenhada pela prestadora de serviços regulada pela ARIS.</t>
  </si>
  <si>
    <t>Varrição e Limpeza de Vias Públicas</t>
  </si>
  <si>
    <t>TRVL=NHxR$0,0200</t>
  </si>
  <si>
    <t>TRVL - Taxa de Regulação de Varrição e Limpeza de Vias Públicas</t>
  </si>
  <si>
    <t>NH - Número de habitantes no município</t>
  </si>
  <si>
    <t>R$ 0,0200 - valor apurado para o custo da regulação dos serviços de varrição e limpeza de vias públicas por habitante</t>
  </si>
  <si>
    <t>Coleta de Resíduos Sólidos</t>
  </si>
  <si>
    <r>
      <t>TRCR=NHxR$0,0300</t>
    </r>
    <r>
      <rPr>
        <sz val="11"/>
        <color rgb="FF000000"/>
        <rFont val="ArialMT"/>
      </rPr>
      <t>, onde</t>
    </r>
  </si>
  <si>
    <t>TRCR - Taxa de Regulação de Coleta de Resíduos Sólidos</t>
  </si>
  <si>
    <t>R$ 0,0300 - valor apurado para o custo da regulação dos serviços de coleta de resíduos sólidos por habitante</t>
  </si>
  <si>
    <t>Transbordo e Transporte de Resíduos Sólidos</t>
  </si>
  <si>
    <r>
      <t>TRTR=NHxR$0,0100</t>
    </r>
    <r>
      <rPr>
        <sz val="11"/>
        <color rgb="FF000000"/>
        <rFont val="ArialMT"/>
      </rPr>
      <t>, onde</t>
    </r>
  </si>
  <si>
    <t>TRTR - Taxa de Regulação de Transbordo e Transporte de Resíduos Sólidos</t>
  </si>
  <si>
    <t>R$ 0,0100 - valor apurado para o custo da regulação dos serviços de transbordo e transporte de resíduos sólidos por habitante.</t>
  </si>
  <si>
    <t>Tratamento e Destinação Final de Resíduos Sólidos</t>
  </si>
  <si>
    <r>
      <t>TRDR=NHxR$0,0300</t>
    </r>
    <r>
      <rPr>
        <sz val="11"/>
        <color rgb="FF000000"/>
        <rFont val="ArialMT"/>
      </rPr>
      <t>, onde</t>
    </r>
  </si>
  <si>
    <t>TRDR - Taxa de Regulação de Tratamento e Destinação Final de Resíduos Sólidos</t>
  </si>
  <si>
    <t>R$ 0,0300 - valor apurado para o custo da regulação dos serviços de tratamento e destinação final de resíduos sólidos por habitante</t>
  </si>
  <si>
    <t>Seguro - Multiriscos (Cobertura de 2,5 milhões)</t>
  </si>
  <si>
    <t xml:space="preserve">Despesas com seguros </t>
  </si>
  <si>
    <t>Valor</t>
  </si>
  <si>
    <t>Valor total de cobertura</t>
  </si>
  <si>
    <t>% para pagamento da apólice anual</t>
  </si>
  <si>
    <t>Despesas com seguros multiriscos</t>
  </si>
  <si>
    <t>Despesas com Seguros e Garantias da PPP</t>
  </si>
  <si>
    <t>Seguro - Responsabilidade Civil (5 milhões até o 3º ano)</t>
  </si>
  <si>
    <t>Seguro Garantia Execução</t>
  </si>
  <si>
    <t>Valor seguro garantia</t>
  </si>
  <si>
    <t>Alocação seguro garantia de execução</t>
  </si>
  <si>
    <t>Valor seguro garantia de execução</t>
  </si>
  <si>
    <t>Seguro - Garantia de Execução (5% do valor do contrato)</t>
  </si>
  <si>
    <t xml:space="preserve">Valor contrato PPP </t>
  </si>
  <si>
    <t>Parcela PPP</t>
  </si>
  <si>
    <t>Alocação seguro garantia operacional de execução</t>
  </si>
  <si>
    <t>Valor seguro garantia operacional de execução</t>
  </si>
  <si>
    <t>Seguro - Engenharia (0,35% do valor do Capex)</t>
  </si>
  <si>
    <t>Total Capex</t>
  </si>
  <si>
    <t>Funding</t>
  </si>
  <si>
    <t>Alavancagem Indivisíveis</t>
  </si>
  <si>
    <t>Desembolsos Indivisíveis</t>
  </si>
  <si>
    <t>Desembolsos máximo</t>
  </si>
  <si>
    <t>Debt Upfront</t>
  </si>
  <si>
    <t>Imobilizado (fins fiscais)</t>
  </si>
  <si>
    <t>Classe de imobilizado</t>
  </si>
  <si>
    <t>Estudos</t>
  </si>
  <si>
    <t>Veículos</t>
  </si>
  <si>
    <t>Equipamentos</t>
  </si>
  <si>
    <t>Adicionais</t>
  </si>
  <si>
    <t>Grupo macro</t>
  </si>
  <si>
    <t>Taxa de depreciação</t>
  </si>
  <si>
    <t>Valor residual</t>
  </si>
  <si>
    <t xml:space="preserve">Dias </t>
  </si>
  <si>
    <t>Dias</t>
  </si>
  <si>
    <t>Contas a receber</t>
  </si>
  <si>
    <t>Estoques</t>
  </si>
  <si>
    <t>Obrigações sociais e trabalhistas</t>
  </si>
  <si>
    <t xml:space="preserve">Imposto </t>
  </si>
  <si>
    <t>IR e CSLL</t>
  </si>
  <si>
    <t>Aliquota IRPJ</t>
  </si>
  <si>
    <t>Adicional IR</t>
  </si>
  <si>
    <t>Base IR</t>
  </si>
  <si>
    <t>$ R$</t>
  </si>
  <si>
    <t>Alíquota CSLL</t>
  </si>
  <si>
    <t>Uso benefício fiscal</t>
  </si>
  <si>
    <t>Dívida</t>
  </si>
  <si>
    <t>Taxa  de juros</t>
  </si>
  <si>
    <t>Base</t>
  </si>
  <si>
    <t>CDI</t>
  </si>
  <si>
    <t>Indexador</t>
  </si>
  <si>
    <t>None</t>
  </si>
  <si>
    <t>Cronograma de desembolsos</t>
  </si>
  <si>
    <t>Spread dívida 1º Ciclo</t>
  </si>
  <si>
    <t>1º Ciclo</t>
  </si>
  <si>
    <t>Spread dívida 2º Ciclo</t>
  </si>
  <si>
    <t>2º Ciclo</t>
  </si>
  <si>
    <t>DSCR Dívida</t>
  </si>
  <si>
    <t>Método de repagamento</t>
  </si>
  <si>
    <t>SAC</t>
  </si>
  <si>
    <t>Prazo Dívida Senior</t>
  </si>
  <si>
    <t>Carência Pagamento Dívida Senior</t>
  </si>
  <si>
    <t>Meses</t>
  </si>
  <si>
    <t>Prazo: Quantos períodos após @Completion?</t>
  </si>
  <si>
    <t>Períodos</t>
  </si>
  <si>
    <t>Distribuição de Dividendos?</t>
  </si>
  <si>
    <t>0 - Sim, 1 - Não</t>
  </si>
  <si>
    <t>% distribuição</t>
  </si>
  <si>
    <t>% Lucro Líquido</t>
  </si>
  <si>
    <t>Máximo do Capital Social %</t>
  </si>
  <si>
    <t xml:space="preserve">Covenants </t>
  </si>
  <si>
    <t>DSCR - Mínimo</t>
  </si>
  <si>
    <t>DSCR - Default</t>
  </si>
  <si>
    <t>Premissas Valuation e Sensibilidade</t>
  </si>
  <si>
    <t>Data-base Valuation</t>
  </si>
  <si>
    <t>Date</t>
  </si>
  <si>
    <t>CAPM</t>
  </si>
  <si>
    <t>WACC</t>
  </si>
  <si>
    <t xml:space="preserve">TIR Meta </t>
  </si>
  <si>
    <t>Premissas macroeconomicas</t>
  </si>
  <si>
    <t>Escalation</t>
  </si>
  <si>
    <t>Base index</t>
  </si>
  <si>
    <t>% p.a.</t>
  </si>
  <si>
    <t>IPG-M</t>
  </si>
  <si>
    <t>PIB</t>
  </si>
  <si>
    <t>PIB Serviços</t>
  </si>
  <si>
    <t>Bradesco Projeções Curto Prazo</t>
  </si>
  <si>
    <t>CPI US</t>
  </si>
  <si>
    <t>Investing</t>
  </si>
  <si>
    <t>SELIC</t>
  </si>
  <si>
    <t>B3</t>
  </si>
  <si>
    <t>TLP</t>
  </si>
  <si>
    <t>BNDES</t>
  </si>
  <si>
    <t>IPCA</t>
  </si>
  <si>
    <t>Outras premissas financeiras</t>
  </si>
  <si>
    <t>Modelo Considera receitas financeiras?</t>
  </si>
  <si>
    <t>Percentual</t>
  </si>
  <si>
    <t>Value for Money (VfM)</t>
  </si>
  <si>
    <t>Taxa de desconto Value for Money</t>
  </si>
  <si>
    <t>0 - Taxa Social, 1 - Macro</t>
  </si>
  <si>
    <t>Taxa Social</t>
  </si>
  <si>
    <t>OPERAÇÕES</t>
  </si>
  <si>
    <t>Correção Monetária</t>
  </si>
  <si>
    <t>Ano de Operação</t>
  </si>
  <si>
    <t>Dias no período</t>
  </si>
  <si>
    <t>Dias no ano</t>
  </si>
  <si>
    <t>Correção</t>
  </si>
  <si>
    <t>% p.a</t>
  </si>
  <si>
    <t>Index</t>
  </si>
  <si>
    <t>Receitas e Deduções</t>
  </si>
  <si>
    <t>Contraprestação mensal máxima (CMM)</t>
  </si>
  <si>
    <t>𝐶𝑀𝐴 = CONTRAPRESTAÇÃO MENSAL MÁXIMA</t>
  </si>
  <si>
    <t>𝐶𝑀𝐴1 = CONTRAPRESTAÇÃO MENSAL MÁXIMA - PARCELA A1,</t>
  </si>
  <si>
    <t>% de recebimento contraprestação</t>
  </si>
  <si>
    <t>$R$</t>
  </si>
  <si>
    <t>CRESCIMENTO POPULACIONAL</t>
  </si>
  <si>
    <t xml:space="preserve"> </t>
  </si>
  <si>
    <t>ESCALONAMENTO DA CONTRAPRESTAÇÃO</t>
  </si>
  <si>
    <t>𝐶𝑀𝐵 = CONTRAPRESTAÇÃO TRANSITÓRIA</t>
  </si>
  <si>
    <t>Contraprestação Transitória</t>
  </si>
  <si>
    <t>Indicador</t>
  </si>
  <si>
    <t>𝐶𝑀B = CONTRAPRESTAÇÃO MENSAL EXCEDENTE - PARCELA B (Total)</t>
  </si>
  <si>
    <t>Parcela B total</t>
  </si>
  <si>
    <t>𝐶𝑀𝐴 = CONTRAPRESTAÇÃO MENSAL MÁXIMA - PARCELA A</t>
  </si>
  <si>
    <t>Parcela A</t>
  </si>
  <si>
    <t>𝐶𝑀𝐵 = CONTRAPRESTAÇÃO MENSAL MÁXIMA - PARCELA B.</t>
  </si>
  <si>
    <t>Parcela B</t>
  </si>
  <si>
    <t>𝐶𝑀B = CONTRAPRESTAÇÃO MENSAL MÁXIMA - PARCELA B (Total)</t>
  </si>
  <si>
    <t>Atualização IPCA</t>
  </si>
  <si>
    <t>Flag</t>
  </si>
  <si>
    <t>Volume esperado</t>
  </si>
  <si>
    <t>Tarifas aplicáveis</t>
  </si>
  <si>
    <t>Flag de aumento</t>
  </si>
  <si>
    <t>Crescimento unidades</t>
  </si>
  <si>
    <t>Unidades geradoras</t>
  </si>
  <si>
    <t>Valor básico referencial</t>
  </si>
  <si>
    <t>$ 000</t>
  </si>
  <si>
    <t>Receita tarifária</t>
  </si>
  <si>
    <t>$ 000s / m²</t>
  </si>
  <si>
    <t>Receitas Acessórias</t>
  </si>
  <si>
    <t>Receitas acessórias totais</t>
  </si>
  <si>
    <t>Receita total da PPP</t>
  </si>
  <si>
    <t>Crédito de PIS / COFIS (não-cumulativo)</t>
  </si>
  <si>
    <t>Total de deduções da Receita</t>
  </si>
  <si>
    <t>CAPEX elegível</t>
  </si>
  <si>
    <t>Aproveitamento fiscal CAPEX</t>
  </si>
  <si>
    <t>OPEX Elegível</t>
  </si>
  <si>
    <t>Aproveitamento fiscal OPEX</t>
  </si>
  <si>
    <t>Crédito de PIS / COFIS a ser utilizado (não-cumulativo)</t>
  </si>
  <si>
    <t>Alíquota total</t>
  </si>
  <si>
    <t>Benefício Fiscal a ser utilizado</t>
  </si>
  <si>
    <t>Receitas tarifária</t>
  </si>
  <si>
    <t>Índice de inadimplência</t>
  </si>
  <si>
    <t>Índice recuperação de inadimplência</t>
  </si>
  <si>
    <t>Recuperação de inadimplência</t>
  </si>
  <si>
    <t>Inadimplência das Receitas Tarifárias Líquida</t>
  </si>
  <si>
    <t/>
  </si>
  <si>
    <t>Operating Costs (OPEX)</t>
  </si>
  <si>
    <t>Custos e Despesas (OPEX) PPP</t>
  </si>
  <si>
    <t>Custos e Despesas (OPEX) PPP total</t>
  </si>
  <si>
    <t>R$ / ano</t>
  </si>
  <si>
    <t>Taxa de regulação ARIS - Reais por ano por habitante</t>
  </si>
  <si>
    <t>Seguro - Multiriscos</t>
  </si>
  <si>
    <t>Seguro - Responsabilidade Civil</t>
  </si>
  <si>
    <t>Despesas com seguro de responsabilidade civil</t>
  </si>
  <si>
    <t>Seguro - Garantia de Execução</t>
  </si>
  <si>
    <t>Despesas com seguro garantia de execução</t>
  </si>
  <si>
    <t>Seguro - Engenharia</t>
  </si>
  <si>
    <t>Despesas com seguro de engenharia</t>
  </si>
  <si>
    <t>Taxa de regulação ARIS</t>
  </si>
  <si>
    <t>Custos totais</t>
  </si>
  <si>
    <t>Nominal</t>
  </si>
  <si>
    <t>OPEX Nominal</t>
  </si>
  <si>
    <t>Dias contas a receber</t>
  </si>
  <si>
    <t>Receitas</t>
  </si>
  <si>
    <t>Fluxo de caixa das receitas</t>
  </si>
  <si>
    <t>Variação contas a receber</t>
  </si>
  <si>
    <t>Dias contas a pagar</t>
  </si>
  <si>
    <t>Custos elegíveis ao contas a pagar</t>
  </si>
  <si>
    <t>Pagamento custos operacionais</t>
  </si>
  <si>
    <t>Variação contas a pagar</t>
  </si>
  <si>
    <t>Variação Tributos e encargos</t>
  </si>
  <si>
    <t>Variação capital de giro</t>
  </si>
  <si>
    <t>Variação de capital de giro</t>
  </si>
  <si>
    <t>Funding, Imobilizado e Depreciação &amp; Write-offs</t>
  </si>
  <si>
    <t>CAPEX Programado</t>
  </si>
  <si>
    <t>CAPEX - Divisíveis</t>
  </si>
  <si>
    <t>CAPEX - Indivisíveis</t>
  </si>
  <si>
    <t>CAPEX Total</t>
  </si>
  <si>
    <t>CAPEX segregado para fins de imobilização fiscal</t>
  </si>
  <si>
    <t>Investimentos divisíveis</t>
  </si>
  <si>
    <t>Investimentos divisíveis totais</t>
  </si>
  <si>
    <t>Investimentos Indivisíveis</t>
  </si>
  <si>
    <t>Imobilizado divisíveis</t>
  </si>
  <si>
    <t>Imobilizado</t>
  </si>
  <si>
    <t>Imobilizado estudos divisível (b/f)</t>
  </si>
  <si>
    <t>CAPEX de Estudos</t>
  </si>
  <si>
    <t>Depreciação &amp; Write-offs</t>
  </si>
  <si>
    <t>Imobilizado estudos divisível (c/f)</t>
  </si>
  <si>
    <t>Despesas de Depreciação &amp; Write-offs</t>
  </si>
  <si>
    <t>Period Counter</t>
  </si>
  <si>
    <t>Dep. Rate</t>
  </si>
  <si>
    <t>Res.</t>
  </si>
  <si>
    <t>Depreciação &amp; Write-offs total</t>
  </si>
  <si>
    <t>Imobilizado veículos divisível (b/f)</t>
  </si>
  <si>
    <t>CAPEX de veículos</t>
  </si>
  <si>
    <t>Imobilizado veículos divisível (c/f)</t>
  </si>
  <si>
    <t>Residual</t>
  </si>
  <si>
    <t>Imobilizado Equipamentos divisível (b/f)</t>
  </si>
  <si>
    <t>CAPEX de Equipamentos</t>
  </si>
  <si>
    <t>Imobilizado Equipamentos divisível (c/f)</t>
  </si>
  <si>
    <t>Imobilizado Adicionais divisível (b/f)</t>
  </si>
  <si>
    <t>CAPEX de Adicionais</t>
  </si>
  <si>
    <t>Imobilizado Adicionais divisível (c/f)</t>
  </si>
  <si>
    <t>Imobilizado indivisíveis</t>
  </si>
  <si>
    <t>Imobilizado Geral</t>
  </si>
  <si>
    <t>Imobilizado divisível (b/f)</t>
  </si>
  <si>
    <t>CAPEX divisíveis</t>
  </si>
  <si>
    <t>Imobilizado divisível (c/f)</t>
  </si>
  <si>
    <t>Venda de Ativo Imobilizado em serviço</t>
  </si>
  <si>
    <t>Ciclo da venda</t>
  </si>
  <si>
    <t>anos</t>
  </si>
  <si>
    <t>Flag de venda</t>
  </si>
  <si>
    <t>Margem de venda</t>
  </si>
  <si>
    <t>Saldo de veículos para venda - inicial</t>
  </si>
  <si>
    <t>Adições</t>
  </si>
  <si>
    <t>Saldo de veículos para venda - Final</t>
  </si>
  <si>
    <t>Write-off imobilizado para venda</t>
  </si>
  <si>
    <t>Margem de venda de imobilizado</t>
  </si>
  <si>
    <t>Receita de venda de imobilizado</t>
  </si>
  <si>
    <t>IR / CSLL e Imposto diferido</t>
  </si>
  <si>
    <t>IR / CSLL (Contábil) - Imposto Efetivo</t>
  </si>
  <si>
    <t>R$ '000 / Ano</t>
  </si>
  <si>
    <t>Adicional base IR</t>
  </si>
  <si>
    <t xml:space="preserve">$ 000s </t>
  </si>
  <si>
    <t>EBIT (sem IFRIC 12)</t>
  </si>
  <si>
    <t>Dedução máxima</t>
  </si>
  <si>
    <t>Base de Cálculo</t>
  </si>
  <si>
    <t>IRPJ Pago</t>
  </si>
  <si>
    <t>CSLL Pago</t>
  </si>
  <si>
    <t>Total Impostos Pagos</t>
  </si>
  <si>
    <t>Benefício Fiscal (b/f)</t>
  </si>
  <si>
    <t>Reconhecimento</t>
  </si>
  <si>
    <t>Utilização</t>
  </si>
  <si>
    <t>Benefício Fiscal (c/f)</t>
  </si>
  <si>
    <t>IR / CSLL (Despesas Financeiras - Tax Shield) - Imposto Efetivo</t>
  </si>
  <si>
    <t>R$ / Ano</t>
  </si>
  <si>
    <t>EBT (com IFRIC 12)</t>
  </si>
  <si>
    <t>Imposto Diferido</t>
  </si>
  <si>
    <t xml:space="preserve">Total Impostos Pagos - Fiscal </t>
  </si>
  <si>
    <t>Total Impostos Pagos - Contábil</t>
  </si>
  <si>
    <t>Impostos a pagar (b/f)</t>
  </si>
  <si>
    <t>Impostos</t>
  </si>
  <si>
    <t>impostos a pagar (c/f)</t>
  </si>
  <si>
    <t>IFRIC 12</t>
  </si>
  <si>
    <t>CAPEX Segregado</t>
  </si>
  <si>
    <t>Ativo Financeiro</t>
  </si>
  <si>
    <t>Constituição ativo financeiro</t>
  </si>
  <si>
    <t>TIR efetiva do projeto</t>
  </si>
  <si>
    <t>Ativo Financeiro (b/f)</t>
  </si>
  <si>
    <t>Receita Financeira (IFRIC 12)</t>
  </si>
  <si>
    <t>Amortização ativo financeiro</t>
  </si>
  <si>
    <t>Ativo Financeiro (c/f)</t>
  </si>
  <si>
    <t>% de amortização</t>
  </si>
  <si>
    <t>Ativo Intangível</t>
  </si>
  <si>
    <t>Constituição ativo intangível</t>
  </si>
  <si>
    <t>Amortização intangível</t>
  </si>
  <si>
    <t>Caixa &amp; Equivalentes, Equity e Dividendos</t>
  </si>
  <si>
    <t>Capital Social (b/f)</t>
  </si>
  <si>
    <t>Equity para funding</t>
  </si>
  <si>
    <t>Equity adicional</t>
  </si>
  <si>
    <t>Capital Social (c/f)</t>
  </si>
  <si>
    <t>Caixa retido</t>
  </si>
  <si>
    <t>Caixa (b/f)</t>
  </si>
  <si>
    <t>Equity Adicional</t>
  </si>
  <si>
    <t>Dividendos distribuidos</t>
  </si>
  <si>
    <t>Caixa (c/f)</t>
  </si>
  <si>
    <t>Receita Financeira</t>
  </si>
  <si>
    <t>Reserva Legal (b/f)</t>
  </si>
  <si>
    <t>Constituição reserva legal</t>
  </si>
  <si>
    <t>Reserva Legal (c/f)</t>
  </si>
  <si>
    <t>(-) Constituição reserva legal</t>
  </si>
  <si>
    <t>Dívidendos máximos</t>
  </si>
  <si>
    <t>Dividends Available after retained earnngs</t>
  </si>
  <si>
    <t>DSCR abaixo do esperado?</t>
  </si>
  <si>
    <t>Dividendos disponível?</t>
  </si>
  <si>
    <t>DSCR default?</t>
  </si>
  <si>
    <t>DSRA ?</t>
  </si>
  <si>
    <t>Dividend lock-up flag</t>
  </si>
  <si>
    <t>Dividendos a pagar no período</t>
  </si>
  <si>
    <t>DÍVIDA E CONTA RESERVA</t>
  </si>
  <si>
    <t>Ciclo investimentos em anos</t>
  </si>
  <si>
    <t>Flag de desembolsos</t>
  </si>
  <si>
    <t>Counter desembolsos</t>
  </si>
  <si>
    <t>Counter</t>
  </si>
  <si>
    <t>Distribuição de investimentos</t>
  </si>
  <si>
    <t>Alocação de desembolsos para ICSD 1º Ciclo</t>
  </si>
  <si>
    <t>Alocação de desembolsos para ICSD 2º Ciclo</t>
  </si>
  <si>
    <t>Distribuição de investimentos para dívida</t>
  </si>
  <si>
    <t>Upfront fee da dívida</t>
  </si>
  <si>
    <t>Dívida Senior - Comercial - Balanço</t>
  </si>
  <si>
    <t>Dívida Senior - Comercial (b/f)</t>
  </si>
  <si>
    <t>Conversão após investimentos</t>
  </si>
  <si>
    <t>Repagamento</t>
  </si>
  <si>
    <t xml:space="preserve">Dívida Senior - Comercial (c/f) </t>
  </si>
  <si>
    <t>1º Ciclo repagamento da dívida</t>
  </si>
  <si>
    <t>Debt Start date</t>
  </si>
  <si>
    <t>Carencia</t>
  </si>
  <si>
    <t>Fim da carência</t>
  </si>
  <si>
    <t>Início pagamento dívida longo prazo</t>
  </si>
  <si>
    <t>Term loan repayment period end</t>
  </si>
  <si>
    <t>Flag de repagamento dívida</t>
  </si>
  <si>
    <t>Counter de periodo dívida</t>
  </si>
  <si>
    <t>2º Ciclo repagamento da dívida</t>
  </si>
  <si>
    <t>Taxa Fiança Bancária</t>
  </si>
  <si>
    <t>Saldo elegível Fiança</t>
  </si>
  <si>
    <t>Prazo da fiança</t>
  </si>
  <si>
    <t>Período</t>
  </si>
  <si>
    <t>Flag da Fiança Bancária</t>
  </si>
  <si>
    <t>PRICE</t>
  </si>
  <si>
    <t>Juros durante operação - PRICE</t>
  </si>
  <si>
    <t>% / Ano</t>
  </si>
  <si>
    <t>Spread dívida senior</t>
  </si>
  <si>
    <t>All-in  p.a.</t>
  </si>
  <si>
    <t>Juros durante operações</t>
  </si>
  <si>
    <t>Dívida Senior - PRICE - Dívida Senior - Comercial</t>
  </si>
  <si>
    <t>Dívida senior (b/f)</t>
  </si>
  <si>
    <t>Dívida senior (c/f)</t>
  </si>
  <si>
    <t>Amotização - PRICE</t>
  </si>
  <si>
    <t>Amotização</t>
  </si>
  <si>
    <t>(-) Juros</t>
  </si>
  <si>
    <t>Principal</t>
  </si>
  <si>
    <t>SAC - 1º Ciclo</t>
  </si>
  <si>
    <t>Juros durante operação - SAC</t>
  </si>
  <si>
    <t>Dívida Senior - SAC - Dívida Senior - Comercial</t>
  </si>
  <si>
    <t>Amotização - SAC</t>
  </si>
  <si>
    <t>SAC - 2º Ciclo</t>
  </si>
  <si>
    <t>Customizada</t>
  </si>
  <si>
    <t>Dívida Senior - Customizada - Dívida Senior - Comercial</t>
  </si>
  <si>
    <t>Amotização - Customizada</t>
  </si>
  <si>
    <t>Fluxo de Caixa para Serviços da Dívida durante repagamento</t>
  </si>
  <si>
    <t>DSCR max</t>
  </si>
  <si>
    <t>Max Principal</t>
  </si>
  <si>
    <t>Debt - Summary</t>
  </si>
  <si>
    <t>Debt Selection</t>
  </si>
  <si>
    <t>Switch</t>
  </si>
  <si>
    <t>Interest during operation - PRICE</t>
  </si>
  <si>
    <t>Interest during operation - SAC</t>
  </si>
  <si>
    <t>Interest during operation - Sculpted</t>
  </si>
  <si>
    <t>Principal Repayment - PRICE</t>
  </si>
  <si>
    <t>Principal Repayment - SAC</t>
  </si>
  <si>
    <t>Principal Repayment - Sculpted</t>
  </si>
  <si>
    <t>Interests</t>
  </si>
  <si>
    <t>Completion and operations flag</t>
  </si>
  <si>
    <t>DSRA balance</t>
  </si>
  <si>
    <t>DSRA saldo (b/f)</t>
  </si>
  <si>
    <t>Depósitos DSRA</t>
  </si>
  <si>
    <t>Saques DSRA</t>
  </si>
  <si>
    <t>DSRA saldo (c/f)</t>
  </si>
  <si>
    <t>DSRA Target no período</t>
  </si>
  <si>
    <t xml:space="preserve">DSRA look forward </t>
  </si>
  <si>
    <t>Target DSRA</t>
  </si>
  <si>
    <t>Target DSRA depósito inicial</t>
  </si>
  <si>
    <t>Target DSRA deposits / releases</t>
  </si>
  <si>
    <t>Target DSRA depósitos / saques</t>
  </si>
  <si>
    <t>Target DSRA depósitos</t>
  </si>
  <si>
    <t>Target DSRA saques</t>
  </si>
  <si>
    <t>Cash deposits into DSRA</t>
  </si>
  <si>
    <t>Caixa total para DSRA</t>
  </si>
  <si>
    <t>Caixa disponível para DSRA</t>
  </si>
  <si>
    <t>Serviço da dívida negativo</t>
  </si>
  <si>
    <t>Caixa total disponivel para DSRA</t>
  </si>
  <si>
    <t>DSRA saques</t>
  </si>
  <si>
    <t>Saques</t>
  </si>
  <si>
    <t>DSRA Saques totais</t>
  </si>
  <si>
    <t>DSRA lock-up flag</t>
  </si>
  <si>
    <t>DSRA lock-up check</t>
  </si>
  <si>
    <t>Covenants</t>
  </si>
  <si>
    <t>DSCR</t>
  </si>
  <si>
    <t>Serviço da Dívida</t>
  </si>
  <si>
    <t>Ratio</t>
  </si>
  <si>
    <t xml:space="preserve">Debt service flag </t>
  </si>
  <si>
    <t>Min DSCR</t>
  </si>
  <si>
    <t>Average DSCR</t>
  </si>
  <si>
    <t>Debt Service Flag</t>
  </si>
  <si>
    <t>DSCR lock-up flag</t>
  </si>
  <si>
    <t>DSCR lock-up ratio</t>
  </si>
  <si>
    <t>DSCR lock-up check</t>
  </si>
  <si>
    <t>DSCR default flag</t>
  </si>
  <si>
    <t>ICSD</t>
  </si>
  <si>
    <t>EBITDA - Impostos</t>
  </si>
  <si>
    <t>Divida Amortizada</t>
  </si>
  <si>
    <t>VALUATION</t>
  </si>
  <si>
    <t>Valuation</t>
  </si>
  <si>
    <t>Fator de Desconto - Equity</t>
  </si>
  <si>
    <t>Data valuation</t>
  </si>
  <si>
    <t>Fim período</t>
  </si>
  <si>
    <t>Anos entre data valuation</t>
  </si>
  <si>
    <t>Fator de desconto</t>
  </si>
  <si>
    <t>Dividendo IRR</t>
  </si>
  <si>
    <t>Captação e Pagamento / Juros de empréstimos</t>
  </si>
  <si>
    <t>Indenização e Alienação ativos fim da concessão</t>
  </si>
  <si>
    <t>Fluxo para o acionista</t>
  </si>
  <si>
    <t>Equity IRR</t>
  </si>
  <si>
    <t>Projeto</t>
  </si>
  <si>
    <t>Fator de Desconto - Projeto</t>
  </si>
  <si>
    <t>Fluxo de Caixa Operacional - Impostos</t>
  </si>
  <si>
    <t>Equity Cash Flow</t>
  </si>
  <si>
    <t>NPV do projeto</t>
  </si>
  <si>
    <t xml:space="preserve">Financial period end date </t>
  </si>
  <si>
    <t>Fluxo de Caixa para o projeto</t>
  </si>
  <si>
    <t xml:space="preserve"> @ Custo da dívida médio</t>
  </si>
  <si>
    <t>Payback</t>
  </si>
  <si>
    <t>Payback Simples (Projeto)</t>
  </si>
  <si>
    <t>Payback Descontado (Projeto)</t>
  </si>
  <si>
    <t>VALUE FOR MONEY - VfM</t>
  </si>
  <si>
    <t>Value for Money</t>
  </si>
  <si>
    <t>Obra Pública + Operação Própria</t>
  </si>
  <si>
    <t>Investimentos + Reeinvestimentos</t>
  </si>
  <si>
    <t>OPEX Total de Operação</t>
  </si>
  <si>
    <t>Impostos pagos</t>
  </si>
  <si>
    <t>Investimento total por ano</t>
  </si>
  <si>
    <t>Fator de Desconto</t>
  </si>
  <si>
    <t>Período para desconto</t>
  </si>
  <si>
    <t>Valor Presente</t>
  </si>
  <si>
    <t>PPP</t>
  </si>
  <si>
    <t>Contraprestação</t>
  </si>
  <si>
    <t>Contraprestação Anual e Receita Tarifária</t>
  </si>
  <si>
    <t>Impostos s/ contraprestação</t>
  </si>
  <si>
    <t>Contraprestação líquida</t>
  </si>
  <si>
    <t>Value for money</t>
  </si>
  <si>
    <t>Viabilidade econômica resulta em:</t>
  </si>
  <si>
    <t>TIMING</t>
  </si>
  <si>
    <t>Timeline</t>
  </si>
  <si>
    <t>Inputs</t>
  </si>
  <si>
    <t>Units</t>
  </si>
  <si>
    <t>Datas</t>
  </si>
  <si>
    <t>Geral</t>
  </si>
  <si>
    <t>Counter Concessão</t>
  </si>
  <si>
    <t>Initial flag</t>
  </si>
  <si>
    <t>Data inicial modelo</t>
  </si>
  <si>
    <t>Meses em um ano</t>
  </si>
  <si>
    <t>Month</t>
  </si>
  <si>
    <t>Começo período</t>
  </si>
  <si>
    <t>Fim do período anterior</t>
  </si>
  <si>
    <t>Days</t>
  </si>
  <si>
    <t>Flags</t>
  </si>
  <si>
    <t>Flag de Financial Close</t>
  </si>
  <si>
    <t xml:space="preserve"> Financial close date  </t>
  </si>
  <si>
    <t xml:space="preserve"> Financial close date flag </t>
  </si>
  <si>
    <t>Flag de Operação</t>
  </si>
  <si>
    <t>Anos da concessão</t>
  </si>
  <si>
    <t>Períodos em 1 ano</t>
  </si>
  <si>
    <t>Meses no período</t>
  </si>
  <si>
    <t>Fim da operação</t>
  </si>
  <si>
    <t>Flag de operação</t>
  </si>
  <si>
    <t>Counter de Operação</t>
  </si>
  <si>
    <t>Counter da operação</t>
  </si>
  <si>
    <t>Flag de último dia de operação</t>
  </si>
  <si>
    <t>Flag último dia de operação</t>
  </si>
  <si>
    <t>1º dia após fim de operações</t>
  </si>
  <si>
    <t>1º dia após fim da operação</t>
  </si>
  <si>
    <t>Flag Post Ops.</t>
  </si>
  <si>
    <t>Flag pós operações</t>
  </si>
  <si>
    <t>Flag cons + ops</t>
  </si>
  <si>
    <t>Cons + Ops Flag</t>
  </si>
  <si>
    <t>FC / Invest</t>
  </si>
  <si>
    <t>Invest</t>
  </si>
  <si>
    <t>Invest/Delay</t>
  </si>
  <si>
    <t>Ops</t>
  </si>
  <si>
    <t>Post Ops.</t>
  </si>
  <si>
    <t>Cenário Live</t>
  </si>
  <si>
    <t>Sensibilidade -TIR</t>
  </si>
  <si>
    <t>TIR Meta</t>
  </si>
  <si>
    <t>Aumento real necessário na tarifa</t>
  </si>
  <si>
    <t>Scenario Max</t>
  </si>
  <si>
    <t>MACROS EXCEL</t>
  </si>
  <si>
    <t>Calculated</t>
  </si>
  <si>
    <t>Applied</t>
  </si>
  <si>
    <t>Delta</t>
  </si>
  <si>
    <t>Total delta</t>
  </si>
  <si>
    <t>TIR meta</t>
  </si>
  <si>
    <t>Macro Run</t>
  </si>
  <si>
    <t>Macro_Precision</t>
  </si>
  <si>
    <t>Ramp-up</t>
  </si>
  <si>
    <t>SETUP</t>
  </si>
  <si>
    <t>Constantes</t>
  </si>
  <si>
    <t>Gerais</t>
  </si>
  <si>
    <t>Nome_Modelo</t>
  </si>
  <si>
    <t>MEF_PMI_Resíduos_Xanxerê</t>
  </si>
  <si>
    <t>Período do modelo</t>
  </si>
  <si>
    <t>Anual</t>
  </si>
  <si>
    <t>Números</t>
  </si>
  <si>
    <t>Days_yr</t>
  </si>
  <si>
    <t>Months_yr</t>
  </si>
  <si>
    <t>Months_halfyr</t>
  </si>
  <si>
    <t>Qtrs_yr</t>
  </si>
  <si>
    <t>Months_qtr</t>
  </si>
  <si>
    <t>Days_months</t>
  </si>
  <si>
    <t>Million</t>
  </si>
  <si>
    <t>Thousand</t>
  </si>
  <si>
    <t>Small_num</t>
  </si>
  <si>
    <t>Time</t>
  </si>
  <si>
    <t>Monthly</t>
  </si>
  <si>
    <t>Quarthly</t>
  </si>
  <si>
    <t>Half Year</t>
  </si>
  <si>
    <t>Year</t>
  </si>
  <si>
    <t>Debt</t>
  </si>
  <si>
    <t>Sculpted</t>
  </si>
  <si>
    <t>CHECKS</t>
  </si>
  <si>
    <t>Alertas</t>
  </si>
  <si>
    <t>Indica atenção no modelo - riscos</t>
  </si>
  <si>
    <t>Resultado</t>
  </si>
  <si>
    <t>DSCR abaixo do covenant</t>
  </si>
  <si>
    <t>Alert / OK</t>
  </si>
  <si>
    <t>Caixa negativo</t>
  </si>
  <si>
    <t>DSCR abaixo default</t>
  </si>
  <si>
    <t>Master check</t>
  </si>
  <si>
    <t>Aleta</t>
  </si>
  <si>
    <t>Erros</t>
  </si>
  <si>
    <t>Indica erro no modelo - falha</t>
  </si>
  <si>
    <t>Check Balanço</t>
  </si>
  <si>
    <t>Warning / OK</t>
  </si>
  <si>
    <t>Macro IFRIC 12</t>
  </si>
  <si>
    <t>Suporte - Cliente</t>
  </si>
  <si>
    <t>Aviso</t>
  </si>
  <si>
    <t>Notas:</t>
  </si>
  <si>
    <t>Informações base de CAPEX e OPEX fornecidas pelo cliente para subsidiar o desenvolvimento do modelo econômico-financeiro.</t>
  </si>
  <si>
    <t>PRAZO</t>
  </si>
  <si>
    <t>ANO</t>
  </si>
  <si>
    <t>TOTAL</t>
  </si>
  <si>
    <t>CAPEX TOTAL</t>
  </si>
  <si>
    <t>COLETA MANUAL E CONTEINERIZADA RSC</t>
  </si>
  <si>
    <t>Ok</t>
  </si>
  <si>
    <t>Estudo de composição gravimétrica</t>
  </si>
  <si>
    <t>Quantidade</t>
  </si>
  <si>
    <t>Caminhão compactador de 15 m³</t>
  </si>
  <si>
    <t>Custo de Aquisicao</t>
  </si>
  <si>
    <t>Moto</t>
  </si>
  <si>
    <t>Custo Identificação visual (adesivo)</t>
  </si>
  <si>
    <t>Comando de Elevação para o Compactador</t>
  </si>
  <si>
    <t>Sistema de supervisão embarcada</t>
  </si>
  <si>
    <t>Reforma Caminhão Compactador</t>
  </si>
  <si>
    <t>COLETA DE MATERIAIS RECICLÁVEIS</t>
  </si>
  <si>
    <t>Caminhão compactador de  15 m³</t>
  </si>
  <si>
    <t>Custo Identificação visual (adesivo) - Compactador</t>
  </si>
  <si>
    <t>TRANSPORTE E DESTINAÇÃO FINAL - RESÍDUOS PEVS</t>
  </si>
  <si>
    <t>Caminhão poliguindaste</t>
  </si>
  <si>
    <t>Custo Identificação visual (adesivo) - Poliguindaste</t>
  </si>
  <si>
    <t>COLETA PROGRAMADA  DE VOLUMOSOS</t>
  </si>
  <si>
    <t>Caminhão carroceria  25 m³ com implemento garra</t>
  </si>
  <si>
    <t>Custo Identificação visual (adesivo) - Caminhão</t>
  </si>
  <si>
    <t>VARRIÇÃO MANUAL</t>
  </si>
  <si>
    <t>Carrinho lutocar 120 litros</t>
  </si>
  <si>
    <t>Cesto papeleiro 50 litros (aquisição e reposição)</t>
  </si>
  <si>
    <t>SERVIÇOS GERAIS</t>
  </si>
  <si>
    <t>Van Minibus</t>
  </si>
  <si>
    <t>Adesivo Van Minibus</t>
  </si>
  <si>
    <t>Roçadeira lateral</t>
  </si>
  <si>
    <t>Soprador</t>
  </si>
  <si>
    <t>ROÇADA</t>
  </si>
  <si>
    <t>INVESTIMENTOS EM OBRAS E DESTINAÇÃO FINAL</t>
  </si>
  <si>
    <t>Investimentos em Obras e Destinação Final</t>
  </si>
  <si>
    <t>PEV's (Infraestrutura/Obras)</t>
  </si>
  <si>
    <t>Investimento Total</t>
  </si>
  <si>
    <t>Valor (obras) e reinvestimentos</t>
  </si>
  <si>
    <t>% de investimento</t>
  </si>
  <si>
    <t>PEV's (Estudos/Projetos/Licenciamentos)</t>
  </si>
  <si>
    <t>Ecoponto Tradicional (obras e infraestrutura)</t>
  </si>
  <si>
    <t>Ecoponto Pequeno</t>
  </si>
  <si>
    <t>Sistema de Contentor Subterrâneo - SCS (Obras e Caixa de Contenção) + Sistema de Elevação e Coleta Carga Traseira SCT 2</t>
  </si>
  <si>
    <t xml:space="preserve">Investimento Total </t>
  </si>
  <si>
    <t>Valor(obras) e reinvestimentos</t>
  </si>
  <si>
    <t>Quantidade SCS</t>
  </si>
  <si>
    <t>SCS e Ecopontos (Estudos/Projetos/Licenciamentos)</t>
  </si>
  <si>
    <t>Investimento no Centro de Triagem de Material Reciclável do Município</t>
  </si>
  <si>
    <t>Valor (obras)</t>
  </si>
  <si>
    <t>Unidade de Tratamento (Estudos/Projetos/Licenciamento)</t>
  </si>
  <si>
    <t>Unidade de Tratamento (Galpão)</t>
  </si>
  <si>
    <t>Unidade de Tratamento (Equipamentos)</t>
  </si>
  <si>
    <t>SCS</t>
  </si>
  <si>
    <t>Contentor de 1.000 litros</t>
  </si>
  <si>
    <t>Ecopontos</t>
  </si>
  <si>
    <t>Contentor 360 litros</t>
  </si>
  <si>
    <t>PEV</t>
  </si>
  <si>
    <t>Caçamba de 5 m³</t>
  </si>
  <si>
    <t>Compostagem</t>
  </si>
  <si>
    <t>Composteira Doméstica</t>
  </si>
  <si>
    <t>Unidade de Tratamento</t>
  </si>
  <si>
    <t>Empilhadeira</t>
  </si>
  <si>
    <t>Balança rodoviária 21 t</t>
  </si>
  <si>
    <t>EDUCAÇÃO AMBIENTAL</t>
  </si>
  <si>
    <t>xxx</t>
  </si>
  <si>
    <t>RELAÇÃO COM O USUÁRIO</t>
  </si>
  <si>
    <t>Microcomputador com no-break</t>
  </si>
  <si>
    <t>Servidor de rede local</t>
  </si>
  <si>
    <t>Mobiliário e utensílios</t>
  </si>
  <si>
    <t>Dispensador de senhas manual</t>
  </si>
  <si>
    <t>Sistemas de Gestão</t>
  </si>
  <si>
    <t>Sistema de gestão da concessão</t>
  </si>
  <si>
    <t>Sistema de gestão jurídico</t>
  </si>
  <si>
    <t>ADMINISTRAÇÃO LOCAL</t>
  </si>
  <si>
    <t>Microcomputador com monitor ou notebook - adm. Local</t>
  </si>
  <si>
    <t>Mobiliário e utensílios - adm. Local</t>
  </si>
  <si>
    <t>REEMBOLSO DO PMI</t>
  </si>
  <si>
    <t>Investimento geral</t>
  </si>
  <si>
    <t>Reembolso dos Estudos PMI 02/2022</t>
  </si>
  <si>
    <t>Em R$ Mil</t>
  </si>
  <si>
    <t>OPEX TOTAL</t>
  </si>
  <si>
    <t>COLETA MANUAL E CONTEINERIZADA RESÍDUOS COMUNS</t>
  </si>
  <si>
    <t>Quantidade de Equipamentos Efetivos</t>
  </si>
  <si>
    <t>Caminhão compactador de 15 m3</t>
  </si>
  <si>
    <t>Veículo utilitário pequeno</t>
  </si>
  <si>
    <t>Contêiner de 1.000 litros (urbanos + rurais)</t>
  </si>
  <si>
    <t>Sistema de Contentores Subterrâneos (SCS) - contêineres</t>
  </si>
  <si>
    <t>Quantidade de Equipamentos Reservas</t>
  </si>
  <si>
    <t>Quantidade de Funcionários</t>
  </si>
  <si>
    <t>Locação de equipamentos</t>
  </si>
  <si>
    <t>Valor Unitário</t>
  </si>
  <si>
    <t>Contentores de 1000 litros (locação+manutenção+lavagem+higienização)</t>
  </si>
  <si>
    <t>Manutenção</t>
  </si>
  <si>
    <t>Km mensal/veículo</t>
  </si>
  <si>
    <t>SCS - Contentores subterrâneos +manutenção comando elevação+lavagem</t>
  </si>
  <si>
    <t>Valor Unitário (SCS para 2 contentores)</t>
  </si>
  <si>
    <t>Combustiveis</t>
  </si>
  <si>
    <t>Km Mensal</t>
  </si>
  <si>
    <t>Consumo</t>
  </si>
  <si>
    <t>Óleos, Lubrificantes e Graxas</t>
  </si>
  <si>
    <t>R$/km</t>
  </si>
  <si>
    <t>Pneus</t>
  </si>
  <si>
    <t>Vida útil (km) Veículos efetivos - considerando recapagens (caminhão)</t>
  </si>
  <si>
    <t>Km/mês</t>
  </si>
  <si>
    <t>Pneu (R$/km)</t>
  </si>
  <si>
    <t>Pneu (quantidade/veículo)</t>
  </si>
  <si>
    <t>Valor unitário pneu</t>
  </si>
  <si>
    <t>Recapagem (2 recapagens/pneu/veículo durante vida útil)</t>
  </si>
  <si>
    <t>Valor unitário recapagem</t>
  </si>
  <si>
    <t>Pneu (quantidade)</t>
  </si>
  <si>
    <t>Recapagem (quantidade)</t>
  </si>
  <si>
    <t>Lavagem</t>
  </si>
  <si>
    <t>Lavagem total</t>
  </si>
  <si>
    <t>Veículos pesados - caminhões de 15m³</t>
  </si>
  <si>
    <t>Valor unitário (por mês)</t>
  </si>
  <si>
    <t>Motos</t>
  </si>
  <si>
    <t>Veículos leves</t>
  </si>
  <si>
    <t>Licenciamento e Seguros</t>
  </si>
  <si>
    <t>Licenciamento</t>
  </si>
  <si>
    <t>IPVA</t>
  </si>
  <si>
    <t>Seguro</t>
  </si>
  <si>
    <t>Custo de Aquisição</t>
  </si>
  <si>
    <t>Monitoramento de veículos</t>
  </si>
  <si>
    <t>Quantidade de Veículos</t>
  </si>
  <si>
    <t>Material de Consumo</t>
  </si>
  <si>
    <t>Vassoura</t>
  </si>
  <si>
    <t>Valor unitário</t>
  </si>
  <si>
    <t>Pá</t>
  </si>
  <si>
    <t>Mão de obra - Salários</t>
  </si>
  <si>
    <t>Motorista diurno e vespertino</t>
  </si>
  <si>
    <t>Salário base</t>
  </si>
  <si>
    <t>Salário mínimo</t>
  </si>
  <si>
    <t>Motorista noturno</t>
  </si>
  <si>
    <t>Coletor diurno e vespertino</t>
  </si>
  <si>
    <t>Coletor noturno</t>
  </si>
  <si>
    <t>Fiscal diurno e vespertino</t>
  </si>
  <si>
    <t>Fiscal noturno</t>
  </si>
  <si>
    <t>Encarregado diurno e vespertino</t>
  </si>
  <si>
    <t>Mão de obra - Encargos</t>
  </si>
  <si>
    <t>Salários total</t>
  </si>
  <si>
    <t>% de encargos sociais</t>
  </si>
  <si>
    <t>Mão de obra - Benefícios</t>
  </si>
  <si>
    <t>Vale Alimentação</t>
  </si>
  <si>
    <t>Seguro de Vida</t>
  </si>
  <si>
    <t>Vale Transporte</t>
  </si>
  <si>
    <t>Uniformes e EPI</t>
  </si>
  <si>
    <t>Fiscal  diurno e vespertino</t>
  </si>
  <si>
    <t>Fiscal  noturno</t>
  </si>
  <si>
    <t>COLETA MATERIAS RECICLÁVEIS</t>
  </si>
  <si>
    <r>
      <t xml:space="preserve">Quantidade de Equipamentos </t>
    </r>
    <r>
      <rPr>
        <b/>
        <i/>
        <sz val="11"/>
        <color theme="1"/>
        <rFont val="Arial"/>
        <family val="2"/>
      </rPr>
      <t>Efetivos</t>
    </r>
  </si>
  <si>
    <t>Contentor de 1.000 litros (urbanos + rurais)</t>
  </si>
  <si>
    <t>Veículos pesados</t>
  </si>
  <si>
    <t>Monitoramento</t>
  </si>
  <si>
    <t>TRANSPORTE E DESTINAÇÃO - RESÍDUOS DOS PEVS</t>
  </si>
  <si>
    <t>Poliguindaste</t>
  </si>
  <si>
    <t>COLETA PROGRAMADA DE VOLUMOSOS</t>
  </si>
  <si>
    <t>Cesto papeleiro</t>
  </si>
  <si>
    <t>Vassouras/Vassourão</t>
  </si>
  <si>
    <t>Sacos plásticos (varrição)</t>
  </si>
  <si>
    <t>Sacos plásticos 50 litros (cestos papeleiros)</t>
  </si>
  <si>
    <t>Cones</t>
  </si>
  <si>
    <t>Servente diurno e vespertino</t>
  </si>
  <si>
    <t>Servente  diurno e vespertino</t>
  </si>
  <si>
    <t>Caminhão basculante de 12 m3</t>
  </si>
  <si>
    <t>Varredeira (pequeno porte)</t>
  </si>
  <si>
    <t>Trator com capinadeira</t>
  </si>
  <si>
    <t>Van Minibus 20+1</t>
  </si>
  <si>
    <t>Sprinter (reserva)</t>
  </si>
  <si>
    <t>Valor Unitário (com operação e combustível)</t>
  </si>
  <si>
    <t>Horas/equipamento</t>
  </si>
  <si>
    <t>Dias/mês</t>
  </si>
  <si>
    <t>Consumo (l/dia)</t>
  </si>
  <si>
    <t>Sprinter (apoio)</t>
  </si>
  <si>
    <t>Consumo (meses)</t>
  </si>
  <si>
    <t>R$/mês</t>
  </si>
  <si>
    <t>Rastelo</t>
  </si>
  <si>
    <t>Enxada</t>
  </si>
  <si>
    <t>Broxa</t>
  </si>
  <si>
    <t>Balde</t>
  </si>
  <si>
    <t>Carrinho de mão</t>
  </si>
  <si>
    <t>Vassoura/Vassourão</t>
  </si>
  <si>
    <t>Sacos plásticos</t>
  </si>
  <si>
    <t>Servente diurno e vespertino (roçada)</t>
  </si>
  <si>
    <t>Servente diurno e vespertino (limpeza de boca de lobo)</t>
  </si>
  <si>
    <t>Minibus</t>
  </si>
  <si>
    <t>Servente  diurno e vespertino (roçador)</t>
  </si>
  <si>
    <t>DESTINAÇÃO FINAL</t>
  </si>
  <si>
    <t>Contentor de 1.000 litros (computado no valor do SCS)</t>
  </si>
  <si>
    <t>Caçamba de 5 m3</t>
  </si>
  <si>
    <t>Ecoponto</t>
  </si>
  <si>
    <t>Contentor de 360 litros</t>
  </si>
  <si>
    <r>
      <t xml:space="preserve">Quantidade </t>
    </r>
    <r>
      <rPr>
        <sz val="11"/>
        <color theme="7" tint="-0.249977111117893"/>
        <rFont val="Arial"/>
        <family val="2"/>
      </rPr>
      <t>(computada na coleta de RSC)</t>
    </r>
  </si>
  <si>
    <t>PEVs</t>
  </si>
  <si>
    <t>Manutenção do PEV</t>
  </si>
  <si>
    <t>Caçamba de 5m3</t>
  </si>
  <si>
    <t>Manutenção do Ecoponto Tradicional</t>
  </si>
  <si>
    <t>Manutenção do Ecoponto Pequeno</t>
  </si>
  <si>
    <t>Equipamentos e galpão</t>
  </si>
  <si>
    <t>Empilhadeira e balança</t>
  </si>
  <si>
    <t>Hora técnica (Téc. Mecânica e Elétrica)</t>
  </si>
  <si>
    <t>Diária de limpeza</t>
  </si>
  <si>
    <t>Km mensal</t>
  </si>
  <si>
    <t>Veículos pesados/ ônibus</t>
  </si>
  <si>
    <t>Energia e Água</t>
  </si>
  <si>
    <t>Energia elétrica e GLP</t>
  </si>
  <si>
    <t>Água</t>
  </si>
  <si>
    <t>Destinação Final Privada - Custos</t>
  </si>
  <si>
    <t>Destinação de RSC</t>
  </si>
  <si>
    <t>Tratamento + Aterro Sanitário</t>
  </si>
  <si>
    <t>Quantidade Mensal - t/mês</t>
  </si>
  <si>
    <t>% resíduos aterrados</t>
  </si>
  <si>
    <t>Custo da Destinação (transporte, recebimento, disposição ATERRO) - R$/t</t>
  </si>
  <si>
    <t>Quantidade Mensal aterrada - t/mês</t>
  </si>
  <si>
    <t>Destinação de Resíduos do Serviço de Saúde</t>
  </si>
  <si>
    <t>Custo da Destinação (transporte, tratamento e disposição) - R$/l</t>
  </si>
  <si>
    <t>Custo da Destinação Final - R$/l</t>
  </si>
  <si>
    <t>Quantidade Mensal - l/mês</t>
  </si>
  <si>
    <t>Destinação de  Volumosos</t>
  </si>
  <si>
    <t>Destinação em empresa privada</t>
  </si>
  <si>
    <t>Custo da Destinação Final - R$/t</t>
  </si>
  <si>
    <t>Sacos de lixo</t>
  </si>
  <si>
    <t>Internet</t>
  </si>
  <si>
    <t>Vigilância</t>
  </si>
  <si>
    <t>Materiais de escritório</t>
  </si>
  <si>
    <t>Materiais de limpeza</t>
  </si>
  <si>
    <t>Ecoponto Tradicional</t>
  </si>
  <si>
    <t>Operador de empilhadeira diurno e vespertino</t>
  </si>
  <si>
    <t>Operador de empilhadeira noturno</t>
  </si>
  <si>
    <t>Analista de Operações diurno</t>
  </si>
  <si>
    <t>Porteiro</t>
  </si>
  <si>
    <t xml:space="preserve">EDUCAÇÃO AMBIENTAL </t>
  </si>
  <si>
    <t>Consumo de Combustível</t>
  </si>
  <si>
    <t xml:space="preserve">% sobre o consumo </t>
  </si>
  <si>
    <t>Quantidade de equipamentos</t>
  </si>
  <si>
    <t>Papelaria, etc.</t>
  </si>
  <si>
    <t>Valor unitário (médio)</t>
  </si>
  <si>
    <t>Adesivos/brindes</t>
  </si>
  <si>
    <t>Gráfica - criação de materiais gráficos para divulgação e campanhas de marketing</t>
  </si>
  <si>
    <t>Outros - gerenciamento e contratação de influenciadores</t>
  </si>
  <si>
    <t>Analista ambiental</t>
  </si>
  <si>
    <t>Auxiliar Administrativo</t>
  </si>
  <si>
    <t>Jovem Aprendiz (área de meio ambiente)</t>
  </si>
  <si>
    <t>Equipe (total) educação ambiental</t>
  </si>
  <si>
    <t>Despesas de Escritório</t>
  </si>
  <si>
    <t>Aluguel Sala para Atendimento Presencial</t>
  </si>
  <si>
    <t>Água e esgoto</t>
  </si>
  <si>
    <t>Material de limpeza</t>
  </si>
  <si>
    <t>Consumo de energia</t>
  </si>
  <si>
    <t>Telefonia (fixo + celulares - contas)</t>
  </si>
  <si>
    <t>Provedor de internet</t>
  </si>
  <si>
    <t>Aluguel - central telefônica c/ software para gestão de atendimento telefônico</t>
  </si>
  <si>
    <t>Material de expediente</t>
  </si>
  <si>
    <t>Aluguel de impressoras multifuncionais</t>
  </si>
  <si>
    <t>Sistema para recebimentos por cartões de crédito/débito (habilitação/CNPJ)</t>
  </si>
  <si>
    <t>Sistema para recebimentos por cartões de crédito/débito (pontos adicionais de atendimento)</t>
  </si>
  <si>
    <t>Sistema de gestão de fila de atendimento presencial</t>
  </si>
  <si>
    <t>Sistema de gestão de concessão</t>
  </si>
  <si>
    <t>Sistema de atendimento por chat/whatsapp</t>
  </si>
  <si>
    <t>Suíte de Escritório Microsoft Office 365</t>
  </si>
  <si>
    <t>Vigilância eletrônica</t>
  </si>
  <si>
    <t>Taxas IPTU</t>
  </si>
  <si>
    <t>Assessoria jurídica</t>
  </si>
  <si>
    <t>Consultoria e treinamento da equipe</t>
  </si>
  <si>
    <t>Quantidade (mês)</t>
  </si>
  <si>
    <t>Diárias de limpeza</t>
  </si>
  <si>
    <t>Assessoria lei da aprendizagem - CIEE</t>
  </si>
  <si>
    <t>Serviço especializado de medicina no trabalho</t>
  </si>
  <si>
    <t>Quantidade (funcionários R.U.)</t>
  </si>
  <si>
    <t>Valor Unitário/funcionário</t>
  </si>
  <si>
    <t>Guia do Usuário</t>
  </si>
  <si>
    <t>Quantidade (de usuários)</t>
  </si>
  <si>
    <t>Cobranças e Impressos</t>
  </si>
  <si>
    <t>Pagamentos em parcela única via boleto</t>
  </si>
  <si>
    <t>Usuários</t>
  </si>
  <si>
    <t>Qtde economias/mês</t>
  </si>
  <si>
    <t>Pagamentos em parcelas mensais via boleto</t>
  </si>
  <si>
    <t>Pagamentos via débito automático em conta</t>
  </si>
  <si>
    <t>Baixa de boletos registrados e não liquidados</t>
  </si>
  <si>
    <t>Pagamentos via cartão de débito/crédito tarifa de liquidação</t>
  </si>
  <si>
    <t>Negativação de inadimplentes na Serasa (envio de carta + registro no cadastro)</t>
  </si>
  <si>
    <t>Carnê para cobrança da tarifa (1 por usuário)</t>
  </si>
  <si>
    <t>Notificação de débito por SMS</t>
  </si>
  <si>
    <t>Higienização e enriquecimento do cadastro</t>
  </si>
  <si>
    <t>Cartas de Notificação aos usuários (impressão e entrega)</t>
  </si>
  <si>
    <t>Manutenção, peças e acessórios RU</t>
  </si>
  <si>
    <t>Auxiliar de atendimento</t>
  </si>
  <si>
    <t>Auxiliar de CPD</t>
  </si>
  <si>
    <t>Aluguel do imóvel</t>
  </si>
  <si>
    <t>IPTU</t>
  </si>
  <si>
    <t>Energia</t>
  </si>
  <si>
    <t>Telefone fixo e celulares</t>
  </si>
  <si>
    <t>Correio</t>
  </si>
  <si>
    <t>Provedor e internet</t>
  </si>
  <si>
    <t>Aluguel impressora multifuncional/copiadora</t>
  </si>
  <si>
    <t>Taxas (Ibama e outras)</t>
  </si>
  <si>
    <t>Serviços Técnicos de Terceiros</t>
  </si>
  <si>
    <t>Exames médicos (Adm. Local + Educação Ambiental + RU)</t>
  </si>
  <si>
    <t>Exames médicos (Operação)</t>
  </si>
  <si>
    <t>Convênio jovem aprendiz</t>
  </si>
  <si>
    <t>CREA</t>
  </si>
  <si>
    <t>Recrutamento e seleção</t>
  </si>
  <si>
    <t>Manutenção - Adm. Local</t>
  </si>
  <si>
    <t>Auxiliar administrativo</t>
  </si>
  <si>
    <t>Gerente</t>
  </si>
  <si>
    <t>Jovem aprendiz</t>
  </si>
  <si>
    <t>Técnico de segurança do trabalho</t>
  </si>
  <si>
    <t>Zelador</t>
  </si>
  <si>
    <t>ADMINISTRAÇÃO CENTRAL</t>
  </si>
  <si>
    <t>Incidência sobre faturamento</t>
  </si>
  <si>
    <t>DADOS:</t>
  </si>
  <si>
    <t>VIDA ÚTIL - PNEUS</t>
  </si>
  <si>
    <t>1.</t>
  </si>
  <si>
    <t>Vida útil caminhões</t>
  </si>
  <si>
    <t>km</t>
  </si>
  <si>
    <t>2.</t>
  </si>
  <si>
    <t>Vida útil Motos</t>
  </si>
  <si>
    <t>INVESTIMENTOS DESTINAÇÃO FINAL</t>
  </si>
  <si>
    <t>Investimentos Reversíveis</t>
  </si>
  <si>
    <t>MUNICÍPIO DE XANXERÊ</t>
  </si>
  <si>
    <t>EVTE PARA A CONCESSÃO DOS SERVIÇOS DE MANEJO DE RESÍDUOS SÓLIDOS E LIMPEZA URBANA</t>
  </si>
  <si>
    <t>INSUMOS</t>
  </si>
  <si>
    <t>CAPEX - OPEX</t>
  </si>
  <si>
    <t>Item</t>
  </si>
  <si>
    <t>Descrição</t>
  </si>
  <si>
    <t>Unidade</t>
  </si>
  <si>
    <t>Valor unitário (R$)</t>
  </si>
  <si>
    <t>Referência</t>
  </si>
  <si>
    <t>Vida útil</t>
  </si>
  <si>
    <t>Selecione uma opção</t>
  </si>
  <si>
    <t>Veículos - equipamentos - acessórios</t>
  </si>
  <si>
    <t>Adesivo de identificação visual</t>
  </si>
  <si>
    <t>un.</t>
  </si>
  <si>
    <t>Mercado</t>
  </si>
  <si>
    <t>Adesivo de identificação visual - cesto / lutocar</t>
  </si>
  <si>
    <t>Caçamba estacionaria 5 m³</t>
  </si>
  <si>
    <t>Carroceria de ferro 5m</t>
  </si>
  <si>
    <t>Cesto papeleiro 50 L</t>
  </si>
  <si>
    <t>Mercado - com pedestal</t>
  </si>
  <si>
    <t>Chassi 18.210 Constellation 4x2</t>
  </si>
  <si>
    <t>Código FIPE: 515189-9</t>
  </si>
  <si>
    <t>Chassi 18.260 Constellation 4x2</t>
  </si>
  <si>
    <t>Código FIPE: 515190-2</t>
  </si>
  <si>
    <t>Chassi Atego 1719 4x2</t>
  </si>
  <si>
    <t>Código FIPE: 509338-4</t>
  </si>
  <si>
    <t>Coletor compactador de carga traseira 15 m³</t>
  </si>
  <si>
    <t>Mercado - Usimeca com dispositivo basculante</t>
  </si>
  <si>
    <t>Comando elevatório para compactador</t>
  </si>
  <si>
    <t>Contentor de 1.000 L</t>
  </si>
  <si>
    <t>Contentor de 360 L</t>
  </si>
  <si>
    <t>Contentor de 240 L</t>
  </si>
  <si>
    <t>Estudo de gravimetria</t>
  </si>
  <si>
    <t>Estimativa</t>
  </si>
  <si>
    <t>Lutocar</t>
  </si>
  <si>
    <t>Minibus 18+1 lugares</t>
  </si>
  <si>
    <t>Código FIPE: 001566-0</t>
  </si>
  <si>
    <t>Motocicleta</t>
  </si>
  <si>
    <t>Código FIPE: 811142-1</t>
  </si>
  <si>
    <t>Munck F4S/2H 4t</t>
  </si>
  <si>
    <t>Poliguindaste simples</t>
  </si>
  <si>
    <t>Implemento garra sucateira</t>
  </si>
  <si>
    <t xml:space="preserve">Reforma caminhão coletor compactador </t>
  </si>
  <si>
    <t>Roçadeira costal</t>
  </si>
  <si>
    <t>Mercado- 221 STHIL</t>
  </si>
  <si>
    <t>Soprador costal</t>
  </si>
  <si>
    <t>Manutenção veicular</t>
  </si>
  <si>
    <t>Aluguel equipamento rastreamento</t>
  </si>
  <si>
    <t>Mercado - Inlog</t>
  </si>
  <si>
    <t>Arla</t>
  </si>
  <si>
    <t>litro</t>
  </si>
  <si>
    <t>Diesel S10</t>
  </si>
  <si>
    <t>Fio de nylon</t>
  </si>
  <si>
    <t>m</t>
  </si>
  <si>
    <t>Fluído de freio</t>
  </si>
  <si>
    <t>Gasolina</t>
  </si>
  <si>
    <t>Graxa</t>
  </si>
  <si>
    <t>Lavação (empilhadeira)</t>
  </si>
  <si>
    <t>Lavação (moto)</t>
  </si>
  <si>
    <t>Lavação (veículo de grande porte)</t>
  </si>
  <si>
    <t>Lavação (veículo de pequeno porte)</t>
  </si>
  <si>
    <t>Pneu 235 Recapagem</t>
  </si>
  <si>
    <t>Pneu 235/75 R 17,5</t>
  </si>
  <si>
    <t>Pneu 275/80 R 22,5</t>
  </si>
  <si>
    <t>Pneu 275/80 Recapagem</t>
  </si>
  <si>
    <t>Pneu 90x90 R18</t>
  </si>
  <si>
    <t>Pneu empilhadeira 7.00-12</t>
  </si>
  <si>
    <t>Serviço de rastreamento</t>
  </si>
  <si>
    <t>Materiais - ferramentas - acessórios</t>
  </si>
  <si>
    <t>Adesivo</t>
  </si>
  <si>
    <t>Carrinho de pintura</t>
  </si>
  <si>
    <t>Cone para sinalização</t>
  </si>
  <si>
    <t>Mercado - 75 cm, PVC, laranja e branco, com 2 faixas refletivas</t>
  </si>
  <si>
    <t>Criação de mat. gráficos p/ divulgação e camp. marketing</t>
  </si>
  <si>
    <t>Pá quadrada</t>
  </si>
  <si>
    <t>Papelaria</t>
  </si>
  <si>
    <t>Saco de Lixo cap 130 L</t>
  </si>
  <si>
    <t>Saco de Lixo cap 60 L</t>
  </si>
  <si>
    <t>Vassourão</t>
  </si>
  <si>
    <t>EPIs - uniformes</t>
  </si>
  <si>
    <t>Avental de raspa</t>
  </si>
  <si>
    <t>Boné com protetor na nuca</t>
  </si>
  <si>
    <t>Boné sem protetor na nuca</t>
  </si>
  <si>
    <t>Bota motocicleta</t>
  </si>
  <si>
    <t>Calça antichama</t>
  </si>
  <si>
    <t>Calça para coletor</t>
  </si>
  <si>
    <t>Calça sem refletivo</t>
  </si>
  <si>
    <t>Calça zelador</t>
  </si>
  <si>
    <t>Calçado exceto coletor</t>
  </si>
  <si>
    <t>Mercado - CA 41.832</t>
  </si>
  <si>
    <t>Calçado para coletor</t>
  </si>
  <si>
    <t>Mercado - CA 50.728</t>
  </si>
  <si>
    <t>Camiseta antichama</t>
  </si>
  <si>
    <t>Camiseta ML com refletivo</t>
  </si>
  <si>
    <t>Camiseta ML sem refletivo</t>
  </si>
  <si>
    <t>Camiseta polo</t>
  </si>
  <si>
    <t>Camiseta Zelador</t>
  </si>
  <si>
    <t>Capacete de segurança</t>
  </si>
  <si>
    <t>Capacete  motocicleta</t>
  </si>
  <si>
    <t>Cinto de segurança paraquedista</t>
  </si>
  <si>
    <t>Conjunto capa chuva motocicleta</t>
  </si>
  <si>
    <t>Conjunto jaqueta + calça chuva</t>
  </si>
  <si>
    <t xml:space="preserve">Mercado - CA 42.186 e 42.187 </t>
  </si>
  <si>
    <t>Crachá</t>
  </si>
  <si>
    <t>Fita de ancoragem</t>
  </si>
  <si>
    <t>Jaqueta fiscalização</t>
  </si>
  <si>
    <t>Jaqueta com refletivo</t>
  </si>
  <si>
    <t>Jaqueta sem refletivo</t>
  </si>
  <si>
    <t>Jaqueta zelador/ administrativo</t>
  </si>
  <si>
    <t>Luva de borracha isolante classe 15kV</t>
  </si>
  <si>
    <t>Luva de raspa</t>
  </si>
  <si>
    <t>Mercado - CA 42.092</t>
  </si>
  <si>
    <t>Luva motocicleta</t>
  </si>
  <si>
    <t>Luva para coletor</t>
  </si>
  <si>
    <t>Mercado -  CA 42.957</t>
  </si>
  <si>
    <t>Luva para servente</t>
  </si>
  <si>
    <t>Mercado - CA 49.943</t>
  </si>
  <si>
    <t>Luva para zelador</t>
  </si>
  <si>
    <t>Mercado - CA 15.112</t>
  </si>
  <si>
    <t>Óculos de segurança</t>
  </si>
  <si>
    <t>Mercado - CA 14.990</t>
  </si>
  <si>
    <t>Perneira</t>
  </si>
  <si>
    <t>Mercado - CA 30.957</t>
  </si>
  <si>
    <t>Protetor auditivo tipo concha</t>
  </si>
  <si>
    <t>Protetor auditivo tipo plug</t>
  </si>
  <si>
    <t>Protetor facial</t>
  </si>
  <si>
    <t>Mercador - CA 11.442</t>
  </si>
  <si>
    <t>Protetor solar</t>
  </si>
  <si>
    <t>Mercado - com repelente FPS 30 - 120 ml</t>
  </si>
  <si>
    <t xml:space="preserve">Gestão </t>
  </si>
  <si>
    <t>Água (ADM)</t>
  </si>
  <si>
    <t>mês</t>
  </si>
  <si>
    <t>Mercado - Estimativa</t>
  </si>
  <si>
    <t>Água (RU)</t>
  </si>
  <si>
    <t>Aluguel atendimento presencial (RU)</t>
  </si>
  <si>
    <t>Aluguel central telefônica c/ software gestão atend. telef. (RU)</t>
  </si>
  <si>
    <t>Aluguel de impressoras multifuncionais (RU)</t>
  </si>
  <si>
    <t>Aluguel do imóvel (ADM)</t>
  </si>
  <si>
    <t>Aluguel impressora multifuncional/copiadora (ADM)</t>
  </si>
  <si>
    <t>Assessoria de recrutamento e seleção (RU)</t>
  </si>
  <si>
    <t>Assessoria jurídica (RU)</t>
  </si>
  <si>
    <t>Consultoria e treinamento de equipe (RU)</t>
  </si>
  <si>
    <t>Energia elétrica (ADM)</t>
  </si>
  <si>
    <t>Convênio jovem aprendiz (ADM)</t>
  </si>
  <si>
    <t>Correio (ADM)</t>
  </si>
  <si>
    <t>Diária de limpeza (RU)</t>
  </si>
  <si>
    <t>Energia elétrica (RU)</t>
  </si>
  <si>
    <t>Exames médicos (Adm. Local + Equipe Educação Ambiental)</t>
  </si>
  <si>
    <t>Exames médicos (funcionários - operação)</t>
  </si>
  <si>
    <t>Criação, atualização e impressão do Guia do Usuário (RU)</t>
  </si>
  <si>
    <t>IPTU (ADM)</t>
  </si>
  <si>
    <t>IPTU (RU)</t>
  </si>
  <si>
    <t>Anuidade CREA</t>
  </si>
  <si>
    <t>Material de expediente (RU)</t>
  </si>
  <si>
    <t>Material de expediente (ADM)</t>
  </si>
  <si>
    <t>Material de limpeza (RU)</t>
  </si>
  <si>
    <t>Material de limpeza (ADM)</t>
  </si>
  <si>
    <t>Diária de limpeza (ADM)</t>
  </si>
  <si>
    <t>Móveis, utensílios e equipamentos (ADM)</t>
  </si>
  <si>
    <t>Móveis, utensílios e equipamentos (RU)</t>
  </si>
  <si>
    <t xml:space="preserve">Notebook </t>
  </si>
  <si>
    <t>Mercado - Intel Core I5; 8GB DDR4; 256 SSD; monitor 15.6" FHD; Windows 10 PRO X64; garantia 3 anos</t>
  </si>
  <si>
    <t>Plano de celular</t>
  </si>
  <si>
    <t>Provedor de internet (ADM)</t>
  </si>
  <si>
    <t>Provedor e internet (RU)</t>
  </si>
  <si>
    <t>Recrutamento e seleção (ADM)</t>
  </si>
  <si>
    <t>Servidor de rede local (RU)</t>
  </si>
  <si>
    <t>Sist. p/ recebimentos por cartões de crédito/débito (habilitação/CNPJ)</t>
  </si>
  <si>
    <t>Sist. p/ recebimentos por cartões de crédito/débito (pontos adicionais de atendimento)</t>
  </si>
  <si>
    <t xml:space="preserve">Sistema de gestão da concessão </t>
  </si>
  <si>
    <t>Sistema de gestão da concessão - mensalidade</t>
  </si>
  <si>
    <t>Sistema de gestão juridico</t>
  </si>
  <si>
    <t>Sistema de gestão juridico - mensalidade</t>
  </si>
  <si>
    <t>Telefone (fixo e móvel) (ADM)</t>
  </si>
  <si>
    <t>Telefonia (fixo + móvel) (RU)</t>
  </si>
  <si>
    <t>Impressão e entrega dos carnês p/ cobrança de tarifa via correio (carta) (1 por usuário)</t>
  </si>
  <si>
    <t>Locação veículos - equipamentos - terceiros</t>
  </si>
  <si>
    <t>Contentor 1000 L</t>
  </si>
  <si>
    <t>Mercado - locação + manutenção + higienização 15 dias</t>
  </si>
  <si>
    <t>Locação - Caminhão basculante de 12m³</t>
  </si>
  <si>
    <t>Locação - Caminhão poliguindaste</t>
  </si>
  <si>
    <t>Mercado (5 dias/mês)</t>
  </si>
  <si>
    <t>Locação - Van</t>
  </si>
  <si>
    <t>Locação - Varredeira de pequeno porte</t>
  </si>
  <si>
    <t xml:space="preserve">Mercado - com operador e  todos os custos de operação </t>
  </si>
  <si>
    <t>Locação - Trator com capinadeira</t>
  </si>
  <si>
    <t>Locação - Veículo de passeio</t>
  </si>
  <si>
    <t>Disposição final RSC</t>
  </si>
  <si>
    <t>ton.</t>
  </si>
  <si>
    <t>Disposição final volumosos</t>
  </si>
  <si>
    <t>Disposição final RSS</t>
  </si>
  <si>
    <t>PEV - Energia e água</t>
  </si>
  <si>
    <t>PEV - Estudos / Licenciamentos</t>
  </si>
  <si>
    <t>PEV - Infraestrutura</t>
  </si>
  <si>
    <t>Sistema de Contentor Subterrâneo</t>
  </si>
  <si>
    <t>SCS - Infraestrutura</t>
  </si>
  <si>
    <t>Mercado - Fornecedor</t>
  </si>
  <si>
    <t>SCS - higienização e manutenção</t>
  </si>
  <si>
    <t>Unidade de Tratamento de Resíduos Sólidos</t>
  </si>
  <si>
    <t>UTRS - Galpão</t>
  </si>
  <si>
    <t>Fornecedor (900m²)</t>
  </si>
  <si>
    <t>UTRS - Tecnologia p/ produção de CBSI</t>
  </si>
  <si>
    <t xml:space="preserve">UTRS - Empilhadeira </t>
  </si>
  <si>
    <t>Mercado (2t; 5,5m)</t>
  </si>
  <si>
    <t>UTRS - Estudos / Licenciamentos</t>
  </si>
  <si>
    <t>UTRS - Energia e GLP</t>
  </si>
  <si>
    <t>UTRS - Água</t>
  </si>
  <si>
    <t>UTRS - Internet e telefonia</t>
  </si>
  <si>
    <t>UTRS - Vigilância</t>
  </si>
  <si>
    <t>UTRS - Materiais de escritório</t>
  </si>
  <si>
    <t>UTRS - Materiais de limpeza</t>
  </si>
  <si>
    <t>UTRS - Hora técnica manutenção (elétrica e mecânica)</t>
  </si>
  <si>
    <t>Ecoponto de pequeno porte</t>
  </si>
  <si>
    <t>Ecoponto com atendimento - Infraestrutura</t>
  </si>
  <si>
    <t>Ecoponto com atendimento - Energia e água</t>
  </si>
  <si>
    <t>Estudos e projetos - Ecopontos e SCS</t>
  </si>
  <si>
    <t>Investimento no Centro de Triagem existente</t>
  </si>
  <si>
    <t>Composteira doméstica</t>
  </si>
  <si>
    <t>Móveis, utensílios e equipamentos - ADM Local</t>
  </si>
  <si>
    <t>Qtde.</t>
  </si>
  <si>
    <t>Valor unitário 
(R$)</t>
  </si>
  <si>
    <t>Valor total
(R$)</t>
  </si>
  <si>
    <t>armário 02 portas com 05 prateleiras (1,60 x 0,45 x 0,90)</t>
  </si>
  <si>
    <t>armário baixo (0,80 x 0,73 x 0,42)</t>
  </si>
  <si>
    <t>armário de aço</t>
  </si>
  <si>
    <t>balcão</t>
  </si>
  <si>
    <t>bebedouro</t>
  </si>
  <si>
    <t>cadeira giratória sem braço (azul)</t>
  </si>
  <si>
    <t>cadeira fixa 4 pés</t>
  </si>
  <si>
    <t>condicionador de ar</t>
  </si>
  <si>
    <t>estante de aço</t>
  </si>
  <si>
    <t>gaveteiro (fixo p/ mesa com 2 gavetas)</t>
  </si>
  <si>
    <t>mesa (1 lugar - medindo 1,20x 0,60 x0,75, em mdf)</t>
  </si>
  <si>
    <t>microondas</t>
  </si>
  <si>
    <t>quadro de avisos</t>
  </si>
  <si>
    <t>refrigerador</t>
  </si>
  <si>
    <t>roupeiro p4 (0,50 x 0,40 x 1,95)</t>
  </si>
  <si>
    <t>sistema de monitoramento - câmeras e circuito fechado</t>
  </si>
  <si>
    <t>persiana horizontal 25mm (140 x 130)</t>
  </si>
  <si>
    <t>televisor</t>
  </si>
  <si>
    <t>Móveis, utensílios e equipamentos - RU</t>
  </si>
  <si>
    <t>Material de consumo</t>
  </si>
  <si>
    <t>SALÁRIOS E BENEFÍCIOS</t>
  </si>
  <si>
    <t>Base:</t>
  </si>
  <si>
    <t>PREMISSAS</t>
  </si>
  <si>
    <t>VT</t>
  </si>
  <si>
    <t>Preço passagem</t>
  </si>
  <si>
    <t>Encargos sociais</t>
  </si>
  <si>
    <t>Dias trabalhados por mês (Manejo de Resíduos)</t>
  </si>
  <si>
    <t xml:space="preserve">un. </t>
  </si>
  <si>
    <t>Dias trabalhados por mês (Limpeza Urbana)</t>
  </si>
  <si>
    <t>Adicional noturno</t>
  </si>
  <si>
    <t>Horas noturnas</t>
  </si>
  <si>
    <t>h</t>
  </si>
  <si>
    <t>1 hora equivale a</t>
  </si>
  <si>
    <t>Salários e benefícios</t>
  </si>
  <si>
    <t>Função</t>
  </si>
  <si>
    <t>Salário base por mês
(R$)
CCT nº registro PR000074/2025</t>
  </si>
  <si>
    <t>Salário base por hora
(R$)</t>
  </si>
  <si>
    <t>Insalubridade
(%)</t>
  </si>
  <si>
    <t>Periculosidade (%)</t>
  </si>
  <si>
    <t>Adicional Noturno
por mês
(h)</t>
  </si>
  <si>
    <t>V.A. 
(R$)</t>
  </si>
  <si>
    <t>V.T.
 (R$)</t>
  </si>
  <si>
    <t>Seguro de vida (R$)</t>
  </si>
  <si>
    <t xml:space="preserve">Coletor </t>
  </si>
  <si>
    <t xml:space="preserve">Encarregado </t>
  </si>
  <si>
    <t>Fiscal  (Manejo de Resíduos)</t>
  </si>
  <si>
    <t>Fiscal  (Limpeza Urbana)</t>
  </si>
  <si>
    <t>Motorista (Manejo de Resíduos)</t>
  </si>
  <si>
    <t>Motorista (Limpeza Urbana)</t>
  </si>
  <si>
    <t>Operador de empilhadeira</t>
  </si>
  <si>
    <t xml:space="preserve">Servente </t>
  </si>
  <si>
    <t>Servente (Roçador)</t>
  </si>
  <si>
    <t>Analista de Operações e Projetos</t>
  </si>
  <si>
    <t>Auxiliar de Atendimento</t>
  </si>
  <si>
    <t>Técnico em Segurança do Trabalho</t>
  </si>
  <si>
    <t>MENSALISTA</t>
  </si>
  <si>
    <t>Código</t>
  </si>
  <si>
    <t>GRUPO A</t>
  </si>
  <si>
    <t>A1</t>
  </si>
  <si>
    <t>INSS</t>
  </si>
  <si>
    <t>A2</t>
  </si>
  <si>
    <t>SESC</t>
  </si>
  <si>
    <t>A3</t>
  </si>
  <si>
    <t>SENAC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</si>
  <si>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</si>
  <si>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</si>
  <si>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</si>
  <si>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</si>
  <si>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</si>
  <si>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</si>
  <si>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</si>
  <si>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</si>
  <si>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</si>
  <si>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</si>
  <si>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</si>
  <si>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</si>
  <si>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A</t>
  </si>
  <si>
    <t>GRUPO B</t>
  </si>
  <si>
    <t>B1</t>
  </si>
  <si>
    <t>Repouso Semanal Remunerado</t>
  </si>
  <si>
    <t>B2</t>
  </si>
  <si>
    <t>Feriados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</si>
  <si>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</si>
  <si>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</si>
  <si>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</si>
  <si>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</si>
  <si>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</si>
  <si>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</si>
  <si>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</si>
  <si>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</si>
  <si>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</si>
  <si>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</si>
  <si>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</si>
  <si>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</si>
  <si>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>Férias Gozadas</t>
  </si>
  <si>
    <t>B10</t>
  </si>
  <si>
    <t>Salário Maternidade</t>
  </si>
  <si>
    <t>B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</si>
  <si>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</si>
  <si>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</si>
  <si>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</si>
  <si>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</si>
  <si>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</si>
  <si>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</si>
  <si>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</si>
  <si>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</si>
  <si>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</si>
  <si>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</si>
  <si>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 xml:space="preserve"> Indenização Adicional </t>
  </si>
  <si>
    <t>C</t>
  </si>
  <si>
    <t>GRUPO D</t>
  </si>
  <si>
    <t>D1</t>
  </si>
  <si>
    <t>Reincidência de Grupo A sobre Grupo B</t>
  </si>
  <si>
    <t>D2</t>
  </si>
  <si>
    <t>Reincidência de Grupo A sobre Aviso Prévio Trabalhado e Reincidência do FGTS sobre Aviso Prévio Indenizado</t>
  </si>
  <si>
    <t>D</t>
  </si>
  <si>
    <t>TOTAL (A + B + C+ D)</t>
  </si>
  <si>
    <t>Uniformes</t>
  </si>
  <si>
    <t>Valor Total por ano (R$)</t>
  </si>
  <si>
    <t>Higienização uniformes - jaqueta</t>
  </si>
  <si>
    <t>Higienização uniformes - camisa</t>
  </si>
  <si>
    <t>Higienização uniformes - calça</t>
  </si>
  <si>
    <t>Valor Unitário (R$)</t>
  </si>
  <si>
    <t xml:space="preserve">Auxiliar de fiscal </t>
  </si>
  <si>
    <t>Coletor matutino/vespertino</t>
  </si>
  <si>
    <t>Fiscal  (Manejo de Resíduos) matutino/vespertino</t>
  </si>
  <si>
    <t>Fiscal  (Manejo de Resíduos) noturno</t>
  </si>
  <si>
    <t>Motorista (Manejo de Resíduos) matutino/vespertino</t>
  </si>
  <si>
    <t>Motorista (Manejo de Resíduos) noturno</t>
  </si>
  <si>
    <t>Operador UTRS matutino/vespertino</t>
  </si>
  <si>
    <t>Operador UTRS noturno</t>
  </si>
  <si>
    <t>Servente (varrição)</t>
  </si>
  <si>
    <t>Servente (serviços gerais)</t>
  </si>
  <si>
    <t>Servente (boca de lobo)</t>
  </si>
  <si>
    <t>Servente (roçada)</t>
  </si>
  <si>
    <t>Coletor (PEV)</t>
  </si>
  <si>
    <t>Analista</t>
  </si>
  <si>
    <t>Administrativo</t>
  </si>
  <si>
    <t>EPIs</t>
  </si>
  <si>
    <t>Conjunto capa de chuva motocicleta</t>
  </si>
  <si>
    <t>Capacete motocicleta</t>
  </si>
  <si>
    <t>Servente (Aterro)</t>
  </si>
  <si>
    <t>abril/2026</t>
  </si>
  <si>
    <t>Mercado  - Caminhão basculante 4x2 com motorista e diesel</t>
  </si>
  <si>
    <t>ANP SC (19/04 a 25/04)</t>
  </si>
  <si>
    <t>DETRAN SC - Licenciamento ano 2026</t>
  </si>
  <si>
    <t>SINAPI (CAIXA) - SANTA CATARINA (vigência a partir de 2026)</t>
  </si>
  <si>
    <t>EPIS - UNIFORMES - ANO</t>
  </si>
  <si>
    <t>Adicional de periculosidade</t>
  </si>
  <si>
    <t>Adicional de insalubridade</t>
  </si>
  <si>
    <t>Taxa de Desconto</t>
  </si>
  <si>
    <t>Representação</t>
  </si>
  <si>
    <t>Valores</t>
  </si>
  <si>
    <t>Comentários</t>
  </si>
  <si>
    <t>βU</t>
  </si>
  <si>
    <t>Beta desalavancada</t>
  </si>
  <si>
    <t>Beta mercado emergentes - Damodaram</t>
  </si>
  <si>
    <t>D/E</t>
  </si>
  <si>
    <t>Alavancagem da empresa</t>
  </si>
  <si>
    <t>Alavancagem Ambiental</t>
  </si>
  <si>
    <t>T</t>
  </si>
  <si>
    <t>Impostos sobre a renda</t>
  </si>
  <si>
    <t>Regime de Tributação - Lucro Real</t>
  </si>
  <si>
    <t>βL</t>
  </si>
  <si>
    <t>Beta alavancada</t>
  </si>
  <si>
    <t>Beta alavancado</t>
  </si>
  <si>
    <t>Rf</t>
  </si>
  <si>
    <t>Taxa livre de risco</t>
  </si>
  <si>
    <t>Prêmio do Tesouro IPCA 2045</t>
  </si>
  <si>
    <t>Rm-Rf</t>
  </si>
  <si>
    <t>Prêmio de risco de mercado</t>
  </si>
  <si>
    <t>CRP</t>
  </si>
  <si>
    <t>Prêmio de risco país</t>
  </si>
  <si>
    <t>Média do EMBI+ Brazil, média dos últimos 05 anos.</t>
  </si>
  <si>
    <t>PRI</t>
  </si>
  <si>
    <t>Prêmio de risco por iliquidez</t>
  </si>
  <si>
    <t>Prêmio estimado conforme estudos da administração</t>
  </si>
  <si>
    <t>Size Premium</t>
  </si>
  <si>
    <t>Prêmio pelo tamanho</t>
  </si>
  <si>
    <t>KE</t>
  </si>
  <si>
    <t>Custo de Capital Próprio</t>
  </si>
  <si>
    <t>USD, nominal</t>
  </si>
  <si>
    <t>CPI</t>
  </si>
  <si>
    <t>Inflação americana</t>
  </si>
  <si>
    <t>Meta inflação americana CPI longo prazo</t>
  </si>
  <si>
    <t>Custo de capital próprio</t>
  </si>
  <si>
    <t>BRL, real</t>
  </si>
  <si>
    <t>Inflação brasileira</t>
  </si>
  <si>
    <t xml:space="preserve">Meta central de inflação longo prazo </t>
  </si>
  <si>
    <t>BRL, Real</t>
  </si>
  <si>
    <t>KD</t>
  </si>
  <si>
    <t>Custo médio ponderado da dívida</t>
  </si>
  <si>
    <t>CDI Longo Prazo + 2,85%, Nominal</t>
  </si>
  <si>
    <t>KD (1-T)</t>
  </si>
  <si>
    <t>Custo da dívida após impostos</t>
  </si>
  <si>
    <t>% Debt</t>
  </si>
  <si>
    <t>Proporção da dívida</t>
  </si>
  <si>
    <t>Estrutura de capital da empresa</t>
  </si>
  <si>
    <t>% Equity</t>
  </si>
  <si>
    <t>Proporção do patrimônio</t>
  </si>
  <si>
    <t>Custo da dívida</t>
  </si>
  <si>
    <t>Custo médio ponderado de capital</t>
  </si>
  <si>
    <t>Média de retorno últimos dez anos Ibovespa vs Selic</t>
  </si>
  <si>
    <t>Média do EMBI+ Brazil, média dos últimos 05 anos</t>
  </si>
  <si>
    <t>BRL, Nominal</t>
  </si>
  <si>
    <t>Pesquisa de Mercado</t>
  </si>
  <si>
    <t>Composição de custo atualizada</t>
  </si>
  <si>
    <t>Relatório Focus</t>
  </si>
  <si>
    <t xml:space="preserve">Mercado </t>
  </si>
  <si>
    <t>Mercado (50t/dia)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</si>
</sst>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6">
    <numFmt numFmtId="8" formatCode="&quot;R$&quot;\ #,##0.00;[Red]\-&quot;R$&quot;\ #,##0.00"/>
    <numFmt numFmtId="41" formatCode="_-* #,##0_-;\-* #,##0_-;_-* &quot;-&quot;_-;_-@_-"/>
    <numFmt numFmtId="43" formatCode="_-* #,##0.00_-;\-* #,##0.00_-;_-* &quot;-&quot;??_-;_-@_-"/>
    <numFmt numFmtId="164" formatCode="&quot;R$&quot;#,##0_);[Red]\(&quot;R$&quot;#,##0\)"/>
    <numFmt numFmtId="165" formatCode="&quot;R$&quot;#,##0.00_);[Red]\(&quot;R$&quot;#,##0.00\)"/>
    <numFmt numFmtId="166" formatCode="_(* #,##0_);_(* \(#,##0\);_(* &quot;-&quot;_);_(@_)"/>
    <numFmt numFmtId="167" formatCode="_(* #,##0.00_);_(* \(#,##0.00\);_(* &quot;-&quot;??_);_(@_)"/>
    <numFmt numFmtId="168" formatCode="_-&quot;£&quot;* #,##0_-;\-&quot;£&quot;* #,##0_-;_-&quot;£&quot;* &quot;-&quot;_-;_-@_-"/>
    <numFmt numFmtId="169" formatCode="_-&quot;£&quot;* #,##0.00_-;\-&quot;£&quot;* #,##0.00_-;_-&quot;£&quot;* &quot;-&quot;??_-;_-@_-"/>
    <numFmt numFmtId="170" formatCode="_(* #,##0_);* \(#,##0\);_-* &quot;-&quot;??;_-@_-"/>
    <numFmt numFmtId="171" formatCode="_(* #,##0.00_);* \(#,##0.00\);_-* &quot;-&quot;??;_-@_-"/>
    <numFmt numFmtId="172" formatCode="_(* #,##0.00%_);_(* \(#,##0.00%\);_-* &quot;-&quot;??;_-@_-"/>
    <numFmt numFmtId="173" formatCode="_(* #,##0.00\x_);_(* \(#,##0.00\x\);_-* &quot;-&quot;??;_-@_-"/>
    <numFmt numFmtId="174" formatCode="&quot;Yr &quot;0"/>
    <numFmt numFmtId="175" formatCode="&quot;Case &quot;0"/>
    <numFmt numFmtId="176" formatCode="&quot;Alert&quot;;&quot;Alert&quot;;&quot;Ok&quot;"/>
    <numFmt numFmtId="177" formatCode="&quot;Warning&quot;;&quot;Warning&quot;;&quot;Ok&quot;"/>
    <numFmt numFmtId="178" formatCode="_(* #,##0_);_(* \(#,##0\);_(* &quot;-&quot;??_);_(@_)"/>
    <numFmt numFmtId="179" formatCode="0.00&quot;x&quot;"/>
    <numFmt numFmtId="180" formatCode="General\ \+"/>
    <numFmt numFmtId="181" formatCode="0.000"/>
    <numFmt numFmtId="182" formatCode="_-* #,##0_-;\-* #,##0_-;_-* &quot;-&quot;??_-;_-@_-"/>
    <numFmt numFmtId="183" formatCode="#,##0_);\(#,##0\);\-"/>
    <numFmt numFmtId="184" formatCode="0&quot; Dias&quot;"/>
    <numFmt numFmtId="185" formatCode="[=0]&quot;Macro Ok&quot;;[&lt;&gt;0]&quot;Rodar macro geral&quot;"/>
    <numFmt numFmtId="186" formatCode="&quot;Alerta&quot;;&quot;Alerta&quot;;&quot;Ok&quot;"/>
    <numFmt numFmtId="187" formatCode="&quot;Erro&quot;;&quot;Erro&quot;;&quot;Ok&quot;"/>
    <numFmt numFmtId="188" formatCode="#.##00_);\(#.##00\);\-_);@_)"/>
    <numFmt numFmtId="189" formatCode="00000"/>
    <numFmt numFmtId="190" formatCode="0\ &quot;Anos&quot;"/>
    <numFmt numFmtId="191" formatCode="0\ &quot;Anos &quot;"/>
    <numFmt numFmtId="192" formatCode="General\ &quot;anos&quot;"/>
    <numFmt numFmtId="193" formatCode="&quot;Cenário&quot;\ General"/>
    <numFmt numFmtId="194" formatCode="&quot;Cenário&quot;\ 0"/>
    <numFmt numFmtId="195" formatCode="&quot;Invest. Antecipado&quot;;&quot;Invest. Antecipado&quot;;&quot;Invest. Normal&quot;"/>
    <numFmt numFmtId="196" formatCode="General&quot;+&quot;"/>
    <numFmt numFmtId="197" formatCode="_(* #,##0%_);_(* \(#,##0%\);_-* &quot;-&quot;??;_-@_-"/>
    <numFmt numFmtId="198" formatCode="#,##0_);\(#,##0\);\–_);&quot;–&quot;_)"/>
    <numFmt numFmtId="199" formatCode="#,##0.00_);\(#,##0.00\);\–_);&quot;–&quot;_)"/>
    <numFmt numFmtId="200" formatCode="#,##0.000_);\(#,##0.000\);\–_);&quot;–&quot;_)"/>
    <numFmt numFmtId="201" formatCode="_-* #,##0.00000_-;\-* #,##0.00000_-;_-* &quot;-&quot;??_-;_-@_-"/>
    <numFmt numFmtId="202" formatCode="&quot;Ano&quot;\ 0\ "/>
    <numFmt numFmtId="203" formatCode="#,##0.0_);\(#,##0.0\);\–_);&quot;–&quot;_)"/>
    <numFmt numFmtId="204" formatCode="0.0%"/>
    <numFmt numFmtId="205" formatCode="_-* #,##0_-;* \(#,##0\);_-* &quot;-&quot;_-;_-@_-"/>
    <numFmt numFmtId="206" formatCode="_(* #,##0.0_);* \(#,##0.0\);_-* &quot;-&quot;??;_-@_-"/>
  </numFmts>
  <fonts count="156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theme="0" tint="-0.24994659260841701"/>
      <name val="Calibri"/>
      <family val="2"/>
      <scheme val="minor"/>
    </font>
    <font>
      <sz val="20"/>
      <color theme="6"/>
      <name val="Calibri"/>
      <family val="2"/>
      <scheme val="minor"/>
    </font>
    <font>
      <sz val="11"/>
      <color theme="6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8"/>
      <color theme="0"/>
      <name val="Tw Cen MT"/>
      <family val="2"/>
    </font>
    <font>
      <i/>
      <sz val="10"/>
      <color theme="4"/>
      <name val="Calibri"/>
      <family val="2"/>
      <scheme val="minor"/>
    </font>
    <font>
      <b/>
      <sz val="12"/>
      <color theme="1" tint="0.14993743705557422"/>
      <name val="Calibri"/>
      <family val="2"/>
      <scheme val="minor"/>
    </font>
    <font>
      <sz val="11"/>
      <color theme="1" tint="0.24994659260841701"/>
      <name val="Calibri"/>
      <family val="2"/>
      <scheme val="minor"/>
    </font>
    <font>
      <u/>
      <sz val="11"/>
      <color theme="1" tint="0.24994659260841701"/>
      <name val="Calibri"/>
      <family val="2"/>
      <scheme val="minor"/>
    </font>
    <font>
      <b/>
      <sz val="17"/>
      <color theme="6"/>
      <name val="Calibri"/>
      <family val="2"/>
    </font>
    <font>
      <sz val="12"/>
      <color theme="1"/>
      <name val="Arial Narrow"/>
      <family val="2"/>
    </font>
    <font>
      <b/>
      <sz val="12"/>
      <color theme="6"/>
      <name val="Arial Narrow"/>
      <family val="2"/>
    </font>
    <font>
      <i/>
      <sz val="12"/>
      <color theme="4"/>
      <name val="Arial Narrow"/>
      <family val="2"/>
    </font>
    <font>
      <b/>
      <sz val="12"/>
      <color theme="0"/>
      <name val="Arial Narrow"/>
      <family val="2"/>
    </font>
    <font>
      <sz val="12"/>
      <color theme="4"/>
      <name val="Arial Narrow"/>
      <family val="2"/>
    </font>
    <font>
      <sz val="12"/>
      <color theme="0" tint="-0.499984740745262"/>
      <name val="Arial Narrow"/>
      <family val="2"/>
    </font>
    <font>
      <sz val="12"/>
      <name val="Arial Narrow"/>
      <family val="2"/>
    </font>
    <font>
      <b/>
      <sz val="12"/>
      <color theme="1" tint="0.14993743705557422"/>
      <name val="Arial Narrow"/>
      <family val="2"/>
    </font>
    <font>
      <sz val="12"/>
      <color theme="6"/>
      <name val="Arial Narrow"/>
      <family val="2"/>
    </font>
    <font>
      <b/>
      <sz val="12"/>
      <color theme="1"/>
      <name val="Arial Narrow"/>
      <family val="2"/>
    </font>
    <font>
      <sz val="12"/>
      <color indexed="8"/>
      <name val="Arial Narrow"/>
      <family val="2"/>
    </font>
    <font>
      <b/>
      <i/>
      <sz val="12"/>
      <color theme="1"/>
      <name val="Arial Narrow"/>
      <family val="2"/>
    </font>
    <font>
      <b/>
      <sz val="12"/>
      <name val="Arial Narrow"/>
      <family val="2"/>
    </font>
    <font>
      <sz val="12"/>
      <color theme="1" tint="0.24994659260841701"/>
      <name val="Arial Narrow"/>
      <family val="2"/>
    </font>
    <font>
      <sz val="12"/>
      <color theme="0" tint="-0.24994659260841701"/>
      <name val="Arial Narrow"/>
      <family val="2"/>
    </font>
    <font>
      <b/>
      <sz val="12"/>
      <color theme="1" tint="0.24994659260841701"/>
      <name val="Arial Narrow"/>
      <family val="2"/>
    </font>
    <font>
      <sz val="12"/>
      <color theme="1" tint="0.14993743705557422"/>
      <name val="Arial Narrow"/>
      <family val="2"/>
    </font>
    <font>
      <i/>
      <sz val="12"/>
      <color theme="1"/>
      <name val="Arial Narrow"/>
      <family val="2"/>
    </font>
    <font>
      <i/>
      <sz val="12"/>
      <color theme="0" tint="-0.499984740745262"/>
      <name val="Arial Narrow"/>
      <family val="2"/>
    </font>
    <font>
      <sz val="10"/>
      <color theme="1"/>
      <name val="EYInterstate Light"/>
      <family val="2"/>
    </font>
    <font>
      <sz val="10"/>
      <name val="Arial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 Narrow"/>
      <family val="2"/>
    </font>
    <font>
      <sz val="11"/>
      <color theme="1"/>
      <name val="Arial Narrow"/>
      <family val="2"/>
    </font>
    <font>
      <sz val="10.199999999999999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color theme="0"/>
      <name val="Arial Narrow"/>
      <family val="2"/>
    </font>
    <font>
      <b/>
      <i/>
      <sz val="10"/>
      <color theme="1"/>
      <name val="Arial Narrow"/>
      <family val="2"/>
    </font>
    <font>
      <b/>
      <i/>
      <sz val="12"/>
      <color theme="0"/>
      <name val="Arial Narrow"/>
      <family val="2"/>
    </font>
    <font>
      <b/>
      <sz val="10"/>
      <color theme="1" tint="0.24994659260841701"/>
      <name val="Arial Narrow"/>
      <family val="2"/>
    </font>
    <font>
      <sz val="10"/>
      <color theme="0" tint="-0.499984740745262"/>
      <name val="Arial Narrow"/>
      <family val="2"/>
    </font>
    <font>
      <b/>
      <sz val="10"/>
      <color rgb="FF003397"/>
      <name val="Arial Narrow"/>
      <family val="2"/>
    </font>
    <font>
      <b/>
      <sz val="10"/>
      <color theme="0" tint="-4.9989318521683403E-2"/>
      <name val="Arial Narrow"/>
      <family val="2"/>
    </font>
    <font>
      <b/>
      <u/>
      <sz val="12"/>
      <color theme="1"/>
      <name val="Arial Narrow"/>
      <family val="2"/>
    </font>
    <font>
      <sz val="8"/>
      <name val="Calibri"/>
      <family val="2"/>
      <scheme val="minor"/>
    </font>
    <font>
      <b/>
      <sz val="12"/>
      <color theme="0" tint="-0.499984740745262"/>
      <name val="Arial Narrow"/>
      <family val="2"/>
    </font>
    <font>
      <sz val="12"/>
      <color theme="1"/>
      <name val="Calibri"/>
      <family val="2"/>
      <scheme val="minor"/>
    </font>
    <font>
      <b/>
      <sz val="12"/>
      <color rgb="FFFFFFFF"/>
      <name val="Calibri"/>
      <family val="2"/>
      <scheme val="minor"/>
    </font>
    <font>
      <sz val="11"/>
      <color rgb="FF333F50"/>
      <name val="Arial"/>
      <family val="2"/>
    </font>
    <font>
      <sz val="11"/>
      <color rgb="FF4472C4"/>
      <name val="Arial"/>
      <family val="2"/>
    </font>
    <font>
      <i/>
      <sz val="11"/>
      <name val="Arial"/>
      <family val="2"/>
    </font>
    <font>
      <i/>
      <sz val="11"/>
      <color rgb="FF333F50"/>
      <name val="Arial"/>
      <family val="2"/>
    </font>
    <font>
      <sz val="11"/>
      <name val="Arial"/>
      <family val="2"/>
    </font>
    <font>
      <b/>
      <sz val="11"/>
      <color rgb="FF333F50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1"/>
      <color rgb="FF333F4F"/>
      <name val="Arial"/>
      <family val="2"/>
    </font>
    <font>
      <sz val="11"/>
      <color theme="1"/>
      <name val="Calibri Light"/>
      <family val="2"/>
      <scheme val="major"/>
    </font>
    <font>
      <b/>
      <sz val="11"/>
      <color theme="0"/>
      <name val="Arial"/>
      <family val="2"/>
    </font>
    <font>
      <b/>
      <sz val="11"/>
      <color theme="4" tint="-0.249977111117893"/>
      <name val="Arial"/>
      <family val="2"/>
    </font>
    <font>
      <b/>
      <sz val="11"/>
      <color theme="1"/>
      <name val="Arial"/>
      <family val="2"/>
    </font>
    <font>
      <sz val="11"/>
      <color theme="9"/>
      <name val="Arial"/>
      <family val="2"/>
    </font>
    <font>
      <sz val="11"/>
      <color theme="4"/>
      <name val="Arial"/>
      <family val="2"/>
    </font>
    <font>
      <b/>
      <u/>
      <sz val="11"/>
      <color theme="1"/>
      <name val="Arial"/>
      <family val="2"/>
    </font>
    <font>
      <b/>
      <sz val="11"/>
      <color theme="0"/>
      <name val="Calibri Light"/>
      <family val="2"/>
      <scheme val="major"/>
    </font>
    <font>
      <i/>
      <sz val="11"/>
      <color theme="1"/>
      <name val="Arial"/>
      <family val="2"/>
    </font>
    <font>
      <b/>
      <i/>
      <sz val="11"/>
      <color theme="1"/>
      <name val="Arial"/>
      <family val="2"/>
    </font>
    <font>
      <i/>
      <sz val="11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1"/>
      <color theme="9"/>
      <name val="Calibri Light"/>
      <family val="2"/>
      <scheme val="major"/>
    </font>
    <font>
      <b/>
      <sz val="11"/>
      <color theme="4"/>
      <name val="Arial"/>
      <family val="2"/>
    </font>
    <font>
      <sz val="11"/>
      <color theme="9"/>
      <name val="Calibri Light"/>
      <family val="2"/>
      <scheme val="major"/>
    </font>
    <font>
      <b/>
      <sz val="11"/>
      <color rgb="FF333F50"/>
      <name val="Calibri Light"/>
      <family val="2"/>
      <scheme val="major"/>
    </font>
    <font>
      <sz val="11"/>
      <color theme="0"/>
      <name val="Arial"/>
      <family val="2"/>
    </font>
    <font>
      <sz val="11"/>
      <name val="Calibri Light"/>
      <family val="2"/>
      <scheme val="major"/>
    </font>
    <font>
      <sz val="12"/>
      <color rgb="FFFF0000"/>
      <name val="Arial Narrow"/>
      <family val="2"/>
    </font>
    <font>
      <i/>
      <sz val="12"/>
      <color rgb="FFFF0000"/>
      <name val="Arial Narrow"/>
      <family val="2"/>
    </font>
    <font>
      <i/>
      <sz val="12"/>
      <name val="Arial Narrow"/>
      <family val="2"/>
    </font>
    <font>
      <b/>
      <sz val="11"/>
      <color rgb="FF0070C0"/>
      <name val="Calibri Light"/>
      <family val="2"/>
      <scheme val="major"/>
    </font>
    <font>
      <sz val="11"/>
      <color theme="0" tint="-0.249977111117893"/>
      <name val="Calibri Light"/>
      <family val="2"/>
      <scheme val="major"/>
    </font>
    <font>
      <b/>
      <sz val="11"/>
      <color theme="4"/>
      <name val="Calibri Light"/>
      <family val="2"/>
      <scheme val="major"/>
    </font>
    <font>
      <sz val="11"/>
      <color rgb="FFFF0000"/>
      <name val="Calibri Light"/>
      <family val="2"/>
      <scheme val="major"/>
    </font>
    <font>
      <b/>
      <i/>
      <sz val="11"/>
      <color rgb="FF0070C0"/>
      <name val="Calibri Light"/>
      <family val="2"/>
      <scheme val="major"/>
    </font>
    <font>
      <b/>
      <sz val="12"/>
      <color theme="1"/>
      <name val="Arial"/>
      <family val="2"/>
    </font>
    <font>
      <b/>
      <sz val="11"/>
      <color rgb="FF0070C0"/>
      <name val="Arial"/>
      <family val="2"/>
    </font>
    <font>
      <sz val="12"/>
      <color theme="1"/>
      <name val="Calibri Light"/>
      <family val="2"/>
    </font>
    <font>
      <b/>
      <i/>
      <sz val="12"/>
      <color theme="4"/>
      <name val="Arial Narrow"/>
      <family val="2"/>
    </font>
    <font>
      <sz val="11"/>
      <color rgb="FFFFC000"/>
      <name val="Arial"/>
      <family val="2"/>
    </font>
    <font>
      <i/>
      <sz val="11"/>
      <color rgb="FF333F50"/>
      <name val="Calibri Light"/>
      <family val="2"/>
      <scheme val="major"/>
    </font>
    <font>
      <sz val="11"/>
      <color rgb="FF4472C4"/>
      <name val="Calibri Light"/>
      <family val="2"/>
      <scheme val="major"/>
    </font>
    <font>
      <sz val="11"/>
      <color theme="4"/>
      <name val="Calibri Light"/>
      <family val="2"/>
      <scheme val="major"/>
    </font>
    <font>
      <sz val="28"/>
      <color rgb="FF92D050"/>
      <name val="KPMG Extralight"/>
      <family val="2"/>
    </font>
    <font>
      <sz val="20"/>
      <color rgb="FF92D050"/>
      <name val="KPMG Extralight"/>
      <family val="2"/>
    </font>
    <font>
      <sz val="10"/>
      <color rgb="FF92D050"/>
      <name val="Arial Narrow"/>
      <family val="2"/>
    </font>
    <font>
      <b/>
      <i/>
      <sz val="10"/>
      <name val="Arial Narrow"/>
      <family val="2"/>
    </font>
    <font>
      <sz val="36"/>
      <color rgb="FF92D050"/>
      <name val="KPMG Extralight"/>
      <family val="2"/>
    </font>
    <font>
      <b/>
      <sz val="11"/>
      <name val="Calibri Light"/>
      <family val="2"/>
      <scheme val="major"/>
    </font>
    <font>
      <sz val="11"/>
      <color rgb="FF000000"/>
      <name val="ArialMT"/>
    </font>
    <font>
      <sz val="12"/>
      <color rgb="FF005EB8"/>
      <name val="Arial Narrow"/>
      <family val="2"/>
    </font>
    <font>
      <sz val="11"/>
      <color rgb="FFFF0000"/>
      <name val="Arial Narrow"/>
      <family val="2"/>
    </font>
    <font>
      <sz val="9"/>
      <color theme="1"/>
      <name val="Arial Narrow"/>
      <family val="2"/>
    </font>
    <font>
      <sz val="11"/>
      <color theme="0" tint="-0.499984740745262"/>
      <name val="Arial Narrow"/>
      <family val="2"/>
    </font>
    <font>
      <b/>
      <sz val="7"/>
      <color rgb="FF202124"/>
      <name val="Arial Narrow"/>
      <family val="2"/>
    </font>
    <font>
      <b/>
      <sz val="12"/>
      <color theme="0"/>
      <name val="Calibri"/>
      <family val="2"/>
      <scheme val="minor"/>
    </font>
    <font>
      <sz val="11"/>
      <color theme="4" tint="-0.249977111117893"/>
      <name val="Calibri Light"/>
      <family val="2"/>
      <scheme val="major"/>
    </font>
    <font>
      <b/>
      <sz val="11"/>
      <color theme="4" tint="-0.249977111117893"/>
      <name val="Calibri Light"/>
      <family val="2"/>
      <scheme val="major"/>
    </font>
    <font>
      <b/>
      <sz val="11"/>
      <color theme="0" tint="-0.34998626667073579"/>
      <name val="Calibri Light"/>
      <family val="2"/>
      <scheme val="major"/>
    </font>
    <font>
      <i/>
      <sz val="11"/>
      <color rgb="FF002060"/>
      <name val="Arial"/>
      <family val="2"/>
    </font>
    <font>
      <i/>
      <sz val="11"/>
      <name val="Calibri Light"/>
      <family val="2"/>
      <scheme val="major"/>
    </font>
    <font>
      <b/>
      <i/>
      <sz val="11"/>
      <name val="Arial"/>
      <family val="2"/>
    </font>
    <font>
      <sz val="11"/>
      <color rgb="FF0070C0"/>
      <name val="Calibri Light"/>
      <family val="2"/>
      <scheme val="major"/>
    </font>
    <font>
      <sz val="11"/>
      <color theme="7" tint="-0.249977111117893"/>
      <name val="Arial"/>
      <family val="2"/>
    </font>
    <font>
      <b/>
      <i/>
      <sz val="11"/>
      <name val="Calibri Light"/>
      <family val="2"/>
      <scheme val="maj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name val="Calibri Light"/>
      <family val="2"/>
    </font>
    <font>
      <sz val="12"/>
      <name val="Calibri Light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FF0000"/>
      <name val="Calibri Light"/>
      <family val="2"/>
    </font>
    <font>
      <sz val="12"/>
      <name val="Calibri"/>
      <family val="2"/>
    </font>
    <font>
      <b/>
      <sz val="12"/>
      <color theme="1"/>
      <name val="Calibri Light"/>
      <family val="2"/>
    </font>
    <font>
      <b/>
      <i/>
      <sz val="11"/>
      <color theme="1"/>
      <name val="Calibri"/>
      <family val="2"/>
    </font>
    <font>
      <i/>
      <sz val="11"/>
      <color theme="1"/>
      <name val="Calibri"/>
      <family val="2"/>
    </font>
    <font>
      <b/>
      <sz val="12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color rgb="FF000000"/>
      <name val="Arial Narrow"/>
      <family val="2"/>
    </font>
    <font>
      <sz val="11"/>
      <color rgb="FF000000"/>
      <name val="Calibri"/>
      <family val="2"/>
    </font>
    <font>
      <sz val="8"/>
      <color theme="1"/>
      <name val="Century Gothic"/>
      <family val="2"/>
    </font>
    <font>
      <sz val="8"/>
      <color rgb="FF000000"/>
      <name val="Verdana"/>
      <family val="2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lightTrellis">
        <fgColor theme="0" tint="-0.24994659260841701"/>
        <bgColor theme="0" tint="-4.9989318521683403E-2"/>
      </patternFill>
    </fill>
    <fill>
      <patternFill patternType="darkUp">
        <fgColor theme="0" tint="-0.14996795556505021"/>
        <bgColor theme="0" tint="-4.9989318521683403E-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338D"/>
        <bgColor indexed="64"/>
      </patternFill>
    </fill>
    <fill>
      <patternFill patternType="solid">
        <fgColor rgb="FF1F0D2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darkTrellis"/>
    </fill>
    <fill>
      <patternFill patternType="solid">
        <fgColor rgb="FFFFFF00"/>
        <bgColor indexed="64"/>
      </patternFill>
    </fill>
    <fill>
      <patternFill patternType="solid">
        <fgColor rgb="FF525252"/>
        <bgColor rgb="FF000000"/>
      </patternFill>
    </fill>
    <fill>
      <patternFill patternType="solid">
        <fgColor rgb="FFDEDBD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medium">
        <color theme="6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indexed="64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/>
      <right style="thin">
        <color theme="1" tint="0.34998626667073579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theme="1" tint="0.34998626667073579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theme="0" tint="-0.499984740745262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rgb="FF0070C0"/>
      </left>
      <right/>
      <top/>
      <bottom/>
      <diagonal/>
    </border>
    <border>
      <left style="thin">
        <color rgb="FF0070C0"/>
      </left>
      <right/>
      <top/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theme="1"/>
      </left>
      <right style="hair">
        <color auto="1"/>
      </right>
      <top style="hair">
        <color theme="1"/>
      </top>
      <bottom style="hair">
        <color theme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/>
      <right/>
      <top/>
      <bottom style="thin">
        <color theme="1" tint="0.34998626667073579"/>
      </bottom>
      <diagonal/>
    </border>
    <border>
      <left/>
      <right/>
      <top style="thin">
        <color theme="1" tint="0.34998626667073579"/>
      </top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indexed="64"/>
      </top>
      <bottom style="double">
        <color indexed="64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/>
      </left>
      <right/>
      <top/>
      <bottom/>
      <diagonal/>
    </border>
    <border>
      <left/>
      <right/>
      <top style="thin">
        <color theme="0" tint="-0.34998626667073579"/>
      </top>
      <bottom style="thin">
        <color theme="0" tint="-0.249977111117893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theme="1"/>
      </left>
      <right style="hair">
        <color theme="1"/>
      </right>
      <top/>
      <bottom style="hair">
        <color theme="1"/>
      </bottom>
      <diagonal/>
    </border>
    <border>
      <left/>
      <right style="thin">
        <color theme="1" tint="0.34998626667073579"/>
      </right>
      <top/>
      <bottom style="thin">
        <color indexed="64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</borders>
  <cellStyleXfs count="94">
    <xf numFmtId="0" fontId="0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7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7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7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7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7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2" fillId="38" borderId="18" applyNumberFormat="0" applyAlignment="0" applyProtection="0"/>
    <xf numFmtId="0" fontId="30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9" fillId="0" borderId="0" applyNumberFormat="0" applyFill="0" applyAlignment="0" applyProtection="0"/>
    <xf numFmtId="0" fontId="13" fillId="33" borderId="20" applyNumberFormat="0" applyProtection="0">
      <alignment horizontal="centerContinuous"/>
    </xf>
    <xf numFmtId="0" fontId="19" fillId="37" borderId="11" applyNumberFormat="0" applyAlignment="0" applyProtection="0"/>
    <xf numFmtId="0" fontId="18" fillId="0" borderId="19" applyNumberFormat="0" applyAlignment="0" applyProtection="0"/>
    <xf numFmtId="0" fontId="23" fillId="34" borderId="10" applyNumberFormat="0" applyAlignment="0" applyProtection="0"/>
    <xf numFmtId="0" fontId="20" fillId="34" borderId="12" applyNumberFormat="0" applyAlignment="0" applyProtection="0"/>
    <xf numFmtId="0" fontId="20" fillId="35" borderId="12" applyNumberFormat="0" applyAlignment="0" applyProtection="0"/>
    <xf numFmtId="171" fontId="2" fillId="0" borderId="0" applyFont="0" applyFill="0" applyBorder="0" applyAlignment="0" applyProtection="0"/>
    <xf numFmtId="170" fontId="21" fillId="36" borderId="13" applyAlignment="0" applyProtection="0"/>
    <xf numFmtId="0" fontId="28" fillId="39" borderId="14" applyNumberFormat="0" applyAlignment="0" applyProtection="0"/>
    <xf numFmtId="0" fontId="2" fillId="0" borderId="17" applyNumberFormat="0" applyFont="0" applyFill="0" applyAlignment="0" applyProtection="0"/>
    <xf numFmtId="15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6" fillId="0" borderId="0" applyNumberFormat="0" applyBorder="0" applyAlignment="0" applyProtection="0"/>
    <xf numFmtId="166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5" fillId="40" borderId="0" applyNumberFormat="0" applyAlignment="0" applyProtection="0"/>
    <xf numFmtId="0" fontId="2" fillId="0" borderId="16" applyNumberFormat="0" applyFont="0" applyFill="0" applyAlignment="0" applyProtection="0"/>
    <xf numFmtId="170" fontId="2" fillId="0" borderId="0" applyFont="0" applyFill="0" applyBorder="0" applyAlignment="0" applyProtection="0"/>
    <xf numFmtId="0" fontId="19" fillId="37" borderId="10" applyNumberFormat="0" applyAlignment="0" applyProtection="0"/>
    <xf numFmtId="0" fontId="2" fillId="0" borderId="21"/>
    <xf numFmtId="167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0" fillId="0" borderId="0"/>
    <xf numFmtId="0" fontId="51" fillId="0" borderId="0"/>
    <xf numFmtId="0" fontId="54" fillId="0" borderId="0" applyNumberFormat="0" applyFill="0" applyBorder="0" applyAlignment="0" applyProtection="0"/>
    <xf numFmtId="167" fontId="69" fillId="0" borderId="0" applyFont="0" applyFill="0" applyBorder="0" applyAlignment="0" applyProtection="0"/>
    <xf numFmtId="0" fontId="70" fillId="49" borderId="0">
      <alignment horizontal="center" vertical="center"/>
      <protection hidden="1"/>
    </xf>
    <xf numFmtId="9" fontId="69" fillId="0" borderId="0" applyFont="0" applyFill="0" applyBorder="0" applyAlignment="0" applyProtection="0"/>
    <xf numFmtId="9" fontId="69" fillId="0" borderId="0" applyFont="0" applyFill="0" applyBorder="0" applyAlignment="0" applyProtection="0"/>
    <xf numFmtId="167" fontId="2" fillId="0" borderId="0" applyFont="0" applyFill="0" applyBorder="0" applyAlignment="0" applyProtection="0"/>
    <xf numFmtId="9" fontId="108" fillId="0" borderId="0" applyFont="0" applyFill="0" applyBorder="0" applyAlignment="0" applyProtection="0"/>
    <xf numFmtId="43" fontId="10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9" fillId="0" borderId="0" applyFont="0" applyFill="0" applyBorder="0" applyAlignment="0" applyProtection="0"/>
    <xf numFmtId="0" fontId="108" fillId="0" borderId="0"/>
    <xf numFmtId="0" fontId="126" fillId="54" borderId="0">
      <alignment horizontal="center" vertical="center"/>
      <protection hidden="1"/>
    </xf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78" fillId="0" borderId="0"/>
    <xf numFmtId="0" fontId="51" fillId="0" borderId="0"/>
    <xf numFmtId="0" fontId="154" fillId="0" borderId="0"/>
    <xf numFmtId="9" fontId="154" fillId="0" borderId="0" applyFont="0" applyFill="0" applyBorder="0" applyAlignment="0" applyProtection="0"/>
    <xf numFmtId="43" fontId="154" fillId="0" borderId="0" applyFont="0" applyFill="0" applyBorder="0" applyAlignment="0" applyProtection="0"/>
  </cellStyleXfs>
  <cellXfs count="929">
    <xf numFmtId="0" fontId="0" fillId="0" borderId="0" xfId="0"/>
    <xf numFmtId="0" fontId="31" fillId="0" borderId="0" xfId="0" applyFont="1"/>
    <xf numFmtId="0" fontId="32" fillId="0" borderId="0" xfId="42" applyFont="1"/>
    <xf numFmtId="0" fontId="33" fillId="0" borderId="0" xfId="59" applyFont="1"/>
    <xf numFmtId="0" fontId="36" fillId="0" borderId="0" xfId="58" applyFont="1"/>
    <xf numFmtId="0" fontId="38" fillId="0" borderId="0" xfId="43" applyFont="1"/>
    <xf numFmtId="0" fontId="34" fillId="40" borderId="0" xfId="65" applyFont="1"/>
    <xf numFmtId="0" fontId="31" fillId="41" borderId="0" xfId="0" applyFont="1" applyFill="1"/>
    <xf numFmtId="0" fontId="39" fillId="38" borderId="18" xfId="41" applyFont="1"/>
    <xf numFmtId="15" fontId="36" fillId="34" borderId="12" xfId="49" applyNumberFormat="1" applyFont="1"/>
    <xf numFmtId="170" fontId="37" fillId="0" borderId="19" xfId="56" applyFont="1" applyBorder="1"/>
    <xf numFmtId="0" fontId="40" fillId="0" borderId="0" xfId="0" applyFont="1"/>
    <xf numFmtId="0" fontId="31" fillId="0" borderId="0" xfId="0" applyFont="1" applyAlignment="1">
      <alignment horizontal="left"/>
    </xf>
    <xf numFmtId="170" fontId="35" fillId="0" borderId="0" xfId="56" applyFont="1" applyFill="1" applyBorder="1"/>
    <xf numFmtId="178" fontId="40" fillId="0" borderId="0" xfId="70" applyNumberFormat="1" applyFont="1" applyFill="1"/>
    <xf numFmtId="179" fontId="41" fillId="0" borderId="27" xfId="0" applyNumberFormat="1" applyFont="1" applyBorder="1" applyAlignment="1">
      <alignment horizontal="center" vertical="top"/>
    </xf>
    <xf numFmtId="170" fontId="41" fillId="0" borderId="27" xfId="56" applyFont="1" applyBorder="1" applyAlignment="1">
      <alignment horizontal="center" vertical="top"/>
    </xf>
    <xf numFmtId="0" fontId="42" fillId="0" borderId="0" xfId="0" applyFont="1"/>
    <xf numFmtId="0" fontId="43" fillId="0" borderId="0" xfId="42" applyFont="1"/>
    <xf numFmtId="0" fontId="43" fillId="0" borderId="0" xfId="58" applyFont="1"/>
    <xf numFmtId="0" fontId="43" fillId="0" borderId="0" xfId="0" applyFont="1"/>
    <xf numFmtId="178" fontId="36" fillId="0" borderId="0" xfId="58" applyNumberFormat="1" applyFont="1" applyFill="1"/>
    <xf numFmtId="0" fontId="44" fillId="39" borderId="14" xfId="53" applyFont="1"/>
    <xf numFmtId="170" fontId="44" fillId="39" borderId="14" xfId="53" applyNumberFormat="1" applyFont="1"/>
    <xf numFmtId="170" fontId="44" fillId="39" borderId="22" xfId="53" applyNumberFormat="1" applyFont="1" applyBorder="1"/>
    <xf numFmtId="170" fontId="45" fillId="36" borderId="13" xfId="52" applyFont="1"/>
    <xf numFmtId="170" fontId="44" fillId="39" borderId="23" xfId="53" applyNumberFormat="1" applyFont="1" applyBorder="1"/>
    <xf numFmtId="0" fontId="39" fillId="34" borderId="10" xfId="48" applyFont="1"/>
    <xf numFmtId="0" fontId="40" fillId="0" borderId="16" xfId="0" applyFont="1" applyBorder="1"/>
    <xf numFmtId="0" fontId="40" fillId="0" borderId="0" xfId="0" applyFont="1" applyAlignment="1">
      <alignment horizontal="left"/>
    </xf>
    <xf numFmtId="0" fontId="38" fillId="0" borderId="0" xfId="43" applyFont="1" applyAlignment="1">
      <alignment horizontal="center"/>
    </xf>
    <xf numFmtId="0" fontId="38" fillId="0" borderId="0" xfId="43" applyFont="1" applyAlignment="1">
      <alignment horizontal="left"/>
    </xf>
    <xf numFmtId="0" fontId="36" fillId="0" borderId="0" xfId="58" applyFont="1" applyAlignment="1">
      <alignment horizontal="center"/>
    </xf>
    <xf numFmtId="15" fontId="39" fillId="34" borderId="10" xfId="48" applyNumberFormat="1" applyFont="1"/>
    <xf numFmtId="170" fontId="39" fillId="34" borderId="10" xfId="48" applyNumberFormat="1" applyFont="1"/>
    <xf numFmtId="15" fontId="37" fillId="0" borderId="19" xfId="55" applyFont="1" applyBorder="1"/>
    <xf numFmtId="15" fontId="36" fillId="35" borderId="12" xfId="50" applyNumberFormat="1" applyFont="1"/>
    <xf numFmtId="15" fontId="37" fillId="0" borderId="19" xfId="47" applyNumberFormat="1" applyFont="1"/>
    <xf numFmtId="170" fontId="39" fillId="34" borderId="10" xfId="56" applyFont="1" applyFill="1" applyBorder="1"/>
    <xf numFmtId="178" fontId="40" fillId="0" borderId="0" xfId="70" applyNumberFormat="1" applyFont="1"/>
    <xf numFmtId="170" fontId="37" fillId="0" borderId="19" xfId="56" applyFont="1" applyFill="1" applyBorder="1"/>
    <xf numFmtId="178" fontId="36" fillId="0" borderId="0" xfId="58" applyNumberFormat="1" applyFont="1" applyAlignment="1">
      <alignment horizontal="center"/>
    </xf>
    <xf numFmtId="170" fontId="36" fillId="35" borderId="12" xfId="50" applyNumberFormat="1" applyFont="1"/>
    <xf numFmtId="172" fontId="37" fillId="0" borderId="19" xfId="47" applyNumberFormat="1" applyFont="1" applyAlignment="1">
      <alignment horizontal="left"/>
    </xf>
    <xf numFmtId="170" fontId="44" fillId="39" borderId="14" xfId="56" applyFont="1" applyFill="1" applyBorder="1"/>
    <xf numFmtId="0" fontId="36" fillId="0" borderId="17" xfId="58" applyFont="1" applyBorder="1"/>
    <xf numFmtId="2" fontId="39" fillId="34" borderId="10" xfId="48" applyNumberFormat="1" applyFont="1"/>
    <xf numFmtId="170" fontId="44" fillId="39" borderId="22" xfId="56" applyFont="1" applyFill="1" applyBorder="1"/>
    <xf numFmtId="0" fontId="36" fillId="0" borderId="15" xfId="58" applyFont="1" applyBorder="1"/>
    <xf numFmtId="178" fontId="36" fillId="0" borderId="0" xfId="58" applyNumberFormat="1" applyFont="1"/>
    <xf numFmtId="178" fontId="44" fillId="39" borderId="14" xfId="53" applyNumberFormat="1" applyFont="1"/>
    <xf numFmtId="0" fontId="36" fillId="0" borderId="0" xfId="58" applyFont="1" applyFill="1"/>
    <xf numFmtId="0" fontId="36" fillId="0" borderId="0" xfId="0" applyFont="1"/>
    <xf numFmtId="0" fontId="36" fillId="35" borderId="12" xfId="50" applyFont="1"/>
    <xf numFmtId="170" fontId="46" fillId="39" borderId="14" xfId="56" applyFont="1" applyFill="1" applyBorder="1"/>
    <xf numFmtId="170" fontId="40" fillId="0" borderId="16" xfId="56" applyFont="1" applyBorder="1"/>
    <xf numFmtId="0" fontId="38" fillId="0" borderId="0" xfId="43" applyFont="1" applyBorder="1"/>
    <xf numFmtId="0" fontId="47" fillId="0" borderId="0" xfId="43" applyFont="1"/>
    <xf numFmtId="170" fontId="40" fillId="0" borderId="15" xfId="56" applyFont="1" applyBorder="1"/>
    <xf numFmtId="170" fontId="46" fillId="39" borderId="14" xfId="53" applyNumberFormat="1" applyFont="1"/>
    <xf numFmtId="170" fontId="40" fillId="0" borderId="16" xfId="66" applyNumberFormat="1" applyFont="1"/>
    <xf numFmtId="0" fontId="36" fillId="0" borderId="16" xfId="58" applyFont="1" applyBorder="1"/>
    <xf numFmtId="0" fontId="40" fillId="0" borderId="17" xfId="0" applyFont="1" applyBorder="1"/>
    <xf numFmtId="170" fontId="40" fillId="0" borderId="17" xfId="54" applyNumberFormat="1" applyFont="1"/>
    <xf numFmtId="0" fontId="48" fillId="0" borderId="0" xfId="0" applyFont="1"/>
    <xf numFmtId="0" fontId="49" fillId="0" borderId="0" xfId="58" applyFont="1"/>
    <xf numFmtId="170" fontId="48" fillId="0" borderId="0" xfId="0" applyNumberFormat="1" applyFont="1"/>
    <xf numFmtId="0" fontId="36" fillId="34" borderId="12" xfId="49" applyFont="1"/>
    <xf numFmtId="170" fontId="36" fillId="34" borderId="12" xfId="56" applyFont="1" applyFill="1" applyBorder="1"/>
    <xf numFmtId="0" fontId="36" fillId="0" borderId="0" xfId="58" quotePrefix="1" applyFont="1"/>
    <xf numFmtId="170" fontId="44" fillId="39" borderId="43" xfId="56" applyFont="1" applyFill="1" applyBorder="1"/>
    <xf numFmtId="170" fontId="36" fillId="35" borderId="25" xfId="50" applyNumberFormat="1" applyFont="1" applyBorder="1"/>
    <xf numFmtId="0" fontId="36" fillId="0" borderId="28" xfId="58" quotePrefix="1" applyFont="1" applyBorder="1" applyAlignment="1">
      <alignment horizontal="center"/>
    </xf>
    <xf numFmtId="0" fontId="36" fillId="0" borderId="0" xfId="58" quotePrefix="1" applyFont="1" applyAlignment="1">
      <alignment horizontal="center"/>
    </xf>
    <xf numFmtId="0" fontId="36" fillId="0" borderId="16" xfId="58" quotePrefix="1" applyFont="1" applyBorder="1" applyAlignment="1">
      <alignment horizontal="center"/>
    </xf>
    <xf numFmtId="0" fontId="43" fillId="0" borderId="0" xfId="0" applyFont="1" applyAlignment="1">
      <alignment horizontal="center"/>
    </xf>
    <xf numFmtId="178" fontId="36" fillId="0" borderId="0" xfId="58" applyNumberFormat="1" applyFont="1" applyFill="1" applyAlignment="1">
      <alignment horizontal="center"/>
    </xf>
    <xf numFmtId="178" fontId="35" fillId="37" borderId="11" xfId="46" applyNumberFormat="1" applyFont="1"/>
    <xf numFmtId="170" fontId="37" fillId="42" borderId="13" xfId="56" applyFont="1" applyFill="1" applyBorder="1"/>
    <xf numFmtId="170" fontId="44" fillId="39" borderId="14" xfId="53" applyNumberFormat="1" applyFont="1" applyAlignment="1"/>
    <xf numFmtId="170" fontId="37" fillId="42" borderId="0" xfId="56" applyFont="1" applyFill="1" applyBorder="1"/>
    <xf numFmtId="0" fontId="36" fillId="0" borderId="28" xfId="58" applyFont="1" applyBorder="1"/>
    <xf numFmtId="0" fontId="36" fillId="0" borderId="28" xfId="58" applyFont="1" applyBorder="1" applyAlignment="1">
      <alignment horizontal="center"/>
    </xf>
    <xf numFmtId="0" fontId="36" fillId="0" borderId="16" xfId="58" applyFont="1" applyBorder="1" applyAlignment="1">
      <alignment horizontal="center"/>
    </xf>
    <xf numFmtId="0" fontId="37" fillId="0" borderId="19" xfId="47" applyFont="1"/>
    <xf numFmtId="179" fontId="37" fillId="0" borderId="19" xfId="47" applyNumberFormat="1" applyFont="1"/>
    <xf numFmtId="173" fontId="39" fillId="34" borderId="10" xfId="57" applyFont="1" applyFill="1" applyBorder="1"/>
    <xf numFmtId="0" fontId="36" fillId="0" borderId="0" xfId="58" applyFont="1" applyBorder="1"/>
    <xf numFmtId="178" fontId="44" fillId="39" borderId="29" xfId="53" applyNumberFormat="1" applyFont="1" applyBorder="1"/>
    <xf numFmtId="170" fontId="36" fillId="35" borderId="25" xfId="56" applyFont="1" applyFill="1" applyBorder="1"/>
    <xf numFmtId="170" fontId="44" fillId="39" borderId="30" xfId="56" applyFont="1" applyFill="1" applyBorder="1"/>
    <xf numFmtId="170" fontId="43" fillId="0" borderId="41" xfId="58" applyNumberFormat="1" applyFont="1" applyBorder="1"/>
    <xf numFmtId="0" fontId="40" fillId="0" borderId="41" xfId="0" applyFont="1" applyBorder="1"/>
    <xf numFmtId="178" fontId="36" fillId="0" borderId="15" xfId="58" applyNumberFormat="1" applyFont="1" applyBorder="1" applyAlignment="1">
      <alignment horizontal="center"/>
    </xf>
    <xf numFmtId="0" fontId="40" fillId="0" borderId="15" xfId="0" applyFont="1" applyBorder="1"/>
    <xf numFmtId="185" fontId="42" fillId="0" borderId="44" xfId="0" applyNumberFormat="1" applyFont="1" applyBorder="1"/>
    <xf numFmtId="186" fontId="34" fillId="41" borderId="19" xfId="47" applyNumberFormat="1" applyFont="1" applyFill="1" applyAlignment="1">
      <alignment horizontal="center"/>
    </xf>
    <xf numFmtId="178" fontId="36" fillId="0" borderId="26" xfId="58" applyNumberFormat="1" applyFont="1" applyBorder="1" applyAlignment="1">
      <alignment horizontal="center"/>
    </xf>
    <xf numFmtId="0" fontId="36" fillId="0" borderId="0" xfId="58" quotePrefix="1" applyFont="1" applyBorder="1" applyAlignment="1">
      <alignment horizontal="center"/>
    </xf>
    <xf numFmtId="0" fontId="20" fillId="35" borderId="12" xfId="50"/>
    <xf numFmtId="170" fontId="39" fillId="34" borderId="10" xfId="56" applyFont="1" applyFill="1" applyBorder="1" applyAlignment="1">
      <alignment horizontal="center"/>
    </xf>
    <xf numFmtId="176" fontId="37" fillId="0" borderId="19" xfId="47" applyNumberFormat="1" applyFont="1"/>
    <xf numFmtId="177" fontId="37" fillId="0" borderId="19" xfId="47" applyNumberFormat="1" applyFont="1"/>
    <xf numFmtId="186" fontId="37" fillId="0" borderId="19" xfId="47" applyNumberFormat="1" applyFont="1"/>
    <xf numFmtId="187" fontId="37" fillId="0" borderId="19" xfId="47" applyNumberFormat="1" applyFont="1"/>
    <xf numFmtId="182" fontId="36" fillId="34" borderId="12" xfId="70" applyNumberFormat="1" applyFont="1" applyFill="1" applyBorder="1"/>
    <xf numFmtId="178" fontId="40" fillId="0" borderId="0" xfId="70" applyNumberFormat="1" applyFont="1" applyFill="1" applyAlignment="1">
      <alignment horizontal="left" indent="2"/>
    </xf>
    <xf numFmtId="9" fontId="39" fillId="34" borderId="10" xfId="48" applyNumberFormat="1" applyFont="1"/>
    <xf numFmtId="0" fontId="36" fillId="0" borderId="26" xfId="58" applyFont="1" applyBorder="1" applyAlignment="1">
      <alignment horizontal="center"/>
    </xf>
    <xf numFmtId="170" fontId="45" fillId="36" borderId="46" xfId="56" applyFont="1" applyFill="1" applyBorder="1"/>
    <xf numFmtId="0" fontId="52" fillId="0" borderId="0" xfId="0" applyFont="1"/>
    <xf numFmtId="0" fontId="52" fillId="0" borderId="33" xfId="0" applyFont="1" applyBorder="1" applyAlignment="1">
      <alignment horizontal="center"/>
    </xf>
    <xf numFmtId="0" fontId="52" fillId="0" borderId="28" xfId="0" applyFont="1" applyBorder="1"/>
    <xf numFmtId="0" fontId="55" fillId="0" borderId="28" xfId="74" applyFont="1" applyBorder="1"/>
    <xf numFmtId="0" fontId="52" fillId="0" borderId="34" xfId="0" applyFont="1" applyBorder="1"/>
    <xf numFmtId="190" fontId="41" fillId="0" borderId="27" xfId="56" applyNumberFormat="1" applyFont="1" applyBorder="1" applyAlignment="1">
      <alignment horizontal="center" vertical="top"/>
    </xf>
    <xf numFmtId="191" fontId="41" fillId="0" borderId="27" xfId="56" applyNumberFormat="1" applyFont="1" applyBorder="1" applyAlignment="1">
      <alignment horizontal="center" vertical="top"/>
    </xf>
    <xf numFmtId="170" fontId="31" fillId="0" borderId="0" xfId="51" applyNumberFormat="1" applyFont="1"/>
    <xf numFmtId="0" fontId="56" fillId="0" borderId="0" xfId="0" applyFont="1"/>
    <xf numFmtId="0" fontId="56" fillId="0" borderId="0" xfId="58" applyFont="1"/>
    <xf numFmtId="0" fontId="34" fillId="44" borderId="0" xfId="65" applyFont="1" applyFill="1"/>
    <xf numFmtId="3" fontId="39" fillId="34" borderId="10" xfId="48" applyNumberFormat="1" applyFont="1"/>
    <xf numFmtId="192" fontId="52" fillId="0" borderId="0" xfId="0" applyNumberFormat="1" applyFont="1" applyAlignment="1">
      <alignment horizontal="right"/>
    </xf>
    <xf numFmtId="192" fontId="56" fillId="0" borderId="0" xfId="0" applyNumberFormat="1" applyFont="1" applyAlignment="1">
      <alignment horizontal="right"/>
    </xf>
    <xf numFmtId="175" fontId="34" fillId="41" borderId="0" xfId="46" applyNumberFormat="1" applyFont="1" applyFill="1" applyBorder="1" applyAlignment="1">
      <alignment horizontal="center"/>
    </xf>
    <xf numFmtId="186" fontId="34" fillId="41" borderId="0" xfId="47" applyNumberFormat="1" applyFont="1" applyFill="1" applyBorder="1" applyAlignment="1">
      <alignment horizontal="center"/>
    </xf>
    <xf numFmtId="0" fontId="59" fillId="45" borderId="0" xfId="0" applyFont="1" applyFill="1"/>
    <xf numFmtId="187" fontId="34" fillId="41" borderId="0" xfId="47" applyNumberFormat="1" applyFont="1" applyFill="1" applyBorder="1" applyAlignment="1">
      <alignment horizontal="center"/>
    </xf>
    <xf numFmtId="187" fontId="34" fillId="41" borderId="19" xfId="47" applyNumberFormat="1" applyFont="1" applyFill="1" applyAlignment="1">
      <alignment horizontal="center"/>
    </xf>
    <xf numFmtId="185" fontId="61" fillId="41" borderId="56" xfId="0" applyNumberFormat="1" applyFont="1" applyFill="1" applyBorder="1"/>
    <xf numFmtId="0" fontId="36" fillId="0" borderId="17" xfId="0" applyFont="1" applyBorder="1"/>
    <xf numFmtId="0" fontId="40" fillId="0" borderId="48" xfId="0" applyFont="1" applyBorder="1"/>
    <xf numFmtId="0" fontId="40" fillId="0" borderId="47" xfId="0" applyFont="1" applyBorder="1"/>
    <xf numFmtId="0" fontId="40" fillId="0" borderId="59" xfId="0" applyFont="1" applyBorder="1"/>
    <xf numFmtId="10" fontId="52" fillId="0" borderId="0" xfId="0" applyNumberFormat="1" applyFont="1"/>
    <xf numFmtId="188" fontId="63" fillId="35" borderId="0" xfId="50" applyNumberFormat="1" applyFont="1" applyBorder="1" applyAlignment="1">
      <alignment horizontal="left" vertical="center"/>
    </xf>
    <xf numFmtId="188" fontId="64" fillId="0" borderId="0" xfId="0" applyNumberFormat="1" applyFont="1" applyAlignment="1">
      <alignment horizontal="left" vertical="center"/>
    </xf>
    <xf numFmtId="194" fontId="62" fillId="0" borderId="0" xfId="53" applyNumberFormat="1" applyFont="1" applyFill="1" applyBorder="1" applyAlignment="1">
      <alignment horizontal="center" vertical="center"/>
    </xf>
    <xf numFmtId="193" fontId="65" fillId="34" borderId="0" xfId="0" applyNumberFormat="1" applyFont="1" applyFill="1" applyAlignment="1">
      <alignment horizontal="center"/>
    </xf>
    <xf numFmtId="0" fontId="52" fillId="47" borderId="0" xfId="0" applyFont="1" applyFill="1"/>
    <xf numFmtId="0" fontId="66" fillId="0" borderId="0" xfId="0" applyFont="1"/>
    <xf numFmtId="195" fontId="37" fillId="0" borderId="19" xfId="47" applyNumberFormat="1" applyFont="1"/>
    <xf numFmtId="170" fontId="0" fillId="0" borderId="0" xfId="0" applyNumberFormat="1"/>
    <xf numFmtId="0" fontId="31" fillId="48" borderId="0" xfId="0" applyFont="1" applyFill="1"/>
    <xf numFmtId="0" fontId="36" fillId="0" borderId="0" xfId="58" applyFont="1" applyFill="1" applyAlignment="1">
      <alignment horizontal="center"/>
    </xf>
    <xf numFmtId="170" fontId="44" fillId="0" borderId="14" xfId="53" applyNumberFormat="1" applyFont="1" applyFill="1"/>
    <xf numFmtId="0" fontId="68" fillId="0" borderId="0" xfId="58" applyFont="1" applyFill="1"/>
    <xf numFmtId="0" fontId="38" fillId="0" borderId="0" xfId="43" applyFont="1" applyFill="1"/>
    <xf numFmtId="172" fontId="37" fillId="0" borderId="19" xfId="47" applyNumberFormat="1" applyFont="1"/>
    <xf numFmtId="0" fontId="75" fillId="0" borderId="0" xfId="75" applyNumberFormat="1" applyFont="1" applyFill="1" applyBorder="1" applyAlignment="1">
      <alignment horizontal="left" vertical="center" indent="4"/>
    </xf>
    <xf numFmtId="0" fontId="75" fillId="0" borderId="0" xfId="75" applyNumberFormat="1" applyFont="1" applyFill="1" applyBorder="1" applyAlignment="1">
      <alignment horizontal="left" vertical="center" indent="3"/>
    </xf>
    <xf numFmtId="10" fontId="75" fillId="0" borderId="0" xfId="77" applyNumberFormat="1" applyFont="1" applyFill="1" applyBorder="1" applyAlignment="1">
      <alignment horizontal="center" vertical="center"/>
    </xf>
    <xf numFmtId="167" fontId="78" fillId="43" borderId="0" xfId="75" applyFont="1" applyFill="1" applyBorder="1" applyAlignment="1">
      <alignment vertical="center"/>
    </xf>
    <xf numFmtId="0" fontId="79" fillId="50" borderId="0" xfId="0" applyFont="1" applyFill="1" applyAlignment="1">
      <alignment horizontal="center" vertical="center"/>
    </xf>
    <xf numFmtId="167" fontId="78" fillId="0" borderId="0" xfId="75" applyFont="1" applyFill="1" applyBorder="1" applyAlignment="1">
      <alignment vertical="center"/>
    </xf>
    <xf numFmtId="167" fontId="80" fillId="43" borderId="0" xfId="75" applyFont="1" applyFill="1" applyBorder="1" applyAlignment="1">
      <alignment vertical="center"/>
    </xf>
    <xf numFmtId="0" fontId="81" fillId="0" borderId="0" xfId="0" applyFont="1" applyAlignment="1">
      <alignment horizontal="center" vertical="center"/>
    </xf>
    <xf numFmtId="3" fontId="81" fillId="0" borderId="0" xfId="76" applyNumberFormat="1" applyFont="1" applyFill="1">
      <alignment horizontal="center" vertical="center"/>
      <protection hidden="1"/>
    </xf>
    <xf numFmtId="0" fontId="81" fillId="0" borderId="62" xfId="0" applyFont="1" applyBorder="1" applyAlignment="1">
      <alignment horizontal="center" vertical="center"/>
    </xf>
    <xf numFmtId="182" fontId="81" fillId="0" borderId="62" xfId="0" applyNumberFormat="1" applyFont="1" applyBorder="1" applyAlignment="1">
      <alignment horizontal="center" vertical="center"/>
    </xf>
    <xf numFmtId="182" fontId="81" fillId="0" borderId="0" xfId="0" applyNumberFormat="1" applyFont="1" applyAlignment="1">
      <alignment horizontal="center" vertical="center"/>
    </xf>
    <xf numFmtId="182" fontId="78" fillId="0" borderId="0" xfId="75" applyNumberFormat="1" applyFont="1" applyFill="1" applyBorder="1" applyAlignment="1">
      <alignment vertical="center"/>
    </xf>
    <xf numFmtId="167" fontId="80" fillId="0" borderId="0" xfId="75" applyFont="1" applyFill="1" applyBorder="1" applyAlignment="1">
      <alignment vertical="center"/>
    </xf>
    <xf numFmtId="0" fontId="82" fillId="0" borderId="61" xfId="76" applyFont="1" applyFill="1" applyBorder="1" applyAlignment="1">
      <alignment horizontal="left"/>
      <protection hidden="1"/>
    </xf>
    <xf numFmtId="198" fontId="82" fillId="0" borderId="61" xfId="75" applyNumberFormat="1" applyFont="1" applyFill="1" applyBorder="1" applyAlignment="1">
      <alignment horizontal="center" wrapText="1"/>
    </xf>
    <xf numFmtId="199" fontId="82" fillId="0" borderId="0" xfId="75" applyNumberFormat="1" applyFont="1" applyFill="1" applyBorder="1" applyAlignment="1">
      <alignment horizontal="center" wrapText="1"/>
    </xf>
    <xf numFmtId="182" fontId="82" fillId="0" borderId="61" xfId="75" applyNumberFormat="1" applyFont="1" applyFill="1" applyBorder="1" applyAlignment="1">
      <alignment horizontal="center" wrapText="1"/>
    </xf>
    <xf numFmtId="198" fontId="81" fillId="0" borderId="62" xfId="0" applyNumberFormat="1" applyFont="1" applyBorder="1" applyAlignment="1">
      <alignment horizontal="center" vertical="center"/>
    </xf>
    <xf numFmtId="198" fontId="81" fillId="0" borderId="0" xfId="0" applyNumberFormat="1" applyFont="1" applyAlignment="1">
      <alignment horizontal="center" vertical="center"/>
    </xf>
    <xf numFmtId="199" fontId="77" fillId="0" borderId="0" xfId="75" applyNumberFormat="1" applyFont="1" applyFill="1" applyBorder="1" applyAlignment="1">
      <alignment horizontal="center" wrapText="1"/>
    </xf>
    <xf numFmtId="198" fontId="83" fillId="0" borderId="63" xfId="75" applyNumberFormat="1" applyFont="1" applyFill="1" applyBorder="1" applyAlignment="1">
      <alignment horizontal="center" vertical="center"/>
    </xf>
    <xf numFmtId="198" fontId="83" fillId="0" borderId="0" xfId="75" applyNumberFormat="1" applyFont="1" applyFill="1" applyBorder="1" applyAlignment="1">
      <alignment horizontal="center" vertical="center"/>
    </xf>
    <xf numFmtId="198" fontId="83" fillId="51" borderId="0" xfId="0" applyNumberFormat="1" applyFont="1" applyFill="1" applyAlignment="1">
      <alignment horizontal="center" vertical="center"/>
    </xf>
    <xf numFmtId="198" fontId="85" fillId="0" borderId="0" xfId="0" applyNumberFormat="1" applyFont="1" applyAlignment="1">
      <alignment horizontal="center"/>
    </xf>
    <xf numFmtId="198" fontId="78" fillId="0" borderId="0" xfId="0" applyNumberFormat="1" applyFont="1" applyAlignment="1">
      <alignment horizontal="center"/>
    </xf>
    <xf numFmtId="198" fontId="72" fillId="0" borderId="0" xfId="0" applyNumberFormat="1" applyFont="1" applyAlignment="1">
      <alignment horizontal="center" vertical="center"/>
    </xf>
    <xf numFmtId="198" fontId="78" fillId="0" borderId="0" xfId="0" applyNumberFormat="1" applyFont="1" applyAlignment="1">
      <alignment horizontal="center" vertical="center"/>
    </xf>
    <xf numFmtId="198" fontId="83" fillId="51" borderId="0" xfId="0" applyNumberFormat="1" applyFont="1" applyFill="1" applyAlignment="1">
      <alignment horizontal="center"/>
    </xf>
    <xf numFmtId="198" fontId="78" fillId="43" borderId="0" xfId="75" applyNumberFormat="1" applyFont="1" applyFill="1" applyBorder="1" applyAlignment="1">
      <alignment vertical="center"/>
    </xf>
    <xf numFmtId="198" fontId="78" fillId="0" borderId="0" xfId="75" applyNumberFormat="1" applyFont="1" applyFill="1" applyBorder="1" applyAlignment="1">
      <alignment vertical="center"/>
    </xf>
    <xf numFmtId="0" fontId="78" fillId="0" borderId="0" xfId="75" applyNumberFormat="1" applyFont="1" applyFill="1" applyBorder="1" applyAlignment="1">
      <alignment horizontal="left" vertical="center" indent="2"/>
    </xf>
    <xf numFmtId="0" fontId="78" fillId="0" borderId="0" xfId="75" applyNumberFormat="1" applyFont="1" applyFill="1" applyBorder="1" applyAlignment="1">
      <alignment horizontal="left" vertical="center" indent="3"/>
    </xf>
    <xf numFmtId="170" fontId="44" fillId="0" borderId="64" xfId="53" applyNumberFormat="1" applyFont="1" applyFill="1" applyBorder="1"/>
    <xf numFmtId="170" fontId="44" fillId="0" borderId="65" xfId="53" applyNumberFormat="1" applyFont="1" applyFill="1" applyBorder="1"/>
    <xf numFmtId="0" fontId="86" fillId="43" borderId="0" xfId="75" applyNumberFormat="1" applyFont="1" applyFill="1" applyBorder="1" applyAlignment="1">
      <alignment vertical="center"/>
    </xf>
    <xf numFmtId="0" fontId="87" fillId="0" borderId="0" xfId="0" applyFont="1" applyAlignment="1">
      <alignment horizontal="center" vertical="center"/>
    </xf>
    <xf numFmtId="9" fontId="78" fillId="0" borderId="0" xfId="77" applyFont="1" applyFill="1" applyBorder="1" applyAlignment="1">
      <alignment horizontal="center" vertical="center"/>
    </xf>
    <xf numFmtId="198" fontId="83" fillId="0" borderId="0" xfId="0" applyNumberFormat="1" applyFont="1" applyAlignment="1">
      <alignment horizontal="center"/>
    </xf>
    <xf numFmtId="0" fontId="83" fillId="0" borderId="0" xfId="75" applyNumberFormat="1" applyFont="1" applyFill="1" applyBorder="1" applyAlignment="1">
      <alignment horizontal="left" vertical="center" indent="1"/>
    </xf>
    <xf numFmtId="198" fontId="83" fillId="43" borderId="0" xfId="75" applyNumberFormat="1" applyFont="1" applyFill="1" applyBorder="1" applyAlignment="1">
      <alignment horizontal="center" wrapText="1"/>
    </xf>
    <xf numFmtId="0" fontId="78" fillId="0" borderId="0" xfId="75" applyNumberFormat="1" applyFont="1" applyFill="1" applyBorder="1" applyAlignment="1">
      <alignment horizontal="left" vertical="center" indent="1"/>
    </xf>
    <xf numFmtId="0" fontId="80" fillId="43" borderId="0" xfId="75" applyNumberFormat="1" applyFont="1" applyFill="1" applyBorder="1" applyAlignment="1">
      <alignment vertical="center"/>
    </xf>
    <xf numFmtId="0" fontId="81" fillId="0" borderId="61" xfId="0" applyFont="1" applyBorder="1" applyAlignment="1">
      <alignment horizontal="center" vertical="center"/>
    </xf>
    <xf numFmtId="167" fontId="97" fillId="43" borderId="0" xfId="75" applyFont="1" applyFill="1" applyBorder="1" applyAlignment="1">
      <alignment vertical="center"/>
    </xf>
    <xf numFmtId="178" fontId="36" fillId="0" borderId="0" xfId="58" quotePrefix="1" applyNumberFormat="1" applyFont="1" applyBorder="1" applyAlignment="1">
      <alignment horizontal="center"/>
    </xf>
    <xf numFmtId="170" fontId="36" fillId="0" borderId="0" xfId="58" applyNumberFormat="1" applyFont="1"/>
    <xf numFmtId="170" fontId="36" fillId="0" borderId="0" xfId="58" applyNumberFormat="1" applyFont="1" applyAlignment="1">
      <alignment horizontal="center"/>
    </xf>
    <xf numFmtId="170" fontId="33" fillId="0" borderId="0" xfId="59" applyNumberFormat="1" applyFont="1"/>
    <xf numFmtId="172" fontId="40" fillId="0" borderId="15" xfId="0" applyNumberFormat="1" applyFont="1" applyBorder="1"/>
    <xf numFmtId="178" fontId="36" fillId="0" borderId="0" xfId="58" applyNumberFormat="1" applyFont="1" applyBorder="1" applyAlignment="1">
      <alignment horizontal="center"/>
    </xf>
    <xf numFmtId="0" fontId="42" fillId="0" borderId="0" xfId="0" applyFont="1" applyAlignment="1">
      <alignment horizontal="center"/>
    </xf>
    <xf numFmtId="0" fontId="36" fillId="0" borderId="0" xfId="0" quotePrefix="1" applyFont="1" applyAlignment="1">
      <alignment horizontal="center"/>
    </xf>
    <xf numFmtId="0" fontId="36" fillId="0" borderId="0" xfId="58" applyFont="1" applyBorder="1" applyAlignment="1">
      <alignment horizontal="center"/>
    </xf>
    <xf numFmtId="178" fontId="36" fillId="0" borderId="16" xfId="58" applyNumberFormat="1" applyFont="1" applyFill="1" applyBorder="1" applyAlignment="1">
      <alignment horizontal="center"/>
    </xf>
    <xf numFmtId="178" fontId="36" fillId="0" borderId="28" xfId="58" applyNumberFormat="1" applyFont="1" applyFill="1" applyBorder="1" applyAlignment="1">
      <alignment horizontal="center"/>
    </xf>
    <xf numFmtId="178" fontId="36" fillId="0" borderId="45" xfId="58" applyNumberFormat="1" applyFont="1" applyFill="1" applyBorder="1" applyAlignment="1">
      <alignment horizontal="center"/>
    </xf>
    <xf numFmtId="178" fontId="36" fillId="0" borderId="15" xfId="58" applyNumberFormat="1" applyFont="1" applyFill="1" applyBorder="1" applyAlignment="1">
      <alignment horizontal="center"/>
    </xf>
    <xf numFmtId="178" fontId="36" fillId="0" borderId="26" xfId="58" applyNumberFormat="1" applyFont="1" applyFill="1" applyBorder="1" applyAlignment="1">
      <alignment horizontal="center"/>
    </xf>
    <xf numFmtId="178" fontId="36" fillId="0" borderId="0" xfId="58" applyNumberFormat="1" applyFont="1" applyFill="1" applyBorder="1" applyAlignment="1">
      <alignment horizontal="center"/>
    </xf>
    <xf numFmtId="0" fontId="36" fillId="0" borderId="17" xfId="58" applyFont="1" applyBorder="1" applyAlignment="1">
      <alignment horizontal="center"/>
    </xf>
    <xf numFmtId="170" fontId="44" fillId="39" borderId="43" xfId="53" applyNumberFormat="1" applyFont="1" applyBorder="1"/>
    <xf numFmtId="170" fontId="44" fillId="39" borderId="66" xfId="53" applyNumberFormat="1" applyFont="1" applyBorder="1"/>
    <xf numFmtId="170" fontId="40" fillId="0" borderId="17" xfId="66" applyNumberFormat="1" applyFont="1" applyBorder="1"/>
    <xf numFmtId="170" fontId="40" fillId="0" borderId="17" xfId="0" applyNumberFormat="1" applyFont="1" applyBorder="1"/>
    <xf numFmtId="0" fontId="40" fillId="0" borderId="28" xfId="0" applyFont="1" applyBorder="1"/>
    <xf numFmtId="0" fontId="36" fillId="0" borderId="67" xfId="58" applyFont="1" applyBorder="1"/>
    <xf numFmtId="0" fontId="39" fillId="34" borderId="10" xfId="48" applyFont="1" applyAlignment="1"/>
    <xf numFmtId="167" fontId="0" fillId="0" borderId="0" xfId="0" applyNumberFormat="1"/>
    <xf numFmtId="173" fontId="39" fillId="34" borderId="10" xfId="57" applyFont="1" applyFill="1" applyBorder="1" applyAlignment="1"/>
    <xf numFmtId="170" fontId="20" fillId="35" borderId="12" xfId="50" applyNumberFormat="1"/>
    <xf numFmtId="0" fontId="48" fillId="0" borderId="0" xfId="0" quotePrefix="1" applyFont="1" applyAlignment="1">
      <alignment horizontal="left" indent="2"/>
    </xf>
    <xf numFmtId="0" fontId="98" fillId="0" borderId="0" xfId="0" applyFont="1"/>
    <xf numFmtId="170" fontId="99" fillId="0" borderId="0" xfId="0" applyNumberFormat="1" applyFont="1"/>
    <xf numFmtId="0" fontId="77" fillId="0" borderId="62" xfId="76" applyFont="1" applyFill="1" applyBorder="1" applyAlignment="1">
      <alignment horizontal="left" vertical="center"/>
      <protection hidden="1"/>
    </xf>
    <xf numFmtId="166" fontId="83" fillId="0" borderId="0" xfId="75" applyNumberFormat="1" applyFont="1" applyFill="1" applyBorder="1" applyAlignment="1">
      <alignment horizontal="center" vertical="center"/>
    </xf>
    <xf numFmtId="0" fontId="75" fillId="0" borderId="61" xfId="75" applyNumberFormat="1" applyFont="1" applyFill="1" applyBorder="1" applyAlignment="1">
      <alignment horizontal="left" vertical="center" indent="1"/>
    </xf>
    <xf numFmtId="198" fontId="78" fillId="43" borderId="61" xfId="75" applyNumberFormat="1" applyFont="1" applyFill="1" applyBorder="1" applyAlignment="1">
      <alignment horizontal="center" wrapText="1"/>
    </xf>
    <xf numFmtId="198" fontId="78" fillId="0" borderId="0" xfId="75" applyNumberFormat="1" applyFont="1" applyFill="1" applyBorder="1" applyAlignment="1">
      <alignment horizontal="center" wrapText="1"/>
    </xf>
    <xf numFmtId="10" fontId="84" fillId="43" borderId="0" xfId="75" applyNumberFormat="1" applyFont="1" applyFill="1" applyBorder="1" applyAlignment="1">
      <alignment vertical="center"/>
    </xf>
    <xf numFmtId="167" fontId="75" fillId="43" borderId="0" xfId="75" applyFont="1" applyFill="1" applyBorder="1" applyAlignment="1">
      <alignment vertical="center"/>
    </xf>
    <xf numFmtId="0" fontId="78" fillId="0" borderId="61" xfId="75" applyNumberFormat="1" applyFont="1" applyFill="1" applyBorder="1" applyAlignment="1">
      <alignment horizontal="left" vertical="center" indent="1"/>
    </xf>
    <xf numFmtId="0" fontId="77" fillId="0" borderId="0" xfId="76" applyFont="1" applyFill="1" applyAlignment="1">
      <alignment horizontal="left" vertical="center"/>
      <protection hidden="1"/>
    </xf>
    <xf numFmtId="166" fontId="83" fillId="0" borderId="63" xfId="75" applyNumberFormat="1" applyFont="1" applyFill="1" applyBorder="1" applyAlignment="1">
      <alignment horizontal="center" vertical="center"/>
    </xf>
    <xf numFmtId="178" fontId="36" fillId="0" borderId="17" xfId="58" applyNumberFormat="1" applyFont="1" applyFill="1" applyBorder="1" applyAlignment="1">
      <alignment horizontal="center"/>
    </xf>
    <xf numFmtId="0" fontId="37" fillId="0" borderId="0" xfId="0" applyFont="1"/>
    <xf numFmtId="0" fontId="37" fillId="0" borderId="0" xfId="58" applyFont="1" applyFill="1"/>
    <xf numFmtId="0" fontId="14" fillId="0" borderId="0" xfId="0" applyFont="1"/>
    <xf numFmtId="0" fontId="37" fillId="0" borderId="0" xfId="58" applyFont="1"/>
    <xf numFmtId="0" fontId="100" fillId="0" borderId="0" xfId="0" applyFont="1"/>
    <xf numFmtId="171" fontId="39" fillId="0" borderId="0" xfId="56" applyNumberFormat="1" applyFont="1" applyFill="1" applyBorder="1"/>
    <xf numFmtId="0" fontId="36" fillId="0" borderId="0" xfId="0" applyFont="1" applyAlignment="1">
      <alignment horizontal="center"/>
    </xf>
    <xf numFmtId="167" fontId="101" fillId="0" borderId="0" xfId="75" applyFont="1" applyFill="1" applyBorder="1" applyAlignment="1">
      <alignment vertical="center"/>
    </xf>
    <xf numFmtId="167" fontId="80" fillId="43" borderId="0" xfId="75" applyFont="1" applyFill="1" applyBorder="1" applyAlignment="1">
      <alignment horizontal="center" vertical="center"/>
    </xf>
    <xf numFmtId="167" fontId="101" fillId="0" borderId="0" xfId="75" applyFont="1" applyFill="1" applyBorder="1" applyAlignment="1">
      <alignment horizontal="center" vertical="center"/>
    </xf>
    <xf numFmtId="167" fontId="102" fillId="43" borderId="0" xfId="75" applyFont="1" applyFill="1" applyBorder="1" applyAlignment="1">
      <alignment vertical="center"/>
    </xf>
    <xf numFmtId="167" fontId="103" fillId="43" borderId="0" xfId="75" applyFont="1" applyFill="1" applyBorder="1" applyAlignment="1">
      <alignment horizontal="center" vertical="center"/>
    </xf>
    <xf numFmtId="182" fontId="78" fillId="43" borderId="0" xfId="75" applyNumberFormat="1" applyFont="1" applyFill="1" applyBorder="1" applyAlignment="1">
      <alignment vertical="center"/>
    </xf>
    <xf numFmtId="170" fontId="98" fillId="36" borderId="13" xfId="52" applyFont="1"/>
    <xf numFmtId="172" fontId="98" fillId="34" borderId="10" xfId="48" applyNumberFormat="1" applyFont="1"/>
    <xf numFmtId="41" fontId="83" fillId="0" borderId="0" xfId="75" applyNumberFormat="1" applyFont="1" applyFill="1" applyBorder="1" applyAlignment="1">
      <alignment horizontal="center" vertical="center"/>
    </xf>
    <xf numFmtId="182" fontId="78" fillId="43" borderId="61" xfId="75" applyNumberFormat="1" applyFont="1" applyFill="1" applyBorder="1" applyAlignment="1">
      <alignment horizontal="center" wrapText="1"/>
    </xf>
    <xf numFmtId="198" fontId="83" fillId="0" borderId="0" xfId="0" applyNumberFormat="1" applyFont="1" applyAlignment="1">
      <alignment horizontal="center" vertical="center"/>
    </xf>
    <xf numFmtId="182" fontId="78" fillId="43" borderId="0" xfId="75" applyNumberFormat="1" applyFont="1" applyFill="1" applyBorder="1" applyAlignment="1">
      <alignment horizontal="center" wrapText="1"/>
    </xf>
    <xf numFmtId="182" fontId="78" fillId="0" borderId="0" xfId="75" applyNumberFormat="1" applyFont="1" applyFill="1" applyBorder="1" applyAlignment="1">
      <alignment horizontal="center" wrapText="1"/>
    </xf>
    <xf numFmtId="199" fontId="78" fillId="0" borderId="0" xfId="75" applyNumberFormat="1" applyFont="1" applyFill="1" applyBorder="1" applyAlignment="1">
      <alignment horizontal="center" wrapText="1"/>
    </xf>
    <xf numFmtId="199" fontId="80" fillId="0" borderId="0" xfId="75" applyNumberFormat="1" applyFont="1" applyFill="1" applyBorder="1" applyAlignment="1">
      <alignment horizontal="center" wrapText="1"/>
    </xf>
    <xf numFmtId="0" fontId="75" fillId="0" borderId="0" xfId="75" applyNumberFormat="1" applyFont="1" applyFill="1" applyBorder="1" applyAlignment="1">
      <alignment horizontal="left" vertical="center" indent="2"/>
    </xf>
    <xf numFmtId="182" fontId="72" fillId="0" borderId="0" xfId="0" applyNumberFormat="1" applyFont="1" applyAlignment="1">
      <alignment horizontal="center" vertical="center"/>
    </xf>
    <xf numFmtId="0" fontId="75" fillId="0" borderId="0" xfId="75" applyNumberFormat="1" applyFont="1" applyFill="1" applyBorder="1" applyAlignment="1">
      <alignment horizontal="left" vertical="center" indent="1"/>
    </xf>
    <xf numFmtId="204" fontId="85" fillId="0" borderId="0" xfId="78" applyNumberFormat="1" applyFont="1" applyFill="1" applyBorder="1" applyAlignment="1">
      <alignment horizontal="center"/>
    </xf>
    <xf numFmtId="0" fontId="77" fillId="0" borderId="0" xfId="75" applyNumberFormat="1" applyFont="1" applyFill="1" applyBorder="1" applyAlignment="1">
      <alignment horizontal="left" vertical="center" indent="1"/>
    </xf>
    <xf numFmtId="198" fontId="77" fillId="0" borderId="0" xfId="76" applyNumberFormat="1" applyFont="1" applyFill="1">
      <alignment horizontal="center" vertical="center"/>
      <protection hidden="1"/>
    </xf>
    <xf numFmtId="9" fontId="72" fillId="0" borderId="0" xfId="77" applyFont="1" applyFill="1" applyBorder="1" applyAlignment="1">
      <alignment horizontal="center" vertical="center"/>
    </xf>
    <xf numFmtId="198" fontId="85" fillId="0" borderId="0" xfId="78" applyNumberFormat="1" applyFont="1" applyFill="1" applyBorder="1" applyAlignment="1">
      <alignment horizontal="center"/>
    </xf>
    <xf numFmtId="178" fontId="36" fillId="0" borderId="0" xfId="58" applyNumberFormat="1" applyFont="1" applyFill="1" applyAlignment="1">
      <alignment horizontal="left"/>
    </xf>
    <xf numFmtId="178" fontId="36" fillId="0" borderId="0" xfId="58" applyNumberFormat="1" applyFont="1" applyFill="1" applyAlignment="1"/>
    <xf numFmtId="0" fontId="1" fillId="0" borderId="0" xfId="0" applyFont="1"/>
    <xf numFmtId="0" fontId="1" fillId="0" borderId="31" xfId="0" applyFont="1" applyBorder="1"/>
    <xf numFmtId="0" fontId="1" fillId="0" borderId="32" xfId="0" applyFont="1" applyBorder="1"/>
    <xf numFmtId="0" fontId="1" fillId="0" borderId="33" xfId="0" applyFont="1" applyBorder="1"/>
    <xf numFmtId="0" fontId="1" fillId="0" borderId="28" xfId="0" applyFont="1" applyBorder="1"/>
    <xf numFmtId="0" fontId="1" fillId="0" borderId="34" xfId="0" applyFont="1" applyBorder="1"/>
    <xf numFmtId="170" fontId="1" fillId="0" borderId="0" xfId="56" applyFont="1" applyBorder="1"/>
    <xf numFmtId="170" fontId="1" fillId="0" borderId="0" xfId="56" applyFont="1"/>
    <xf numFmtId="0" fontId="1" fillId="0" borderId="37" xfId="0" applyFont="1" applyBorder="1"/>
    <xf numFmtId="0" fontId="1" fillId="0" borderId="16" xfId="0" applyFont="1" applyBorder="1"/>
    <xf numFmtId="0" fontId="1" fillId="0" borderId="38" xfId="0" applyFont="1" applyBorder="1"/>
    <xf numFmtId="191" fontId="1" fillId="0" borderId="0" xfId="0" applyNumberFormat="1" applyFont="1"/>
    <xf numFmtId="170" fontId="1" fillId="0" borderId="0" xfId="0" applyNumberFormat="1" applyFont="1"/>
    <xf numFmtId="171" fontId="1" fillId="0" borderId="28" xfId="0" applyNumberFormat="1" applyFont="1" applyBorder="1"/>
    <xf numFmtId="0" fontId="1" fillId="41" borderId="0" xfId="0" applyFont="1" applyFill="1"/>
    <xf numFmtId="15" fontId="1" fillId="0" borderId="0" xfId="55" applyFont="1"/>
    <xf numFmtId="0" fontId="1" fillId="0" borderId="0" xfId="56" applyNumberFormat="1" applyFont="1" applyAlignment="1">
      <alignment horizontal="right"/>
    </xf>
    <xf numFmtId="202" fontId="1" fillId="0" borderId="0" xfId="56" applyNumberFormat="1" applyFont="1" applyAlignment="1">
      <alignment horizontal="right"/>
    </xf>
    <xf numFmtId="10" fontId="1" fillId="0" borderId="0" xfId="56" applyNumberFormat="1" applyFont="1"/>
    <xf numFmtId="9" fontId="1" fillId="0" borderId="0" xfId="56" applyNumberFormat="1" applyFont="1"/>
    <xf numFmtId="167" fontId="1" fillId="0" borderId="0" xfId="0" applyNumberFormat="1" applyFont="1"/>
    <xf numFmtId="170" fontId="1" fillId="0" borderId="16" xfId="56" applyFont="1" applyBorder="1"/>
    <xf numFmtId="0" fontId="1" fillId="0" borderId="0" xfId="56" applyNumberFormat="1" applyFont="1"/>
    <xf numFmtId="170" fontId="1" fillId="0" borderId="15" xfId="56" applyFont="1" applyBorder="1"/>
    <xf numFmtId="170" fontId="1" fillId="0" borderId="15" xfId="56" applyFont="1" applyFill="1" applyBorder="1"/>
    <xf numFmtId="170" fontId="1" fillId="0" borderId="39" xfId="56" applyFont="1" applyBorder="1" applyAlignment="1"/>
    <xf numFmtId="170" fontId="1" fillId="0" borderId="15" xfId="56" applyFont="1" applyBorder="1" applyAlignment="1"/>
    <xf numFmtId="170" fontId="1" fillId="0" borderId="0" xfId="56" applyFont="1" applyFill="1"/>
    <xf numFmtId="170" fontId="1" fillId="0" borderId="17" xfId="56" applyFont="1" applyFill="1" applyBorder="1"/>
    <xf numFmtId="170" fontId="1" fillId="0" borderId="17" xfId="54" applyNumberFormat="1" applyFont="1"/>
    <xf numFmtId="178" fontId="1" fillId="0" borderId="0" xfId="70" applyNumberFormat="1" applyFont="1" applyFill="1"/>
    <xf numFmtId="171" fontId="1" fillId="0" borderId="0" xfId="0" applyNumberFormat="1" applyFont="1"/>
    <xf numFmtId="14" fontId="1" fillId="0" borderId="0" xfId="0" applyNumberFormat="1" applyFont="1"/>
    <xf numFmtId="9" fontId="1" fillId="0" borderId="0" xfId="0" applyNumberFormat="1" applyFont="1"/>
    <xf numFmtId="170" fontId="1" fillId="0" borderId="20" xfId="56" applyFont="1" applyBorder="1" applyAlignment="1">
      <alignment horizontal="center"/>
    </xf>
    <xf numFmtId="178" fontId="1" fillId="0" borderId="0" xfId="70" applyNumberFormat="1" applyFont="1" applyFill="1" applyAlignment="1">
      <alignment horizontal="left" indent="2"/>
    </xf>
    <xf numFmtId="170" fontId="1" fillId="0" borderId="0" xfId="56" applyFont="1" applyBorder="1" applyAlignment="1">
      <alignment horizontal="center"/>
    </xf>
    <xf numFmtId="0" fontId="1" fillId="0" borderId="0" xfId="0" applyFont="1" applyAlignment="1">
      <alignment horizontal="left"/>
    </xf>
    <xf numFmtId="10" fontId="1" fillId="0" borderId="0" xfId="0" applyNumberFormat="1" applyFont="1"/>
    <xf numFmtId="15" fontId="1" fillId="0" borderId="20" xfId="0" applyNumberFormat="1" applyFont="1" applyBorder="1" applyAlignment="1">
      <alignment horizontal="left"/>
    </xf>
    <xf numFmtId="10" fontId="1" fillId="0" borderId="20" xfId="71" applyNumberFormat="1" applyFont="1" applyFill="1" applyBorder="1" applyAlignment="1"/>
    <xf numFmtId="0" fontId="1" fillId="0" borderId="0" xfId="0" quotePrefix="1" applyFont="1"/>
    <xf numFmtId="15" fontId="1" fillId="0" borderId="0" xfId="55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55" applyNumberFormat="1" applyFont="1"/>
    <xf numFmtId="202" fontId="1" fillId="0" borderId="0" xfId="55" applyNumberFormat="1" applyFont="1"/>
    <xf numFmtId="2" fontId="1" fillId="0" borderId="0" xfId="0" applyNumberFormat="1" applyFont="1"/>
    <xf numFmtId="181" fontId="1" fillId="0" borderId="0" xfId="0" applyNumberFormat="1" applyFont="1"/>
    <xf numFmtId="0" fontId="1" fillId="0" borderId="0" xfId="0" applyFont="1" applyAlignment="1">
      <alignment horizontal="left" indent="2"/>
    </xf>
    <xf numFmtId="0" fontId="1" fillId="0" borderId="0" xfId="0" applyFont="1" applyAlignment="1">
      <alignment horizontal="left" indent="4"/>
    </xf>
    <xf numFmtId="0" fontId="1" fillId="0" borderId="0" xfId="72" applyFont="1"/>
    <xf numFmtId="170" fontId="1" fillId="0" borderId="16" xfId="0" applyNumberFormat="1" applyFont="1" applyBorder="1"/>
    <xf numFmtId="171" fontId="1" fillId="0" borderId="0" xfId="56" applyNumberFormat="1" applyFont="1"/>
    <xf numFmtId="178" fontId="1" fillId="0" borderId="0" xfId="0" applyNumberFormat="1" applyFont="1"/>
    <xf numFmtId="178" fontId="1" fillId="0" borderId="0" xfId="70" applyNumberFormat="1" applyFont="1" applyAlignment="1">
      <alignment horizontal="left" indent="2"/>
    </xf>
    <xf numFmtId="202" fontId="1" fillId="0" borderId="0" xfId="0" applyNumberFormat="1" applyFont="1"/>
    <xf numFmtId="170" fontId="1" fillId="0" borderId="16" xfId="56" applyFont="1" applyFill="1" applyBorder="1"/>
    <xf numFmtId="0" fontId="1" fillId="0" borderId="17" xfId="0" applyFont="1" applyBorder="1" applyAlignment="1">
      <alignment horizontal="left" indent="2"/>
    </xf>
    <xf numFmtId="170" fontId="1" fillId="0" borderId="17" xfId="0" applyNumberFormat="1" applyFont="1" applyBorder="1"/>
    <xf numFmtId="170" fontId="1" fillId="0" borderId="17" xfId="56" applyFont="1" applyBorder="1"/>
    <xf numFmtId="202" fontId="1" fillId="0" borderId="0" xfId="0" applyNumberFormat="1" applyFont="1" applyAlignment="1">
      <alignment horizontal="right"/>
    </xf>
    <xf numFmtId="170" fontId="1" fillId="0" borderId="28" xfId="56" applyFont="1" applyBorder="1"/>
    <xf numFmtId="183" fontId="1" fillId="0" borderId="28" xfId="0" applyNumberFormat="1" applyFont="1" applyBorder="1" applyAlignment="1">
      <alignment horizontal="right"/>
    </xf>
    <xf numFmtId="0" fontId="1" fillId="0" borderId="15" xfId="0" applyFont="1" applyBorder="1"/>
    <xf numFmtId="183" fontId="1" fillId="0" borderId="15" xfId="0" applyNumberFormat="1" applyFont="1" applyBorder="1" applyAlignment="1">
      <alignment horizontal="right"/>
    </xf>
    <xf numFmtId="183" fontId="1" fillId="0" borderId="0" xfId="0" applyNumberFormat="1" applyFont="1" applyAlignment="1">
      <alignment horizontal="right"/>
    </xf>
    <xf numFmtId="0" fontId="1" fillId="0" borderId="28" xfId="0" applyFont="1" applyBorder="1" applyAlignment="1">
      <alignment horizontal="left" indent="2"/>
    </xf>
    <xf numFmtId="170" fontId="1" fillId="43" borderId="0" xfId="56" applyFont="1" applyFill="1" applyBorder="1" applyAlignment="1">
      <alignment horizontal="center" vertical="center"/>
    </xf>
    <xf numFmtId="178" fontId="1" fillId="0" borderId="16" xfId="70" applyNumberFormat="1" applyFont="1" applyFill="1" applyBorder="1" applyAlignment="1">
      <alignment horizontal="left" indent="2"/>
    </xf>
    <xf numFmtId="178" fontId="1" fillId="0" borderId="0" xfId="70" applyNumberFormat="1" applyFont="1" applyFill="1" applyBorder="1" applyAlignment="1">
      <alignment horizontal="left" indent="2"/>
    </xf>
    <xf numFmtId="170" fontId="1" fillId="0" borderId="0" xfId="56" applyFont="1" applyFill="1" applyBorder="1"/>
    <xf numFmtId="170" fontId="1" fillId="0" borderId="16" xfId="56" quotePrefix="1" applyFont="1" applyBorder="1"/>
    <xf numFmtId="178" fontId="1" fillId="0" borderId="17" xfId="70" applyNumberFormat="1" applyFont="1" applyFill="1" applyBorder="1" applyAlignment="1">
      <alignment horizontal="left" indent="2"/>
    </xf>
    <xf numFmtId="164" fontId="1" fillId="0" borderId="0" xfId="0" applyNumberFormat="1" applyFont="1"/>
    <xf numFmtId="165" fontId="1" fillId="0" borderId="0" xfId="0" applyNumberFormat="1" applyFont="1"/>
    <xf numFmtId="0" fontId="1" fillId="0" borderId="0" xfId="0" applyFont="1" applyAlignment="1">
      <alignment horizontal="left" indent="1"/>
    </xf>
    <xf numFmtId="170" fontId="1" fillId="0" borderId="0" xfId="56" applyFont="1" applyAlignment="1">
      <alignment horizontal="left" indent="2"/>
    </xf>
    <xf numFmtId="0" fontId="1" fillId="0" borderId="16" xfId="0" applyFont="1" applyBorder="1" applyAlignment="1">
      <alignment horizontal="left" indent="2"/>
    </xf>
    <xf numFmtId="15" fontId="1" fillId="0" borderId="20" xfId="0" applyNumberFormat="1" applyFont="1" applyBorder="1" applyAlignment="1">
      <alignment horizontal="center"/>
    </xf>
    <xf numFmtId="182" fontId="1" fillId="0" borderId="0" xfId="70" applyNumberFormat="1" applyFont="1" applyAlignment="1"/>
    <xf numFmtId="170" fontId="1" fillId="0" borderId="0" xfId="56" applyFont="1" applyAlignment="1"/>
    <xf numFmtId="178" fontId="1" fillId="0" borderId="0" xfId="0" applyNumberFormat="1" applyFont="1" applyAlignment="1">
      <alignment horizontal="left" indent="2"/>
    </xf>
    <xf numFmtId="0" fontId="1" fillId="0" borderId="28" xfId="0" applyFont="1" applyBorder="1" applyAlignment="1">
      <alignment horizontal="left" indent="4"/>
    </xf>
    <xf numFmtId="178" fontId="1" fillId="0" borderId="15" xfId="70" applyNumberFormat="1" applyFont="1" applyFill="1" applyBorder="1" applyAlignment="1">
      <alignment horizontal="left" indent="2"/>
    </xf>
    <xf numFmtId="178" fontId="1" fillId="0" borderId="15" xfId="0" applyNumberFormat="1" applyFont="1" applyBorder="1"/>
    <xf numFmtId="179" fontId="1" fillId="0" borderId="0" xfId="56" applyNumberFormat="1" applyFont="1"/>
    <xf numFmtId="173" fontId="1" fillId="0" borderId="0" xfId="57" applyFont="1"/>
    <xf numFmtId="15" fontId="1" fillId="0" borderId="0" xfId="0" applyNumberFormat="1" applyFont="1"/>
    <xf numFmtId="0" fontId="1" fillId="0" borderId="40" xfId="0" applyFont="1" applyBorder="1" applyAlignment="1">
      <alignment horizontal="left" indent="2"/>
    </xf>
    <xf numFmtId="0" fontId="1" fillId="0" borderId="42" xfId="0" applyFont="1" applyBorder="1"/>
    <xf numFmtId="170" fontId="1" fillId="0" borderId="24" xfId="56" applyFont="1" applyBorder="1"/>
    <xf numFmtId="0" fontId="1" fillId="0" borderId="17" xfId="0" applyFont="1" applyBorder="1"/>
    <xf numFmtId="170" fontId="1" fillId="0" borderId="57" xfId="0" applyNumberFormat="1" applyFont="1" applyBorder="1"/>
    <xf numFmtId="170" fontId="1" fillId="0" borderId="58" xfId="0" applyNumberFormat="1" applyFont="1" applyBorder="1"/>
    <xf numFmtId="0" fontId="1" fillId="0" borderId="60" xfId="0" applyFont="1" applyBorder="1" applyAlignment="1">
      <alignment horizontal="center"/>
    </xf>
    <xf numFmtId="0" fontId="1" fillId="41" borderId="0" xfId="0" applyFont="1" applyFill="1" applyAlignment="1">
      <alignment horizontal="left"/>
    </xf>
    <xf numFmtId="20" fontId="1" fillId="0" borderId="0" xfId="0" applyNumberFormat="1" applyFont="1"/>
    <xf numFmtId="197" fontId="1" fillId="0" borderId="0" xfId="0" applyNumberFormat="1" applyFont="1"/>
    <xf numFmtId="9" fontId="83" fillId="0" borderId="0" xfId="80" applyFont="1" applyFill="1" applyAlignment="1">
      <alignment horizontal="center" vertical="center"/>
    </xf>
    <xf numFmtId="182" fontId="78" fillId="0" borderId="61" xfId="75" applyNumberFormat="1" applyFont="1" applyFill="1" applyBorder="1" applyAlignment="1">
      <alignment horizontal="center" wrapText="1"/>
    </xf>
    <xf numFmtId="0" fontId="78" fillId="0" borderId="0" xfId="80" applyNumberFormat="1" applyFont="1" applyFill="1" applyAlignment="1">
      <alignment horizontal="center" vertical="center"/>
    </xf>
    <xf numFmtId="0" fontId="109" fillId="0" borderId="0" xfId="59" applyFont="1"/>
    <xf numFmtId="0" fontId="1" fillId="48" borderId="0" xfId="0" applyFont="1" applyFill="1"/>
    <xf numFmtId="170" fontId="40" fillId="0" borderId="0" xfId="0" applyNumberFormat="1" applyFont="1"/>
    <xf numFmtId="9" fontId="78" fillId="43" borderId="0" xfId="80" applyFont="1" applyFill="1" applyBorder="1" applyAlignment="1">
      <alignment horizontal="center" vertical="center"/>
    </xf>
    <xf numFmtId="170" fontId="1" fillId="0" borderId="0" xfId="56" applyFont="1" applyAlignment="1">
      <alignment horizontal="center"/>
    </xf>
    <xf numFmtId="202" fontId="1" fillId="0" borderId="0" xfId="56" applyNumberFormat="1" applyFont="1" applyAlignment="1">
      <alignment horizontal="center"/>
    </xf>
    <xf numFmtId="0" fontId="1" fillId="0" borderId="0" xfId="56" applyNumberFormat="1" applyFont="1" applyAlignment="1">
      <alignment horizontal="center"/>
    </xf>
    <xf numFmtId="10" fontId="78" fillId="43" borderId="0" xfId="80" applyNumberFormat="1" applyFont="1" applyFill="1" applyBorder="1" applyAlignment="1">
      <alignment vertical="center"/>
    </xf>
    <xf numFmtId="9" fontId="1" fillId="0" borderId="0" xfId="80" applyFont="1"/>
    <xf numFmtId="10" fontId="1" fillId="0" borderId="0" xfId="80" applyNumberFormat="1" applyFont="1"/>
    <xf numFmtId="0" fontId="1" fillId="48" borderId="0" xfId="0" applyFont="1" applyFill="1" applyAlignment="1">
      <alignment horizontal="center"/>
    </xf>
    <xf numFmtId="9" fontId="75" fillId="0" borderId="0" xfId="80" applyFont="1" applyFill="1" applyBorder="1" applyAlignment="1">
      <alignment horizontal="center" vertical="center"/>
    </xf>
    <xf numFmtId="0" fontId="76" fillId="43" borderId="61" xfId="81" applyNumberFormat="1" applyFont="1" applyFill="1" applyBorder="1" applyAlignment="1">
      <alignment horizontal="left" vertical="center"/>
    </xf>
    <xf numFmtId="0" fontId="51" fillId="52" borderId="0" xfId="73" applyFill="1"/>
    <xf numFmtId="0" fontId="114" fillId="0" borderId="0" xfId="73" applyFont="1" applyAlignment="1">
      <alignment vertical="top"/>
    </xf>
    <xf numFmtId="0" fontId="115" fillId="0" borderId="0" xfId="73" applyFont="1" applyAlignment="1">
      <alignment vertical="top"/>
    </xf>
    <xf numFmtId="0" fontId="53" fillId="52" borderId="37" xfId="0" applyFont="1" applyFill="1" applyBorder="1" applyAlignment="1">
      <alignment horizontal="center"/>
    </xf>
    <xf numFmtId="0" fontId="53" fillId="52" borderId="16" xfId="0" applyFont="1" applyFill="1" applyBorder="1"/>
    <xf numFmtId="0" fontId="53" fillId="52" borderId="38" xfId="0" applyFont="1" applyFill="1" applyBorder="1"/>
    <xf numFmtId="0" fontId="34" fillId="52" borderId="0" xfId="65" applyFont="1" applyFill="1"/>
    <xf numFmtId="0" fontId="34" fillId="52" borderId="15" xfId="45" applyFont="1" applyFill="1" applyBorder="1" applyAlignment="1"/>
    <xf numFmtId="0" fontId="34" fillId="52" borderId="35" xfId="45" applyFont="1" applyFill="1" applyBorder="1" applyAlignment="1"/>
    <xf numFmtId="0" fontId="34" fillId="52" borderId="15" xfId="45" applyFont="1" applyFill="1" applyBorder="1" applyAlignment="1">
      <alignment horizontal="left"/>
    </xf>
    <xf numFmtId="0" fontId="34" fillId="52" borderId="15" xfId="45" applyFont="1" applyFill="1" applyBorder="1">
      <alignment horizontal="centerContinuous"/>
    </xf>
    <xf numFmtId="0" fontId="34" fillId="52" borderId="36" xfId="45" applyFont="1" applyFill="1" applyBorder="1">
      <alignment horizontal="centerContinuous"/>
    </xf>
    <xf numFmtId="0" fontId="34" fillId="52" borderId="35" xfId="45" applyFont="1" applyFill="1" applyBorder="1">
      <alignment horizontal="centerContinuous"/>
    </xf>
    <xf numFmtId="0" fontId="34" fillId="52" borderId="0" xfId="65" applyFont="1" applyFill="1" applyAlignment="1">
      <alignment horizontal="center"/>
    </xf>
    <xf numFmtId="0" fontId="43" fillId="38" borderId="68" xfId="41" applyFont="1" applyBorder="1" applyAlignment="1">
      <alignment horizontal="left"/>
    </xf>
    <xf numFmtId="0" fontId="39" fillId="38" borderId="68" xfId="41" applyFont="1" applyBorder="1"/>
    <xf numFmtId="0" fontId="36" fillId="38" borderId="68" xfId="58" applyFont="1" applyFill="1" applyBorder="1" applyAlignment="1">
      <alignment horizontal="center"/>
    </xf>
    <xf numFmtId="202" fontId="34" fillId="52" borderId="0" xfId="65" applyNumberFormat="1" applyFont="1" applyFill="1"/>
    <xf numFmtId="0" fontId="40" fillId="52" borderId="0" xfId="65" applyFont="1" applyFill="1"/>
    <xf numFmtId="170" fontId="37" fillId="51" borderId="20" xfId="56" applyFont="1" applyFill="1" applyBorder="1"/>
    <xf numFmtId="174" fontId="34" fillId="52" borderId="20" xfId="45" applyNumberFormat="1" applyFont="1" applyFill="1">
      <alignment horizontal="centerContinuous"/>
    </xf>
    <xf numFmtId="202" fontId="34" fillId="52" borderId="20" xfId="45" applyNumberFormat="1" applyFont="1" applyFill="1">
      <alignment horizontal="centerContinuous"/>
    </xf>
    <xf numFmtId="174" fontId="34" fillId="52" borderId="20" xfId="45" applyNumberFormat="1" applyFont="1" applyFill="1" applyAlignment="1">
      <alignment horizontal="left"/>
    </xf>
    <xf numFmtId="202" fontId="34" fillId="52" borderId="72" xfId="45" applyNumberFormat="1" applyFont="1" applyFill="1" applyBorder="1">
      <alignment horizontal="centerContinuous"/>
    </xf>
    <xf numFmtId="174" fontId="34" fillId="52" borderId="35" xfId="45" applyNumberFormat="1" applyFont="1" applyFill="1" applyBorder="1" applyAlignment="1">
      <alignment horizontal="left"/>
    </xf>
    <xf numFmtId="0" fontId="37" fillId="51" borderId="20" xfId="46" applyNumberFormat="1" applyFont="1" applyFill="1" applyBorder="1" applyAlignment="1">
      <alignment horizontal="center"/>
    </xf>
    <xf numFmtId="170" fontId="37" fillId="51" borderId="20" xfId="46" applyNumberFormat="1" applyFont="1" applyFill="1" applyBorder="1" applyAlignment="1">
      <alignment horizontal="left"/>
    </xf>
    <xf numFmtId="172" fontId="37" fillId="51" borderId="20" xfId="46" applyNumberFormat="1" applyFont="1" applyFill="1" applyBorder="1" applyAlignment="1">
      <alignment horizontal="left"/>
    </xf>
    <xf numFmtId="0" fontId="34" fillId="52" borderId="72" xfId="45" applyFont="1" applyFill="1" applyBorder="1">
      <alignment horizontal="centerContinuous"/>
    </xf>
    <xf numFmtId="196" fontId="34" fillId="52" borderId="72" xfId="45" applyNumberFormat="1" applyFont="1" applyFill="1" applyBorder="1">
      <alignment horizontal="centerContinuous"/>
    </xf>
    <xf numFmtId="172" fontId="37" fillId="51" borderId="20" xfId="46" applyNumberFormat="1" applyFont="1" applyFill="1" applyBorder="1"/>
    <xf numFmtId="10" fontId="37" fillId="51" borderId="20" xfId="46" applyNumberFormat="1" applyFont="1" applyFill="1" applyBorder="1"/>
    <xf numFmtId="170" fontId="1" fillId="0" borderId="72" xfId="56" applyFont="1" applyBorder="1" applyAlignment="1">
      <alignment horizontal="center"/>
    </xf>
    <xf numFmtId="1" fontId="34" fillId="52" borderId="20" xfId="45" applyNumberFormat="1" applyFont="1" applyFill="1">
      <alignment horizontal="centerContinuous"/>
    </xf>
    <xf numFmtId="170" fontId="37" fillId="51" borderId="20" xfId="46" applyNumberFormat="1" applyFont="1" applyFill="1" applyBorder="1"/>
    <xf numFmtId="182" fontId="37" fillId="0" borderId="73" xfId="47" applyNumberFormat="1" applyFont="1" applyBorder="1"/>
    <xf numFmtId="184" fontId="37" fillId="51" borderId="20" xfId="46" applyNumberFormat="1" applyFont="1" applyFill="1" applyBorder="1"/>
    <xf numFmtId="0" fontId="34" fillId="52" borderId="20" xfId="45" applyFont="1" applyFill="1" applyAlignment="1">
      <alignment horizontal="left"/>
    </xf>
    <xf numFmtId="1" fontId="34" fillId="52" borderId="72" xfId="45" applyNumberFormat="1" applyFont="1" applyFill="1" applyBorder="1" applyAlignment="1">
      <alignment horizontal="center"/>
    </xf>
    <xf numFmtId="0" fontId="100" fillId="0" borderId="0" xfId="59" applyFont="1"/>
    <xf numFmtId="173" fontId="37" fillId="51" borderId="20" xfId="46" applyNumberFormat="1" applyFont="1" applyFill="1" applyBorder="1"/>
    <xf numFmtId="15" fontId="37" fillId="51" borderId="20" xfId="55" applyFont="1" applyFill="1" applyBorder="1"/>
    <xf numFmtId="10" fontId="37" fillId="51" borderId="20" xfId="55" applyNumberFormat="1" applyFont="1" applyFill="1" applyBorder="1"/>
    <xf numFmtId="180" fontId="34" fillId="52" borderId="72" xfId="45" applyNumberFormat="1" applyFont="1" applyFill="1" applyBorder="1">
      <alignment horizontal="centerContinuous"/>
    </xf>
    <xf numFmtId="0" fontId="37" fillId="51" borderId="20" xfId="46" applyFont="1" applyFill="1" applyBorder="1"/>
    <xf numFmtId="181" fontId="37" fillId="51" borderId="20" xfId="46" applyNumberFormat="1" applyFont="1" applyFill="1" applyBorder="1"/>
    <xf numFmtId="9" fontId="37" fillId="51" borderId="20" xfId="46" quotePrefix="1" applyNumberFormat="1" applyFont="1" applyFill="1" applyBorder="1"/>
    <xf numFmtId="9" fontId="37" fillId="51" borderId="20" xfId="68" applyNumberFormat="1" applyFont="1" applyFill="1" applyBorder="1" applyAlignment="1">
      <alignment horizontal="center"/>
    </xf>
    <xf numFmtId="0" fontId="37" fillId="51" borderId="20" xfId="46" applyFont="1" applyFill="1" applyBorder="1" applyAlignment="1">
      <alignment horizontal="center"/>
    </xf>
    <xf numFmtId="189" fontId="34" fillId="52" borderId="20" xfId="45" applyNumberFormat="1" applyFont="1" applyFill="1">
      <alignment horizontal="centerContinuous"/>
    </xf>
    <xf numFmtId="0" fontId="34" fillId="52" borderId="0" xfId="65" applyFont="1" applyFill="1" applyAlignment="1">
      <alignment horizontal="left"/>
    </xf>
    <xf numFmtId="0" fontId="58" fillId="34" borderId="51" xfId="0" applyFont="1" applyFill="1" applyBorder="1" applyAlignment="1">
      <alignment horizontal="center" vertical="distributed"/>
    </xf>
    <xf numFmtId="0" fontId="52" fillId="34" borderId="52" xfId="0" applyFont="1" applyFill="1" applyBorder="1" applyAlignment="1">
      <alignment horizontal="center" vertical="distributed"/>
    </xf>
    <xf numFmtId="0" fontId="58" fillId="34" borderId="52" xfId="0" applyFont="1" applyFill="1" applyBorder="1" applyAlignment="1">
      <alignment horizontal="center" vertical="distributed"/>
    </xf>
    <xf numFmtId="0" fontId="58" fillId="34" borderId="53" xfId="0" applyFont="1" applyFill="1" applyBorder="1" applyAlignment="1">
      <alignment horizontal="center" vertical="distributed"/>
    </xf>
    <xf numFmtId="3" fontId="116" fillId="52" borderId="0" xfId="70" applyNumberFormat="1" applyFont="1" applyFill="1" applyBorder="1" applyAlignment="1">
      <alignment horizontal="center"/>
    </xf>
    <xf numFmtId="9" fontId="53" fillId="52" borderId="0" xfId="0" applyNumberFormat="1" applyFont="1" applyFill="1" applyAlignment="1">
      <alignment horizontal="center"/>
    </xf>
    <xf numFmtId="9" fontId="53" fillId="52" borderId="58" xfId="0" applyNumberFormat="1" applyFont="1" applyFill="1" applyBorder="1" applyAlignment="1">
      <alignment horizontal="center"/>
    </xf>
    <xf numFmtId="9" fontId="53" fillId="52" borderId="68" xfId="0" applyNumberFormat="1" applyFont="1" applyFill="1" applyBorder="1" applyAlignment="1">
      <alignment horizontal="center"/>
    </xf>
    <xf numFmtId="10" fontId="117" fillId="51" borderId="0" xfId="71" applyNumberFormat="1" applyFont="1" applyFill="1" applyBorder="1" applyAlignment="1">
      <alignment vertical="center"/>
    </xf>
    <xf numFmtId="10" fontId="60" fillId="51" borderId="0" xfId="71" applyNumberFormat="1" applyFont="1" applyFill="1" applyBorder="1" applyAlignment="1">
      <alignment vertical="center"/>
    </xf>
    <xf numFmtId="193" fontId="53" fillId="52" borderId="0" xfId="0" applyNumberFormat="1" applyFont="1" applyFill="1" applyAlignment="1">
      <alignment horizontal="center"/>
    </xf>
    <xf numFmtId="193" fontId="53" fillId="52" borderId="0" xfId="0" applyNumberFormat="1" applyFont="1" applyFill="1"/>
    <xf numFmtId="193" fontId="53" fillId="52" borderId="0" xfId="0" applyNumberFormat="1" applyFont="1" applyFill="1" applyAlignment="1">
      <alignment horizontal="center" vertical="center"/>
    </xf>
    <xf numFmtId="193" fontId="53" fillId="52" borderId="0" xfId="0" applyNumberFormat="1" applyFont="1" applyFill="1" applyAlignment="1">
      <alignment horizontal="center" vertical="center" wrapText="1"/>
    </xf>
    <xf numFmtId="0" fontId="36" fillId="52" borderId="0" xfId="58" applyFont="1" applyFill="1"/>
    <xf numFmtId="182" fontId="34" fillId="52" borderId="20" xfId="45" applyNumberFormat="1" applyFont="1" applyFill="1">
      <alignment horizontal="centerContinuous"/>
    </xf>
    <xf numFmtId="0" fontId="34" fillId="52" borderId="20" xfId="45" applyFont="1" applyFill="1">
      <alignment horizontal="centerContinuous"/>
    </xf>
    <xf numFmtId="197" fontId="34" fillId="52" borderId="20" xfId="45" applyNumberFormat="1" applyFont="1" applyFill="1">
      <alignment horizontal="centerContinuous"/>
    </xf>
    <xf numFmtId="197" fontId="34" fillId="52" borderId="72" xfId="45" applyNumberFormat="1" applyFont="1" applyFill="1" applyBorder="1">
      <alignment horizontal="centerContinuous"/>
    </xf>
    <xf numFmtId="0" fontId="118" fillId="0" borderId="0" xfId="73" applyFont="1" applyAlignment="1">
      <alignment vertical="top"/>
    </xf>
    <xf numFmtId="0" fontId="77" fillId="52" borderId="61" xfId="0" applyFont="1" applyFill="1" applyBorder="1" applyAlignment="1">
      <alignment horizontal="center" vertical="center"/>
    </xf>
    <xf numFmtId="0" fontId="119" fillId="52" borderId="61" xfId="0" applyFont="1" applyFill="1" applyBorder="1" applyAlignment="1">
      <alignment horizontal="center" vertical="center"/>
    </xf>
    <xf numFmtId="0" fontId="77" fillId="52" borderId="61" xfId="76" applyFont="1" applyFill="1" applyBorder="1" applyAlignment="1">
      <alignment horizontal="left"/>
      <protection hidden="1"/>
    </xf>
    <xf numFmtId="198" fontId="77" fillId="52" borderId="61" xfId="75" applyNumberFormat="1" applyFont="1" applyFill="1" applyBorder="1" applyAlignment="1">
      <alignment horizontal="center" wrapText="1"/>
    </xf>
    <xf numFmtId="182" fontId="77" fillId="52" borderId="61" xfId="75" applyNumberFormat="1" applyFont="1" applyFill="1" applyBorder="1" applyAlignment="1">
      <alignment horizontal="center" wrapText="1"/>
    </xf>
    <xf numFmtId="3" fontId="77" fillId="52" borderId="61" xfId="76" applyNumberFormat="1" applyFont="1" applyFill="1" applyBorder="1">
      <alignment horizontal="center" vertical="center"/>
      <protection hidden="1"/>
    </xf>
    <xf numFmtId="0" fontId="1" fillId="0" borderId="20" xfId="0" applyFont="1" applyBorder="1" applyAlignment="1">
      <alignment horizontal="center"/>
    </xf>
    <xf numFmtId="182" fontId="1" fillId="0" borderId="20" xfId="81" applyNumberFormat="1" applyFont="1" applyBorder="1" applyAlignment="1">
      <alignment horizontal="center"/>
    </xf>
    <xf numFmtId="0" fontId="0" fillId="0" borderId="0" xfId="0" applyAlignment="1">
      <alignment vertical="top" wrapText="1"/>
    </xf>
    <xf numFmtId="182" fontId="1" fillId="0" borderId="0" xfId="81" applyNumberFormat="1" applyFont="1" applyFill="1"/>
    <xf numFmtId="43" fontId="1" fillId="0" borderId="0" xfId="0" applyNumberFormat="1" applyFont="1"/>
    <xf numFmtId="0" fontId="1" fillId="0" borderId="0" xfId="0" applyFont="1" applyAlignment="1">
      <alignment horizontal="center" wrapText="1"/>
    </xf>
    <xf numFmtId="43" fontId="36" fillId="0" borderId="20" xfId="81" applyFont="1" applyFill="1" applyBorder="1" applyAlignment="1">
      <alignment horizontal="left"/>
    </xf>
    <xf numFmtId="0" fontId="43" fillId="0" borderId="68" xfId="41" applyFont="1" applyFill="1" applyBorder="1" applyAlignment="1">
      <alignment horizontal="left"/>
    </xf>
    <xf numFmtId="182" fontId="1" fillId="0" borderId="20" xfId="81" applyNumberFormat="1" applyFont="1" applyBorder="1" applyAlignment="1"/>
    <xf numFmtId="10" fontId="1" fillId="0" borderId="20" xfId="80" applyNumberFormat="1" applyFont="1" applyBorder="1" applyAlignment="1">
      <alignment horizontal="right"/>
    </xf>
    <xf numFmtId="10" fontId="1" fillId="0" borderId="0" xfId="80" applyNumberFormat="1" applyFont="1" applyFill="1" applyAlignment="1">
      <alignment horizontal="right"/>
    </xf>
    <xf numFmtId="178" fontId="121" fillId="0" borderId="0" xfId="58" applyNumberFormat="1" applyFont="1" applyFill="1" applyAlignment="1">
      <alignment horizontal="left"/>
    </xf>
    <xf numFmtId="170" fontId="1" fillId="0" borderId="20" xfId="56" applyFont="1" applyBorder="1"/>
    <xf numFmtId="43" fontId="1" fillId="0" borderId="20" xfId="81" applyFont="1" applyBorder="1" applyAlignment="1">
      <alignment horizontal="right"/>
    </xf>
    <xf numFmtId="43" fontId="1" fillId="0" borderId="0" xfId="81" applyFont="1"/>
    <xf numFmtId="9" fontId="0" fillId="0" borderId="0" xfId="80" applyFont="1"/>
    <xf numFmtId="10" fontId="0" fillId="0" borderId="0" xfId="80" applyNumberFormat="1" applyFont="1"/>
    <xf numFmtId="204" fontId="1" fillId="0" borderId="0" xfId="80" applyNumberFormat="1" applyFont="1"/>
    <xf numFmtId="0" fontId="1" fillId="0" borderId="54" xfId="0" applyFont="1" applyBorder="1" applyAlignment="1">
      <alignment horizontal="left" indent="2"/>
    </xf>
    <xf numFmtId="0" fontId="40" fillId="0" borderId="55" xfId="0" applyFont="1" applyBorder="1"/>
    <xf numFmtId="0" fontId="1" fillId="0" borderId="69" xfId="0" applyFont="1" applyBorder="1"/>
    <xf numFmtId="10" fontId="16" fillId="0" borderId="55" xfId="80" applyNumberFormat="1" applyFont="1" applyBorder="1"/>
    <xf numFmtId="0" fontId="0" fillId="41" borderId="0" xfId="0" applyFill="1"/>
    <xf numFmtId="10" fontId="17" fillId="41" borderId="0" xfId="80" applyNumberFormat="1" applyFont="1" applyFill="1"/>
    <xf numFmtId="178" fontId="17" fillId="41" borderId="0" xfId="81" applyNumberFormat="1" applyFont="1" applyFill="1"/>
    <xf numFmtId="182" fontId="1" fillId="0" borderId="0" xfId="0" applyNumberFormat="1" applyFont="1"/>
    <xf numFmtId="9" fontId="48" fillId="0" borderId="0" xfId="80" applyFont="1"/>
    <xf numFmtId="9" fontId="0" fillId="0" borderId="20" xfId="80" applyFont="1" applyBorder="1"/>
    <xf numFmtId="0" fontId="0" fillId="0" borderId="20" xfId="0" applyBorder="1"/>
    <xf numFmtId="10" fontId="0" fillId="0" borderId="20" xfId="80" applyNumberFormat="1" applyFont="1" applyBorder="1"/>
    <xf numFmtId="10" fontId="37" fillId="0" borderId="73" xfId="80" applyNumberFormat="1" applyFont="1" applyBorder="1"/>
    <xf numFmtId="10" fontId="37" fillId="0" borderId="19" xfId="80" applyNumberFormat="1" applyFont="1" applyBorder="1"/>
    <xf numFmtId="170" fontId="41" fillId="0" borderId="20" xfId="56" applyFont="1" applyBorder="1" applyAlignment="1">
      <alignment horizontal="center" vertical="top"/>
    </xf>
    <xf numFmtId="9" fontId="0" fillId="0" borderId="0" xfId="0" applyNumberFormat="1"/>
    <xf numFmtId="182" fontId="1" fillId="0" borderId="0" xfId="81" applyNumberFormat="1" applyFont="1"/>
    <xf numFmtId="10" fontId="36" fillId="0" borderId="0" xfId="80" applyNumberFormat="1" applyFont="1" applyFill="1" applyAlignment="1">
      <alignment horizontal="center"/>
    </xf>
    <xf numFmtId="1" fontId="0" fillId="0" borderId="0" xfId="0" applyNumberFormat="1"/>
    <xf numFmtId="10" fontId="56" fillId="0" borderId="0" xfId="80" applyNumberFormat="1" applyFont="1"/>
    <xf numFmtId="43" fontId="56" fillId="0" borderId="0" xfId="81" applyFont="1"/>
    <xf numFmtId="0" fontId="122" fillId="35" borderId="12" xfId="50" applyFont="1"/>
    <xf numFmtId="0" fontId="56" fillId="0" borderId="0" xfId="0" applyFont="1" applyAlignment="1">
      <alignment horizontal="center"/>
    </xf>
    <xf numFmtId="170" fontId="123" fillId="0" borderId="15" xfId="56" applyFont="1" applyBorder="1" applyAlignment="1">
      <alignment horizontal="right"/>
    </xf>
    <xf numFmtId="178" fontId="56" fillId="0" borderId="0" xfId="0" applyNumberFormat="1" applyFont="1"/>
    <xf numFmtId="178" fontId="124" fillId="35" borderId="12" xfId="50" applyNumberFormat="1" applyFont="1"/>
    <xf numFmtId="4" fontId="125" fillId="0" borderId="0" xfId="0" applyNumberFormat="1" applyFont="1"/>
    <xf numFmtId="4" fontId="125" fillId="0" borderId="0" xfId="0" applyNumberFormat="1" applyFont="1" applyAlignment="1">
      <alignment horizontal="right"/>
    </xf>
    <xf numFmtId="0" fontId="36" fillId="0" borderId="74" xfId="58" applyFont="1" applyBorder="1" applyAlignment="1">
      <alignment horizontal="center"/>
    </xf>
    <xf numFmtId="10" fontId="1" fillId="0" borderId="0" xfId="80" applyNumberFormat="1" applyFont="1" applyBorder="1"/>
    <xf numFmtId="0" fontId="0" fillId="0" borderId="0" xfId="0" applyAlignment="1">
      <alignment horizontal="right"/>
    </xf>
    <xf numFmtId="10" fontId="1" fillId="0" borderId="20" xfId="80" applyNumberFormat="1" applyFont="1" applyBorder="1"/>
    <xf numFmtId="198" fontId="75" fillId="0" borderId="0" xfId="0" applyNumberFormat="1" applyFont="1" applyAlignment="1">
      <alignment horizontal="center"/>
    </xf>
    <xf numFmtId="198" fontId="77" fillId="51" borderId="0" xfId="0" applyNumberFormat="1" applyFont="1" applyFill="1" applyAlignment="1">
      <alignment horizontal="center" vertical="center"/>
    </xf>
    <xf numFmtId="198" fontId="75" fillId="51" borderId="0" xfId="0" applyNumberFormat="1" applyFont="1" applyFill="1" applyAlignment="1">
      <alignment horizontal="center" vertical="center"/>
    </xf>
    <xf numFmtId="43" fontId="78" fillId="0" borderId="0" xfId="83" applyFont="1" applyFill="1" applyBorder="1" applyAlignment="1">
      <alignment vertical="center"/>
    </xf>
    <xf numFmtId="0" fontId="78" fillId="43" borderId="0" xfId="83" applyNumberFormat="1" applyFont="1" applyFill="1" applyBorder="1" applyAlignment="1">
      <alignment vertical="center"/>
    </xf>
    <xf numFmtId="43" fontId="78" fillId="43" borderId="0" xfId="83" applyFont="1" applyFill="1" applyBorder="1" applyAlignment="1">
      <alignment vertical="center"/>
    </xf>
    <xf numFmtId="43" fontId="80" fillId="0" borderId="0" xfId="83" applyFont="1" applyFill="1" applyBorder="1" applyAlignment="1">
      <alignment vertical="center"/>
    </xf>
    <xf numFmtId="43" fontId="80" fillId="43" borderId="0" xfId="83" applyFont="1" applyFill="1" applyBorder="1" applyAlignment="1">
      <alignment vertical="center"/>
    </xf>
    <xf numFmtId="43" fontId="101" fillId="0" borderId="0" xfId="83" applyFont="1" applyFill="1" applyBorder="1" applyAlignment="1">
      <alignment vertical="center"/>
    </xf>
    <xf numFmtId="43" fontId="80" fillId="43" borderId="0" xfId="83" applyFont="1" applyFill="1" applyBorder="1" applyAlignment="1">
      <alignment horizontal="center" vertical="center"/>
    </xf>
    <xf numFmtId="0" fontId="86" fillId="43" borderId="0" xfId="83" applyNumberFormat="1" applyFont="1" applyFill="1" applyBorder="1" applyAlignment="1">
      <alignment vertical="center"/>
    </xf>
    <xf numFmtId="0" fontId="83" fillId="46" borderId="62" xfId="84" applyFont="1" applyFill="1" applyBorder="1" applyAlignment="1">
      <alignment horizontal="center"/>
    </xf>
    <xf numFmtId="198" fontId="83" fillId="46" borderId="62" xfId="84" applyNumberFormat="1" applyFont="1" applyFill="1" applyBorder="1" applyAlignment="1">
      <alignment horizontal="center"/>
    </xf>
    <xf numFmtId="0" fontId="87" fillId="0" borderId="0" xfId="84" applyFont="1" applyAlignment="1">
      <alignment horizontal="center" vertical="center"/>
    </xf>
    <xf numFmtId="43" fontId="101" fillId="0" borderId="0" xfId="83" applyFont="1" applyFill="1" applyBorder="1" applyAlignment="1">
      <alignment horizontal="center" vertical="center"/>
    </xf>
    <xf numFmtId="43" fontId="102" fillId="43" borderId="0" xfId="83" applyFont="1" applyFill="1" applyBorder="1" applyAlignment="1">
      <alignment vertical="center"/>
    </xf>
    <xf numFmtId="43" fontId="103" fillId="43" borderId="0" xfId="83" applyFont="1" applyFill="1" applyBorder="1" applyAlignment="1">
      <alignment horizontal="center" vertical="center"/>
    </xf>
    <xf numFmtId="0" fontId="81" fillId="0" borderId="62" xfId="84" applyFont="1" applyBorder="1" applyAlignment="1">
      <alignment horizontal="center" vertical="center"/>
    </xf>
    <xf numFmtId="182" fontId="81" fillId="0" borderId="0" xfId="84" applyNumberFormat="1" applyFont="1" applyAlignment="1">
      <alignment horizontal="center" vertical="center"/>
    </xf>
    <xf numFmtId="43" fontId="80" fillId="0" borderId="0" xfId="83" applyFont="1" applyFill="1" applyBorder="1" applyAlignment="1">
      <alignment horizontal="center" vertical="center"/>
    </xf>
    <xf numFmtId="0" fontId="82" fillId="0" borderId="61" xfId="85" applyFont="1" applyFill="1" applyBorder="1" applyAlignment="1">
      <alignment horizontal="left"/>
      <protection hidden="1"/>
    </xf>
    <xf numFmtId="198" fontId="82" fillId="0" borderId="61" xfId="83" applyNumberFormat="1" applyFont="1" applyFill="1" applyBorder="1" applyAlignment="1">
      <alignment horizontal="center" wrapText="1"/>
    </xf>
    <xf numFmtId="43" fontId="127" fillId="0" borderId="0" xfId="83" applyFont="1" applyFill="1" applyBorder="1" applyAlignment="1">
      <alignment vertical="center"/>
    </xf>
    <xf numFmtId="198" fontId="128" fillId="0" borderId="61" xfId="83" applyNumberFormat="1" applyFont="1" applyFill="1" applyBorder="1" applyAlignment="1">
      <alignment horizontal="center" wrapText="1"/>
    </xf>
    <xf numFmtId="182" fontId="101" fillId="0" borderId="0" xfId="83" applyNumberFormat="1" applyFont="1" applyFill="1" applyBorder="1" applyAlignment="1">
      <alignment vertical="center"/>
    </xf>
    <xf numFmtId="182" fontId="129" fillId="43" borderId="0" xfId="83" applyNumberFormat="1" applyFont="1" applyFill="1" applyBorder="1" applyAlignment="1">
      <alignment vertical="center"/>
    </xf>
    <xf numFmtId="182" fontId="104" fillId="43" borderId="0" xfId="83" applyNumberFormat="1" applyFont="1" applyFill="1" applyBorder="1" applyAlignment="1">
      <alignment horizontal="center" vertical="center"/>
    </xf>
    <xf numFmtId="182" fontId="104" fillId="43" borderId="0" xfId="83" applyNumberFormat="1" applyFont="1" applyFill="1" applyBorder="1" applyAlignment="1">
      <alignment vertical="center"/>
    </xf>
    <xf numFmtId="182" fontId="80" fillId="43" borderId="0" xfId="83" applyNumberFormat="1" applyFont="1" applyFill="1" applyBorder="1" applyAlignment="1">
      <alignment vertical="center"/>
    </xf>
    <xf numFmtId="0" fontId="83" fillId="0" borderId="0" xfId="85" applyFont="1" applyFill="1" applyAlignment="1">
      <alignment horizontal="left" vertical="center"/>
      <protection hidden="1"/>
    </xf>
    <xf numFmtId="198" fontId="83" fillId="0" borderId="0" xfId="83" applyNumberFormat="1" applyFont="1" applyFill="1" applyBorder="1" applyAlignment="1">
      <alignment horizontal="center" vertical="center"/>
    </xf>
    <xf numFmtId="198" fontId="80" fillId="0" borderId="0" xfId="83" applyNumberFormat="1" applyFont="1" applyFill="1" applyBorder="1" applyAlignment="1">
      <alignment vertical="center"/>
    </xf>
    <xf numFmtId="182" fontId="80" fillId="0" borderId="0" xfId="83" applyNumberFormat="1" applyFont="1" applyFill="1" applyBorder="1" applyAlignment="1">
      <alignment horizontal="center" vertical="center"/>
    </xf>
    <xf numFmtId="182" fontId="80" fillId="0" borderId="0" xfId="83" applyNumberFormat="1" applyFont="1" applyFill="1" applyBorder="1" applyAlignment="1">
      <alignment vertical="center"/>
    </xf>
    <xf numFmtId="0" fontId="83" fillId="0" borderId="62" xfId="85" applyFont="1" applyFill="1" applyBorder="1" applyAlignment="1">
      <alignment horizontal="left" vertical="center"/>
      <protection hidden="1"/>
    </xf>
    <xf numFmtId="198" fontId="83" fillId="0" borderId="63" xfId="83" applyNumberFormat="1" applyFont="1" applyFill="1" applyBorder="1" applyAlignment="1">
      <alignment horizontal="center" vertical="center"/>
    </xf>
    <xf numFmtId="43" fontId="88" fillId="0" borderId="0" xfId="83" applyFont="1" applyFill="1" applyBorder="1" applyAlignment="1">
      <alignment vertical="center"/>
    </xf>
    <xf numFmtId="0" fontId="88" fillId="0" borderId="62" xfId="83" applyNumberFormat="1" applyFont="1" applyFill="1" applyBorder="1" applyAlignment="1">
      <alignment horizontal="left" vertical="center" indent="1"/>
    </xf>
    <xf numFmtId="198" fontId="89" fillId="0" borderId="61" xfId="83" applyNumberFormat="1" applyFont="1" applyFill="1" applyBorder="1" applyAlignment="1">
      <alignment horizontal="center" vertical="center"/>
    </xf>
    <xf numFmtId="43" fontId="90" fillId="0" borderId="0" xfId="83" applyFont="1" applyFill="1" applyBorder="1" applyAlignment="1">
      <alignment vertical="center"/>
    </xf>
    <xf numFmtId="198" fontId="90" fillId="0" borderId="62" xfId="83" applyNumberFormat="1" applyFont="1" applyFill="1" applyBorder="1" applyAlignment="1">
      <alignment vertical="center"/>
    </xf>
    <xf numFmtId="182" fontId="90" fillId="0" borderId="0" xfId="83" applyNumberFormat="1" applyFont="1" applyFill="1" applyBorder="1" applyAlignment="1">
      <alignment horizontal="center" vertical="center"/>
    </xf>
    <xf numFmtId="182" fontId="90" fillId="0" borderId="0" xfId="83" applyNumberFormat="1" applyFont="1" applyFill="1" applyBorder="1" applyAlignment="1">
      <alignment vertical="center"/>
    </xf>
    <xf numFmtId="43" fontId="90" fillId="0" borderId="62" xfId="83" applyFont="1" applyFill="1" applyBorder="1" applyAlignment="1">
      <alignment vertical="center"/>
    </xf>
    <xf numFmtId="0" fontId="78" fillId="0" borderId="0" xfId="83" applyNumberFormat="1" applyFont="1" applyFill="1" applyBorder="1" applyAlignment="1">
      <alignment horizontal="left" vertical="center" indent="2"/>
    </xf>
    <xf numFmtId="198" fontId="107" fillId="51" borderId="0" xfId="84" applyNumberFormat="1" applyFont="1" applyFill="1" applyAlignment="1">
      <alignment horizontal="center"/>
    </xf>
    <xf numFmtId="198" fontId="83" fillId="51" borderId="0" xfId="84" applyNumberFormat="1" applyFont="1" applyFill="1" applyAlignment="1">
      <alignment horizontal="center"/>
    </xf>
    <xf numFmtId="198" fontId="77" fillId="51" borderId="0" xfId="84" applyNumberFormat="1" applyFont="1" applyFill="1" applyAlignment="1">
      <alignment horizontal="center"/>
    </xf>
    <xf numFmtId="198" fontId="83" fillId="0" borderId="0" xfId="84" applyNumberFormat="1" applyFont="1" applyAlignment="1">
      <alignment horizontal="center"/>
    </xf>
    <xf numFmtId="0" fontId="88" fillId="0" borderId="71" xfId="83" applyNumberFormat="1" applyFont="1" applyFill="1" applyBorder="1" applyAlignment="1">
      <alignment horizontal="left" vertical="center" indent="1"/>
    </xf>
    <xf numFmtId="0" fontId="78" fillId="0" borderId="75" xfId="83" applyNumberFormat="1" applyFont="1" applyFill="1" applyBorder="1" applyAlignment="1">
      <alignment horizontal="left" vertical="center" indent="2"/>
    </xf>
    <xf numFmtId="198" fontId="83" fillId="0" borderId="75" xfId="84" applyNumberFormat="1" applyFont="1" applyBorder="1" applyAlignment="1">
      <alignment horizontal="center"/>
    </xf>
    <xf numFmtId="198" fontId="80" fillId="0" borderId="75" xfId="83" applyNumberFormat="1" applyFont="1" applyFill="1" applyBorder="1" applyAlignment="1">
      <alignment vertical="center"/>
    </xf>
    <xf numFmtId="43" fontId="80" fillId="0" borderId="75" xfId="83" applyFont="1" applyFill="1" applyBorder="1" applyAlignment="1">
      <alignment vertical="center"/>
    </xf>
    <xf numFmtId="43" fontId="83" fillId="0" borderId="0" xfId="83" applyFont="1" applyFill="1" applyBorder="1" applyAlignment="1">
      <alignment vertical="center"/>
    </xf>
    <xf numFmtId="0" fontId="83" fillId="0" borderId="62" xfId="83" applyNumberFormat="1" applyFont="1" applyFill="1" applyBorder="1" applyAlignment="1">
      <alignment horizontal="left" vertical="center" indent="1"/>
    </xf>
    <xf numFmtId="198" fontId="83" fillId="43" borderId="62" xfId="83" applyNumberFormat="1" applyFont="1" applyFill="1" applyBorder="1" applyAlignment="1">
      <alignment horizontal="center" wrapText="1"/>
    </xf>
    <xf numFmtId="43" fontId="91" fillId="0" borderId="0" xfId="83" applyFont="1" applyFill="1" applyBorder="1" applyAlignment="1">
      <alignment vertical="center"/>
    </xf>
    <xf numFmtId="198" fontId="91" fillId="43" borderId="62" xfId="83" applyNumberFormat="1" applyFont="1" applyFill="1" applyBorder="1" applyAlignment="1">
      <alignment horizontal="center" wrapText="1"/>
    </xf>
    <xf numFmtId="10" fontId="92" fillId="43" borderId="0" xfId="83" applyNumberFormat="1" applyFont="1" applyFill="1" applyBorder="1" applyAlignment="1">
      <alignment vertical="center"/>
    </xf>
    <xf numFmtId="182" fontId="91" fillId="0" borderId="0" xfId="83" applyNumberFormat="1" applyFont="1" applyFill="1" applyBorder="1" applyAlignment="1">
      <alignment horizontal="center" vertical="center"/>
    </xf>
    <xf numFmtId="182" fontId="91" fillId="0" borderId="0" xfId="83" applyNumberFormat="1" applyFont="1" applyFill="1" applyBorder="1" applyAlignment="1">
      <alignment vertical="center"/>
    </xf>
    <xf numFmtId="0" fontId="88" fillId="0" borderId="0" xfId="83" applyNumberFormat="1" applyFont="1" applyFill="1" applyBorder="1" applyAlignment="1">
      <alignment horizontal="left" vertical="center" indent="2"/>
    </xf>
    <xf numFmtId="198" fontId="88" fillId="0" borderId="0" xfId="84" applyNumberFormat="1" applyFont="1" applyAlignment="1">
      <alignment horizontal="center"/>
    </xf>
    <xf numFmtId="198" fontId="90" fillId="0" borderId="0" xfId="83" applyNumberFormat="1" applyFont="1" applyFill="1" applyBorder="1" applyAlignment="1">
      <alignment vertical="center"/>
    </xf>
    <xf numFmtId="0" fontId="78" fillId="0" borderId="0" xfId="83" applyNumberFormat="1" applyFont="1" applyFill="1" applyBorder="1" applyAlignment="1">
      <alignment horizontal="left" vertical="center" indent="3"/>
    </xf>
    <xf numFmtId="198" fontId="78" fillId="51" borderId="0" xfId="84" applyNumberFormat="1" applyFont="1" applyFill="1" applyAlignment="1">
      <alignment horizontal="center"/>
    </xf>
    <xf numFmtId="198" fontId="71" fillId="0" borderId="0" xfId="85" applyNumberFormat="1" applyFont="1" applyFill="1">
      <alignment horizontal="center" vertical="center"/>
      <protection hidden="1"/>
    </xf>
    <xf numFmtId="198" fontId="85" fillId="0" borderId="0" xfId="84" applyNumberFormat="1" applyFont="1" applyAlignment="1">
      <alignment vertical="center"/>
    </xf>
    <xf numFmtId="0" fontId="83" fillId="0" borderId="61" xfId="83" applyNumberFormat="1" applyFont="1" applyFill="1" applyBorder="1" applyAlignment="1">
      <alignment horizontal="left" vertical="center" indent="1"/>
    </xf>
    <xf numFmtId="198" fontId="83" fillId="43" borderId="61" xfId="83" applyNumberFormat="1" applyFont="1" applyFill="1" applyBorder="1" applyAlignment="1">
      <alignment horizontal="center" wrapText="1"/>
    </xf>
    <xf numFmtId="198" fontId="91" fillId="43" borderId="61" xfId="83" applyNumberFormat="1" applyFont="1" applyFill="1" applyBorder="1" applyAlignment="1">
      <alignment horizontal="center" wrapText="1"/>
    </xf>
    <xf numFmtId="10" fontId="91" fillId="0" borderId="0" xfId="83" applyNumberFormat="1" applyFont="1" applyFill="1" applyBorder="1" applyAlignment="1">
      <alignment vertical="center"/>
    </xf>
    <xf numFmtId="0" fontId="73" fillId="0" borderId="0" xfId="83" applyNumberFormat="1" applyFont="1" applyFill="1" applyBorder="1" applyAlignment="1">
      <alignment horizontal="left" vertical="center" indent="2"/>
    </xf>
    <xf numFmtId="198" fontId="74" fillId="0" borderId="0" xfId="85" applyNumberFormat="1" applyFont="1" applyFill="1">
      <alignment horizontal="center" vertical="center"/>
      <protection hidden="1"/>
    </xf>
    <xf numFmtId="198" fontId="77" fillId="0" borderId="0" xfId="84" applyNumberFormat="1" applyFont="1" applyAlignment="1">
      <alignment horizontal="center"/>
    </xf>
    <xf numFmtId="198" fontId="73" fillId="0" borderId="0" xfId="85" applyNumberFormat="1" applyFont="1" applyFill="1">
      <alignment horizontal="center" vertical="center"/>
      <protection hidden="1"/>
    </xf>
    <xf numFmtId="43" fontId="75" fillId="0" borderId="0" xfId="83" applyFont="1" applyFill="1" applyBorder="1" applyAlignment="1">
      <alignment vertical="center"/>
    </xf>
    <xf numFmtId="0" fontId="75" fillId="0" borderId="0" xfId="83" applyNumberFormat="1" applyFont="1" applyFill="1" applyBorder="1" applyAlignment="1">
      <alignment horizontal="left" vertical="center" indent="3"/>
    </xf>
    <xf numFmtId="43" fontId="97" fillId="0" borderId="0" xfId="83" applyFont="1" applyFill="1" applyBorder="1" applyAlignment="1">
      <alignment vertical="center"/>
    </xf>
    <xf numFmtId="198" fontId="97" fillId="0" borderId="0" xfId="83" applyNumberFormat="1" applyFont="1" applyFill="1" applyBorder="1" applyAlignment="1">
      <alignment vertical="center"/>
    </xf>
    <xf numFmtId="182" fontId="119" fillId="0" borderId="0" xfId="83" applyNumberFormat="1" applyFont="1" applyFill="1" applyBorder="1" applyAlignment="1">
      <alignment vertical="center"/>
    </xf>
    <xf numFmtId="182" fontId="97" fillId="0" borderId="0" xfId="83" applyNumberFormat="1" applyFont="1" applyFill="1" applyBorder="1" applyAlignment="1">
      <alignment horizontal="center" vertical="center"/>
    </xf>
    <xf numFmtId="182" fontId="97" fillId="43" borderId="0" xfId="83" applyNumberFormat="1" applyFont="1" applyFill="1" applyBorder="1" applyAlignment="1">
      <alignment vertical="center"/>
    </xf>
    <xf numFmtId="182" fontId="97" fillId="0" borderId="0" xfId="83" applyNumberFormat="1" applyFont="1" applyFill="1" applyBorder="1" applyAlignment="1">
      <alignment vertical="center"/>
    </xf>
    <xf numFmtId="198" fontId="78" fillId="0" borderId="0" xfId="84" applyNumberFormat="1" applyFont="1" applyAlignment="1">
      <alignment horizontal="center"/>
    </xf>
    <xf numFmtId="198" fontId="80" fillId="43" borderId="0" xfId="83" applyNumberFormat="1" applyFont="1" applyFill="1" applyBorder="1" applyAlignment="1">
      <alignment vertical="center"/>
    </xf>
    <xf numFmtId="182" fontId="80" fillId="43" borderId="0" xfId="83" applyNumberFormat="1" applyFont="1" applyFill="1" applyBorder="1" applyAlignment="1">
      <alignment horizontal="center" vertical="center"/>
    </xf>
    <xf numFmtId="0" fontId="88" fillId="0" borderId="0" xfId="83" applyNumberFormat="1" applyFont="1" applyFill="1" applyBorder="1" applyAlignment="1">
      <alignment horizontal="left" vertical="center" indent="3"/>
    </xf>
    <xf numFmtId="0" fontId="78" fillId="0" borderId="0" xfId="83" applyNumberFormat="1" applyFont="1" applyFill="1" applyBorder="1" applyAlignment="1">
      <alignment horizontal="left" vertical="center" indent="4"/>
    </xf>
    <xf numFmtId="200" fontId="71" fillId="0" borderId="0" xfId="85" applyNumberFormat="1" applyFont="1" applyFill="1">
      <alignment horizontal="center" vertical="center"/>
      <protection hidden="1"/>
    </xf>
    <xf numFmtId="9" fontId="78" fillId="0" borderId="0" xfId="80" applyFont="1" applyFill="1" applyAlignment="1">
      <alignment horizontal="center" vertical="center"/>
    </xf>
    <xf numFmtId="198" fontId="83" fillId="0" borderId="61" xfId="83" applyNumberFormat="1" applyFont="1" applyFill="1" applyBorder="1" applyAlignment="1">
      <alignment horizontal="center" wrapText="1"/>
    </xf>
    <xf numFmtId="198" fontId="88" fillId="0" borderId="62" xfId="83" applyNumberFormat="1" applyFont="1" applyFill="1" applyBorder="1" applyAlignment="1">
      <alignment horizontal="left" vertical="center" indent="1"/>
    </xf>
    <xf numFmtId="198" fontId="91" fillId="43" borderId="0" xfId="83" applyNumberFormat="1" applyFont="1" applyFill="1" applyBorder="1" applyAlignment="1">
      <alignment horizontal="center" wrapText="1"/>
    </xf>
    <xf numFmtId="199" fontId="78" fillId="0" borderId="0" xfId="85" applyNumberFormat="1" applyFont="1" applyFill="1">
      <alignment horizontal="center" vertical="center"/>
      <protection hidden="1"/>
    </xf>
    <xf numFmtId="0" fontId="88" fillId="0" borderId="0" xfId="83" applyNumberFormat="1" applyFont="1" applyFill="1" applyBorder="1" applyAlignment="1">
      <alignment horizontal="left" vertical="center" indent="4"/>
    </xf>
    <xf numFmtId="0" fontId="78" fillId="0" borderId="0" xfId="83" applyNumberFormat="1" applyFont="1" applyFill="1" applyBorder="1" applyAlignment="1">
      <alignment horizontal="left" vertical="center" indent="5"/>
    </xf>
    <xf numFmtId="198" fontId="78" fillId="0" borderId="0" xfId="84" applyNumberFormat="1" applyFont="1" applyAlignment="1">
      <alignment horizontal="center" vertical="center"/>
    </xf>
    <xf numFmtId="0" fontId="78" fillId="0" borderId="0" xfId="83" applyNumberFormat="1" applyFont="1" applyFill="1" applyBorder="1" applyAlignment="1">
      <alignment horizontal="left" vertical="center" wrapText="1" indent="6"/>
    </xf>
    <xf numFmtId="198" fontId="85" fillId="0" borderId="0" xfId="84" applyNumberFormat="1" applyFont="1" applyAlignment="1">
      <alignment horizontal="center"/>
    </xf>
    <xf numFmtId="0" fontId="75" fillId="0" borderId="0" xfId="83" applyNumberFormat="1" applyFont="1" applyFill="1" applyBorder="1" applyAlignment="1">
      <alignment horizontal="left" vertical="center" indent="2"/>
    </xf>
    <xf numFmtId="0" fontId="78" fillId="0" borderId="0" xfId="83" applyNumberFormat="1" applyFont="1" applyFill="1" applyBorder="1" applyAlignment="1">
      <alignment vertical="center"/>
    </xf>
    <xf numFmtId="198" fontId="78" fillId="43" borderId="0" xfId="83" applyNumberFormat="1" applyFont="1" applyFill="1" applyBorder="1" applyAlignment="1">
      <alignment vertical="center"/>
    </xf>
    <xf numFmtId="198" fontId="78" fillId="0" borderId="0" xfId="83" applyNumberFormat="1" applyFont="1" applyFill="1" applyBorder="1" applyAlignment="1">
      <alignment vertical="center"/>
    </xf>
    <xf numFmtId="199" fontId="78" fillId="0" borderId="0" xfId="84" applyNumberFormat="1" applyFont="1" applyAlignment="1">
      <alignment horizontal="center" vertical="center"/>
    </xf>
    <xf numFmtId="0" fontId="74" fillId="0" borderId="0" xfId="83" applyNumberFormat="1" applyFont="1" applyFill="1" applyBorder="1" applyAlignment="1">
      <alignment horizontal="left" vertical="center" indent="2"/>
    </xf>
    <xf numFmtId="198" fontId="112" fillId="0" borderId="0" xfId="84" applyNumberFormat="1" applyFont="1" applyAlignment="1">
      <alignment horizontal="center" vertical="center"/>
    </xf>
    <xf numFmtId="0" fontId="81" fillId="0" borderId="0" xfId="85" applyFont="1" applyFill="1" applyAlignment="1">
      <alignment horizontal="left" vertical="center"/>
      <protection hidden="1"/>
    </xf>
    <xf numFmtId="198" fontId="81" fillId="0" borderId="0" xfId="83" applyNumberFormat="1" applyFont="1" applyFill="1" applyBorder="1" applyAlignment="1">
      <alignment horizontal="center" vertical="center"/>
    </xf>
    <xf numFmtId="10" fontId="94" fillId="43" borderId="0" xfId="83" applyNumberFormat="1" applyFont="1" applyFill="1" applyBorder="1" applyAlignment="1">
      <alignment vertical="center"/>
    </xf>
    <xf numFmtId="0" fontId="88" fillId="0" borderId="61" xfId="83" applyNumberFormat="1" applyFont="1" applyFill="1" applyBorder="1" applyAlignment="1">
      <alignment horizontal="left" vertical="center" indent="1"/>
    </xf>
    <xf numFmtId="198" fontId="90" fillId="0" borderId="61" xfId="83" applyNumberFormat="1" applyFont="1" applyFill="1" applyBorder="1" applyAlignment="1">
      <alignment vertical="center"/>
    </xf>
    <xf numFmtId="43" fontId="90" fillId="0" borderId="61" xfId="83" applyFont="1" applyFill="1" applyBorder="1" applyAlignment="1">
      <alignment vertical="center"/>
    </xf>
    <xf numFmtId="198" fontId="83" fillId="0" borderId="62" xfId="83" applyNumberFormat="1" applyFont="1" applyFill="1" applyBorder="1" applyAlignment="1">
      <alignment horizontal="center" wrapText="1"/>
    </xf>
    <xf numFmtId="198" fontId="77" fillId="0" borderId="0" xfId="85" applyNumberFormat="1" applyFont="1" applyFill="1">
      <alignment horizontal="center" vertical="center"/>
      <protection hidden="1"/>
    </xf>
    <xf numFmtId="198" fontId="83" fillId="51" borderId="0" xfId="85" applyNumberFormat="1" applyFont="1" applyFill="1">
      <alignment horizontal="center" vertical="center"/>
      <protection hidden="1"/>
    </xf>
    <xf numFmtId="182" fontId="97" fillId="43" borderId="0" xfId="83" applyNumberFormat="1" applyFont="1" applyFill="1" applyBorder="1" applyAlignment="1">
      <alignment horizontal="center" vertical="center"/>
    </xf>
    <xf numFmtId="198" fontId="93" fillId="0" borderId="0" xfId="84" applyNumberFormat="1" applyFont="1" applyAlignment="1">
      <alignment horizontal="center"/>
    </xf>
    <xf numFmtId="198" fontId="80" fillId="0" borderId="0" xfId="83" applyNumberFormat="1" applyFont="1" applyFill="1" applyBorder="1" applyAlignment="1">
      <alignment horizontal="center" wrapText="1"/>
    </xf>
    <xf numFmtId="198" fontId="91" fillId="0" borderId="0" xfId="83" applyNumberFormat="1" applyFont="1" applyFill="1" applyBorder="1" applyAlignment="1">
      <alignment horizontal="center" wrapText="1"/>
    </xf>
    <xf numFmtId="198" fontId="130" fillId="51" borderId="0" xfId="84" applyNumberFormat="1" applyFont="1" applyFill="1" applyAlignment="1">
      <alignment horizontal="center" vertical="center"/>
    </xf>
    <xf numFmtId="10" fontId="94" fillId="0" borderId="0" xfId="83" applyNumberFormat="1" applyFont="1" applyFill="1" applyBorder="1" applyAlignment="1">
      <alignment vertical="center"/>
    </xf>
    <xf numFmtId="199" fontId="78" fillId="43" borderId="0" xfId="83" applyNumberFormat="1" applyFont="1" applyFill="1" applyBorder="1" applyAlignment="1">
      <alignment vertical="center"/>
    </xf>
    <xf numFmtId="199" fontId="78" fillId="0" borderId="0" xfId="83" applyNumberFormat="1" applyFont="1" applyFill="1" applyBorder="1" applyAlignment="1">
      <alignment vertical="center"/>
    </xf>
    <xf numFmtId="198" fontId="75" fillId="0" borderId="0" xfId="85" applyNumberFormat="1" applyFont="1" applyFill="1">
      <alignment horizontal="center" vertical="center"/>
      <protection hidden="1"/>
    </xf>
    <xf numFmtId="43" fontId="73" fillId="0" borderId="0" xfId="83" applyFont="1" applyFill="1" applyBorder="1" applyAlignment="1">
      <alignment vertical="center"/>
    </xf>
    <xf numFmtId="43" fontId="131" fillId="0" borderId="0" xfId="83" applyFont="1" applyFill="1" applyBorder="1" applyAlignment="1">
      <alignment vertical="center"/>
    </xf>
    <xf numFmtId="198" fontId="131" fillId="0" borderId="0" xfId="83" applyNumberFormat="1" applyFont="1" applyFill="1" applyBorder="1" applyAlignment="1">
      <alignment vertical="center"/>
    </xf>
    <xf numFmtId="182" fontId="131" fillId="0" borderId="0" xfId="83" applyNumberFormat="1" applyFont="1" applyFill="1" applyBorder="1" applyAlignment="1">
      <alignment vertical="center"/>
    </xf>
    <xf numFmtId="198" fontId="73" fillId="0" borderId="0" xfId="84" applyNumberFormat="1" applyFont="1" applyAlignment="1">
      <alignment horizontal="center"/>
    </xf>
    <xf numFmtId="199" fontId="78" fillId="0" borderId="0" xfId="84" applyNumberFormat="1" applyFont="1" applyAlignment="1">
      <alignment horizontal="center"/>
    </xf>
    <xf numFmtId="1" fontId="78" fillId="0" borderId="0" xfId="80" applyNumberFormat="1" applyFont="1" applyFill="1" applyAlignment="1">
      <alignment horizontal="center" vertical="center"/>
    </xf>
    <xf numFmtId="199" fontId="75" fillId="0" borderId="0" xfId="85" applyNumberFormat="1" applyFont="1" applyFill="1">
      <alignment horizontal="center" vertical="center"/>
      <protection hidden="1"/>
    </xf>
    <xf numFmtId="0" fontId="75" fillId="0" borderId="0" xfId="83" applyNumberFormat="1" applyFont="1" applyFill="1" applyBorder="1" applyAlignment="1">
      <alignment horizontal="left" vertical="center" indent="4"/>
    </xf>
    <xf numFmtId="198" fontId="75" fillId="0" borderId="0" xfId="84" applyNumberFormat="1" applyFont="1" applyAlignment="1">
      <alignment horizontal="center"/>
    </xf>
    <xf numFmtId="198" fontId="71" fillId="51" borderId="0" xfId="85" applyNumberFormat="1" applyFont="1" applyFill="1">
      <alignment horizontal="center" vertical="center"/>
      <protection hidden="1"/>
    </xf>
    <xf numFmtId="198" fontId="75" fillId="0" borderId="0" xfId="84" applyNumberFormat="1" applyFont="1" applyAlignment="1">
      <alignment horizontal="center" vertical="center"/>
    </xf>
    <xf numFmtId="9" fontId="75" fillId="0" borderId="0" xfId="77" applyFont="1" applyFill="1" applyBorder="1" applyAlignment="1">
      <alignment horizontal="center" vertical="center"/>
    </xf>
    <xf numFmtId="9" fontId="75" fillId="0" borderId="0" xfId="80" applyFont="1" applyFill="1" applyAlignment="1">
      <alignment horizontal="center" vertical="center"/>
    </xf>
    <xf numFmtId="0" fontId="81" fillId="0" borderId="62" xfId="85" applyFont="1" applyFill="1" applyBorder="1" applyAlignment="1">
      <alignment horizontal="left"/>
      <protection hidden="1"/>
    </xf>
    <xf numFmtId="198" fontId="81" fillId="0" borderId="61" xfId="83" applyNumberFormat="1" applyFont="1" applyFill="1" applyBorder="1" applyAlignment="1">
      <alignment horizontal="center" wrapText="1"/>
    </xf>
    <xf numFmtId="198" fontId="87" fillId="0" borderId="0" xfId="83" applyNumberFormat="1" applyFont="1" applyFill="1" applyBorder="1" applyAlignment="1">
      <alignment horizontal="center" wrapText="1"/>
    </xf>
    <xf numFmtId="0" fontId="83" fillId="0" borderId="0" xfId="83" applyNumberFormat="1" applyFont="1" applyFill="1" applyBorder="1" applyAlignment="1">
      <alignment horizontal="left" vertical="center" indent="1"/>
    </xf>
    <xf numFmtId="198" fontId="89" fillId="0" borderId="0" xfId="83" applyNumberFormat="1" applyFont="1" applyFill="1" applyBorder="1" applyAlignment="1">
      <alignment horizontal="center" vertical="center"/>
    </xf>
    <xf numFmtId="198" fontId="83" fillId="0" borderId="0" xfId="83" applyNumberFormat="1" applyFont="1" applyFill="1" applyBorder="1" applyAlignment="1">
      <alignment horizontal="center" wrapText="1"/>
    </xf>
    <xf numFmtId="198" fontId="83" fillId="43" borderId="0" xfId="83" applyNumberFormat="1" applyFont="1" applyFill="1" applyBorder="1" applyAlignment="1">
      <alignment horizontal="center" wrapText="1"/>
    </xf>
    <xf numFmtId="198" fontId="76" fillId="0" borderId="0" xfId="85" applyNumberFormat="1" applyFont="1" applyFill="1">
      <alignment horizontal="center" vertical="center"/>
      <protection hidden="1"/>
    </xf>
    <xf numFmtId="0" fontId="73" fillId="0" borderId="0" xfId="85" applyFont="1" applyFill="1" applyAlignment="1">
      <alignment horizontal="left" vertical="center" indent="3"/>
      <protection hidden="1"/>
    </xf>
    <xf numFmtId="0" fontId="83" fillId="0" borderId="0" xfId="85" applyFont="1" applyFill="1" applyAlignment="1">
      <alignment horizontal="left" vertical="center" indent="2"/>
      <protection hidden="1"/>
    </xf>
    <xf numFmtId="9" fontId="77" fillId="0" borderId="0" xfId="80" applyFont="1" applyFill="1" applyAlignment="1">
      <alignment horizontal="center"/>
    </xf>
    <xf numFmtId="0" fontId="78" fillId="0" borderId="0" xfId="85" applyFont="1" applyFill="1" applyAlignment="1">
      <alignment horizontal="left" vertical="center" indent="3"/>
      <protection hidden="1"/>
    </xf>
    <xf numFmtId="198" fontId="83" fillId="43" borderId="0" xfId="84" applyNumberFormat="1" applyFont="1" applyFill="1" applyAlignment="1">
      <alignment horizontal="center"/>
    </xf>
    <xf numFmtId="199" fontId="88" fillId="0" borderId="0" xfId="84" applyNumberFormat="1" applyFont="1" applyAlignment="1">
      <alignment horizontal="center"/>
    </xf>
    <xf numFmtId="198" fontId="76" fillId="43" borderId="61" xfId="84" applyNumberFormat="1" applyFont="1" applyFill="1" applyBorder="1" applyAlignment="1">
      <alignment horizontal="center" vertical="center"/>
    </xf>
    <xf numFmtId="201" fontId="80" fillId="0" borderId="61" xfId="83" applyNumberFormat="1" applyFont="1" applyFill="1" applyBorder="1" applyAlignment="1">
      <alignment vertical="center"/>
    </xf>
    <xf numFmtId="43" fontId="110" fillId="0" borderId="0" xfId="83" applyFont="1" applyFill="1" applyBorder="1" applyAlignment="1">
      <alignment vertical="center"/>
    </xf>
    <xf numFmtId="201" fontId="95" fillId="43" borderId="61" xfId="84" applyNumberFormat="1" applyFont="1" applyFill="1" applyBorder="1" applyAlignment="1">
      <alignment horizontal="center" vertical="center"/>
    </xf>
    <xf numFmtId="0" fontId="77" fillId="0" borderId="61" xfId="83" applyNumberFormat="1" applyFont="1" applyFill="1" applyBorder="1" applyAlignment="1">
      <alignment horizontal="left" vertical="center" indent="1"/>
    </xf>
    <xf numFmtId="43" fontId="91" fillId="43" borderId="0" xfId="83" applyFont="1" applyFill="1" applyBorder="1" applyAlignment="1">
      <alignment vertical="center"/>
    </xf>
    <xf numFmtId="182" fontId="91" fillId="43" borderId="0" xfId="83" applyNumberFormat="1" applyFont="1" applyFill="1" applyBorder="1" applyAlignment="1">
      <alignment vertical="center"/>
    </xf>
    <xf numFmtId="43" fontId="90" fillId="43" borderId="0" xfId="83" applyFont="1" applyFill="1" applyBorder="1" applyAlignment="1">
      <alignment vertical="center"/>
    </xf>
    <xf numFmtId="182" fontId="90" fillId="43" borderId="0" xfId="83" applyNumberFormat="1" applyFont="1" applyFill="1" applyBorder="1" applyAlignment="1">
      <alignment vertical="center"/>
    </xf>
    <xf numFmtId="9" fontId="78" fillId="0" borderId="0" xfId="80" applyFont="1" applyAlignment="1">
      <alignment horizontal="center"/>
    </xf>
    <xf numFmtId="0" fontId="73" fillId="0" borderId="0" xfId="83" applyNumberFormat="1" applyFont="1" applyFill="1" applyBorder="1" applyAlignment="1">
      <alignment horizontal="left" vertical="center" indent="3"/>
    </xf>
    <xf numFmtId="0" fontId="75" fillId="0" borderId="0" xfId="83" applyNumberFormat="1" applyFont="1" applyFill="1" applyBorder="1" applyAlignment="1">
      <alignment horizontal="left" vertical="center" indent="5"/>
    </xf>
    <xf numFmtId="0" fontId="73" fillId="0" borderId="0" xfId="83" applyNumberFormat="1" applyFont="1" applyFill="1" applyBorder="1" applyAlignment="1">
      <alignment horizontal="left" vertical="center" indent="5"/>
    </xf>
    <xf numFmtId="0" fontId="75" fillId="0" borderId="0" xfId="83" applyNumberFormat="1" applyFont="1" applyFill="1" applyBorder="1" applyAlignment="1">
      <alignment horizontal="left" vertical="center" indent="7"/>
    </xf>
    <xf numFmtId="198" fontId="72" fillId="0" borderId="0" xfId="84" applyNumberFormat="1" applyFont="1" applyAlignment="1">
      <alignment horizontal="center" vertical="center"/>
    </xf>
    <xf numFmtId="199" fontId="71" fillId="0" borderId="0" xfId="85" applyNumberFormat="1" applyFont="1" applyFill="1">
      <alignment horizontal="center" vertical="center"/>
      <protection hidden="1"/>
    </xf>
    <xf numFmtId="199" fontId="76" fillId="51" borderId="0" xfId="85" applyNumberFormat="1" applyFont="1" applyFill="1">
      <alignment horizontal="center" vertical="center"/>
      <protection hidden="1"/>
    </xf>
    <xf numFmtId="199" fontId="71" fillId="51" borderId="0" xfId="85" applyNumberFormat="1" applyFont="1" applyFill="1">
      <alignment horizontal="center" vertical="center"/>
      <protection hidden="1"/>
    </xf>
    <xf numFmtId="200" fontId="76" fillId="51" borderId="0" xfId="85" applyNumberFormat="1" applyFont="1" applyFill="1">
      <alignment horizontal="center" vertical="center"/>
      <protection hidden="1"/>
    </xf>
    <xf numFmtId="200" fontId="71" fillId="51" borderId="0" xfId="85" applyNumberFormat="1" applyFont="1" applyFill="1">
      <alignment horizontal="center" vertical="center"/>
      <protection hidden="1"/>
    </xf>
    <xf numFmtId="43" fontId="71" fillId="43" borderId="61" xfId="83" applyFont="1" applyFill="1" applyBorder="1" applyAlignment="1">
      <alignment vertical="center"/>
    </xf>
    <xf numFmtId="43" fontId="78" fillId="43" borderId="61" xfId="83" applyFont="1" applyFill="1" applyBorder="1" applyAlignment="1">
      <alignment vertical="center"/>
    </xf>
    <xf numFmtId="43" fontId="78" fillId="0" borderId="61" xfId="83" applyFont="1" applyFill="1" applyBorder="1" applyAlignment="1">
      <alignment vertical="center"/>
    </xf>
    <xf numFmtId="43" fontId="78" fillId="43" borderId="61" xfId="83" applyFont="1" applyFill="1" applyBorder="1" applyAlignment="1">
      <alignment horizontal="center" vertical="center"/>
    </xf>
    <xf numFmtId="201" fontId="80" fillId="43" borderId="61" xfId="83" applyNumberFormat="1" applyFont="1" applyFill="1" applyBorder="1" applyAlignment="1">
      <alignment vertical="center"/>
    </xf>
    <xf numFmtId="43" fontId="91" fillId="0" borderId="0" xfId="83" applyFont="1" applyFill="1" applyBorder="1" applyAlignment="1">
      <alignment horizontal="center" vertical="center"/>
    </xf>
    <xf numFmtId="43" fontId="105" fillId="0" borderId="0" xfId="83" applyFont="1" applyFill="1" applyBorder="1" applyAlignment="1">
      <alignment vertical="center"/>
    </xf>
    <xf numFmtId="43" fontId="90" fillId="0" borderId="0" xfId="83" applyFont="1" applyFill="1" applyBorder="1" applyAlignment="1">
      <alignment horizontal="center" vertical="center"/>
    </xf>
    <xf numFmtId="43" fontId="91" fillId="43" borderId="0" xfId="83" applyFont="1" applyFill="1" applyBorder="1" applyAlignment="1">
      <alignment horizontal="center" vertical="center"/>
    </xf>
    <xf numFmtId="43" fontId="90" fillId="43" borderId="0" xfId="83" applyFont="1" applyFill="1" applyBorder="1" applyAlignment="1">
      <alignment horizontal="center" vertical="center"/>
    </xf>
    <xf numFmtId="43" fontId="96" fillId="0" borderId="61" xfId="83" applyFont="1" applyFill="1" applyBorder="1" applyAlignment="1">
      <alignment vertical="center"/>
    </xf>
    <xf numFmtId="43" fontId="96" fillId="0" borderId="61" xfId="83" applyFont="1" applyFill="1" applyBorder="1" applyAlignment="1">
      <alignment horizontal="center" vertical="center"/>
    </xf>
    <xf numFmtId="0" fontId="71" fillId="0" borderId="0" xfId="83" applyNumberFormat="1" applyFont="1" applyFill="1" applyBorder="1" applyAlignment="1">
      <alignment horizontal="left" vertical="center" indent="1"/>
    </xf>
    <xf numFmtId="198" fontId="84" fillId="0" borderId="0" xfId="85" applyNumberFormat="1" applyFont="1" applyFill="1" applyAlignment="1">
      <alignment horizontal="center"/>
      <protection hidden="1"/>
    </xf>
    <xf numFmtId="201" fontId="80" fillId="0" borderId="0" xfId="83" applyNumberFormat="1" applyFont="1" applyFill="1" applyBorder="1" applyAlignment="1">
      <alignment vertical="center"/>
    </xf>
    <xf numFmtId="0" fontId="78" fillId="0" borderId="0" xfId="83" applyNumberFormat="1" applyFont="1" applyFill="1" applyBorder="1" applyAlignment="1">
      <alignment horizontal="left" vertical="center" indent="1"/>
    </xf>
    <xf numFmtId="0" fontId="106" fillId="43" borderId="0" xfId="83" applyNumberFormat="1" applyFont="1" applyFill="1" applyBorder="1" applyAlignment="1">
      <alignment vertical="center"/>
    </xf>
    <xf numFmtId="0" fontId="80" fillId="43" borderId="0" xfId="83" applyNumberFormat="1" applyFont="1" applyFill="1" applyBorder="1" applyAlignment="1">
      <alignment vertical="center"/>
    </xf>
    <xf numFmtId="182" fontId="78" fillId="0" borderId="0" xfId="83" applyNumberFormat="1" applyFont="1" applyFill="1" applyBorder="1" applyAlignment="1">
      <alignment vertical="center"/>
    </xf>
    <xf numFmtId="43" fontId="83" fillId="43" borderId="0" xfId="83" applyFont="1" applyFill="1" applyBorder="1" applyAlignment="1">
      <alignment horizontal="center" vertical="center"/>
    </xf>
    <xf numFmtId="43" fontId="119" fillId="0" borderId="0" xfId="83" applyFont="1" applyFill="1" applyBorder="1" applyAlignment="1">
      <alignment horizontal="center" vertical="center"/>
    </xf>
    <xf numFmtId="198" fontId="77" fillId="0" borderId="0" xfId="0" applyNumberFormat="1" applyFont="1" applyAlignment="1">
      <alignment horizontal="center" vertical="center"/>
    </xf>
    <xf numFmtId="198" fontId="78" fillId="0" borderId="0" xfId="83" applyNumberFormat="1" applyFont="1" applyFill="1" applyBorder="1" applyAlignment="1">
      <alignment horizontal="center" wrapText="1"/>
    </xf>
    <xf numFmtId="182" fontId="78" fillId="43" borderId="0" xfId="83" applyNumberFormat="1" applyFont="1" applyFill="1" applyBorder="1" applyAlignment="1">
      <alignment horizontal="center" wrapText="1"/>
    </xf>
    <xf numFmtId="198" fontId="78" fillId="43" borderId="61" xfId="83" applyNumberFormat="1" applyFont="1" applyFill="1" applyBorder="1" applyAlignment="1">
      <alignment horizontal="center" wrapText="1"/>
    </xf>
    <xf numFmtId="0" fontId="75" fillId="0" borderId="0" xfId="83" applyNumberFormat="1" applyFont="1" applyFill="1" applyBorder="1" applyAlignment="1">
      <alignment horizontal="left" vertical="center" indent="1"/>
    </xf>
    <xf numFmtId="198" fontId="75" fillId="43" borderId="61" xfId="83" applyNumberFormat="1" applyFont="1" applyFill="1" applyBorder="1" applyAlignment="1">
      <alignment horizontal="center" wrapText="1"/>
    </xf>
    <xf numFmtId="182" fontId="78" fillId="43" borderId="61" xfId="83" applyNumberFormat="1" applyFont="1" applyFill="1" applyBorder="1" applyAlignment="1">
      <alignment horizontal="center" wrapText="1"/>
    </xf>
    <xf numFmtId="0" fontId="75" fillId="0" borderId="61" xfId="83" applyNumberFormat="1" applyFont="1" applyFill="1" applyBorder="1" applyAlignment="1">
      <alignment horizontal="left" vertical="center" indent="1"/>
    </xf>
    <xf numFmtId="198" fontId="77" fillId="52" borderId="61" xfId="83" applyNumberFormat="1" applyFont="1" applyFill="1" applyBorder="1" applyAlignment="1">
      <alignment horizontal="center" wrapText="1"/>
    </xf>
    <xf numFmtId="0" fontId="77" fillId="0" borderId="0" xfId="83" applyNumberFormat="1" applyFont="1" applyFill="1" applyBorder="1" applyAlignment="1">
      <alignment horizontal="left" vertical="center" indent="1"/>
    </xf>
    <xf numFmtId="198" fontId="132" fillId="43" borderId="0" xfId="83" applyNumberFormat="1" applyFont="1" applyFill="1" applyBorder="1" applyAlignment="1">
      <alignment horizontal="center" wrapText="1"/>
    </xf>
    <xf numFmtId="198" fontId="77" fillId="51" borderId="0" xfId="0" applyNumberFormat="1" applyFont="1" applyFill="1" applyAlignment="1">
      <alignment horizontal="center"/>
    </xf>
    <xf numFmtId="198" fontId="75" fillId="0" borderId="0" xfId="0" applyNumberFormat="1" applyFont="1" applyAlignment="1">
      <alignment horizontal="center" vertical="center"/>
    </xf>
    <xf numFmtId="182" fontId="131" fillId="0" borderId="0" xfId="83" applyNumberFormat="1" applyFont="1" applyFill="1" applyBorder="1" applyAlignment="1">
      <alignment horizontal="center" vertical="center"/>
    </xf>
    <xf numFmtId="198" fontId="75" fillId="51" borderId="0" xfId="84" applyNumberFormat="1" applyFont="1" applyFill="1" applyAlignment="1">
      <alignment horizontal="center"/>
    </xf>
    <xf numFmtId="9" fontId="77" fillId="0" borderId="0" xfId="80" applyFont="1" applyFill="1" applyAlignment="1">
      <alignment horizontal="center" vertical="center"/>
    </xf>
    <xf numFmtId="198" fontId="78" fillId="51" borderId="0" xfId="85" applyNumberFormat="1" applyFont="1" applyFill="1">
      <alignment horizontal="center" vertical="center"/>
      <protection hidden="1"/>
    </xf>
    <xf numFmtId="182" fontId="133" fillId="0" borderId="0" xfId="83" applyNumberFormat="1" applyFont="1" applyFill="1" applyBorder="1" applyAlignment="1">
      <alignment vertical="center"/>
    </xf>
    <xf numFmtId="198" fontId="77" fillId="51" borderId="0" xfId="85" applyNumberFormat="1" applyFont="1" applyFill="1">
      <alignment horizontal="center" vertical="center"/>
      <protection hidden="1"/>
    </xf>
    <xf numFmtId="198" fontId="75" fillId="51" borderId="0" xfId="85" applyNumberFormat="1" applyFont="1" applyFill="1">
      <alignment horizontal="center" vertical="center"/>
      <protection hidden="1"/>
    </xf>
    <xf numFmtId="0" fontId="73" fillId="0" borderId="0" xfId="85" applyFont="1" applyFill="1" applyAlignment="1">
      <alignment horizontal="left" vertical="center" indent="2"/>
      <protection hidden="1"/>
    </xf>
    <xf numFmtId="0" fontId="77" fillId="0" borderId="0" xfId="85" applyFont="1" applyFill="1" applyAlignment="1">
      <alignment horizontal="left" vertical="center" indent="2"/>
      <protection hidden="1"/>
    </xf>
    <xf numFmtId="198" fontId="73" fillId="51" borderId="0" xfId="85" applyNumberFormat="1" applyFont="1" applyFill="1">
      <alignment horizontal="center" vertical="center"/>
      <protection hidden="1"/>
    </xf>
    <xf numFmtId="43" fontId="97" fillId="43" borderId="0" xfId="83" applyFont="1" applyFill="1" applyBorder="1" applyAlignment="1">
      <alignment vertical="center"/>
    </xf>
    <xf numFmtId="43" fontId="119" fillId="0" borderId="0" xfId="83" applyFont="1" applyFill="1" applyBorder="1" applyAlignment="1">
      <alignment vertical="center"/>
    </xf>
    <xf numFmtId="198" fontId="77" fillId="43" borderId="0" xfId="83" applyNumberFormat="1" applyFont="1" applyFill="1" applyBorder="1" applyAlignment="1">
      <alignment horizontal="center" wrapText="1"/>
    </xf>
    <xf numFmtId="198" fontId="119" fillId="43" borderId="61" xfId="83" applyNumberFormat="1" applyFont="1" applyFill="1" applyBorder="1" applyAlignment="1">
      <alignment horizontal="center" wrapText="1"/>
    </xf>
    <xf numFmtId="10" fontId="119" fillId="0" borderId="0" xfId="83" applyNumberFormat="1" applyFont="1" applyFill="1" applyBorder="1" applyAlignment="1">
      <alignment vertical="center"/>
    </xf>
    <xf numFmtId="43" fontId="131" fillId="43" borderId="0" xfId="83" applyFont="1" applyFill="1" applyBorder="1" applyAlignment="1">
      <alignment vertical="center"/>
    </xf>
    <xf numFmtId="182" fontId="131" fillId="43" borderId="0" xfId="83" applyNumberFormat="1" applyFont="1" applyFill="1" applyBorder="1" applyAlignment="1">
      <alignment vertical="center"/>
    </xf>
    <xf numFmtId="182" fontId="91" fillId="43" borderId="0" xfId="83" applyNumberFormat="1" applyFont="1" applyFill="1" applyBorder="1" applyAlignment="1">
      <alignment horizontal="center" vertical="center"/>
    </xf>
    <xf numFmtId="4" fontId="75" fillId="0" borderId="0" xfId="85" applyNumberFormat="1" applyFont="1" applyFill="1">
      <alignment horizontal="center" vertical="center"/>
      <protection hidden="1"/>
    </xf>
    <xf numFmtId="198" fontId="77" fillId="43" borderId="61" xfId="83" applyNumberFormat="1" applyFont="1" applyFill="1" applyBorder="1" applyAlignment="1">
      <alignment horizontal="center" wrapText="1"/>
    </xf>
    <xf numFmtId="43" fontId="97" fillId="0" borderId="0" xfId="83" applyFont="1" applyFill="1" applyBorder="1" applyAlignment="1">
      <alignment horizontal="center" vertical="center"/>
    </xf>
    <xf numFmtId="43" fontId="135" fillId="0" borderId="0" xfId="83" applyFont="1" applyFill="1" applyBorder="1" applyAlignment="1">
      <alignment vertical="center"/>
    </xf>
    <xf numFmtId="43" fontId="131" fillId="0" borderId="0" xfId="83" applyFont="1" applyFill="1" applyBorder="1" applyAlignment="1">
      <alignment horizontal="center" vertical="center"/>
    </xf>
    <xf numFmtId="198" fontId="111" fillId="0" borderId="0" xfId="85" applyNumberFormat="1" applyFont="1" applyFill="1">
      <alignment horizontal="center" vertical="center"/>
      <protection hidden="1"/>
    </xf>
    <xf numFmtId="198" fontId="113" fillId="0" borderId="0" xfId="84" applyNumberFormat="1" applyFont="1" applyAlignment="1">
      <alignment horizontal="center"/>
    </xf>
    <xf numFmtId="198" fontId="78" fillId="51" borderId="0" xfId="83" applyNumberFormat="1" applyFont="1" applyFill="1" applyBorder="1" applyAlignment="1">
      <alignment horizontal="center" wrapText="1"/>
    </xf>
    <xf numFmtId="198" fontId="78" fillId="51" borderId="0" xfId="84" applyNumberFormat="1" applyFont="1" applyFill="1" applyAlignment="1">
      <alignment horizontal="center" vertical="center"/>
    </xf>
    <xf numFmtId="203" fontId="75" fillId="51" borderId="0" xfId="84" applyNumberFormat="1" applyFont="1" applyFill="1" applyAlignment="1">
      <alignment horizontal="center"/>
    </xf>
    <xf numFmtId="203" fontId="83" fillId="51" borderId="0" xfId="84" applyNumberFormat="1" applyFont="1" applyFill="1" applyAlignment="1">
      <alignment horizontal="center"/>
    </xf>
    <xf numFmtId="0" fontId="43" fillId="0" borderId="0" xfId="58" applyFont="1" applyAlignment="1">
      <alignment horizontal="center"/>
    </xf>
    <xf numFmtId="0" fontId="36" fillId="0" borderId="0" xfId="58" quotePrefix="1" applyFont="1" applyFill="1" applyBorder="1" applyAlignment="1">
      <alignment horizontal="center"/>
    </xf>
    <xf numFmtId="198" fontId="75" fillId="0" borderId="0" xfId="76" applyNumberFormat="1" applyFont="1" applyFill="1">
      <alignment horizontal="center" vertical="center"/>
      <protection hidden="1"/>
    </xf>
    <xf numFmtId="198" fontId="78" fillId="51" borderId="0" xfId="0" applyNumberFormat="1" applyFont="1" applyFill="1" applyAlignment="1">
      <alignment horizontal="center" vertical="center"/>
    </xf>
    <xf numFmtId="0" fontId="77" fillId="52" borderId="61" xfId="84" applyFont="1" applyFill="1" applyBorder="1" applyAlignment="1">
      <alignment horizontal="center" vertical="center"/>
    </xf>
    <xf numFmtId="0" fontId="77" fillId="52" borderId="61" xfId="85" applyFont="1" applyFill="1" applyBorder="1" applyAlignment="1">
      <alignment horizontal="left"/>
      <protection hidden="1"/>
    </xf>
    <xf numFmtId="43" fontId="97" fillId="52" borderId="0" xfId="83" applyFont="1" applyFill="1" applyBorder="1" applyAlignment="1">
      <alignment vertical="center"/>
    </xf>
    <xf numFmtId="198" fontId="119" fillId="52" borderId="61" xfId="83" applyNumberFormat="1" applyFont="1" applyFill="1" applyBorder="1" applyAlignment="1">
      <alignment horizontal="center" wrapText="1"/>
    </xf>
    <xf numFmtId="0" fontId="119" fillId="52" borderId="61" xfId="84" applyFont="1" applyFill="1" applyBorder="1" applyAlignment="1">
      <alignment horizontal="center" vertical="center"/>
    </xf>
    <xf numFmtId="198" fontId="91" fillId="0" borderId="0" xfId="83" applyNumberFormat="1" applyFont="1" applyFill="1" applyBorder="1" applyAlignment="1">
      <alignment vertical="center"/>
    </xf>
    <xf numFmtId="8" fontId="1" fillId="0" borderId="0" xfId="0" applyNumberFormat="1" applyFont="1"/>
    <xf numFmtId="10" fontId="36" fillId="0" borderId="0" xfId="58" applyNumberFormat="1" applyFont="1"/>
    <xf numFmtId="167" fontId="75" fillId="0" borderId="0" xfId="75" applyFont="1" applyFill="1" applyBorder="1" applyAlignment="1">
      <alignment vertical="center"/>
    </xf>
    <xf numFmtId="198" fontId="132" fillId="43" borderId="0" xfId="75" applyNumberFormat="1" applyFont="1" applyFill="1" applyBorder="1" applyAlignment="1">
      <alignment horizontal="center" wrapText="1"/>
    </xf>
    <xf numFmtId="167" fontId="77" fillId="0" borderId="0" xfId="75" applyFont="1" applyFill="1" applyBorder="1" applyAlignment="1">
      <alignment vertical="center"/>
    </xf>
    <xf numFmtId="167" fontId="77" fillId="43" borderId="0" xfId="75" applyFont="1" applyFill="1" applyBorder="1" applyAlignment="1">
      <alignment vertical="center"/>
    </xf>
    <xf numFmtId="167" fontId="119" fillId="43" borderId="0" xfId="75" applyFont="1" applyFill="1" applyBorder="1" applyAlignment="1">
      <alignment vertical="center"/>
    </xf>
    <xf numFmtId="198" fontId="77" fillId="0" borderId="0" xfId="0" applyNumberFormat="1" applyFont="1" applyAlignment="1">
      <alignment horizontal="center"/>
    </xf>
    <xf numFmtId="43" fontId="75" fillId="43" borderId="0" xfId="83" applyFont="1" applyFill="1" applyBorder="1" applyAlignment="1">
      <alignment vertical="center"/>
    </xf>
    <xf numFmtId="178" fontId="78" fillId="43" borderId="0" xfId="75" applyNumberFormat="1" applyFont="1" applyFill="1" applyBorder="1" applyAlignment="1">
      <alignment vertical="center"/>
    </xf>
    <xf numFmtId="0" fontId="68" fillId="0" borderId="0" xfId="58" applyFont="1"/>
    <xf numFmtId="170" fontId="46" fillId="0" borderId="0" xfId="56" applyFont="1" applyFill="1" applyBorder="1"/>
    <xf numFmtId="170" fontId="40" fillId="0" borderId="0" xfId="56" applyFont="1" applyBorder="1"/>
    <xf numFmtId="4" fontId="1" fillId="0" borderId="0" xfId="0" applyNumberFormat="1" applyFont="1"/>
    <xf numFmtId="4" fontId="0" fillId="0" borderId="0" xfId="0" applyNumberFormat="1"/>
    <xf numFmtId="0" fontId="137" fillId="0" borderId="0" xfId="84" applyFont="1" applyAlignment="1">
      <alignment vertical="center"/>
    </xf>
    <xf numFmtId="0" fontId="108" fillId="0" borderId="0" xfId="84"/>
    <xf numFmtId="0" fontId="108" fillId="0" borderId="0" xfId="84" applyAlignment="1">
      <alignment horizontal="center"/>
    </xf>
    <xf numFmtId="0" fontId="138" fillId="0" borderId="0" xfId="84" applyFont="1" applyAlignment="1">
      <alignment vertical="center"/>
    </xf>
    <xf numFmtId="0" fontId="137" fillId="0" borderId="0" xfId="84" applyFont="1" applyAlignment="1">
      <alignment horizontal="left" vertical="center"/>
    </xf>
    <xf numFmtId="0" fontId="139" fillId="52" borderId="76" xfId="84" applyFont="1" applyFill="1" applyBorder="1"/>
    <xf numFmtId="0" fontId="140" fillId="52" borderId="77" xfId="84" applyFont="1" applyFill="1" applyBorder="1"/>
    <xf numFmtId="0" fontId="140" fillId="52" borderId="77" xfId="84" applyFont="1" applyFill="1" applyBorder="1" applyAlignment="1">
      <alignment horizontal="center"/>
    </xf>
    <xf numFmtId="0" fontId="140" fillId="52" borderId="78" xfId="84" applyFont="1" applyFill="1" applyBorder="1"/>
    <xf numFmtId="0" fontId="141" fillId="52" borderId="79" xfId="86" applyFont="1" applyFill="1" applyBorder="1" applyAlignment="1">
      <alignment horizontal="center" vertical="center"/>
    </xf>
    <xf numFmtId="0" fontId="141" fillId="52" borderId="79" xfId="86" applyFont="1" applyFill="1" applyBorder="1" applyAlignment="1">
      <alignment horizontal="center" vertical="center" wrapText="1"/>
    </xf>
    <xf numFmtId="0" fontId="141" fillId="0" borderId="79" xfId="87" applyFont="1" applyBorder="1" applyAlignment="1">
      <alignment horizontal="left" vertical="center"/>
    </xf>
    <xf numFmtId="0" fontId="142" fillId="0" borderId="79" xfId="87" applyFont="1" applyBorder="1" applyAlignment="1">
      <alignment horizontal="left" vertical="center"/>
    </xf>
    <xf numFmtId="0" fontId="142" fillId="0" borderId="79" xfId="87" applyFont="1" applyBorder="1" applyAlignment="1">
      <alignment horizontal="center" vertical="center"/>
    </xf>
    <xf numFmtId="43" fontId="142" fillId="0" borderId="79" xfId="88" applyFont="1" applyFill="1" applyBorder="1" applyAlignment="1">
      <alignment horizontal="center" vertical="center"/>
    </xf>
    <xf numFmtId="0" fontId="141" fillId="0" borderId="79" xfId="87" applyFont="1" applyBorder="1" applyAlignment="1">
      <alignment horizontal="center" vertical="center"/>
    </xf>
    <xf numFmtId="0" fontId="141" fillId="52" borderId="76" xfId="87" applyFont="1" applyFill="1" applyBorder="1" applyAlignment="1">
      <alignment horizontal="left" vertical="center"/>
    </xf>
    <xf numFmtId="0" fontId="141" fillId="52" borderId="77" xfId="87" applyFont="1" applyFill="1" applyBorder="1" applyAlignment="1">
      <alignment horizontal="center" vertical="center"/>
    </xf>
    <xf numFmtId="43" fontId="141" fillId="52" borderId="77" xfId="88" applyFont="1" applyFill="1" applyBorder="1" applyAlignment="1">
      <alignment horizontal="center" vertical="center"/>
    </xf>
    <xf numFmtId="0" fontId="141" fillId="52" borderId="80" xfId="87" applyFont="1" applyFill="1" applyBorder="1" applyAlignment="1">
      <alignment horizontal="center" vertical="center"/>
    </xf>
    <xf numFmtId="0" fontId="142" fillId="52" borderId="78" xfId="87" applyFont="1" applyFill="1" applyBorder="1" applyAlignment="1">
      <alignment horizontal="center" vertical="center"/>
    </xf>
    <xf numFmtId="43" fontId="69" fillId="0" borderId="79" xfId="88" applyFont="1" applyFill="1" applyBorder="1" applyAlignment="1">
      <alignment horizontal="center" vertical="center"/>
    </xf>
    <xf numFmtId="0" fontId="69" fillId="0" borderId="79" xfId="87" applyFont="1" applyBorder="1" applyAlignment="1">
      <alignment horizontal="center" vertical="center"/>
    </xf>
    <xf numFmtId="1" fontId="142" fillId="0" borderId="79" xfId="87" applyNumberFormat="1" applyFont="1" applyBorder="1" applyAlignment="1">
      <alignment horizontal="center" vertical="center"/>
    </xf>
    <xf numFmtId="0" fontId="69" fillId="0" borderId="79" xfId="87" applyFont="1" applyBorder="1" applyAlignment="1">
      <alignment horizontal="left" vertical="center"/>
    </xf>
    <xf numFmtId="0" fontId="138" fillId="0" borderId="79" xfId="84" applyFont="1" applyBorder="1" applyAlignment="1">
      <alignment vertical="center"/>
    </xf>
    <xf numFmtId="0" fontId="69" fillId="43" borderId="79" xfId="87" applyFont="1" applyFill="1" applyBorder="1" applyAlignment="1">
      <alignment horizontal="left" vertical="center"/>
    </xf>
    <xf numFmtId="0" fontId="143" fillId="0" borderId="79" xfId="87" applyFont="1" applyBorder="1" applyAlignment="1">
      <alignment horizontal="center" vertical="center"/>
    </xf>
    <xf numFmtId="1" fontId="143" fillId="0" borderId="79" xfId="87" applyNumberFormat="1" applyFont="1" applyBorder="1" applyAlignment="1">
      <alignment horizontal="center" vertical="center"/>
    </xf>
    <xf numFmtId="0" fontId="144" fillId="0" borderId="0" xfId="84" applyFont="1"/>
    <xf numFmtId="0" fontId="140" fillId="0" borderId="0" xfId="84" applyFont="1"/>
    <xf numFmtId="0" fontId="142" fillId="0" borderId="79" xfId="87" applyFont="1" applyBorder="1" applyAlignment="1">
      <alignment horizontal="left" vertical="center" wrapText="1"/>
    </xf>
    <xf numFmtId="0" fontId="145" fillId="0" borderId="79" xfId="84" applyFont="1" applyBorder="1" applyAlignment="1">
      <alignment vertical="center"/>
    </xf>
    <xf numFmtId="0" fontId="145" fillId="43" borderId="79" xfId="84" applyFont="1" applyFill="1" applyBorder="1" applyAlignment="1">
      <alignment vertical="center"/>
    </xf>
    <xf numFmtId="0" fontId="142" fillId="43" borderId="79" xfId="87" applyFont="1" applyFill="1" applyBorder="1" applyAlignment="1">
      <alignment horizontal="center" vertical="center"/>
    </xf>
    <xf numFmtId="43" fontId="142" fillId="43" borderId="79" xfId="88" applyFont="1" applyFill="1" applyBorder="1" applyAlignment="1">
      <alignment horizontal="center" vertical="center"/>
    </xf>
    <xf numFmtId="0" fontId="142" fillId="0" borderId="12" xfId="87" applyFont="1" applyBorder="1" applyAlignment="1">
      <alignment horizontal="left" vertical="center"/>
    </xf>
    <xf numFmtId="43" fontId="142" fillId="0" borderId="79" xfId="88" applyFont="1" applyBorder="1" applyAlignment="1">
      <alignment horizontal="center" vertical="center"/>
    </xf>
    <xf numFmtId="1" fontId="69" fillId="0" borderId="79" xfId="87" applyNumberFormat="1" applyFont="1" applyBorder="1" applyAlignment="1">
      <alignment horizontal="center" vertical="center"/>
    </xf>
    <xf numFmtId="43" fontId="142" fillId="0" borderId="0" xfId="88" applyFont="1" applyFill="1" applyBorder="1" applyAlignment="1">
      <alignment horizontal="center" vertical="center"/>
    </xf>
    <xf numFmtId="0" fontId="142" fillId="0" borderId="79" xfId="87" applyFont="1" applyBorder="1" applyAlignment="1">
      <alignment horizontal="center" vertical="center" wrapText="1"/>
    </xf>
    <xf numFmtId="43" fontId="143" fillId="0" borderId="0" xfId="88" applyFont="1" applyFill="1" applyBorder="1" applyAlignment="1">
      <alignment horizontal="center" vertical="center"/>
    </xf>
    <xf numFmtId="0" fontId="142" fillId="0" borderId="79" xfId="87" applyFont="1" applyBorder="1" applyAlignment="1">
      <alignment horizontal="left" vertical="center" indent="1"/>
    </xf>
    <xf numFmtId="0" fontId="146" fillId="0" borderId="0" xfId="84" applyFont="1"/>
    <xf numFmtId="0" fontId="139" fillId="52" borderId="77" xfId="84" applyFont="1" applyFill="1" applyBorder="1" applyAlignment="1">
      <alignment vertical="center"/>
    </xf>
    <xf numFmtId="43" fontId="141" fillId="52" borderId="77" xfId="88" applyFont="1" applyFill="1" applyBorder="1" applyAlignment="1">
      <alignment horizontal="center" vertical="center" wrapText="1"/>
    </xf>
    <xf numFmtId="43" fontId="141" fillId="0" borderId="79" xfId="88" applyFont="1" applyFill="1" applyBorder="1" applyAlignment="1">
      <alignment horizontal="center" vertical="center"/>
    </xf>
    <xf numFmtId="0" fontId="147" fillId="0" borderId="0" xfId="84" applyFont="1" applyAlignment="1">
      <alignment horizontal="right"/>
    </xf>
    <xf numFmtId="49" fontId="148" fillId="0" borderId="0" xfId="84" applyNumberFormat="1" applyFont="1"/>
    <xf numFmtId="0" fontId="145" fillId="52" borderId="81" xfId="84" applyFont="1" applyFill="1" applyBorder="1" applyAlignment="1">
      <alignment vertical="center"/>
    </xf>
    <xf numFmtId="0" fontId="145" fillId="52" borderId="82" xfId="84" applyFont="1" applyFill="1" applyBorder="1" applyAlignment="1">
      <alignment vertical="center"/>
    </xf>
    <xf numFmtId="0" fontId="145" fillId="52" borderId="83" xfId="84" applyFont="1" applyFill="1" applyBorder="1" applyAlignment="1">
      <alignment vertical="center"/>
    </xf>
    <xf numFmtId="0" fontId="138" fillId="0" borderId="12" xfId="84" applyFont="1" applyBorder="1" applyAlignment="1">
      <alignment horizontal="center" vertical="center"/>
    </xf>
    <xf numFmtId="9" fontId="138" fillId="55" borderId="12" xfId="80" applyFont="1" applyFill="1" applyBorder="1" applyAlignment="1">
      <alignment horizontal="center" vertical="center"/>
    </xf>
    <xf numFmtId="4" fontId="145" fillId="0" borderId="12" xfId="84" applyNumberFormat="1" applyFont="1" applyBorder="1" applyAlignment="1">
      <alignment horizontal="center" vertical="center"/>
    </xf>
    <xf numFmtId="4" fontId="145" fillId="0" borderId="0" xfId="84" applyNumberFormat="1" applyFont="1" applyAlignment="1">
      <alignment horizontal="center" vertical="center"/>
    </xf>
    <xf numFmtId="10" fontId="138" fillId="43" borderId="12" xfId="80" applyNumberFormat="1" applyFont="1" applyFill="1" applyBorder="1" applyAlignment="1">
      <alignment horizontal="center" vertical="center"/>
    </xf>
    <xf numFmtId="10" fontId="138" fillId="43" borderId="0" xfId="80" applyNumberFormat="1" applyFont="1" applyFill="1" applyBorder="1" applyAlignment="1">
      <alignment horizontal="center" vertical="center"/>
    </xf>
    <xf numFmtId="4" fontId="138" fillId="43" borderId="12" xfId="84" applyNumberFormat="1" applyFont="1" applyFill="1" applyBorder="1" applyAlignment="1">
      <alignment horizontal="center" vertical="center"/>
    </xf>
    <xf numFmtId="4" fontId="138" fillId="43" borderId="0" xfId="84" applyNumberFormat="1" applyFont="1" applyFill="1" applyAlignment="1">
      <alignment horizontal="center" vertical="center"/>
    </xf>
    <xf numFmtId="4" fontId="138" fillId="55" borderId="81" xfId="84" applyNumberFormat="1" applyFont="1" applyFill="1" applyBorder="1" applyAlignment="1">
      <alignment horizontal="center" vertical="center"/>
    </xf>
    <xf numFmtId="4" fontId="138" fillId="43" borderId="83" xfId="84" applyNumberFormat="1" applyFont="1" applyFill="1" applyBorder="1" applyAlignment="1">
      <alignment horizontal="left" vertical="center"/>
    </xf>
    <xf numFmtId="0" fontId="149" fillId="52" borderId="12" xfId="84" applyFont="1" applyFill="1" applyBorder="1" applyAlignment="1">
      <alignment horizontal="center" vertical="center"/>
    </xf>
    <xf numFmtId="0" fontId="149" fillId="52" borderId="12" xfId="84" applyFont="1" applyFill="1" applyBorder="1" applyAlignment="1">
      <alignment horizontal="center" vertical="center" wrapText="1"/>
    </xf>
    <xf numFmtId="0" fontId="145" fillId="0" borderId="12" xfId="84" applyFont="1" applyBorder="1" applyAlignment="1">
      <alignment vertical="center"/>
    </xf>
    <xf numFmtId="4" fontId="145" fillId="43" borderId="12" xfId="84" applyNumberFormat="1" applyFont="1" applyFill="1" applyBorder="1" applyAlignment="1">
      <alignment horizontal="center" vertical="center"/>
    </xf>
    <xf numFmtId="9" fontId="145" fillId="43" borderId="12" xfId="80" applyFont="1" applyFill="1" applyBorder="1" applyAlignment="1">
      <alignment horizontal="center" vertical="center"/>
    </xf>
    <xf numFmtId="9" fontId="145" fillId="0" borderId="12" xfId="80" applyFont="1" applyFill="1" applyBorder="1" applyAlignment="1">
      <alignment horizontal="center" vertical="center"/>
    </xf>
    <xf numFmtId="0" fontId="136" fillId="56" borderId="79" xfId="89" applyFont="1" applyFill="1" applyBorder="1" applyAlignment="1">
      <alignment horizontal="center" vertical="center" wrapText="1"/>
    </xf>
    <xf numFmtId="0" fontId="136" fillId="0" borderId="79" xfId="89" applyFont="1" applyBorder="1" applyAlignment="1">
      <alignment horizontal="center" vertical="center" wrapText="1"/>
    </xf>
    <xf numFmtId="43" fontId="136" fillId="0" borderId="79" xfId="89" applyNumberFormat="1" applyFont="1" applyBorder="1" applyAlignment="1">
      <alignment horizontal="center" vertical="center" wrapText="1"/>
    </xf>
    <xf numFmtId="10" fontId="136" fillId="0" borderId="79" xfId="89" applyNumberFormat="1" applyFont="1" applyBorder="1" applyAlignment="1">
      <alignment horizontal="center" vertical="center" wrapText="1"/>
    </xf>
    <xf numFmtId="0" fontId="136" fillId="51" borderId="79" xfId="89" applyFont="1" applyFill="1" applyBorder="1" applyAlignment="1">
      <alignment horizontal="center" vertical="center" wrapText="1"/>
    </xf>
    <xf numFmtId="43" fontId="136" fillId="51" borderId="79" xfId="89" applyNumberFormat="1" applyFont="1" applyFill="1" applyBorder="1" applyAlignment="1">
      <alignment horizontal="center" vertical="center" wrapText="1"/>
    </xf>
    <xf numFmtId="10" fontId="136" fillId="51" borderId="79" xfId="89" applyNumberFormat="1" applyFont="1" applyFill="1" applyBorder="1" applyAlignment="1">
      <alignment horizontal="center" vertical="center" wrapText="1"/>
    </xf>
    <xf numFmtId="10" fontId="151" fillId="53" borderId="79" xfId="89" applyNumberFormat="1" applyFont="1" applyFill="1" applyBorder="1" applyAlignment="1">
      <alignment horizontal="center" vertical="center" wrapText="1"/>
    </xf>
    <xf numFmtId="0" fontId="149" fillId="52" borderId="81" xfId="84" applyFont="1" applyFill="1" applyBorder="1" applyAlignment="1">
      <alignment vertical="center"/>
    </xf>
    <xf numFmtId="0" fontId="149" fillId="52" borderId="82" xfId="84" applyFont="1" applyFill="1" applyBorder="1" applyAlignment="1">
      <alignment vertical="center"/>
    </xf>
    <xf numFmtId="0" fontId="149" fillId="52" borderId="83" xfId="84" applyFont="1" applyFill="1" applyBorder="1" applyAlignment="1">
      <alignment vertical="center"/>
    </xf>
    <xf numFmtId="0" fontId="149" fillId="52" borderId="12" xfId="84" applyFont="1" applyFill="1" applyBorder="1" applyAlignment="1">
      <alignment horizontal="center" vertical="center" textRotation="90" wrapText="1"/>
    </xf>
    <xf numFmtId="0" fontId="145" fillId="52" borderId="83" xfId="84" applyFont="1" applyFill="1" applyBorder="1" applyAlignment="1">
      <alignment horizontal="center" vertical="center"/>
    </xf>
    <xf numFmtId="2" fontId="145" fillId="56" borderId="12" xfId="84" applyNumberFormat="1" applyFont="1" applyFill="1" applyBorder="1" applyAlignment="1">
      <alignment horizontal="center" vertical="center" wrapText="1"/>
    </xf>
    <xf numFmtId="1" fontId="145" fillId="43" borderId="12" xfId="84" applyNumberFormat="1" applyFont="1" applyFill="1" applyBorder="1" applyAlignment="1">
      <alignment horizontal="center" vertical="center"/>
    </xf>
    <xf numFmtId="1" fontId="145" fillId="43" borderId="12" xfId="80" applyNumberFormat="1" applyFont="1" applyFill="1" applyBorder="1" applyAlignment="1">
      <alignment horizontal="center" vertical="center"/>
    </xf>
    <xf numFmtId="1" fontId="145" fillId="0" borderId="12" xfId="84" applyNumberFormat="1" applyFont="1" applyBorder="1" applyAlignment="1">
      <alignment horizontal="center" vertical="center"/>
    </xf>
    <xf numFmtId="1" fontId="145" fillId="0" borderId="12" xfId="80" applyNumberFormat="1" applyFont="1" applyFill="1" applyBorder="1" applyAlignment="1">
      <alignment horizontal="center" vertical="center"/>
    </xf>
    <xf numFmtId="1" fontId="78" fillId="0" borderId="0" xfId="85" applyNumberFormat="1" applyFont="1" applyFill="1">
      <alignment horizontal="center" vertical="center"/>
      <protection hidden="1"/>
    </xf>
    <xf numFmtId="198" fontId="78" fillId="0" borderId="0" xfId="85" applyNumberFormat="1" applyFont="1" applyFill="1">
      <alignment horizontal="center" vertical="center"/>
      <protection hidden="1"/>
    </xf>
    <xf numFmtId="198" fontId="78" fillId="0" borderId="0" xfId="80" applyNumberFormat="1" applyFont="1" applyFill="1" applyAlignment="1">
      <alignment horizontal="center" vertical="center"/>
    </xf>
    <xf numFmtId="182" fontId="0" fillId="0" borderId="0" xfId="81" applyNumberFormat="1" applyFont="1"/>
    <xf numFmtId="43" fontId="0" fillId="0" borderId="0" xfId="81" applyFont="1"/>
    <xf numFmtId="10" fontId="78" fillId="43" borderId="0" xfId="83" applyNumberFormat="1" applyFont="1" applyFill="1" applyBorder="1" applyAlignment="1">
      <alignment vertical="center"/>
    </xf>
    <xf numFmtId="10" fontId="108" fillId="0" borderId="0" xfId="84" applyNumberFormat="1" applyAlignment="1">
      <alignment horizontal="center"/>
    </xf>
    <xf numFmtId="10" fontId="108" fillId="0" borderId="0" xfId="84" applyNumberFormat="1"/>
    <xf numFmtId="0" fontId="69" fillId="0" borderId="0" xfId="91" applyFont="1"/>
    <xf numFmtId="0" fontId="141" fillId="52" borderId="33" xfId="91" applyFont="1" applyFill="1" applyBorder="1" applyAlignment="1">
      <alignment horizontal="center" vertical="center"/>
    </xf>
    <xf numFmtId="0" fontId="141" fillId="52" borderId="28" xfId="91" applyFont="1" applyFill="1" applyBorder="1" applyAlignment="1">
      <alignment horizontal="center" vertical="center"/>
    </xf>
    <xf numFmtId="0" fontId="141" fillId="52" borderId="34" xfId="91" applyFont="1" applyFill="1" applyBorder="1" applyAlignment="1">
      <alignment horizontal="center" vertical="center"/>
    </xf>
    <xf numFmtId="0" fontId="69" fillId="0" borderId="0" xfId="91" applyFont="1" applyAlignment="1">
      <alignment horizontal="center"/>
    </xf>
    <xf numFmtId="0" fontId="69" fillId="0" borderId="0" xfId="91" applyFont="1" applyAlignment="1">
      <alignment horizontal="left" vertical="center"/>
    </xf>
    <xf numFmtId="0" fontId="69" fillId="0" borderId="0" xfId="91" applyFont="1" applyAlignment="1">
      <alignment horizontal="center" vertical="center"/>
    </xf>
    <xf numFmtId="0" fontId="69" fillId="0" borderId="15" xfId="91" applyFont="1" applyBorder="1" applyAlignment="1">
      <alignment horizontal="center"/>
    </xf>
    <xf numFmtId="0" fontId="69" fillId="0" borderId="15" xfId="91" applyFont="1" applyBorder="1" applyAlignment="1">
      <alignment horizontal="left" vertical="center"/>
    </xf>
    <xf numFmtId="0" fontId="69" fillId="0" borderId="15" xfId="91" applyFont="1" applyBorder="1"/>
    <xf numFmtId="10" fontId="69" fillId="0" borderId="0" xfId="92" applyNumberFormat="1" applyFont="1" applyAlignment="1">
      <alignment horizontal="center"/>
    </xf>
    <xf numFmtId="43" fontId="69" fillId="0" borderId="0" xfId="91" applyNumberFormat="1" applyFont="1" applyAlignment="1">
      <alignment horizontal="center"/>
    </xf>
    <xf numFmtId="0" fontId="141" fillId="52" borderId="35" xfId="91" applyFont="1" applyFill="1" applyBorder="1" applyAlignment="1">
      <alignment horizontal="center" vertical="center"/>
    </xf>
    <xf numFmtId="0" fontId="141" fillId="52" borderId="15" xfId="91" applyFont="1" applyFill="1" applyBorder="1" applyAlignment="1">
      <alignment horizontal="center" vertical="center"/>
    </xf>
    <xf numFmtId="0" fontId="141" fillId="52" borderId="36" xfId="91" applyFont="1" applyFill="1" applyBorder="1" applyAlignment="1">
      <alignment horizontal="left" vertical="center"/>
    </xf>
    <xf numFmtId="10" fontId="69" fillId="0" borderId="0" xfId="91" applyNumberFormat="1" applyFont="1" applyAlignment="1">
      <alignment horizontal="center"/>
    </xf>
    <xf numFmtId="9" fontId="69" fillId="0" borderId="0" xfId="92" applyFont="1" applyAlignment="1">
      <alignment horizontal="center"/>
    </xf>
    <xf numFmtId="10" fontId="141" fillId="52" borderId="15" xfId="92" applyNumberFormat="1" applyFont="1" applyFill="1" applyBorder="1" applyAlignment="1">
      <alignment horizontal="center" vertical="center"/>
    </xf>
    <xf numFmtId="10" fontId="69" fillId="0" borderId="0" xfId="92" applyNumberFormat="1" applyFont="1" applyFill="1" applyAlignment="1">
      <alignment horizontal="center"/>
    </xf>
    <xf numFmtId="10" fontId="69" fillId="0" borderId="0" xfId="92" applyNumberFormat="1" applyFont="1" applyFill="1" applyAlignment="1">
      <alignment horizontal="center" vertical="center"/>
    </xf>
    <xf numFmtId="43" fontId="69" fillId="0" borderId="0" xfId="93" applyFont="1" applyFill="1"/>
    <xf numFmtId="43" fontId="69" fillId="0" borderId="0" xfId="93" applyFont="1" applyFill="1" applyAlignment="1">
      <alignment horizontal="center"/>
    </xf>
    <xf numFmtId="0" fontId="155" fillId="0" borderId="0" xfId="0" applyFont="1"/>
    <xf numFmtId="43" fontId="140" fillId="0" borderId="0" xfId="84" applyNumberFormat="1" applyFont="1"/>
    <xf numFmtId="43" fontId="140" fillId="0" borderId="0" xfId="81" applyFont="1"/>
    <xf numFmtId="43" fontId="108" fillId="0" borderId="0" xfId="81"/>
    <xf numFmtId="10" fontId="34" fillId="41" borderId="19" xfId="47" applyNumberFormat="1" applyFont="1" applyFill="1" applyAlignment="1">
      <alignment horizontal="center"/>
    </xf>
    <xf numFmtId="205" fontId="34" fillId="41" borderId="19" xfId="47" applyNumberFormat="1" applyFont="1" applyFill="1" applyAlignment="1">
      <alignment horizontal="center"/>
    </xf>
    <xf numFmtId="10" fontId="39" fillId="34" borderId="10" xfId="80" applyNumberFormat="1" applyFont="1" applyFill="1" applyBorder="1"/>
    <xf numFmtId="0" fontId="43" fillId="0" borderId="0" xfId="58" applyFont="1" applyAlignment="1">
      <alignment horizontal="right"/>
    </xf>
    <xf numFmtId="0" fontId="43" fillId="0" borderId="0" xfId="0" applyFont="1" applyAlignment="1">
      <alignment horizontal="right"/>
    </xf>
    <xf numFmtId="0" fontId="142" fillId="0" borderId="0" xfId="91" applyFont="1"/>
    <xf numFmtId="43" fontId="144" fillId="0" borderId="0" xfId="81" applyFont="1"/>
    <xf numFmtId="206" fontId="37" fillId="51" borderId="20" xfId="46" applyNumberFormat="1" applyFont="1" applyFill="1" applyBorder="1" applyAlignment="1">
      <alignment horizontal="left"/>
    </xf>
    <xf numFmtId="0" fontId="52" fillId="0" borderId="31" xfId="0" applyFont="1" applyBorder="1" applyAlignment="1">
      <alignment horizontal="justify" vertical="top" wrapText="1"/>
    </xf>
    <xf numFmtId="0" fontId="52" fillId="0" borderId="0" xfId="0" applyFont="1" applyAlignment="1">
      <alignment horizontal="justify" vertical="top" wrapText="1"/>
    </xf>
    <xf numFmtId="0" fontId="52" fillId="0" borderId="32" xfId="0" applyFont="1" applyBorder="1" applyAlignment="1">
      <alignment horizontal="justify" vertical="top" wrapText="1"/>
    </xf>
    <xf numFmtId="0" fontId="40" fillId="0" borderId="70" xfId="0" applyFont="1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141" fillId="52" borderId="37" xfId="91" applyFont="1" applyFill="1" applyBorder="1" applyAlignment="1">
      <alignment horizontal="center"/>
    </xf>
    <xf numFmtId="0" fontId="141" fillId="52" borderId="16" xfId="91" applyFont="1" applyFill="1" applyBorder="1" applyAlignment="1">
      <alignment horizontal="center"/>
    </xf>
    <xf numFmtId="0" fontId="141" fillId="52" borderId="38" xfId="91" applyFont="1" applyFill="1" applyBorder="1" applyAlignment="1">
      <alignment horizontal="center"/>
    </xf>
    <xf numFmtId="0" fontId="0" fillId="0" borderId="0" xfId="0"/>
    <xf numFmtId="0" fontId="58" fillId="34" borderId="49" xfId="0" applyFont="1" applyFill="1" applyBorder="1" applyAlignment="1">
      <alignment horizontal="center" vertical="center"/>
    </xf>
    <xf numFmtId="0" fontId="58" fillId="34" borderId="50" xfId="0" applyFont="1" applyFill="1" applyBorder="1" applyAlignment="1">
      <alignment horizontal="center" vertical="center"/>
    </xf>
    <xf numFmtId="0" fontId="52" fillId="0" borderId="0" xfId="0" applyFont="1" applyAlignment="1">
      <alignment horizontal="justify" vertical="top"/>
    </xf>
    <xf numFmtId="0" fontId="52" fillId="0" borderId="32" xfId="0" applyFont="1" applyBorder="1" applyAlignment="1">
      <alignment horizontal="justify" vertical="top"/>
    </xf>
    <xf numFmtId="0" fontId="52" fillId="0" borderId="31" xfId="0" applyFont="1" applyBorder="1" applyAlignment="1">
      <alignment horizontal="justify" vertical="top"/>
    </xf>
    <xf numFmtId="0" fontId="149" fillId="52" borderId="81" xfId="84" applyFont="1" applyFill="1" applyBorder="1" applyAlignment="1">
      <alignment horizontal="center" vertical="center"/>
    </xf>
    <xf numFmtId="0" fontId="149" fillId="52" borderId="83" xfId="84" applyFont="1" applyFill="1" applyBorder="1" applyAlignment="1">
      <alignment horizontal="center" vertical="center"/>
    </xf>
    <xf numFmtId="0" fontId="136" fillId="53" borderId="76" xfId="89" applyFont="1" applyFill="1" applyBorder="1" applyAlignment="1">
      <alignment horizontal="center" vertical="center" wrapText="1"/>
    </xf>
    <xf numFmtId="0" fontId="136" fillId="53" borderId="77" xfId="89" applyFont="1" applyFill="1" applyBorder="1" applyAlignment="1">
      <alignment horizontal="center" vertical="center" wrapText="1"/>
    </xf>
    <xf numFmtId="0" fontId="136" fillId="53" borderId="78" xfId="89" applyFont="1" applyFill="1" applyBorder="1" applyAlignment="1">
      <alignment horizontal="center" vertical="center" wrapText="1"/>
    </xf>
    <xf numFmtId="0" fontId="136" fillId="53" borderId="79" xfId="89" applyFont="1" applyFill="1" applyBorder="1" applyAlignment="1">
      <alignment horizontal="center" vertical="center" wrapText="1"/>
    </xf>
    <xf numFmtId="0" fontId="151" fillId="56" borderId="86" xfId="89" applyFont="1" applyFill="1" applyBorder="1" applyAlignment="1">
      <alignment horizontal="center" vertical="center" wrapText="1"/>
    </xf>
    <xf numFmtId="0" fontId="151" fillId="56" borderId="87" xfId="89" applyFont="1" applyFill="1" applyBorder="1" applyAlignment="1">
      <alignment horizontal="center" vertical="center" wrapText="1"/>
    </xf>
    <xf numFmtId="0" fontId="151" fillId="56" borderId="88" xfId="89" applyFont="1" applyFill="1" applyBorder="1" applyAlignment="1">
      <alignment horizontal="center" vertical="center" wrapText="1"/>
    </xf>
    <xf numFmtId="0" fontId="138" fillId="0" borderId="81" xfId="84" applyFont="1" applyBorder="1" applyAlignment="1">
      <alignment horizontal="left" vertical="center"/>
    </xf>
    <xf numFmtId="0" fontId="138" fillId="0" borderId="83" xfId="84" applyFont="1" applyBorder="1" applyAlignment="1">
      <alignment horizontal="left" vertical="center"/>
    </xf>
    <xf numFmtId="0" fontId="149" fillId="52" borderId="84" xfId="84" applyFont="1" applyFill="1" applyBorder="1" applyAlignment="1">
      <alignment horizontal="center" vertical="center"/>
    </xf>
    <xf numFmtId="0" fontId="149" fillId="52" borderId="85" xfId="84" applyFont="1" applyFill="1" applyBorder="1" applyAlignment="1">
      <alignment horizontal="center" vertical="center"/>
    </xf>
    <xf numFmtId="0" fontId="138" fillId="0" borderId="81" xfId="84" applyFont="1" applyBorder="1" applyAlignment="1">
      <alignment horizontal="center" vertical="center"/>
    </xf>
    <xf numFmtId="0" fontId="138" fillId="0" borderId="82" xfId="84" applyFont="1" applyBorder="1" applyAlignment="1">
      <alignment horizontal="center" vertical="center"/>
    </xf>
    <xf numFmtId="0" fontId="150" fillId="52" borderId="76" xfId="89" applyFont="1" applyFill="1" applyBorder="1" applyAlignment="1">
      <alignment horizontal="center" vertical="center" wrapText="1"/>
    </xf>
    <xf numFmtId="0" fontId="150" fillId="52" borderId="77" xfId="89" applyFont="1" applyFill="1" applyBorder="1" applyAlignment="1">
      <alignment horizontal="center" vertical="center" wrapText="1"/>
    </xf>
    <xf numFmtId="0" fontId="150" fillId="52" borderId="78" xfId="89" applyFont="1" applyFill="1" applyBorder="1" applyAlignment="1">
      <alignment horizontal="center" vertical="center" wrapText="1"/>
    </xf>
  </cellXfs>
  <cellStyles count="94">
    <cellStyle name="20% - Ênfase1" xfId="18" builtinId="30" hidden="1"/>
    <cellStyle name="20% - Ênfase2" xfId="22" builtinId="34" hidden="1"/>
    <cellStyle name="20% - Ênfase3" xfId="26" builtinId="38" hidden="1"/>
    <cellStyle name="20% - Ênfase4" xfId="30" builtinId="42" hidden="1"/>
    <cellStyle name="20% - Ênfase5" xfId="34" builtinId="46" hidden="1"/>
    <cellStyle name="20% - Ênfase6" xfId="38" builtinId="50" hidden="1"/>
    <cellStyle name="40% - Ênfase1" xfId="19" builtinId="31" hidden="1"/>
    <cellStyle name="40% - Ênfase2" xfId="23" builtinId="35" hidden="1"/>
    <cellStyle name="40% - Ênfase3" xfId="27" builtinId="39" hidden="1"/>
    <cellStyle name="40% - Ênfase4" xfId="31" builtinId="43" hidden="1"/>
    <cellStyle name="40% - Ênfase5" xfId="35" builtinId="47" hidden="1"/>
    <cellStyle name="40% - Ênfase6" xfId="39" builtinId="51" hidden="1"/>
    <cellStyle name="60% - Ênfase1" xfId="20" builtinId="32" hidden="1"/>
    <cellStyle name="60% - Ênfase2" xfId="24" builtinId="36" hidden="1"/>
    <cellStyle name="60% - Ênfase3" xfId="28" builtinId="40" hidden="1"/>
    <cellStyle name="60% - Ênfase4" xfId="32" builtinId="44" hidden="1"/>
    <cellStyle name="60% - Ênfase5" xfId="36" builtinId="48" hidden="1"/>
    <cellStyle name="60% - Ênfase6" xfId="40" builtinId="52" hidden="1"/>
    <cellStyle name="Bom" xfId="5" builtinId="26" hidden="1"/>
    <cellStyle name="CadTitulo" xfId="76" xr:uid="{3CA99918-8588-4000-9198-A77852396A99}"/>
    <cellStyle name="CadTitulo 2" xfId="85" xr:uid="{B0C16534-4396-43C0-802C-EE42CBA28653}"/>
    <cellStyle name="Cálculo" xfId="10" builtinId="22" hidden="1"/>
    <cellStyle name="Célula de Verificação" xfId="12" builtinId="23" hidden="1"/>
    <cellStyle name="Célula Vinculada" xfId="11" builtinId="24" hidden="1"/>
    <cellStyle name="Comma" xfId="51" hidden="1" xr:uid="{D0F3DDB2-0AAB-4A90-BBBB-FB4EC33C0919}"/>
    <cellStyle name="Comma 10" xfId="79" xr:uid="{7360F995-88FF-45A3-B8CC-6AE2B0849790}"/>
    <cellStyle name="Comma 2" xfId="70" xr:uid="{48A4D43E-5EB8-4C0B-9213-1FDE2F3CA7B1}"/>
    <cellStyle name="Comma 3" xfId="82" xr:uid="{5AFF6F0C-747B-4337-92E3-0B1470C2E3B9}"/>
    <cellStyle name="Comma[0]" xfId="56" xr:uid="{6065A4B1-FB06-4532-86CC-13DDD7E37807}"/>
    <cellStyle name="Date" xfId="55" xr:uid="{402976A7-6272-4B94-89CB-35EB2235DAE4}"/>
    <cellStyle name="Empty" xfId="50" xr:uid="{254B0D7C-DBC4-4C1C-BE12-C453B0CA679F}"/>
    <cellStyle name="Ênfase1" xfId="17" builtinId="29" hidden="1"/>
    <cellStyle name="Ênfase2" xfId="21" builtinId="33" hidden="1"/>
    <cellStyle name="Ênfase3" xfId="25" builtinId="37" hidden="1"/>
    <cellStyle name="Ênfase4" xfId="29" builtinId="41" hidden="1"/>
    <cellStyle name="Ênfase5" xfId="33" builtinId="45" hidden="1"/>
    <cellStyle name="Ênfase6" xfId="37" builtinId="49" hidden="1"/>
    <cellStyle name="Entrada" xfId="8" builtinId="20" hidden="1"/>
    <cellStyle name="Flag" xfId="52" xr:uid="{E8145E3C-97FF-4506-82E9-A72101297FA4}"/>
    <cellStyle name="H0" xfId="41" xr:uid="{CA4B07EF-35A9-40B6-843A-1D111DCDA07F}"/>
    <cellStyle name="H1" xfId="42" xr:uid="{E1A4E4BC-09F8-49BD-BEEB-AB97AA7513EC}"/>
    <cellStyle name="H2" xfId="43" xr:uid="{41D9CF6E-203C-4D28-93BB-ACDF67323E7B}"/>
    <cellStyle name="H3" xfId="44" xr:uid="{86BAC804-39AC-499C-AFE4-4049FC165566}"/>
    <cellStyle name="Hiperlink" xfId="74" builtinId="8"/>
    <cellStyle name="HSheet" xfId="65" xr:uid="{A7A7A208-EAB8-405D-92F3-23F99F7CF1FA}"/>
    <cellStyle name="Info" xfId="59" xr:uid="{D4F87183-4BA7-423D-8699-D4317459B0EA}"/>
    <cellStyle name="Inputs" xfId="46" xr:uid="{638F84F3-0E91-43C9-87DA-803CFE990F0B}"/>
    <cellStyle name="Inputs 2" xfId="68" xr:uid="{59312736-A694-4615-8B4D-B397BB8D586A}"/>
    <cellStyle name="Insheet" xfId="47" xr:uid="{98AC8840-4727-4F81-A4B0-404ED8BEC31A}"/>
    <cellStyle name="Line_Bal" xfId="54" xr:uid="{5A8C90F1-EC5F-4FDE-A116-FE5BED72EB87}"/>
    <cellStyle name="Line_sub" xfId="66" xr:uid="{40534D10-61B7-4397-84D0-008B99D45C7D}"/>
    <cellStyle name="Moeda" xfId="61" builtinId="4" hidden="1"/>
    <cellStyle name="Moeda [0]" xfId="62" builtinId="7" hidden="1"/>
    <cellStyle name="Neutro" xfId="7" builtinId="28" hidden="1"/>
    <cellStyle name="Normal" xfId="0" builtinId="0"/>
    <cellStyle name="Normal 10" xfId="91" xr:uid="{4EA296EF-58C5-446E-AD2A-89159C1922B9}"/>
    <cellStyle name="Normal 12" xfId="90" xr:uid="{4CBD4A6E-C85C-4760-B0F8-FB33932B7644}"/>
    <cellStyle name="Normal 2" xfId="84" xr:uid="{465C3D40-0033-4CAE-B3F5-727F79143C94}"/>
    <cellStyle name="Normal 2 3" xfId="73" xr:uid="{0EB9463D-22B5-4B90-BDC9-DEE80CF8C2D5}"/>
    <cellStyle name="Normal 3" xfId="86" xr:uid="{587AEAE1-A9E5-4974-A354-6EC5CB25C8D4}"/>
    <cellStyle name="Normal 4 3 3" xfId="72" xr:uid="{9BEB2F38-791D-4D20-AFB0-127F725B8215}"/>
    <cellStyle name="Normal 6" xfId="87" xr:uid="{E6FE10F2-2516-4011-80EA-81FAA08ABC05}"/>
    <cellStyle name="Normal 7" xfId="89" xr:uid="{A92D480B-8B9C-47E2-BA7F-D661F0D58EE3}"/>
    <cellStyle name="Nota" xfId="14" builtinId="10" hidden="1"/>
    <cellStyle name="Num[0]" xfId="67" xr:uid="{6F70555F-ED3C-4393-905D-44D14615D3FC}"/>
    <cellStyle name="Offsheet" xfId="48" xr:uid="{3469F996-D6F6-460B-BD25-634BA87CA0EE}"/>
    <cellStyle name="Percent" xfId="63" hidden="1" xr:uid="{BA573C5E-5795-464F-A8E3-81639E27DC74}"/>
    <cellStyle name="Percent 2" xfId="71" xr:uid="{CBB0F292-7213-4013-BFF9-6BF945AA7668}"/>
    <cellStyle name="Porcentagem" xfId="80" builtinId="5"/>
    <cellStyle name="Porcentagem 10" xfId="92" xr:uid="{162B14D1-BB8D-4983-8D58-88327DFEDE5B}"/>
    <cellStyle name="Porcentagem 3" xfId="78" xr:uid="{B566CD9E-8C96-4423-A4C3-147C123E1B6B}"/>
    <cellStyle name="Porcentagem 6" xfId="77" xr:uid="{8941D8E2-0EDB-48C8-BDBA-9898A8A581A7}"/>
    <cellStyle name="Ratio" xfId="57" xr:uid="{F8EDA050-39B8-4677-86BC-D3CF51CE8E5C}"/>
    <cellStyle name="Row_Tot" xfId="53" xr:uid="{20B5B7DF-07D6-4AF7-9724-A9CAB92E981A}"/>
    <cellStyle name="Ruim" xfId="6" builtinId="27" hidden="1"/>
    <cellStyle name="Saída" xfId="9" builtinId="21" hidden="1"/>
    <cellStyle name="Separador de milhares [0]" xfId="60" builtinId="6" hidden="1"/>
    <cellStyle name="Style 1" xfId="69" xr:uid="{FB1A3482-BF62-4C73-B8ED-1B3A784BD664}"/>
    <cellStyle name="Table" xfId="45" xr:uid="{5B19BEA9-AD67-4C84-813C-32416517929F}"/>
    <cellStyle name="Tech" xfId="49" xr:uid="{7960395C-7648-45DB-BB20-4C4A82ED3E85}"/>
    <cellStyle name="Texto de Aviso" xfId="13" builtinId="11" hidden="1"/>
    <cellStyle name="Texto Explicativo" xfId="15" builtinId="53" hidden="1"/>
    <cellStyle name="Título" xfId="64" builtinId="15" hidden="1"/>
    <cellStyle name="Título 1" xfId="1" builtinId="16" hidden="1"/>
    <cellStyle name="Título 2" xfId="2" builtinId="17" hidden="1"/>
    <cellStyle name="Título 3" xfId="3" builtinId="18" hidden="1"/>
    <cellStyle name="Título 4" xfId="4" builtinId="19" hidden="1"/>
    <cellStyle name="Total" xfId="16" builtinId="25" hidden="1"/>
    <cellStyle name="Unit" xfId="58" xr:uid="{BBC4F4A5-B350-437D-BA2E-C76E6E8A8692}"/>
    <cellStyle name="Vírgula" xfId="81" builtinId="3"/>
    <cellStyle name="Vírgula 3" xfId="75" xr:uid="{35F9CEFD-7631-43C9-8842-7B4EFB7B0219}"/>
    <cellStyle name="Vírgula 3 2" xfId="83" xr:uid="{8C8336C3-2ECE-4B41-AD74-4F7188F3994A}"/>
    <cellStyle name="Vírgula 7" xfId="88" xr:uid="{8BB07E2D-AB40-46A7-9507-A0903A24723B}"/>
    <cellStyle name="Vírgula 8" xfId="93" xr:uid="{30B5D2BA-05D7-4EF4-9FD0-883F0A0949D2}"/>
  </cellStyles>
  <dxfs count="120">
    <dxf>
      <font>
        <color rgb="FFFF0000"/>
      </font>
    </dxf>
    <dxf>
      <font>
        <color rgb="FFFF0000"/>
      </font>
    </dxf>
    <dxf>
      <fill>
        <patternFill patternType="lightGray">
          <bgColor theme="3" tint="0.79998168889431442"/>
        </patternFill>
      </fill>
    </dxf>
    <dxf>
      <fill>
        <patternFill patternType="mediumGray">
          <fgColor theme="4" tint="0.39994506668294322"/>
        </patternFill>
      </fill>
    </dxf>
    <dxf>
      <fill>
        <patternFill patternType="mediumGray">
          <fgColor rgb="FF0070C0"/>
        </patternFill>
      </fill>
    </dxf>
    <dxf>
      <fill>
        <patternFill patternType="mediumGray">
          <fgColor theme="5" tint="0.39994506668294322"/>
        </patternFill>
      </fill>
    </dxf>
    <dxf>
      <fill>
        <patternFill patternType="mediumGray">
          <fgColor theme="9" tint="0.59996337778862885"/>
        </patternFill>
      </fill>
    </dxf>
    <dxf>
      <fill>
        <patternFill patternType="mediumGray">
          <fgColor theme="8" tint="-0.24994659260841701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ill>
        <patternFill patternType="lightGray">
          <bgColor theme="3" tint="0.79998168889431442"/>
        </patternFill>
      </fill>
    </dxf>
    <dxf>
      <fill>
        <patternFill patternType="mediumGray">
          <fgColor theme="4" tint="0.39994506668294322"/>
        </patternFill>
      </fill>
    </dxf>
    <dxf>
      <fill>
        <patternFill patternType="mediumGray">
          <fgColor rgb="FF0070C0"/>
        </patternFill>
      </fill>
    </dxf>
    <dxf>
      <fill>
        <patternFill patternType="mediumGray">
          <fgColor theme="5" tint="0.39994506668294322"/>
        </patternFill>
      </fill>
    </dxf>
    <dxf>
      <fill>
        <patternFill patternType="mediumGray">
          <fgColor theme="9" tint="0.59996337778862885"/>
        </patternFill>
      </fill>
    </dxf>
    <dxf>
      <fill>
        <patternFill patternType="mediumGray">
          <fgColor theme="8" tint="-0.24994659260841701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ill>
        <patternFill patternType="mediumGray">
          <fgColor theme="4" tint="0.39994506668294322"/>
        </patternFill>
      </fill>
    </dxf>
    <dxf>
      <fill>
        <patternFill patternType="mediumGray">
          <fgColor rgb="FF0070C0"/>
        </patternFill>
      </fill>
    </dxf>
    <dxf>
      <fill>
        <patternFill patternType="mediumGray">
          <fgColor theme="5" tint="0.39994506668294322"/>
        </patternFill>
      </fill>
    </dxf>
    <dxf>
      <fill>
        <patternFill patternType="mediumGray">
          <fgColor theme="9" tint="0.59996337778862885"/>
        </patternFill>
      </fill>
    </dxf>
    <dxf>
      <fill>
        <patternFill patternType="mediumGray">
          <fgColor theme="8" tint="-0.24994659260841701"/>
        </patternFill>
      </fill>
    </dxf>
    <dxf>
      <fill>
        <patternFill patternType="lightGray">
          <bgColor theme="3" tint="0.79998168889431442"/>
        </patternFill>
      </fill>
    </dxf>
    <dxf>
      <fill>
        <patternFill patternType="mediumGray">
          <fgColor theme="4" tint="0.39994506668294322"/>
        </patternFill>
      </fill>
    </dxf>
    <dxf>
      <fill>
        <patternFill patternType="mediumGray">
          <fgColor rgb="FF0070C0"/>
        </patternFill>
      </fill>
    </dxf>
    <dxf>
      <fill>
        <patternFill patternType="mediumGray">
          <fgColor theme="5" tint="0.39994506668294322"/>
        </patternFill>
      </fill>
    </dxf>
    <dxf>
      <fill>
        <patternFill patternType="mediumGray">
          <fgColor theme="9" tint="0.59996337778862885"/>
        </patternFill>
      </fill>
    </dxf>
    <dxf>
      <fill>
        <patternFill patternType="mediumGray">
          <fgColor theme="8" tint="-0.24994659260841701"/>
        </patternFill>
      </fill>
    </dxf>
    <dxf>
      <fill>
        <patternFill patternType="mediumGray">
          <fgColor theme="4" tint="0.39994506668294322"/>
        </patternFill>
      </fill>
    </dxf>
    <dxf>
      <fill>
        <patternFill patternType="mediumGray">
          <fgColor rgb="FF0070C0"/>
        </patternFill>
      </fill>
    </dxf>
    <dxf>
      <fill>
        <patternFill patternType="mediumGray">
          <fgColor theme="5" tint="0.39994506668294322"/>
        </patternFill>
      </fill>
    </dxf>
    <dxf>
      <fill>
        <patternFill patternType="mediumGray">
          <fgColor theme="9" tint="0.59996337778862885"/>
        </patternFill>
      </fill>
    </dxf>
    <dxf>
      <fill>
        <patternFill patternType="mediumGray">
          <fgColor theme="8" tint="-0.24994659260841701"/>
        </patternFill>
      </fill>
    </dxf>
    <dxf>
      <fill>
        <patternFill patternType="lightGray">
          <bgColor theme="3" tint="0.79998168889431442"/>
        </patternFill>
      </fill>
    </dxf>
    <dxf>
      <fill>
        <patternFill patternType="mediumGray">
          <fgColor theme="4" tint="0.39994506668294322"/>
        </patternFill>
      </fill>
    </dxf>
    <dxf>
      <fill>
        <patternFill patternType="mediumGray">
          <fgColor rgb="FF0070C0"/>
        </patternFill>
      </fill>
    </dxf>
    <dxf>
      <fill>
        <patternFill patternType="mediumGray">
          <fgColor theme="5" tint="0.39994506668294322"/>
        </patternFill>
      </fill>
    </dxf>
    <dxf>
      <fill>
        <patternFill patternType="mediumGray">
          <fgColor theme="9" tint="0.59996337778862885"/>
        </patternFill>
      </fill>
    </dxf>
    <dxf>
      <fill>
        <patternFill patternType="mediumGray">
          <fgColor theme="8" tint="-0.24994659260841701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ill>
        <patternFill patternType="mediumGray">
          <fgColor rgb="FF0070C0"/>
        </patternFill>
      </fill>
    </dxf>
    <dxf>
      <fill>
        <patternFill patternType="mediumGray">
          <fgColor theme="5" tint="0.39994506668294322"/>
        </patternFill>
      </fill>
    </dxf>
    <dxf>
      <fill>
        <patternFill patternType="mediumGray">
          <fgColor theme="9" tint="0.59996337778862885"/>
        </patternFill>
      </fill>
    </dxf>
    <dxf>
      <fill>
        <patternFill patternType="mediumGray">
          <fgColor theme="8" tint="-0.24994659260841701"/>
        </patternFill>
      </fill>
    </dxf>
    <dxf>
      <fill>
        <patternFill patternType="lightGray">
          <bgColor theme="3" tint="0.79998168889431442"/>
        </patternFill>
      </fill>
    </dxf>
    <dxf>
      <fill>
        <patternFill patternType="mediumGray">
          <fgColor theme="4" tint="0.39994506668294322"/>
        </patternFill>
      </fill>
    </dxf>
    <dxf>
      <fill>
        <patternFill patternType="mediumGray">
          <fgColor rgb="FF0070C0"/>
        </patternFill>
      </fill>
    </dxf>
    <dxf>
      <fill>
        <patternFill patternType="mediumGray">
          <fgColor theme="5" tint="0.39994506668294322"/>
        </patternFill>
      </fill>
    </dxf>
    <dxf>
      <fill>
        <patternFill patternType="mediumGray">
          <fgColor theme="8" tint="-0.24994659260841701"/>
        </patternFill>
      </fill>
    </dxf>
    <dxf>
      <fill>
        <patternFill patternType="mediumGray">
          <fgColor theme="9" tint="0.59996337778862885"/>
        </patternFill>
      </fill>
    </dxf>
    <dxf>
      <fill>
        <patternFill patternType="mediumGray">
          <fgColor theme="4" tint="0.39994506668294322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ill>
        <patternFill patternType="mediumGray">
          <fgColor theme="4" tint="0.39994506668294322"/>
        </patternFill>
      </fill>
    </dxf>
    <dxf>
      <fill>
        <patternFill patternType="mediumGray">
          <fgColor rgb="FF0070C0"/>
        </patternFill>
      </fill>
    </dxf>
    <dxf>
      <fill>
        <patternFill patternType="mediumGray">
          <fgColor theme="5" tint="0.39994506668294322"/>
        </patternFill>
      </fill>
    </dxf>
    <dxf>
      <fill>
        <patternFill patternType="mediumGray">
          <fgColor theme="9" tint="0.59996337778862885"/>
        </patternFill>
      </fill>
    </dxf>
    <dxf>
      <fill>
        <patternFill patternType="mediumGray">
          <fgColor theme="8" tint="-0.24994659260841701"/>
        </patternFill>
      </fill>
    </dxf>
    <dxf>
      <fill>
        <patternFill patternType="lightGray">
          <bgColor theme="3" tint="0.79998168889431442"/>
        </patternFill>
      </fill>
    </dxf>
    <dxf>
      <fill>
        <patternFill patternType="mediumGray">
          <fgColor theme="4" tint="0.39994506668294322"/>
        </patternFill>
      </fill>
    </dxf>
    <dxf>
      <fill>
        <patternFill patternType="mediumGray">
          <fgColor rgb="FF0070C0"/>
        </patternFill>
      </fill>
    </dxf>
    <dxf>
      <fill>
        <patternFill patternType="mediumGray">
          <fgColor theme="5" tint="0.39994506668294322"/>
        </patternFill>
      </fill>
    </dxf>
    <dxf>
      <fill>
        <patternFill patternType="mediumGray">
          <fgColor theme="9" tint="0.59996337778862885"/>
        </patternFill>
      </fill>
    </dxf>
    <dxf>
      <fill>
        <patternFill patternType="mediumGray">
          <fgColor theme="8" tint="-0.24994659260841701"/>
        </patternFill>
      </fill>
    </dxf>
    <dxf>
      <fill>
        <patternFill>
          <bgColor theme="8" tint="0.59996337778862885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1" defaultTableStyle="TableStyleMedium2" defaultPivotStyle="PivotStyleLight16">
    <tableStyle name="Invisible" pivot="0" table="0" count="0" xr9:uid="{AD896842-98D9-439D-89ED-44F46397BB2D}"/>
  </tableStyles>
  <colors>
    <mruColors>
      <color rgb="FF0091DA"/>
      <color rgb="FF00A3A1"/>
      <color rgb="FF005EB8"/>
      <color rgb="FFFF9900"/>
      <color rgb="FF00338D"/>
      <color rgb="FFFFFA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eetMetadata" Target="metadata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Fluxo de Caixa Líquido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spPr>
            <a:ln w="28575" cap="rnd">
              <a:solidFill>
                <a:srgbClr val="92D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9525">
                <a:solidFill>
                  <a:srgbClr val="92D050"/>
                </a:solidFill>
              </a:ln>
              <a:effectLst/>
            </c:spPr>
          </c:marker>
          <c:dLbls>
            <c:dLbl>
              <c:idx val="1"/>
              <c:tx>
                <c:rich>
                  <a:bodyPr/>
                  <a:lstStyle/>
                  <a:p>
                    <a:fld id="{3088B280-714A-4C33-B5DA-F3585A1F7653}" type="VALUE">
                      <a:rPr lang="en-US" b="1"/>
                      <a:pPr/>
                      <a:t>[VALOR]</a:t>
                    </a:fld>
                    <a:endParaRPr lang="pt-BR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5629-4826-80CB-3D15987A88EF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F244E391-8F79-4E8C-BBE5-123875F720A5}" type="VALUE">
                      <a:rPr lang="en-US" b="1"/>
                      <a:pPr/>
                      <a:t>[VALOR]</a:t>
                    </a:fld>
                    <a:endParaRPr lang="pt-BR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5629-4826-80CB-3D15987A88EF}"/>
                </c:ext>
              </c:extLst>
            </c:dLbl>
            <c:numFmt formatCode="_(* #,##0_);* \(#,##0\);_-* &quot;-&quot;??;_-@_-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33"/>
            </c:numLit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v>#REF!</c:v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Lit>
                    <c:ptCount val="30"/>
                    <c:pt idx="0">
                      <c:v>#REF!</c:v>
                    </c:pt>
                    <c:pt idx="1">
                      <c:v>#REF!</c:v>
                    </c:pt>
                    <c:pt idx="2">
                      <c:v>#REF!</c:v>
                    </c:pt>
                    <c:pt idx="3">
                      <c:v>#REF!</c:v>
                    </c:pt>
                    <c:pt idx="4">
                      <c:v>#REF!</c:v>
                    </c:pt>
                    <c:pt idx="5">
                      <c:v>#REF!</c:v>
                    </c:pt>
                    <c:pt idx="6">
                      <c:v>#REF!</c:v>
                    </c:pt>
                    <c:pt idx="7">
                      <c:v>#REF!</c:v>
                    </c:pt>
                    <c:pt idx="8">
                      <c:v>#REF!</c:v>
                    </c:pt>
                    <c:pt idx="9">
                      <c:v>#REF!</c:v>
                    </c:pt>
                    <c:pt idx="10">
                      <c:v>#REF!</c:v>
                    </c:pt>
                    <c:pt idx="11">
                      <c:v>#REF!</c:v>
                    </c:pt>
                    <c:pt idx="12">
                      <c:v>#REF!</c:v>
                    </c:pt>
                    <c:pt idx="13">
                      <c:v>#REF!</c:v>
                    </c:pt>
                    <c:pt idx="14">
                      <c:v>#REF!</c:v>
                    </c:pt>
                    <c:pt idx="15">
                      <c:v>#REF!</c:v>
                    </c:pt>
                    <c:pt idx="16">
                      <c:v>#REF!</c:v>
                    </c:pt>
                    <c:pt idx="17">
                      <c:v>#REF!</c:v>
                    </c:pt>
                    <c:pt idx="18">
                      <c:v>#REF!</c:v>
                    </c:pt>
                    <c:pt idx="19">
                      <c:v>#REF!</c:v>
                    </c:pt>
                    <c:pt idx="20">
                      <c:v>#REF!</c:v>
                    </c:pt>
                    <c:pt idx="21">
                      <c:v>#REF!</c:v>
                    </c:pt>
                    <c:pt idx="22">
                      <c:v>#REF!</c:v>
                    </c:pt>
                    <c:pt idx="23">
                      <c:v>#REF!</c:v>
                    </c:pt>
                    <c:pt idx="24">
                      <c:v>#REF!</c:v>
                    </c:pt>
                    <c:pt idx="25">
                      <c:v>#REF!</c:v>
                    </c:pt>
                    <c:pt idx="26">
                      <c:v>#REF!</c:v>
                    </c:pt>
                    <c:pt idx="27">
                      <c:v>#REF!</c:v>
                    </c:pt>
                    <c:pt idx="28">
                      <c:v>#REF!</c:v>
                    </c:pt>
                    <c:pt idx="29">
                      <c:v>#REF!</c:v>
                    </c:pt>
                  </c:strLit>
                </c15:cat>
              </c15:filteredCategoryTitle>
            </c:ext>
            <c:ext xmlns:c16="http://schemas.microsoft.com/office/drawing/2014/chart" uri="{C3380CC4-5D6E-409C-BE32-E72D297353CC}">
              <c16:uniqueId val="{00000002-5629-4826-80CB-3D15987A88E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06537088"/>
        <c:axId val="106537568"/>
      </c:lineChart>
      <c:catAx>
        <c:axId val="106537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06537568"/>
        <c:crosses val="autoZero"/>
        <c:auto val="1"/>
        <c:lblAlgn val="ctr"/>
        <c:lblOffset val="100"/>
        <c:noMultiLvlLbl val="0"/>
      </c:catAx>
      <c:valAx>
        <c:axId val="106537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06537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Fluxo de Caixa Líquido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DFs!$G$86:$AJ$86</c:f>
              <c:numCache>
                <c:formatCode>_(* #,##0_);* \(#,##0\);_-* "-"??;_-@_-</c:formatCode>
                <c:ptCount val="30"/>
                <c:pt idx="0">
                  <c:v>-1252.6277745880582</c:v>
                </c:pt>
                <c:pt idx="1">
                  <c:v>-2657.3793282433689</c:v>
                </c:pt>
                <c:pt idx="2">
                  <c:v>683.11215351806879</c:v>
                </c:pt>
                <c:pt idx="3">
                  <c:v>1271.6140407311855</c:v>
                </c:pt>
                <c:pt idx="4">
                  <c:v>-584.17426322877566</c:v>
                </c:pt>
                <c:pt idx="5">
                  <c:v>-1072.6750112143341</c:v>
                </c:pt>
                <c:pt idx="6">
                  <c:v>-658.74874446110027</c:v>
                </c:pt>
                <c:pt idx="7">
                  <c:v>-76.882148677013504</c:v>
                </c:pt>
                <c:pt idx="8">
                  <c:v>-298.79020408438186</c:v>
                </c:pt>
                <c:pt idx="9">
                  <c:v>-117.58250261053441</c:v>
                </c:pt>
                <c:pt idx="10">
                  <c:v>-121.31176585641668</c:v>
                </c:pt>
                <c:pt idx="11">
                  <c:v>-137.06443553054507</c:v>
                </c:pt>
                <c:pt idx="12">
                  <c:v>-143.93975509005099</c:v>
                </c:pt>
                <c:pt idx="13">
                  <c:v>-151.62319422784495</c:v>
                </c:pt>
                <c:pt idx="14">
                  <c:v>-159.47042537700321</c:v>
                </c:pt>
                <c:pt idx="15">
                  <c:v>-351.79011851178529</c:v>
                </c:pt>
                <c:pt idx="16">
                  <c:v>-172.71219838781695</c:v>
                </c:pt>
                <c:pt idx="17">
                  <c:v>-173.85900353125174</c:v>
                </c:pt>
                <c:pt idx="18">
                  <c:v>-171.58178103078831</c:v>
                </c:pt>
                <c:pt idx="19">
                  <c:v>-159.19049186673675</c:v>
                </c:pt>
                <c:pt idx="20">
                  <c:v>-24.298090126226214</c:v>
                </c:pt>
                <c:pt idx="21">
                  <c:v>1627.2229476541763</c:v>
                </c:pt>
                <c:pt idx="22">
                  <c:v>2500.2803041027964</c:v>
                </c:pt>
                <c:pt idx="23">
                  <c:v>2869.5485939529476</c:v>
                </c:pt>
                <c:pt idx="24">
                  <c:v>3211.4062804030218</c:v>
                </c:pt>
                <c:pt idx="25">
                  <c:v>3492.2815373538615</c:v>
                </c:pt>
                <c:pt idx="26">
                  <c:v>3845.0701578467083</c:v>
                </c:pt>
                <c:pt idx="27">
                  <c:v>3710.3944661200203</c:v>
                </c:pt>
                <c:pt idx="28">
                  <c:v>4435.1469883388181</c:v>
                </c:pt>
                <c:pt idx="29">
                  <c:v>8065.2304820849859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D9A-4892-A79D-8191FB82EB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7609104"/>
        <c:axId val="737610184"/>
      </c:lineChart>
      <c:catAx>
        <c:axId val="73760910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37610184"/>
        <c:crosses val="autoZero"/>
        <c:auto val="1"/>
        <c:lblAlgn val="ctr"/>
        <c:lblOffset val="100"/>
        <c:noMultiLvlLbl val="0"/>
      </c:catAx>
      <c:valAx>
        <c:axId val="737610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* \(#,##0\);_-* &quot;-&quot;??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37609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31" fmlaLink="Inputs!$E$13" fmlaRange="Inputs!$C$13:$C$16" noThreeD="1" sel="1" val="0"/>
</file>

<file path=xl/ctrlProps/ctrlProp3.xml><?xml version="1.0" encoding="utf-8"?>
<formControlPr xmlns="http://schemas.microsoft.com/office/spreadsheetml/2009/9/main" objectType="Drop" dropStyle="combo" dx="31" fmlaLink="Inputs!$E$19" fmlaRange="Inputs!$C$19:$C$20" noThreeD="1" sel="2" val="0"/>
</file>

<file path=xl/ctrlProps/ctrlProp4.xml><?xml version="1.0" encoding="utf-8"?>
<formControlPr xmlns="http://schemas.microsoft.com/office/spreadsheetml/2009/9/main" objectType="Drop" dropStyle="combo" dx="31" fmlaLink="Inputs!$E$13" fmlaRange="Inputs!$C$13:$C$16" noThreeD="1" sel="1" val="0"/>
</file>

<file path=xl/ctrlProps/ctrlProp5.xml><?xml version="1.0" encoding="utf-8"?>
<formControlPr xmlns="http://schemas.microsoft.com/office/spreadsheetml/2009/9/main" objectType="Drop" dropStyle="combo" dx="31" fmlaLink="Inputs!$E$19" fmlaRange="Inputs!$C$19:$C$20" noThreeD="1" sel="2" val="0"/>
</file>

<file path=xl/ctrlProps/ctrlProp6.xml><?xml version="1.0" encoding="utf-8"?>
<formControlPr xmlns="http://schemas.microsoft.com/office/spreadsheetml/2009/9/main" objectType="Drop" dropStyle="combo" dx="31" fmlaLink="$E$13" fmlaRange="$C$13:$C$16" noThreeD="1" sel="1" val="0"/>
</file>

<file path=xl/ctrlProps/ctrlProp7.xml><?xml version="1.0" encoding="utf-8"?>
<formControlPr xmlns="http://schemas.microsoft.com/office/spreadsheetml/2009/9/main" objectType="Drop" dropStyle="combo" dx="31" fmlaLink="$E$19" fmlaRange="$C$19:$C$20" noThreeD="1" sel="2" val="0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22860</xdr:colOff>
          <xdr:row>11</xdr:row>
          <xdr:rowOff>60960</xdr:rowOff>
        </xdr:from>
        <xdr:to>
          <xdr:col>4</xdr:col>
          <xdr:colOff>30480</xdr:colOff>
          <xdr:row>12</xdr:row>
          <xdr:rowOff>99060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Arial Narrow"/>
                </a:rPr>
                <a:t>Macro Geral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</xdr:colOff>
          <xdr:row>6</xdr:row>
          <xdr:rowOff>0</xdr:rowOff>
        </xdr:from>
        <xdr:to>
          <xdr:col>3</xdr:col>
          <xdr:colOff>1021080</xdr:colOff>
          <xdr:row>7</xdr:row>
          <xdr:rowOff>30480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2049780</xdr:colOff>
          <xdr:row>8</xdr:row>
          <xdr:rowOff>30480</xdr:rowOff>
        </xdr:from>
        <xdr:to>
          <xdr:col>3</xdr:col>
          <xdr:colOff>1013460</xdr:colOff>
          <xdr:row>9</xdr:row>
          <xdr:rowOff>38100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1</xdr:row>
          <xdr:rowOff>60960</xdr:rowOff>
        </xdr:from>
        <xdr:to>
          <xdr:col>2</xdr:col>
          <xdr:colOff>1173480</xdr:colOff>
          <xdr:row>2</xdr:row>
          <xdr:rowOff>137160</xdr:rowOff>
        </xdr:to>
        <xdr:sp macro="" textlink="">
          <xdr:nvSpPr>
            <xdr:cNvPr id="54273" name="Drop Down 1" hidden="1">
              <a:extLst>
                <a:ext uri="{63B3BB69-23CF-44E3-9099-C40C66FF867C}">
                  <a14:compatExt spid="_x0000_s54273"/>
                </a:ext>
                <a:ext uri="{FF2B5EF4-FFF2-40B4-BE49-F238E27FC236}">
                  <a16:creationId xmlns:a16="http://schemas.microsoft.com/office/drawing/2014/main" id="{00000000-0008-0000-0200-000001D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1295400</xdr:colOff>
          <xdr:row>1</xdr:row>
          <xdr:rowOff>38100</xdr:rowOff>
        </xdr:from>
        <xdr:to>
          <xdr:col>2</xdr:col>
          <xdr:colOff>2354580</xdr:colOff>
          <xdr:row>2</xdr:row>
          <xdr:rowOff>106680</xdr:rowOff>
        </xdr:to>
        <xdr:sp macro="" textlink="">
          <xdr:nvSpPr>
            <xdr:cNvPr id="54274" name="Drop Down 2" hidden="1">
              <a:extLst>
                <a:ext uri="{63B3BB69-23CF-44E3-9099-C40C66FF867C}">
                  <a14:compatExt spid="_x0000_s54274"/>
                </a:ext>
                <a:ext uri="{FF2B5EF4-FFF2-40B4-BE49-F238E27FC236}">
                  <a16:creationId xmlns:a16="http://schemas.microsoft.com/office/drawing/2014/main" id="{00000000-0008-0000-0200-000002D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0</xdr:colOff>
      <xdr:row>200</xdr:row>
      <xdr:rowOff>0</xdr:rowOff>
    </xdr:from>
    <xdr:to>
      <xdr:col>18</xdr:col>
      <xdr:colOff>702385</xdr:colOff>
      <xdr:row>213</xdr:row>
      <xdr:rowOff>179295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A4D9956B-51B5-45BC-A440-92482ECAC60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11904</xdr:colOff>
      <xdr:row>92</xdr:row>
      <xdr:rowOff>98820</xdr:rowOff>
    </xdr:from>
    <xdr:to>
      <xdr:col>18</xdr:col>
      <xdr:colOff>714374</xdr:colOff>
      <xdr:row>107</xdr:row>
      <xdr:rowOff>107155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EAF11698-2E88-9CA1-9ECA-1C732465B96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2095500</xdr:colOff>
          <xdr:row>1</xdr:row>
          <xdr:rowOff>114300</xdr:rowOff>
        </xdr:from>
        <xdr:to>
          <xdr:col>2</xdr:col>
          <xdr:colOff>3307080</xdr:colOff>
          <xdr:row>3</xdr:row>
          <xdr:rowOff>0</xdr:rowOff>
        </xdr:to>
        <xdr:sp macro="" textlink="">
          <xdr:nvSpPr>
            <xdr:cNvPr id="35928" name="Drop Down 88" hidden="1">
              <a:extLst>
                <a:ext uri="{63B3BB69-23CF-44E3-9099-C40C66FF867C}">
                  <a14:compatExt spid="_x0000_s35928"/>
                </a:ext>
                <a:ext uri="{FF2B5EF4-FFF2-40B4-BE49-F238E27FC236}">
                  <a16:creationId xmlns:a16="http://schemas.microsoft.com/office/drawing/2014/main" id="{00000000-0008-0000-0400-000058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3573780</xdr:colOff>
          <xdr:row>1</xdr:row>
          <xdr:rowOff>114300</xdr:rowOff>
        </xdr:from>
        <xdr:to>
          <xdr:col>3</xdr:col>
          <xdr:colOff>1028700</xdr:colOff>
          <xdr:row>2</xdr:row>
          <xdr:rowOff>182880</xdr:rowOff>
        </xdr:to>
        <xdr:sp macro="" textlink="">
          <xdr:nvSpPr>
            <xdr:cNvPr id="35930" name="Drop Down 90" hidden="1">
              <a:extLst>
                <a:ext uri="{63B3BB69-23CF-44E3-9099-C40C66FF867C}">
                  <a14:compatExt spid="_x0000_s35930"/>
                </a:ext>
                <a:ext uri="{FF2B5EF4-FFF2-40B4-BE49-F238E27FC236}">
                  <a16:creationId xmlns:a16="http://schemas.microsoft.com/office/drawing/2014/main" id="{00000000-0008-0000-0400-00005A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106680</xdr:colOff>
          <xdr:row>73</xdr:row>
          <xdr:rowOff>190500</xdr:rowOff>
        </xdr:from>
        <xdr:to>
          <xdr:col>7</xdr:col>
          <xdr:colOff>365760</xdr:colOff>
          <xdr:row>75</xdr:row>
          <xdr:rowOff>114300</xdr:rowOff>
        </xdr:to>
        <xdr:sp macro="" textlink="">
          <xdr:nvSpPr>
            <xdr:cNvPr id="35932" name="Button 92" hidden="1">
              <a:extLst>
                <a:ext uri="{63B3BB69-23CF-44E3-9099-C40C66FF867C}">
                  <a14:compatExt spid="_x0000_s35932"/>
                </a:ext>
                <a:ext uri="{FF2B5EF4-FFF2-40B4-BE49-F238E27FC236}">
                  <a16:creationId xmlns:a16="http://schemas.microsoft.com/office/drawing/2014/main" id="{00000000-0008-0000-0400-00005C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Arial Narrow"/>
                </a:rPr>
                <a:t>Otimizar CP </a:t>
              </a:r>
            </a:p>
            <a:p>
              <a:pPr algn="ctr" rtl="0">
                <a:defRPr sz="1000"/>
              </a:pPr>
              <a:endParaRPr lang="pt-BR" sz="1100" b="0" i="0" u="none" strike="noStrike" baseline="0">
                <a:solidFill>
                  <a:srgbClr val="000000"/>
                </a:solidFill>
                <a:latin typeface="Arial Narrow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2400300</xdr:colOff>
          <xdr:row>1015</xdr:row>
          <xdr:rowOff>22860</xdr:rowOff>
        </xdr:from>
        <xdr:to>
          <xdr:col>2</xdr:col>
          <xdr:colOff>3451860</xdr:colOff>
          <xdr:row>1016</xdr:row>
          <xdr:rowOff>22860</xdr:rowOff>
        </xdr:to>
        <xdr:sp macro="" textlink="">
          <xdr:nvSpPr>
            <xdr:cNvPr id="52225" name="Button 1" hidden="1">
              <a:extLst>
                <a:ext uri="{63B3BB69-23CF-44E3-9099-C40C66FF867C}">
                  <a14:compatExt spid="_x0000_s52225"/>
                </a:ext>
                <a:ext uri="{FF2B5EF4-FFF2-40B4-BE49-F238E27FC236}">
                  <a16:creationId xmlns:a16="http://schemas.microsoft.com/office/drawing/2014/main" id="{00000000-0008-0000-0500-000001C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IFRIC 12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487680</xdr:colOff>
          <xdr:row>14</xdr:row>
          <xdr:rowOff>0</xdr:rowOff>
        </xdr:from>
        <xdr:to>
          <xdr:col>11</xdr:col>
          <xdr:colOff>601980</xdr:colOff>
          <xdr:row>15</xdr:row>
          <xdr:rowOff>0</xdr:rowOff>
        </xdr:to>
        <xdr:sp macro="" textlink="">
          <xdr:nvSpPr>
            <xdr:cNvPr id="63489" name="Button 1" hidden="1">
              <a:extLst>
                <a:ext uri="{63B3BB69-23CF-44E3-9099-C40C66FF867C}">
                  <a14:compatExt spid="_x0000_s63489"/>
                </a:ext>
                <a:ext uri="{FF2B5EF4-FFF2-40B4-BE49-F238E27FC236}">
                  <a16:creationId xmlns:a16="http://schemas.microsoft.com/office/drawing/2014/main" id="{00000000-0008-0000-0B00-000001F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Arial Narrow"/>
                </a:rPr>
                <a:t>Análise de Sensibilidade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182880</xdr:colOff>
          <xdr:row>24</xdr:row>
          <xdr:rowOff>137160</xdr:rowOff>
        </xdr:from>
        <xdr:to>
          <xdr:col>13</xdr:col>
          <xdr:colOff>480060</xdr:colOff>
          <xdr:row>27</xdr:row>
          <xdr:rowOff>60960</xdr:rowOff>
        </xdr:to>
        <xdr:sp macro="" textlink="">
          <xdr:nvSpPr>
            <xdr:cNvPr id="63493" name="Button 5" hidden="1">
              <a:extLst>
                <a:ext uri="{63B3BB69-23CF-44E3-9099-C40C66FF867C}">
                  <a14:compatExt spid="_x0000_s63493"/>
                </a:ext>
                <a:ext uri="{FF2B5EF4-FFF2-40B4-BE49-F238E27FC236}">
                  <a16:creationId xmlns:a16="http://schemas.microsoft.com/office/drawing/2014/main" id="{00000000-0008-0000-0B00-000005F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Arial Narrow"/>
                </a:rPr>
                <a:t>Sensibilidade TIR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</xdr:colOff>
          <xdr:row>6</xdr:row>
          <xdr:rowOff>30480</xdr:rowOff>
        </xdr:from>
        <xdr:to>
          <xdr:col>8</xdr:col>
          <xdr:colOff>441960</xdr:colOff>
          <xdr:row>7</xdr:row>
          <xdr:rowOff>38100</xdr:rowOff>
        </xdr:to>
        <xdr:sp macro="" textlink="">
          <xdr:nvSpPr>
            <xdr:cNvPr id="32771" name="Button 3" hidden="1">
              <a:extLst>
                <a:ext uri="{63B3BB69-23CF-44E3-9099-C40C66FF867C}">
                  <a14:compatExt spid="_x0000_s32771"/>
                </a:ext>
                <a:ext uri="{FF2B5EF4-FFF2-40B4-BE49-F238E27FC236}">
                  <a16:creationId xmlns:a16="http://schemas.microsoft.com/office/drawing/2014/main" id="{00000000-0008-0000-0C00-000003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IFRIC 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</xdr:colOff>
          <xdr:row>11</xdr:row>
          <xdr:rowOff>30480</xdr:rowOff>
        </xdr:from>
        <xdr:to>
          <xdr:col>9</xdr:col>
          <xdr:colOff>0</xdr:colOff>
          <xdr:row>12</xdr:row>
          <xdr:rowOff>38100</xdr:rowOff>
        </xdr:to>
        <xdr:sp macro="" textlink="">
          <xdr:nvSpPr>
            <xdr:cNvPr id="32772" name="Button 4" hidden="1">
              <a:extLst>
                <a:ext uri="{63B3BB69-23CF-44E3-9099-C40C66FF867C}">
                  <a14:compatExt spid="_x0000_s32772"/>
                </a:ext>
                <a:ext uri="{FF2B5EF4-FFF2-40B4-BE49-F238E27FC236}">
                  <a16:creationId xmlns:a16="http://schemas.microsoft.com/office/drawing/2014/main" id="{00000000-0008-0000-0C00-000004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CP meta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Custom 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1B75BB"/>
      </a:accent1>
      <a:accent2>
        <a:srgbClr val="ED1C24"/>
      </a:accent2>
      <a:accent3>
        <a:srgbClr val="1A365F"/>
      </a:accent3>
      <a:accent4>
        <a:srgbClr val="A5A5A5"/>
      </a:accent4>
      <a:accent5>
        <a:srgbClr val="FFC000"/>
      </a:accent5>
      <a:accent6>
        <a:srgbClr val="5BBC38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9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F02C8-EC7E-407B-9045-E5196062BAC1}">
  <sheetPr codeName="Sheet2">
    <tabColor rgb="FF00338D"/>
  </sheetPr>
  <dimension ref="A1:I14"/>
  <sheetViews>
    <sheetView showGridLines="0" tabSelected="1" view="pageBreakPreview" zoomScale="130" zoomScaleNormal="100" zoomScaleSheetLayoutView="130" workbookViewId="0">
      <selection activeCell="AM95" sqref="AM95"/>
    </sheetView>
  </sheetViews>
  <sheetFormatPr defaultColWidth="0" defaultRowHeight="14.7" customHeight="1" zeroHeight="1"/>
  <cols>
    <col min="1" max="1" width="3.44140625" customWidth="1"/>
    <col min="2" max="3" width="8.6640625" customWidth="1"/>
    <col min="4" max="4" width="14.5546875" bestFit="1" customWidth="1"/>
    <col min="5" max="5" width="53.33203125" bestFit="1" customWidth="1"/>
    <col min="6" max="6" width="28.44140625" bestFit="1" customWidth="1"/>
    <col min="7" max="7" width="8.6640625" customWidth="1"/>
    <col min="8" max="8" width="3.6640625" customWidth="1"/>
    <col min="9" max="9" width="0" hidden="1" customWidth="1"/>
    <col min="10" max="16384" width="8.6640625" hidden="1"/>
  </cols>
  <sheetData>
    <row r="1" spans="2:7" s="380" customFormat="1" ht="13.2"/>
    <row r="2" spans="2:7" s="380" customFormat="1" ht="34.799999999999997">
      <c r="B2" s="110"/>
      <c r="C2" s="381" t="s">
        <v>0</v>
      </c>
      <c r="D2" s="110"/>
      <c r="E2" s="110"/>
      <c r="F2" s="110"/>
      <c r="G2" s="110"/>
    </row>
    <row r="3" spans="2:7" s="380" customFormat="1" ht="13.8">
      <c r="B3" s="110"/>
      <c r="C3" s="110"/>
      <c r="D3" s="110"/>
      <c r="E3" s="110"/>
      <c r="F3" s="110"/>
      <c r="G3" s="110"/>
    </row>
    <row r="4" spans="2:7" s="380" customFormat="1" ht="24.6">
      <c r="B4" s="110"/>
      <c r="C4" s="382" t="s">
        <v>1</v>
      </c>
      <c r="D4" s="118"/>
      <c r="E4" s="110"/>
      <c r="F4" s="110"/>
      <c r="G4" s="110"/>
    </row>
    <row r="5" spans="2:7" s="380" customFormat="1" ht="13.8">
      <c r="B5" s="110"/>
      <c r="C5" s="383" t="s">
        <v>2</v>
      </c>
      <c r="D5" s="384"/>
      <c r="E5" s="384"/>
      <c r="F5" s="385"/>
      <c r="G5" s="110"/>
    </row>
    <row r="6" spans="2:7" s="380" customFormat="1" ht="13.2" customHeight="1">
      <c r="B6" s="110"/>
      <c r="C6" s="897" t="s">
        <v>3</v>
      </c>
      <c r="D6" s="898"/>
      <c r="E6" s="898"/>
      <c r="F6" s="899"/>
      <c r="G6" s="110"/>
    </row>
    <row r="7" spans="2:7" s="380" customFormat="1" ht="44.7" customHeight="1">
      <c r="B7" s="110"/>
      <c r="C7" s="897"/>
      <c r="D7" s="898"/>
      <c r="E7" s="898"/>
      <c r="F7" s="899"/>
      <c r="G7" s="110"/>
    </row>
    <row r="8" spans="2:7" s="380" customFormat="1" ht="13.8">
      <c r="B8" s="110"/>
      <c r="C8" s="111"/>
      <c r="D8" s="112"/>
      <c r="E8" s="113"/>
      <c r="F8" s="114"/>
      <c r="G8" s="110"/>
    </row>
    <row r="9" spans="2:7" s="380" customFormat="1" ht="13.8">
      <c r="B9" s="110"/>
      <c r="C9" s="110"/>
      <c r="D9" s="110"/>
      <c r="E9" s="110"/>
      <c r="F9" s="110"/>
      <c r="G9" s="110"/>
    </row>
    <row r="10" spans="2:7" s="380" customFormat="1" ht="13.8">
      <c r="B10" s="110"/>
      <c r="C10" s="110"/>
      <c r="D10" s="110"/>
      <c r="E10" s="110"/>
      <c r="F10" s="110"/>
      <c r="G10" s="110"/>
    </row>
    <row r="11" spans="2:7" s="380" customFormat="1" ht="13.2"/>
    <row r="12" spans="2:7" ht="14.7" customHeight="1"/>
    <row r="13" spans="2:7" ht="14.7" customHeight="1"/>
    <row r="14" spans="2:7" ht="14.7" customHeight="1"/>
  </sheetData>
  <mergeCells count="1">
    <mergeCell ref="C6:F7"/>
  </mergeCells>
  <conditionalFormatting sqref="A1:H1 A1:A11 H1:XFD11 A11:H11">
    <cfRule type="cellIs" dxfId="119" priority="3" operator="lessThan">
      <formula>0</formula>
    </cfRule>
  </conditionalFormatting>
  <conditionalFormatting sqref="C2">
    <cfRule type="cellIs" dxfId="118" priority="2" operator="lessThan">
      <formula>0</formula>
    </cfRule>
  </conditionalFormatting>
  <conditionalFormatting sqref="C4">
    <cfRule type="cellIs" dxfId="117" priority="1" operator="lessThan">
      <formula>0</formula>
    </cfRule>
  </conditionalFormatting>
  <pageMargins left="0.7" right="0.7" top="0.75" bottom="0.75" header="0.3" footer="0.3"/>
  <pageSetup paperSize="9" scale="2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A40DC-C208-4AC0-80FA-889DDC47508C}">
  <sheetPr codeName="Sheet21">
    <tabColor rgb="FF00338D"/>
  </sheetPr>
  <dimension ref="A1:AC96"/>
  <sheetViews>
    <sheetView showGridLines="0" view="pageBreakPreview" topLeftCell="A42" zoomScale="130" zoomScaleNormal="100" zoomScaleSheetLayoutView="130" workbookViewId="0">
      <selection activeCell="AM95" sqref="AM95"/>
    </sheetView>
  </sheetViews>
  <sheetFormatPr defaultColWidth="0" defaultRowHeight="15.6" zeroHeight="1"/>
  <cols>
    <col min="1" max="1" width="3.6640625" style="266" customWidth="1"/>
    <col min="2" max="2" width="4" style="266" customWidth="1"/>
    <col min="3" max="3" width="27" style="266" customWidth="1"/>
    <col min="4" max="4" width="18.33203125" style="266" customWidth="1"/>
    <col min="5" max="5" width="8.6640625" style="266" bestFit="1" customWidth="1"/>
    <col min="6" max="6" width="13.6640625" style="266" customWidth="1"/>
    <col min="7" max="7" width="8.6640625" style="266" customWidth="1"/>
    <col min="8" max="8" width="6" style="266" bestFit="1" customWidth="1"/>
    <col min="9" max="9" width="5" style="266" customWidth="1"/>
    <col min="10" max="29" width="0" style="266" hidden="1" customWidth="1"/>
    <col min="30" max="16384" width="9" style="266" hidden="1"/>
  </cols>
  <sheetData>
    <row r="1" spans="1:9" s="6" customFormat="1">
      <c r="A1" s="386" t="s">
        <v>4</v>
      </c>
      <c r="B1" s="386"/>
      <c r="C1" s="386"/>
      <c r="D1" s="386"/>
      <c r="E1" s="386"/>
      <c r="F1" s="386"/>
      <c r="G1" s="386"/>
      <c r="H1" s="386"/>
      <c r="I1" s="386"/>
    </row>
    <row r="2" spans="1:9"/>
    <row r="3" spans="1:9">
      <c r="B3" s="387" t="s">
        <v>5</v>
      </c>
      <c r="C3" s="387"/>
      <c r="D3" s="387"/>
      <c r="E3" s="387"/>
      <c r="F3" s="387"/>
      <c r="G3" s="387"/>
      <c r="H3" s="387"/>
    </row>
    <row r="4" spans="1:9">
      <c r="D4" s="118"/>
    </row>
    <row r="5" spans="1:9">
      <c r="B5" s="388"/>
      <c r="C5" s="389" t="s">
        <v>6</v>
      </c>
      <c r="D5" s="389"/>
      <c r="E5" s="390"/>
      <c r="F5" s="390"/>
      <c r="G5" s="391"/>
    </row>
    <row r="6" spans="1:9" ht="3.6" customHeight="1">
      <c r="B6" s="267"/>
      <c r="G6" s="268"/>
    </row>
    <row r="7" spans="1:9" ht="14.7" customHeight="1">
      <c r="B7" s="267"/>
      <c r="C7" s="266" t="s">
        <v>7</v>
      </c>
      <c r="D7" s="118"/>
      <c r="G7" s="268"/>
    </row>
    <row r="8" spans="1:9" ht="4.5" customHeight="1">
      <c r="B8" s="267"/>
      <c r="G8" s="268"/>
    </row>
    <row r="9" spans="1:9">
      <c r="B9" s="267"/>
      <c r="C9" s="266" t="s">
        <v>8</v>
      </c>
      <c r="D9" s="118"/>
      <c r="G9" s="268"/>
    </row>
    <row r="10" spans="1:9">
      <c r="B10" s="267"/>
      <c r="D10" s="118"/>
      <c r="G10" s="268"/>
    </row>
    <row r="11" spans="1:9">
      <c r="B11" s="267"/>
      <c r="C11" s="266" t="s">
        <v>9</v>
      </c>
      <c r="D11" s="95">
        <f ca="1">IFRIC12_Check</f>
        <v>0</v>
      </c>
      <c r="G11" s="268"/>
    </row>
    <row r="12" spans="1:9">
      <c r="B12" s="267"/>
      <c r="G12" s="268"/>
    </row>
    <row r="13" spans="1:9" ht="13.2" customHeight="1">
      <c r="B13" s="269"/>
      <c r="C13" s="270"/>
      <c r="D13" s="270"/>
      <c r="E13" s="270"/>
      <c r="F13" s="270"/>
      <c r="G13" s="271"/>
    </row>
    <row r="14" spans="1:9"/>
    <row r="15" spans="1:9">
      <c r="B15" s="392"/>
      <c r="C15" s="389" t="s">
        <v>10</v>
      </c>
      <c r="D15" s="389"/>
      <c r="E15" s="390"/>
      <c r="F15" s="390"/>
      <c r="G15" s="391"/>
    </row>
    <row r="16" spans="1:9" ht="11.7" customHeight="1">
      <c r="B16" s="267"/>
      <c r="G16" s="268"/>
    </row>
    <row r="17" spans="2:7">
      <c r="B17" s="392"/>
      <c r="C17" s="389" t="s">
        <v>11</v>
      </c>
      <c r="D17" s="389"/>
      <c r="E17" s="390"/>
      <c r="F17" s="390"/>
      <c r="G17" s="391"/>
    </row>
    <row r="18" spans="2:7">
      <c r="B18" s="267"/>
      <c r="G18" s="268"/>
    </row>
    <row r="19" spans="2:7">
      <c r="B19" s="267"/>
      <c r="C19" s="270" t="s">
        <v>12</v>
      </c>
      <c r="D19" s="270"/>
      <c r="E19" s="270"/>
      <c r="F19" s="270"/>
      <c r="G19" s="268"/>
    </row>
    <row r="20" spans="2:7">
      <c r="B20" s="267"/>
      <c r="G20" s="268"/>
    </row>
    <row r="21" spans="2:7">
      <c r="B21" s="267"/>
      <c r="C21" s="266" t="str">
        <f>'Usos e fontes'!B17</f>
        <v xml:space="preserve">Receitas </v>
      </c>
      <c r="D21" s="494">
        <f ca="1">E21/$E$27</f>
        <v>0.88634177917389922</v>
      </c>
      <c r="E21" s="272">
        <f>SUM('Usos e fontes'!E17:AH17)</f>
        <v>730478.12351949513</v>
      </c>
      <c r="F21" s="272" t="s">
        <v>13</v>
      </c>
      <c r="G21" s="268"/>
    </row>
    <row r="22" spans="2:7">
      <c r="B22" s="267"/>
      <c r="C22" s="266" t="str">
        <f>'Usos e fontes'!B18</f>
        <v>Equity</v>
      </c>
      <c r="D22" s="494">
        <f ca="1">E22/$E$27</f>
        <v>5.1323516987899297E-2</v>
      </c>
      <c r="E22" s="272">
        <f ca="1">SUM('Usos e fontes'!E18:AH18)</f>
        <v>42298.250249112964</v>
      </c>
      <c r="F22" s="272" t="s">
        <v>13</v>
      </c>
      <c r="G22" s="268"/>
    </row>
    <row r="23" spans="2:7">
      <c r="B23" s="267"/>
      <c r="C23" s="266" t="str">
        <f>'Usos e fontes'!B19</f>
        <v>Dívida Senior</v>
      </c>
      <c r="D23" s="494">
        <f ca="1">E23/$E$27</f>
        <v>4.6579223434782775E-2</v>
      </c>
      <c r="E23" s="272">
        <f ca="1">SUM('Usos e fontes'!E19:AH19)</f>
        <v>38388.243146281529</v>
      </c>
      <c r="F23" s="272" t="s">
        <v>13</v>
      </c>
      <c r="G23" s="268"/>
    </row>
    <row r="24" spans="2:7">
      <c r="B24" s="267"/>
      <c r="C24" s="266" t="str">
        <f>'Usos e fontes'!B20</f>
        <v>Saques Conta Reserva</v>
      </c>
      <c r="D24" s="494">
        <f ca="1">E24/$E$27</f>
        <v>3.7242273375333846E-3</v>
      </c>
      <c r="E24" s="272">
        <f ca="1">SUM('Usos e fontes'!E20:AH20)</f>
        <v>3069.32005350911</v>
      </c>
      <c r="F24" s="272" t="s">
        <v>13</v>
      </c>
      <c r="G24" s="268"/>
    </row>
    <row r="25" spans="2:7">
      <c r="B25" s="267"/>
      <c r="C25" s="266" t="str">
        <f>'Usos e fontes'!B21</f>
        <v>Receitas Financeiras</v>
      </c>
      <c r="D25" s="494">
        <f ca="1">E25/$E$27</f>
        <v>1.2031253065885317E-2</v>
      </c>
      <c r="E25" s="272">
        <f ca="1">SUM('Usos e fontes'!E21:AH21)</f>
        <v>9915.5510545235975</v>
      </c>
      <c r="F25" s="272" t="s">
        <v>13</v>
      </c>
      <c r="G25" s="268"/>
    </row>
    <row r="26" spans="2:7">
      <c r="B26" s="267"/>
      <c r="G26" s="268"/>
    </row>
    <row r="27" spans="2:7">
      <c r="B27" s="267"/>
      <c r="C27" s="94" t="s">
        <v>14</v>
      </c>
      <c r="D27" s="198">
        <f ca="1">SUM(D21:D26)</f>
        <v>1</v>
      </c>
      <c r="E27" s="58">
        <f ca="1">SUM(E21:E25)</f>
        <v>824149.48802292231</v>
      </c>
      <c r="F27" s="58" t="s">
        <v>13</v>
      </c>
      <c r="G27" s="268"/>
    </row>
    <row r="28" spans="2:7">
      <c r="B28" s="267"/>
      <c r="G28" s="268"/>
    </row>
    <row r="29" spans="2:7">
      <c r="B29" s="267"/>
      <c r="G29" s="268"/>
    </row>
    <row r="30" spans="2:7">
      <c r="B30" s="392"/>
      <c r="C30" s="389" t="s">
        <v>15</v>
      </c>
      <c r="D30" s="389"/>
      <c r="E30" s="390"/>
      <c r="F30" s="390"/>
      <c r="G30" s="391"/>
    </row>
    <row r="31" spans="2:7">
      <c r="B31" s="267"/>
      <c r="G31" s="268"/>
    </row>
    <row r="32" spans="2:7">
      <c r="B32" s="267"/>
      <c r="C32" s="270" t="s">
        <v>16</v>
      </c>
      <c r="D32" s="270"/>
      <c r="E32" s="270"/>
      <c r="F32" s="270"/>
      <c r="G32" s="268"/>
    </row>
    <row r="33" spans="2:7">
      <c r="B33" s="267"/>
      <c r="G33" s="268"/>
    </row>
    <row r="34" spans="2:7">
      <c r="B34" s="267"/>
      <c r="C34" s="266" t="str">
        <f>'Usos e fontes'!B5</f>
        <v>Custos</v>
      </c>
      <c r="D34" s="494">
        <f t="shared" ref="D34:D43" ca="1" si="0">E34/$E$46</f>
        <v>0.6524138766108637</v>
      </c>
      <c r="E34" s="272">
        <f ca="1">-SUM('Usos e fontes'!E5:AH5)</f>
        <v>537686.56238789344</v>
      </c>
      <c r="F34" s="266" t="s">
        <v>13</v>
      </c>
      <c r="G34" s="268"/>
    </row>
    <row r="35" spans="2:7">
      <c r="B35" s="267"/>
      <c r="C35" s="266" t="str">
        <f>'Usos e fontes'!B6</f>
        <v>Investimentos</v>
      </c>
      <c r="D35" s="494">
        <f t="shared" ca="1" si="0"/>
        <v>9.3158446869565523E-2</v>
      </c>
      <c r="E35" s="272">
        <f>-SUM('Usos e fontes'!E6:AH6)</f>
        <v>76776.486292563059</v>
      </c>
      <c r="F35" s="266" t="s">
        <v>13</v>
      </c>
      <c r="G35" s="268"/>
    </row>
    <row r="36" spans="2:7">
      <c r="B36" s="267"/>
      <c r="C36" s="266" t="str">
        <f>'Usos e fontes'!B7</f>
        <v>Imposto de renda pago</v>
      </c>
      <c r="D36" s="494">
        <f t="shared" ca="1" si="0"/>
        <v>4.4235305806549829E-2</v>
      </c>
      <c r="E36" s="272">
        <f>-SUM('Usos e fontes'!E7:AH7)</f>
        <v>36456.504633005454</v>
      </c>
      <c r="F36" s="266" t="s">
        <v>13</v>
      </c>
      <c r="G36" s="268"/>
    </row>
    <row r="37" spans="2:7">
      <c r="B37" s="267"/>
      <c r="C37" s="266" t="str">
        <f>'Usos e fontes'!B8</f>
        <v>Depósitos Conta Reserva</v>
      </c>
      <c r="D37" s="494">
        <f t="shared" ca="1" si="0"/>
        <v>3.7242273375333846E-3</v>
      </c>
      <c r="E37" s="272">
        <f ca="1">-SUM('Usos e fontes'!E8:AH8)</f>
        <v>3069.3200535091109</v>
      </c>
      <c r="F37" s="266" t="s">
        <v>13</v>
      </c>
      <c r="G37" s="268"/>
    </row>
    <row r="38" spans="2:7">
      <c r="B38" s="267"/>
      <c r="C38" s="266" t="str">
        <f>'Usos e fontes'!B9</f>
        <v>Pagamento de Juros</v>
      </c>
      <c r="D38" s="494">
        <f t="shared" ca="1" si="0"/>
        <v>2.6282454029457492E-2</v>
      </c>
      <c r="E38" s="272">
        <f ca="1">-SUM('Usos e fontes'!E9:AH9)</f>
        <v>21660.671032363389</v>
      </c>
      <c r="F38" s="266" t="s">
        <v>13</v>
      </c>
      <c r="G38" s="268"/>
    </row>
    <row r="39" spans="2:7">
      <c r="B39" s="267"/>
      <c r="C39" s="266" t="str">
        <f>'Usos e fontes'!B10</f>
        <v>Pagamento de Principal</v>
      </c>
      <c r="D39" s="494">
        <f t="shared" ca="1" si="0"/>
        <v>4.6579223434782754E-2</v>
      </c>
      <c r="E39" s="272">
        <f ca="1">-SUM('Usos e fontes'!E10:AH10)</f>
        <v>38388.243146281522</v>
      </c>
      <c r="F39" s="266" t="s">
        <v>13</v>
      </c>
      <c r="G39" s="268"/>
    </row>
    <row r="40" spans="2:7">
      <c r="B40" s="267"/>
      <c r="C40" s="266" t="str">
        <f>'Usos e fontes'!B11</f>
        <v>Fiança Bancária</v>
      </c>
      <c r="D40" s="494">
        <f t="shared" ca="1" si="0"/>
        <v>2.0568796304278529E-3</v>
      </c>
      <c r="E40" s="272">
        <f ca="1">-SUM('Usos e fontes'!E11:AH11)</f>
        <v>1695.1762943418933</v>
      </c>
      <c r="F40" s="266" t="s">
        <v>13</v>
      </c>
      <c r="G40" s="268"/>
    </row>
    <row r="41" spans="2:7">
      <c r="B41" s="267"/>
      <c r="C41" s="266" t="str">
        <f>'Usos e fontes'!B12</f>
        <v>Capital de Giro</v>
      </c>
      <c r="D41" s="494">
        <f t="shared" ca="1" si="0"/>
        <v>0</v>
      </c>
      <c r="E41" s="272">
        <f>-SUM('Usos e fontes'!E12:AH12)</f>
        <v>0</v>
      </c>
      <c r="F41" s="266" t="s">
        <v>13</v>
      </c>
      <c r="G41" s="268"/>
    </row>
    <row r="42" spans="2:7">
      <c r="B42" s="267"/>
      <c r="C42" s="266" t="str">
        <f>'Usos e fontes'!B13</f>
        <v>Dividendos</v>
      </c>
      <c r="D42" s="494">
        <f t="shared" ca="1" si="0"/>
        <v>8.891858189446708E-2</v>
      </c>
      <c r="E42" s="272">
        <f ca="1">-SUM('Usos e fontes'!E13:AH13)</f>
        <v>73282.203744049359</v>
      </c>
      <c r="F42" s="266" t="s">
        <v>13</v>
      </c>
      <c r="G42" s="268"/>
    </row>
    <row r="43" spans="2:7">
      <c r="B43" s="267"/>
      <c r="C43" s="266" t="str">
        <f>'Usos e fontes'!B14</f>
        <v>Aumento / Redução conta caixa</v>
      </c>
      <c r="D43" s="494">
        <f t="shared" ca="1" si="0"/>
        <v>4.2631004386352263E-2</v>
      </c>
      <c r="E43" s="273">
        <f ca="1">-SUM('Usos e fontes'!E14:AH14)</f>
        <v>35134.32043891518</v>
      </c>
      <c r="F43" s="266" t="s">
        <v>13</v>
      </c>
      <c r="G43" s="268"/>
    </row>
    <row r="44" spans="2:7">
      <c r="B44" s="267"/>
      <c r="D44" s="118"/>
      <c r="E44" s="272"/>
      <c r="F44" s="272"/>
      <c r="G44" s="268"/>
    </row>
    <row r="45" spans="2:7">
      <c r="B45" s="267"/>
      <c r="G45" s="268"/>
    </row>
    <row r="46" spans="2:7">
      <c r="B46" s="267"/>
      <c r="C46" s="94" t="s">
        <v>17</v>
      </c>
      <c r="D46" s="198">
        <f ca="1">SUM(D34:D45)</f>
        <v>1</v>
      </c>
      <c r="E46" s="58">
        <f ca="1">SUM(E34:E44)</f>
        <v>824149.48802292254</v>
      </c>
      <c r="F46" s="58" t="s">
        <v>13</v>
      </c>
      <c r="G46" s="268"/>
    </row>
    <row r="47" spans="2:7">
      <c r="B47" s="269"/>
      <c r="C47" s="270"/>
      <c r="D47" s="270"/>
      <c r="E47" s="270"/>
      <c r="F47" s="270"/>
      <c r="G47" s="271"/>
    </row>
    <row r="48" spans="2:7"/>
    <row r="49" spans="2:7">
      <c r="B49" s="392"/>
      <c r="C49" s="389" t="s">
        <v>18</v>
      </c>
      <c r="D49" s="389"/>
      <c r="E49" s="390"/>
      <c r="F49" s="390"/>
      <c r="G49" s="391"/>
    </row>
    <row r="50" spans="2:7">
      <c r="B50" s="267"/>
      <c r="G50" s="268"/>
    </row>
    <row r="51" spans="2:7">
      <c r="B51" s="267"/>
      <c r="C51" s="266" t="s">
        <v>19</v>
      </c>
      <c r="D51" s="272">
        <f ca="1">Project_NPV</f>
        <v>0.44602648716568183</v>
      </c>
      <c r="E51" s="266" t="s">
        <v>20</v>
      </c>
      <c r="G51" s="268"/>
    </row>
    <row r="52" spans="2:7">
      <c r="B52" s="267"/>
      <c r="C52" s="266" t="s">
        <v>21</v>
      </c>
      <c r="D52" s="494">
        <f ca="1">Project_IRR</f>
        <v>0.10790613293647766</v>
      </c>
      <c r="E52" s="266" t="s">
        <v>22</v>
      </c>
      <c r="G52" s="268"/>
    </row>
    <row r="53" spans="2:7">
      <c r="B53" s="267"/>
      <c r="C53" s="266" t="str">
        <f>'NPV, TIR e Payback'!C35</f>
        <v>Equity IRR</v>
      </c>
      <c r="D53" s="494">
        <f ca="1">IF(Dividends=1,0,'NPV, TIR e Payback'!D35)</f>
        <v>0.13755849999026659</v>
      </c>
      <c r="E53" s="266" t="s">
        <v>23</v>
      </c>
      <c r="G53" s="268"/>
    </row>
    <row r="54" spans="2:7">
      <c r="B54" s="267"/>
      <c r="C54" s="266" t="str">
        <f>'NPV, TIR e Payback'!C74</f>
        <v>Payback Descontado (Projeto)</v>
      </c>
      <c r="D54" s="118">
        <f ca="1">'NPV, TIR e Payback'!E74</f>
        <v>29</v>
      </c>
      <c r="E54" s="266" t="s">
        <v>24</v>
      </c>
      <c r="G54" s="268"/>
    </row>
    <row r="55" spans="2:7">
      <c r="B55" s="267"/>
      <c r="G55" s="268"/>
    </row>
    <row r="56" spans="2:7">
      <c r="B56" s="267"/>
      <c r="G56" s="268"/>
    </row>
    <row r="57" spans="2:7">
      <c r="B57" s="269"/>
      <c r="C57" s="270"/>
      <c r="D57" s="270"/>
      <c r="E57" s="270"/>
      <c r="F57" s="270"/>
      <c r="G57" s="271"/>
    </row>
    <row r="58" spans="2:7" ht="15" customHeight="1"/>
    <row r="59" spans="2:7">
      <c r="B59" s="392"/>
      <c r="C59" s="389" t="s">
        <v>25</v>
      </c>
      <c r="D59" s="389"/>
      <c r="E59" s="390"/>
      <c r="F59" s="390"/>
      <c r="G59" s="391"/>
    </row>
    <row r="60" spans="2:7">
      <c r="B60" s="274"/>
      <c r="C60" s="275"/>
      <c r="D60" s="275"/>
      <c r="E60" s="275"/>
      <c r="F60" s="275"/>
      <c r="G60" s="276"/>
    </row>
    <row r="61" spans="2:7">
      <c r="B61" s="267"/>
      <c r="C61" s="266" t="s">
        <v>26</v>
      </c>
      <c r="E61" s="277">
        <f>Inputs!E32</f>
        <v>30</v>
      </c>
      <c r="G61" s="268"/>
    </row>
    <row r="62" spans="2:7">
      <c r="B62" s="267"/>
      <c r="C62" s="266" t="s">
        <v>27</v>
      </c>
      <c r="E62" s="278">
        <f>DFs!F16</f>
        <v>225809.85502067092</v>
      </c>
      <c r="F62" s="266" t="s">
        <v>20</v>
      </c>
      <c r="G62" s="268"/>
    </row>
    <row r="63" spans="2:7">
      <c r="B63" s="267"/>
      <c r="C63" s="266" t="s">
        <v>28</v>
      </c>
      <c r="E63" s="278">
        <f>CP</f>
        <v>6261.4</v>
      </c>
      <c r="F63" s="266" t="s">
        <v>20</v>
      </c>
      <c r="G63" s="268"/>
    </row>
    <row r="64" spans="2:7">
      <c r="B64" s="267"/>
      <c r="C64" s="266" t="s">
        <v>29</v>
      </c>
      <c r="E64" s="278">
        <f>E63/12</f>
        <v>521.7833333333333</v>
      </c>
      <c r="F64" s="266" t="s">
        <v>20</v>
      </c>
      <c r="G64" s="268"/>
    </row>
    <row r="65" spans="2:7">
      <c r="B65" s="267"/>
      <c r="C65" s="266" t="s">
        <v>30</v>
      </c>
      <c r="E65" s="272">
        <f>Ops!G1030</f>
        <v>72437.324145186911</v>
      </c>
      <c r="F65" s="266" t="s">
        <v>20</v>
      </c>
      <c r="G65" s="268"/>
    </row>
    <row r="66" spans="2:7">
      <c r="B66" s="267"/>
      <c r="C66" s="266" t="s">
        <v>31</v>
      </c>
      <c r="E66" s="272">
        <f>-DFs!F49</f>
        <v>76776.486292563059</v>
      </c>
      <c r="F66" s="266" t="s">
        <v>20</v>
      </c>
      <c r="G66" s="268"/>
    </row>
    <row r="67" spans="2:7">
      <c r="B67" s="269"/>
      <c r="C67" s="270"/>
      <c r="D67" s="270"/>
      <c r="E67" s="279"/>
      <c r="F67" s="270"/>
      <c r="G67" s="271"/>
    </row>
    <row r="68" spans="2:7"/>
    <row r="69" spans="2:7"/>
    <row r="70" spans="2:7"/>
    <row r="71" spans="2:7"/>
    <row r="72" spans="2:7"/>
    <row r="73" spans="2:7"/>
    <row r="74" spans="2:7"/>
    <row r="75" spans="2:7"/>
    <row r="76" spans="2:7"/>
    <row r="77" spans="2:7"/>
    <row r="78" spans="2:7"/>
    <row r="79" spans="2:7"/>
    <row r="80" spans="2:7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</sheetData>
  <pageMargins left="0.7" right="0.7" top="0.75" bottom="0.75" header="0.3" footer="0.3"/>
  <pageSetup paperSize="9" scale="2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All_In_Macro">
                <anchor moveWithCells="1" sizeWithCells="1">
                  <from>
                    <xdr:col>3</xdr:col>
                    <xdr:colOff>22860</xdr:colOff>
                    <xdr:row>11</xdr:row>
                    <xdr:rowOff>60960</xdr:rowOff>
                  </from>
                  <to>
                    <xdr:col>4</xdr:col>
                    <xdr:colOff>30480</xdr:colOff>
                    <xdr:row>12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Drop Down 4">
              <controlPr defaultSize="0" autoLine="0" autoPict="0">
                <anchor moveWithCells="1">
                  <from>
                    <xdr:col>3</xdr:col>
                    <xdr:colOff>22860</xdr:colOff>
                    <xdr:row>6</xdr:row>
                    <xdr:rowOff>0</xdr:rowOff>
                  </from>
                  <to>
                    <xdr:col>3</xdr:col>
                    <xdr:colOff>1021080</xdr:colOff>
                    <xdr:row>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autoLine="0" autoPict="0">
                <anchor moveWithCells="1">
                  <from>
                    <xdr:col>2</xdr:col>
                    <xdr:colOff>2049780</xdr:colOff>
                    <xdr:row>8</xdr:row>
                    <xdr:rowOff>30480</xdr:rowOff>
                  </from>
                  <to>
                    <xdr:col>3</xdr:col>
                    <xdr:colOff>1013460</xdr:colOff>
                    <xdr:row>9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4EED1-E5E9-47EB-BF48-3F91A532C794}">
  <sheetPr codeName="Sheet16">
    <tabColor rgb="FF00338D"/>
  </sheetPr>
  <dimension ref="A1:DI245"/>
  <sheetViews>
    <sheetView showGridLines="0" view="pageBreakPreview" zoomScale="130" zoomScaleNormal="80" zoomScaleSheetLayoutView="130" workbookViewId="0">
      <pane xSplit="6" ySplit="11" topLeftCell="G12" activePane="bottomRight" state="frozen"/>
      <selection activeCell="AM95" sqref="AM95"/>
      <selection pane="topRight" activeCell="AM95" sqref="AM95"/>
      <selection pane="bottomLeft" activeCell="AM95" sqref="AM95"/>
      <selection pane="bottomRight" activeCell="AM95" sqref="AM95"/>
    </sheetView>
  </sheetViews>
  <sheetFormatPr defaultColWidth="0" defaultRowHeight="15.6" outlineLevelRow="1"/>
  <cols>
    <col min="1" max="1" width="5.5546875" style="1" bestFit="1" customWidth="1"/>
    <col min="2" max="2" width="2.6640625" style="1" customWidth="1"/>
    <col min="3" max="3" width="44.88671875" style="1" customWidth="1"/>
    <col min="4" max="4" width="7.6640625" style="4" bestFit="1" customWidth="1"/>
    <col min="5" max="5" width="8.33203125" style="1" bestFit="1" customWidth="1"/>
    <col min="6" max="6" width="16" style="1" bestFit="1" customWidth="1"/>
    <col min="7" max="7" width="13.88671875" style="1" bestFit="1" customWidth="1"/>
    <col min="8" max="8" width="18.33203125" style="1" bestFit="1" customWidth="1"/>
    <col min="9" max="9" width="14.5546875" style="1" bestFit="1" customWidth="1"/>
    <col min="10" max="10" width="17.5546875" style="1" bestFit="1" customWidth="1"/>
    <col min="11" max="19" width="12.6640625" style="1" bestFit="1" customWidth="1"/>
    <col min="20" max="35" width="14.44140625" style="1" bestFit="1" customWidth="1"/>
    <col min="36" max="36" width="12.109375" style="1" customWidth="1"/>
    <col min="37" max="39" width="14.44140625" style="1" customWidth="1"/>
    <col min="40" max="40" width="4.6640625" style="1" customWidth="1"/>
    <col min="41" max="41" width="8.6640625" style="1" customWidth="1"/>
    <col min="42" max="113" width="0" style="1" hidden="1" customWidth="1"/>
    <col min="114" max="16384" width="8.6640625" style="1" hidden="1"/>
  </cols>
  <sheetData>
    <row r="1" spans="1:40" s="266" customFormat="1">
      <c r="A1" s="386" t="s">
        <v>32</v>
      </c>
      <c r="B1" s="386"/>
      <c r="C1" s="386"/>
      <c r="D1" s="393" t="s">
        <v>33</v>
      </c>
      <c r="E1" s="393" t="s">
        <v>34</v>
      </c>
      <c r="F1" s="393" t="s">
        <v>35</v>
      </c>
      <c r="G1" s="393" t="s">
        <v>36</v>
      </c>
      <c r="H1" s="386" t="s">
        <v>37</v>
      </c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6"/>
      <c r="AD1" s="386"/>
      <c r="AE1" s="386"/>
      <c r="AF1" s="386"/>
      <c r="AG1" s="386"/>
      <c r="AH1" s="386"/>
      <c r="AI1" s="386"/>
      <c r="AJ1" s="386"/>
      <c r="AK1" s="120"/>
      <c r="AL1" s="120"/>
      <c r="AM1" s="120"/>
      <c r="AN1" s="120"/>
    </row>
    <row r="2" spans="1:40">
      <c r="A2" s="280"/>
      <c r="B2" s="280"/>
      <c r="C2" s="280"/>
      <c r="D2" s="96">
        <f ca="1">CHECKS!$F$9</f>
        <v>0</v>
      </c>
      <c r="E2" s="128">
        <f ca="1">CHECKS!$F$15</f>
        <v>0</v>
      </c>
      <c r="F2" s="889">
        <f ca="1">Project_IRR</f>
        <v>0.10790613293647766</v>
      </c>
      <c r="G2" s="890">
        <f ca="1">Project_NPV</f>
        <v>0.44602648716568183</v>
      </c>
      <c r="H2" s="129">
        <f ca="1">Master_Check</f>
        <v>0</v>
      </c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0"/>
      <c r="AH2" s="280"/>
      <c r="AI2" s="280"/>
      <c r="AJ2" s="280"/>
      <c r="AK2" s="280"/>
      <c r="AL2" s="280"/>
      <c r="AM2" s="280"/>
      <c r="AN2" s="280"/>
    </row>
    <row r="3" spans="1:40">
      <c r="A3" s="280"/>
      <c r="B3" s="280"/>
      <c r="C3" s="280"/>
      <c r="D3" s="124"/>
      <c r="E3" s="125"/>
      <c r="F3" s="127"/>
      <c r="G3" s="280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  <c r="S3" s="280"/>
      <c r="T3" s="280"/>
      <c r="U3" s="280"/>
      <c r="V3" s="280"/>
      <c r="W3" s="280"/>
      <c r="X3" s="280"/>
      <c r="Y3" s="280"/>
      <c r="Z3" s="280"/>
      <c r="AA3" s="280"/>
      <c r="AB3" s="280"/>
      <c r="AC3" s="280"/>
      <c r="AD3" s="280"/>
      <c r="AE3" s="280"/>
      <c r="AF3" s="280"/>
      <c r="AG3" s="280"/>
      <c r="AH3" s="280"/>
      <c r="AI3" s="280"/>
      <c r="AJ3" s="280"/>
      <c r="AK3" s="280"/>
      <c r="AL3" s="280"/>
      <c r="AM3" s="280"/>
      <c r="AN3" s="280"/>
    </row>
    <row r="4" spans="1:40">
      <c r="A4" s="266"/>
      <c r="B4" s="266"/>
      <c r="C4" s="266"/>
      <c r="E4" s="281"/>
      <c r="F4" s="281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266"/>
      <c r="T4" s="266"/>
      <c r="U4" s="266"/>
      <c r="V4" s="266"/>
      <c r="W4" s="266"/>
      <c r="X4" s="266"/>
      <c r="Y4" s="266"/>
      <c r="Z4" s="266"/>
      <c r="AA4" s="266"/>
      <c r="AB4" s="266"/>
      <c r="AC4" s="266"/>
      <c r="AD4" s="266"/>
      <c r="AE4" s="266"/>
      <c r="AF4" s="266"/>
      <c r="AG4" s="266"/>
      <c r="AH4" s="266"/>
      <c r="AI4" s="266"/>
      <c r="AJ4" s="266"/>
      <c r="AK4" s="266"/>
      <c r="AL4" s="266"/>
      <c r="AM4" s="266"/>
      <c r="AN4" s="266"/>
    </row>
    <row r="5" spans="1:40">
      <c r="A5" s="266"/>
      <c r="B5" s="266"/>
      <c r="C5" s="11" t="str">
        <f>Flags!C4</f>
        <v>Começo período</v>
      </c>
      <c r="E5" s="266"/>
      <c r="F5" s="266"/>
      <c r="G5" s="308">
        <f>Flags!G4</f>
        <v>46388</v>
      </c>
      <c r="H5" s="308">
        <f>Flags!H4</f>
        <v>46753</v>
      </c>
      <c r="I5" s="308">
        <f>Flags!I4</f>
        <v>47119</v>
      </c>
      <c r="J5" s="308">
        <f>Flags!J4</f>
        <v>47484</v>
      </c>
      <c r="K5" s="308">
        <f>Flags!K4</f>
        <v>47849</v>
      </c>
      <c r="L5" s="308">
        <f>Flags!L4</f>
        <v>48214</v>
      </c>
      <c r="M5" s="308">
        <f>Flags!M4</f>
        <v>48580</v>
      </c>
      <c r="N5" s="308">
        <f>Flags!N4</f>
        <v>48945</v>
      </c>
      <c r="O5" s="308">
        <f>Flags!O4</f>
        <v>49310</v>
      </c>
      <c r="P5" s="308">
        <f>Flags!P4</f>
        <v>49675</v>
      </c>
      <c r="Q5" s="308">
        <f>Flags!Q4</f>
        <v>50041</v>
      </c>
      <c r="R5" s="308">
        <f>Flags!R4</f>
        <v>50406</v>
      </c>
      <c r="S5" s="308">
        <f>Flags!S4</f>
        <v>50771</v>
      </c>
      <c r="T5" s="308">
        <f>Flags!T4</f>
        <v>51136</v>
      </c>
      <c r="U5" s="308">
        <f>Flags!U4</f>
        <v>51502</v>
      </c>
      <c r="V5" s="308">
        <f>Flags!V4</f>
        <v>51867</v>
      </c>
      <c r="W5" s="308">
        <f>Flags!W4</f>
        <v>52232</v>
      </c>
      <c r="X5" s="308">
        <f>Flags!X4</f>
        <v>52597</v>
      </c>
      <c r="Y5" s="308">
        <f>Flags!Y4</f>
        <v>52963</v>
      </c>
      <c r="Z5" s="308">
        <f>Flags!Z4</f>
        <v>53328</v>
      </c>
      <c r="AA5" s="308">
        <f>Flags!AA4</f>
        <v>53693</v>
      </c>
      <c r="AB5" s="308">
        <f>Flags!AB4</f>
        <v>54058</v>
      </c>
      <c r="AC5" s="308">
        <f>Flags!AC4</f>
        <v>54424</v>
      </c>
      <c r="AD5" s="308">
        <f>Flags!AD4</f>
        <v>54789</v>
      </c>
      <c r="AE5" s="308">
        <f>Flags!AE4</f>
        <v>55154</v>
      </c>
      <c r="AF5" s="308">
        <f>Flags!AF4</f>
        <v>55519</v>
      </c>
      <c r="AG5" s="308">
        <f>Flags!AG4</f>
        <v>55885</v>
      </c>
      <c r="AH5" s="308">
        <f>Flags!AH4</f>
        <v>56250</v>
      </c>
      <c r="AI5" s="308">
        <f>Flags!AI4</f>
        <v>56615</v>
      </c>
      <c r="AJ5" s="308">
        <f>Flags!AJ4</f>
        <v>56980</v>
      </c>
      <c r="AK5" s="281">
        <f>Flags!AK4</f>
        <v>57346</v>
      </c>
      <c r="AL5" s="281">
        <f>Flags!AL4</f>
        <v>57711</v>
      </c>
      <c r="AM5" s="281">
        <f>Flags!AM4</f>
        <v>58076</v>
      </c>
      <c r="AN5" s="266"/>
    </row>
    <row r="6" spans="1:40">
      <c r="A6" s="266"/>
      <c r="B6" s="266"/>
      <c r="C6" s="11" t="str">
        <f>Flags!C5</f>
        <v>Fim período</v>
      </c>
      <c r="E6" s="266"/>
      <c r="F6" s="266"/>
      <c r="G6" s="308">
        <f>Flags!G5</f>
        <v>46752</v>
      </c>
      <c r="H6" s="308">
        <f>Flags!H5</f>
        <v>47118</v>
      </c>
      <c r="I6" s="308">
        <f>Flags!I5</f>
        <v>47483</v>
      </c>
      <c r="J6" s="308">
        <f>Flags!J5</f>
        <v>47848</v>
      </c>
      <c r="K6" s="308">
        <f>Flags!K5</f>
        <v>48213</v>
      </c>
      <c r="L6" s="308">
        <f>Flags!L5</f>
        <v>48579</v>
      </c>
      <c r="M6" s="308">
        <f>Flags!M5</f>
        <v>48944</v>
      </c>
      <c r="N6" s="308">
        <f>Flags!N5</f>
        <v>49309</v>
      </c>
      <c r="O6" s="308">
        <f>Flags!O5</f>
        <v>49674</v>
      </c>
      <c r="P6" s="308">
        <f>Flags!P5</f>
        <v>50040</v>
      </c>
      <c r="Q6" s="308">
        <f>Flags!Q5</f>
        <v>50405</v>
      </c>
      <c r="R6" s="308">
        <f>Flags!R5</f>
        <v>50770</v>
      </c>
      <c r="S6" s="308">
        <f>Flags!S5</f>
        <v>51135</v>
      </c>
      <c r="T6" s="308">
        <f>Flags!T5</f>
        <v>51501</v>
      </c>
      <c r="U6" s="308">
        <f>Flags!U5</f>
        <v>51866</v>
      </c>
      <c r="V6" s="308">
        <f>Flags!V5</f>
        <v>52231</v>
      </c>
      <c r="W6" s="308">
        <f>Flags!W5</f>
        <v>52596</v>
      </c>
      <c r="X6" s="308">
        <f>Flags!X5</f>
        <v>52962</v>
      </c>
      <c r="Y6" s="308">
        <f>Flags!Y5</f>
        <v>53327</v>
      </c>
      <c r="Z6" s="308">
        <f>Flags!Z5</f>
        <v>53692</v>
      </c>
      <c r="AA6" s="308">
        <f>Flags!AA5</f>
        <v>54057</v>
      </c>
      <c r="AB6" s="308">
        <f>Flags!AB5</f>
        <v>54423</v>
      </c>
      <c r="AC6" s="308">
        <f>Flags!AC5</f>
        <v>54788</v>
      </c>
      <c r="AD6" s="308">
        <f>Flags!AD5</f>
        <v>55153</v>
      </c>
      <c r="AE6" s="308">
        <f>Flags!AE5</f>
        <v>55518</v>
      </c>
      <c r="AF6" s="308">
        <f>Flags!AF5</f>
        <v>55884</v>
      </c>
      <c r="AG6" s="308">
        <f>Flags!AG5</f>
        <v>56249</v>
      </c>
      <c r="AH6" s="308">
        <f>Flags!AH5</f>
        <v>56614</v>
      </c>
      <c r="AI6" s="308">
        <f>Flags!AI5</f>
        <v>56979</v>
      </c>
      <c r="AJ6" s="308">
        <f>Flags!AJ5</f>
        <v>57345</v>
      </c>
      <c r="AK6" s="281">
        <f>Flags!AK5</f>
        <v>57710</v>
      </c>
      <c r="AL6" s="281">
        <f>Flags!AL5</f>
        <v>58075</v>
      </c>
      <c r="AM6" s="281">
        <f>Flags!AM5</f>
        <v>58440</v>
      </c>
      <c r="AN6" s="266"/>
    </row>
    <row r="7" spans="1:40">
      <c r="A7" s="266"/>
      <c r="B7" s="266"/>
      <c r="C7" s="11" t="s">
        <v>38</v>
      </c>
      <c r="E7" s="266"/>
      <c r="F7" s="266"/>
      <c r="G7" s="373">
        <f t="shared" ref="G7:AM7" si="0">YEAR(G6)</f>
        <v>2027</v>
      </c>
      <c r="H7" s="373">
        <f t="shared" si="0"/>
        <v>2028</v>
      </c>
      <c r="I7" s="373">
        <f t="shared" si="0"/>
        <v>2029</v>
      </c>
      <c r="J7" s="373">
        <f t="shared" si="0"/>
        <v>2030</v>
      </c>
      <c r="K7" s="373">
        <f t="shared" si="0"/>
        <v>2031</v>
      </c>
      <c r="L7" s="373">
        <f t="shared" si="0"/>
        <v>2032</v>
      </c>
      <c r="M7" s="373">
        <f t="shared" si="0"/>
        <v>2033</v>
      </c>
      <c r="N7" s="373">
        <f t="shared" si="0"/>
        <v>2034</v>
      </c>
      <c r="O7" s="373">
        <f t="shared" si="0"/>
        <v>2035</v>
      </c>
      <c r="P7" s="373">
        <f t="shared" si="0"/>
        <v>2036</v>
      </c>
      <c r="Q7" s="373">
        <f t="shared" si="0"/>
        <v>2037</v>
      </c>
      <c r="R7" s="373">
        <f t="shared" si="0"/>
        <v>2038</v>
      </c>
      <c r="S7" s="373">
        <f t="shared" si="0"/>
        <v>2039</v>
      </c>
      <c r="T7" s="373">
        <f t="shared" si="0"/>
        <v>2040</v>
      </c>
      <c r="U7" s="373">
        <f t="shared" si="0"/>
        <v>2041</v>
      </c>
      <c r="V7" s="373">
        <f t="shared" si="0"/>
        <v>2042</v>
      </c>
      <c r="W7" s="373">
        <f t="shared" si="0"/>
        <v>2043</v>
      </c>
      <c r="X7" s="373">
        <f t="shared" si="0"/>
        <v>2044</v>
      </c>
      <c r="Y7" s="373">
        <f t="shared" si="0"/>
        <v>2045</v>
      </c>
      <c r="Z7" s="373">
        <f t="shared" si="0"/>
        <v>2046</v>
      </c>
      <c r="AA7" s="373">
        <f t="shared" si="0"/>
        <v>2047</v>
      </c>
      <c r="AB7" s="373">
        <f t="shared" si="0"/>
        <v>2048</v>
      </c>
      <c r="AC7" s="373">
        <f t="shared" si="0"/>
        <v>2049</v>
      </c>
      <c r="AD7" s="373">
        <f t="shared" si="0"/>
        <v>2050</v>
      </c>
      <c r="AE7" s="373">
        <f t="shared" si="0"/>
        <v>2051</v>
      </c>
      <c r="AF7" s="373">
        <f t="shared" si="0"/>
        <v>2052</v>
      </c>
      <c r="AG7" s="373">
        <f t="shared" si="0"/>
        <v>2053</v>
      </c>
      <c r="AH7" s="373">
        <f t="shared" si="0"/>
        <v>2054</v>
      </c>
      <c r="AI7" s="373">
        <f t="shared" si="0"/>
        <v>2055</v>
      </c>
      <c r="AJ7" s="373">
        <f t="shared" si="0"/>
        <v>2056</v>
      </c>
      <c r="AK7" s="282">
        <f t="shared" si="0"/>
        <v>2057</v>
      </c>
      <c r="AL7" s="282">
        <f t="shared" si="0"/>
        <v>2058</v>
      </c>
      <c r="AM7" s="282">
        <f t="shared" si="0"/>
        <v>2059</v>
      </c>
      <c r="AN7" s="266"/>
    </row>
    <row r="8" spans="1:40">
      <c r="A8" s="266"/>
      <c r="B8" s="266"/>
      <c r="C8" s="11" t="s">
        <v>39</v>
      </c>
      <c r="E8" s="266"/>
      <c r="F8" s="266"/>
      <c r="G8" s="372">
        <f>Flags!G15</f>
        <v>1</v>
      </c>
      <c r="H8" s="372">
        <f>Flags!H15</f>
        <v>2</v>
      </c>
      <c r="I8" s="372">
        <f>Flags!I15</f>
        <v>3</v>
      </c>
      <c r="J8" s="372">
        <f>Flags!J15</f>
        <v>4</v>
      </c>
      <c r="K8" s="372">
        <f>Flags!K15</f>
        <v>5</v>
      </c>
      <c r="L8" s="372">
        <f>Flags!L15</f>
        <v>6</v>
      </c>
      <c r="M8" s="372">
        <f>Flags!M15</f>
        <v>7</v>
      </c>
      <c r="N8" s="372">
        <f>Flags!N15</f>
        <v>8</v>
      </c>
      <c r="O8" s="372">
        <f>Flags!O15</f>
        <v>9</v>
      </c>
      <c r="P8" s="372">
        <f>Flags!P15</f>
        <v>10</v>
      </c>
      <c r="Q8" s="372">
        <f>Flags!Q15</f>
        <v>11</v>
      </c>
      <c r="R8" s="372">
        <f>Flags!R15</f>
        <v>12</v>
      </c>
      <c r="S8" s="372">
        <f>Flags!S15</f>
        <v>13</v>
      </c>
      <c r="T8" s="372">
        <f>Flags!T15</f>
        <v>14</v>
      </c>
      <c r="U8" s="372">
        <f>Flags!U15</f>
        <v>15</v>
      </c>
      <c r="V8" s="372">
        <f>Flags!V15</f>
        <v>16</v>
      </c>
      <c r="W8" s="372">
        <f>Flags!W15</f>
        <v>17</v>
      </c>
      <c r="X8" s="372">
        <f>Flags!X15</f>
        <v>18</v>
      </c>
      <c r="Y8" s="372">
        <f>Flags!Y15</f>
        <v>19</v>
      </c>
      <c r="Z8" s="372">
        <f>Flags!Z15</f>
        <v>20</v>
      </c>
      <c r="AA8" s="372">
        <f>Flags!AA15</f>
        <v>21</v>
      </c>
      <c r="AB8" s="372">
        <f>Flags!AB15</f>
        <v>22</v>
      </c>
      <c r="AC8" s="372">
        <f>Flags!AC15</f>
        <v>23</v>
      </c>
      <c r="AD8" s="372">
        <f>Flags!AD15</f>
        <v>24</v>
      </c>
      <c r="AE8" s="372">
        <f>Flags!AE15</f>
        <v>25</v>
      </c>
      <c r="AF8" s="372">
        <f>Flags!AF15</f>
        <v>26</v>
      </c>
      <c r="AG8" s="372">
        <f>Flags!AG15</f>
        <v>27</v>
      </c>
      <c r="AH8" s="372">
        <f>Flags!AH15</f>
        <v>28</v>
      </c>
      <c r="AI8" s="372">
        <f>Flags!AI15</f>
        <v>29</v>
      </c>
      <c r="AJ8" s="372">
        <f>Flags!AJ15</f>
        <v>30</v>
      </c>
      <c r="AK8" s="283">
        <f>Flags!AK15</f>
        <v>31</v>
      </c>
      <c r="AL8" s="283">
        <f>Flags!AL15</f>
        <v>32</v>
      </c>
      <c r="AM8" s="283">
        <f>Flags!AM15</f>
        <v>33</v>
      </c>
      <c r="AN8" s="266"/>
    </row>
    <row r="9" spans="1:40">
      <c r="A9" s="266"/>
      <c r="B9" s="266"/>
      <c r="C9" s="11" t="str">
        <f>Flags!C6</f>
        <v>Timeline</v>
      </c>
      <c r="E9" s="266"/>
      <c r="F9" s="266"/>
      <c r="G9" s="371" t="str">
        <f>Flags!G90</f>
        <v>Ops</v>
      </c>
      <c r="H9" s="371" t="str">
        <f>Flags!H90</f>
        <v>Ops</v>
      </c>
      <c r="I9" s="371" t="str">
        <f>Flags!I90</f>
        <v>Ops</v>
      </c>
      <c r="J9" s="371" t="str">
        <f>Flags!J90</f>
        <v>Ops</v>
      </c>
      <c r="K9" s="371" t="str">
        <f>Flags!K90</f>
        <v>Ops</v>
      </c>
      <c r="L9" s="371" t="str">
        <f>Flags!L90</f>
        <v>Ops</v>
      </c>
      <c r="M9" s="371" t="str">
        <f>Flags!M90</f>
        <v>Ops</v>
      </c>
      <c r="N9" s="371" t="str">
        <f>Flags!N90</f>
        <v>Ops</v>
      </c>
      <c r="O9" s="371" t="str">
        <f>Flags!O90</f>
        <v>Ops</v>
      </c>
      <c r="P9" s="371" t="str">
        <f>Flags!P90</f>
        <v>Ops</v>
      </c>
      <c r="Q9" s="371" t="str">
        <f>Flags!Q90</f>
        <v>Ops</v>
      </c>
      <c r="R9" s="371" t="str">
        <f>Flags!R90</f>
        <v>Ops</v>
      </c>
      <c r="S9" s="371" t="str">
        <f>Flags!S90</f>
        <v>Ops</v>
      </c>
      <c r="T9" s="371" t="str">
        <f>Flags!T90</f>
        <v>Ops</v>
      </c>
      <c r="U9" s="371" t="str">
        <f>Flags!U90</f>
        <v>Ops</v>
      </c>
      <c r="V9" s="371" t="str">
        <f>Flags!V90</f>
        <v>Ops</v>
      </c>
      <c r="W9" s="371" t="str">
        <f>Flags!W90</f>
        <v>Ops</v>
      </c>
      <c r="X9" s="371" t="str">
        <f>Flags!X90</f>
        <v>Ops</v>
      </c>
      <c r="Y9" s="371" t="str">
        <f>Flags!Y90</f>
        <v>Ops</v>
      </c>
      <c r="Z9" s="371" t="str">
        <f>Flags!Z90</f>
        <v>Ops</v>
      </c>
      <c r="AA9" s="371" t="str">
        <f>Flags!AA90</f>
        <v>Ops</v>
      </c>
      <c r="AB9" s="371" t="str">
        <f>Flags!AB90</f>
        <v>Ops</v>
      </c>
      <c r="AC9" s="371" t="str">
        <f>Flags!AC90</f>
        <v>Ops</v>
      </c>
      <c r="AD9" s="371" t="str">
        <f>Flags!AD90</f>
        <v>Ops</v>
      </c>
      <c r="AE9" s="371" t="str">
        <f>Flags!AE90</f>
        <v>Ops</v>
      </c>
      <c r="AF9" s="371" t="str">
        <f>Flags!AF90</f>
        <v>Ops</v>
      </c>
      <c r="AG9" s="371" t="str">
        <f>Flags!AG90</f>
        <v>Ops</v>
      </c>
      <c r="AH9" s="371" t="str">
        <f>Flags!AH90</f>
        <v>Ops</v>
      </c>
      <c r="AI9" s="371" t="str">
        <f>Flags!AI90</f>
        <v>Ops</v>
      </c>
      <c r="AJ9" s="371" t="str">
        <f>Flags!AJ90</f>
        <v>Ops</v>
      </c>
      <c r="AK9" s="273" t="str">
        <f>Flags!AK90</f>
        <v>Post Ops.</v>
      </c>
      <c r="AL9" s="273" t="str">
        <f>Flags!AL90</f>
        <v>Post Ops.</v>
      </c>
      <c r="AM9" s="273" t="str">
        <f>Flags!AM90</f>
        <v>Post Ops.</v>
      </c>
      <c r="AN9" s="266"/>
    </row>
    <row r="10" spans="1:40">
      <c r="A10" s="266"/>
      <c r="B10" s="266"/>
      <c r="C10"/>
      <c r="E10" s="266"/>
      <c r="F10" s="266"/>
      <c r="G10" s="266"/>
      <c r="H10" s="266"/>
      <c r="I10" s="266"/>
      <c r="J10" s="266"/>
      <c r="K10" s="266"/>
      <c r="L10" s="266"/>
      <c r="M10" s="266"/>
      <c r="N10" s="266"/>
      <c r="O10" s="266"/>
      <c r="P10" s="266"/>
      <c r="Q10" s="266"/>
      <c r="R10" s="266"/>
      <c r="S10" s="266"/>
      <c r="T10" s="266"/>
      <c r="U10" s="266"/>
      <c r="V10" s="266"/>
      <c r="W10" s="266"/>
      <c r="X10" s="266"/>
      <c r="Y10" s="266"/>
      <c r="Z10" s="266"/>
      <c r="AA10" s="266"/>
      <c r="AB10" s="266"/>
      <c r="AC10" s="266"/>
      <c r="AD10" s="266"/>
      <c r="AE10" s="266"/>
      <c r="AF10" s="266"/>
      <c r="AG10" s="266"/>
      <c r="AH10" s="266"/>
      <c r="AI10" s="266"/>
      <c r="AJ10" s="266"/>
      <c r="AK10" s="266"/>
      <c r="AL10" s="266"/>
      <c r="AM10" s="266"/>
      <c r="AN10" s="266"/>
    </row>
    <row r="11" spans="1:40">
      <c r="A11" s="266"/>
      <c r="B11" s="266"/>
      <c r="C11" s="266"/>
      <c r="D11" s="744" t="str">
        <f>Flags!D8</f>
        <v>Inputs</v>
      </c>
      <c r="E11" s="75" t="str">
        <f>Flags!E8</f>
        <v>Units</v>
      </c>
      <c r="F11" s="75" t="str">
        <f>Flags!F8</f>
        <v>Total</v>
      </c>
      <c r="G11" s="266"/>
      <c r="H11" s="266"/>
      <c r="I11" s="266"/>
      <c r="J11" s="266"/>
      <c r="K11" s="266"/>
      <c r="L11" s="266"/>
      <c r="M11" s="266"/>
      <c r="N11" s="266"/>
      <c r="O11" s="266"/>
      <c r="P11" s="266"/>
      <c r="Q11" s="266"/>
      <c r="R11" s="266"/>
      <c r="S11" s="266"/>
      <c r="T11" s="266"/>
      <c r="U11" s="266"/>
      <c r="V11" s="266"/>
      <c r="W11" s="266"/>
      <c r="X11" s="266"/>
      <c r="Y11" s="266"/>
      <c r="Z11" s="266"/>
      <c r="AA11" s="266"/>
      <c r="AB11" s="266"/>
      <c r="AC11" s="266"/>
      <c r="AD11" s="266"/>
      <c r="AE11" s="266"/>
      <c r="AF11" s="266"/>
      <c r="AG11" s="266"/>
      <c r="AH11" s="266"/>
      <c r="AI11" s="266"/>
      <c r="AJ11" s="266"/>
      <c r="AK11" s="266"/>
      <c r="AL11" s="266"/>
      <c r="AM11" s="266"/>
      <c r="AN11" s="266"/>
    </row>
    <row r="12" spans="1:40">
      <c r="A12" s="266"/>
      <c r="B12" s="266"/>
      <c r="C12" s="266"/>
      <c r="E12" s="4"/>
      <c r="F12" s="266"/>
      <c r="G12" s="266"/>
      <c r="H12" s="266"/>
      <c r="I12" s="266"/>
      <c r="J12" s="266"/>
      <c r="K12" s="266"/>
      <c r="L12" s="266"/>
      <c r="M12" s="266"/>
      <c r="N12" s="266"/>
      <c r="O12" s="266"/>
      <c r="P12" s="266"/>
      <c r="Q12" s="266"/>
      <c r="R12" s="266"/>
      <c r="S12" s="266"/>
      <c r="T12" s="266"/>
      <c r="U12" s="266"/>
      <c r="V12" s="266"/>
      <c r="W12" s="266"/>
      <c r="X12" s="266"/>
      <c r="Y12" s="266"/>
      <c r="Z12" s="266"/>
      <c r="AA12" s="266"/>
      <c r="AB12" s="266"/>
      <c r="AC12" s="266"/>
      <c r="AD12" s="266"/>
      <c r="AE12" s="266"/>
      <c r="AF12" s="266"/>
      <c r="AG12" s="266"/>
      <c r="AH12" s="266"/>
      <c r="AI12" s="266"/>
      <c r="AJ12" s="266"/>
      <c r="AK12" s="266"/>
      <c r="AL12" s="266"/>
      <c r="AM12" s="266"/>
      <c r="AN12" s="266"/>
    </row>
    <row r="13" spans="1:40" s="266" customFormat="1" ht="16.2" thickBot="1">
      <c r="C13" s="394" t="s">
        <v>40</v>
      </c>
      <c r="D13" s="395"/>
      <c r="E13" s="396"/>
      <c r="F13" s="395"/>
      <c r="G13" s="395"/>
      <c r="H13" s="395"/>
      <c r="I13" s="395"/>
      <c r="J13" s="395"/>
      <c r="K13" s="395"/>
      <c r="L13" s="395"/>
      <c r="M13" s="395"/>
      <c r="N13" s="395"/>
      <c r="O13" s="395"/>
      <c r="P13" s="395"/>
      <c r="Q13" s="395"/>
      <c r="R13" s="395"/>
      <c r="S13" s="395"/>
      <c r="T13" s="395"/>
      <c r="U13" s="395"/>
      <c r="V13" s="395"/>
      <c r="W13" s="395"/>
      <c r="X13" s="395"/>
      <c r="Y13" s="395"/>
      <c r="Z13" s="395"/>
      <c r="AA13" s="395"/>
      <c r="AB13" s="395"/>
      <c r="AC13" s="395"/>
      <c r="AD13" s="395"/>
      <c r="AE13" s="395"/>
      <c r="AF13" s="395"/>
      <c r="AG13" s="395"/>
      <c r="AH13" s="395"/>
      <c r="AI13" s="395"/>
      <c r="AJ13" s="395"/>
      <c r="AK13" s="8"/>
      <c r="AL13" s="8"/>
      <c r="AM13" s="8"/>
    </row>
    <row r="14" spans="1:40">
      <c r="A14" s="266"/>
      <c r="B14" s="266"/>
      <c r="C14" s="266"/>
      <c r="E14" s="4"/>
      <c r="F14" s="278"/>
      <c r="G14" s="266"/>
      <c r="H14" s="266"/>
      <c r="I14" s="266"/>
      <c r="J14" s="266"/>
      <c r="K14" s="266"/>
      <c r="L14" s="266"/>
      <c r="M14" s="266"/>
      <c r="N14" s="266"/>
      <c r="O14" s="278"/>
      <c r="P14"/>
      <c r="Q14" s="266"/>
      <c r="R14" s="266"/>
      <c r="S14" s="266"/>
      <c r="T14" s="266"/>
      <c r="U14" s="266"/>
      <c r="V14" s="266"/>
      <c r="W14" s="266"/>
      <c r="X14" s="266"/>
      <c r="Y14" s="266"/>
      <c r="Z14" s="266"/>
      <c r="AA14" s="266"/>
      <c r="AB14" s="266"/>
      <c r="AC14" s="266"/>
      <c r="AD14" s="266"/>
      <c r="AE14" s="266"/>
      <c r="AF14" s="266"/>
      <c r="AG14" s="266"/>
      <c r="AH14" s="266"/>
      <c r="AI14" s="266"/>
      <c r="AJ14" s="266"/>
      <c r="AK14" s="266"/>
      <c r="AL14" s="266"/>
      <c r="AM14" s="266"/>
      <c r="AN14" s="266"/>
    </row>
    <row r="15" spans="1:40">
      <c r="A15" s="266"/>
      <c r="B15" s="266"/>
      <c r="C15" s="5" t="s">
        <v>41</v>
      </c>
      <c r="D15" s="266"/>
      <c r="E15" s="266"/>
      <c r="F15" s="376"/>
      <c r="G15" s="297"/>
      <c r="H15" s="278"/>
      <c r="I15"/>
      <c r="J15" s="278"/>
      <c r="K15" s="278"/>
      <c r="L15" s="278"/>
      <c r="M15" s="278"/>
      <c r="N15" s="278"/>
      <c r="O15" s="278"/>
      <c r="P15" s="278"/>
      <c r="Q15" s="278"/>
      <c r="R15" s="278"/>
      <c r="S15" s="278"/>
      <c r="T15" s="278"/>
      <c r="U15" s="278"/>
      <c r="V15" s="278"/>
      <c r="W15" s="278"/>
      <c r="X15" s="278"/>
      <c r="Y15" s="278"/>
      <c r="Z15" s="278"/>
      <c r="AA15" s="278"/>
      <c r="AB15" s="278"/>
      <c r="AC15" s="278"/>
      <c r="AD15" s="266"/>
      <c r="AE15" s="278"/>
      <c r="AF15" s="266"/>
      <c r="AG15" s="266"/>
      <c r="AH15" s="266"/>
      <c r="AI15" s="266"/>
      <c r="AJ15" s="266"/>
      <c r="AK15" s="266"/>
      <c r="AL15" s="266"/>
      <c r="AM15" s="266"/>
      <c r="AN15" s="266"/>
    </row>
    <row r="16" spans="1:40" outlineLevel="1">
      <c r="A16" s="266"/>
      <c r="B16" s="266"/>
      <c r="C16" s="266" t="s">
        <v>42</v>
      </c>
      <c r="D16" s="266"/>
      <c r="E16" s="4" t="s">
        <v>13</v>
      </c>
      <c r="F16" s="44">
        <f>SUM(G16:AM16)</f>
        <v>225809.85502067092</v>
      </c>
      <c r="G16" s="273">
        <f>Ops!G127</f>
        <v>15451.717165367998</v>
      </c>
      <c r="H16" s="273">
        <f>Ops!H127</f>
        <v>6334.3740971543702</v>
      </c>
      <c r="I16" s="273">
        <f>Ops!I127</f>
        <v>6406.5075084297869</v>
      </c>
      <c r="J16" s="273">
        <f>Ops!J127</f>
        <v>6477.8193831813778</v>
      </c>
      <c r="K16" s="273">
        <f>Ops!K127</f>
        <v>6548.32822384881</v>
      </c>
      <c r="L16" s="273">
        <f>Ops!L127</f>
        <v>6618.0519147711393</v>
      </c>
      <c r="M16" s="273">
        <f>Ops!M127</f>
        <v>6687.0077494149991</v>
      </c>
      <c r="N16" s="273">
        <f>Ops!N127</f>
        <v>6755.2124561198252</v>
      </c>
      <c r="O16" s="273">
        <f>Ops!O127</f>
        <v>6822.6822224559801</v>
      </c>
      <c r="P16" s="273">
        <f>Ops!P127</f>
        <v>6889.43271828452</v>
      </c>
      <c r="Q16" s="273">
        <f>Ops!Q127</f>
        <v>6955.4791176007702</v>
      </c>
      <c r="R16" s="273">
        <f>Ops!R127</f>
        <v>7020.8361192378707</v>
      </c>
      <c r="S16" s="273">
        <f>Ops!S127</f>
        <v>7085.5179665009537</v>
      </c>
      <c r="T16" s="273">
        <f>Ops!T127</f>
        <v>7149.5384657975737</v>
      </c>
      <c r="U16" s="273">
        <f>Ops!U127</f>
        <v>7212.9110043253195</v>
      </c>
      <c r="V16" s="273">
        <f>Ops!V127</f>
        <v>7275.6485668732985</v>
      </c>
      <c r="W16" s="273">
        <f>Ops!W127</f>
        <v>7337.7637517902504</v>
      </c>
      <c r="X16" s="273">
        <f>Ops!X127</f>
        <v>7399.2687861683899</v>
      </c>
      <c r="Y16" s="273">
        <f>Ops!Y127</f>
        <v>7460.1755402887547</v>
      </c>
      <c r="Z16" s="273">
        <f>Ops!Z127</f>
        <v>7520.4955413707503</v>
      </c>
      <c r="AA16" s="273">
        <f>Ops!AA127</f>
        <v>7580.2399866657288</v>
      </c>
      <c r="AB16" s="273">
        <f>Ops!AB127</f>
        <v>7639.4197559317854</v>
      </c>
      <c r="AC16" s="273">
        <f>Ops!AC127</f>
        <v>7698.04542332456</v>
      </c>
      <c r="AD16" s="273">
        <f>Ops!AD127</f>
        <v>7756.1272687365181</v>
      </c>
      <c r="AE16" s="273">
        <f>Ops!AE127</f>
        <v>7813.6752886151517</v>
      </c>
      <c r="AF16" s="273">
        <f>Ops!AF127</f>
        <v>7870.6992062885556</v>
      </c>
      <c r="AG16" s="273">
        <f>Ops!AG127</f>
        <v>7927.2084818250605</v>
      </c>
      <c r="AH16" s="273">
        <f>Ops!AH127</f>
        <v>7983.2123214519324</v>
      </c>
      <c r="AI16" s="273">
        <f>Ops!AI127</f>
        <v>8038.7196865565847</v>
      </c>
      <c r="AJ16" s="273">
        <f>Ops!AJ127</f>
        <v>8093.7393022923152</v>
      </c>
      <c r="AK16" s="273">
        <f>Ops!AK127</f>
        <v>0</v>
      </c>
      <c r="AL16" s="273">
        <f>Ops!AL127</f>
        <v>0</v>
      </c>
      <c r="AM16" s="273">
        <f>Ops!AM127</f>
        <v>0</v>
      </c>
      <c r="AN16" s="266"/>
    </row>
    <row r="17" spans="3:39" outlineLevel="1">
      <c r="C17" s="266" t="s">
        <v>43</v>
      </c>
      <c r="D17" s="266"/>
      <c r="E17" s="4" t="s">
        <v>13</v>
      </c>
      <c r="F17" s="44">
        <f>SUM(G17:AM17)</f>
        <v>555333.9449924737</v>
      </c>
      <c r="G17" s="273">
        <f>SUM(Ops!G167:G167)</f>
        <v>0</v>
      </c>
      <c r="H17" s="273">
        <f>SUM(Ops!H167:H167)</f>
        <v>11758.952798734137</v>
      </c>
      <c r="I17" s="273">
        <f>SUM(Ops!I167:I167)</f>
        <v>15920.762778005295</v>
      </c>
      <c r="J17" s="273">
        <f>SUM(Ops!J167:J167)</f>
        <v>16102.167234904948</v>
      </c>
      <c r="K17" s="273">
        <f>SUM(Ops!K167:K167)</f>
        <v>16283.571691804606</v>
      </c>
      <c r="L17" s="273">
        <f>SUM(Ops!L167:L167)</f>
        <v>16464.97614870426</v>
      </c>
      <c r="M17" s="273">
        <f>SUM(Ops!M167:M167)</f>
        <v>17728.395344968165</v>
      </c>
      <c r="N17" s="273">
        <f>SUM(Ops!N167:N167)</f>
        <v>17921.591091566297</v>
      </c>
      <c r="O17" s="273">
        <f>SUM(Ops!O167:O167)</f>
        <v>18114.786838164429</v>
      </c>
      <c r="P17" s="273">
        <f>SUM(Ops!P167:P167)</f>
        <v>18307.982584762562</v>
      </c>
      <c r="Q17" s="273">
        <f>SUM(Ops!Q167:Q167)</f>
        <v>18501.17833136069</v>
      </c>
      <c r="R17" s="273">
        <f>SUM(Ops!R167:R167)</f>
        <v>18694.374077958822</v>
      </c>
      <c r="S17" s="273">
        <f>SUM(Ops!S167:S167)</f>
        <v>18887.569824556955</v>
      </c>
      <c r="T17" s="273">
        <f>SUM(Ops!T167:T167)</f>
        <v>19080.765571155087</v>
      </c>
      <c r="U17" s="273">
        <f>SUM(Ops!U167:U167)</f>
        <v>19273.961317753216</v>
      </c>
      <c r="V17" s="273">
        <f>SUM(Ops!V167:V167)</f>
        <v>19467.157064351348</v>
      </c>
      <c r="W17" s="273">
        <f>SUM(Ops!W167:W167)</f>
        <v>19660.35281094948</v>
      </c>
      <c r="X17" s="273">
        <f>SUM(Ops!X167:X167)</f>
        <v>19853.548557547612</v>
      </c>
      <c r="Y17" s="273">
        <f>SUM(Ops!Y167:Y167)</f>
        <v>20046.744304145745</v>
      </c>
      <c r="Z17" s="273">
        <f>SUM(Ops!Z167:Z167)</f>
        <v>20239.940050743877</v>
      </c>
      <c r="AA17" s="273">
        <f>SUM(Ops!AA167:AA167)</f>
        <v>20433.135797342009</v>
      </c>
      <c r="AB17" s="273">
        <f>SUM(Ops!AB167:AB167)</f>
        <v>20626.331543940141</v>
      </c>
      <c r="AC17" s="273">
        <f>SUM(Ops!AC167:AC167)</f>
        <v>20819.527290538274</v>
      </c>
      <c r="AD17" s="273">
        <f>SUM(Ops!AD167:AD167)</f>
        <v>21012.723037136402</v>
      </c>
      <c r="AE17" s="273">
        <f>SUM(Ops!AE167:AE167)</f>
        <v>21205.918783734534</v>
      </c>
      <c r="AF17" s="273">
        <f>SUM(Ops!AF167:AF167)</f>
        <v>21399.11453033267</v>
      </c>
      <c r="AG17" s="273">
        <f>SUM(Ops!AG167:AG167)</f>
        <v>21592.310276930795</v>
      </c>
      <c r="AH17" s="273">
        <f>SUM(Ops!AH167:AH167)</f>
        <v>21785.506023528927</v>
      </c>
      <c r="AI17" s="273">
        <f>SUM(Ops!AI167:AI167)</f>
        <v>21978.701770127063</v>
      </c>
      <c r="AJ17" s="273">
        <f>SUM(Ops!AJ167:AJ167)</f>
        <v>22171.897516725192</v>
      </c>
      <c r="AK17" s="273">
        <f>SUM(Ops!AK167:AK167)</f>
        <v>0</v>
      </c>
      <c r="AL17" s="273">
        <f>SUM(Ops!AL167:AL167)</f>
        <v>0</v>
      </c>
      <c r="AM17" s="273">
        <f>SUM(Ops!AM167:AM167)</f>
        <v>0</v>
      </c>
    </row>
    <row r="18" spans="3:39" outlineLevel="1">
      <c r="C18" s="266" t="s">
        <v>44</v>
      </c>
      <c r="D18" s="266"/>
      <c r="E18" s="4" t="s">
        <v>13</v>
      </c>
      <c r="F18" s="44">
        <f>SUM(G18:AM18)</f>
        <v>-64644.804601249227</v>
      </c>
      <c r="G18" s="273">
        <f>Ops!G198</f>
        <v>424.290650251957</v>
      </c>
      <c r="H18" s="273">
        <f>Ops!H198</f>
        <v>-3041.9030717481432</v>
      </c>
      <c r="I18" s="273">
        <f>Ops!I198</f>
        <v>-2832.4535011664716</v>
      </c>
      <c r="J18" s="273">
        <f>Ops!J198</f>
        <v>-2404.4215573262618</v>
      </c>
      <c r="K18" s="273">
        <f>Ops!K198</f>
        <v>-2244.7610438431461</v>
      </c>
      <c r="L18" s="273">
        <f>Ops!L198</f>
        <v>-1047.8130758105228</v>
      </c>
      <c r="M18" s="273">
        <f>Ops!M198</f>
        <v>-2183.0472397748431</v>
      </c>
      <c r="N18" s="273">
        <f>Ops!N198</f>
        <v>-1317.5386062574748</v>
      </c>
      <c r="O18" s="273">
        <f>Ops!O198</f>
        <v>-1923.9501265220101</v>
      </c>
      <c r="P18" s="273">
        <f>Ops!P198</f>
        <v>-2059.0777752694512</v>
      </c>
      <c r="Q18" s="273">
        <f>Ops!Q198</f>
        <v>-2038.7449076544367</v>
      </c>
      <c r="R18" s="273">
        <f>Ops!R198</f>
        <v>-2107.1597895875261</v>
      </c>
      <c r="S18" s="273">
        <f>Ops!S198</f>
        <v>-2170.7480879748173</v>
      </c>
      <c r="T18" s="273">
        <f>Ops!T198</f>
        <v>-2263.6014341363116</v>
      </c>
      <c r="U18" s="273">
        <f>Ops!U198</f>
        <v>-1558.9445917310918</v>
      </c>
      <c r="V18" s="273">
        <f>Ops!V198</f>
        <v>-2106.1291680001568</v>
      </c>
      <c r="W18" s="273">
        <f>Ops!W198</f>
        <v>-2313.9214854175107</v>
      </c>
      <c r="X18" s="273">
        <f>Ops!X198</f>
        <v>-2389.1466220148145</v>
      </c>
      <c r="Y18" s="273">
        <f>Ops!Y198</f>
        <v>-2344.5989631868079</v>
      </c>
      <c r="Z18" s="273">
        <f>Ops!Z198</f>
        <v>-2451.5721330803349</v>
      </c>
      <c r="AA18" s="273">
        <f>Ops!AA198</f>
        <v>-2373.6289815585651</v>
      </c>
      <c r="AB18" s="273">
        <f>Ops!AB198</f>
        <v>-1729.5870993694857</v>
      </c>
      <c r="AC18" s="273">
        <f>Ops!AC198</f>
        <v>-2493.09305091853</v>
      </c>
      <c r="AD18" s="273">
        <f>Ops!AD198</f>
        <v>-2525.8969878474359</v>
      </c>
      <c r="AE18" s="273">
        <f>Ops!AE198</f>
        <v>-2593.9242442935511</v>
      </c>
      <c r="AF18" s="273">
        <f>Ops!AF198</f>
        <v>-2358.4076562271607</v>
      </c>
      <c r="AG18" s="273">
        <f>Ops!AG198</f>
        <v>-2688.4601505613946</v>
      </c>
      <c r="AH18" s="273">
        <f>Ops!AH198</f>
        <v>-2544.203075433385</v>
      </c>
      <c r="AI18" s="273">
        <f>Ops!AI198</f>
        <v>-2170.2401795129713</v>
      </c>
      <c r="AJ18" s="273">
        <f>Ops!AJ198</f>
        <v>-2792.1206452765796</v>
      </c>
      <c r="AK18" s="273">
        <f>Ops!AK198</f>
        <v>0</v>
      </c>
      <c r="AL18" s="273">
        <f>Ops!AL198</f>
        <v>0</v>
      </c>
      <c r="AM18" s="273">
        <f>Ops!AM198</f>
        <v>0</v>
      </c>
    </row>
    <row r="19" spans="3:39" outlineLevel="1">
      <c r="C19" s="11" t="s">
        <v>45</v>
      </c>
      <c r="D19" s="11"/>
      <c r="E19" s="4" t="s">
        <v>13</v>
      </c>
      <c r="F19" s="54">
        <f>SUM(G19:AM19)</f>
        <v>716498.99541189522</v>
      </c>
      <c r="G19" s="55">
        <f t="shared" ref="G19:AM19" si="1">SUM(G16:G18)</f>
        <v>15876.007815619954</v>
      </c>
      <c r="H19" s="55">
        <f t="shared" si="1"/>
        <v>15051.423824140365</v>
      </c>
      <c r="I19" s="55">
        <f t="shared" si="1"/>
        <v>19494.816785268613</v>
      </c>
      <c r="J19" s="55">
        <f t="shared" si="1"/>
        <v>20175.565060760062</v>
      </c>
      <c r="K19" s="55">
        <f t="shared" si="1"/>
        <v>20587.138871810268</v>
      </c>
      <c r="L19" s="55">
        <f t="shared" si="1"/>
        <v>22035.214987664876</v>
      </c>
      <c r="M19" s="55">
        <f t="shared" si="1"/>
        <v>22232.355854608322</v>
      </c>
      <c r="N19" s="55">
        <f t="shared" si="1"/>
        <v>23359.264941428646</v>
      </c>
      <c r="O19" s="55">
        <f t="shared" si="1"/>
        <v>23013.5189340984</v>
      </c>
      <c r="P19" s="55">
        <f t="shared" si="1"/>
        <v>23138.337527777629</v>
      </c>
      <c r="Q19" s="55">
        <f t="shared" si="1"/>
        <v>23417.912541307025</v>
      </c>
      <c r="R19" s="55">
        <f t="shared" si="1"/>
        <v>23608.050407609164</v>
      </c>
      <c r="S19" s="55">
        <f t="shared" si="1"/>
        <v>23802.339703083089</v>
      </c>
      <c r="T19" s="55">
        <f t="shared" si="1"/>
        <v>23966.702602816349</v>
      </c>
      <c r="U19" s="55">
        <f t="shared" si="1"/>
        <v>24927.927730347445</v>
      </c>
      <c r="V19" s="55">
        <f t="shared" si="1"/>
        <v>24636.676463224492</v>
      </c>
      <c r="W19" s="55">
        <f t="shared" si="1"/>
        <v>24684.19507732222</v>
      </c>
      <c r="X19" s="55">
        <f t="shared" si="1"/>
        <v>24863.670721701186</v>
      </c>
      <c r="Y19" s="55">
        <f t="shared" si="1"/>
        <v>25162.320881247691</v>
      </c>
      <c r="Z19" s="55">
        <f t="shared" si="1"/>
        <v>25308.863459034292</v>
      </c>
      <c r="AA19" s="55">
        <f t="shared" si="1"/>
        <v>25639.746802449172</v>
      </c>
      <c r="AB19" s="55">
        <f t="shared" si="1"/>
        <v>26536.164200502441</v>
      </c>
      <c r="AC19" s="55">
        <f t="shared" si="1"/>
        <v>26024.479662944304</v>
      </c>
      <c r="AD19" s="55">
        <f t="shared" si="1"/>
        <v>26242.953318025484</v>
      </c>
      <c r="AE19" s="55">
        <f t="shared" si="1"/>
        <v>26425.669828056136</v>
      </c>
      <c r="AF19" s="55">
        <f t="shared" si="1"/>
        <v>26911.406080394063</v>
      </c>
      <c r="AG19" s="55">
        <f t="shared" si="1"/>
        <v>26831.05860819446</v>
      </c>
      <c r="AH19" s="55">
        <f t="shared" si="1"/>
        <v>27224.515269547472</v>
      </c>
      <c r="AI19" s="55">
        <f t="shared" si="1"/>
        <v>27847.181277170679</v>
      </c>
      <c r="AJ19" s="55">
        <f t="shared" si="1"/>
        <v>27473.516173740925</v>
      </c>
      <c r="AK19" s="55">
        <f t="shared" si="1"/>
        <v>0</v>
      </c>
      <c r="AL19" s="55">
        <f t="shared" si="1"/>
        <v>0</v>
      </c>
      <c r="AM19" s="55">
        <f t="shared" si="1"/>
        <v>0</v>
      </c>
    </row>
    <row r="20" spans="3:39">
      <c r="C20" s="266"/>
      <c r="D20" s="266"/>
      <c r="E20" s="266"/>
      <c r="F20" s="273"/>
      <c r="G20" s="273"/>
      <c r="H20" s="273"/>
      <c r="I20" s="273"/>
      <c r="J20" s="273"/>
      <c r="K20" s="273"/>
      <c r="L20" s="273"/>
      <c r="M20" s="273"/>
      <c r="N20" s="273"/>
      <c r="O20"/>
      <c r="P20" s="284"/>
      <c r="Q20" s="284"/>
      <c r="R20" s="284"/>
      <c r="S20" s="284"/>
      <c r="T20" s="273"/>
      <c r="U20" s="273"/>
      <c r="V20" s="273"/>
      <c r="W20" s="273"/>
      <c r="X20" s="285"/>
      <c r="Y20" s="273"/>
      <c r="Z20" s="273"/>
      <c r="AA20" s="273"/>
      <c r="AB20" s="273"/>
      <c r="AC20" s="284"/>
      <c r="AD20" s="284"/>
      <c r="AE20" s="284"/>
      <c r="AF20" s="284"/>
      <c r="AG20" s="273"/>
      <c r="AH20" s="273"/>
      <c r="AI20" s="273"/>
      <c r="AJ20" s="273"/>
      <c r="AK20" s="273"/>
      <c r="AL20" s="273"/>
      <c r="AM20" s="273"/>
    </row>
    <row r="21" spans="3:39">
      <c r="C21" s="5" t="s">
        <v>46</v>
      </c>
      <c r="D21" s="266"/>
      <c r="E21" s="266"/>
      <c r="F21" s="273"/>
      <c r="G21" s="273"/>
      <c r="H21" s="273"/>
      <c r="I21" s="376"/>
      <c r="J21" s="273"/>
      <c r="K21" s="318"/>
      <c r="L21" s="273"/>
      <c r="M21" s="273"/>
      <c r="N21" s="273"/>
      <c r="O21" s="273"/>
      <c r="P21" s="273"/>
      <c r="Q21" s="273"/>
      <c r="R21" s="273"/>
      <c r="S21" s="273"/>
      <c r="T21" s="273"/>
      <c r="U21" s="273"/>
      <c r="V21" s="273"/>
      <c r="W21" s="273"/>
      <c r="X21" s="273"/>
      <c r="Y21" s="273"/>
      <c r="Z21" s="273"/>
      <c r="AA21" s="273"/>
      <c r="AB21" s="273"/>
      <c r="AC21" s="273"/>
      <c r="AD21" s="273"/>
      <c r="AE21" s="273"/>
      <c r="AF21" s="273"/>
      <c r="AG21" s="273"/>
      <c r="AH21" s="273"/>
      <c r="AI21" s="273"/>
      <c r="AJ21" s="273"/>
      <c r="AK21" s="273"/>
      <c r="AL21" s="273"/>
      <c r="AM21" s="273"/>
    </row>
    <row r="22" spans="3:39" outlineLevel="1">
      <c r="C22" s="266" t="str">
        <f>Ops!C335</f>
        <v>Coleta Manual E Conteinerizada Resíduos Comuns</v>
      </c>
      <c r="D22" s="266"/>
      <c r="E22" s="4" t="s">
        <v>13</v>
      </c>
      <c r="F22" s="44">
        <f t="shared" ref="F22:F39" si="2">SUM(G22:AM22)</f>
        <v>-119618.57126399549</v>
      </c>
      <c r="G22" s="273">
        <f>-Ops!G314</f>
        <v>-3802.4182892478507</v>
      </c>
      <c r="H22" s="273">
        <f>-Ops!H314</f>
        <v>-3802.4182892478507</v>
      </c>
      <c r="I22" s="273">
        <f>-Ops!I314</f>
        <v>-3832.3822892478506</v>
      </c>
      <c r="J22" s="273">
        <f>-Ops!J314</f>
        <v>-3862.3462892478506</v>
      </c>
      <c r="K22" s="273">
        <f>-Ops!K314</f>
        <v>-3862.3462892478506</v>
      </c>
      <c r="L22" s="273">
        <f>-Ops!L314</f>
        <v>-3862.3462892478506</v>
      </c>
      <c r="M22" s="273">
        <f>-Ops!M314</f>
        <v>-3862.3462892478506</v>
      </c>
      <c r="N22" s="273">
        <f>-Ops!N314</f>
        <v>-3862.3462892478506</v>
      </c>
      <c r="O22" s="273">
        <f>-Ops!O314</f>
        <v>-3862.3462892478506</v>
      </c>
      <c r="P22" s="273">
        <f>-Ops!P314</f>
        <v>-3862.3462892478506</v>
      </c>
      <c r="Q22" s="273">
        <f>-Ops!Q314</f>
        <v>-3862.3462892478506</v>
      </c>
      <c r="R22" s="273">
        <f>-Ops!R314</f>
        <v>-3862.3462892478506</v>
      </c>
      <c r="S22" s="273">
        <f>-Ops!S314</f>
        <v>-3862.3462892478506</v>
      </c>
      <c r="T22" s="273">
        <f>-Ops!T314</f>
        <v>-3862.3462892478506</v>
      </c>
      <c r="U22" s="273">
        <f>-Ops!U314</f>
        <v>-3862.3462892478506</v>
      </c>
      <c r="V22" s="273">
        <f>-Ops!V314</f>
        <v>-3862.3462892478506</v>
      </c>
      <c r="W22" s="273">
        <f>-Ops!W314</f>
        <v>-3862.3462892478506</v>
      </c>
      <c r="X22" s="273">
        <f>-Ops!X314</f>
        <v>-3862.3462892478506</v>
      </c>
      <c r="Y22" s="273">
        <f>-Ops!Y314</f>
        <v>-4187.1798381278504</v>
      </c>
      <c r="Z22" s="273">
        <f>-Ops!Z314</f>
        <v>-4187.1798381278504</v>
      </c>
      <c r="AA22" s="273">
        <f>-Ops!AA314</f>
        <v>-4187.1798381278504</v>
      </c>
      <c r="AB22" s="273">
        <f>-Ops!AB314</f>
        <v>-4187.1798381278504</v>
      </c>
      <c r="AC22" s="273">
        <f>-Ops!AC314</f>
        <v>-4187.1798381278504</v>
      </c>
      <c r="AD22" s="273">
        <f>-Ops!AD314</f>
        <v>-4187.1798381278504</v>
      </c>
      <c r="AE22" s="273">
        <f>-Ops!AE314</f>
        <v>-4187.1798381278504</v>
      </c>
      <c r="AF22" s="273">
        <f>-Ops!AF314</f>
        <v>-4187.1798381278504</v>
      </c>
      <c r="AG22" s="273">
        <f>-Ops!AG314</f>
        <v>-4187.1798381278504</v>
      </c>
      <c r="AH22" s="273">
        <f>-Ops!AH314</f>
        <v>-4187.1798381278504</v>
      </c>
      <c r="AI22" s="273">
        <f>-Ops!AI314</f>
        <v>-4187.1798381278504</v>
      </c>
      <c r="AJ22" s="273">
        <f>-Ops!AJ314</f>
        <v>-4187.1798381278504</v>
      </c>
      <c r="AK22" s="273">
        <f>-Ops!AK314</f>
        <v>0</v>
      </c>
      <c r="AL22" s="273">
        <f>-Ops!AL314</f>
        <v>0</v>
      </c>
      <c r="AM22" s="273">
        <f>-Ops!AM314</f>
        <v>0</v>
      </c>
    </row>
    <row r="23" spans="3:39" outlineLevel="1">
      <c r="C23" s="266" t="str">
        <f>Ops!C336</f>
        <v>Coleta Materias Recicláveis</v>
      </c>
      <c r="D23" s="266"/>
      <c r="E23" s="4" t="s">
        <v>13</v>
      </c>
      <c r="F23" s="44">
        <f t="shared" si="2"/>
        <v>-45195.221764716509</v>
      </c>
      <c r="G23" s="273">
        <f>-Ops!G315</f>
        <v>-1214.1571981652173</v>
      </c>
      <c r="H23" s="273">
        <f>-Ops!H315</f>
        <v>-1214.1571981652173</v>
      </c>
      <c r="I23" s="273">
        <f>-Ops!I315</f>
        <v>-1214.1571981652173</v>
      </c>
      <c r="J23" s="273">
        <f>-Ops!J315</f>
        <v>-1538.9907470452174</v>
      </c>
      <c r="K23" s="273">
        <f>-Ops!K315</f>
        <v>-1538.9907470452174</v>
      </c>
      <c r="L23" s="273">
        <f>-Ops!L315</f>
        <v>-1538.9907470452174</v>
      </c>
      <c r="M23" s="273">
        <f>-Ops!M315</f>
        <v>-1538.9907470452174</v>
      </c>
      <c r="N23" s="273">
        <f>-Ops!N315</f>
        <v>-1538.9907470452174</v>
      </c>
      <c r="O23" s="273">
        <f>-Ops!O315</f>
        <v>-1538.9907470452174</v>
      </c>
      <c r="P23" s="273">
        <f>-Ops!P315</f>
        <v>-1538.9907470452174</v>
      </c>
      <c r="Q23" s="273">
        <f>-Ops!Q315</f>
        <v>-1538.9907470452174</v>
      </c>
      <c r="R23" s="273">
        <f>-Ops!R315</f>
        <v>-1538.9907470452174</v>
      </c>
      <c r="S23" s="273">
        <f>-Ops!S315</f>
        <v>-1538.9907470452174</v>
      </c>
      <c r="T23" s="273">
        <f>-Ops!T315</f>
        <v>-1538.9907470452174</v>
      </c>
      <c r="U23" s="273">
        <f>-Ops!U315</f>
        <v>-1538.9907470452174</v>
      </c>
      <c r="V23" s="273">
        <f>-Ops!V315</f>
        <v>-1538.9907470452174</v>
      </c>
      <c r="W23" s="273">
        <f>-Ops!W315</f>
        <v>-1538.9907470452174</v>
      </c>
      <c r="X23" s="273">
        <f>-Ops!X315</f>
        <v>-1538.9907470452174</v>
      </c>
      <c r="Y23" s="273">
        <f>-Ops!Y315</f>
        <v>-1538.9907470452174</v>
      </c>
      <c r="Z23" s="273">
        <f>-Ops!Z315</f>
        <v>-1538.9907470452174</v>
      </c>
      <c r="AA23" s="273">
        <f>-Ops!AA315</f>
        <v>-1538.9907470452174</v>
      </c>
      <c r="AB23" s="273">
        <f>-Ops!AB315</f>
        <v>-1538.9907470452174</v>
      </c>
      <c r="AC23" s="273">
        <f>-Ops!AC315</f>
        <v>-1538.9907470452174</v>
      </c>
      <c r="AD23" s="273">
        <f>-Ops!AD315</f>
        <v>-1538.9907470452174</v>
      </c>
      <c r="AE23" s="273">
        <f>-Ops!AE315</f>
        <v>-1538.9907470452174</v>
      </c>
      <c r="AF23" s="273">
        <f>-Ops!AF315</f>
        <v>-1538.9907470452174</v>
      </c>
      <c r="AG23" s="273">
        <f>-Ops!AG315</f>
        <v>-1538.9907470452174</v>
      </c>
      <c r="AH23" s="273">
        <f>-Ops!AH315</f>
        <v>-1538.9907470452174</v>
      </c>
      <c r="AI23" s="273">
        <f>-Ops!AI315</f>
        <v>-1538.9907470452174</v>
      </c>
      <c r="AJ23" s="273">
        <f>-Ops!AJ315</f>
        <v>-1538.9907470452174</v>
      </c>
      <c r="AK23" s="273">
        <f>-Ops!AK315</f>
        <v>0</v>
      </c>
      <c r="AL23" s="273">
        <f>-Ops!AL315</f>
        <v>0</v>
      </c>
      <c r="AM23" s="273">
        <f>-Ops!AM315</f>
        <v>0</v>
      </c>
    </row>
    <row r="24" spans="3:39" outlineLevel="1">
      <c r="C24" s="266" t="str">
        <f>Ops!C337</f>
        <v>Transporte E Destinação - Resíduos Dos  Pevs</v>
      </c>
      <c r="D24" s="266"/>
      <c r="E24" s="4" t="s">
        <v>13</v>
      </c>
      <c r="F24" s="44">
        <f t="shared" si="2"/>
        <v>-7369.9807028168852</v>
      </c>
      <c r="G24" s="273">
        <f>-Ops!G316</f>
        <v>0</v>
      </c>
      <c r="H24" s="273">
        <f>-Ops!H316</f>
        <v>0</v>
      </c>
      <c r="I24" s="273">
        <f>-Ops!I316</f>
        <v>-263.21359652917431</v>
      </c>
      <c r="J24" s="273">
        <f>-Ops!J316</f>
        <v>-263.21359652917431</v>
      </c>
      <c r="K24" s="273">
        <f>-Ops!K316</f>
        <v>-263.21359652917431</v>
      </c>
      <c r="L24" s="273">
        <f>-Ops!L316</f>
        <v>-263.21359652917431</v>
      </c>
      <c r="M24" s="273">
        <f>-Ops!M316</f>
        <v>-263.21359652917431</v>
      </c>
      <c r="N24" s="273">
        <f>-Ops!N316</f>
        <v>-263.21359652917431</v>
      </c>
      <c r="O24" s="273">
        <f>-Ops!O316</f>
        <v>-263.21359652917431</v>
      </c>
      <c r="P24" s="273">
        <f>-Ops!P316</f>
        <v>-263.21359652917431</v>
      </c>
      <c r="Q24" s="273">
        <f>-Ops!Q316</f>
        <v>-263.21359652917431</v>
      </c>
      <c r="R24" s="273">
        <f>-Ops!R316</f>
        <v>-263.21359652917431</v>
      </c>
      <c r="S24" s="273">
        <f>-Ops!S316</f>
        <v>-263.21359652917431</v>
      </c>
      <c r="T24" s="273">
        <f>-Ops!T316</f>
        <v>-263.21359652917431</v>
      </c>
      <c r="U24" s="273">
        <f>-Ops!U316</f>
        <v>-263.21359652917431</v>
      </c>
      <c r="V24" s="273">
        <f>-Ops!V316</f>
        <v>-263.21359652917431</v>
      </c>
      <c r="W24" s="273">
        <f>-Ops!W316</f>
        <v>-263.21359652917431</v>
      </c>
      <c r="X24" s="273">
        <f>-Ops!X316</f>
        <v>-263.21359652917431</v>
      </c>
      <c r="Y24" s="273">
        <f>-Ops!Y316</f>
        <v>-263.21359652917431</v>
      </c>
      <c r="Z24" s="273">
        <f>-Ops!Z316</f>
        <v>-263.21359652917431</v>
      </c>
      <c r="AA24" s="273">
        <f>-Ops!AA316</f>
        <v>-263.21359652917431</v>
      </c>
      <c r="AB24" s="273">
        <f>-Ops!AB316</f>
        <v>-263.21359652917431</v>
      </c>
      <c r="AC24" s="273">
        <f>-Ops!AC316</f>
        <v>-263.21359652917431</v>
      </c>
      <c r="AD24" s="273">
        <f>-Ops!AD316</f>
        <v>-263.21359652917431</v>
      </c>
      <c r="AE24" s="273">
        <f>-Ops!AE316</f>
        <v>-263.21359652917431</v>
      </c>
      <c r="AF24" s="273">
        <f>-Ops!AF316</f>
        <v>-263.21359652917431</v>
      </c>
      <c r="AG24" s="273">
        <f>-Ops!AG316</f>
        <v>-263.21359652917431</v>
      </c>
      <c r="AH24" s="273">
        <f>-Ops!AH316</f>
        <v>-263.21359652917431</v>
      </c>
      <c r="AI24" s="273">
        <f>-Ops!AI316</f>
        <v>-263.21359652917431</v>
      </c>
      <c r="AJ24" s="273">
        <f>-Ops!AJ316</f>
        <v>-263.21359652917431</v>
      </c>
      <c r="AK24" s="273">
        <f>-Ops!AK316</f>
        <v>0</v>
      </c>
      <c r="AL24" s="273">
        <f>-Ops!AL316</f>
        <v>0</v>
      </c>
      <c r="AM24" s="273">
        <f>-Ops!AM316</f>
        <v>0</v>
      </c>
    </row>
    <row r="25" spans="3:39" outlineLevel="1">
      <c r="C25" s="266" t="str">
        <f>Ops!C338</f>
        <v>Coleta Programada De Volumosos</v>
      </c>
      <c r="D25" s="266"/>
      <c r="E25" s="4" t="s">
        <v>13</v>
      </c>
      <c r="F25" s="44">
        <f t="shared" si="2"/>
        <v>-20103.279886275312</v>
      </c>
      <c r="G25" s="273">
        <f>-Ops!G317</f>
        <v>-670.10932954251052</v>
      </c>
      <c r="H25" s="273">
        <f>-Ops!H317</f>
        <v>-670.10932954251052</v>
      </c>
      <c r="I25" s="273">
        <f>-Ops!I317</f>
        <v>-670.10932954251052</v>
      </c>
      <c r="J25" s="273">
        <f>-Ops!J317</f>
        <v>-670.10932954251052</v>
      </c>
      <c r="K25" s="273">
        <f>-Ops!K317</f>
        <v>-670.10932954251052</v>
      </c>
      <c r="L25" s="273">
        <f>-Ops!L317</f>
        <v>-670.10932954251052</v>
      </c>
      <c r="M25" s="273">
        <f>-Ops!M317</f>
        <v>-670.10932954251052</v>
      </c>
      <c r="N25" s="273">
        <f>-Ops!N317</f>
        <v>-670.10932954251052</v>
      </c>
      <c r="O25" s="273">
        <f>-Ops!O317</f>
        <v>-670.10932954251052</v>
      </c>
      <c r="P25" s="273">
        <f>-Ops!P317</f>
        <v>-670.10932954251052</v>
      </c>
      <c r="Q25" s="273">
        <f>-Ops!Q317</f>
        <v>-670.10932954251052</v>
      </c>
      <c r="R25" s="273">
        <f>-Ops!R317</f>
        <v>-670.10932954251052</v>
      </c>
      <c r="S25" s="273">
        <f>-Ops!S317</f>
        <v>-670.10932954251052</v>
      </c>
      <c r="T25" s="273">
        <f>-Ops!T317</f>
        <v>-670.10932954251052</v>
      </c>
      <c r="U25" s="273">
        <f>-Ops!U317</f>
        <v>-670.10932954251052</v>
      </c>
      <c r="V25" s="273">
        <f>-Ops!V317</f>
        <v>-670.10932954251052</v>
      </c>
      <c r="W25" s="273">
        <f>-Ops!W317</f>
        <v>-670.10932954251052</v>
      </c>
      <c r="X25" s="273">
        <f>-Ops!X317</f>
        <v>-670.10932954251052</v>
      </c>
      <c r="Y25" s="273">
        <f>-Ops!Y317</f>
        <v>-670.10932954251052</v>
      </c>
      <c r="Z25" s="273">
        <f>-Ops!Z317</f>
        <v>-670.10932954251052</v>
      </c>
      <c r="AA25" s="273">
        <f>-Ops!AA317</f>
        <v>-670.10932954251052</v>
      </c>
      <c r="AB25" s="273">
        <f>-Ops!AB317</f>
        <v>-670.10932954251052</v>
      </c>
      <c r="AC25" s="273">
        <f>-Ops!AC317</f>
        <v>-670.10932954251052</v>
      </c>
      <c r="AD25" s="273">
        <f>-Ops!AD317</f>
        <v>-670.10932954251052</v>
      </c>
      <c r="AE25" s="273">
        <f>-Ops!AE317</f>
        <v>-670.10932954251052</v>
      </c>
      <c r="AF25" s="273">
        <f>-Ops!AF317</f>
        <v>-670.10932954251052</v>
      </c>
      <c r="AG25" s="273">
        <f>-Ops!AG317</f>
        <v>-670.10932954251052</v>
      </c>
      <c r="AH25" s="273">
        <f>-Ops!AH317</f>
        <v>-670.10932954251052</v>
      </c>
      <c r="AI25" s="273">
        <f>-Ops!AI317</f>
        <v>-670.10932954251052</v>
      </c>
      <c r="AJ25" s="273">
        <f>-Ops!AJ317</f>
        <v>-670.10932954251052</v>
      </c>
      <c r="AK25" s="273">
        <f>-Ops!AK317</f>
        <v>0</v>
      </c>
      <c r="AL25" s="273">
        <f>-Ops!AL317</f>
        <v>0</v>
      </c>
      <c r="AM25" s="273">
        <f>-Ops!AM317</f>
        <v>0</v>
      </c>
    </row>
    <row r="26" spans="3:39" outlineLevel="1">
      <c r="C26" s="266" t="str">
        <f>Ops!C339</f>
        <v>Varrição Manual</v>
      </c>
      <c r="D26" s="266"/>
      <c r="E26" s="4" t="s">
        <v>13</v>
      </c>
      <c r="F26" s="44">
        <f t="shared" si="2"/>
        <v>-33008.94178978345</v>
      </c>
      <c r="G26" s="273">
        <f>-Ops!G318</f>
        <v>-902.85758976611521</v>
      </c>
      <c r="H26" s="273">
        <f>-Ops!H318</f>
        <v>-1027.1445066461151</v>
      </c>
      <c r="I26" s="273">
        <f>-Ops!I318</f>
        <v>-1027.4155866461151</v>
      </c>
      <c r="J26" s="273">
        <f>-Ops!J318</f>
        <v>-1027.4155866461151</v>
      </c>
      <c r="K26" s="273">
        <f>-Ops!K318</f>
        <v>-1027.4155866461151</v>
      </c>
      <c r="L26" s="273">
        <f>-Ops!L318</f>
        <v>-1027.4155866461151</v>
      </c>
      <c r="M26" s="273">
        <f>-Ops!M318</f>
        <v>-1027.4155866461151</v>
      </c>
      <c r="N26" s="273">
        <f>-Ops!N318</f>
        <v>-1027.4155866461151</v>
      </c>
      <c r="O26" s="273">
        <f>-Ops!O318</f>
        <v>-1027.4155866461151</v>
      </c>
      <c r="P26" s="273">
        <f>-Ops!P318</f>
        <v>-1089.8466100861149</v>
      </c>
      <c r="Q26" s="273">
        <f>-Ops!Q318</f>
        <v>-1089.8466100861149</v>
      </c>
      <c r="R26" s="273">
        <f>-Ops!R318</f>
        <v>-1089.8466100861149</v>
      </c>
      <c r="S26" s="273">
        <f>-Ops!S318</f>
        <v>-1089.8466100861149</v>
      </c>
      <c r="T26" s="273">
        <f>-Ops!T318</f>
        <v>-1089.8466100861149</v>
      </c>
      <c r="U26" s="273">
        <f>-Ops!U318</f>
        <v>-1089.8466100861149</v>
      </c>
      <c r="V26" s="273">
        <f>-Ops!V318</f>
        <v>-1089.8466100861149</v>
      </c>
      <c r="W26" s="273">
        <f>-Ops!W318</f>
        <v>-1090.1176900861149</v>
      </c>
      <c r="X26" s="273">
        <f>-Ops!X318</f>
        <v>-1090.1176900861149</v>
      </c>
      <c r="Y26" s="273">
        <f>-Ops!Y318</f>
        <v>-1152.2776335261151</v>
      </c>
      <c r="Z26" s="273">
        <f>-Ops!Z318</f>
        <v>-1152.2776335261151</v>
      </c>
      <c r="AA26" s="273">
        <f>-Ops!AA318</f>
        <v>-1152.2776335261151</v>
      </c>
      <c r="AB26" s="273">
        <f>-Ops!AB318</f>
        <v>-1152.2776335261151</v>
      </c>
      <c r="AC26" s="273">
        <f>-Ops!AC318</f>
        <v>-1152.2776335261151</v>
      </c>
      <c r="AD26" s="273">
        <f>-Ops!AD318</f>
        <v>-1152.5487135261151</v>
      </c>
      <c r="AE26" s="273">
        <f>-Ops!AE318</f>
        <v>-1152.5487135261151</v>
      </c>
      <c r="AF26" s="273">
        <f>-Ops!AF318</f>
        <v>-1152.5487135261151</v>
      </c>
      <c r="AG26" s="273">
        <f>-Ops!AG318</f>
        <v>-1214.7086569661151</v>
      </c>
      <c r="AH26" s="273">
        <f>-Ops!AH318</f>
        <v>-1214.7086569661151</v>
      </c>
      <c r="AI26" s="273">
        <f>-Ops!AI318</f>
        <v>-1214.7086569661151</v>
      </c>
      <c r="AJ26" s="273">
        <f>-Ops!AJ318</f>
        <v>-1214.7086569661151</v>
      </c>
      <c r="AK26" s="273">
        <f>-Ops!AK318</f>
        <v>0</v>
      </c>
      <c r="AL26" s="273">
        <f>-Ops!AL318</f>
        <v>0</v>
      </c>
      <c r="AM26" s="273">
        <f>-Ops!AM318</f>
        <v>0</v>
      </c>
    </row>
    <row r="27" spans="3:39" outlineLevel="1">
      <c r="C27" s="266" t="str">
        <f>Ops!C340</f>
        <v>Serviços Gerais (Tipos I E II)</v>
      </c>
      <c r="D27" s="266"/>
      <c r="E27" s="4" t="s">
        <v>13</v>
      </c>
      <c r="F27" s="44">
        <f t="shared" si="2"/>
        <v>-74397.325471316275</v>
      </c>
      <c r="G27" s="273">
        <f>-Ops!G319</f>
        <v>-2479.9108490438762</v>
      </c>
      <c r="H27" s="273">
        <f>-Ops!H319</f>
        <v>-2479.9108490438762</v>
      </c>
      <c r="I27" s="273">
        <f>-Ops!I319</f>
        <v>-2479.9108490438762</v>
      </c>
      <c r="J27" s="273">
        <f>-Ops!J319</f>
        <v>-2479.9108490438762</v>
      </c>
      <c r="K27" s="273">
        <f>-Ops!K319</f>
        <v>-2479.9108490438762</v>
      </c>
      <c r="L27" s="273">
        <f>-Ops!L319</f>
        <v>-2479.9108490438762</v>
      </c>
      <c r="M27" s="273">
        <f>-Ops!M319</f>
        <v>-2479.9108490438762</v>
      </c>
      <c r="N27" s="273">
        <f>-Ops!N319</f>
        <v>-2479.9108490438762</v>
      </c>
      <c r="O27" s="273">
        <f>-Ops!O319</f>
        <v>-2479.9108490438762</v>
      </c>
      <c r="P27" s="273">
        <f>-Ops!P319</f>
        <v>-2479.9108490438762</v>
      </c>
      <c r="Q27" s="273">
        <f>-Ops!Q319</f>
        <v>-2479.9108490438762</v>
      </c>
      <c r="R27" s="273">
        <f>-Ops!R319</f>
        <v>-2479.9108490438762</v>
      </c>
      <c r="S27" s="273">
        <f>-Ops!S319</f>
        <v>-2479.9108490438762</v>
      </c>
      <c r="T27" s="273">
        <f>-Ops!T319</f>
        <v>-2479.9108490438762</v>
      </c>
      <c r="U27" s="273">
        <f>-Ops!U319</f>
        <v>-2479.9108490438762</v>
      </c>
      <c r="V27" s="273">
        <f>-Ops!V319</f>
        <v>-2479.9108490438762</v>
      </c>
      <c r="W27" s="273">
        <f>-Ops!W319</f>
        <v>-2479.9108490438762</v>
      </c>
      <c r="X27" s="273">
        <f>-Ops!X319</f>
        <v>-2479.9108490438762</v>
      </c>
      <c r="Y27" s="273">
        <f>-Ops!Y319</f>
        <v>-2479.9108490438762</v>
      </c>
      <c r="Z27" s="273">
        <f>-Ops!Z319</f>
        <v>-2479.9108490438762</v>
      </c>
      <c r="AA27" s="273">
        <f>-Ops!AA319</f>
        <v>-2479.9108490438762</v>
      </c>
      <c r="AB27" s="273">
        <f>-Ops!AB319</f>
        <v>-2479.9108490438762</v>
      </c>
      <c r="AC27" s="273">
        <f>-Ops!AC319</f>
        <v>-2479.9108490438762</v>
      </c>
      <c r="AD27" s="273">
        <f>-Ops!AD319</f>
        <v>-2479.9108490438762</v>
      </c>
      <c r="AE27" s="273">
        <f>-Ops!AE319</f>
        <v>-2479.9108490438762</v>
      </c>
      <c r="AF27" s="273">
        <f>-Ops!AF319</f>
        <v>-2479.9108490438762</v>
      </c>
      <c r="AG27" s="273">
        <f>-Ops!AG319</f>
        <v>-2479.9108490438762</v>
      </c>
      <c r="AH27" s="273">
        <f>-Ops!AH319</f>
        <v>-2479.9108490438762</v>
      </c>
      <c r="AI27" s="273">
        <f>-Ops!AI319</f>
        <v>-2479.9108490438762</v>
      </c>
      <c r="AJ27" s="273">
        <f>-Ops!AJ319</f>
        <v>-2479.9108490438762</v>
      </c>
      <c r="AK27" s="273">
        <f>-Ops!AK319</f>
        <v>0</v>
      </c>
      <c r="AL27" s="273">
        <f>-Ops!AL319</f>
        <v>0</v>
      </c>
      <c r="AM27" s="273">
        <f>-Ops!AM319</f>
        <v>0</v>
      </c>
    </row>
    <row r="28" spans="3:39" outlineLevel="1">
      <c r="C28" s="266" t="str">
        <f>Ops!C341</f>
        <v>Roçada</v>
      </c>
      <c r="D28" s="266"/>
      <c r="E28" s="4" t="s">
        <v>13</v>
      </c>
      <c r="F28" s="44">
        <f t="shared" ref="F28" si="3">SUM(G28:AM28)</f>
        <v>-42142.108850209821</v>
      </c>
      <c r="G28" s="273">
        <f>-Ops!G320</f>
        <v>-1404.7369616736601</v>
      </c>
      <c r="H28" s="273">
        <f>-Ops!H320</f>
        <v>-1404.7369616736601</v>
      </c>
      <c r="I28" s="273">
        <f>-Ops!I320</f>
        <v>-1404.7369616736601</v>
      </c>
      <c r="J28" s="273">
        <f>-Ops!J320</f>
        <v>-1404.7369616736601</v>
      </c>
      <c r="K28" s="273">
        <f>-Ops!K320</f>
        <v>-1404.7369616736601</v>
      </c>
      <c r="L28" s="273">
        <f>-Ops!L320</f>
        <v>-1404.7369616736601</v>
      </c>
      <c r="M28" s="273">
        <f>-Ops!M320</f>
        <v>-1404.7369616736601</v>
      </c>
      <c r="N28" s="273">
        <f>-Ops!N320</f>
        <v>-1404.7369616736601</v>
      </c>
      <c r="O28" s="273">
        <f>-Ops!O320</f>
        <v>-1404.7369616736601</v>
      </c>
      <c r="P28" s="273">
        <f>-Ops!P320</f>
        <v>-1404.7369616736601</v>
      </c>
      <c r="Q28" s="273">
        <f>-Ops!Q320</f>
        <v>-1404.7369616736601</v>
      </c>
      <c r="R28" s="273">
        <f>-Ops!R320</f>
        <v>-1404.7369616736601</v>
      </c>
      <c r="S28" s="273">
        <f>-Ops!S320</f>
        <v>-1404.7369616736601</v>
      </c>
      <c r="T28" s="273">
        <f>-Ops!T320</f>
        <v>-1404.7369616736601</v>
      </c>
      <c r="U28" s="273">
        <f>-Ops!U320</f>
        <v>-1404.7369616736601</v>
      </c>
      <c r="V28" s="273">
        <f>-Ops!V320</f>
        <v>-1404.7369616736601</v>
      </c>
      <c r="W28" s="273">
        <f>-Ops!W320</f>
        <v>-1404.7369616736601</v>
      </c>
      <c r="X28" s="273">
        <f>-Ops!X320</f>
        <v>-1404.7369616736601</v>
      </c>
      <c r="Y28" s="273">
        <f>-Ops!Y320</f>
        <v>-1404.7369616736601</v>
      </c>
      <c r="Z28" s="273">
        <f>-Ops!Z320</f>
        <v>-1404.7369616736601</v>
      </c>
      <c r="AA28" s="273">
        <f>-Ops!AA320</f>
        <v>-1404.7369616736601</v>
      </c>
      <c r="AB28" s="273">
        <f>-Ops!AB320</f>
        <v>-1404.7369616736601</v>
      </c>
      <c r="AC28" s="273">
        <f>-Ops!AC320</f>
        <v>-1404.7369616736601</v>
      </c>
      <c r="AD28" s="273">
        <f>-Ops!AD320</f>
        <v>-1404.7369616736601</v>
      </c>
      <c r="AE28" s="273">
        <f>-Ops!AE320</f>
        <v>-1404.7369616736601</v>
      </c>
      <c r="AF28" s="273">
        <f>-Ops!AF320</f>
        <v>-1404.7369616736601</v>
      </c>
      <c r="AG28" s="273">
        <f>-Ops!AG320</f>
        <v>-1404.7369616736601</v>
      </c>
      <c r="AH28" s="273">
        <f>-Ops!AH320</f>
        <v>-1404.7369616736601</v>
      </c>
      <c r="AI28" s="273">
        <f>-Ops!AI320</f>
        <v>-1404.7369616736601</v>
      </c>
      <c r="AJ28" s="273">
        <f>-Ops!AJ320</f>
        <v>-1404.7369616736601</v>
      </c>
      <c r="AK28" s="273">
        <f>-Ops!AK320</f>
        <v>0</v>
      </c>
      <c r="AL28" s="273">
        <f>-Ops!AL320</f>
        <v>0</v>
      </c>
      <c r="AM28" s="273">
        <f>-Ops!AM320</f>
        <v>0</v>
      </c>
    </row>
    <row r="29" spans="3:39" outlineLevel="1">
      <c r="C29" s="266" t="str">
        <f>Ops!C342</f>
        <v xml:space="preserve">Destinação Final </v>
      </c>
      <c r="D29" s="266"/>
      <c r="E29" s="4" t="s">
        <v>13</v>
      </c>
      <c r="F29" s="44">
        <f t="shared" si="2"/>
        <v>-131414.70517089235</v>
      </c>
      <c r="G29" s="273">
        <f>-Ops!G321</f>
        <v>-3730.3440009626115</v>
      </c>
      <c r="H29" s="273">
        <f>-Ops!H321</f>
        <v>-3844.8985269753866</v>
      </c>
      <c r="I29" s="273">
        <f>-Ops!I321</f>
        <v>-3992.6100238902841</v>
      </c>
      <c r="J29" s="273">
        <f>-Ops!J321</f>
        <v>-4036.0044731226894</v>
      </c>
      <c r="K29" s="273">
        <f>-Ops!K321</f>
        <v>-4084.3129988778605</v>
      </c>
      <c r="L29" s="273">
        <f>-Ops!L321</f>
        <v>-4129.8042823176957</v>
      </c>
      <c r="M29" s="273">
        <f>-Ops!M321</f>
        <v>-5098.4926465873132</v>
      </c>
      <c r="N29" s="273">
        <f>-Ops!N321</f>
        <v>-4282.1640030082226</v>
      </c>
      <c r="O29" s="273">
        <f>-Ops!O321</f>
        <v>-4298.0044386467944</v>
      </c>
      <c r="P29" s="273">
        <f>-Ops!P321</f>
        <v>-4313.8448742853661</v>
      </c>
      <c r="Q29" s="273">
        <f>-Ops!Q321</f>
        <v>-4329.699242130785</v>
      </c>
      <c r="R29" s="273">
        <f>-Ops!R321</f>
        <v>-4345.5396777693559</v>
      </c>
      <c r="S29" s="273">
        <f>-Ops!S321</f>
        <v>-4361.3801134079267</v>
      </c>
      <c r="T29" s="273">
        <f>-Ops!T321</f>
        <v>-4377.2205490464985</v>
      </c>
      <c r="U29" s="273">
        <f>-Ops!U321</f>
        <v>-4393.0749168919174</v>
      </c>
      <c r="V29" s="273">
        <f>-Ops!V321</f>
        <v>-4408.9153525304882</v>
      </c>
      <c r="W29" s="273">
        <f>-Ops!W321</f>
        <v>-4424.75578816906</v>
      </c>
      <c r="X29" s="273">
        <f>-Ops!X321</f>
        <v>-4440.5962238076308</v>
      </c>
      <c r="Y29" s="273">
        <f>-Ops!Y321</f>
        <v>-4456.4505916530507</v>
      </c>
      <c r="Z29" s="273">
        <f>-Ops!Z321</f>
        <v>-4472.2910272916215</v>
      </c>
      <c r="AA29" s="273">
        <f>-Ops!AA321</f>
        <v>-4488.1314629301924</v>
      </c>
      <c r="AB29" s="273">
        <f>-Ops!AB321</f>
        <v>-4503.9718985687632</v>
      </c>
      <c r="AC29" s="273">
        <f>-Ops!AC321</f>
        <v>-4519.826266414183</v>
      </c>
      <c r="AD29" s="273">
        <f>-Ops!AD321</f>
        <v>-4535.6667020527539</v>
      </c>
      <c r="AE29" s="273">
        <f>-Ops!AE321</f>
        <v>-4551.5071376913247</v>
      </c>
      <c r="AF29" s="273">
        <f>-Ops!AF321</f>
        <v>-4567.3475733298965</v>
      </c>
      <c r="AG29" s="273">
        <f>-Ops!AG321</f>
        <v>-4583.2019411753163</v>
      </c>
      <c r="AH29" s="273">
        <f>-Ops!AH321</f>
        <v>-4599.0423768138862</v>
      </c>
      <c r="AI29" s="273">
        <f>-Ops!AI321</f>
        <v>-4614.882812452458</v>
      </c>
      <c r="AJ29" s="273">
        <f>-Ops!AJ321</f>
        <v>-4630.7232480910288</v>
      </c>
      <c r="AK29" s="273">
        <f>-Ops!AK321</f>
        <v>0</v>
      </c>
      <c r="AL29" s="273">
        <f>-Ops!AL321</f>
        <v>0</v>
      </c>
      <c r="AM29" s="273">
        <f>-Ops!AM321</f>
        <v>0</v>
      </c>
    </row>
    <row r="30" spans="3:39" outlineLevel="1">
      <c r="C30" s="266" t="str">
        <f>Ops!C343</f>
        <v>Educaçao Ambiental</v>
      </c>
      <c r="D30" s="266"/>
      <c r="E30" s="4" t="s">
        <v>13</v>
      </c>
      <c r="F30" s="44">
        <f t="shared" si="2"/>
        <v>-6398.1914396639986</v>
      </c>
      <c r="G30" s="273">
        <f>-Ops!G322</f>
        <v>-266.27880593759994</v>
      </c>
      <c r="H30" s="273">
        <f>-Ops!H322</f>
        <v>-266.27880593759994</v>
      </c>
      <c r="I30" s="273">
        <f>-Ops!I322</f>
        <v>-266.27880593759994</v>
      </c>
      <c r="J30" s="273">
        <f>-Ops!J322</f>
        <v>-266.27880593759994</v>
      </c>
      <c r="K30" s="273">
        <f>-Ops!K322</f>
        <v>-266.27880593759994</v>
      </c>
      <c r="L30" s="273">
        <f>-Ops!L322</f>
        <v>-266.27880593759994</v>
      </c>
      <c r="M30" s="273">
        <f>-Ops!M322</f>
        <v>-200.02160850159999</v>
      </c>
      <c r="N30" s="273">
        <f>-Ops!N322</f>
        <v>-200.02160850159999</v>
      </c>
      <c r="O30" s="273">
        <f>-Ops!O322</f>
        <v>-200.02160850159999</v>
      </c>
      <c r="P30" s="273">
        <f>-Ops!P322</f>
        <v>-200.02160850159999</v>
      </c>
      <c r="Q30" s="273">
        <f>-Ops!Q322</f>
        <v>-200.02160850159999</v>
      </c>
      <c r="R30" s="273">
        <f>-Ops!R322</f>
        <v>-200.02160850159999</v>
      </c>
      <c r="S30" s="273">
        <f>-Ops!S322</f>
        <v>-200.02160850159999</v>
      </c>
      <c r="T30" s="273">
        <f>-Ops!T322</f>
        <v>-200.02160850159999</v>
      </c>
      <c r="U30" s="273">
        <f>-Ops!U322</f>
        <v>-200.02160850159999</v>
      </c>
      <c r="V30" s="273">
        <f>-Ops!V322</f>
        <v>-200.02160850159999</v>
      </c>
      <c r="W30" s="273">
        <f>-Ops!W322</f>
        <v>-200.02160850159999</v>
      </c>
      <c r="X30" s="273">
        <f>-Ops!X322</f>
        <v>-200.02160850159999</v>
      </c>
      <c r="Y30" s="273">
        <f>-Ops!Y322</f>
        <v>-200.02160850159999</v>
      </c>
      <c r="Z30" s="273">
        <f>-Ops!Z322</f>
        <v>-200.02160850159999</v>
      </c>
      <c r="AA30" s="273">
        <f>-Ops!AA322</f>
        <v>-200.02160850159999</v>
      </c>
      <c r="AB30" s="273">
        <f>-Ops!AB322</f>
        <v>-200.02160850159999</v>
      </c>
      <c r="AC30" s="273">
        <f>-Ops!AC322</f>
        <v>-200.02160850159999</v>
      </c>
      <c r="AD30" s="273">
        <f>-Ops!AD322</f>
        <v>-200.02160850159999</v>
      </c>
      <c r="AE30" s="273">
        <f>-Ops!AE322</f>
        <v>-200.02160850159999</v>
      </c>
      <c r="AF30" s="273">
        <f>-Ops!AF322</f>
        <v>-200.02160850159999</v>
      </c>
      <c r="AG30" s="273">
        <f>-Ops!AG322</f>
        <v>-200.02160850159999</v>
      </c>
      <c r="AH30" s="273">
        <f>-Ops!AH322</f>
        <v>-200.02160850159999</v>
      </c>
      <c r="AI30" s="273">
        <f>-Ops!AI322</f>
        <v>-200.02160850159999</v>
      </c>
      <c r="AJ30" s="273">
        <f>-Ops!AJ322</f>
        <v>-200.02160850159999</v>
      </c>
      <c r="AK30" s="273">
        <f>-Ops!AK322</f>
        <v>0</v>
      </c>
      <c r="AL30" s="273">
        <f>-Ops!AL322</f>
        <v>0</v>
      </c>
      <c r="AM30" s="273">
        <f>-Ops!AM322</f>
        <v>0</v>
      </c>
    </row>
    <row r="31" spans="3:39" outlineLevel="1">
      <c r="C31" s="266" t="str">
        <f>Ops!C344</f>
        <v>Relação Com O Usuário</v>
      </c>
      <c r="D31" s="266"/>
      <c r="E31" s="4" t="s">
        <v>13</v>
      </c>
      <c r="F31" s="44">
        <f t="shared" si="2"/>
        <v>-28189.118632024802</v>
      </c>
      <c r="G31" s="273">
        <f>-Ops!G323</f>
        <v>-405.37059451200003</v>
      </c>
      <c r="H31" s="273">
        <f>-Ops!H323</f>
        <v>-919.42288060088424</v>
      </c>
      <c r="I31" s="273">
        <f>-Ops!I323</f>
        <v>-922.18269464050775</v>
      </c>
      <c r="J31" s="273">
        <f>-Ops!J323</f>
        <v>-924.94250868013125</v>
      </c>
      <c r="K31" s="273">
        <f>-Ops!K323</f>
        <v>-927.70232271975499</v>
      </c>
      <c r="L31" s="273">
        <f>-Ops!L323</f>
        <v>-930.4621367593785</v>
      </c>
      <c r="M31" s="273">
        <f>-Ops!M323</f>
        <v>-933.221950799002</v>
      </c>
      <c r="N31" s="273">
        <f>-Ops!N323</f>
        <v>-935.98176483862551</v>
      </c>
      <c r="O31" s="273">
        <f>-Ops!O323</f>
        <v>-938.74157887824902</v>
      </c>
      <c r="P31" s="273">
        <f>-Ops!P323</f>
        <v>-941.50139291787275</v>
      </c>
      <c r="Q31" s="273">
        <f>-Ops!Q323</f>
        <v>-944.26120695749626</v>
      </c>
      <c r="R31" s="273">
        <f>-Ops!R323</f>
        <v>-947.02102099711976</v>
      </c>
      <c r="S31" s="273">
        <f>-Ops!S323</f>
        <v>-949.78083503674327</v>
      </c>
      <c r="T31" s="273">
        <f>-Ops!T323</f>
        <v>-952.540649076367</v>
      </c>
      <c r="U31" s="273">
        <f>-Ops!U323</f>
        <v>-955.30046311599028</v>
      </c>
      <c r="V31" s="273">
        <f>-Ops!V323</f>
        <v>-958.06027715561402</v>
      </c>
      <c r="W31" s="273">
        <f>-Ops!W323</f>
        <v>-960.82009119523752</v>
      </c>
      <c r="X31" s="273">
        <f>-Ops!X323</f>
        <v>-963.57990523486103</v>
      </c>
      <c r="Y31" s="273">
        <f>-Ops!Y323</f>
        <v>-966.33971927448454</v>
      </c>
      <c r="Z31" s="273">
        <f>-Ops!Z323</f>
        <v>-969.09953331410827</v>
      </c>
      <c r="AA31" s="273">
        <f>-Ops!AA323</f>
        <v>-971.85934735373178</v>
      </c>
      <c r="AB31" s="273">
        <f>-Ops!AB323</f>
        <v>-974.61916139335551</v>
      </c>
      <c r="AC31" s="273">
        <f>-Ops!AC323</f>
        <v>-977.37897543297879</v>
      </c>
      <c r="AD31" s="273">
        <f>-Ops!AD323</f>
        <v>-980.13878947260253</v>
      </c>
      <c r="AE31" s="273">
        <f>-Ops!AE323</f>
        <v>-982.89860351222603</v>
      </c>
      <c r="AF31" s="273">
        <f>-Ops!AF323</f>
        <v>-985.65841755184954</v>
      </c>
      <c r="AG31" s="273">
        <f>-Ops!AG323</f>
        <v>-988.41823159147305</v>
      </c>
      <c r="AH31" s="273">
        <f>-Ops!AH323</f>
        <v>-991.17804563109678</v>
      </c>
      <c r="AI31" s="273">
        <f>-Ops!AI323</f>
        <v>-993.93785967072029</v>
      </c>
      <c r="AJ31" s="273">
        <f>-Ops!AJ323</f>
        <v>-996.69767371034379</v>
      </c>
      <c r="AK31" s="273">
        <f>-Ops!AK323</f>
        <v>0</v>
      </c>
      <c r="AL31" s="273">
        <f>-Ops!AL323</f>
        <v>0</v>
      </c>
      <c r="AM31" s="273">
        <f>-Ops!AM323</f>
        <v>0</v>
      </c>
    </row>
    <row r="32" spans="3:39" outlineLevel="1">
      <c r="C32" s="266" t="str">
        <f>Ops!C345</f>
        <v>Administração Local</v>
      </c>
      <c r="D32" s="266"/>
      <c r="E32" s="4" t="s">
        <v>13</v>
      </c>
      <c r="F32" s="44">
        <f t="shared" si="2"/>
        <v>-24230.75294228</v>
      </c>
      <c r="G32" s="273">
        <f>-Ops!G324</f>
        <v>-726.75657898000009</v>
      </c>
      <c r="H32" s="273">
        <f>-Ops!H324</f>
        <v>-727.20442897999999</v>
      </c>
      <c r="I32" s="273">
        <f>-Ops!I324</f>
        <v>-727.47502898000005</v>
      </c>
      <c r="J32" s="273">
        <f>-Ops!J324</f>
        <v>-728.15152898000008</v>
      </c>
      <c r="K32" s="273">
        <f>-Ops!K324</f>
        <v>-728.15152898000008</v>
      </c>
      <c r="L32" s="273">
        <f>-Ops!L324</f>
        <v>-728.15152898000008</v>
      </c>
      <c r="M32" s="273">
        <f>-Ops!M324</f>
        <v>-827.15575910000007</v>
      </c>
      <c r="N32" s="273">
        <f>-Ops!N324</f>
        <v>-827.15575910000007</v>
      </c>
      <c r="O32" s="273">
        <f>-Ops!O324</f>
        <v>-827.15575910000007</v>
      </c>
      <c r="P32" s="273">
        <f>-Ops!P324</f>
        <v>-827.29105909999998</v>
      </c>
      <c r="Q32" s="273">
        <f>-Ops!Q324</f>
        <v>-827.29105909999998</v>
      </c>
      <c r="R32" s="273">
        <f>-Ops!R324</f>
        <v>-827.29105909999998</v>
      </c>
      <c r="S32" s="273">
        <f>-Ops!S324</f>
        <v>-827.29105909999998</v>
      </c>
      <c r="T32" s="273">
        <f>-Ops!T324</f>
        <v>-827.29105909999998</v>
      </c>
      <c r="U32" s="273">
        <f>-Ops!U324</f>
        <v>-827.29105909999998</v>
      </c>
      <c r="V32" s="273">
        <f>-Ops!V324</f>
        <v>-827.29105909999998</v>
      </c>
      <c r="W32" s="273">
        <f>-Ops!W324</f>
        <v>-827.29105909999998</v>
      </c>
      <c r="X32" s="273">
        <f>-Ops!X324</f>
        <v>-827.29105909999998</v>
      </c>
      <c r="Y32" s="273">
        <f>-Ops!Y324</f>
        <v>-828.10285909999993</v>
      </c>
      <c r="Z32" s="273">
        <f>-Ops!Z324</f>
        <v>-828.10285909999993</v>
      </c>
      <c r="AA32" s="273">
        <f>-Ops!AA324</f>
        <v>-828.10285909999993</v>
      </c>
      <c r="AB32" s="273">
        <f>-Ops!AB324</f>
        <v>-828.10285909999993</v>
      </c>
      <c r="AC32" s="273">
        <f>-Ops!AC324</f>
        <v>-828.10285909999993</v>
      </c>
      <c r="AD32" s="273">
        <f>-Ops!AD324</f>
        <v>-828.10285909999993</v>
      </c>
      <c r="AE32" s="273">
        <f>-Ops!AE324</f>
        <v>-828.10285909999993</v>
      </c>
      <c r="AF32" s="273">
        <f>-Ops!AF324</f>
        <v>-828.10285909999993</v>
      </c>
      <c r="AG32" s="273">
        <f>-Ops!AG324</f>
        <v>-828.23815910000008</v>
      </c>
      <c r="AH32" s="273">
        <f>-Ops!AH324</f>
        <v>-828.23815910000008</v>
      </c>
      <c r="AI32" s="273">
        <f>-Ops!AI324</f>
        <v>-828.23815910000008</v>
      </c>
      <c r="AJ32" s="273">
        <f>-Ops!AJ324</f>
        <v>-828.23815910000008</v>
      </c>
      <c r="AK32" s="273">
        <f>-Ops!AK324</f>
        <v>0</v>
      </c>
      <c r="AL32" s="273">
        <f>-Ops!AL324</f>
        <v>0</v>
      </c>
      <c r="AM32" s="273">
        <f>-Ops!AM324</f>
        <v>0</v>
      </c>
    </row>
    <row r="33" spans="3:41" outlineLevel="1">
      <c r="C33" s="266" t="str">
        <f>Ops!C347</f>
        <v>Gerencialmento Contrato</v>
      </c>
      <c r="D33" s="266"/>
      <c r="E33" s="4" t="s">
        <v>13</v>
      </c>
      <c r="F33" s="44">
        <f t="shared" si="2"/>
        <v>-2303.2945887768924</v>
      </c>
      <c r="G33" s="273">
        <f>-Ops!G326</f>
        <v>-76.776486292563064</v>
      </c>
      <c r="H33" s="273">
        <f>-Ops!H326</f>
        <v>-76.776486292563064</v>
      </c>
      <c r="I33" s="273">
        <f>-Ops!I326</f>
        <v>-76.776486292563064</v>
      </c>
      <c r="J33" s="273">
        <f>-Ops!J326</f>
        <v>-76.776486292563064</v>
      </c>
      <c r="K33" s="273">
        <f>-Ops!K326</f>
        <v>-76.776486292563064</v>
      </c>
      <c r="L33" s="273">
        <f>-Ops!L326</f>
        <v>-76.776486292563064</v>
      </c>
      <c r="M33" s="273">
        <f>-Ops!M326</f>
        <v>-76.776486292563064</v>
      </c>
      <c r="N33" s="273">
        <f>-Ops!N326</f>
        <v>-76.776486292563064</v>
      </c>
      <c r="O33" s="273">
        <f>-Ops!O326</f>
        <v>-76.776486292563064</v>
      </c>
      <c r="P33" s="273">
        <f>-Ops!P326</f>
        <v>-76.776486292563064</v>
      </c>
      <c r="Q33" s="273">
        <f>-Ops!Q326</f>
        <v>-76.776486292563064</v>
      </c>
      <c r="R33" s="273">
        <f>-Ops!R326</f>
        <v>-76.776486292563064</v>
      </c>
      <c r="S33" s="273">
        <f>-Ops!S326</f>
        <v>-76.776486292563064</v>
      </c>
      <c r="T33" s="273">
        <f>-Ops!T326</f>
        <v>-76.776486292563064</v>
      </c>
      <c r="U33" s="273">
        <f>-Ops!U326</f>
        <v>-76.776486292563064</v>
      </c>
      <c r="V33" s="273">
        <f>-Ops!V326</f>
        <v>-76.776486292563064</v>
      </c>
      <c r="W33" s="273">
        <f>-Ops!W326</f>
        <v>-76.776486292563064</v>
      </c>
      <c r="X33" s="273">
        <f>-Ops!X326</f>
        <v>-76.776486292563064</v>
      </c>
      <c r="Y33" s="273">
        <f>-Ops!Y326</f>
        <v>-76.776486292563064</v>
      </c>
      <c r="Z33" s="273">
        <f>-Ops!Z326</f>
        <v>-76.776486292563064</v>
      </c>
      <c r="AA33" s="273">
        <f>-Ops!AA326</f>
        <v>-76.776486292563064</v>
      </c>
      <c r="AB33" s="273">
        <f>-Ops!AB326</f>
        <v>-76.776486292563064</v>
      </c>
      <c r="AC33" s="273">
        <f>-Ops!AC326</f>
        <v>-76.776486292563064</v>
      </c>
      <c r="AD33" s="273">
        <f>-Ops!AD326</f>
        <v>-76.776486292563064</v>
      </c>
      <c r="AE33" s="273">
        <f>-Ops!AE326</f>
        <v>-76.776486292563064</v>
      </c>
      <c r="AF33" s="273">
        <f>-Ops!AF326</f>
        <v>-76.776486292563064</v>
      </c>
      <c r="AG33" s="273">
        <f>-Ops!AG326</f>
        <v>-76.776486292563064</v>
      </c>
      <c r="AH33" s="273">
        <f>-Ops!AH326</f>
        <v>-76.776486292563064</v>
      </c>
      <c r="AI33" s="273">
        <f>-Ops!AI326</f>
        <v>-76.776486292563064</v>
      </c>
      <c r="AJ33" s="273">
        <f>-Ops!AJ326</f>
        <v>-76.776486292563064</v>
      </c>
      <c r="AK33" s="273">
        <f>-Ops!AK326</f>
        <v>0</v>
      </c>
      <c r="AL33" s="273">
        <f>-Ops!AL326</f>
        <v>0</v>
      </c>
      <c r="AM33" s="273">
        <f>-Ops!AM326</f>
        <v>0</v>
      </c>
      <c r="AN33" s="266"/>
      <c r="AO33" s="266"/>
    </row>
    <row r="34" spans="3:41" outlineLevel="1">
      <c r="C34" s="266" t="str">
        <f>Ops!C348</f>
        <v>Taxa de regulação ARIS</v>
      </c>
      <c r="D34" s="266"/>
      <c r="E34" s="4" t="s">
        <v>13</v>
      </c>
      <c r="F34" s="44">
        <f t="shared" ref="F34" si="4">SUM(G34:AM34)</f>
        <v>-2025.4495499999998</v>
      </c>
      <c r="G34" s="273">
        <f>-Ops!G327</f>
        <v>-57.754889999999996</v>
      </c>
      <c r="H34" s="273">
        <f>-Ops!H327</f>
        <v>-58.427999999999997</v>
      </c>
      <c r="I34" s="273">
        <f>-Ops!I327</f>
        <v>-59.101109999999998</v>
      </c>
      <c r="J34" s="273">
        <f>-Ops!J327</f>
        <v>-59.774219999999993</v>
      </c>
      <c r="K34" s="273">
        <f>-Ops!K327</f>
        <v>-60.447330000000001</v>
      </c>
      <c r="L34" s="273">
        <f>-Ops!L327</f>
        <v>-61.120440000000002</v>
      </c>
      <c r="M34" s="273">
        <f>-Ops!M327</f>
        <v>-61.793550000000003</v>
      </c>
      <c r="N34" s="273">
        <f>-Ops!N327</f>
        <v>-62.466659999999997</v>
      </c>
      <c r="O34" s="273">
        <f>-Ops!O327</f>
        <v>-63.139770000000006</v>
      </c>
      <c r="P34" s="273">
        <f>-Ops!P327</f>
        <v>-63.812879999999993</v>
      </c>
      <c r="Q34" s="273">
        <f>-Ops!Q327</f>
        <v>-64.485990000000001</v>
      </c>
      <c r="R34" s="273">
        <f>-Ops!R327</f>
        <v>-65.159099999999995</v>
      </c>
      <c r="S34" s="273">
        <f>-Ops!S327</f>
        <v>-65.832210000000003</v>
      </c>
      <c r="T34" s="273">
        <f>-Ops!T327</f>
        <v>-66.505319999999998</v>
      </c>
      <c r="U34" s="273">
        <f>-Ops!U327</f>
        <v>-67.178430000000006</v>
      </c>
      <c r="V34" s="273">
        <f>-Ops!V327</f>
        <v>-67.85154</v>
      </c>
      <c r="W34" s="273">
        <f>-Ops!W327</f>
        <v>-68.524649999999994</v>
      </c>
      <c r="X34" s="273">
        <f>-Ops!X327</f>
        <v>-69.197760000000002</v>
      </c>
      <c r="Y34" s="273">
        <f>-Ops!Y327</f>
        <v>-69.870869999999996</v>
      </c>
      <c r="Z34" s="273">
        <f>-Ops!Z327</f>
        <v>-70.543980000000005</v>
      </c>
      <c r="AA34" s="273">
        <f>-Ops!AA327</f>
        <v>-71.217089999999999</v>
      </c>
      <c r="AB34" s="273">
        <f>-Ops!AB327</f>
        <v>-71.890199999999993</v>
      </c>
      <c r="AC34" s="273">
        <f>-Ops!AC327</f>
        <v>-72.563310000000001</v>
      </c>
      <c r="AD34" s="273">
        <f>-Ops!AD327</f>
        <v>-73.23642000000001</v>
      </c>
      <c r="AE34" s="273">
        <f>-Ops!AE327</f>
        <v>-73.909530000000004</v>
      </c>
      <c r="AF34" s="273">
        <f>-Ops!AF327</f>
        <v>-74.582639999999998</v>
      </c>
      <c r="AG34" s="273">
        <f>-Ops!AG327</f>
        <v>-75.255750000000006</v>
      </c>
      <c r="AH34" s="273">
        <f>-Ops!AH327</f>
        <v>-75.928859999999986</v>
      </c>
      <c r="AI34" s="273">
        <f>-Ops!AI327</f>
        <v>-76.601969999999994</v>
      </c>
      <c r="AJ34" s="273">
        <f>-Ops!AJ327</f>
        <v>-77.275080000000003</v>
      </c>
      <c r="AK34" s="273">
        <f>-Ops!AK327</f>
        <v>0</v>
      </c>
      <c r="AL34" s="273">
        <f>-Ops!AL327</f>
        <v>0</v>
      </c>
      <c r="AM34" s="273">
        <f>-Ops!AM327</f>
        <v>0</v>
      </c>
      <c r="AN34" s="266"/>
      <c r="AO34" s="266"/>
    </row>
    <row r="35" spans="3:41" outlineLevel="1">
      <c r="C35" s="266" t="str">
        <f>Ops!C349</f>
        <v>Despesas com seguros multiriscos</v>
      </c>
      <c r="D35" s="266"/>
      <c r="E35" s="4" t="s">
        <v>13</v>
      </c>
      <c r="F35" s="44">
        <f t="shared" si="2"/>
        <v>-75</v>
      </c>
      <c r="G35" s="273">
        <f>-Ops!G328</f>
        <v>-2.5</v>
      </c>
      <c r="H35" s="273">
        <f>-Ops!H328</f>
        <v>-2.5</v>
      </c>
      <c r="I35" s="273">
        <f>-Ops!I328</f>
        <v>-2.5</v>
      </c>
      <c r="J35" s="273">
        <f>-Ops!J328</f>
        <v>-2.5</v>
      </c>
      <c r="K35" s="273">
        <f>-Ops!K328</f>
        <v>-2.5</v>
      </c>
      <c r="L35" s="273">
        <f>-Ops!L328</f>
        <v>-2.5</v>
      </c>
      <c r="M35" s="273">
        <f>-Ops!M328</f>
        <v>-2.5</v>
      </c>
      <c r="N35" s="273">
        <f>-Ops!N328</f>
        <v>-2.5</v>
      </c>
      <c r="O35" s="273">
        <f>-Ops!O328</f>
        <v>-2.5</v>
      </c>
      <c r="P35" s="273">
        <f>-Ops!P328</f>
        <v>-2.5</v>
      </c>
      <c r="Q35" s="273">
        <f>-Ops!Q328</f>
        <v>-2.5</v>
      </c>
      <c r="R35" s="273">
        <f>-Ops!R328</f>
        <v>-2.5</v>
      </c>
      <c r="S35" s="273">
        <f>-Ops!S328</f>
        <v>-2.5</v>
      </c>
      <c r="T35" s="273">
        <f>-Ops!T328</f>
        <v>-2.5</v>
      </c>
      <c r="U35" s="273">
        <f>-Ops!U328</f>
        <v>-2.5</v>
      </c>
      <c r="V35" s="273">
        <f>-Ops!V328</f>
        <v>-2.5</v>
      </c>
      <c r="W35" s="273">
        <f>-Ops!W328</f>
        <v>-2.5</v>
      </c>
      <c r="X35" s="273">
        <f>-Ops!X328</f>
        <v>-2.5</v>
      </c>
      <c r="Y35" s="273">
        <f>-Ops!Y328</f>
        <v>-2.5</v>
      </c>
      <c r="Z35" s="273">
        <f>-Ops!Z328</f>
        <v>-2.5</v>
      </c>
      <c r="AA35" s="273">
        <f>-Ops!AA328</f>
        <v>-2.5</v>
      </c>
      <c r="AB35" s="273">
        <f>-Ops!AB328</f>
        <v>-2.5</v>
      </c>
      <c r="AC35" s="273">
        <f>-Ops!AC328</f>
        <v>-2.5</v>
      </c>
      <c r="AD35" s="273">
        <f>-Ops!AD328</f>
        <v>-2.5</v>
      </c>
      <c r="AE35" s="273">
        <f>-Ops!AE328</f>
        <v>-2.5</v>
      </c>
      <c r="AF35" s="273">
        <f>-Ops!AF328</f>
        <v>-2.5</v>
      </c>
      <c r="AG35" s="273">
        <f>-Ops!AG328</f>
        <v>-2.5</v>
      </c>
      <c r="AH35" s="273">
        <f>-Ops!AH328</f>
        <v>-2.5</v>
      </c>
      <c r="AI35" s="273">
        <f>-Ops!AI328</f>
        <v>-2.5</v>
      </c>
      <c r="AJ35" s="273">
        <f>-Ops!AJ328</f>
        <v>-2.5</v>
      </c>
      <c r="AK35" s="273">
        <f>-Ops!AK328</f>
        <v>0</v>
      </c>
      <c r="AL35" s="273">
        <f>-Ops!AL328</f>
        <v>0</v>
      </c>
      <c r="AM35" s="273">
        <f>-Ops!AM328</f>
        <v>0</v>
      </c>
      <c r="AN35" s="266"/>
      <c r="AO35" s="266"/>
    </row>
    <row r="36" spans="3:41" outlineLevel="1">
      <c r="C36" s="266" t="str">
        <f>Ops!C350</f>
        <v>Despesas com seguro de responsabilidade civil</v>
      </c>
      <c r="D36" s="266"/>
      <c r="E36" s="4" t="s">
        <v>13</v>
      </c>
      <c r="F36" s="44">
        <f t="shared" si="2"/>
        <v>-82.5</v>
      </c>
      <c r="G36" s="273">
        <f>-Ops!G329</f>
        <v>-27.5</v>
      </c>
      <c r="H36" s="273">
        <f>-Ops!H329</f>
        <v>-27.5</v>
      </c>
      <c r="I36" s="273">
        <f>-Ops!I329</f>
        <v>-27.5</v>
      </c>
      <c r="J36" s="273">
        <f>-Ops!J329</f>
        <v>0</v>
      </c>
      <c r="K36" s="273">
        <f>-Ops!K329</f>
        <v>0</v>
      </c>
      <c r="L36" s="273">
        <f>-Ops!L329</f>
        <v>0</v>
      </c>
      <c r="M36" s="273">
        <f>-Ops!M329</f>
        <v>0</v>
      </c>
      <c r="N36" s="273">
        <f>-Ops!N329</f>
        <v>0</v>
      </c>
      <c r="O36" s="273">
        <f>-Ops!O329</f>
        <v>0</v>
      </c>
      <c r="P36" s="273">
        <f>-Ops!P329</f>
        <v>0</v>
      </c>
      <c r="Q36" s="273">
        <f>-Ops!Q329</f>
        <v>0</v>
      </c>
      <c r="R36" s="273">
        <f>-Ops!R329</f>
        <v>0</v>
      </c>
      <c r="S36" s="273">
        <f>-Ops!S329</f>
        <v>0</v>
      </c>
      <c r="T36" s="273">
        <f>-Ops!T329</f>
        <v>0</v>
      </c>
      <c r="U36" s="273">
        <f>-Ops!U329</f>
        <v>0</v>
      </c>
      <c r="V36" s="273">
        <f>-Ops!V329</f>
        <v>0</v>
      </c>
      <c r="W36" s="273">
        <f>-Ops!W329</f>
        <v>0</v>
      </c>
      <c r="X36" s="273">
        <f>-Ops!X329</f>
        <v>0</v>
      </c>
      <c r="Y36" s="273">
        <f>-Ops!Y329</f>
        <v>0</v>
      </c>
      <c r="Z36" s="273">
        <f>-Ops!Z329</f>
        <v>0</v>
      </c>
      <c r="AA36" s="273">
        <f>-Ops!AA329</f>
        <v>0</v>
      </c>
      <c r="AB36" s="273">
        <f>-Ops!AB329</f>
        <v>0</v>
      </c>
      <c r="AC36" s="273">
        <f>-Ops!AC329</f>
        <v>0</v>
      </c>
      <c r="AD36" s="273">
        <f>-Ops!AD329</f>
        <v>0</v>
      </c>
      <c r="AE36" s="273">
        <f>-Ops!AE329</f>
        <v>0</v>
      </c>
      <c r="AF36" s="273">
        <f>-Ops!AF329</f>
        <v>0</v>
      </c>
      <c r="AG36" s="273">
        <f>-Ops!AG329</f>
        <v>0</v>
      </c>
      <c r="AH36" s="273">
        <f>-Ops!AH329</f>
        <v>0</v>
      </c>
      <c r="AI36" s="273">
        <f>-Ops!AI329</f>
        <v>0</v>
      </c>
      <c r="AJ36" s="273">
        <f>-Ops!AJ329</f>
        <v>0</v>
      </c>
      <c r="AK36" s="273">
        <f>-Ops!AK329</f>
        <v>0</v>
      </c>
      <c r="AL36" s="273">
        <f>-Ops!AL329</f>
        <v>0</v>
      </c>
      <c r="AM36" s="273">
        <f>-Ops!AM329</f>
        <v>0</v>
      </c>
      <c r="AN36" s="266"/>
      <c r="AO36" s="266"/>
    </row>
    <row r="37" spans="3:41" outlineLevel="1">
      <c r="C37" s="266" t="str">
        <f>Ops!C351</f>
        <v>Despesas com seguro garantia de execução</v>
      </c>
      <c r="D37" s="266"/>
      <c r="E37" s="4" t="s">
        <v>13</v>
      </c>
      <c r="F37" s="44">
        <f t="shared" si="2"/>
        <v>-863.73547079133425</v>
      </c>
      <c r="G37" s="273">
        <f>-Ops!G330</f>
        <v>-28.791182359711147</v>
      </c>
      <c r="H37" s="273">
        <f>-Ops!H330</f>
        <v>-28.791182359711147</v>
      </c>
      <c r="I37" s="273">
        <f>-Ops!I330</f>
        <v>-28.791182359711147</v>
      </c>
      <c r="J37" s="273">
        <f>-Ops!J330</f>
        <v>-28.791182359711147</v>
      </c>
      <c r="K37" s="273">
        <f>-Ops!K330</f>
        <v>-28.791182359711147</v>
      </c>
      <c r="L37" s="273">
        <f>-Ops!L330</f>
        <v>-28.791182359711147</v>
      </c>
      <c r="M37" s="273">
        <f>-Ops!M330</f>
        <v>-28.791182359711147</v>
      </c>
      <c r="N37" s="273">
        <f>-Ops!N330</f>
        <v>-28.791182359711147</v>
      </c>
      <c r="O37" s="273">
        <f>-Ops!O330</f>
        <v>-28.791182359711147</v>
      </c>
      <c r="P37" s="273">
        <f>-Ops!P330</f>
        <v>-28.791182359711147</v>
      </c>
      <c r="Q37" s="273">
        <f>-Ops!Q330</f>
        <v>-28.791182359711147</v>
      </c>
      <c r="R37" s="273">
        <f>-Ops!R330</f>
        <v>-28.791182359711147</v>
      </c>
      <c r="S37" s="273">
        <f>-Ops!S330</f>
        <v>-28.791182359711147</v>
      </c>
      <c r="T37" s="273">
        <f>-Ops!T330</f>
        <v>-28.791182359711147</v>
      </c>
      <c r="U37" s="273">
        <f>-Ops!U330</f>
        <v>-28.791182359711147</v>
      </c>
      <c r="V37" s="273">
        <f>-Ops!V330</f>
        <v>-28.791182359711147</v>
      </c>
      <c r="W37" s="273">
        <f>-Ops!W330</f>
        <v>-28.791182359711147</v>
      </c>
      <c r="X37" s="273">
        <f>-Ops!X330</f>
        <v>-28.791182359711147</v>
      </c>
      <c r="Y37" s="273">
        <f>-Ops!Y330</f>
        <v>-28.791182359711147</v>
      </c>
      <c r="Z37" s="273">
        <f>-Ops!Z330</f>
        <v>-28.791182359711147</v>
      </c>
      <c r="AA37" s="273">
        <f>-Ops!AA330</f>
        <v>-28.791182359711147</v>
      </c>
      <c r="AB37" s="273">
        <f>-Ops!AB330</f>
        <v>-28.791182359711147</v>
      </c>
      <c r="AC37" s="273">
        <f>-Ops!AC330</f>
        <v>-28.791182359711147</v>
      </c>
      <c r="AD37" s="273">
        <f>-Ops!AD330</f>
        <v>-28.791182359711147</v>
      </c>
      <c r="AE37" s="273">
        <f>-Ops!AE330</f>
        <v>-28.791182359711147</v>
      </c>
      <c r="AF37" s="273">
        <f>-Ops!AF330</f>
        <v>-28.791182359711147</v>
      </c>
      <c r="AG37" s="273">
        <f>-Ops!AG330</f>
        <v>-28.791182359711147</v>
      </c>
      <c r="AH37" s="273">
        <f>-Ops!AH330</f>
        <v>-28.791182359711147</v>
      </c>
      <c r="AI37" s="273">
        <f>-Ops!AI330</f>
        <v>-28.791182359711147</v>
      </c>
      <c r="AJ37" s="273">
        <f>-Ops!AJ330</f>
        <v>-28.791182359711147</v>
      </c>
      <c r="AK37" s="273">
        <f>-Ops!AK330</f>
        <v>0</v>
      </c>
      <c r="AL37" s="273">
        <f>-Ops!AL330</f>
        <v>0</v>
      </c>
      <c r="AM37" s="273">
        <f>-Ops!AM330</f>
        <v>0</v>
      </c>
      <c r="AN37" s="266"/>
      <c r="AO37" s="266"/>
    </row>
    <row r="38" spans="3:41" outlineLevel="1">
      <c r="C38" s="266" t="str">
        <f>Ops!C352</f>
        <v>Despesas com seguro de engenharia</v>
      </c>
      <c r="D38" s="266"/>
      <c r="E38" s="4" t="s">
        <v>13</v>
      </c>
      <c r="F38" s="44">
        <f t="shared" si="2"/>
        <v>-76.443648618970684</v>
      </c>
      <c r="G38" s="273">
        <f>-Ops!G352</f>
        <v>-1.2790064731359931</v>
      </c>
      <c r="H38" s="273">
        <f>-Ops!H352</f>
        <v>-4.9382423976376577</v>
      </c>
      <c r="I38" s="273">
        <f>-Ops!I352</f>
        <v>-1.3235912754197001</v>
      </c>
      <c r="J38" s="273">
        <f>-Ops!J352</f>
        <v>-0.17264464585970002</v>
      </c>
      <c r="K38" s="273">
        <f>-Ops!K352</f>
        <v>-0.17264464585970002</v>
      </c>
      <c r="L38" s="273">
        <f>-Ops!L352</f>
        <v>-42.703515166796649</v>
      </c>
      <c r="M38" s="273">
        <f>-Ops!M352</f>
        <v>-0.5890952653353041</v>
      </c>
      <c r="N38" s="273">
        <f>-Ops!N352</f>
        <v>-0.18214805585970001</v>
      </c>
      <c r="O38" s="273">
        <f>-Ops!O352</f>
        <v>-0.15191589585970003</v>
      </c>
      <c r="P38" s="273">
        <f>-Ops!P352</f>
        <v>-0.24264464585970003</v>
      </c>
      <c r="Q38" s="273">
        <f>-Ops!Q352</f>
        <v>-0.37581325081495859</v>
      </c>
      <c r="R38" s="273">
        <f>-Ops!R352</f>
        <v>-1.2147421062152917</v>
      </c>
      <c r="S38" s="273">
        <f>-Ops!S352</f>
        <v>-0.29337756037170004</v>
      </c>
      <c r="T38" s="273">
        <f>-Ops!T352</f>
        <v>-0.62583333033530408</v>
      </c>
      <c r="U38" s="273">
        <f>-Ops!U352</f>
        <v>-0.15191589585970003</v>
      </c>
      <c r="V38" s="273">
        <f>-Ops!V352</f>
        <v>-8.683138296147888</v>
      </c>
      <c r="W38" s="273">
        <f>-Ops!W352</f>
        <v>-0.20590658085970001</v>
      </c>
      <c r="X38" s="273">
        <f>-Ops!X352</f>
        <v>-0.23141930585970003</v>
      </c>
      <c r="Y38" s="273">
        <f>-Ops!Y352</f>
        <v>-0.17264464585970002</v>
      </c>
      <c r="Z38" s="273">
        <f>-Ops!Z352</f>
        <v>-0.17264464585970002</v>
      </c>
      <c r="AA38" s="273">
        <f>-Ops!AA352</f>
        <v>-0.73827318529056274</v>
      </c>
      <c r="AB38" s="273">
        <f>-Ops!AB352</f>
        <v>-1.3054708562152917</v>
      </c>
      <c r="AC38" s="273">
        <f>-Ops!AC352</f>
        <v>-0.29337756037170004</v>
      </c>
      <c r="AD38" s="273">
        <f>-Ops!AD352</f>
        <v>-0.15191589585970003</v>
      </c>
      <c r="AE38" s="273">
        <f>-Ops!AE352</f>
        <v>-0.17264464585970002</v>
      </c>
      <c r="AF38" s="273">
        <f>-Ops!AF352</f>
        <v>-8.7540072766518886</v>
      </c>
      <c r="AG38" s="273">
        <f>-Ops!AG352</f>
        <v>-0.18517783085969999</v>
      </c>
      <c r="AH38" s="273">
        <f>-Ops!AH352</f>
        <v>-0.56533674033530401</v>
      </c>
      <c r="AI38" s="273">
        <f>-Ops!AI352</f>
        <v>-0.17264464585970002</v>
      </c>
      <c r="AJ38" s="273">
        <f>-Ops!AJ352</f>
        <v>-0.22191589585970001</v>
      </c>
      <c r="AK38" s="273"/>
      <c r="AL38" s="273"/>
      <c r="AM38" s="273"/>
      <c r="AN38" s="266"/>
      <c r="AO38" s="266"/>
    </row>
    <row r="39" spans="3:41" outlineLevel="1">
      <c r="C39" s="266" t="s">
        <v>47</v>
      </c>
      <c r="D39" s="266"/>
      <c r="E39" s="4" t="s">
        <v>13</v>
      </c>
      <c r="F39" s="44">
        <f t="shared" ca="1" si="2"/>
        <v>-191.94121573140768</v>
      </c>
      <c r="G39" s="273">
        <f ca="1">-(Debt!G71)</f>
        <v>-26.937577802239993</v>
      </c>
      <c r="H39" s="273">
        <f ca="1">-(Debt!H71)</f>
        <v>-3.6810895233126129</v>
      </c>
      <c r="I39" s="273">
        <f ca="1">-(Debt!I71)</f>
        <v>-4.3586967395855014</v>
      </c>
      <c r="J39" s="273">
        <f ca="1">-(Debt!J71)</f>
        <v>-0.99316060418550023</v>
      </c>
      <c r="K39" s="273">
        <f ca="1">-(Debt!K71)</f>
        <v>-1.9078801041855002</v>
      </c>
      <c r="L39" s="273">
        <f ca="1">-(Debt!L71)</f>
        <v>-30.76378283342618</v>
      </c>
      <c r="M39" s="273">
        <f ca="1">-(Debt!M71)</f>
        <v>-0.60398733238236013</v>
      </c>
      <c r="N39" s="273">
        <f ca="1">-(Debt!N71)</f>
        <v>-20.472956529185502</v>
      </c>
      <c r="O39" s="273">
        <f ca="1">-(Debt!O71)</f>
        <v>-0.10851135418550004</v>
      </c>
      <c r="P39" s="273">
        <f ca="1">-(Debt!P71)</f>
        <v>-2.1144476041855009</v>
      </c>
      <c r="Q39" s="273">
        <f ca="1">-(Debt!Q71)</f>
        <v>-3.6323960112964007</v>
      </c>
      <c r="R39" s="273">
        <f ca="1">-(Debt!R71)</f>
        <v>-2.7495089580109231</v>
      </c>
      <c r="S39" s="273">
        <f ca="1">-(Debt!S71)</f>
        <v>-1.994834800265501</v>
      </c>
      <c r="T39" s="273">
        <f ca="1">-(Debt!T71)</f>
        <v>-0.44702380738236008</v>
      </c>
      <c r="U39" s="273">
        <f ca="1">-(Debt!U71)</f>
        <v>-20.451362129185505</v>
      </c>
      <c r="V39" s="273">
        <f ca="1">-(Debt!V71)</f>
        <v>-6.6200811401056345</v>
      </c>
      <c r="W39" s="273">
        <f ca="1">-(Debt!W71)</f>
        <v>-1.9588256291855004</v>
      </c>
      <c r="X39" s="273">
        <f ca="1">-(Debt!X71)</f>
        <v>-0.87912450418549992</v>
      </c>
      <c r="Y39" s="273">
        <f ca="1">-(Debt!Y71)</f>
        <v>-2.0649971041855002</v>
      </c>
      <c r="Z39" s="273">
        <f ca="1">-(Debt!Z71)</f>
        <v>-0.12331760418550002</v>
      </c>
      <c r="AA39" s="273">
        <f ca="1">-(Debt!AA71)</f>
        <v>-3.1774709644932591</v>
      </c>
      <c r="AB39" s="273">
        <f ca="1">-(Debt!AB71)</f>
        <v>-21.52972048301093</v>
      </c>
      <c r="AC39" s="273">
        <f ca="1">-(Debt!AC71)</f>
        <v>-1.8382673002655003</v>
      </c>
      <c r="AD39" s="273">
        <f ca="1">-(Debt!AD71)</f>
        <v>-1.8930738541855001</v>
      </c>
      <c r="AE39" s="273">
        <f ca="1">-(Debt!AE71)</f>
        <v>-0.99480910418550017</v>
      </c>
      <c r="AF39" s="273">
        <f ca="1">-(Debt!AF71)</f>
        <v>-8.2986968404656345</v>
      </c>
      <c r="AG39" s="273">
        <f ca="1">-(Debt!AG71)</f>
        <v>-0.1594568791855</v>
      </c>
      <c r="AH39" s="273">
        <f ca="1">-(Debt!AH71)</f>
        <v>-4.9934940073823597</v>
      </c>
      <c r="AI39" s="273">
        <f ca="1">-(Debt!AI71)</f>
        <v>-16.034152829185501</v>
      </c>
      <c r="AJ39" s="273">
        <f ca="1">-(Debt!AJ71)</f>
        <v>-0.1585113541855</v>
      </c>
      <c r="AK39" s="273">
        <f ca="1">-(Debt!AK71)</f>
        <v>0</v>
      </c>
      <c r="AL39" s="273">
        <f ca="1">-(Debt!AL71)</f>
        <v>0</v>
      </c>
      <c r="AM39" s="273">
        <f ca="1">-(Debt!AM71)</f>
        <v>0</v>
      </c>
      <c r="AN39" s="286"/>
      <c r="AO39" s="286"/>
    </row>
    <row r="40" spans="3:41" outlineLevel="1">
      <c r="C40" s="266" t="s">
        <v>48</v>
      </c>
      <c r="D40" s="266"/>
      <c r="E40" s="4" t="s">
        <v>13</v>
      </c>
      <c r="F40" s="54">
        <f ca="1">SUM(G40:AM40)</f>
        <v>-537686.56238789344</v>
      </c>
      <c r="G40" s="287">
        <f t="shared" ref="G40:AM40" ca="1" si="5">SUM(G22:G39)</f>
        <v>-15824.479340759093</v>
      </c>
      <c r="H40" s="287">
        <f t="shared" ca="1" si="5"/>
        <v>-16558.896777386326</v>
      </c>
      <c r="I40" s="287">
        <f t="shared" ca="1" si="5"/>
        <v>-17000.823430964072</v>
      </c>
      <c r="J40" s="287">
        <f t="shared" ca="1" si="5"/>
        <v>-17371.108370351143</v>
      </c>
      <c r="K40" s="287">
        <f t="shared" ca="1" si="5"/>
        <v>-17423.764539645937</v>
      </c>
      <c r="L40" s="287">
        <f t="shared" ca="1" si="5"/>
        <v>-17544.075520375573</v>
      </c>
      <c r="M40" s="287">
        <f t="shared" ca="1" si="5"/>
        <v>-18476.669625966304</v>
      </c>
      <c r="N40" s="287">
        <f t="shared" ca="1" si="5"/>
        <v>-17683.235928414168</v>
      </c>
      <c r="O40" s="287">
        <f t="shared" ca="1" si="5"/>
        <v>-17682.114610757362</v>
      </c>
      <c r="P40" s="287">
        <f t="shared" ca="1" si="5"/>
        <v>-17766.050958875559</v>
      </c>
      <c r="Q40" s="287">
        <f t="shared" ca="1" si="5"/>
        <v>-17786.989367772672</v>
      </c>
      <c r="R40" s="287">
        <f t="shared" ca="1" si="5"/>
        <v>-17806.218769252977</v>
      </c>
      <c r="S40" s="287">
        <f t="shared" ca="1" si="5"/>
        <v>-17823.816090227585</v>
      </c>
      <c r="T40" s="287">
        <f t="shared" ca="1" si="5"/>
        <v>-17841.874094682855</v>
      </c>
      <c r="U40" s="287">
        <f t="shared" ca="1" si="5"/>
        <v>-17880.691807455227</v>
      </c>
      <c r="V40" s="287">
        <f t="shared" ca="1" si="5"/>
        <v>-17894.665108544632</v>
      </c>
      <c r="W40" s="287">
        <f t="shared" ca="1" si="5"/>
        <v>-17901.071060996619</v>
      </c>
      <c r="X40" s="287">
        <f t="shared" ca="1" si="5"/>
        <v>-17919.290232274809</v>
      </c>
      <c r="Y40" s="287">
        <f t="shared" ca="1" si="5"/>
        <v>-18327.509914419854</v>
      </c>
      <c r="Z40" s="287">
        <f t="shared" ca="1" si="5"/>
        <v>-18344.841594598049</v>
      </c>
      <c r="AA40" s="287">
        <f t="shared" ca="1" si="5"/>
        <v>-18367.734736175982</v>
      </c>
      <c r="AB40" s="287">
        <f t="shared" ca="1" si="5"/>
        <v>-18405.927543043617</v>
      </c>
      <c r="AC40" s="287">
        <f t="shared" ca="1" si="5"/>
        <v>-18404.511288450074</v>
      </c>
      <c r="AD40" s="287">
        <f t="shared" ca="1" si="5"/>
        <v>-18423.969073017677</v>
      </c>
      <c r="AE40" s="287">
        <f t="shared" ca="1" si="5"/>
        <v>-18442.364896695868</v>
      </c>
      <c r="AF40" s="287">
        <f t="shared" ca="1" si="5"/>
        <v>-18477.523506741141</v>
      </c>
      <c r="AG40" s="287">
        <f t="shared" ca="1" si="5"/>
        <v>-18542.39797265911</v>
      </c>
      <c r="AH40" s="287">
        <f t="shared" ca="1" si="5"/>
        <v>-18566.885528374976</v>
      </c>
      <c r="AI40" s="287">
        <f t="shared" ca="1" si="5"/>
        <v>-18596.806854780501</v>
      </c>
      <c r="AJ40" s="287">
        <f t="shared" ca="1" si="5"/>
        <v>-18600.253844233692</v>
      </c>
      <c r="AK40" s="287">
        <f t="shared" ca="1" si="5"/>
        <v>0</v>
      </c>
      <c r="AL40" s="287">
        <f t="shared" ca="1" si="5"/>
        <v>0</v>
      </c>
      <c r="AM40" s="287">
        <f t="shared" ca="1" si="5"/>
        <v>0</v>
      </c>
      <c r="AN40" s="266"/>
      <c r="AO40" s="266"/>
    </row>
    <row r="41" spans="3:41" outlineLevel="1">
      <c r="C41" s="266"/>
      <c r="D41" s="266"/>
      <c r="E41" s="266"/>
      <c r="F41"/>
      <c r="G41" s="288"/>
      <c r="H41" s="288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 s="266"/>
      <c r="AO41" s="266"/>
    </row>
    <row r="42" spans="3:41" outlineLevel="1">
      <c r="C42" s="266" t="s">
        <v>49</v>
      </c>
      <c r="D42" s="266"/>
      <c r="E42" s="4" t="s">
        <v>13</v>
      </c>
      <c r="F42" s="44">
        <f>SUM(G42:AN42)</f>
        <v>-2.2737367544323206E-13</v>
      </c>
      <c r="G42" s="289">
        <f>Ops!G391</f>
        <v>-603.77922659067826</v>
      </c>
      <c r="H42" s="289">
        <f>Ops!H391</f>
        <v>69.238521778629348</v>
      </c>
      <c r="I42" s="289">
        <f>Ops!I391</f>
        <v>-330.5296923146484</v>
      </c>
      <c r="J42" s="289">
        <f>Ops!J391</f>
        <v>-12.209749493543626</v>
      </c>
      <c r="K42" s="289">
        <f>Ops!K391</f>
        <v>-33.827984469879993</v>
      </c>
      <c r="L42" s="289">
        <f>Ops!L391</f>
        <v>-116.20539711625182</v>
      </c>
      <c r="M42" s="289">
        <f>Ops!M391</f>
        <v>-19.017916538382877</v>
      </c>
      <c r="N42" s="289">
        <f>Ops!N391</f>
        <v>-92.622664670163658</v>
      </c>
      <c r="O42" s="289">
        <f>Ops!O391</f>
        <v>28.417480054540874</v>
      </c>
      <c r="P42" s="289">
        <f>Ops!P391</f>
        <v>-7.1967791831050647</v>
      </c>
      <c r="Q42" s="289">
        <f>Ops!Q391</f>
        <v>-26.04105154637088</v>
      </c>
      <c r="R42" s="289">
        <f>Ops!R391</f>
        <v>-15.627769833052753</v>
      </c>
      <c r="S42" s="289">
        <f>Ops!S391</f>
        <v>-15.968983189637356</v>
      </c>
      <c r="T42" s="289">
        <f>Ops!T391</f>
        <v>-10.260972073456998</v>
      </c>
      <c r="U42" s="289">
        <f>Ops!U391</f>
        <v>-82.253112359230016</v>
      </c>
      <c r="V42" s="289">
        <f>Ops!V391</f>
        <v>23.93846031147541</v>
      </c>
      <c r="W42" s="289">
        <f>Ops!W391</f>
        <v>-3.9056395148816136</v>
      </c>
      <c r="X42" s="289">
        <f>Ops!X391</f>
        <v>-11.301685395137184</v>
      </c>
      <c r="Y42" s="289">
        <f>Ops!Y391</f>
        <v>12.051645893317783</v>
      </c>
      <c r="Z42" s="289">
        <f>Ops!Z391</f>
        <v>-12.044595434515031</v>
      </c>
      <c r="AA42" s="289">
        <f>Ops!AA391</f>
        <v>-27.195891239578941</v>
      </c>
      <c r="AB42" s="289">
        <f>Ops!AB391</f>
        <v>-69.962237537359584</v>
      </c>
      <c r="AC42" s="289">
        <f>Ops!AC391</f>
        <v>38.340358592553827</v>
      </c>
      <c r="AD42" s="289">
        <f>Ops!AD391</f>
        <v>-17.956738773795678</v>
      </c>
      <c r="AE42" s="289">
        <f>Ops!AE391</f>
        <v>-15.017795344985188</v>
      </c>
      <c r="AF42" s="289">
        <f>Ops!AF391</f>
        <v>-36.123355612430629</v>
      </c>
      <c r="AG42" s="289">
        <f>Ops!AG391</f>
        <v>2.8037298476373564</v>
      </c>
      <c r="AH42" s="289">
        <f>Ops!AH391</f>
        <v>-32.338903672850392</v>
      </c>
      <c r="AI42" s="289">
        <f>Ops!AI391</f>
        <v>-51.178028023825391</v>
      </c>
      <c r="AJ42" s="289">
        <f>Ops!AJ391</f>
        <v>1467.7759734496067</v>
      </c>
      <c r="AK42" s="289">
        <f>Ops!AK391</f>
        <v>0</v>
      </c>
      <c r="AL42" s="289">
        <f>Ops!AL391</f>
        <v>0</v>
      </c>
      <c r="AM42" s="289">
        <f>Ops!AM391</f>
        <v>0</v>
      </c>
      <c r="AN42" s="266"/>
      <c r="AO42" s="266"/>
    </row>
    <row r="43" spans="3:41" outlineLevel="1">
      <c r="C43" s="266"/>
      <c r="D43" s="266"/>
      <c r="E43" s="266"/>
      <c r="F43" s="273"/>
      <c r="G43" s="273"/>
      <c r="H43" s="273"/>
      <c r="I43" s="273"/>
      <c r="J43" s="273"/>
      <c r="K43" s="273"/>
      <c r="L43" s="273"/>
      <c r="M43" s="273"/>
      <c r="N43" s="273"/>
      <c r="O43" s="273"/>
      <c r="P43" s="273"/>
      <c r="Q43" s="273"/>
      <c r="R43" s="273"/>
      <c r="S43" s="273"/>
      <c r="T43" s="273"/>
      <c r="U43" s="273"/>
      <c r="V43" s="273"/>
      <c r="W43" s="273"/>
      <c r="X43" s="273"/>
      <c r="Y43" s="273"/>
      <c r="Z43" s="273"/>
      <c r="AA43" s="273"/>
      <c r="AB43" s="273"/>
      <c r="AC43" s="273"/>
      <c r="AD43" s="273"/>
      <c r="AE43" s="273"/>
      <c r="AF43" s="273"/>
      <c r="AG43" s="273"/>
      <c r="AH43" s="273"/>
      <c r="AI43" s="273"/>
      <c r="AJ43" s="273"/>
      <c r="AK43" s="273"/>
      <c r="AL43" s="273"/>
      <c r="AM43" s="273"/>
      <c r="AN43" s="266"/>
      <c r="AO43" s="266"/>
    </row>
    <row r="44" spans="3:41" outlineLevel="1">
      <c r="C44" s="266" t="s">
        <v>50</v>
      </c>
      <c r="D44" s="266"/>
      <c r="E44" s="4" t="s">
        <v>13</v>
      </c>
      <c r="F44" s="44">
        <f ca="1">SUM(G44:AM44)</f>
        <v>178812.4330240018</v>
      </c>
      <c r="G44" s="289">
        <f t="shared" ref="G44:AM44" ca="1" si="6">G19+G40+G42</f>
        <v>-552.25075172981724</v>
      </c>
      <c r="H44" s="289">
        <f t="shared" ca="1" si="6"/>
        <v>-1438.2344314673312</v>
      </c>
      <c r="I44" s="289">
        <f t="shared" ca="1" si="6"/>
        <v>2163.4636619898924</v>
      </c>
      <c r="J44" s="289">
        <f t="shared" ca="1" si="6"/>
        <v>2792.246940915375</v>
      </c>
      <c r="K44" s="289">
        <f t="shared" ca="1" si="6"/>
        <v>3129.5463476944506</v>
      </c>
      <c r="L44" s="289">
        <f t="shared" ca="1" si="6"/>
        <v>4374.9340701730516</v>
      </c>
      <c r="M44" s="289">
        <f t="shared" ca="1" si="6"/>
        <v>3736.6683121036353</v>
      </c>
      <c r="N44" s="289">
        <f t="shared" ca="1" si="6"/>
        <v>5583.4063483443151</v>
      </c>
      <c r="O44" s="289">
        <f t="shared" ca="1" si="6"/>
        <v>5359.8218033955782</v>
      </c>
      <c r="P44" s="289">
        <f t="shared" ca="1" si="6"/>
        <v>5365.0897897189643</v>
      </c>
      <c r="Q44" s="289">
        <f t="shared" ca="1" si="6"/>
        <v>5604.8821219879819</v>
      </c>
      <c r="R44" s="289">
        <f t="shared" ca="1" si="6"/>
        <v>5786.2038685231346</v>
      </c>
      <c r="S44" s="289">
        <f t="shared" ca="1" si="6"/>
        <v>5962.5546296658667</v>
      </c>
      <c r="T44" s="289">
        <f t="shared" ca="1" si="6"/>
        <v>6114.5675360600371</v>
      </c>
      <c r="U44" s="289">
        <f t="shared" ca="1" si="6"/>
        <v>6964.982810532988</v>
      </c>
      <c r="V44" s="289">
        <f t="shared" ca="1" si="6"/>
        <v>6765.9498149913361</v>
      </c>
      <c r="W44" s="289">
        <f t="shared" ca="1" si="6"/>
        <v>6779.2183768107188</v>
      </c>
      <c r="X44" s="289">
        <f t="shared" ca="1" si="6"/>
        <v>6933.07880403124</v>
      </c>
      <c r="Y44" s="289">
        <f t="shared" ca="1" si="6"/>
        <v>6846.8626127211555</v>
      </c>
      <c r="Z44" s="289">
        <f t="shared" ca="1" si="6"/>
        <v>6951.977269001728</v>
      </c>
      <c r="AA44" s="289">
        <f t="shared" ca="1" si="6"/>
        <v>7244.8161750336112</v>
      </c>
      <c r="AB44" s="289">
        <f t="shared" ca="1" si="6"/>
        <v>8060.274419921464</v>
      </c>
      <c r="AC44" s="289">
        <f t="shared" ca="1" si="6"/>
        <v>7658.3087330867838</v>
      </c>
      <c r="AD44" s="289">
        <f t="shared" ca="1" si="6"/>
        <v>7801.0275062340115</v>
      </c>
      <c r="AE44" s="289">
        <f t="shared" ca="1" si="6"/>
        <v>7968.2871360152822</v>
      </c>
      <c r="AF44" s="289">
        <f t="shared" ca="1" si="6"/>
        <v>8397.7592180404918</v>
      </c>
      <c r="AG44" s="289">
        <f t="shared" ca="1" si="6"/>
        <v>8291.464365382988</v>
      </c>
      <c r="AH44" s="289">
        <f t="shared" ca="1" si="6"/>
        <v>8625.2908374996441</v>
      </c>
      <c r="AI44" s="289">
        <f t="shared" ca="1" si="6"/>
        <v>9199.1963943663523</v>
      </c>
      <c r="AJ44" s="289">
        <f t="shared" ca="1" si="6"/>
        <v>10341.03830295684</v>
      </c>
      <c r="AK44" s="289">
        <f t="shared" ca="1" si="6"/>
        <v>0</v>
      </c>
      <c r="AL44" s="289">
        <f t="shared" ca="1" si="6"/>
        <v>0</v>
      </c>
      <c r="AM44" s="289">
        <f t="shared" ca="1" si="6"/>
        <v>0</v>
      </c>
      <c r="AN44" s="266"/>
      <c r="AO44" s="266"/>
    </row>
    <row r="45" spans="3:41">
      <c r="C45" s="266"/>
      <c r="D45" s="266"/>
      <c r="E45" s="266"/>
      <c r="F45" s="266"/>
      <c r="G45" s="273"/>
      <c r="H45" s="273"/>
      <c r="I45" s="273"/>
      <c r="J45" s="273"/>
      <c r="K45" s="273"/>
      <c r="L45" s="273"/>
      <c r="M45" s="273"/>
      <c r="N45" s="273"/>
      <c r="O45" s="273"/>
      <c r="P45" s="273"/>
      <c r="Q45" s="273"/>
      <c r="R45" s="273"/>
      <c r="S45" s="273"/>
      <c r="T45" s="273"/>
      <c r="U45" s="273"/>
      <c r="V45" s="273"/>
      <c r="W45" s="273"/>
      <c r="X45" s="273"/>
      <c r="Y45" s="273"/>
      <c r="Z45" s="273"/>
      <c r="AA45" s="273"/>
      <c r="AB45" s="273"/>
      <c r="AC45" s="273"/>
      <c r="AD45" s="273"/>
      <c r="AE45" s="273"/>
      <c r="AF45" s="273"/>
      <c r="AG45" s="273"/>
      <c r="AH45" s="273"/>
      <c r="AI45" s="273"/>
      <c r="AJ45" s="273"/>
      <c r="AK45" s="273"/>
      <c r="AL45" s="273"/>
      <c r="AM45" s="273"/>
      <c r="AN45" s="266"/>
      <c r="AO45" s="266"/>
    </row>
    <row r="46" spans="3:41">
      <c r="C46" s="56" t="s">
        <v>51</v>
      </c>
      <c r="D46" s="266"/>
      <c r="E46" s="266"/>
      <c r="F46" s="272"/>
      <c r="G46"/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2"/>
      <c r="T46" s="272"/>
      <c r="U46" s="272"/>
      <c r="V46" s="272"/>
      <c r="W46" s="272"/>
      <c r="X46" s="272"/>
      <c r="Y46" s="272"/>
      <c r="Z46" s="272"/>
      <c r="AA46" s="272"/>
      <c r="AB46" s="272"/>
      <c r="AC46" s="272"/>
      <c r="AD46" s="272"/>
      <c r="AE46" s="272"/>
      <c r="AF46" s="272"/>
      <c r="AG46" s="272"/>
      <c r="AH46" s="272"/>
      <c r="AI46" s="272"/>
      <c r="AJ46" s="272"/>
      <c r="AK46" s="272"/>
      <c r="AL46" s="272"/>
      <c r="AM46" s="272"/>
      <c r="AN46" s="266"/>
      <c r="AO46" s="266"/>
    </row>
    <row r="47" spans="3:41" outlineLevel="1">
      <c r="C47" s="266" t="str">
        <f>Ops!C412</f>
        <v>CAPEX - Divisíveis</v>
      </c>
      <c r="D47" s="266"/>
      <c r="E47" s="4" t="s">
        <v>13</v>
      </c>
      <c r="F47" s="44">
        <f>SUM(G47:AM47)</f>
        <v>-73286.584292563057</v>
      </c>
      <c r="G47" s="273">
        <f>-Ops!G412</f>
        <v>-9009.4527308959987</v>
      </c>
      <c r="H47" s="273">
        <f>-Ops!H412</f>
        <v>-1410.9263993250449</v>
      </c>
      <c r="I47" s="273">
        <f>-Ops!I412</f>
        <v>-1743.4786958342002</v>
      </c>
      <c r="J47" s="273">
        <f>-Ops!J412</f>
        <v>-383.7170416742</v>
      </c>
      <c r="K47" s="273">
        <f>-Ops!K412</f>
        <v>-763.15204167420006</v>
      </c>
      <c r="L47" s="273">
        <f>-Ops!L412</f>
        <v>-12231.004333370471</v>
      </c>
      <c r="M47" s="273">
        <f>-Ops!M412</f>
        <v>-217.172932952944</v>
      </c>
      <c r="N47" s="273">
        <f>-Ops!N412</f>
        <v>-8189.1826116742004</v>
      </c>
      <c r="O47" s="273">
        <f>-Ops!O412</f>
        <v>-43.404541674200004</v>
      </c>
      <c r="P47" s="273">
        <f>-Ops!P412</f>
        <v>-832.01204167420008</v>
      </c>
      <c r="Q47" s="273">
        <f>-Ops!Q412</f>
        <v>-850.92721451855948</v>
      </c>
      <c r="R47" s="273">
        <f>-Ops!R412</f>
        <v>-1060.8941732043691</v>
      </c>
      <c r="S47" s="273">
        <f>-Ops!S412</f>
        <v>-784.16692010620011</v>
      </c>
      <c r="T47" s="273">
        <f>-Ops!T412</f>
        <v>-178.80952295294401</v>
      </c>
      <c r="U47" s="273">
        <f>-Ops!U412</f>
        <v>-8180.5448516742008</v>
      </c>
      <c r="V47" s="273">
        <f>-Ops!V412</f>
        <v>-2559.7566560422538</v>
      </c>
      <c r="W47" s="273">
        <f>-Ops!W412</f>
        <v>-772.65545167420009</v>
      </c>
      <c r="X47" s="273">
        <f>-Ops!X412</f>
        <v>-351.64980167419998</v>
      </c>
      <c r="Y47" s="273">
        <f>-Ops!Y412</f>
        <v>-812.01204167420008</v>
      </c>
      <c r="Z47" s="273">
        <f>-Ops!Z412</f>
        <v>-49.327041674200004</v>
      </c>
      <c r="AA47" s="273">
        <f>-Ops!AA412</f>
        <v>-668.95719579730371</v>
      </c>
      <c r="AB47" s="273">
        <f>-Ops!AB412</f>
        <v>-8558.9919832043688</v>
      </c>
      <c r="AC47" s="273">
        <f>-Ops!AC412</f>
        <v>-735.3069201062001</v>
      </c>
      <c r="AD47" s="273">
        <f>-Ops!AD412</f>
        <v>-757.22954167420005</v>
      </c>
      <c r="AE47" s="273">
        <f>-Ops!AE412</f>
        <v>-383.7170416742</v>
      </c>
      <c r="AF47" s="273">
        <f>-Ops!AF412</f>
        <v>-3244.969936186254</v>
      </c>
      <c r="AG47" s="273">
        <f>-Ops!AG412</f>
        <v>-52.9079516742</v>
      </c>
      <c r="AH47" s="273">
        <f>-Ops!AH412</f>
        <v>-1983.1910029529438</v>
      </c>
      <c r="AI47" s="273">
        <f>-Ops!AI412</f>
        <v>-6413.6611316742001</v>
      </c>
      <c r="AJ47" s="273">
        <f>-Ops!AJ412</f>
        <v>-63.404541674200004</v>
      </c>
      <c r="AK47" s="273">
        <f>-Ops!AK412</f>
        <v>0</v>
      </c>
      <c r="AL47" s="273">
        <f>-Ops!AL412</f>
        <v>0</v>
      </c>
      <c r="AM47" s="273">
        <f>-Ops!AM412</f>
        <v>0</v>
      </c>
      <c r="AN47" s="266"/>
      <c r="AO47" s="266"/>
    </row>
    <row r="48" spans="3:41" outlineLevel="1">
      <c r="C48" s="266" t="str">
        <f>Ops!C413</f>
        <v>CAPEX - Indivisíveis</v>
      </c>
      <c r="D48" s="266"/>
      <c r="E48" s="4" t="str">
        <f>Ops!E413</f>
        <v>$ 000s</v>
      </c>
      <c r="F48" s="44">
        <f>SUM(G48:AM48)</f>
        <v>-3489.9020000000005</v>
      </c>
      <c r="G48" s="273">
        <f>-Ops!G413</f>
        <v>-1765.5783900000001</v>
      </c>
      <c r="H48" s="273">
        <f>-Ops!H413</f>
        <v>-61.509409999999995</v>
      </c>
      <c r="I48" s="273">
        <f>-Ops!I413</f>
        <v>0</v>
      </c>
      <c r="J48" s="273">
        <f>-Ops!J413</f>
        <v>-13.5472</v>
      </c>
      <c r="K48" s="273">
        <f>-Ops!K413</f>
        <v>0</v>
      </c>
      <c r="L48" s="273">
        <f>-Ops!L413</f>
        <v>-74.508799999999994</v>
      </c>
      <c r="M48" s="273">
        <f>-Ops!M413</f>
        <v>-24.421999999999997</v>
      </c>
      <c r="N48" s="273">
        <f>-Ops!N413</f>
        <v>0</v>
      </c>
      <c r="O48" s="273">
        <f>-Ops!O413</f>
        <v>0</v>
      </c>
      <c r="P48" s="273">
        <f>-Ops!P413</f>
        <v>-13.767000000000001</v>
      </c>
      <c r="Q48" s="273">
        <f>-Ops!Q413</f>
        <v>-602.03119000000004</v>
      </c>
      <c r="R48" s="273">
        <f>-Ops!R413</f>
        <v>-38.909409999999994</v>
      </c>
      <c r="S48" s="273">
        <f>-Ops!S413</f>
        <v>-13.767000000000001</v>
      </c>
      <c r="T48" s="273">
        <f>-Ops!T413</f>
        <v>0</v>
      </c>
      <c r="U48" s="273">
        <f>-Ops!U413</f>
        <v>0</v>
      </c>
      <c r="V48" s="273">
        <f>-Ops!V413</f>
        <v>-88.275800000000004</v>
      </c>
      <c r="W48" s="273">
        <f>-Ops!W413</f>
        <v>-10.874799999999999</v>
      </c>
      <c r="X48" s="273">
        <f>-Ops!X413</f>
        <v>0</v>
      </c>
      <c r="Y48" s="273">
        <f>-Ops!Y413</f>
        <v>-13.986800000000001</v>
      </c>
      <c r="Z48" s="273">
        <f>-Ops!Z413</f>
        <v>0</v>
      </c>
      <c r="AA48" s="273">
        <f>-Ops!AA413</f>
        <v>-602.03119000000004</v>
      </c>
      <c r="AB48" s="273">
        <f>-Ops!AB413</f>
        <v>-52.896209999999996</v>
      </c>
      <c r="AC48" s="273">
        <f>-Ops!AC413</f>
        <v>0</v>
      </c>
      <c r="AD48" s="273">
        <f>-Ops!AD413</f>
        <v>0</v>
      </c>
      <c r="AE48" s="273">
        <f>-Ops!AE413</f>
        <v>-14.206600000000002</v>
      </c>
      <c r="AF48" s="273">
        <f>-Ops!AF413</f>
        <v>-74.508799999999994</v>
      </c>
      <c r="AG48" s="273">
        <f>-Ops!AG413</f>
        <v>-10.874799999999999</v>
      </c>
      <c r="AH48" s="273">
        <f>-Ops!AH413</f>
        <v>-14.206600000000002</v>
      </c>
      <c r="AI48" s="273">
        <f>-Ops!AI413</f>
        <v>0</v>
      </c>
      <c r="AJ48" s="273">
        <f>-Ops!AJ413</f>
        <v>0</v>
      </c>
      <c r="AK48" s="273">
        <f>-Ops!AK413</f>
        <v>0</v>
      </c>
      <c r="AL48" s="273">
        <f>-Ops!AL413</f>
        <v>0</v>
      </c>
      <c r="AM48" s="273">
        <f>-Ops!AM413</f>
        <v>0</v>
      </c>
      <c r="AN48" s="266"/>
      <c r="AO48" s="266"/>
    </row>
    <row r="49" spans="3:41" outlineLevel="1">
      <c r="C49" s="266" t="s">
        <v>52</v>
      </c>
      <c r="D49" s="266"/>
      <c r="E49" s="4" t="s">
        <v>13</v>
      </c>
      <c r="F49" s="44">
        <f>SUM(G49:AM49)</f>
        <v>-76776.486292563059</v>
      </c>
      <c r="G49" s="287">
        <f t="shared" ref="G49:AM49" si="7">SUM(G47:G48)</f>
        <v>-10775.031120895999</v>
      </c>
      <c r="H49" s="287">
        <f t="shared" si="7"/>
        <v>-1472.4358093250448</v>
      </c>
      <c r="I49" s="287">
        <f t="shared" si="7"/>
        <v>-1743.4786958342002</v>
      </c>
      <c r="J49" s="287">
        <f t="shared" si="7"/>
        <v>-397.26424167419998</v>
      </c>
      <c r="K49" s="287">
        <f t="shared" si="7"/>
        <v>-763.15204167420006</v>
      </c>
      <c r="L49" s="287">
        <f t="shared" si="7"/>
        <v>-12305.51313337047</v>
      </c>
      <c r="M49" s="287">
        <f t="shared" si="7"/>
        <v>-241.59493295294399</v>
      </c>
      <c r="N49" s="287">
        <f t="shared" si="7"/>
        <v>-8189.1826116742004</v>
      </c>
      <c r="O49" s="287">
        <f t="shared" si="7"/>
        <v>-43.404541674200004</v>
      </c>
      <c r="P49" s="287">
        <f t="shared" si="7"/>
        <v>-845.77904167420013</v>
      </c>
      <c r="Q49" s="287">
        <f t="shared" si="7"/>
        <v>-1452.9584045185595</v>
      </c>
      <c r="R49" s="287">
        <f t="shared" si="7"/>
        <v>-1099.803583204369</v>
      </c>
      <c r="S49" s="287">
        <f t="shared" si="7"/>
        <v>-797.93392010620016</v>
      </c>
      <c r="T49" s="287">
        <f t="shared" si="7"/>
        <v>-178.80952295294401</v>
      </c>
      <c r="U49" s="287">
        <f t="shared" si="7"/>
        <v>-8180.5448516742008</v>
      </c>
      <c r="V49" s="287">
        <f t="shared" si="7"/>
        <v>-2648.0324560422537</v>
      </c>
      <c r="W49" s="287">
        <f t="shared" si="7"/>
        <v>-783.53025167420014</v>
      </c>
      <c r="X49" s="287">
        <f t="shared" si="7"/>
        <v>-351.64980167419998</v>
      </c>
      <c r="Y49" s="287">
        <f t="shared" si="7"/>
        <v>-825.99884167420009</v>
      </c>
      <c r="Z49" s="287">
        <f t="shared" si="7"/>
        <v>-49.327041674200004</v>
      </c>
      <c r="AA49" s="287">
        <f t="shared" si="7"/>
        <v>-1270.9883857973036</v>
      </c>
      <c r="AB49" s="287">
        <f t="shared" si="7"/>
        <v>-8611.8881932043696</v>
      </c>
      <c r="AC49" s="287">
        <f t="shared" si="7"/>
        <v>-735.3069201062001</v>
      </c>
      <c r="AD49" s="287">
        <f t="shared" si="7"/>
        <v>-757.22954167420005</v>
      </c>
      <c r="AE49" s="287">
        <f t="shared" si="7"/>
        <v>-397.92364167419998</v>
      </c>
      <c r="AF49" s="287">
        <f t="shared" si="7"/>
        <v>-3319.4787361862541</v>
      </c>
      <c r="AG49" s="287">
        <f t="shared" si="7"/>
        <v>-63.7827516742</v>
      </c>
      <c r="AH49" s="287">
        <f t="shared" si="7"/>
        <v>-1997.3976029529438</v>
      </c>
      <c r="AI49" s="287">
        <f t="shared" si="7"/>
        <v>-6413.6611316742001</v>
      </c>
      <c r="AJ49" s="287">
        <f t="shared" si="7"/>
        <v>-63.404541674200004</v>
      </c>
      <c r="AK49" s="287">
        <f t="shared" si="7"/>
        <v>0</v>
      </c>
      <c r="AL49" s="287">
        <f t="shared" si="7"/>
        <v>0</v>
      </c>
      <c r="AM49" s="287">
        <f t="shared" si="7"/>
        <v>0</v>
      </c>
      <c r="AN49" s="266"/>
      <c r="AO49" s="266"/>
    </row>
    <row r="50" spans="3:41">
      <c r="C50" s="266"/>
      <c r="D50" s="266"/>
      <c r="E50" s="266"/>
      <c r="F50"/>
      <c r="G50" s="273"/>
      <c r="H50" s="273"/>
      <c r="I50" s="273"/>
      <c r="J50" s="273"/>
      <c r="K50" s="273"/>
      <c r="L50" s="273"/>
      <c r="M50" s="273"/>
      <c r="N50" s="273"/>
      <c r="O50" s="273"/>
      <c r="P50" s="273"/>
      <c r="Q50" s="273"/>
      <c r="R50" s="273"/>
      <c r="S50" s="273"/>
      <c r="T50" s="273"/>
      <c r="U50" s="273"/>
      <c r="V50" s="273"/>
      <c r="W50" s="273"/>
      <c r="X50" s="273"/>
      <c r="Y50" s="273"/>
      <c r="Z50" s="273"/>
      <c r="AA50" s="273"/>
      <c r="AB50" s="273"/>
      <c r="AC50" s="273"/>
      <c r="AD50" s="273"/>
      <c r="AE50" s="273"/>
      <c r="AF50" s="273"/>
      <c r="AG50" s="273"/>
      <c r="AH50" s="273"/>
      <c r="AI50" s="273"/>
      <c r="AJ50" s="273"/>
      <c r="AK50" s="273"/>
      <c r="AL50" s="273"/>
      <c r="AM50" s="273"/>
      <c r="AN50" s="266"/>
      <c r="AO50" s="266"/>
    </row>
    <row r="51" spans="3:41">
      <c r="C51" s="5" t="s">
        <v>53</v>
      </c>
      <c r="D51" s="266"/>
      <c r="E51" s="266"/>
      <c r="F51" s="266"/>
      <c r="G51" s="273"/>
      <c r="H51" s="273"/>
      <c r="I51" s="273"/>
      <c r="J51" s="273"/>
      <c r="K51" s="273"/>
      <c r="L51" s="273"/>
      <c r="M51" s="273"/>
      <c r="N51" s="273"/>
      <c r="O51" s="273"/>
      <c r="P51" s="273"/>
      <c r="Q51" s="273"/>
      <c r="R51" s="273"/>
      <c r="S51" s="273"/>
      <c r="T51" s="273"/>
      <c r="U51" s="273"/>
      <c r="V51" s="273"/>
      <c r="W51" s="273"/>
      <c r="X51" s="273"/>
      <c r="Y51" s="273"/>
      <c r="Z51" s="273"/>
      <c r="AA51" s="273"/>
      <c r="AB51" s="273"/>
      <c r="AC51" s="273"/>
      <c r="AD51" s="273"/>
      <c r="AE51" s="273"/>
      <c r="AF51" s="273"/>
      <c r="AG51" s="273"/>
      <c r="AH51" s="273"/>
      <c r="AI51" s="273"/>
      <c r="AJ51" s="273"/>
      <c r="AK51" s="273"/>
      <c r="AL51" s="273"/>
      <c r="AM51" s="273"/>
      <c r="AN51" s="266"/>
      <c r="AO51" s="266"/>
    </row>
    <row r="52" spans="3:41" outlineLevel="1">
      <c r="C52" s="266" t="s">
        <v>54</v>
      </c>
      <c r="D52" s="266"/>
      <c r="E52" s="4" t="s">
        <v>13</v>
      </c>
      <c r="F52" s="44">
        <f ca="1">SUM(G52:AM52)</f>
        <v>38388.243146281529</v>
      </c>
      <c r="G52" s="273">
        <f ca="1">Debt!G68</f>
        <v>5387.5155604479987</v>
      </c>
      <c r="H52" s="273">
        <f ca="1">Debt!H68</f>
        <v>736.21790466252253</v>
      </c>
      <c r="I52" s="273">
        <f ca="1">Debt!I68</f>
        <v>871.73934791710019</v>
      </c>
      <c r="J52" s="273">
        <f ca="1">Debt!J68</f>
        <v>198.63212083710005</v>
      </c>
      <c r="K52" s="273">
        <f ca="1">Debt!K68</f>
        <v>381.57602083710003</v>
      </c>
      <c r="L52" s="273">
        <f ca="1">Debt!L68</f>
        <v>6152.7565666852361</v>
      </c>
      <c r="M52" s="273">
        <f ca="1">Debt!M68</f>
        <v>120.79746647647202</v>
      </c>
      <c r="N52" s="273">
        <f ca="1">Debt!N68</f>
        <v>4094.5913058371002</v>
      </c>
      <c r="O52" s="273">
        <f ca="1">Debt!O68</f>
        <v>21.702270837100006</v>
      </c>
      <c r="P52" s="273">
        <f ca="1">Debt!P68</f>
        <v>422.88952083710018</v>
      </c>
      <c r="Q52" s="273">
        <f ca="1">Debt!Q68</f>
        <v>726.4792022592801</v>
      </c>
      <c r="R52" s="273">
        <f ca="1">Debt!R68</f>
        <v>549.90179160218463</v>
      </c>
      <c r="S52" s="273">
        <f ca="1">Debt!S68</f>
        <v>398.96696005310019</v>
      </c>
      <c r="T52" s="273">
        <f ca="1">Debt!T68</f>
        <v>89.404761476472018</v>
      </c>
      <c r="U52" s="273">
        <f ca="1">Debt!U68</f>
        <v>4090.2724258371009</v>
      </c>
      <c r="V52" s="273">
        <f ca="1">Debt!V68</f>
        <v>1324.0162280211268</v>
      </c>
      <c r="W52" s="273">
        <f ca="1">Debt!W68</f>
        <v>391.76512583710007</v>
      </c>
      <c r="X52" s="273">
        <f ca="1">Debt!X68</f>
        <v>175.82490083709999</v>
      </c>
      <c r="Y52" s="273">
        <f ca="1">Debt!Y68</f>
        <v>412.99942083710005</v>
      </c>
      <c r="Z52" s="273">
        <f ca="1">Debt!Z68</f>
        <v>24.663520837100002</v>
      </c>
      <c r="AA52" s="273">
        <f ca="1">Debt!AA68</f>
        <v>635.49419289865182</v>
      </c>
      <c r="AB52" s="273">
        <f ca="1">Debt!AB68</f>
        <v>4305.9440966021857</v>
      </c>
      <c r="AC52" s="273">
        <f ca="1">Debt!AC68</f>
        <v>367.65346005310005</v>
      </c>
      <c r="AD52" s="273">
        <f ca="1">Debt!AD68</f>
        <v>378.61477083710002</v>
      </c>
      <c r="AE52" s="273">
        <f ca="1">Debt!AE68</f>
        <v>198.96182083710002</v>
      </c>
      <c r="AF52" s="273">
        <f ca="1">Debt!AF68</f>
        <v>1659.7393680931268</v>
      </c>
      <c r="AG52" s="273">
        <f ca="1">Debt!AG68</f>
        <v>31.8913758371</v>
      </c>
      <c r="AH52" s="273">
        <f ca="1">Debt!AH68</f>
        <v>998.69880147647189</v>
      </c>
      <c r="AI52" s="273">
        <f ca="1">Debt!AI68</f>
        <v>3206.8305658371</v>
      </c>
      <c r="AJ52" s="273">
        <f ca="1">Debt!AJ68</f>
        <v>31.702270837099999</v>
      </c>
      <c r="AK52" s="273">
        <f ca="1">Debt!AK68</f>
        <v>0</v>
      </c>
      <c r="AL52" s="273">
        <f ca="1">Debt!AL68</f>
        <v>0</v>
      </c>
      <c r="AM52" s="273">
        <f ca="1">Debt!AM68</f>
        <v>0</v>
      </c>
      <c r="AN52" s="266"/>
      <c r="AO52" s="266"/>
    </row>
    <row r="53" spans="3:41" outlineLevel="1">
      <c r="C53" s="266" t="s">
        <v>55</v>
      </c>
      <c r="D53" s="266"/>
      <c r="E53" s="4" t="s">
        <v>13</v>
      </c>
      <c r="F53" s="44">
        <f ca="1">SUM(G53:AM53)</f>
        <v>38388.243146281529</v>
      </c>
      <c r="G53" s="273">
        <f ca="1">Debt!G67</f>
        <v>5387.5155604479987</v>
      </c>
      <c r="H53" s="273">
        <f ca="1">Debt!H67</f>
        <v>736.21790466252253</v>
      </c>
      <c r="I53" s="273">
        <f ca="1">Debt!I67</f>
        <v>871.73934791710019</v>
      </c>
      <c r="J53" s="273">
        <f ca="1">Debt!J67</f>
        <v>198.63212083710005</v>
      </c>
      <c r="K53" s="273">
        <f ca="1">Debt!K67</f>
        <v>381.57602083710003</v>
      </c>
      <c r="L53" s="273">
        <f ca="1">Debt!L67</f>
        <v>6152.7565666852361</v>
      </c>
      <c r="M53" s="273">
        <f ca="1">Debt!M67</f>
        <v>120.79746647647202</v>
      </c>
      <c r="N53" s="273">
        <f ca="1">Debt!N67</f>
        <v>4094.5913058371002</v>
      </c>
      <c r="O53" s="273">
        <f ca="1">Debt!O67</f>
        <v>21.702270837100006</v>
      </c>
      <c r="P53" s="273">
        <f ca="1">Debt!P67</f>
        <v>422.88952083710018</v>
      </c>
      <c r="Q53" s="273">
        <f ca="1">Debt!Q67</f>
        <v>726.4792022592801</v>
      </c>
      <c r="R53" s="273">
        <f ca="1">Debt!R67</f>
        <v>549.90179160218463</v>
      </c>
      <c r="S53" s="273">
        <f ca="1">Debt!S67</f>
        <v>398.96696005310019</v>
      </c>
      <c r="T53" s="273">
        <f ca="1">Debt!T67</f>
        <v>89.404761476472018</v>
      </c>
      <c r="U53" s="273">
        <f ca="1">Debt!U67</f>
        <v>4090.2724258371009</v>
      </c>
      <c r="V53" s="273">
        <f ca="1">Debt!V67</f>
        <v>1324.0162280211268</v>
      </c>
      <c r="W53" s="273">
        <f ca="1">Debt!W67</f>
        <v>391.76512583710007</v>
      </c>
      <c r="X53" s="273">
        <f ca="1">Debt!X67</f>
        <v>175.82490083709999</v>
      </c>
      <c r="Y53" s="273">
        <f ca="1">Debt!Y67</f>
        <v>412.99942083710005</v>
      </c>
      <c r="Z53" s="273">
        <f ca="1">Debt!Z67</f>
        <v>24.663520837100002</v>
      </c>
      <c r="AA53" s="273">
        <f ca="1">Debt!AA67</f>
        <v>635.49419289865182</v>
      </c>
      <c r="AB53" s="273">
        <f ca="1">Debt!AB67</f>
        <v>4305.9440966021857</v>
      </c>
      <c r="AC53" s="273">
        <f ca="1">Debt!AC67</f>
        <v>367.65346005310005</v>
      </c>
      <c r="AD53" s="273">
        <f ca="1">Debt!AD67</f>
        <v>378.61477083710002</v>
      </c>
      <c r="AE53" s="273">
        <f ca="1">Debt!AE67</f>
        <v>198.96182083710002</v>
      </c>
      <c r="AF53" s="273">
        <f ca="1">Debt!AF67</f>
        <v>1659.7393680931268</v>
      </c>
      <c r="AG53" s="273">
        <f ca="1">Debt!AG67</f>
        <v>31.8913758371</v>
      </c>
      <c r="AH53" s="273">
        <f ca="1">Debt!AH67</f>
        <v>998.69880147647189</v>
      </c>
      <c r="AI53" s="273">
        <f ca="1">Debt!AI67</f>
        <v>3206.8305658371</v>
      </c>
      <c r="AJ53" s="273">
        <f ca="1">Debt!AJ67</f>
        <v>31.702270837099999</v>
      </c>
      <c r="AK53" s="273">
        <f ca="1">Debt!AK67</f>
        <v>0</v>
      </c>
      <c r="AL53" s="273">
        <f ca="1">Debt!AL67</f>
        <v>0</v>
      </c>
      <c r="AM53" s="273">
        <f ca="1">Debt!AM67</f>
        <v>0</v>
      </c>
      <c r="AN53" s="266"/>
      <c r="AO53" s="266"/>
    </row>
    <row r="54" spans="3:41" outlineLevel="1">
      <c r="C54" s="266" t="s">
        <v>45</v>
      </c>
      <c r="D54" s="266"/>
      <c r="E54" s="4" t="s">
        <v>13</v>
      </c>
      <c r="F54" s="44">
        <f ca="1">SUM(G54:AM54)</f>
        <v>76776.486292563059</v>
      </c>
      <c r="G54" s="287">
        <f t="shared" ref="G54:AM54" ca="1" si="8">SUM(G52:G53)</f>
        <v>10775.031120895997</v>
      </c>
      <c r="H54" s="287">
        <f t="shared" ca="1" si="8"/>
        <v>1472.4358093250451</v>
      </c>
      <c r="I54" s="287">
        <f t="shared" ca="1" si="8"/>
        <v>1743.4786958342004</v>
      </c>
      <c r="J54" s="287">
        <f t="shared" ca="1" si="8"/>
        <v>397.26424167420009</v>
      </c>
      <c r="K54" s="287">
        <f t="shared" ca="1" si="8"/>
        <v>763.15204167420006</v>
      </c>
      <c r="L54" s="287">
        <f t="shared" ca="1" si="8"/>
        <v>12305.513133370472</v>
      </c>
      <c r="M54" s="287">
        <f t="shared" ca="1" si="8"/>
        <v>241.59493295294405</v>
      </c>
      <c r="N54" s="287">
        <f t="shared" ca="1" si="8"/>
        <v>8189.1826116742004</v>
      </c>
      <c r="O54" s="287">
        <f t="shared" ca="1" si="8"/>
        <v>43.404541674200011</v>
      </c>
      <c r="P54" s="287">
        <f t="shared" ca="1" si="8"/>
        <v>845.77904167420036</v>
      </c>
      <c r="Q54" s="287">
        <f t="shared" ca="1" si="8"/>
        <v>1452.9584045185602</v>
      </c>
      <c r="R54" s="287">
        <f t="shared" ca="1" si="8"/>
        <v>1099.8035832043693</v>
      </c>
      <c r="S54" s="287">
        <f t="shared" ca="1" si="8"/>
        <v>797.93392010620039</v>
      </c>
      <c r="T54" s="287">
        <f t="shared" ca="1" si="8"/>
        <v>178.80952295294404</v>
      </c>
      <c r="U54" s="287">
        <f t="shared" ca="1" si="8"/>
        <v>8180.5448516742017</v>
      </c>
      <c r="V54" s="287">
        <f t="shared" ca="1" si="8"/>
        <v>2648.0324560422537</v>
      </c>
      <c r="W54" s="287">
        <f t="shared" ca="1" si="8"/>
        <v>783.53025167420014</v>
      </c>
      <c r="X54" s="287">
        <f t="shared" ca="1" si="8"/>
        <v>351.64980167419998</v>
      </c>
      <c r="Y54" s="287">
        <f t="shared" ca="1" si="8"/>
        <v>825.99884167420009</v>
      </c>
      <c r="Z54" s="287">
        <f t="shared" ca="1" si="8"/>
        <v>49.327041674200004</v>
      </c>
      <c r="AA54" s="287">
        <f t="shared" ca="1" si="8"/>
        <v>1270.9883857973036</v>
      </c>
      <c r="AB54" s="287">
        <f t="shared" ca="1" si="8"/>
        <v>8611.8881932043714</v>
      </c>
      <c r="AC54" s="287">
        <f t="shared" ca="1" si="8"/>
        <v>735.3069201062001</v>
      </c>
      <c r="AD54" s="287">
        <f t="shared" ca="1" si="8"/>
        <v>757.22954167420005</v>
      </c>
      <c r="AE54" s="287">
        <f t="shared" ca="1" si="8"/>
        <v>397.92364167420004</v>
      </c>
      <c r="AF54" s="287">
        <f t="shared" ca="1" si="8"/>
        <v>3319.4787361862536</v>
      </c>
      <c r="AG54" s="287">
        <f t="shared" ca="1" si="8"/>
        <v>63.7827516742</v>
      </c>
      <c r="AH54" s="287">
        <f t="shared" ca="1" si="8"/>
        <v>1997.3976029529438</v>
      </c>
      <c r="AI54" s="287">
        <f t="shared" ca="1" si="8"/>
        <v>6413.6611316742001</v>
      </c>
      <c r="AJ54" s="287">
        <f t="shared" ca="1" si="8"/>
        <v>63.404541674199997</v>
      </c>
      <c r="AK54" s="287">
        <f t="shared" ca="1" si="8"/>
        <v>0</v>
      </c>
      <c r="AL54" s="287">
        <f t="shared" ca="1" si="8"/>
        <v>0</v>
      </c>
      <c r="AM54" s="287">
        <f t="shared" ca="1" si="8"/>
        <v>0</v>
      </c>
      <c r="AN54" s="266"/>
      <c r="AO54" s="266"/>
    </row>
    <row r="55" spans="3:41" outlineLevel="1">
      <c r="C55" s="266"/>
      <c r="D55" s="266"/>
      <c r="E55" s="266"/>
      <c r="F55" s="273"/>
      <c r="G55" s="273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3"/>
      <c r="AE55" s="273"/>
      <c r="AF55" s="273"/>
      <c r="AG55" s="273"/>
      <c r="AH55" s="273"/>
      <c r="AI55" s="273"/>
      <c r="AJ55" s="273"/>
      <c r="AK55" s="273"/>
      <c r="AL55" s="273"/>
      <c r="AM55" s="273"/>
      <c r="AN55" s="266"/>
      <c r="AO55" s="266"/>
    </row>
    <row r="56" spans="3:41" outlineLevel="1">
      <c r="C56" s="266" t="s">
        <v>56</v>
      </c>
      <c r="D56" s="266"/>
      <c r="E56" s="4" t="s">
        <v>13</v>
      </c>
      <c r="F56" s="44">
        <f ca="1">SUM(G56:AM56)</f>
        <v>178812.4330240018</v>
      </c>
      <c r="G56" s="289">
        <f ca="1">G44+G49+G54</f>
        <v>-552.25075172981815</v>
      </c>
      <c r="H56" s="289">
        <f t="shared" ref="H56:AM56" ca="1" si="9">H44+H49+H54</f>
        <v>-1438.2344314673308</v>
      </c>
      <c r="I56" s="289">
        <f t="shared" ca="1" si="9"/>
        <v>2163.4636619898929</v>
      </c>
      <c r="J56" s="289">
        <f t="shared" ca="1" si="9"/>
        <v>2792.246940915375</v>
      </c>
      <c r="K56" s="289">
        <f t="shared" ca="1" si="9"/>
        <v>3129.5463476944506</v>
      </c>
      <c r="L56" s="289">
        <f t="shared" ca="1" si="9"/>
        <v>4374.9340701730534</v>
      </c>
      <c r="M56" s="289">
        <f t="shared" ca="1" si="9"/>
        <v>3736.6683121036353</v>
      </c>
      <c r="N56" s="289">
        <f t="shared" ca="1" si="9"/>
        <v>5583.4063483443151</v>
      </c>
      <c r="O56" s="289">
        <f t="shared" ca="1" si="9"/>
        <v>5359.8218033955782</v>
      </c>
      <c r="P56" s="289">
        <f t="shared" ca="1" si="9"/>
        <v>5365.0897897189643</v>
      </c>
      <c r="Q56" s="289">
        <f t="shared" ca="1" si="9"/>
        <v>5604.8821219879828</v>
      </c>
      <c r="R56" s="289">
        <f t="shared" ca="1" si="9"/>
        <v>5786.2038685231346</v>
      </c>
      <c r="S56" s="289">
        <f t="shared" ca="1" si="9"/>
        <v>5962.5546296658667</v>
      </c>
      <c r="T56" s="289">
        <f t="shared" ca="1" si="9"/>
        <v>6114.567536060038</v>
      </c>
      <c r="U56" s="289">
        <f t="shared" ca="1" si="9"/>
        <v>6964.9828105329889</v>
      </c>
      <c r="V56" s="289">
        <f t="shared" ca="1" si="9"/>
        <v>6765.9498149913361</v>
      </c>
      <c r="W56" s="289">
        <f t="shared" ca="1" si="9"/>
        <v>6779.2183768107188</v>
      </c>
      <c r="X56" s="289">
        <f t="shared" ca="1" si="9"/>
        <v>6933.07880403124</v>
      </c>
      <c r="Y56" s="289">
        <f t="shared" ca="1" si="9"/>
        <v>6846.8626127211555</v>
      </c>
      <c r="Z56" s="289">
        <f t="shared" ca="1" si="9"/>
        <v>6951.977269001728</v>
      </c>
      <c r="AA56" s="289">
        <f t="shared" ca="1" si="9"/>
        <v>7244.8161750336112</v>
      </c>
      <c r="AB56" s="289">
        <f t="shared" ca="1" si="9"/>
        <v>8060.2744199214658</v>
      </c>
      <c r="AC56" s="289">
        <f t="shared" ca="1" si="9"/>
        <v>7658.3087330867838</v>
      </c>
      <c r="AD56" s="289">
        <f t="shared" ca="1" si="9"/>
        <v>7801.0275062340115</v>
      </c>
      <c r="AE56" s="289">
        <f t="shared" ca="1" si="9"/>
        <v>7968.2871360152822</v>
      </c>
      <c r="AF56" s="289">
        <f t="shared" ca="1" si="9"/>
        <v>8397.7592180404899</v>
      </c>
      <c r="AG56" s="289">
        <f t="shared" ca="1" si="9"/>
        <v>8291.464365382988</v>
      </c>
      <c r="AH56" s="289">
        <f t="shared" ca="1" si="9"/>
        <v>8625.2908374996441</v>
      </c>
      <c r="AI56" s="289">
        <f t="shared" ca="1" si="9"/>
        <v>9199.1963943663523</v>
      </c>
      <c r="AJ56" s="289">
        <f t="shared" ca="1" si="9"/>
        <v>10341.03830295684</v>
      </c>
      <c r="AK56" s="289">
        <f t="shared" ca="1" si="9"/>
        <v>0</v>
      </c>
      <c r="AL56" s="289">
        <f t="shared" ca="1" si="9"/>
        <v>0</v>
      </c>
      <c r="AM56" s="289">
        <f t="shared" ca="1" si="9"/>
        <v>0</v>
      </c>
      <c r="AN56" s="266"/>
      <c r="AO56" s="266"/>
    </row>
    <row r="57" spans="3:41" outlineLevel="1">
      <c r="C57" s="266"/>
      <c r="D57" s="266"/>
      <c r="E57" s="266"/>
      <c r="F57" s="273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3"/>
      <c r="AE57" s="273"/>
      <c r="AF57" s="273"/>
      <c r="AG57" s="273"/>
      <c r="AH57" s="273"/>
      <c r="AI57" s="273"/>
      <c r="AJ57" s="273"/>
      <c r="AK57" s="273"/>
      <c r="AL57" s="273"/>
      <c r="AM57" s="273"/>
      <c r="AN57" s="266"/>
      <c r="AO57" s="266"/>
    </row>
    <row r="58" spans="3:41" outlineLevel="1">
      <c r="C58" s="266" t="s">
        <v>57</v>
      </c>
      <c r="D58" s="266"/>
      <c r="E58" s="4" t="s">
        <v>13</v>
      </c>
      <c r="F58" s="44">
        <f>SUM(G58:AM58)</f>
        <v>13979.1281076</v>
      </c>
      <c r="G58" s="290">
        <f>Ops!G927</f>
        <v>0</v>
      </c>
      <c r="H58" s="290">
        <f>Ops!H927</f>
        <v>0</v>
      </c>
      <c r="I58" s="290">
        <f>Ops!I927</f>
        <v>0</v>
      </c>
      <c r="J58" s="290">
        <f>Ops!J927</f>
        <v>0</v>
      </c>
      <c r="K58" s="290">
        <f>Ops!K927</f>
        <v>0</v>
      </c>
      <c r="L58" s="290">
        <f>Ops!L927</f>
        <v>0</v>
      </c>
      <c r="M58" s="290">
        <f>Ops!M927</f>
        <v>0</v>
      </c>
      <c r="N58" s="290">
        <f>Ops!N927</f>
        <v>3479.9393663999995</v>
      </c>
      <c r="O58" s="290">
        <f>Ops!O927</f>
        <v>0</v>
      </c>
      <c r="P58" s="290">
        <f>Ops!P927</f>
        <v>0</v>
      </c>
      <c r="Q58" s="290">
        <f>Ops!Q927</f>
        <v>0</v>
      </c>
      <c r="R58" s="290">
        <f>Ops!R927</f>
        <v>0</v>
      </c>
      <c r="S58" s="290">
        <f>Ops!S927</f>
        <v>0</v>
      </c>
      <c r="T58" s="290">
        <f>Ops!T927</f>
        <v>0</v>
      </c>
      <c r="U58" s="290">
        <f>Ops!U927</f>
        <v>3466.9488744000005</v>
      </c>
      <c r="V58" s="290">
        <f>Ops!V927</f>
        <v>0</v>
      </c>
      <c r="W58" s="290">
        <f>Ops!W927</f>
        <v>0</v>
      </c>
      <c r="X58" s="290">
        <f>Ops!X927</f>
        <v>0</v>
      </c>
      <c r="Y58" s="290">
        <f>Ops!Y927</f>
        <v>0</v>
      </c>
      <c r="Z58" s="290">
        <f>Ops!Z927</f>
        <v>0</v>
      </c>
      <c r="AA58" s="290">
        <f>Ops!AA927</f>
        <v>0</v>
      </c>
      <c r="AB58" s="290">
        <f>Ops!AB927</f>
        <v>3232.3928652</v>
      </c>
      <c r="AC58" s="290">
        <f>Ops!AC927</f>
        <v>0</v>
      </c>
      <c r="AD58" s="290">
        <f>Ops!AD927</f>
        <v>0</v>
      </c>
      <c r="AE58" s="290">
        <f>Ops!AE927</f>
        <v>0</v>
      </c>
      <c r="AF58" s="290">
        <f>Ops!AF927</f>
        <v>0</v>
      </c>
      <c r="AG58" s="290">
        <f>Ops!AG927</f>
        <v>0</v>
      </c>
      <c r="AH58" s="290">
        <f>Ops!AH927</f>
        <v>0</v>
      </c>
      <c r="AI58" s="290">
        <f>Ops!AI927</f>
        <v>3799.8470015999997</v>
      </c>
      <c r="AJ58" s="290">
        <f>Ops!AJ927</f>
        <v>0</v>
      </c>
      <c r="AK58" s="290">
        <f>Ops!AK927</f>
        <v>0</v>
      </c>
      <c r="AL58" s="290">
        <f>Ops!AL927</f>
        <v>0</v>
      </c>
      <c r="AM58" s="290">
        <f>Ops!AM927</f>
        <v>0</v>
      </c>
      <c r="AN58" s="266"/>
      <c r="AO58" s="266"/>
    </row>
    <row r="59" spans="3:41" outlineLevel="1">
      <c r="C59" s="266"/>
      <c r="D59" s="266"/>
      <c r="E59" s="266"/>
      <c r="F59" s="273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3"/>
      <c r="AE59" s="273"/>
      <c r="AF59" s="273"/>
      <c r="AG59" s="273"/>
      <c r="AH59" s="273"/>
      <c r="AI59" s="273"/>
      <c r="AJ59" s="273"/>
      <c r="AK59" s="273"/>
      <c r="AL59" s="273"/>
      <c r="AM59" s="273"/>
      <c r="AN59" s="266"/>
      <c r="AO59" s="266"/>
    </row>
    <row r="60" spans="3:41" outlineLevel="1">
      <c r="C60" s="266" t="s">
        <v>58</v>
      </c>
      <c r="D60" s="266"/>
      <c r="E60" s="4" t="s">
        <v>13</v>
      </c>
      <c r="F60" s="44">
        <f>SUM(G60:AJ60)</f>
        <v>-36456.504633005454</v>
      </c>
      <c r="G60" s="290">
        <f>-Ops!G985</f>
        <v>0</v>
      </c>
      <c r="H60" s="290">
        <f>-Ops!H985</f>
        <v>0</v>
      </c>
      <c r="I60" s="290">
        <f>-Ops!I985</f>
        <v>-22.884310585685178</v>
      </c>
      <c r="J60" s="290">
        <f>-Ops!J985</f>
        <v>-72.053827437158276</v>
      </c>
      <c r="K60" s="290">
        <f>-Ops!K985</f>
        <v>-139.53091082410057</v>
      </c>
      <c r="L60" s="290">
        <f>-Ops!L985</f>
        <v>-594.61204565118589</v>
      </c>
      <c r="M60" s="290">
        <f>-Ops!M985</f>
        <v>-408.23945179560337</v>
      </c>
      <c r="N60" s="290">
        <f>-Ops!N985</f>
        <v>-513.92216117724206</v>
      </c>
      <c r="O60" s="290">
        <f>-Ops!O985</f>
        <v>-426.02171899146708</v>
      </c>
      <c r="P60" s="290">
        <f>-Ops!P985</f>
        <v>-416.09956507064663</v>
      </c>
      <c r="Q60" s="290">
        <f>-Ops!Q985</f>
        <v>-467.46933695780581</v>
      </c>
      <c r="R60" s="290">
        <f>-Ops!R985</f>
        <v>-515.46962401239261</v>
      </c>
      <c r="S60" s="290">
        <f>-Ops!S985</f>
        <v>-1095.8312275820749</v>
      </c>
      <c r="T60" s="290">
        <f>-Ops!T985</f>
        <v>-1399.9248853106196</v>
      </c>
      <c r="U60" s="290">
        <f>-Ops!U985</f>
        <v>-1193.776093837999</v>
      </c>
      <c r="V60" s="290">
        <f>-Ops!V985</f>
        <v>-1471.2916481386703</v>
      </c>
      <c r="W60" s="290">
        <f>-Ops!W985</f>
        <v>-1467.1656788679866</v>
      </c>
      <c r="X60" s="290">
        <f>-Ops!X985</f>
        <v>-1557.8374085797509</v>
      </c>
      <c r="Y60" s="290">
        <f>-Ops!Y985</f>
        <v>-1494.3787613802472</v>
      </c>
      <c r="Z60" s="290">
        <f>-Ops!Z985</f>
        <v>-2113.4845274971044</v>
      </c>
      <c r="AA60" s="290">
        <f>-Ops!AA985</f>
        <v>-2167.7863889006931</v>
      </c>
      <c r="AB60" s="290">
        <f>-Ops!AB985</f>
        <v>-1934.1278525401046</v>
      </c>
      <c r="AC60" s="290">
        <f>-Ops!AC985</f>
        <v>-1711.9579165700106</v>
      </c>
      <c r="AD60" s="290">
        <f>-Ops!AD985</f>
        <v>-1759.9756661364365</v>
      </c>
      <c r="AE60" s="290">
        <f>-Ops!AE985</f>
        <v>-1805.7709786412724</v>
      </c>
      <c r="AF60" s="290">
        <f>-Ops!AF985</f>
        <v>-1996.2617253262147</v>
      </c>
      <c r="AG60" s="290">
        <f>-Ops!AG985</f>
        <v>-2519.2515572194047</v>
      </c>
      <c r="AH60" s="290">
        <f>-Ops!AH985</f>
        <v>-2574.6114087161445</v>
      </c>
      <c r="AI60" s="290">
        <f>-Ops!AI985</f>
        <v>-2375.431209969569</v>
      </c>
      <c r="AJ60" s="290">
        <f>-Ops!AJ985</f>
        <v>-2241.3367452878674</v>
      </c>
      <c r="AK60" s="290">
        <f>-Ops!AK985</f>
        <v>0</v>
      </c>
      <c r="AL60" s="290">
        <f>-Ops!AL985</f>
        <v>0</v>
      </c>
      <c r="AM60" s="290">
        <f>-Ops!AM985</f>
        <v>0</v>
      </c>
      <c r="AN60" s="266"/>
      <c r="AO60" s="266"/>
    </row>
    <row r="61" spans="3:41">
      <c r="C61" s="266"/>
      <c r="D61" s="266"/>
      <c r="E61" s="266"/>
      <c r="F61" s="273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3"/>
      <c r="AE61" s="273"/>
      <c r="AF61" s="273"/>
      <c r="AG61" s="273"/>
      <c r="AH61" s="273"/>
      <c r="AI61" s="273"/>
      <c r="AJ61" s="273"/>
      <c r="AK61" s="273"/>
      <c r="AL61" s="273"/>
      <c r="AM61" s="273"/>
      <c r="AN61" s="266"/>
      <c r="AO61" s="266"/>
    </row>
    <row r="62" spans="3:41">
      <c r="C62" s="11" t="s">
        <v>59</v>
      </c>
      <c r="D62" s="266"/>
      <c r="E62" s="4" t="s">
        <v>13</v>
      </c>
      <c r="F62" s="44">
        <f ca="1">SUM(G62:AJ62)</f>
        <v>156335.0564985963</v>
      </c>
      <c r="G62" s="289">
        <f t="shared" ref="G62:AM62" ca="1" si="10">G56+G60+G58</f>
        <v>-552.25075172981815</v>
      </c>
      <c r="H62" s="289">
        <f t="shared" ca="1" si="10"/>
        <v>-1438.2344314673308</v>
      </c>
      <c r="I62" s="289">
        <f t="shared" ca="1" si="10"/>
        <v>2140.5793514042075</v>
      </c>
      <c r="J62" s="289">
        <f t="shared" ca="1" si="10"/>
        <v>2720.1931134782167</v>
      </c>
      <c r="K62" s="289">
        <f t="shared" ca="1" si="10"/>
        <v>2990.0154368703502</v>
      </c>
      <c r="L62" s="289">
        <f t="shared" ca="1" si="10"/>
        <v>3780.3220245218677</v>
      </c>
      <c r="M62" s="289">
        <f t="shared" ca="1" si="10"/>
        <v>3328.4288603080322</v>
      </c>
      <c r="N62" s="289">
        <f t="shared" ca="1" si="10"/>
        <v>8549.4235535670723</v>
      </c>
      <c r="O62" s="289">
        <f t="shared" ca="1" si="10"/>
        <v>4933.8000844041107</v>
      </c>
      <c r="P62" s="289">
        <f t="shared" ca="1" si="10"/>
        <v>4948.990224648318</v>
      </c>
      <c r="Q62" s="289">
        <f t="shared" ca="1" si="10"/>
        <v>5137.4127850301775</v>
      </c>
      <c r="R62" s="289">
        <f t="shared" ca="1" si="10"/>
        <v>5270.7342445107424</v>
      </c>
      <c r="S62" s="289">
        <f t="shared" ca="1" si="10"/>
        <v>4866.7234020837914</v>
      </c>
      <c r="T62" s="289">
        <f t="shared" ca="1" si="10"/>
        <v>4714.642650749418</v>
      </c>
      <c r="U62" s="289">
        <f t="shared" ca="1" si="10"/>
        <v>9238.1555910949901</v>
      </c>
      <c r="V62" s="289">
        <f t="shared" ca="1" si="10"/>
        <v>5294.658166852666</v>
      </c>
      <c r="W62" s="289">
        <f t="shared" ca="1" si="10"/>
        <v>5312.0526979427323</v>
      </c>
      <c r="X62" s="289">
        <f t="shared" ca="1" si="10"/>
        <v>5375.2413954514886</v>
      </c>
      <c r="Y62" s="289">
        <f t="shared" ca="1" si="10"/>
        <v>5352.4838513409086</v>
      </c>
      <c r="Z62" s="289">
        <f t="shared" ca="1" si="10"/>
        <v>4838.4927415046241</v>
      </c>
      <c r="AA62" s="289">
        <f t="shared" ca="1" si="10"/>
        <v>5077.0297861329182</v>
      </c>
      <c r="AB62" s="289">
        <f t="shared" ca="1" si="10"/>
        <v>9358.5394325813613</v>
      </c>
      <c r="AC62" s="289">
        <f t="shared" ca="1" si="10"/>
        <v>5946.3508165167732</v>
      </c>
      <c r="AD62" s="289">
        <f t="shared" ca="1" si="10"/>
        <v>6041.0518400975752</v>
      </c>
      <c r="AE62" s="289">
        <f t="shared" ca="1" si="10"/>
        <v>6162.5161573740097</v>
      </c>
      <c r="AF62" s="289">
        <f t="shared" ca="1" si="10"/>
        <v>6401.4974927142757</v>
      </c>
      <c r="AG62" s="289">
        <f t="shared" ca="1" si="10"/>
        <v>5772.2128081635838</v>
      </c>
      <c r="AH62" s="289">
        <f t="shared" ca="1" si="10"/>
        <v>6050.6794287835</v>
      </c>
      <c r="AI62" s="289">
        <f t="shared" ca="1" si="10"/>
        <v>10623.612185996783</v>
      </c>
      <c r="AJ62" s="289">
        <f t="shared" ca="1" si="10"/>
        <v>8099.7015576689728</v>
      </c>
      <c r="AK62" s="289">
        <f t="shared" ca="1" si="10"/>
        <v>0</v>
      </c>
      <c r="AL62" s="289">
        <f t="shared" ca="1" si="10"/>
        <v>0</v>
      </c>
      <c r="AM62" s="289">
        <f t="shared" ca="1" si="10"/>
        <v>0</v>
      </c>
      <c r="AN62" s="266"/>
      <c r="AO62" s="266"/>
    </row>
    <row r="63" spans="3:41" outlineLevel="1">
      <c r="C63"/>
      <c r="D63" s="266"/>
      <c r="E63" s="266"/>
      <c r="F63" s="266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3"/>
      <c r="AE63" s="273"/>
      <c r="AF63" s="273"/>
      <c r="AG63" s="273"/>
      <c r="AH63" s="273"/>
      <c r="AI63" s="273"/>
      <c r="AJ63" s="273"/>
      <c r="AK63" s="273"/>
      <c r="AL63" s="273"/>
      <c r="AM63" s="273"/>
      <c r="AN63" s="266"/>
      <c r="AO63" s="266"/>
    </row>
    <row r="64" spans="3:41" outlineLevel="1">
      <c r="C64" s="5" t="s">
        <v>55</v>
      </c>
      <c r="D64" s="266"/>
      <c r="E64" s="266"/>
      <c r="F64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3"/>
      <c r="AE64" s="273"/>
      <c r="AF64" s="273"/>
      <c r="AG64" s="273"/>
      <c r="AH64" s="273"/>
      <c r="AI64" s="273"/>
      <c r="AJ64" s="273"/>
      <c r="AK64" s="273"/>
      <c r="AL64" s="273"/>
      <c r="AM64" s="273"/>
      <c r="AN64" s="266"/>
      <c r="AO64" s="266"/>
    </row>
    <row r="65" spans="3:39" outlineLevel="1">
      <c r="C65" s="57" t="s">
        <v>60</v>
      </c>
      <c r="D65" s="266"/>
      <c r="E65" s="4" t="s">
        <v>13</v>
      </c>
      <c r="F65" s="44">
        <f ca="1">SUM(G65:AM65)</f>
        <v>-21660.671032363389</v>
      </c>
      <c r="G65" s="273">
        <f ca="1">-Debt!G276</f>
        <v>-592.62671164927997</v>
      </c>
      <c r="H65" s="273">
        <f ca="1">-Debt!H276</f>
        <v>-673.61068116215745</v>
      </c>
      <c r="I65" s="273">
        <f ca="1">-Debt!I276</f>
        <v>-769.50200943303844</v>
      </c>
      <c r="J65" s="273">
        <f ca="1">-Debt!J276</f>
        <v>-736.38711347990238</v>
      </c>
      <c r="K65" s="273">
        <f ca="1">-Debt!K276</f>
        <v>-721.7153131966063</v>
      </c>
      <c r="L65" s="273">
        <f ca="1">-Debt!L276</f>
        <v>-1338.3755927655984</v>
      </c>
      <c r="M65" s="273">
        <f ca="1">-Debt!M276</f>
        <v>-1229.9928056447741</v>
      </c>
      <c r="N65" s="273">
        <f ca="1">-Debt!N276</f>
        <v>-1557.3985687223778</v>
      </c>
      <c r="O65" s="273">
        <f ca="1">-Debt!O276</f>
        <v>-1386.7415331008615</v>
      </c>
      <c r="P65" s="273">
        <f ca="1">-Debt!P276</f>
        <v>-1259.9166887553345</v>
      </c>
      <c r="Q65" s="273">
        <f ca="1">-Debt!Q276</f>
        <v>-1159.8413026102362</v>
      </c>
      <c r="R65" s="273">
        <f ca="1">-Debt!R276</f>
        <v>-1027.0236159181038</v>
      </c>
      <c r="S65" s="273">
        <f ca="1">-Debt!S276</f>
        <v>-865.50525834032408</v>
      </c>
      <c r="T65" s="273">
        <f ca="1">-Debt!T276</f>
        <v>-658.96346751765498</v>
      </c>
      <c r="U65" s="273">
        <f ca="1">-Debt!U276</f>
        <v>-889.23894518718441</v>
      </c>
      <c r="V65" s="273">
        <f ca="1">-Debt!V276</f>
        <v>-444.61947259359221</v>
      </c>
      <c r="W65" s="273">
        <f ca="1">-Debt!W276</f>
        <v>-188.73594892440497</v>
      </c>
      <c r="X65" s="273">
        <f ca="1">-Debt!X276</f>
        <v>-194.5955488075999</v>
      </c>
      <c r="Y65" s="273">
        <f ca="1">-Debt!Y276</f>
        <v>-225.05659672986553</v>
      </c>
      <c r="Z65" s="273">
        <f ca="1">-Debt!Z276</f>
        <v>-209.01486762779103</v>
      </c>
      <c r="AA65" s="273">
        <f ca="1">-Debt!AA276</f>
        <v>-259.91787724411626</v>
      </c>
      <c r="AB65" s="273">
        <f ca="1">-Debt!AB276</f>
        <v>-707.5799401459451</v>
      </c>
      <c r="AC65" s="273">
        <f ca="1">-Debt!AC276</f>
        <v>-669.40182740223668</v>
      </c>
      <c r="AD65" s="273">
        <f ca="1">-Debt!AD276</f>
        <v>-627.37422376903817</v>
      </c>
      <c r="AE65" s="273">
        <f ca="1">-Debt!AE276</f>
        <v>-559.63513495125665</v>
      </c>
      <c r="AF65" s="273">
        <f ca="1">-Debt!AF276</f>
        <v>-648.93394294962457</v>
      </c>
      <c r="AG65" s="273">
        <f ca="1">-Debt!AG276</f>
        <v>-522.65520570178057</v>
      </c>
      <c r="AH65" s="273">
        <f ca="1">-Debt!AH276</f>
        <v>-501.84827243874736</v>
      </c>
      <c r="AI65" s="273">
        <f ca="1">-Debt!AI276</f>
        <v>-687.31687720124592</v>
      </c>
      <c r="AJ65" s="273">
        <f ca="1">-Debt!AJ276</f>
        <v>-347.14568839270396</v>
      </c>
      <c r="AK65" s="273">
        <f ca="1">-Debt!AK276</f>
        <v>0</v>
      </c>
      <c r="AL65" s="273">
        <f ca="1">-Debt!AL276</f>
        <v>0</v>
      </c>
      <c r="AM65" s="273">
        <f ca="1">-Debt!AM276</f>
        <v>0</v>
      </c>
    </row>
    <row r="66" spans="3:39" outlineLevel="1">
      <c r="C66" s="266" t="s">
        <v>61</v>
      </c>
      <c r="D66" s="266"/>
      <c r="E66" s="4" t="s">
        <v>13</v>
      </c>
      <c r="F66" s="44">
        <f ca="1">SUM(G66:AM66)</f>
        <v>-38388.243146281522</v>
      </c>
      <c r="G66" s="272">
        <f>-Debt!G277</f>
        <v>0</v>
      </c>
      <c r="H66" s="272">
        <f>-Debt!H277</f>
        <v>0</v>
      </c>
      <c r="I66" s="272">
        <f ca="1">-Debt!I277</f>
        <v>-499.67662950197297</v>
      </c>
      <c r="J66" s="272">
        <f ca="1">-Debt!J277</f>
        <v>-514.95602341251913</v>
      </c>
      <c r="K66" s="272">
        <f ca="1">-Debt!K277</f>
        <v>-546.75402514894415</v>
      </c>
      <c r="L66" s="272">
        <f ca="1">-Debt!L277</f>
        <v>-1106.0955312112383</v>
      </c>
      <c r="M66" s="272">
        <f ca="1">-Debt!M277</f>
        <v>-1118.1752778588855</v>
      </c>
      <c r="N66" s="272">
        <f ca="1">-Debt!N277</f>
        <v>-1573.1298673963411</v>
      </c>
      <c r="O66" s="272">
        <f ca="1">-Debt!O277</f>
        <v>-1575.8426512509786</v>
      </c>
      <c r="P66" s="272">
        <f ca="1">-Debt!P277</f>
        <v>-1636.2554399419928</v>
      </c>
      <c r="Q66" s="272">
        <f ca="1">-Debt!Q277</f>
        <v>-1757.3353069852062</v>
      </c>
      <c r="R66" s="272">
        <f ca="1">-Debt!R277</f>
        <v>-1867.3156653056431</v>
      </c>
      <c r="S66" s="272">
        <f ca="1">-Debt!S277</f>
        <v>-1967.0574053189182</v>
      </c>
      <c r="T66" s="272">
        <f ca="1">-Debt!T277</f>
        <v>-1996.8589924777423</v>
      </c>
      <c r="U66" s="272">
        <f ca="1">-Debt!U277</f>
        <v>-4041.9952053962925</v>
      </c>
      <c r="V66" s="272">
        <f ca="1">-Debt!V277</f>
        <v>-4041.9952053962925</v>
      </c>
      <c r="W66" s="272">
        <f ca="1">-Debt!W277</f>
        <v>-122.55581098987334</v>
      </c>
      <c r="X66" s="272">
        <f ca="1">-Debt!X277</f>
        <v>-136.08080336195795</v>
      </c>
      <c r="Y66" s="272">
        <f ca="1">-Debt!Y277</f>
        <v>-170.49742176504961</v>
      </c>
      <c r="Z66" s="272">
        <f ca="1">-Debt!Z277</f>
        <v>-172.73956002296779</v>
      </c>
      <c r="AA66" s="272">
        <f ca="1">-Debt!AA277</f>
        <v>-236.28897931283296</v>
      </c>
      <c r="AB66" s="272">
        <f ca="1">-Debt!AB277</f>
        <v>-714.72721226863132</v>
      </c>
      <c r="AC66" s="272">
        <f ca="1">-Debt!AC277</f>
        <v>-760.68389477526887</v>
      </c>
      <c r="AD66" s="272">
        <f ca="1">-Debt!AD277</f>
        <v>-814.77171918056888</v>
      </c>
      <c r="AE66" s="272">
        <f ca="1">-Debt!AE277</f>
        <v>-847.93202265341904</v>
      </c>
      <c r="AF66" s="272">
        <f ca="1">-Debt!AF277</f>
        <v>-1179.8798962720443</v>
      </c>
      <c r="AG66" s="272">
        <f ca="1">-Debt!AG277</f>
        <v>-1187.8527402313193</v>
      </c>
      <c r="AH66" s="272">
        <f ca="1">-Debt!AH277</f>
        <v>-1520.7523407234767</v>
      </c>
      <c r="AI66" s="272">
        <f ca="1">-Debt!AI277</f>
        <v>-3124.1676236420267</v>
      </c>
      <c r="AJ66" s="272">
        <f ca="1">-Debt!AJ277</f>
        <v>-3155.8698944791267</v>
      </c>
      <c r="AK66" s="272">
        <f>-Debt!AK277</f>
        <v>0</v>
      </c>
      <c r="AL66" s="272">
        <f>-Debt!AL277</f>
        <v>0</v>
      </c>
      <c r="AM66" s="272">
        <f>-Debt!AM277</f>
        <v>0</v>
      </c>
    </row>
    <row r="67" spans="3:39" outlineLevel="1">
      <c r="C67" s="266" t="s">
        <v>62</v>
      </c>
      <c r="D67" s="266"/>
      <c r="E67" s="4" t="s">
        <v>13</v>
      </c>
      <c r="F67" s="44">
        <f ca="1">SUM(G67:AM67)</f>
        <v>-60048.914178644933</v>
      </c>
      <c r="G67" s="287">
        <f t="shared" ref="G67:AL67" ca="1" si="11">SUM(G65:G66)</f>
        <v>-592.62671164927997</v>
      </c>
      <c r="H67" s="287">
        <f t="shared" ca="1" si="11"/>
        <v>-673.61068116215745</v>
      </c>
      <c r="I67" s="287">
        <f t="shared" ca="1" si="11"/>
        <v>-1269.1786389350113</v>
      </c>
      <c r="J67" s="287">
        <f t="shared" ca="1" si="11"/>
        <v>-1251.3431368924216</v>
      </c>
      <c r="K67" s="287">
        <f t="shared" ca="1" si="11"/>
        <v>-1268.4693383455506</v>
      </c>
      <c r="L67" s="287">
        <f t="shared" ca="1" si="11"/>
        <v>-2444.4711239768367</v>
      </c>
      <c r="M67" s="287">
        <f t="shared" ca="1" si="11"/>
        <v>-2348.1680835036595</v>
      </c>
      <c r="N67" s="287">
        <f t="shared" ca="1" si="11"/>
        <v>-3130.5284361187187</v>
      </c>
      <c r="O67" s="287">
        <f t="shared" ca="1" si="11"/>
        <v>-2962.5841843518401</v>
      </c>
      <c r="P67" s="287">
        <f t="shared" ca="1" si="11"/>
        <v>-2896.172128697327</v>
      </c>
      <c r="Q67" s="287">
        <f t="shared" ca="1" si="11"/>
        <v>-2917.1766095954426</v>
      </c>
      <c r="R67" s="287">
        <f t="shared" ca="1" si="11"/>
        <v>-2894.3392812237471</v>
      </c>
      <c r="S67" s="287">
        <f t="shared" ca="1" si="11"/>
        <v>-2832.5626636592424</v>
      </c>
      <c r="T67" s="287">
        <f t="shared" ca="1" si="11"/>
        <v>-2655.8224599953974</v>
      </c>
      <c r="U67" s="287">
        <f t="shared" ca="1" si="11"/>
        <v>-4931.2341505834765</v>
      </c>
      <c r="V67" s="287">
        <f t="shared" ca="1" si="11"/>
        <v>-4486.6146779898845</v>
      </c>
      <c r="W67" s="287">
        <f t="shared" ca="1" si="11"/>
        <v>-311.29175991427832</v>
      </c>
      <c r="X67" s="287">
        <f t="shared" ca="1" si="11"/>
        <v>-330.67635216955784</v>
      </c>
      <c r="Y67" s="287">
        <f t="shared" ca="1" si="11"/>
        <v>-395.55401849491511</v>
      </c>
      <c r="Z67" s="287">
        <f t="shared" ca="1" si="11"/>
        <v>-381.75442765075883</v>
      </c>
      <c r="AA67" s="287">
        <f t="shared" ca="1" si="11"/>
        <v>-496.20685655694922</v>
      </c>
      <c r="AB67" s="287">
        <f t="shared" ca="1" si="11"/>
        <v>-1422.3071524145764</v>
      </c>
      <c r="AC67" s="287">
        <f t="shared" ca="1" si="11"/>
        <v>-1430.0857221775054</v>
      </c>
      <c r="AD67" s="287">
        <f t="shared" ca="1" si="11"/>
        <v>-1442.1459429496072</v>
      </c>
      <c r="AE67" s="287">
        <f t="shared" ca="1" si="11"/>
        <v>-1407.5671576046757</v>
      </c>
      <c r="AF67" s="287">
        <f t="shared" ca="1" si="11"/>
        <v>-1828.8138392216688</v>
      </c>
      <c r="AG67" s="287">
        <f t="shared" ca="1" si="11"/>
        <v>-1710.5079459331</v>
      </c>
      <c r="AH67" s="287">
        <f t="shared" ca="1" si="11"/>
        <v>-2022.6006131622239</v>
      </c>
      <c r="AI67" s="287">
        <f t="shared" ca="1" si="11"/>
        <v>-3811.4845008432726</v>
      </c>
      <c r="AJ67" s="287">
        <f t="shared" ca="1" si="11"/>
        <v>-3503.0155828718307</v>
      </c>
      <c r="AK67" s="287">
        <f t="shared" ca="1" si="11"/>
        <v>0</v>
      </c>
      <c r="AL67" s="287">
        <f t="shared" ca="1" si="11"/>
        <v>0</v>
      </c>
      <c r="AM67" s="287">
        <f t="shared" ref="AM67" ca="1" si="12">SUM(AM65:AM66)</f>
        <v>0</v>
      </c>
    </row>
    <row r="68" spans="3:39">
      <c r="C68" s="266"/>
      <c r="D68" s="266"/>
      <c r="E68" s="266"/>
      <c r="F68" s="273"/>
      <c r="G68" s="273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3"/>
      <c r="S68" s="273"/>
      <c r="T68" s="273"/>
      <c r="U68" s="273"/>
      <c r="V68" s="273"/>
      <c r="W68" s="273"/>
      <c r="X68" s="273"/>
      <c r="Y68" s="273"/>
      <c r="Z68" s="273"/>
      <c r="AA68" s="273"/>
      <c r="AB68" s="273"/>
      <c r="AC68" s="273"/>
      <c r="AD68" s="273"/>
      <c r="AE68" s="273"/>
      <c r="AF68" s="273"/>
      <c r="AG68" s="273"/>
      <c r="AH68" s="273"/>
      <c r="AI68" s="273"/>
      <c r="AJ68" s="273"/>
      <c r="AK68" s="273"/>
      <c r="AL68" s="273"/>
      <c r="AM68" s="273"/>
    </row>
    <row r="69" spans="3:39">
      <c r="C69" s="11" t="s">
        <v>63</v>
      </c>
      <c r="D69" s="266"/>
      <c r="E69" s="4" t="s">
        <v>13</v>
      </c>
      <c r="F69" s="44">
        <f ca="1">SUM(G69:AJ69)</f>
        <v>96286.14231995141</v>
      </c>
      <c r="G69" s="289">
        <f t="shared" ref="G69:AM69" ca="1" si="13">G62+G67</f>
        <v>-1144.8774633790981</v>
      </c>
      <c r="H69" s="289">
        <f t="shared" ca="1" si="13"/>
        <v>-2111.8451126294881</v>
      </c>
      <c r="I69" s="289">
        <f t="shared" ca="1" si="13"/>
        <v>871.40071246919615</v>
      </c>
      <c r="J69" s="289">
        <f t="shared" ca="1" si="13"/>
        <v>1468.849976585795</v>
      </c>
      <c r="K69" s="289">
        <f t="shared" ca="1" si="13"/>
        <v>1721.5460985247996</v>
      </c>
      <c r="L69" s="289">
        <f t="shared" ca="1" si="13"/>
        <v>1335.850900545031</v>
      </c>
      <c r="M69" s="289">
        <f t="shared" ca="1" si="13"/>
        <v>980.26077680437265</v>
      </c>
      <c r="N69" s="289">
        <f t="shared" ca="1" si="13"/>
        <v>5418.8951174483536</v>
      </c>
      <c r="O69" s="289">
        <f t="shared" ca="1" si="13"/>
        <v>1971.2159000522706</v>
      </c>
      <c r="P69" s="289">
        <f t="shared" ca="1" si="13"/>
        <v>2052.8180959509909</v>
      </c>
      <c r="Q69" s="289">
        <f t="shared" ca="1" si="13"/>
        <v>2220.2361754347348</v>
      </c>
      <c r="R69" s="289">
        <f t="shared" ca="1" si="13"/>
        <v>2376.3949632869953</v>
      </c>
      <c r="S69" s="289">
        <f t="shared" ca="1" si="13"/>
        <v>2034.160738424549</v>
      </c>
      <c r="T69" s="289">
        <f t="shared" ca="1" si="13"/>
        <v>2058.8201907540206</v>
      </c>
      <c r="U69" s="289">
        <f t="shared" ca="1" si="13"/>
        <v>4306.9214405115135</v>
      </c>
      <c r="V69" s="289">
        <f t="shared" ca="1" si="13"/>
        <v>808.04348886278149</v>
      </c>
      <c r="W69" s="289">
        <f t="shared" ca="1" si="13"/>
        <v>5000.7609380284539</v>
      </c>
      <c r="X69" s="289">
        <f t="shared" ca="1" si="13"/>
        <v>5044.5650432819311</v>
      </c>
      <c r="Y69" s="289">
        <f t="shared" ca="1" si="13"/>
        <v>4956.9298328459936</v>
      </c>
      <c r="Z69" s="289">
        <f t="shared" ca="1" si="13"/>
        <v>4456.7383138538653</v>
      </c>
      <c r="AA69" s="289">
        <f t="shared" ca="1" si="13"/>
        <v>4580.8229295759693</v>
      </c>
      <c r="AB69" s="289">
        <f t="shared" ca="1" si="13"/>
        <v>7936.2322801667851</v>
      </c>
      <c r="AC69" s="289">
        <f t="shared" ca="1" si="13"/>
        <v>4516.2650943392673</v>
      </c>
      <c r="AD69" s="289">
        <f t="shared" ca="1" si="13"/>
        <v>4598.9058971479681</v>
      </c>
      <c r="AE69" s="289">
        <f t="shared" ca="1" si="13"/>
        <v>4754.9489997693345</v>
      </c>
      <c r="AF69" s="289">
        <f t="shared" ca="1" si="13"/>
        <v>4572.6836534926069</v>
      </c>
      <c r="AG69" s="289">
        <f t="shared" ca="1" si="13"/>
        <v>4061.7048622304837</v>
      </c>
      <c r="AH69" s="289">
        <f t="shared" ca="1" si="13"/>
        <v>4028.0788156212761</v>
      </c>
      <c r="AI69" s="289">
        <f t="shared" ca="1" si="13"/>
        <v>6812.1276851535094</v>
      </c>
      <c r="AJ69" s="289">
        <f t="shared" ca="1" si="13"/>
        <v>4596.6859747971421</v>
      </c>
      <c r="AK69" s="289">
        <f ca="1">AK62+AK67</f>
        <v>0</v>
      </c>
      <c r="AL69" s="289">
        <f t="shared" ca="1" si="13"/>
        <v>0</v>
      </c>
      <c r="AM69" s="289">
        <f t="shared" ca="1" si="13"/>
        <v>0</v>
      </c>
    </row>
    <row r="70" spans="3:39" outlineLevel="1">
      <c r="C70" s="266"/>
      <c r="D70" s="266"/>
      <c r="E70" s="266"/>
      <c r="F70" s="273"/>
      <c r="G70" s="273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3"/>
      <c r="S70" s="273"/>
      <c r="T70" s="273"/>
      <c r="U70" s="273"/>
      <c r="V70" s="273"/>
      <c r="W70" s="273"/>
      <c r="X70" s="273"/>
      <c r="Y70" s="273"/>
      <c r="Z70" s="273"/>
      <c r="AA70" s="273"/>
      <c r="AB70" s="273"/>
      <c r="AC70" s="273"/>
      <c r="AD70" s="273"/>
      <c r="AE70" s="273"/>
      <c r="AF70" s="273"/>
      <c r="AG70" s="273"/>
      <c r="AH70" s="273"/>
      <c r="AI70" s="273"/>
      <c r="AJ70" s="273"/>
      <c r="AK70" s="273"/>
      <c r="AL70" s="273"/>
      <c r="AM70" s="273"/>
    </row>
    <row r="71" spans="3:39" outlineLevel="1">
      <c r="C71" s="5" t="s">
        <v>64</v>
      </c>
      <c r="D71" s="266"/>
      <c r="E71" s="266"/>
      <c r="F71" s="273"/>
      <c r="G71" s="273"/>
      <c r="H71" s="273"/>
      <c r="I71" s="273"/>
      <c r="J71" s="273"/>
      <c r="K71" s="273"/>
      <c r="L71" s="273"/>
      <c r="M71" s="273"/>
      <c r="N71" s="273"/>
      <c r="O71" s="273"/>
      <c r="P71" s="273"/>
      <c r="Q71" s="273"/>
      <c r="R71" s="273"/>
      <c r="S71" s="273"/>
      <c r="T71" s="273"/>
      <c r="U71" s="273"/>
      <c r="V71" s="273"/>
      <c r="W71" s="273"/>
      <c r="X71" s="273"/>
      <c r="Y71" s="273"/>
      <c r="Z71" s="273"/>
      <c r="AA71" s="273"/>
      <c r="AB71" s="273"/>
      <c r="AC71" s="273"/>
      <c r="AD71" s="273"/>
      <c r="AE71" s="273"/>
      <c r="AF71" s="273"/>
      <c r="AG71" s="273"/>
      <c r="AH71" s="273"/>
      <c r="AI71" s="273"/>
      <c r="AJ71" s="273"/>
      <c r="AK71" s="273"/>
      <c r="AL71" s="273"/>
      <c r="AM71" s="273"/>
    </row>
    <row r="72" spans="3:39" outlineLevel="1">
      <c r="C72" s="266" t="s">
        <v>65</v>
      </c>
      <c r="D72" s="266"/>
      <c r="E72" s="4" t="s">
        <v>13</v>
      </c>
      <c r="F72" s="44">
        <f ca="1">SUM(G72:AJ72)</f>
        <v>-3069.3200535091109</v>
      </c>
      <c r="G72" s="273">
        <f ca="1">-Debt!G293</f>
        <v>0</v>
      </c>
      <c r="H72" s="273">
        <f ca="1">-Debt!H293</f>
        <v>-423.05954631167043</v>
      </c>
      <c r="I72" s="273">
        <f ca="1">-Debt!I293</f>
        <v>0</v>
      </c>
      <c r="J72" s="273">
        <f ca="1">-Debt!J293</f>
        <v>-5.7087338177096285</v>
      </c>
      <c r="K72" s="273">
        <f ca="1">-Debt!K293</f>
        <v>-392.00059521042868</v>
      </c>
      <c r="L72" s="273">
        <f ca="1">-Debt!L293</f>
        <v>0</v>
      </c>
      <c r="M72" s="273">
        <f ca="1">-Debt!M293</f>
        <v>-260.78678420501979</v>
      </c>
      <c r="N72" s="273">
        <f ca="1">-Debt!N293</f>
        <v>0</v>
      </c>
      <c r="O72" s="273">
        <f ca="1">-Debt!O293</f>
        <v>0</v>
      </c>
      <c r="P72" s="273">
        <f ca="1">-Debt!P293</f>
        <v>-7.0014936327052055</v>
      </c>
      <c r="Q72" s="273">
        <f ca="1">-Debt!Q293</f>
        <v>0</v>
      </c>
      <c r="R72" s="273">
        <f ca="1">-Debt!R293</f>
        <v>0</v>
      </c>
      <c r="S72" s="273">
        <f ca="1">-Debt!S293</f>
        <v>0</v>
      </c>
      <c r="T72" s="273">
        <f ca="1">-Debt!T293</f>
        <v>-758.47056352935977</v>
      </c>
      <c r="U72" s="273">
        <f ca="1">-Debt!U293</f>
        <v>0</v>
      </c>
      <c r="V72" s="273">
        <f ca="1">-Debt!V293</f>
        <v>0</v>
      </c>
      <c r="W72" s="273">
        <f ca="1">-Debt!W293</f>
        <v>-6.461530751759895</v>
      </c>
      <c r="X72" s="273">
        <f ca="1">-Debt!X293</f>
        <v>-21.625888775119094</v>
      </c>
      <c r="Y72" s="273">
        <f ca="1">-Debt!Y293</f>
        <v>0</v>
      </c>
      <c r="Z72" s="273">
        <f ca="1">-Debt!Z293</f>
        <v>-38.150809635396783</v>
      </c>
      <c r="AA72" s="273">
        <f ca="1">-Debt!AA293</f>
        <v>-308.70009861920903</v>
      </c>
      <c r="AB72" s="273">
        <f ca="1">-Debt!AB293</f>
        <v>-2.592856587643098</v>
      </c>
      <c r="AC72" s="273">
        <f ca="1">-Debt!AC293</f>
        <v>-4.0200735907005765</v>
      </c>
      <c r="AD72" s="273">
        <f ca="1">-Debt!AD293</f>
        <v>0</v>
      </c>
      <c r="AE72" s="273">
        <f ca="1">-Debt!AE293</f>
        <v>-140.41556053899768</v>
      </c>
      <c r="AF72" s="273">
        <f ca="1">-Debt!AF293</f>
        <v>0</v>
      </c>
      <c r="AG72" s="273">
        <f ca="1">-Debt!AG293</f>
        <v>-104.03088907637471</v>
      </c>
      <c r="AH72" s="273">
        <f ca="1">-Debt!AH293</f>
        <v>-596.29462922701612</v>
      </c>
      <c r="AI72" s="273">
        <f ca="1">-Debt!AI293</f>
        <v>0</v>
      </c>
      <c r="AJ72" s="273">
        <f ca="1">-Debt!AJ293</f>
        <v>0</v>
      </c>
      <c r="AK72" s="273">
        <f ca="1">-Debt!AK293</f>
        <v>0</v>
      </c>
      <c r="AL72" s="273">
        <f ca="1">-Debt!AL293</f>
        <v>0</v>
      </c>
      <c r="AM72" s="273">
        <f ca="1">-Debt!AM293</f>
        <v>0</v>
      </c>
    </row>
    <row r="73" spans="3:39" outlineLevel="1">
      <c r="C73" s="266" t="s">
        <v>66</v>
      </c>
      <c r="D73" s="266"/>
      <c r="E73" s="4" t="s">
        <v>13</v>
      </c>
      <c r="F73" s="44">
        <f ca="1">SUM(G73:AJ73)</f>
        <v>3069.32005350911</v>
      </c>
      <c r="G73" s="273">
        <f ca="1">-Debt!G294</f>
        <v>0</v>
      </c>
      <c r="H73" s="273">
        <f ca="1">-Debt!H294</f>
        <v>0</v>
      </c>
      <c r="I73" s="273">
        <f ca="1">-Debt!I294</f>
        <v>5.945167347529889</v>
      </c>
      <c r="J73" s="273">
        <f ca="1">-Debt!J294</f>
        <v>0</v>
      </c>
      <c r="K73" s="273">
        <f ca="1">-Debt!K294</f>
        <v>0</v>
      </c>
      <c r="L73" s="273">
        <f ca="1">-Debt!L294</f>
        <v>32.101013491059007</v>
      </c>
      <c r="M73" s="273">
        <f ca="1">-Debt!M294</f>
        <v>0</v>
      </c>
      <c r="N73" s="273">
        <f ca="1">-Debt!N294</f>
        <v>55.981417255626297</v>
      </c>
      <c r="O73" s="273">
        <f ca="1">-Debt!O294</f>
        <v>22.137351884837699</v>
      </c>
      <c r="P73" s="273">
        <f ca="1">-Debt!P294</f>
        <v>0</v>
      </c>
      <c r="Q73" s="273">
        <f ca="1">-Debt!Q294</f>
        <v>7.6124427905651828</v>
      </c>
      <c r="R73" s="273">
        <f ca="1">-Debt!R294</f>
        <v>20.592205854834901</v>
      </c>
      <c r="S73" s="273">
        <f ca="1">-Debt!S294</f>
        <v>58.913401221281674</v>
      </c>
      <c r="T73" s="273">
        <f ca="1">-Debt!T294</f>
        <v>0</v>
      </c>
      <c r="U73" s="273">
        <f ca="1">-Debt!U294</f>
        <v>148.20649086453068</v>
      </c>
      <c r="V73" s="273">
        <f ca="1">-Debt!V294</f>
        <v>1391.7743060252021</v>
      </c>
      <c r="W73" s="273">
        <f ca="1">-Debt!W294</f>
        <v>0</v>
      </c>
      <c r="X73" s="273">
        <f ca="1">-Debt!X294</f>
        <v>0</v>
      </c>
      <c r="Y73" s="273">
        <f ca="1">-Debt!Y294</f>
        <v>4.5998636147187568</v>
      </c>
      <c r="Z73" s="273">
        <f ca="1">-Debt!Z294</f>
        <v>0</v>
      </c>
      <c r="AA73" s="273">
        <f ca="1">-Debt!AA294</f>
        <v>0</v>
      </c>
      <c r="AB73" s="273">
        <f ca="1">-Debt!AB294</f>
        <v>0</v>
      </c>
      <c r="AC73" s="273">
        <f ca="1">-Debt!AC294</f>
        <v>0</v>
      </c>
      <c r="AD73" s="273">
        <f ca="1">-Debt!AD294</f>
        <v>11.526261781643825</v>
      </c>
      <c r="AE73" s="273">
        <f ca="1">-Debt!AE294</f>
        <v>0</v>
      </c>
      <c r="AF73" s="273">
        <f ca="1">-Debt!AF294</f>
        <v>39.435297762856294</v>
      </c>
      <c r="AG73" s="273">
        <f ca="1">-Debt!AG294</f>
        <v>0</v>
      </c>
      <c r="AH73" s="273">
        <f ca="1">-Debt!AH294</f>
        <v>0</v>
      </c>
      <c r="AI73" s="273">
        <f ca="1">-Debt!AI294</f>
        <v>102.82297265714715</v>
      </c>
      <c r="AJ73" s="273">
        <f ca="1">-Debt!AJ294</f>
        <v>1167.671860957277</v>
      </c>
      <c r="AK73" s="273">
        <f ca="1">-Debt!AK294</f>
        <v>0</v>
      </c>
      <c r="AL73" s="273">
        <f ca="1">-Debt!AL294</f>
        <v>0</v>
      </c>
      <c r="AM73" s="273">
        <f ca="1">-Debt!AM294</f>
        <v>0</v>
      </c>
    </row>
    <row r="74" spans="3:39" outlineLevel="1">
      <c r="C74" s="266" t="s">
        <v>45</v>
      </c>
      <c r="D74" s="266"/>
      <c r="E74" s="4" t="s">
        <v>13</v>
      </c>
      <c r="F74" s="44">
        <f ca="1">SUM(G74:AJ74)</f>
        <v>0</v>
      </c>
      <c r="G74" s="287">
        <f t="shared" ref="G74:AL74" ca="1" si="14">SUM(G72:G73)</f>
        <v>0</v>
      </c>
      <c r="H74" s="287">
        <f t="shared" ca="1" si="14"/>
        <v>-423.05954631167043</v>
      </c>
      <c r="I74" s="287">
        <f t="shared" ca="1" si="14"/>
        <v>5.945167347529889</v>
      </c>
      <c r="J74" s="287">
        <f t="shared" ca="1" si="14"/>
        <v>-5.7087338177096285</v>
      </c>
      <c r="K74" s="287">
        <f t="shared" ca="1" si="14"/>
        <v>-392.00059521042868</v>
      </c>
      <c r="L74" s="287">
        <f t="shared" ca="1" si="14"/>
        <v>32.101013491059007</v>
      </c>
      <c r="M74" s="287">
        <f t="shared" ca="1" si="14"/>
        <v>-260.78678420501979</v>
      </c>
      <c r="N74" s="287">
        <f t="shared" ca="1" si="14"/>
        <v>55.981417255626297</v>
      </c>
      <c r="O74" s="287">
        <f t="shared" ca="1" si="14"/>
        <v>22.137351884837699</v>
      </c>
      <c r="P74" s="287">
        <f t="shared" ca="1" si="14"/>
        <v>-7.0014936327052055</v>
      </c>
      <c r="Q74" s="287">
        <f t="shared" ca="1" si="14"/>
        <v>7.6124427905651828</v>
      </c>
      <c r="R74" s="287">
        <f t="shared" ca="1" si="14"/>
        <v>20.592205854834901</v>
      </c>
      <c r="S74" s="287">
        <f t="shared" ca="1" si="14"/>
        <v>58.913401221281674</v>
      </c>
      <c r="T74" s="287">
        <f t="shared" ca="1" si="14"/>
        <v>-758.47056352935977</v>
      </c>
      <c r="U74" s="287">
        <f t="shared" ca="1" si="14"/>
        <v>148.20649086453068</v>
      </c>
      <c r="V74" s="287">
        <f t="shared" ca="1" si="14"/>
        <v>1391.7743060252021</v>
      </c>
      <c r="W74" s="287">
        <f t="shared" ca="1" si="14"/>
        <v>-6.461530751759895</v>
      </c>
      <c r="X74" s="287">
        <f t="shared" ca="1" si="14"/>
        <v>-21.625888775119094</v>
      </c>
      <c r="Y74" s="287">
        <f t="shared" ca="1" si="14"/>
        <v>4.5998636147187568</v>
      </c>
      <c r="Z74" s="287">
        <f t="shared" ca="1" si="14"/>
        <v>-38.150809635396783</v>
      </c>
      <c r="AA74" s="287">
        <f t="shared" ca="1" si="14"/>
        <v>-308.70009861920903</v>
      </c>
      <c r="AB74" s="287">
        <f t="shared" ca="1" si="14"/>
        <v>-2.592856587643098</v>
      </c>
      <c r="AC74" s="287">
        <f t="shared" ca="1" si="14"/>
        <v>-4.0200735907005765</v>
      </c>
      <c r="AD74" s="287">
        <f t="shared" ca="1" si="14"/>
        <v>11.526261781643825</v>
      </c>
      <c r="AE74" s="287">
        <f t="shared" ca="1" si="14"/>
        <v>-140.41556053899768</v>
      </c>
      <c r="AF74" s="287">
        <f t="shared" ca="1" si="14"/>
        <v>39.435297762856294</v>
      </c>
      <c r="AG74" s="287">
        <f t="shared" ca="1" si="14"/>
        <v>-104.03088907637471</v>
      </c>
      <c r="AH74" s="287">
        <f t="shared" ca="1" si="14"/>
        <v>-596.29462922701612</v>
      </c>
      <c r="AI74" s="287">
        <f t="shared" ca="1" si="14"/>
        <v>102.82297265714715</v>
      </c>
      <c r="AJ74" s="287">
        <f t="shared" ca="1" si="14"/>
        <v>1167.671860957277</v>
      </c>
      <c r="AK74" s="287">
        <f t="shared" ca="1" si="14"/>
        <v>0</v>
      </c>
      <c r="AL74" s="287">
        <f t="shared" ca="1" si="14"/>
        <v>0</v>
      </c>
      <c r="AM74" s="287">
        <f t="shared" ref="AM74" ca="1" si="15">SUM(AM72:AM73)</f>
        <v>0</v>
      </c>
    </row>
    <row r="75" spans="3:39">
      <c r="C75" s="266"/>
      <c r="D75" s="266"/>
      <c r="E75" s="266"/>
      <c r="F75" s="273"/>
      <c r="G75" s="273"/>
      <c r="H75" s="273"/>
      <c r="I75" s="273"/>
      <c r="J75" s="273"/>
      <c r="K75" s="273"/>
      <c r="L75" s="273"/>
      <c r="M75" s="273"/>
      <c r="N75" s="273"/>
      <c r="O75" s="273"/>
      <c r="P75" s="273"/>
      <c r="Q75" s="273"/>
      <c r="R75" s="273"/>
      <c r="S75" s="273"/>
      <c r="T75" s="273"/>
      <c r="U75" s="273"/>
      <c r="V75" s="273"/>
      <c r="W75" s="273"/>
      <c r="X75" s="273"/>
      <c r="Y75" s="273"/>
      <c r="Z75" s="273"/>
      <c r="AA75" s="273"/>
      <c r="AB75" s="273"/>
      <c r="AC75" s="273"/>
      <c r="AD75" s="273"/>
      <c r="AE75" s="273"/>
      <c r="AF75" s="273"/>
      <c r="AG75" s="273"/>
      <c r="AH75" s="273"/>
      <c r="AI75" s="273"/>
      <c r="AJ75" s="273"/>
      <c r="AK75" s="273"/>
      <c r="AL75" s="273"/>
      <c r="AM75" s="273"/>
    </row>
    <row r="76" spans="3:39">
      <c r="C76" s="11" t="s">
        <v>67</v>
      </c>
      <c r="D76" s="266"/>
      <c r="E76" s="4" t="s">
        <v>13</v>
      </c>
      <c r="F76" s="44">
        <f ca="1">SUM(G76:AJ76)</f>
        <v>96286.142319951396</v>
      </c>
      <c r="G76" s="291">
        <f t="shared" ref="G76:AL76" ca="1" si="16">G69+G74</f>
        <v>-1144.8774633790981</v>
      </c>
      <c r="H76" s="292">
        <f t="shared" ca="1" si="16"/>
        <v>-2534.9046589411587</v>
      </c>
      <c r="I76" s="292">
        <f t="shared" ca="1" si="16"/>
        <v>877.34587981672598</v>
      </c>
      <c r="J76" s="292">
        <f t="shared" ca="1" si="16"/>
        <v>1463.1412427680855</v>
      </c>
      <c r="K76" s="292">
        <f t="shared" ca="1" si="16"/>
        <v>1329.545503314371</v>
      </c>
      <c r="L76" s="292">
        <f t="shared" ca="1" si="16"/>
        <v>1367.9519140360899</v>
      </c>
      <c r="M76" s="292">
        <f t="shared" ca="1" si="16"/>
        <v>719.47399259935287</v>
      </c>
      <c r="N76" s="292">
        <f t="shared" ca="1" si="16"/>
        <v>5474.8765347039798</v>
      </c>
      <c r="O76" s="292">
        <f t="shared" ca="1" si="16"/>
        <v>1993.3532519371083</v>
      </c>
      <c r="P76" s="292">
        <f t="shared" ca="1" si="16"/>
        <v>2045.8166023182857</v>
      </c>
      <c r="Q76" s="292">
        <f t="shared" ca="1" si="16"/>
        <v>2227.8486182253</v>
      </c>
      <c r="R76" s="292">
        <f t="shared" ca="1" si="16"/>
        <v>2396.9871691418302</v>
      </c>
      <c r="S76" s="292">
        <f t="shared" ca="1" si="16"/>
        <v>2093.0741396458307</v>
      </c>
      <c r="T76" s="292">
        <f t="shared" ca="1" si="16"/>
        <v>1300.3496272246607</v>
      </c>
      <c r="U76" s="292">
        <f t="shared" ca="1" si="16"/>
        <v>4455.1279313760442</v>
      </c>
      <c r="V76" s="292">
        <f t="shared" ca="1" si="16"/>
        <v>2199.8177948879838</v>
      </c>
      <c r="W76" s="292">
        <f t="shared" ca="1" si="16"/>
        <v>4994.2994072766942</v>
      </c>
      <c r="X76" s="292">
        <f t="shared" ca="1" si="16"/>
        <v>5022.939154506812</v>
      </c>
      <c r="Y76" s="292">
        <f t="shared" ca="1" si="16"/>
        <v>4961.5296964607123</v>
      </c>
      <c r="Z76" s="292">
        <f t="shared" ca="1" si="16"/>
        <v>4418.5875042184689</v>
      </c>
      <c r="AA76" s="292">
        <f t="shared" ca="1" si="16"/>
        <v>4272.1228309567605</v>
      </c>
      <c r="AB76" s="292">
        <f t="shared" ca="1" si="16"/>
        <v>7933.6394235791422</v>
      </c>
      <c r="AC76" s="292">
        <f t="shared" ca="1" si="16"/>
        <v>4512.2450207485672</v>
      </c>
      <c r="AD76" s="292">
        <f t="shared" ca="1" si="16"/>
        <v>4610.4321589296123</v>
      </c>
      <c r="AE76" s="292">
        <f t="shared" ca="1" si="16"/>
        <v>4614.5334392303366</v>
      </c>
      <c r="AF76" s="292">
        <f t="shared" ca="1" si="16"/>
        <v>4612.1189512554629</v>
      </c>
      <c r="AG76" s="292">
        <f t="shared" ca="1" si="16"/>
        <v>3957.6739731541093</v>
      </c>
      <c r="AH76" s="292">
        <f t="shared" ca="1" si="16"/>
        <v>3431.7841863942599</v>
      </c>
      <c r="AI76" s="292">
        <f t="shared" ca="1" si="16"/>
        <v>6914.9506578106566</v>
      </c>
      <c r="AJ76" s="292">
        <f t="shared" ca="1" si="16"/>
        <v>5764.3578357544193</v>
      </c>
      <c r="AK76" s="292">
        <f t="shared" ca="1" si="16"/>
        <v>0</v>
      </c>
      <c r="AL76" s="292">
        <f t="shared" ca="1" si="16"/>
        <v>0</v>
      </c>
      <c r="AM76" s="292">
        <f t="shared" ref="AM76" ca="1" si="17">AM69+AM74</f>
        <v>0</v>
      </c>
    </row>
    <row r="77" spans="3:39" outlineLevel="1">
      <c r="C77" s="266"/>
      <c r="D77" s="266"/>
      <c r="E77" s="266"/>
      <c r="F77" s="273"/>
      <c r="G77" s="273"/>
      <c r="H77" s="273"/>
      <c r="I77" s="273"/>
      <c r="J77" s="273"/>
      <c r="K77" s="273"/>
      <c r="L77" s="273"/>
      <c r="M77" s="273"/>
      <c r="N77" s="273"/>
      <c r="O77" s="273"/>
      <c r="P77" s="273"/>
      <c r="Q77" s="273"/>
      <c r="R77" s="273"/>
      <c r="S77" s="273"/>
      <c r="T77" s="273"/>
      <c r="U77" s="273"/>
      <c r="V77" s="273"/>
      <c r="W77" s="273"/>
      <c r="X77" s="273"/>
      <c r="Y77" s="273"/>
      <c r="Z77" s="273"/>
      <c r="AA77" s="273"/>
      <c r="AB77" s="273"/>
      <c r="AC77" s="273"/>
      <c r="AD77" s="273"/>
      <c r="AE77" s="273"/>
      <c r="AF77" s="273"/>
      <c r="AG77" s="273"/>
      <c r="AH77" s="273"/>
      <c r="AI77" s="273"/>
      <c r="AJ77" s="273"/>
      <c r="AK77" s="273"/>
      <c r="AL77" s="273"/>
      <c r="AM77" s="273"/>
    </row>
    <row r="78" spans="3:39" outlineLevel="1">
      <c r="C78" s="266" t="s">
        <v>68</v>
      </c>
      <c r="D78" s="266"/>
      <c r="E78" s="4" t="s">
        <v>13</v>
      </c>
      <c r="F78" s="44">
        <f ca="1">SUM(G78:AJ78)</f>
        <v>9915.5510545235975</v>
      </c>
      <c r="G78" s="293">
        <f>Ops!G1078</f>
        <v>0</v>
      </c>
      <c r="H78" s="293">
        <f ca="1">Ops!H1078</f>
        <v>0</v>
      </c>
      <c r="I78" s="293">
        <f ca="1">Ops!I1078</f>
        <v>0</v>
      </c>
      <c r="J78" s="293">
        <f ca="1">Ops!J1078</f>
        <v>63.531546272428116</v>
      </c>
      <c r="K78" s="293">
        <f ca="1">Ops!K1078</f>
        <v>178.43001541174146</v>
      </c>
      <c r="L78" s="293">
        <f ca="1">Ops!L1078</f>
        <v>137.15562459708954</v>
      </c>
      <c r="M78" s="293">
        <f ca="1">Ops!M1078</f>
        <v>55.99364327919352</v>
      </c>
      <c r="N78" s="293">
        <f ca="1">Ops!N1078</f>
        <v>6.534982637546201</v>
      </c>
      <c r="O78" s="293">
        <f ca="1">Ops!O1078</f>
        <v>25.397167347172463</v>
      </c>
      <c r="P78" s="293">
        <f ca="1">Ops!P1078</f>
        <v>9.9945127218954291</v>
      </c>
      <c r="Q78" s="293">
        <f ca="1">Ops!Q1078</f>
        <v>10.311500097795385</v>
      </c>
      <c r="R78" s="293">
        <f ca="1">Ops!R1078</f>
        <v>11.650477020096314</v>
      </c>
      <c r="S78" s="293">
        <f ca="1">Ops!S1078</f>
        <v>12.234879182654316</v>
      </c>
      <c r="T78" s="293">
        <f ca="1">Ops!T1078</f>
        <v>12.887971509366828</v>
      </c>
      <c r="U78" s="293">
        <f ca="1">Ops!U1078</f>
        <v>13.55498615704526</v>
      </c>
      <c r="V78" s="293">
        <f ca="1">Ops!V1078</f>
        <v>29.902160073501751</v>
      </c>
      <c r="W78" s="293">
        <f ca="1">Ops!W1078</f>
        <v>14.680536862964477</v>
      </c>
      <c r="X78" s="293">
        <f ca="1">Ops!X1078</f>
        <v>14.778015300156405</v>
      </c>
      <c r="Y78" s="293">
        <f ca="1">Ops!Y1078</f>
        <v>14.584451387616987</v>
      </c>
      <c r="Z78" s="293">
        <f ca="1">Ops!Z1078</f>
        <v>13.53119180867264</v>
      </c>
      <c r="AA78" s="293">
        <f ca="1">Ops!AA1078</f>
        <v>13.136904831990396</v>
      </c>
      <c r="AB78" s="293">
        <f ca="1">Ops!AB1078</f>
        <v>24.150026787564727</v>
      </c>
      <c r="AC78" s="293">
        <f ca="1">Ops!AC1078</f>
        <v>189.36888497469792</v>
      </c>
      <c r="AD78" s="293">
        <f ca="1">Ops!AD1078</f>
        <v>411.24837863032258</v>
      </c>
      <c r="AE78" s="293">
        <f ca="1">Ops!AE1078</f>
        <v>664.30656987665282</v>
      </c>
      <c r="AF78" s="293">
        <f ca="1">Ops!AF1078</f>
        <v>946.06269705790146</v>
      </c>
      <c r="AG78" s="293">
        <f ca="1">Ops!AG1078</f>
        <v>1251.6867032045575</v>
      </c>
      <c r="AH78" s="293">
        <f ca="1">Ops!AH1078</f>
        <v>1584.3159013252039</v>
      </c>
      <c r="AI78" s="293">
        <f ca="1">Ops!AI1078</f>
        <v>1905.2486798372031</v>
      </c>
      <c r="AJ78" s="293">
        <f ca="1">Ops!AJ1078</f>
        <v>2300.8726463305661</v>
      </c>
      <c r="AK78" s="293">
        <f ca="1">Ops!AK1078</f>
        <v>0</v>
      </c>
      <c r="AL78" s="293">
        <f ca="1">Ops!AL1078</f>
        <v>0</v>
      </c>
      <c r="AM78" s="293">
        <f ca="1">Ops!AM1078</f>
        <v>0</v>
      </c>
    </row>
    <row r="79" spans="3:39" outlineLevel="1">
      <c r="C79" s="266" t="s">
        <v>69</v>
      </c>
      <c r="D79" s="266"/>
      <c r="E79" s="4" t="s">
        <v>13</v>
      </c>
      <c r="F79" s="44">
        <f ca="1">SUM(G79:AM79)</f>
        <v>-1695.1762943418933</v>
      </c>
      <c r="G79" s="293">
        <f ca="1">-Debt!G118</f>
        <v>-107.75031120895997</v>
      </c>
      <c r="H79" s="293">
        <f ca="1">-Debt!H118</f>
        <v>-122.47466930221043</v>
      </c>
      <c r="I79" s="293">
        <f ca="1">-Debt!I118</f>
        <v>-129.91592367051297</v>
      </c>
      <c r="J79" s="293">
        <f ca="1">-Debt!J118</f>
        <v>-123.58944561900458</v>
      </c>
      <c r="K79" s="293">
        <f ca="1">-Debt!K118</f>
        <v>-120.28588553276769</v>
      </c>
      <c r="L79" s="293">
        <f ca="1">-Debt!L118</f>
        <v>-221.21910624224765</v>
      </c>
      <c r="M79" s="293">
        <f ca="1">-Debt!M118</f>
        <v>-201.27155001459937</v>
      </c>
      <c r="N79" s="293">
        <f ca="1">-Debt!N118</f>
        <v>-251.70077878341456</v>
      </c>
      <c r="O79" s="293">
        <f ca="1">-Debt!O118</f>
        <v>-220.617971175137</v>
      </c>
      <c r="P79" s="293">
        <f ca="1">-Debt!P118</f>
        <v>-196.35065279303913</v>
      </c>
      <c r="Q79" s="293">
        <f>-Debt!Q118</f>
        <v>0</v>
      </c>
      <c r="R79" s="293">
        <f>-Debt!R118</f>
        <v>0</v>
      </c>
      <c r="S79" s="293">
        <f>-Debt!S118</f>
        <v>0</v>
      </c>
      <c r="T79" s="293">
        <f>-Debt!T118</f>
        <v>0</v>
      </c>
      <c r="U79" s="293">
        <f>-Debt!U118</f>
        <v>0</v>
      </c>
      <c r="V79" s="293">
        <f>-Debt!V118</f>
        <v>0</v>
      </c>
      <c r="W79" s="293">
        <f>-Debt!W118</f>
        <v>0</v>
      </c>
      <c r="X79" s="293">
        <f>-Debt!X118</f>
        <v>0</v>
      </c>
      <c r="Y79" s="293">
        <f>-Debt!Y118</f>
        <v>0</v>
      </c>
      <c r="Z79" s="293">
        <f>-Debt!Z118</f>
        <v>0</v>
      </c>
      <c r="AA79" s="293">
        <f>-Debt!AA118</f>
        <v>0</v>
      </c>
      <c r="AB79" s="293">
        <f>-Debt!AB118</f>
        <v>0</v>
      </c>
      <c r="AC79" s="293">
        <f>-Debt!AC118</f>
        <v>0</v>
      </c>
      <c r="AD79" s="293">
        <f>-Debt!AD118</f>
        <v>0</v>
      </c>
      <c r="AE79" s="293">
        <f>-Debt!AE118</f>
        <v>0</v>
      </c>
      <c r="AF79" s="293">
        <f>-Debt!AF118</f>
        <v>0</v>
      </c>
      <c r="AG79" s="293">
        <f>-Debt!AG118</f>
        <v>0</v>
      </c>
      <c r="AH79" s="293">
        <f>-Debt!AH118</f>
        <v>0</v>
      </c>
      <c r="AI79" s="293">
        <f>-Debt!AI118</f>
        <v>0</v>
      </c>
      <c r="AJ79" s="293">
        <f>-Debt!AJ118</f>
        <v>0</v>
      </c>
      <c r="AK79" s="293">
        <f>-Debt!AK118</f>
        <v>0</v>
      </c>
      <c r="AL79" s="293">
        <f>-Debt!AL118</f>
        <v>0</v>
      </c>
      <c r="AM79" s="293">
        <f>-Debt!AM118</f>
        <v>0</v>
      </c>
    </row>
    <row r="80" spans="3:39">
      <c r="C80" s="266"/>
      <c r="D80" s="266"/>
      <c r="E80" s="266"/>
      <c r="F80" s="273"/>
      <c r="G80" s="273"/>
      <c r="H80" s="273"/>
      <c r="I80" s="273"/>
      <c r="J80" s="273"/>
      <c r="K80" s="273"/>
      <c r="L80" s="273"/>
      <c r="M80" s="273"/>
      <c r="N80" s="273"/>
      <c r="O80" s="273"/>
      <c r="P80" s="273"/>
      <c r="Q80" s="273"/>
      <c r="R80" s="273"/>
      <c r="S80" s="273"/>
      <c r="T80" s="273"/>
      <c r="U80" s="273"/>
      <c r="V80" s="273"/>
      <c r="W80" s="273"/>
      <c r="X80" s="273"/>
      <c r="Y80" s="273"/>
      <c r="Z80" s="273"/>
      <c r="AA80" s="273"/>
      <c r="AB80" s="273"/>
      <c r="AC80" s="273"/>
      <c r="AD80" s="273"/>
      <c r="AE80" s="273"/>
      <c r="AF80" s="273"/>
      <c r="AG80" s="273"/>
      <c r="AH80" s="273"/>
      <c r="AI80" s="273"/>
      <c r="AJ80" s="273"/>
      <c r="AK80" s="273"/>
      <c r="AL80" s="273"/>
      <c r="AM80" s="273"/>
    </row>
    <row r="81" spans="3:39">
      <c r="C81" s="11" t="s">
        <v>70</v>
      </c>
      <c r="D81" s="266"/>
      <c r="E81" s="4" t="s">
        <v>13</v>
      </c>
      <c r="F81" s="44">
        <f ca="1">SUM(G81:AJ81)</f>
        <v>104506.51708013311</v>
      </c>
      <c r="G81" s="289">
        <f ca="1">G76+G78+G79</f>
        <v>-1252.6277745880582</v>
      </c>
      <c r="H81" s="289">
        <f t="shared" ref="H81:AL81" ca="1" si="18">H76+H78+H79</f>
        <v>-2657.3793282433689</v>
      </c>
      <c r="I81" s="289">
        <f t="shared" ca="1" si="18"/>
        <v>747.42995614621304</v>
      </c>
      <c r="J81" s="289">
        <f t="shared" ca="1" si="18"/>
        <v>1403.083343421509</v>
      </c>
      <c r="K81" s="289">
        <f t="shared" ca="1" si="18"/>
        <v>1387.6896331933449</v>
      </c>
      <c r="L81" s="289">
        <f t="shared" ca="1" si="18"/>
        <v>1283.8884323909319</v>
      </c>
      <c r="M81" s="289">
        <f t="shared" ca="1" si="18"/>
        <v>574.19608586394702</v>
      </c>
      <c r="N81" s="289">
        <f t="shared" ca="1" si="18"/>
        <v>5229.7107385581112</v>
      </c>
      <c r="O81" s="289">
        <f t="shared" ca="1" si="18"/>
        <v>1798.1324481091438</v>
      </c>
      <c r="P81" s="289">
        <f t="shared" ca="1" si="18"/>
        <v>1859.4604622471418</v>
      </c>
      <c r="Q81" s="289">
        <f t="shared" ca="1" si="18"/>
        <v>2238.1601183230955</v>
      </c>
      <c r="R81" s="289">
        <f t="shared" ca="1" si="18"/>
        <v>2408.6376461619266</v>
      </c>
      <c r="S81" s="289">
        <f t="shared" ca="1" si="18"/>
        <v>2105.309018828485</v>
      </c>
      <c r="T81" s="289">
        <f t="shared" ca="1" si="18"/>
        <v>1313.2375987340276</v>
      </c>
      <c r="U81" s="289">
        <f t="shared" ca="1" si="18"/>
        <v>4468.6829175330895</v>
      </c>
      <c r="V81" s="289">
        <f t="shared" ca="1" si="18"/>
        <v>2229.7199549614857</v>
      </c>
      <c r="W81" s="289">
        <f t="shared" ca="1" si="18"/>
        <v>5008.979944139659</v>
      </c>
      <c r="X81" s="289">
        <f t="shared" ca="1" si="18"/>
        <v>5037.7171698069687</v>
      </c>
      <c r="Y81" s="289">
        <f t="shared" ca="1" si="18"/>
        <v>4976.1141478483296</v>
      </c>
      <c r="Z81" s="289">
        <f t="shared" ca="1" si="18"/>
        <v>4432.1186960271416</v>
      </c>
      <c r="AA81" s="289">
        <f t="shared" ca="1" si="18"/>
        <v>4285.2597357887507</v>
      </c>
      <c r="AB81" s="289">
        <f t="shared" ca="1" si="18"/>
        <v>7957.7894503667067</v>
      </c>
      <c r="AC81" s="289">
        <f t="shared" ca="1" si="18"/>
        <v>4701.6139057232649</v>
      </c>
      <c r="AD81" s="289">
        <f t="shared" ca="1" si="18"/>
        <v>5021.6805375599351</v>
      </c>
      <c r="AE81" s="289">
        <f t="shared" ca="1" si="18"/>
        <v>5278.8400091069898</v>
      </c>
      <c r="AF81" s="289">
        <f t="shared" ca="1" si="18"/>
        <v>5558.1816483133643</v>
      </c>
      <c r="AG81" s="289">
        <f t="shared" ca="1" si="18"/>
        <v>5209.3606763586668</v>
      </c>
      <c r="AH81" s="289">
        <f t="shared" ca="1" si="18"/>
        <v>5016.1000877194638</v>
      </c>
      <c r="AI81" s="289">
        <f t="shared" ca="1" si="18"/>
        <v>8820.1993376478604</v>
      </c>
      <c r="AJ81" s="289">
        <f t="shared" ca="1" si="18"/>
        <v>8065.2304820849859</v>
      </c>
      <c r="AK81" s="289">
        <f t="shared" ca="1" si="18"/>
        <v>0</v>
      </c>
      <c r="AL81" s="289">
        <f t="shared" ca="1" si="18"/>
        <v>0</v>
      </c>
      <c r="AM81" s="289">
        <f t="shared" ref="AM81" ca="1" si="19">AM76+AM78+AM79</f>
        <v>0</v>
      </c>
    </row>
    <row r="82" spans="3:39" outlineLevel="1">
      <c r="C82" s="266"/>
      <c r="D82" s="266"/>
      <c r="E82" s="266"/>
      <c r="F82" s="273"/>
      <c r="G82" s="273"/>
      <c r="H82" s="273"/>
      <c r="I82" s="273"/>
      <c r="J82" s="273"/>
      <c r="K82" s="273"/>
      <c r="L82" s="273"/>
      <c r="M82" s="273"/>
      <c r="N82" s="273"/>
      <c r="O82" s="273"/>
      <c r="P82" s="273"/>
      <c r="Q82" s="273"/>
      <c r="R82" s="273"/>
      <c r="S82" s="273"/>
      <c r="T82" s="273"/>
      <c r="U82" s="273"/>
      <c r="V82" s="273"/>
      <c r="W82" s="273"/>
      <c r="X82" s="273"/>
      <c r="Y82" s="273"/>
      <c r="Z82" s="273"/>
      <c r="AA82" s="273"/>
      <c r="AB82" s="273"/>
      <c r="AC82" s="273"/>
      <c r="AD82" s="273"/>
      <c r="AE82" s="273"/>
      <c r="AF82" s="273"/>
      <c r="AG82" s="273"/>
      <c r="AH82" s="273"/>
      <c r="AI82" s="273"/>
      <c r="AJ82" s="273"/>
      <c r="AK82" s="273"/>
      <c r="AL82" s="273"/>
      <c r="AM82" s="273"/>
    </row>
    <row r="83" spans="3:39" outlineLevel="1">
      <c r="C83" s="266" t="s">
        <v>71</v>
      </c>
      <c r="D83" s="266"/>
      <c r="E83" s="4" t="s">
        <v>13</v>
      </c>
      <c r="F83" s="44">
        <f ca="1">SUM(G83:AJ83)</f>
        <v>-73282.203744049359</v>
      </c>
      <c r="G83" s="293">
        <f ca="1">-Ops!G1116</f>
        <v>0</v>
      </c>
      <c r="H83" s="293">
        <f ca="1">-Ops!H1116</f>
        <v>0</v>
      </c>
      <c r="I83" s="293">
        <f ca="1">-Ops!I1116</f>
        <v>0</v>
      </c>
      <c r="J83" s="293">
        <f ca="1">-Ops!J1116</f>
        <v>-51.336647664881781</v>
      </c>
      <c r="K83" s="293">
        <f ca="1">-Ops!K1116</f>
        <v>-1873.2707016010145</v>
      </c>
      <c r="L83" s="293">
        <f ca="1">-Ops!L1116</f>
        <v>-2238.7352714250028</v>
      </c>
      <c r="M83" s="293">
        <f ca="1">-Ops!M1116</f>
        <v>-1156.062681648033</v>
      </c>
      <c r="N83" s="293">
        <f ca="1">-Ops!N1116</f>
        <v>-5007.8026831507432</v>
      </c>
      <c r="O83" s="293">
        <f ca="1">-Ops!O1116</f>
        <v>-1979.3401495829912</v>
      </c>
      <c r="P83" s="293">
        <f ca="1">-Ops!P1116</f>
        <v>-1855.7311990012599</v>
      </c>
      <c r="Q83" s="293">
        <f ca="1">-Ops!Q1116</f>
        <v>-2222.4074486489671</v>
      </c>
      <c r="R83" s="293">
        <f ca="1">-Ops!R1116</f>
        <v>-2401.7623266024207</v>
      </c>
      <c r="S83" s="293">
        <f ca="1">-Ops!S1116</f>
        <v>-2097.6255796906908</v>
      </c>
      <c r="T83" s="293">
        <f ca="1">-Ops!T1116</f>
        <v>-1305.3903675848696</v>
      </c>
      <c r="U83" s="293">
        <f ca="1">-Ops!U1116</f>
        <v>-4276.3632243983075</v>
      </c>
      <c r="V83" s="293">
        <f ca="1">-Ops!V1116</f>
        <v>-2408.7978750854536</v>
      </c>
      <c r="W83" s="293">
        <f ca="1">-Ops!W1116</f>
        <v>-5007.8331389962241</v>
      </c>
      <c r="X83" s="293">
        <f ca="1">-Ops!X1116</f>
        <v>-5039.9943923074325</v>
      </c>
      <c r="Y83" s="293">
        <f ca="1">-Ops!Y1116</f>
        <v>-4988.5054370123808</v>
      </c>
      <c r="Z83" s="293">
        <f ca="1">-Ops!Z1116</f>
        <v>-4436.7573663410503</v>
      </c>
      <c r="AA83" s="293">
        <f ca="1">-Ops!AA1116</f>
        <v>-4155.6935951349351</v>
      </c>
      <c r="AB83" s="293">
        <f ca="1">-Ops!AB1116</f>
        <v>-6014.0381775769038</v>
      </c>
      <c r="AC83" s="293">
        <f ca="1">-Ops!AC1116</f>
        <v>-2091.2669215394449</v>
      </c>
      <c r="AD83" s="293">
        <f ca="1">-Ops!AD1116</f>
        <v>-2044.5253464266382</v>
      </c>
      <c r="AE83" s="293">
        <f ca="1">-Ops!AE1116</f>
        <v>-1964.0620422687696</v>
      </c>
      <c r="AF83" s="293">
        <f ca="1">-Ops!AF1116</f>
        <v>-1962.6051054115278</v>
      </c>
      <c r="AG83" s="293">
        <f ca="1">-Ops!AG1116</f>
        <v>-1296.0759925863604</v>
      </c>
      <c r="AH83" s="293">
        <f ca="1">-Ops!AH1116</f>
        <v>-1240.4203405194712</v>
      </c>
      <c r="AI83" s="293">
        <f ca="1">-Ops!AI1116</f>
        <v>-4165.7997318435901</v>
      </c>
      <c r="AJ83" s="293">
        <f ca="1">-Ops!AJ1116</f>
        <v>0</v>
      </c>
      <c r="AK83" s="293">
        <f ca="1">-Ops!AK1116</f>
        <v>0</v>
      </c>
      <c r="AL83" s="293">
        <f ca="1">-Ops!AL1116</f>
        <v>0</v>
      </c>
      <c r="AM83" s="293">
        <f ca="1">-Ops!AM1116</f>
        <v>0</v>
      </c>
    </row>
    <row r="84" spans="3:39" outlineLevel="1">
      <c r="C84" s="266" t="s">
        <v>72</v>
      </c>
      <c r="D84" s="266"/>
      <c r="E84" s="4" t="s">
        <v>13</v>
      </c>
      <c r="F84" s="44">
        <f ca="1">SUM(G84:AJ84)</f>
        <v>-3998.7066206211916</v>
      </c>
      <c r="G84" s="293">
        <f ca="1">-Ops!G1089</f>
        <v>0</v>
      </c>
      <c r="H84" s="293">
        <f ca="1">-Ops!H1089</f>
        <v>0</v>
      </c>
      <c r="I84" s="293">
        <f ca="1">-Ops!I1089</f>
        <v>-64.31780262814425</v>
      </c>
      <c r="J84" s="293">
        <f ca="1">-Ops!J1089</f>
        <v>-80.132655025441721</v>
      </c>
      <c r="K84" s="293">
        <f ca="1">-Ops!K1089</f>
        <v>-98.593194821106025</v>
      </c>
      <c r="L84" s="293">
        <f ca="1">-Ops!L1089</f>
        <v>-117.82817218026331</v>
      </c>
      <c r="M84" s="293">
        <f ca="1">-Ops!M1089</f>
        <v>-76.882148677014243</v>
      </c>
      <c r="N84" s="293">
        <f ca="1">-Ops!N1089</f>
        <v>-298.79020408438151</v>
      </c>
      <c r="O84" s="293">
        <f ca="1">-Ops!O1089</f>
        <v>-117.58250261053441</v>
      </c>
      <c r="P84" s="293">
        <f ca="1">-Ops!P1089</f>
        <v>-121.31176585641624</v>
      </c>
      <c r="Q84" s="293">
        <f ca="1">-Ops!Q1089</f>
        <v>-137.06443553054504</v>
      </c>
      <c r="R84" s="293">
        <f ca="1">-Ops!R1089</f>
        <v>-143.93975509005097</v>
      </c>
      <c r="S84" s="293">
        <f ca="1">-Ops!S1089</f>
        <v>-151.62319422784526</v>
      </c>
      <c r="T84" s="293">
        <f ca="1">-Ops!T1089</f>
        <v>-159.47042537700295</v>
      </c>
      <c r="U84" s="293">
        <f ca="1">-Ops!U1089</f>
        <v>-351.79011851178524</v>
      </c>
      <c r="V84" s="293">
        <f ca="1">-Ops!V1089</f>
        <v>-172.71219838781735</v>
      </c>
      <c r="W84" s="293">
        <f ca="1">-Ops!W1089</f>
        <v>-173.85900353125186</v>
      </c>
      <c r="X84" s="293">
        <f ca="1">-Ops!X1089</f>
        <v>-171.58178103078802</v>
      </c>
      <c r="Y84" s="293">
        <f ca="1">-Ops!Y1089</f>
        <v>-159.19049186673715</v>
      </c>
      <c r="Z84" s="293">
        <f ca="1">-Ops!Z1089</f>
        <v>-154.55182155282802</v>
      </c>
      <c r="AA84" s="293">
        <f ca="1">-Ops!AA1089</f>
        <v>-153.86423078004185</v>
      </c>
      <c r="AB84" s="293">
        <f ca="1">-Ops!AB1089</f>
        <v>-316.52832513562657</v>
      </c>
      <c r="AC84" s="293">
        <f ca="1">-Ops!AC1089</f>
        <v>-110.06668008102343</v>
      </c>
      <c r="AD84" s="293">
        <f ca="1">-Ops!AD1089</f>
        <v>-107.60659718034938</v>
      </c>
      <c r="AE84" s="293">
        <f ca="1">-Ops!AE1089</f>
        <v>-103.3716864351984</v>
      </c>
      <c r="AF84" s="293">
        <f ca="1">-Ops!AF1089</f>
        <v>-103.29500554797515</v>
      </c>
      <c r="AG84" s="293">
        <f ca="1">-Ops!AG1089</f>
        <v>-68.214525925597897</v>
      </c>
      <c r="AH84" s="293">
        <f ca="1">-Ops!AH1089</f>
        <v>-65.285281079972179</v>
      </c>
      <c r="AI84" s="293">
        <f ca="1">-Ops!AI1089</f>
        <v>-219.25261746545212</v>
      </c>
      <c r="AJ84" s="293">
        <f ca="1">-Ops!AJ1089</f>
        <v>0</v>
      </c>
      <c r="AK84" s="293">
        <f ca="1">-Ops!AK1089</f>
        <v>0</v>
      </c>
      <c r="AL84" s="293">
        <f ca="1">-Ops!AL1089</f>
        <v>0</v>
      </c>
      <c r="AM84" s="293">
        <f ca="1">-Ops!AM1089</f>
        <v>0</v>
      </c>
    </row>
    <row r="85" spans="3:39">
      <c r="C85" s="266"/>
      <c r="D85" s="266"/>
      <c r="E85" s="266"/>
      <c r="F85" s="273"/>
      <c r="G85" s="273"/>
      <c r="H85" s="273"/>
      <c r="I85" s="273"/>
      <c r="J85" s="273"/>
      <c r="K85" s="273"/>
      <c r="L85" s="273"/>
      <c r="M85" s="273"/>
      <c r="N85" s="273"/>
      <c r="O85" s="273"/>
      <c r="P85" s="273"/>
      <c r="Q85" s="273"/>
      <c r="R85" s="273"/>
      <c r="S85" s="273"/>
      <c r="T85" s="273"/>
      <c r="U85" s="273"/>
      <c r="V85" s="273"/>
      <c r="W85" s="273"/>
      <c r="X85" s="273"/>
      <c r="Y85" s="273"/>
      <c r="Z85" s="273"/>
      <c r="AA85" s="273"/>
      <c r="AB85" s="273"/>
      <c r="AC85" s="273"/>
      <c r="AD85" s="273"/>
      <c r="AE85" s="273"/>
      <c r="AF85" s="273"/>
      <c r="AG85" s="273"/>
      <c r="AH85" s="273"/>
      <c r="AI85" s="273"/>
      <c r="AJ85" s="273"/>
      <c r="AK85" s="273"/>
      <c r="AL85" s="273"/>
      <c r="AM85" s="273"/>
    </row>
    <row r="86" spans="3:39">
      <c r="C86" s="11" t="s">
        <v>73</v>
      </c>
      <c r="D86" s="11"/>
      <c r="E86" s="4" t="s">
        <v>13</v>
      </c>
      <c r="F86" s="54">
        <f ca="1">SUM(G86:AJ86)</f>
        <v>27225.60671546256</v>
      </c>
      <c r="G86" s="58">
        <f t="shared" ref="G86:AM86" ca="1" si="20">SUM(G81:G84)</f>
        <v>-1252.6277745880582</v>
      </c>
      <c r="H86" s="58">
        <f t="shared" ca="1" si="20"/>
        <v>-2657.3793282433689</v>
      </c>
      <c r="I86" s="58">
        <f t="shared" ca="1" si="20"/>
        <v>683.11215351806879</v>
      </c>
      <c r="J86" s="58">
        <f t="shared" ca="1" si="20"/>
        <v>1271.6140407311855</v>
      </c>
      <c r="K86" s="58">
        <f t="shared" ca="1" si="20"/>
        <v>-584.17426322877566</v>
      </c>
      <c r="L86" s="58">
        <f t="shared" ca="1" si="20"/>
        <v>-1072.6750112143341</v>
      </c>
      <c r="M86" s="58">
        <f t="shared" ca="1" si="20"/>
        <v>-658.74874446110027</v>
      </c>
      <c r="N86" s="58">
        <f t="shared" ca="1" si="20"/>
        <v>-76.882148677013504</v>
      </c>
      <c r="O86" s="58">
        <f t="shared" ca="1" si="20"/>
        <v>-298.79020408438186</v>
      </c>
      <c r="P86" s="58">
        <f t="shared" ca="1" si="20"/>
        <v>-117.58250261053441</v>
      </c>
      <c r="Q86" s="58">
        <f t="shared" ca="1" si="20"/>
        <v>-121.31176585641668</v>
      </c>
      <c r="R86" s="58">
        <f t="shared" ca="1" si="20"/>
        <v>-137.06443553054507</v>
      </c>
      <c r="S86" s="58">
        <f t="shared" ca="1" si="20"/>
        <v>-143.93975509005099</v>
      </c>
      <c r="T86" s="58">
        <f t="shared" ca="1" si="20"/>
        <v>-151.62319422784495</v>
      </c>
      <c r="U86" s="58">
        <f t="shared" ca="1" si="20"/>
        <v>-159.47042537700321</v>
      </c>
      <c r="V86" s="58">
        <f t="shared" ca="1" si="20"/>
        <v>-351.79011851178529</v>
      </c>
      <c r="W86" s="58">
        <f t="shared" ca="1" si="20"/>
        <v>-172.71219838781695</v>
      </c>
      <c r="X86" s="58">
        <f t="shared" ca="1" si="20"/>
        <v>-173.85900353125174</v>
      </c>
      <c r="Y86" s="58">
        <f t="shared" ca="1" si="20"/>
        <v>-171.58178103078831</v>
      </c>
      <c r="Z86" s="58">
        <f t="shared" ca="1" si="20"/>
        <v>-159.19049186673675</v>
      </c>
      <c r="AA86" s="58">
        <f t="shared" ca="1" si="20"/>
        <v>-24.298090126226214</v>
      </c>
      <c r="AB86" s="58">
        <f t="shared" ca="1" si="20"/>
        <v>1627.2229476541763</v>
      </c>
      <c r="AC86" s="58">
        <f t="shared" ca="1" si="20"/>
        <v>2500.2803041027964</v>
      </c>
      <c r="AD86" s="58">
        <f t="shared" ca="1" si="20"/>
        <v>2869.5485939529476</v>
      </c>
      <c r="AE86" s="58">
        <f t="shared" ca="1" si="20"/>
        <v>3211.4062804030218</v>
      </c>
      <c r="AF86" s="58">
        <f t="shared" ca="1" si="20"/>
        <v>3492.2815373538615</v>
      </c>
      <c r="AG86" s="58">
        <f t="shared" ca="1" si="20"/>
        <v>3845.0701578467083</v>
      </c>
      <c r="AH86" s="58">
        <f t="shared" ca="1" si="20"/>
        <v>3710.3944661200203</v>
      </c>
      <c r="AI86" s="58">
        <f t="shared" ca="1" si="20"/>
        <v>4435.1469883388181</v>
      </c>
      <c r="AJ86" s="58">
        <f t="shared" ca="1" si="20"/>
        <v>8065.2304820849859</v>
      </c>
      <c r="AK86" s="58">
        <f t="shared" ca="1" si="20"/>
        <v>0</v>
      </c>
      <c r="AL86" s="58">
        <f t="shared" ca="1" si="20"/>
        <v>0</v>
      </c>
      <c r="AM86" s="58">
        <f t="shared" ca="1" si="20"/>
        <v>0</v>
      </c>
    </row>
    <row r="87" spans="3:39" outlineLevel="1">
      <c r="C87" s="266"/>
      <c r="D87" s="266"/>
      <c r="E87" s="266"/>
      <c r="F87" s="273"/>
      <c r="G87" s="273"/>
      <c r="H87" s="273"/>
      <c r="I87" s="273"/>
      <c r="J87" s="273"/>
      <c r="K87" s="273"/>
      <c r="L87" s="273"/>
      <c r="M87" s="273"/>
      <c r="N87" s="273"/>
      <c r="O87" s="273"/>
      <c r="P87" s="273"/>
      <c r="Q87" s="273"/>
      <c r="R87" s="273"/>
      <c r="S87" s="273"/>
      <c r="T87" s="273"/>
      <c r="U87" s="273"/>
      <c r="V87" s="273"/>
      <c r="W87" s="273"/>
      <c r="X87" s="273"/>
      <c r="Y87" s="273"/>
      <c r="Z87" s="273"/>
      <c r="AA87" s="273"/>
      <c r="AB87" s="273"/>
      <c r="AC87" s="273"/>
      <c r="AD87" s="273"/>
      <c r="AE87" s="273"/>
      <c r="AF87" s="273"/>
      <c r="AG87" s="273"/>
      <c r="AH87" s="273"/>
      <c r="AI87" s="273"/>
      <c r="AJ87" s="273"/>
      <c r="AK87" s="273"/>
      <c r="AL87" s="273"/>
      <c r="AM87" s="273"/>
    </row>
    <row r="88" spans="3:39" ht="16.2" outlineLevel="1" thickBot="1">
      <c r="C88" s="266" t="s">
        <v>74</v>
      </c>
      <c r="D88" s="266"/>
      <c r="E88" s="4" t="s">
        <v>13</v>
      </c>
      <c r="F88" s="42"/>
      <c r="G88" s="294">
        <f ca="1">Ops!G1065</f>
        <v>0</v>
      </c>
      <c r="H88" s="294">
        <f ca="1">Ops!H1065</f>
        <v>0</v>
      </c>
      <c r="I88" s="294">
        <f ca="1">Ops!I1065</f>
        <v>747.42995614621304</v>
      </c>
      <c r="J88" s="294">
        <f ca="1">Ops!J1065</f>
        <v>2099.1766519028406</v>
      </c>
      <c r="K88" s="294">
        <f ca="1">Ops!K1065</f>
        <v>1613.595583495171</v>
      </c>
      <c r="L88" s="294">
        <f ca="1">Ops!L1065</f>
        <v>658.74874446110016</v>
      </c>
      <c r="M88" s="294">
        <f ca="1">Ops!M1065</f>
        <v>76.882148677014129</v>
      </c>
      <c r="N88" s="294">
        <f ca="1">Ops!N1065</f>
        <v>298.79020408438191</v>
      </c>
      <c r="O88" s="294">
        <f ca="1">Ops!O1065</f>
        <v>117.58250261053445</v>
      </c>
      <c r="P88" s="294">
        <f ca="1">Ops!P1065</f>
        <v>121.31176585641629</v>
      </c>
      <c r="Q88" s="294">
        <f ca="1">Ops!Q1065</f>
        <v>137.06443553054487</v>
      </c>
      <c r="R88" s="294">
        <f ca="1">Ops!R1065</f>
        <v>143.93975509005077</v>
      </c>
      <c r="S88" s="294">
        <f ca="1">Ops!S1065</f>
        <v>151.62319422784503</v>
      </c>
      <c r="T88" s="294">
        <f ca="1">Ops!T1065</f>
        <v>159.47042537700304</v>
      </c>
      <c r="U88" s="294">
        <f ca="1">Ops!U1065</f>
        <v>351.79011851178529</v>
      </c>
      <c r="V88" s="294">
        <f ca="1">Ops!V1065</f>
        <v>172.71219838781735</v>
      </c>
      <c r="W88" s="294">
        <f ca="1">Ops!W1065</f>
        <v>173.8590035312518</v>
      </c>
      <c r="X88" s="294">
        <f ca="1">Ops!X1065</f>
        <v>171.58178103078808</v>
      </c>
      <c r="Y88" s="294">
        <f ca="1">Ops!Y1065</f>
        <v>159.19049186673692</v>
      </c>
      <c r="Z88" s="294">
        <f ca="1">Ops!Z1065</f>
        <v>154.55182155282819</v>
      </c>
      <c r="AA88" s="294">
        <f ca="1">Ops!AA1065</f>
        <v>284.11796220664382</v>
      </c>
      <c r="AB88" s="294">
        <f ca="1">Ops!AB1065</f>
        <v>2227.8692349964458</v>
      </c>
      <c r="AC88" s="294">
        <f ca="1">Ops!AC1065</f>
        <v>4838.2162191802654</v>
      </c>
      <c r="AD88" s="294">
        <f ca="1">Ops!AD1065</f>
        <v>7815.3714103135617</v>
      </c>
      <c r="AE88" s="294">
        <f ca="1">Ops!AE1065</f>
        <v>11130.149377151782</v>
      </c>
      <c r="AF88" s="294">
        <f ca="1">Ops!AF1065</f>
        <v>14725.725920053617</v>
      </c>
      <c r="AG88" s="294">
        <f ca="1">Ops!AG1065</f>
        <v>18639.010603825926</v>
      </c>
      <c r="AH88" s="294">
        <f ca="1">Ops!AH1065</f>
        <v>22414.690351025918</v>
      </c>
      <c r="AI88" s="294">
        <f ca="1">Ops!AI1065</f>
        <v>27069.08995683019</v>
      </c>
      <c r="AJ88" s="294">
        <f ca="1">Ops!AJ1065</f>
        <v>35134.32043891518</v>
      </c>
      <c r="AK88" s="294">
        <f ca="1">Ops!AK1065</f>
        <v>35134.32043891518</v>
      </c>
      <c r="AL88" s="294">
        <f ca="1">Ops!AL1065</f>
        <v>35134.32043891518</v>
      </c>
      <c r="AM88" s="294">
        <f ca="1">Ops!AM1065</f>
        <v>35134.32043891518</v>
      </c>
    </row>
    <row r="89" spans="3:39" ht="16.2" outlineLevel="1" thickTop="1">
      <c r="C89" s="266"/>
      <c r="D89" s="266"/>
      <c r="E89" s="4"/>
      <c r="F89" s="25">
        <f ca="1">SUM(G89:AJ89)</f>
        <v>0</v>
      </c>
      <c r="G89" s="25">
        <f t="shared" ref="G89:AM89" ca="1" si="21">IF(ABS(G88)&lt;0,1,0)</f>
        <v>0</v>
      </c>
      <c r="H89" s="25">
        <f t="shared" ca="1" si="21"/>
        <v>0</v>
      </c>
      <c r="I89" s="25">
        <f t="shared" ca="1" si="21"/>
        <v>0</v>
      </c>
      <c r="J89" s="25">
        <f t="shared" ca="1" si="21"/>
        <v>0</v>
      </c>
      <c r="K89" s="25">
        <f t="shared" ca="1" si="21"/>
        <v>0</v>
      </c>
      <c r="L89" s="25">
        <f t="shared" ca="1" si="21"/>
        <v>0</v>
      </c>
      <c r="M89" s="25">
        <f t="shared" ca="1" si="21"/>
        <v>0</v>
      </c>
      <c r="N89" s="25">
        <f t="shared" ca="1" si="21"/>
        <v>0</v>
      </c>
      <c r="O89" s="25">
        <f t="shared" ca="1" si="21"/>
        <v>0</v>
      </c>
      <c r="P89" s="25">
        <f t="shared" ca="1" si="21"/>
        <v>0</v>
      </c>
      <c r="Q89" s="25">
        <f t="shared" ca="1" si="21"/>
        <v>0</v>
      </c>
      <c r="R89" s="25">
        <f t="shared" ca="1" si="21"/>
        <v>0</v>
      </c>
      <c r="S89" s="25">
        <f t="shared" ca="1" si="21"/>
        <v>0</v>
      </c>
      <c r="T89" s="25">
        <f t="shared" ca="1" si="21"/>
        <v>0</v>
      </c>
      <c r="U89" s="25">
        <f t="shared" ca="1" si="21"/>
        <v>0</v>
      </c>
      <c r="V89" s="25">
        <f t="shared" ca="1" si="21"/>
        <v>0</v>
      </c>
      <c r="W89" s="25">
        <f t="shared" ca="1" si="21"/>
        <v>0</v>
      </c>
      <c r="X89" s="25">
        <f t="shared" ca="1" si="21"/>
        <v>0</v>
      </c>
      <c r="Y89" s="25">
        <f t="shared" ca="1" si="21"/>
        <v>0</v>
      </c>
      <c r="Z89" s="25">
        <f t="shared" ca="1" si="21"/>
        <v>0</v>
      </c>
      <c r="AA89" s="25">
        <f t="shared" ca="1" si="21"/>
        <v>0</v>
      </c>
      <c r="AB89" s="25">
        <f t="shared" ca="1" si="21"/>
        <v>0</v>
      </c>
      <c r="AC89" s="25">
        <f t="shared" ca="1" si="21"/>
        <v>0</v>
      </c>
      <c r="AD89" s="25">
        <f t="shared" ca="1" si="21"/>
        <v>0</v>
      </c>
      <c r="AE89" s="25">
        <f t="shared" ca="1" si="21"/>
        <v>0</v>
      </c>
      <c r="AF89" s="25">
        <f t="shared" ca="1" si="21"/>
        <v>0</v>
      </c>
      <c r="AG89" s="25">
        <f t="shared" ca="1" si="21"/>
        <v>0</v>
      </c>
      <c r="AH89" s="25">
        <f t="shared" ca="1" si="21"/>
        <v>0</v>
      </c>
      <c r="AI89" s="25">
        <f t="shared" ca="1" si="21"/>
        <v>0</v>
      </c>
      <c r="AJ89" s="25">
        <f t="shared" ca="1" si="21"/>
        <v>0</v>
      </c>
      <c r="AK89" s="25">
        <f t="shared" ca="1" si="21"/>
        <v>0</v>
      </c>
      <c r="AL89" s="25">
        <f t="shared" ca="1" si="21"/>
        <v>0</v>
      </c>
      <c r="AM89" s="25">
        <f t="shared" ca="1" si="21"/>
        <v>0</v>
      </c>
    </row>
    <row r="90" spans="3:39">
      <c r="C90" s="266"/>
      <c r="E90" s="4"/>
      <c r="F90" s="266"/>
      <c r="G90" s="266"/>
      <c r="H90" s="266"/>
      <c r="I90" s="266"/>
      <c r="J90" s="266"/>
      <c r="K90" s="266"/>
      <c r="L90" s="266"/>
      <c r="M90" s="266"/>
      <c r="N90" s="266"/>
      <c r="O90" s="266"/>
      <c r="P90" s="266"/>
      <c r="Q90" s="266"/>
      <c r="R90" s="266"/>
      <c r="S90" s="266"/>
      <c r="T90" s="266"/>
      <c r="U90" s="266"/>
      <c r="V90" s="266"/>
      <c r="W90" s="266"/>
      <c r="X90" s="266"/>
      <c r="Y90" s="266"/>
      <c r="Z90" s="266"/>
      <c r="AA90" s="266"/>
      <c r="AB90" s="266"/>
      <c r="AC90" s="266"/>
      <c r="AD90" s="266"/>
      <c r="AE90" s="266"/>
      <c r="AF90" s="266"/>
      <c r="AG90" s="266"/>
      <c r="AH90" s="266"/>
      <c r="AI90" s="266"/>
      <c r="AJ90" s="266"/>
      <c r="AK90" s="266"/>
      <c r="AL90" s="266"/>
      <c r="AM90" s="266"/>
    </row>
    <row r="91" spans="3:39">
      <c r="C91" s="266"/>
      <c r="E91" s="4"/>
      <c r="F91" s="266"/>
      <c r="G91" s="266"/>
      <c r="H91" s="266"/>
      <c r="I91" s="266"/>
      <c r="J91" s="266"/>
      <c r="K91" s="266"/>
      <c r="L91" s="266"/>
      <c r="M91" s="266"/>
      <c r="N91" s="266"/>
      <c r="O91" s="266"/>
      <c r="P91" s="266"/>
      <c r="Q91" s="266"/>
      <c r="R91" s="266"/>
      <c r="S91" s="266"/>
      <c r="T91" s="266"/>
      <c r="U91" s="266"/>
      <c r="V91" s="266"/>
      <c r="W91" s="266"/>
      <c r="X91" s="266"/>
      <c r="Y91" s="266"/>
      <c r="Z91" s="266"/>
      <c r="AA91" s="266"/>
      <c r="AB91" s="266"/>
      <c r="AC91" s="266"/>
      <c r="AD91" s="266"/>
      <c r="AE91" s="266"/>
      <c r="AF91" s="266"/>
      <c r="AG91" s="266"/>
      <c r="AH91" s="266"/>
      <c r="AI91" s="266"/>
      <c r="AJ91" s="266"/>
      <c r="AK91" s="266"/>
      <c r="AL91" s="266"/>
      <c r="AM91" s="266"/>
    </row>
    <row r="92" spans="3:39" s="266" customFormat="1" ht="16.2" thickBot="1">
      <c r="C92" s="394" t="s">
        <v>75</v>
      </c>
      <c r="D92" s="395"/>
      <c r="E92" s="396"/>
      <c r="F92" s="395"/>
      <c r="G92" s="395"/>
      <c r="H92" s="395"/>
      <c r="I92" s="395"/>
      <c r="J92" s="395"/>
      <c r="K92" s="395"/>
      <c r="L92" s="395"/>
      <c r="M92" s="395"/>
      <c r="N92" s="395"/>
      <c r="O92" s="395"/>
      <c r="P92" s="395"/>
      <c r="Q92" s="395"/>
      <c r="R92" s="395"/>
      <c r="S92" s="395"/>
      <c r="T92" s="395"/>
      <c r="U92" s="395"/>
      <c r="V92" s="395"/>
      <c r="W92" s="395"/>
      <c r="X92" s="395"/>
      <c r="Y92" s="395"/>
      <c r="Z92" s="395"/>
      <c r="AA92" s="395"/>
      <c r="AB92" s="395"/>
      <c r="AC92" s="395"/>
      <c r="AD92" s="395"/>
      <c r="AE92" s="395"/>
      <c r="AF92" s="395"/>
      <c r="AG92" s="395"/>
      <c r="AH92" s="395"/>
      <c r="AI92" s="395"/>
      <c r="AJ92" s="395"/>
      <c r="AK92" s="8"/>
      <c r="AL92" s="8"/>
      <c r="AM92" s="8"/>
    </row>
    <row r="93" spans="3:39" s="266" customFormat="1">
      <c r="D93" s="4"/>
      <c r="E93" s="4"/>
    </row>
    <row r="94" spans="3:39" s="266" customFormat="1">
      <c r="D94" s="4"/>
      <c r="E94" s="4"/>
    </row>
    <row r="95" spans="3:39" s="266" customFormat="1">
      <c r="D95" s="4"/>
      <c r="E95" s="4"/>
    </row>
    <row r="96" spans="3:39" s="266" customFormat="1">
      <c r="D96" s="4"/>
      <c r="E96" s="4"/>
    </row>
    <row r="97" spans="3:39" s="266" customFormat="1">
      <c r="D97" s="4"/>
      <c r="E97" s="4"/>
    </row>
    <row r="98" spans="3:39" s="266" customFormat="1">
      <c r="D98" s="4"/>
      <c r="E98" s="4"/>
    </row>
    <row r="99" spans="3:39" s="266" customFormat="1">
      <c r="D99" s="4"/>
      <c r="E99" s="4"/>
    </row>
    <row r="100" spans="3:39" s="266" customFormat="1">
      <c r="D100" s="4"/>
      <c r="E100" s="4"/>
    </row>
    <row r="101" spans="3:39" s="266" customFormat="1">
      <c r="D101" s="4"/>
      <c r="E101" s="4"/>
    </row>
    <row r="102" spans="3:39" s="266" customFormat="1">
      <c r="D102" s="4"/>
      <c r="E102" s="4"/>
    </row>
    <row r="103" spans="3:39" s="266" customFormat="1">
      <c r="D103" s="4"/>
      <c r="E103" s="4"/>
    </row>
    <row r="104" spans="3:39" s="266" customFormat="1">
      <c r="D104" s="4"/>
      <c r="E104" s="4"/>
    </row>
    <row r="105" spans="3:39" s="266" customFormat="1">
      <c r="D105" s="4"/>
      <c r="E105" s="4"/>
    </row>
    <row r="106" spans="3:39" s="266" customFormat="1">
      <c r="D106" s="4"/>
      <c r="E106" s="4"/>
    </row>
    <row r="107" spans="3:39" s="266" customFormat="1">
      <c r="D107" s="4"/>
      <c r="E107" s="4"/>
    </row>
    <row r="108" spans="3:39" s="266" customFormat="1">
      <c r="D108" s="4"/>
      <c r="E108" s="4"/>
    </row>
    <row r="109" spans="3:39" s="266" customFormat="1" ht="16.2" thickBot="1">
      <c r="C109" s="394" t="s">
        <v>76</v>
      </c>
      <c r="D109" s="395"/>
      <c r="E109" s="396"/>
      <c r="F109" s="395"/>
      <c r="G109" s="395"/>
      <c r="H109" s="395"/>
      <c r="I109" s="395"/>
      <c r="J109" s="395"/>
      <c r="K109" s="395"/>
      <c r="L109" s="395"/>
      <c r="M109" s="395"/>
      <c r="N109" s="395"/>
      <c r="O109" s="395"/>
      <c r="P109" s="395"/>
      <c r="Q109" s="395"/>
      <c r="R109" s="395"/>
      <c r="S109" s="395"/>
      <c r="T109" s="395"/>
      <c r="U109" s="395"/>
      <c r="V109" s="395"/>
      <c r="W109" s="395"/>
      <c r="X109" s="395"/>
      <c r="Y109" s="395"/>
      <c r="Z109" s="395"/>
      <c r="AA109" s="395"/>
      <c r="AB109" s="395"/>
      <c r="AC109" s="395"/>
      <c r="AD109" s="395"/>
      <c r="AE109" s="395"/>
      <c r="AF109" s="395"/>
      <c r="AG109" s="395"/>
      <c r="AH109" s="395"/>
      <c r="AI109" s="395"/>
      <c r="AJ109" s="395"/>
      <c r="AK109" s="8"/>
      <c r="AL109" s="8"/>
      <c r="AM109" s="8"/>
    </row>
    <row r="110" spans="3:39" s="266" customFormat="1">
      <c r="D110" s="4"/>
      <c r="E110" s="4"/>
    </row>
    <row r="111" spans="3:39" s="266" customFormat="1" outlineLevel="1">
      <c r="C111" s="5" t="s">
        <v>41</v>
      </c>
      <c r="D111" s="4"/>
      <c r="E111" s="4"/>
    </row>
    <row r="112" spans="3:39" s="266" customFormat="1" outlineLevel="1">
      <c r="C112" s="266" t="s">
        <v>42</v>
      </c>
      <c r="D112" s="4"/>
      <c r="E112" s="4" t="s">
        <v>13</v>
      </c>
      <c r="F112" s="44">
        <f>SUM(G112:AM112)</f>
        <v>225809.85502067092</v>
      </c>
      <c r="G112" s="278">
        <f>G16</f>
        <v>15451.717165367998</v>
      </c>
      <c r="H112" s="278">
        <f t="shared" ref="H112:AM114" si="22">H16</f>
        <v>6334.3740971543702</v>
      </c>
      <c r="I112" s="278">
        <f t="shared" si="22"/>
        <v>6406.5075084297869</v>
      </c>
      <c r="J112" s="278">
        <f t="shared" si="22"/>
        <v>6477.8193831813778</v>
      </c>
      <c r="K112" s="278">
        <f t="shared" si="22"/>
        <v>6548.32822384881</v>
      </c>
      <c r="L112" s="278">
        <f t="shared" si="22"/>
        <v>6618.0519147711393</v>
      </c>
      <c r="M112" s="278">
        <f t="shared" si="22"/>
        <v>6687.0077494149991</v>
      </c>
      <c r="N112" s="278">
        <f t="shared" si="22"/>
        <v>6755.2124561198252</v>
      </c>
      <c r="O112" s="278">
        <f t="shared" si="22"/>
        <v>6822.6822224559801</v>
      </c>
      <c r="P112" s="278">
        <f t="shared" si="22"/>
        <v>6889.43271828452</v>
      </c>
      <c r="Q112" s="278">
        <f t="shared" si="22"/>
        <v>6955.4791176007702</v>
      </c>
      <c r="R112" s="278">
        <f t="shared" si="22"/>
        <v>7020.8361192378707</v>
      </c>
      <c r="S112" s="278">
        <f t="shared" si="22"/>
        <v>7085.5179665009537</v>
      </c>
      <c r="T112" s="278">
        <f t="shared" si="22"/>
        <v>7149.5384657975737</v>
      </c>
      <c r="U112" s="278">
        <f t="shared" si="22"/>
        <v>7212.9110043253195</v>
      </c>
      <c r="V112" s="278">
        <f t="shared" si="22"/>
        <v>7275.6485668732985</v>
      </c>
      <c r="W112" s="278">
        <f t="shared" si="22"/>
        <v>7337.7637517902504</v>
      </c>
      <c r="X112" s="278">
        <f t="shared" si="22"/>
        <v>7399.2687861683899</v>
      </c>
      <c r="Y112" s="278">
        <f t="shared" si="22"/>
        <v>7460.1755402887547</v>
      </c>
      <c r="Z112" s="278">
        <f t="shared" si="22"/>
        <v>7520.4955413707503</v>
      </c>
      <c r="AA112" s="278">
        <f t="shared" si="22"/>
        <v>7580.2399866657288</v>
      </c>
      <c r="AB112" s="278">
        <f t="shared" si="22"/>
        <v>7639.4197559317854</v>
      </c>
      <c r="AC112" s="278">
        <f t="shared" si="22"/>
        <v>7698.04542332456</v>
      </c>
      <c r="AD112" s="278">
        <f t="shared" si="22"/>
        <v>7756.1272687365181</v>
      </c>
      <c r="AE112" s="278">
        <f t="shared" si="22"/>
        <v>7813.6752886151517</v>
      </c>
      <c r="AF112" s="278">
        <f t="shared" si="22"/>
        <v>7870.6992062885556</v>
      </c>
      <c r="AG112" s="278">
        <f t="shared" si="22"/>
        <v>7927.2084818250605</v>
      </c>
      <c r="AH112" s="278">
        <f t="shared" si="22"/>
        <v>7983.2123214519324</v>
      </c>
      <c r="AI112" s="278">
        <f t="shared" si="22"/>
        <v>8038.7196865565847</v>
      </c>
      <c r="AJ112" s="278">
        <f t="shared" si="22"/>
        <v>8093.7393022923152</v>
      </c>
      <c r="AK112" s="278">
        <f t="shared" si="22"/>
        <v>0</v>
      </c>
      <c r="AL112" s="278">
        <f t="shared" si="22"/>
        <v>0</v>
      </c>
      <c r="AM112" s="278">
        <f t="shared" si="22"/>
        <v>0</v>
      </c>
    </row>
    <row r="113" spans="3:39" s="266" customFormat="1" outlineLevel="1">
      <c r="C113" s="266" t="s">
        <v>43</v>
      </c>
      <c r="D113" s="4"/>
      <c r="E113" s="4" t="s">
        <v>13</v>
      </c>
      <c r="F113" s="44">
        <f>SUM(G113:AM113)</f>
        <v>555333.9449924737</v>
      </c>
      <c r="G113" s="278">
        <f>G17</f>
        <v>0</v>
      </c>
      <c r="H113" s="278">
        <f t="shared" si="22"/>
        <v>11758.952798734137</v>
      </c>
      <c r="I113" s="278">
        <f t="shared" si="22"/>
        <v>15920.762778005295</v>
      </c>
      <c r="J113" s="278">
        <f t="shared" si="22"/>
        <v>16102.167234904948</v>
      </c>
      <c r="K113" s="278">
        <f t="shared" si="22"/>
        <v>16283.571691804606</v>
      </c>
      <c r="L113" s="278">
        <f t="shared" si="22"/>
        <v>16464.97614870426</v>
      </c>
      <c r="M113" s="278">
        <f t="shared" si="22"/>
        <v>17728.395344968165</v>
      </c>
      <c r="N113" s="278">
        <f t="shared" si="22"/>
        <v>17921.591091566297</v>
      </c>
      <c r="O113" s="278">
        <f t="shared" si="22"/>
        <v>18114.786838164429</v>
      </c>
      <c r="P113" s="278">
        <f t="shared" si="22"/>
        <v>18307.982584762562</v>
      </c>
      <c r="Q113" s="278">
        <f t="shared" si="22"/>
        <v>18501.17833136069</v>
      </c>
      <c r="R113" s="278">
        <f t="shared" si="22"/>
        <v>18694.374077958822</v>
      </c>
      <c r="S113" s="278">
        <f t="shared" si="22"/>
        <v>18887.569824556955</v>
      </c>
      <c r="T113" s="278">
        <f t="shared" si="22"/>
        <v>19080.765571155087</v>
      </c>
      <c r="U113" s="278">
        <f t="shared" si="22"/>
        <v>19273.961317753216</v>
      </c>
      <c r="V113" s="278">
        <f t="shared" si="22"/>
        <v>19467.157064351348</v>
      </c>
      <c r="W113" s="278">
        <f t="shared" si="22"/>
        <v>19660.35281094948</v>
      </c>
      <c r="X113" s="278">
        <f t="shared" si="22"/>
        <v>19853.548557547612</v>
      </c>
      <c r="Y113" s="278">
        <f t="shared" si="22"/>
        <v>20046.744304145745</v>
      </c>
      <c r="Z113" s="278">
        <f t="shared" si="22"/>
        <v>20239.940050743877</v>
      </c>
      <c r="AA113" s="278">
        <f t="shared" si="22"/>
        <v>20433.135797342009</v>
      </c>
      <c r="AB113" s="278">
        <f t="shared" si="22"/>
        <v>20626.331543940141</v>
      </c>
      <c r="AC113" s="278">
        <f t="shared" si="22"/>
        <v>20819.527290538274</v>
      </c>
      <c r="AD113" s="278">
        <f t="shared" si="22"/>
        <v>21012.723037136402</v>
      </c>
      <c r="AE113" s="278">
        <f t="shared" si="22"/>
        <v>21205.918783734534</v>
      </c>
      <c r="AF113" s="278">
        <f t="shared" si="22"/>
        <v>21399.11453033267</v>
      </c>
      <c r="AG113" s="278">
        <f t="shared" si="22"/>
        <v>21592.310276930795</v>
      </c>
      <c r="AH113" s="278">
        <f t="shared" si="22"/>
        <v>21785.506023528927</v>
      </c>
      <c r="AI113" s="278">
        <f t="shared" si="22"/>
        <v>21978.701770127063</v>
      </c>
      <c r="AJ113" s="278">
        <f t="shared" si="22"/>
        <v>22171.897516725192</v>
      </c>
      <c r="AK113" s="278">
        <f t="shared" si="22"/>
        <v>0</v>
      </c>
      <c r="AL113" s="278">
        <f t="shared" si="22"/>
        <v>0</v>
      </c>
      <c r="AM113" s="278">
        <f t="shared" si="22"/>
        <v>0</v>
      </c>
    </row>
    <row r="114" spans="3:39" s="266" customFormat="1" outlineLevel="1">
      <c r="C114" s="266" t="s">
        <v>44</v>
      </c>
      <c r="D114" s="4"/>
      <c r="E114" s="4" t="s">
        <v>13</v>
      </c>
      <c r="F114" s="44">
        <f>SUM(G114:AM114)</f>
        <v>-64644.804601249227</v>
      </c>
      <c r="G114" s="278">
        <f>G18</f>
        <v>424.290650251957</v>
      </c>
      <c r="H114" s="278">
        <f t="shared" si="22"/>
        <v>-3041.9030717481432</v>
      </c>
      <c r="I114" s="278">
        <f t="shared" si="22"/>
        <v>-2832.4535011664716</v>
      </c>
      <c r="J114" s="278">
        <f t="shared" si="22"/>
        <v>-2404.4215573262618</v>
      </c>
      <c r="K114" s="278">
        <f t="shared" si="22"/>
        <v>-2244.7610438431461</v>
      </c>
      <c r="L114" s="278">
        <f t="shared" si="22"/>
        <v>-1047.8130758105228</v>
      </c>
      <c r="M114" s="278">
        <f t="shared" si="22"/>
        <v>-2183.0472397748431</v>
      </c>
      <c r="N114" s="278">
        <f t="shared" si="22"/>
        <v>-1317.5386062574748</v>
      </c>
      <c r="O114" s="278">
        <f t="shared" si="22"/>
        <v>-1923.9501265220101</v>
      </c>
      <c r="P114" s="278">
        <f t="shared" si="22"/>
        <v>-2059.0777752694512</v>
      </c>
      <c r="Q114" s="278">
        <f t="shared" si="22"/>
        <v>-2038.7449076544367</v>
      </c>
      <c r="R114" s="278">
        <f t="shared" si="22"/>
        <v>-2107.1597895875261</v>
      </c>
      <c r="S114" s="278">
        <f t="shared" si="22"/>
        <v>-2170.7480879748173</v>
      </c>
      <c r="T114" s="278">
        <f t="shared" si="22"/>
        <v>-2263.6014341363116</v>
      </c>
      <c r="U114" s="278">
        <f t="shared" si="22"/>
        <v>-1558.9445917310918</v>
      </c>
      <c r="V114" s="278">
        <f t="shared" si="22"/>
        <v>-2106.1291680001568</v>
      </c>
      <c r="W114" s="278">
        <f t="shared" si="22"/>
        <v>-2313.9214854175107</v>
      </c>
      <c r="X114" s="278">
        <f t="shared" si="22"/>
        <v>-2389.1466220148145</v>
      </c>
      <c r="Y114" s="278">
        <f t="shared" si="22"/>
        <v>-2344.5989631868079</v>
      </c>
      <c r="Z114" s="278">
        <f t="shared" si="22"/>
        <v>-2451.5721330803349</v>
      </c>
      <c r="AA114" s="278">
        <f t="shared" si="22"/>
        <v>-2373.6289815585651</v>
      </c>
      <c r="AB114" s="278">
        <f t="shared" si="22"/>
        <v>-1729.5870993694857</v>
      </c>
      <c r="AC114" s="278">
        <f t="shared" si="22"/>
        <v>-2493.09305091853</v>
      </c>
      <c r="AD114" s="278">
        <f t="shared" si="22"/>
        <v>-2525.8969878474359</v>
      </c>
      <c r="AE114" s="278">
        <f t="shared" si="22"/>
        <v>-2593.9242442935511</v>
      </c>
      <c r="AF114" s="278">
        <f t="shared" si="22"/>
        <v>-2358.4076562271607</v>
      </c>
      <c r="AG114" s="278">
        <f t="shared" si="22"/>
        <v>-2688.4601505613946</v>
      </c>
      <c r="AH114" s="278">
        <f t="shared" si="22"/>
        <v>-2544.203075433385</v>
      </c>
      <c r="AI114" s="278">
        <f t="shared" si="22"/>
        <v>-2170.2401795129713</v>
      </c>
      <c r="AJ114" s="278">
        <f t="shared" si="22"/>
        <v>-2792.1206452765796</v>
      </c>
      <c r="AK114" s="278">
        <f t="shared" si="22"/>
        <v>0</v>
      </c>
      <c r="AL114" s="278">
        <f t="shared" si="22"/>
        <v>0</v>
      </c>
      <c r="AM114" s="278">
        <f t="shared" si="22"/>
        <v>0</v>
      </c>
    </row>
    <row r="115" spans="3:39" s="266" customFormat="1">
      <c r="C115" s="11" t="s">
        <v>77</v>
      </c>
      <c r="D115" s="4"/>
      <c r="E115" s="764" t="s">
        <v>13</v>
      </c>
      <c r="F115" s="54">
        <f>SUM(G115:AM115)</f>
        <v>716498.99541189522</v>
      </c>
      <c r="G115" s="58">
        <f>SUM(G112:G114)</f>
        <v>15876.007815619954</v>
      </c>
      <c r="H115" s="58">
        <f t="shared" ref="H115:AM115" si="23">SUM(H112:H114)</f>
        <v>15051.423824140365</v>
      </c>
      <c r="I115" s="58">
        <f t="shared" si="23"/>
        <v>19494.816785268613</v>
      </c>
      <c r="J115" s="58">
        <f t="shared" si="23"/>
        <v>20175.565060760062</v>
      </c>
      <c r="K115" s="58">
        <f t="shared" si="23"/>
        <v>20587.138871810268</v>
      </c>
      <c r="L115" s="58">
        <f t="shared" si="23"/>
        <v>22035.214987664876</v>
      </c>
      <c r="M115" s="58">
        <f t="shared" si="23"/>
        <v>22232.355854608322</v>
      </c>
      <c r="N115" s="58">
        <f t="shared" si="23"/>
        <v>23359.264941428646</v>
      </c>
      <c r="O115" s="58">
        <f t="shared" si="23"/>
        <v>23013.5189340984</v>
      </c>
      <c r="P115" s="58">
        <f t="shared" si="23"/>
        <v>23138.337527777629</v>
      </c>
      <c r="Q115" s="58">
        <f t="shared" si="23"/>
        <v>23417.912541307025</v>
      </c>
      <c r="R115" s="58">
        <f t="shared" si="23"/>
        <v>23608.050407609164</v>
      </c>
      <c r="S115" s="58">
        <f t="shared" si="23"/>
        <v>23802.339703083089</v>
      </c>
      <c r="T115" s="58">
        <f t="shared" si="23"/>
        <v>23966.702602816349</v>
      </c>
      <c r="U115" s="58">
        <f t="shared" si="23"/>
        <v>24927.927730347445</v>
      </c>
      <c r="V115" s="58">
        <f t="shared" si="23"/>
        <v>24636.676463224492</v>
      </c>
      <c r="W115" s="58">
        <f t="shared" si="23"/>
        <v>24684.19507732222</v>
      </c>
      <c r="X115" s="58">
        <f t="shared" si="23"/>
        <v>24863.670721701186</v>
      </c>
      <c r="Y115" s="58">
        <f t="shared" si="23"/>
        <v>25162.320881247691</v>
      </c>
      <c r="Z115" s="58">
        <f t="shared" si="23"/>
        <v>25308.863459034292</v>
      </c>
      <c r="AA115" s="58">
        <f t="shared" si="23"/>
        <v>25639.746802449172</v>
      </c>
      <c r="AB115" s="58">
        <f t="shared" si="23"/>
        <v>26536.164200502441</v>
      </c>
      <c r="AC115" s="58">
        <f t="shared" si="23"/>
        <v>26024.479662944304</v>
      </c>
      <c r="AD115" s="58">
        <f t="shared" si="23"/>
        <v>26242.953318025484</v>
      </c>
      <c r="AE115" s="58">
        <f t="shared" si="23"/>
        <v>26425.669828056136</v>
      </c>
      <c r="AF115" s="58">
        <f t="shared" si="23"/>
        <v>26911.406080394063</v>
      </c>
      <c r="AG115" s="58">
        <f t="shared" si="23"/>
        <v>26831.05860819446</v>
      </c>
      <c r="AH115" s="58">
        <f t="shared" si="23"/>
        <v>27224.515269547472</v>
      </c>
      <c r="AI115" s="58">
        <f t="shared" si="23"/>
        <v>27847.181277170679</v>
      </c>
      <c r="AJ115" s="58">
        <f t="shared" si="23"/>
        <v>27473.516173740925</v>
      </c>
      <c r="AK115" s="58">
        <f t="shared" si="23"/>
        <v>0</v>
      </c>
      <c r="AL115" s="58">
        <f t="shared" si="23"/>
        <v>0</v>
      </c>
      <c r="AM115" s="58">
        <f t="shared" si="23"/>
        <v>0</v>
      </c>
    </row>
    <row r="116" spans="3:39" s="266" customFormat="1">
      <c r="D116" s="4"/>
      <c r="E116" s="4"/>
    </row>
    <row r="117" spans="3:39" s="266" customFormat="1" outlineLevel="1">
      <c r="C117" s="266" t="s">
        <v>78</v>
      </c>
      <c r="D117" s="4"/>
      <c r="E117" s="4" t="s">
        <v>13</v>
      </c>
      <c r="F117" s="44">
        <f ca="1">SUM(G117:AM117)</f>
        <v>-537686.56238789344</v>
      </c>
      <c r="G117" s="278">
        <f ca="1">G40</f>
        <v>-15824.479340759093</v>
      </c>
      <c r="H117" s="278">
        <f t="shared" ref="H117:AM117" ca="1" si="24">H40</f>
        <v>-16558.896777386326</v>
      </c>
      <c r="I117" s="278">
        <f t="shared" ca="1" si="24"/>
        <v>-17000.823430964072</v>
      </c>
      <c r="J117" s="278">
        <f t="shared" ca="1" si="24"/>
        <v>-17371.108370351143</v>
      </c>
      <c r="K117" s="278">
        <f t="shared" ca="1" si="24"/>
        <v>-17423.764539645937</v>
      </c>
      <c r="L117" s="278">
        <f t="shared" ca="1" si="24"/>
        <v>-17544.075520375573</v>
      </c>
      <c r="M117" s="278">
        <f t="shared" ca="1" si="24"/>
        <v>-18476.669625966304</v>
      </c>
      <c r="N117" s="278">
        <f t="shared" ca="1" si="24"/>
        <v>-17683.235928414168</v>
      </c>
      <c r="O117" s="278">
        <f t="shared" ca="1" si="24"/>
        <v>-17682.114610757362</v>
      </c>
      <c r="P117" s="278">
        <f t="shared" ca="1" si="24"/>
        <v>-17766.050958875559</v>
      </c>
      <c r="Q117" s="278">
        <f t="shared" ca="1" si="24"/>
        <v>-17786.989367772672</v>
      </c>
      <c r="R117" s="278">
        <f t="shared" ca="1" si="24"/>
        <v>-17806.218769252977</v>
      </c>
      <c r="S117" s="278">
        <f t="shared" ca="1" si="24"/>
        <v>-17823.816090227585</v>
      </c>
      <c r="T117" s="278">
        <f t="shared" ca="1" si="24"/>
        <v>-17841.874094682855</v>
      </c>
      <c r="U117" s="278">
        <f t="shared" ca="1" si="24"/>
        <v>-17880.691807455227</v>
      </c>
      <c r="V117" s="278">
        <f t="shared" ca="1" si="24"/>
        <v>-17894.665108544632</v>
      </c>
      <c r="W117" s="278">
        <f t="shared" ca="1" si="24"/>
        <v>-17901.071060996619</v>
      </c>
      <c r="X117" s="278">
        <f t="shared" ca="1" si="24"/>
        <v>-17919.290232274809</v>
      </c>
      <c r="Y117" s="278">
        <f t="shared" ca="1" si="24"/>
        <v>-18327.509914419854</v>
      </c>
      <c r="Z117" s="278">
        <f t="shared" ca="1" si="24"/>
        <v>-18344.841594598049</v>
      </c>
      <c r="AA117" s="278">
        <f t="shared" ca="1" si="24"/>
        <v>-18367.734736175982</v>
      </c>
      <c r="AB117" s="278">
        <f t="shared" ca="1" si="24"/>
        <v>-18405.927543043617</v>
      </c>
      <c r="AC117" s="278">
        <f t="shared" ca="1" si="24"/>
        <v>-18404.511288450074</v>
      </c>
      <c r="AD117" s="278">
        <f t="shared" ca="1" si="24"/>
        <v>-18423.969073017677</v>
      </c>
      <c r="AE117" s="278">
        <f t="shared" ca="1" si="24"/>
        <v>-18442.364896695868</v>
      </c>
      <c r="AF117" s="278">
        <f t="shared" ca="1" si="24"/>
        <v>-18477.523506741141</v>
      </c>
      <c r="AG117" s="278">
        <f t="shared" ca="1" si="24"/>
        <v>-18542.39797265911</v>
      </c>
      <c r="AH117" s="278">
        <f t="shared" ca="1" si="24"/>
        <v>-18566.885528374976</v>
      </c>
      <c r="AI117" s="278">
        <f t="shared" ca="1" si="24"/>
        <v>-18596.806854780501</v>
      </c>
      <c r="AJ117" s="278">
        <f t="shared" ca="1" si="24"/>
        <v>-18600.253844233692</v>
      </c>
      <c r="AK117" s="278">
        <f t="shared" ca="1" si="24"/>
        <v>0</v>
      </c>
      <c r="AL117" s="278">
        <f t="shared" ca="1" si="24"/>
        <v>0</v>
      </c>
      <c r="AM117" s="278">
        <f t="shared" ca="1" si="24"/>
        <v>0</v>
      </c>
    </row>
    <row r="118" spans="3:39" s="266" customFormat="1" outlineLevel="1">
      <c r="C118" s="266" t="s">
        <v>49</v>
      </c>
      <c r="D118" s="4"/>
      <c r="E118" s="4" t="s">
        <v>13</v>
      </c>
      <c r="F118" s="44">
        <f>SUM(G118:AM118)</f>
        <v>-2.2737367544323206E-13</v>
      </c>
      <c r="G118" s="278">
        <f>G42</f>
        <v>-603.77922659067826</v>
      </c>
      <c r="H118" s="278">
        <f t="shared" ref="H118:AM118" si="25">H42</f>
        <v>69.238521778629348</v>
      </c>
      <c r="I118" s="278">
        <f t="shared" si="25"/>
        <v>-330.5296923146484</v>
      </c>
      <c r="J118" s="278">
        <f t="shared" si="25"/>
        <v>-12.209749493543626</v>
      </c>
      <c r="K118" s="278">
        <f t="shared" si="25"/>
        <v>-33.827984469879993</v>
      </c>
      <c r="L118" s="278">
        <f t="shared" si="25"/>
        <v>-116.20539711625182</v>
      </c>
      <c r="M118" s="278">
        <f t="shared" si="25"/>
        <v>-19.017916538382877</v>
      </c>
      <c r="N118" s="278">
        <f t="shared" si="25"/>
        <v>-92.622664670163658</v>
      </c>
      <c r="O118" s="278">
        <f t="shared" si="25"/>
        <v>28.417480054540874</v>
      </c>
      <c r="P118" s="278">
        <f t="shared" si="25"/>
        <v>-7.1967791831050647</v>
      </c>
      <c r="Q118" s="278">
        <f t="shared" si="25"/>
        <v>-26.04105154637088</v>
      </c>
      <c r="R118" s="278">
        <f t="shared" si="25"/>
        <v>-15.627769833052753</v>
      </c>
      <c r="S118" s="278">
        <f t="shared" si="25"/>
        <v>-15.968983189637356</v>
      </c>
      <c r="T118" s="278">
        <f t="shared" si="25"/>
        <v>-10.260972073456998</v>
      </c>
      <c r="U118" s="278">
        <f t="shared" si="25"/>
        <v>-82.253112359230016</v>
      </c>
      <c r="V118" s="278">
        <f t="shared" si="25"/>
        <v>23.93846031147541</v>
      </c>
      <c r="W118" s="278">
        <f t="shared" si="25"/>
        <v>-3.9056395148816136</v>
      </c>
      <c r="X118" s="278">
        <f t="shared" si="25"/>
        <v>-11.301685395137184</v>
      </c>
      <c r="Y118" s="278">
        <f t="shared" si="25"/>
        <v>12.051645893317783</v>
      </c>
      <c r="Z118" s="278">
        <f t="shared" si="25"/>
        <v>-12.044595434515031</v>
      </c>
      <c r="AA118" s="278">
        <f t="shared" si="25"/>
        <v>-27.195891239578941</v>
      </c>
      <c r="AB118" s="278">
        <f t="shared" si="25"/>
        <v>-69.962237537359584</v>
      </c>
      <c r="AC118" s="278">
        <f t="shared" si="25"/>
        <v>38.340358592553827</v>
      </c>
      <c r="AD118" s="278">
        <f t="shared" si="25"/>
        <v>-17.956738773795678</v>
      </c>
      <c r="AE118" s="278">
        <f t="shared" si="25"/>
        <v>-15.017795344985188</v>
      </c>
      <c r="AF118" s="278">
        <f t="shared" si="25"/>
        <v>-36.123355612430629</v>
      </c>
      <c r="AG118" s="278">
        <f t="shared" si="25"/>
        <v>2.8037298476373564</v>
      </c>
      <c r="AH118" s="278">
        <f t="shared" si="25"/>
        <v>-32.338903672850392</v>
      </c>
      <c r="AI118" s="278">
        <f t="shared" si="25"/>
        <v>-51.178028023825391</v>
      </c>
      <c r="AJ118" s="278">
        <f t="shared" si="25"/>
        <v>1467.7759734496067</v>
      </c>
      <c r="AK118" s="278">
        <f t="shared" si="25"/>
        <v>0</v>
      </c>
      <c r="AL118" s="278">
        <f t="shared" si="25"/>
        <v>0</v>
      </c>
      <c r="AM118" s="278">
        <f t="shared" si="25"/>
        <v>0</v>
      </c>
    </row>
    <row r="119" spans="3:39" s="266" customFormat="1" outlineLevel="1">
      <c r="D119" s="4"/>
      <c r="E119" s="4"/>
    </row>
    <row r="120" spans="3:39" s="266" customFormat="1">
      <c r="C120" s="11" t="s">
        <v>50</v>
      </c>
      <c r="D120" s="4"/>
      <c r="E120" s="764" t="s">
        <v>13</v>
      </c>
      <c r="F120" s="54">
        <f ca="1">SUM(G120:AM120)</f>
        <v>178812.4330240018</v>
      </c>
      <c r="G120" s="58">
        <f ca="1">SUM(G115:G118)</f>
        <v>-552.25075172981724</v>
      </c>
      <c r="H120" s="58">
        <f t="shared" ref="H120:AM120" ca="1" si="26">SUM(H115:H118)</f>
        <v>-1438.2344314673312</v>
      </c>
      <c r="I120" s="58">
        <f t="shared" ca="1" si="26"/>
        <v>2163.4636619898924</v>
      </c>
      <c r="J120" s="58">
        <f t="shared" ca="1" si="26"/>
        <v>2792.246940915375</v>
      </c>
      <c r="K120" s="58">
        <f t="shared" ca="1" si="26"/>
        <v>3129.5463476944506</v>
      </c>
      <c r="L120" s="58">
        <f t="shared" ca="1" si="26"/>
        <v>4374.9340701730516</v>
      </c>
      <c r="M120" s="58">
        <f t="shared" ca="1" si="26"/>
        <v>3736.6683121036353</v>
      </c>
      <c r="N120" s="58">
        <f t="shared" ca="1" si="26"/>
        <v>5583.4063483443151</v>
      </c>
      <c r="O120" s="58">
        <f t="shared" ca="1" si="26"/>
        <v>5359.8218033955782</v>
      </c>
      <c r="P120" s="58">
        <f t="shared" ca="1" si="26"/>
        <v>5365.0897897189643</v>
      </c>
      <c r="Q120" s="58">
        <f t="shared" ca="1" si="26"/>
        <v>5604.8821219879819</v>
      </c>
      <c r="R120" s="58">
        <f t="shared" ca="1" si="26"/>
        <v>5786.2038685231346</v>
      </c>
      <c r="S120" s="58">
        <f t="shared" ca="1" si="26"/>
        <v>5962.5546296658667</v>
      </c>
      <c r="T120" s="58">
        <f t="shared" ca="1" si="26"/>
        <v>6114.5675360600371</v>
      </c>
      <c r="U120" s="58">
        <f t="shared" ca="1" si="26"/>
        <v>6964.982810532988</v>
      </c>
      <c r="V120" s="58">
        <f t="shared" ca="1" si="26"/>
        <v>6765.9498149913361</v>
      </c>
      <c r="W120" s="58">
        <f t="shared" ca="1" si="26"/>
        <v>6779.2183768107188</v>
      </c>
      <c r="X120" s="58">
        <f t="shared" ca="1" si="26"/>
        <v>6933.07880403124</v>
      </c>
      <c r="Y120" s="58">
        <f t="shared" ca="1" si="26"/>
        <v>6846.8626127211555</v>
      </c>
      <c r="Z120" s="58">
        <f t="shared" ca="1" si="26"/>
        <v>6951.977269001728</v>
      </c>
      <c r="AA120" s="58">
        <f t="shared" ca="1" si="26"/>
        <v>7244.8161750336112</v>
      </c>
      <c r="AB120" s="58">
        <f t="shared" ca="1" si="26"/>
        <v>8060.274419921464</v>
      </c>
      <c r="AC120" s="58">
        <f t="shared" ca="1" si="26"/>
        <v>7658.3087330867838</v>
      </c>
      <c r="AD120" s="58">
        <f t="shared" ca="1" si="26"/>
        <v>7801.0275062340115</v>
      </c>
      <c r="AE120" s="58">
        <f t="shared" ca="1" si="26"/>
        <v>7968.2871360152822</v>
      </c>
      <c r="AF120" s="58">
        <f t="shared" ca="1" si="26"/>
        <v>8397.7592180404918</v>
      </c>
      <c r="AG120" s="58">
        <f t="shared" ca="1" si="26"/>
        <v>8291.464365382988</v>
      </c>
      <c r="AH120" s="58">
        <f t="shared" ca="1" si="26"/>
        <v>8625.2908374996441</v>
      </c>
      <c r="AI120" s="58">
        <f t="shared" ca="1" si="26"/>
        <v>9199.1963943663523</v>
      </c>
      <c r="AJ120" s="58">
        <f t="shared" ca="1" si="26"/>
        <v>10341.03830295684</v>
      </c>
      <c r="AK120" s="58">
        <f t="shared" ca="1" si="26"/>
        <v>0</v>
      </c>
      <c r="AL120" s="58">
        <f t="shared" ca="1" si="26"/>
        <v>0</v>
      </c>
      <c r="AM120" s="58">
        <f t="shared" ca="1" si="26"/>
        <v>0</v>
      </c>
    </row>
    <row r="121" spans="3:39" s="266" customFormat="1">
      <c r="D121" s="4"/>
      <c r="E121" s="4"/>
    </row>
    <row r="122" spans="3:39" s="266" customFormat="1" outlineLevel="1">
      <c r="C122" s="266" t="s">
        <v>79</v>
      </c>
      <c r="D122" s="4"/>
      <c r="E122" s="4" t="s">
        <v>13</v>
      </c>
      <c r="F122" s="44">
        <f t="shared" ref="F122:F124" si="27">SUM(G122:AM122)</f>
        <v>-76776.486292563059</v>
      </c>
      <c r="G122" s="278">
        <f>G49</f>
        <v>-10775.031120895999</v>
      </c>
      <c r="H122" s="278">
        <f t="shared" ref="H122:AM122" si="28">H49</f>
        <v>-1472.4358093250448</v>
      </c>
      <c r="I122" s="278">
        <f t="shared" si="28"/>
        <v>-1743.4786958342002</v>
      </c>
      <c r="J122" s="278">
        <f t="shared" si="28"/>
        <v>-397.26424167419998</v>
      </c>
      <c r="K122" s="278">
        <f t="shared" si="28"/>
        <v>-763.15204167420006</v>
      </c>
      <c r="L122" s="278">
        <f t="shared" si="28"/>
        <v>-12305.51313337047</v>
      </c>
      <c r="M122" s="278">
        <f t="shared" si="28"/>
        <v>-241.59493295294399</v>
      </c>
      <c r="N122" s="278">
        <f t="shared" si="28"/>
        <v>-8189.1826116742004</v>
      </c>
      <c r="O122" s="278">
        <f t="shared" si="28"/>
        <v>-43.404541674200004</v>
      </c>
      <c r="P122" s="278">
        <f t="shared" si="28"/>
        <v>-845.77904167420013</v>
      </c>
      <c r="Q122" s="278">
        <f t="shared" si="28"/>
        <v>-1452.9584045185595</v>
      </c>
      <c r="R122" s="278">
        <f t="shared" si="28"/>
        <v>-1099.803583204369</v>
      </c>
      <c r="S122" s="278">
        <f t="shared" si="28"/>
        <v>-797.93392010620016</v>
      </c>
      <c r="T122" s="278">
        <f t="shared" si="28"/>
        <v>-178.80952295294401</v>
      </c>
      <c r="U122" s="278">
        <f t="shared" si="28"/>
        <v>-8180.5448516742008</v>
      </c>
      <c r="V122" s="278">
        <f t="shared" si="28"/>
        <v>-2648.0324560422537</v>
      </c>
      <c r="W122" s="278">
        <f t="shared" si="28"/>
        <v>-783.53025167420014</v>
      </c>
      <c r="X122" s="278">
        <f t="shared" si="28"/>
        <v>-351.64980167419998</v>
      </c>
      <c r="Y122" s="278">
        <f t="shared" si="28"/>
        <v>-825.99884167420009</v>
      </c>
      <c r="Z122" s="278">
        <f t="shared" si="28"/>
        <v>-49.327041674200004</v>
      </c>
      <c r="AA122" s="278">
        <f t="shared" si="28"/>
        <v>-1270.9883857973036</v>
      </c>
      <c r="AB122" s="278">
        <f t="shared" si="28"/>
        <v>-8611.8881932043696</v>
      </c>
      <c r="AC122" s="278">
        <f t="shared" si="28"/>
        <v>-735.3069201062001</v>
      </c>
      <c r="AD122" s="278">
        <f t="shared" si="28"/>
        <v>-757.22954167420005</v>
      </c>
      <c r="AE122" s="278">
        <f t="shared" si="28"/>
        <v>-397.92364167419998</v>
      </c>
      <c r="AF122" s="278">
        <f t="shared" si="28"/>
        <v>-3319.4787361862541</v>
      </c>
      <c r="AG122" s="278">
        <f t="shared" si="28"/>
        <v>-63.7827516742</v>
      </c>
      <c r="AH122" s="278">
        <f t="shared" si="28"/>
        <v>-1997.3976029529438</v>
      </c>
      <c r="AI122" s="278">
        <f t="shared" si="28"/>
        <v>-6413.6611316742001</v>
      </c>
      <c r="AJ122" s="278">
        <f t="shared" si="28"/>
        <v>-63.404541674200004</v>
      </c>
      <c r="AK122" s="278">
        <f t="shared" si="28"/>
        <v>0</v>
      </c>
      <c r="AL122" s="278">
        <f t="shared" si="28"/>
        <v>0</v>
      </c>
      <c r="AM122" s="278">
        <f t="shared" si="28"/>
        <v>0</v>
      </c>
    </row>
    <row r="123" spans="3:39" s="266" customFormat="1" outlineLevel="1">
      <c r="C123" s="266" t="s">
        <v>80</v>
      </c>
      <c r="D123" s="4"/>
      <c r="E123" s="4" t="s">
        <v>13</v>
      </c>
      <c r="F123" s="44">
        <f t="shared" si="27"/>
        <v>-36456.504633005454</v>
      </c>
      <c r="G123" s="278">
        <f>G60</f>
        <v>0</v>
      </c>
      <c r="H123" s="278">
        <f t="shared" ref="H123:AM123" si="29">H60</f>
        <v>0</v>
      </c>
      <c r="I123" s="278">
        <f t="shared" si="29"/>
        <v>-22.884310585685178</v>
      </c>
      <c r="J123" s="278">
        <f t="shared" si="29"/>
        <v>-72.053827437158276</v>
      </c>
      <c r="K123" s="278">
        <f t="shared" si="29"/>
        <v>-139.53091082410057</v>
      </c>
      <c r="L123" s="278">
        <f t="shared" si="29"/>
        <v>-594.61204565118589</v>
      </c>
      <c r="M123" s="278">
        <f t="shared" si="29"/>
        <v>-408.23945179560337</v>
      </c>
      <c r="N123" s="278">
        <f t="shared" si="29"/>
        <v>-513.92216117724206</v>
      </c>
      <c r="O123" s="278">
        <f t="shared" si="29"/>
        <v>-426.02171899146708</v>
      </c>
      <c r="P123" s="278">
        <f t="shared" si="29"/>
        <v>-416.09956507064663</v>
      </c>
      <c r="Q123" s="278">
        <f t="shared" si="29"/>
        <v>-467.46933695780581</v>
      </c>
      <c r="R123" s="278">
        <f t="shared" si="29"/>
        <v>-515.46962401239261</v>
      </c>
      <c r="S123" s="278">
        <f t="shared" si="29"/>
        <v>-1095.8312275820749</v>
      </c>
      <c r="T123" s="278">
        <f t="shared" si="29"/>
        <v>-1399.9248853106196</v>
      </c>
      <c r="U123" s="278">
        <f t="shared" si="29"/>
        <v>-1193.776093837999</v>
      </c>
      <c r="V123" s="278">
        <f t="shared" si="29"/>
        <v>-1471.2916481386703</v>
      </c>
      <c r="W123" s="278">
        <f t="shared" si="29"/>
        <v>-1467.1656788679866</v>
      </c>
      <c r="X123" s="278">
        <f t="shared" si="29"/>
        <v>-1557.8374085797509</v>
      </c>
      <c r="Y123" s="278">
        <f t="shared" si="29"/>
        <v>-1494.3787613802472</v>
      </c>
      <c r="Z123" s="278">
        <f t="shared" si="29"/>
        <v>-2113.4845274971044</v>
      </c>
      <c r="AA123" s="278">
        <f t="shared" si="29"/>
        <v>-2167.7863889006931</v>
      </c>
      <c r="AB123" s="278">
        <f t="shared" si="29"/>
        <v>-1934.1278525401046</v>
      </c>
      <c r="AC123" s="278">
        <f t="shared" si="29"/>
        <v>-1711.9579165700106</v>
      </c>
      <c r="AD123" s="278">
        <f t="shared" si="29"/>
        <v>-1759.9756661364365</v>
      </c>
      <c r="AE123" s="278">
        <f t="shared" si="29"/>
        <v>-1805.7709786412724</v>
      </c>
      <c r="AF123" s="278">
        <f t="shared" si="29"/>
        <v>-1996.2617253262147</v>
      </c>
      <c r="AG123" s="278">
        <f t="shared" si="29"/>
        <v>-2519.2515572194047</v>
      </c>
      <c r="AH123" s="278">
        <f t="shared" si="29"/>
        <v>-2574.6114087161445</v>
      </c>
      <c r="AI123" s="278">
        <f t="shared" si="29"/>
        <v>-2375.431209969569</v>
      </c>
      <c r="AJ123" s="278">
        <f t="shared" si="29"/>
        <v>-2241.3367452878674</v>
      </c>
      <c r="AK123" s="278">
        <f t="shared" si="29"/>
        <v>0</v>
      </c>
      <c r="AL123" s="278">
        <f t="shared" si="29"/>
        <v>0</v>
      </c>
      <c r="AM123" s="278">
        <f t="shared" si="29"/>
        <v>0</v>
      </c>
    </row>
    <row r="124" spans="3:39" s="266" customFormat="1" outlineLevel="1">
      <c r="C124" s="266" t="s">
        <v>81</v>
      </c>
      <c r="D124" s="4"/>
      <c r="E124" s="4" t="s">
        <v>13</v>
      </c>
      <c r="F124" s="44">
        <f t="shared" si="27"/>
        <v>13979.1281076</v>
      </c>
      <c r="G124" s="278">
        <f>G58</f>
        <v>0</v>
      </c>
      <c r="H124" s="278">
        <f t="shared" ref="H124:AM124" si="30">H58</f>
        <v>0</v>
      </c>
      <c r="I124" s="278">
        <f t="shared" si="30"/>
        <v>0</v>
      </c>
      <c r="J124" s="278">
        <f t="shared" si="30"/>
        <v>0</v>
      </c>
      <c r="K124" s="278">
        <f t="shared" si="30"/>
        <v>0</v>
      </c>
      <c r="L124" s="278">
        <f t="shared" si="30"/>
        <v>0</v>
      </c>
      <c r="M124" s="278">
        <f t="shared" si="30"/>
        <v>0</v>
      </c>
      <c r="N124" s="278">
        <f t="shared" si="30"/>
        <v>3479.9393663999995</v>
      </c>
      <c r="O124" s="278">
        <f t="shared" si="30"/>
        <v>0</v>
      </c>
      <c r="P124" s="278">
        <f t="shared" si="30"/>
        <v>0</v>
      </c>
      <c r="Q124" s="278">
        <f t="shared" si="30"/>
        <v>0</v>
      </c>
      <c r="R124" s="278">
        <f t="shared" si="30"/>
        <v>0</v>
      </c>
      <c r="S124" s="278">
        <f t="shared" si="30"/>
        <v>0</v>
      </c>
      <c r="T124" s="278">
        <f t="shared" si="30"/>
        <v>0</v>
      </c>
      <c r="U124" s="278">
        <f t="shared" si="30"/>
        <v>3466.9488744000005</v>
      </c>
      <c r="V124" s="278">
        <f t="shared" si="30"/>
        <v>0</v>
      </c>
      <c r="W124" s="278">
        <f t="shared" si="30"/>
        <v>0</v>
      </c>
      <c r="X124" s="278">
        <f t="shared" si="30"/>
        <v>0</v>
      </c>
      <c r="Y124" s="278">
        <f t="shared" si="30"/>
        <v>0</v>
      </c>
      <c r="Z124" s="278">
        <f t="shared" si="30"/>
        <v>0</v>
      </c>
      <c r="AA124" s="278">
        <f t="shared" si="30"/>
        <v>0</v>
      </c>
      <c r="AB124" s="278">
        <f t="shared" si="30"/>
        <v>3232.3928652</v>
      </c>
      <c r="AC124" s="278">
        <f t="shared" si="30"/>
        <v>0</v>
      </c>
      <c r="AD124" s="278">
        <f t="shared" si="30"/>
        <v>0</v>
      </c>
      <c r="AE124" s="278">
        <f t="shared" si="30"/>
        <v>0</v>
      </c>
      <c r="AF124" s="278">
        <f t="shared" si="30"/>
        <v>0</v>
      </c>
      <c r="AG124" s="278">
        <f t="shared" si="30"/>
        <v>0</v>
      </c>
      <c r="AH124" s="278">
        <f t="shared" si="30"/>
        <v>0</v>
      </c>
      <c r="AI124" s="278">
        <f t="shared" si="30"/>
        <v>3799.8470015999997</v>
      </c>
      <c r="AJ124" s="278">
        <f t="shared" si="30"/>
        <v>0</v>
      </c>
      <c r="AK124" s="278">
        <f t="shared" si="30"/>
        <v>0</v>
      </c>
      <c r="AL124" s="278">
        <f t="shared" si="30"/>
        <v>0</v>
      </c>
      <c r="AM124" s="278">
        <f t="shared" si="30"/>
        <v>0</v>
      </c>
    </row>
    <row r="125" spans="3:39" s="266" customFormat="1" hidden="1" outlineLevel="1">
      <c r="D125" s="4"/>
      <c r="E125" s="4"/>
    </row>
    <row r="126" spans="3:39" s="266" customFormat="1">
      <c r="C126" s="11" t="s">
        <v>59</v>
      </c>
      <c r="D126" s="4"/>
      <c r="E126" s="764" t="s">
        <v>13</v>
      </c>
      <c r="F126" s="54">
        <f ca="1">SUM(G126:AM126)</f>
        <v>79558.570206033241</v>
      </c>
      <c r="G126" s="58">
        <f ca="1">SUM(G120:G124)</f>
        <v>-11327.281872625816</v>
      </c>
      <c r="H126" s="58">
        <f t="shared" ref="H126:AM126" ca="1" si="31">SUM(H120:H124)</f>
        <v>-2910.6702407923758</v>
      </c>
      <c r="I126" s="58">
        <f t="shared" ca="1" si="31"/>
        <v>397.10065557000712</v>
      </c>
      <c r="J126" s="58">
        <f t="shared" ca="1" si="31"/>
        <v>2322.9288718040166</v>
      </c>
      <c r="K126" s="58">
        <f t="shared" ca="1" si="31"/>
        <v>2226.8633951961501</v>
      </c>
      <c r="L126" s="58">
        <f t="shared" ca="1" si="31"/>
        <v>-8525.1911088486049</v>
      </c>
      <c r="M126" s="58">
        <f t="shared" ca="1" si="31"/>
        <v>3086.8339273550882</v>
      </c>
      <c r="N126" s="58">
        <f t="shared" ca="1" si="31"/>
        <v>360.24094189287234</v>
      </c>
      <c r="O126" s="58">
        <f t="shared" ca="1" si="31"/>
        <v>4890.3955427299106</v>
      </c>
      <c r="P126" s="58">
        <f t="shared" ca="1" si="31"/>
        <v>4103.2111829741179</v>
      </c>
      <c r="Q126" s="58">
        <f t="shared" ca="1" si="31"/>
        <v>3684.4543805116168</v>
      </c>
      <c r="R126" s="58">
        <f t="shared" ca="1" si="31"/>
        <v>4170.9306613063727</v>
      </c>
      <c r="S126" s="58">
        <f t="shared" ca="1" si="31"/>
        <v>4068.7894819775915</v>
      </c>
      <c r="T126" s="58">
        <f t="shared" ca="1" si="31"/>
        <v>4535.8331277964735</v>
      </c>
      <c r="U126" s="58">
        <f t="shared" ca="1" si="31"/>
        <v>1057.6107394207888</v>
      </c>
      <c r="V126" s="58">
        <f t="shared" ca="1" si="31"/>
        <v>2646.6257108104119</v>
      </c>
      <c r="W126" s="58">
        <f t="shared" ca="1" si="31"/>
        <v>4528.5224462685319</v>
      </c>
      <c r="X126" s="58">
        <f t="shared" ca="1" si="31"/>
        <v>5023.5915937772897</v>
      </c>
      <c r="Y126" s="58">
        <f t="shared" ca="1" si="31"/>
        <v>4526.4850096667087</v>
      </c>
      <c r="Z126" s="58">
        <f t="shared" ca="1" si="31"/>
        <v>4789.1656998304243</v>
      </c>
      <c r="AA126" s="58">
        <f t="shared" ca="1" si="31"/>
        <v>3806.0414003356145</v>
      </c>
      <c r="AB126" s="58">
        <f t="shared" ca="1" si="31"/>
        <v>746.65123937698945</v>
      </c>
      <c r="AC126" s="58">
        <f t="shared" ca="1" si="31"/>
        <v>5211.0438964105733</v>
      </c>
      <c r="AD126" s="58">
        <f t="shared" ca="1" si="31"/>
        <v>5283.8222984233753</v>
      </c>
      <c r="AE126" s="58">
        <f t="shared" ca="1" si="31"/>
        <v>5764.5925156998101</v>
      </c>
      <c r="AF126" s="58">
        <f t="shared" ca="1" si="31"/>
        <v>3082.0187565280225</v>
      </c>
      <c r="AG126" s="58">
        <f t="shared" ca="1" si="31"/>
        <v>5708.4300564893838</v>
      </c>
      <c r="AH126" s="58">
        <f t="shared" ca="1" si="31"/>
        <v>4053.2818258305556</v>
      </c>
      <c r="AI126" s="58">
        <f t="shared" ca="1" si="31"/>
        <v>4209.9510543225824</v>
      </c>
      <c r="AJ126" s="58">
        <f t="shared" ca="1" si="31"/>
        <v>8036.2970159947736</v>
      </c>
      <c r="AK126" s="58">
        <f t="shared" ca="1" si="31"/>
        <v>0</v>
      </c>
      <c r="AL126" s="58">
        <f t="shared" ca="1" si="31"/>
        <v>0</v>
      </c>
      <c r="AM126" s="58">
        <f t="shared" ca="1" si="31"/>
        <v>0</v>
      </c>
    </row>
    <row r="127" spans="3:39" s="266" customFormat="1">
      <c r="D127" s="4"/>
      <c r="E127" s="4"/>
    </row>
    <row r="128" spans="3:39" s="266" customFormat="1" outlineLevel="1">
      <c r="C128" s="266" t="s">
        <v>64</v>
      </c>
      <c r="D128" s="4"/>
      <c r="E128" s="4" t="s">
        <v>13</v>
      </c>
      <c r="F128" s="44">
        <f ca="1">SUM(G128:AM128)</f>
        <v>0</v>
      </c>
      <c r="G128" s="278">
        <f t="shared" ref="G128:AM128" ca="1" si="32">G74</f>
        <v>0</v>
      </c>
      <c r="H128" s="278">
        <f t="shared" ca="1" si="32"/>
        <v>-423.05954631167043</v>
      </c>
      <c r="I128" s="278">
        <f t="shared" ca="1" si="32"/>
        <v>5.945167347529889</v>
      </c>
      <c r="J128" s="278">
        <f t="shared" ca="1" si="32"/>
        <v>-5.7087338177096285</v>
      </c>
      <c r="K128" s="278">
        <f t="shared" ca="1" si="32"/>
        <v>-392.00059521042868</v>
      </c>
      <c r="L128" s="278">
        <f t="shared" ca="1" si="32"/>
        <v>32.101013491059007</v>
      </c>
      <c r="M128" s="278">
        <f t="shared" ca="1" si="32"/>
        <v>-260.78678420501979</v>
      </c>
      <c r="N128" s="278">
        <f t="shared" ca="1" si="32"/>
        <v>55.981417255626297</v>
      </c>
      <c r="O128" s="278">
        <f t="shared" ca="1" si="32"/>
        <v>22.137351884837699</v>
      </c>
      <c r="P128" s="278">
        <f t="shared" ca="1" si="32"/>
        <v>-7.0014936327052055</v>
      </c>
      <c r="Q128" s="278">
        <f t="shared" ca="1" si="32"/>
        <v>7.6124427905651828</v>
      </c>
      <c r="R128" s="278">
        <f t="shared" ca="1" si="32"/>
        <v>20.592205854834901</v>
      </c>
      <c r="S128" s="278">
        <f t="shared" ca="1" si="32"/>
        <v>58.913401221281674</v>
      </c>
      <c r="T128" s="278">
        <f t="shared" ca="1" si="32"/>
        <v>-758.47056352935977</v>
      </c>
      <c r="U128" s="278">
        <f t="shared" ca="1" si="32"/>
        <v>148.20649086453068</v>
      </c>
      <c r="V128" s="278">
        <f t="shared" ca="1" si="32"/>
        <v>1391.7743060252021</v>
      </c>
      <c r="W128" s="278">
        <f t="shared" ca="1" si="32"/>
        <v>-6.461530751759895</v>
      </c>
      <c r="X128" s="278">
        <f t="shared" ca="1" si="32"/>
        <v>-21.625888775119094</v>
      </c>
      <c r="Y128" s="278">
        <f t="shared" ca="1" si="32"/>
        <v>4.5998636147187568</v>
      </c>
      <c r="Z128" s="278">
        <f t="shared" ca="1" si="32"/>
        <v>-38.150809635396783</v>
      </c>
      <c r="AA128" s="278">
        <f t="shared" ca="1" si="32"/>
        <v>-308.70009861920903</v>
      </c>
      <c r="AB128" s="278">
        <f t="shared" ca="1" si="32"/>
        <v>-2.592856587643098</v>
      </c>
      <c r="AC128" s="278">
        <f t="shared" ca="1" si="32"/>
        <v>-4.0200735907005765</v>
      </c>
      <c r="AD128" s="278">
        <f t="shared" ca="1" si="32"/>
        <v>11.526261781643825</v>
      </c>
      <c r="AE128" s="278">
        <f t="shared" ca="1" si="32"/>
        <v>-140.41556053899768</v>
      </c>
      <c r="AF128" s="278">
        <f t="shared" ca="1" si="32"/>
        <v>39.435297762856294</v>
      </c>
      <c r="AG128" s="278">
        <f t="shared" ca="1" si="32"/>
        <v>-104.03088907637471</v>
      </c>
      <c r="AH128" s="278">
        <f t="shared" ca="1" si="32"/>
        <v>-596.29462922701612</v>
      </c>
      <c r="AI128" s="278">
        <f t="shared" ca="1" si="32"/>
        <v>102.82297265714715</v>
      </c>
      <c r="AJ128" s="278">
        <f t="shared" ca="1" si="32"/>
        <v>1167.671860957277</v>
      </c>
      <c r="AK128" s="278">
        <f t="shared" ca="1" si="32"/>
        <v>0</v>
      </c>
      <c r="AL128" s="278">
        <f t="shared" ca="1" si="32"/>
        <v>0</v>
      </c>
      <c r="AM128" s="278">
        <f t="shared" ca="1" si="32"/>
        <v>0</v>
      </c>
    </row>
    <row r="129" spans="3:39" s="266" customFormat="1" hidden="1" outlineLevel="1">
      <c r="D129" s="4"/>
      <c r="E129" s="4"/>
    </row>
    <row r="130" spans="3:39" s="266" customFormat="1">
      <c r="C130" s="11" t="s">
        <v>67</v>
      </c>
      <c r="D130" s="4"/>
      <c r="E130" s="764" t="s">
        <v>13</v>
      </c>
      <c r="F130" s="54">
        <f ca="1">SUM(G130:AM130)</f>
        <v>79558.57020603327</v>
      </c>
      <c r="G130" s="58">
        <f ca="1">SUM(G126:G128)</f>
        <v>-11327.281872625816</v>
      </c>
      <c r="H130" s="58">
        <f t="shared" ref="H130:AM130" ca="1" si="33">SUM(H126:H128)</f>
        <v>-3333.7297871040464</v>
      </c>
      <c r="I130" s="58">
        <f t="shared" ca="1" si="33"/>
        <v>403.04582291753701</v>
      </c>
      <c r="J130" s="58">
        <f t="shared" ca="1" si="33"/>
        <v>2317.2201379863068</v>
      </c>
      <c r="K130" s="58">
        <f t="shared" ca="1" si="33"/>
        <v>1834.8627999857215</v>
      </c>
      <c r="L130" s="58">
        <f t="shared" ca="1" si="33"/>
        <v>-8493.0900953575456</v>
      </c>
      <c r="M130" s="58">
        <f t="shared" ca="1" si="33"/>
        <v>2826.0471431500682</v>
      </c>
      <c r="N130" s="58">
        <f t="shared" ca="1" si="33"/>
        <v>416.22235914849864</v>
      </c>
      <c r="O130" s="58">
        <f t="shared" ca="1" si="33"/>
        <v>4912.5328946147483</v>
      </c>
      <c r="P130" s="58">
        <f t="shared" ca="1" si="33"/>
        <v>4096.2096893414127</v>
      </c>
      <c r="Q130" s="58">
        <f t="shared" ca="1" si="33"/>
        <v>3692.066823302182</v>
      </c>
      <c r="R130" s="58">
        <f t="shared" ca="1" si="33"/>
        <v>4191.5228671612076</v>
      </c>
      <c r="S130" s="58">
        <f t="shared" ca="1" si="33"/>
        <v>4127.7028831988737</v>
      </c>
      <c r="T130" s="58">
        <f t="shared" ca="1" si="33"/>
        <v>3777.3625642671136</v>
      </c>
      <c r="U130" s="58">
        <f t="shared" ca="1" si="33"/>
        <v>1205.8172302853195</v>
      </c>
      <c r="V130" s="58">
        <f t="shared" ca="1" si="33"/>
        <v>4038.4000168356142</v>
      </c>
      <c r="W130" s="58">
        <f t="shared" ca="1" si="33"/>
        <v>4522.0609155167722</v>
      </c>
      <c r="X130" s="58">
        <f t="shared" ca="1" si="33"/>
        <v>5001.9657050021706</v>
      </c>
      <c r="Y130" s="58">
        <f t="shared" ca="1" si="33"/>
        <v>4531.0848732814275</v>
      </c>
      <c r="Z130" s="58">
        <f t="shared" ca="1" si="33"/>
        <v>4751.0148901950279</v>
      </c>
      <c r="AA130" s="58">
        <f t="shared" ca="1" si="33"/>
        <v>3497.3413017164057</v>
      </c>
      <c r="AB130" s="58">
        <f t="shared" ca="1" si="33"/>
        <v>744.0583827893463</v>
      </c>
      <c r="AC130" s="58">
        <f t="shared" ca="1" si="33"/>
        <v>5207.0238228198723</v>
      </c>
      <c r="AD130" s="58">
        <f t="shared" ca="1" si="33"/>
        <v>5295.3485602050187</v>
      </c>
      <c r="AE130" s="58">
        <f t="shared" ca="1" si="33"/>
        <v>5624.1769551608122</v>
      </c>
      <c r="AF130" s="58">
        <f t="shared" ca="1" si="33"/>
        <v>3121.454054290879</v>
      </c>
      <c r="AG130" s="58">
        <f t="shared" ca="1" si="33"/>
        <v>5604.3991674130093</v>
      </c>
      <c r="AH130" s="58">
        <f t="shared" ca="1" si="33"/>
        <v>3456.9871966035394</v>
      </c>
      <c r="AI130" s="58">
        <f t="shared" ca="1" si="33"/>
        <v>4312.7740269797296</v>
      </c>
      <c r="AJ130" s="58">
        <f t="shared" ca="1" si="33"/>
        <v>9203.9688769520508</v>
      </c>
      <c r="AK130" s="58">
        <f t="shared" ca="1" si="33"/>
        <v>0</v>
      </c>
      <c r="AL130" s="58">
        <f t="shared" ca="1" si="33"/>
        <v>0</v>
      </c>
      <c r="AM130" s="58">
        <f t="shared" ca="1" si="33"/>
        <v>0</v>
      </c>
    </row>
    <row r="131" spans="3:39" s="266" customFormat="1" outlineLevel="1">
      <c r="D131" s="4"/>
      <c r="E131" s="4"/>
    </row>
    <row r="132" spans="3:39" s="266" customFormat="1" outlineLevel="1">
      <c r="C132" s="266" t="s">
        <v>68</v>
      </c>
      <c r="D132" s="4"/>
      <c r="E132" s="4" t="s">
        <v>13</v>
      </c>
      <c r="F132" s="44">
        <f ca="1">SUM(G132:AM132)</f>
        <v>9915.5510545235975</v>
      </c>
      <c r="G132" s="278">
        <f t="shared" ref="G132:AM132" si="34">G78</f>
        <v>0</v>
      </c>
      <c r="H132" s="278">
        <f t="shared" ca="1" si="34"/>
        <v>0</v>
      </c>
      <c r="I132" s="278">
        <f t="shared" ca="1" si="34"/>
        <v>0</v>
      </c>
      <c r="J132" s="278">
        <f t="shared" ca="1" si="34"/>
        <v>63.531546272428116</v>
      </c>
      <c r="K132" s="278">
        <f t="shared" ca="1" si="34"/>
        <v>178.43001541174146</v>
      </c>
      <c r="L132" s="278">
        <f t="shared" ca="1" si="34"/>
        <v>137.15562459708954</v>
      </c>
      <c r="M132" s="278">
        <f t="shared" ca="1" si="34"/>
        <v>55.99364327919352</v>
      </c>
      <c r="N132" s="278">
        <f t="shared" ca="1" si="34"/>
        <v>6.534982637546201</v>
      </c>
      <c r="O132" s="278">
        <f t="shared" ca="1" si="34"/>
        <v>25.397167347172463</v>
      </c>
      <c r="P132" s="278">
        <f t="shared" ca="1" si="34"/>
        <v>9.9945127218954291</v>
      </c>
      <c r="Q132" s="278">
        <f t="shared" ca="1" si="34"/>
        <v>10.311500097795385</v>
      </c>
      <c r="R132" s="278">
        <f t="shared" ca="1" si="34"/>
        <v>11.650477020096314</v>
      </c>
      <c r="S132" s="278">
        <f t="shared" ca="1" si="34"/>
        <v>12.234879182654316</v>
      </c>
      <c r="T132" s="278">
        <f t="shared" ca="1" si="34"/>
        <v>12.887971509366828</v>
      </c>
      <c r="U132" s="278">
        <f t="shared" ca="1" si="34"/>
        <v>13.55498615704526</v>
      </c>
      <c r="V132" s="278">
        <f t="shared" ca="1" si="34"/>
        <v>29.902160073501751</v>
      </c>
      <c r="W132" s="278">
        <f t="shared" ca="1" si="34"/>
        <v>14.680536862964477</v>
      </c>
      <c r="X132" s="278">
        <f t="shared" ca="1" si="34"/>
        <v>14.778015300156405</v>
      </c>
      <c r="Y132" s="278">
        <f t="shared" ca="1" si="34"/>
        <v>14.584451387616987</v>
      </c>
      <c r="Z132" s="278">
        <f t="shared" ca="1" si="34"/>
        <v>13.53119180867264</v>
      </c>
      <c r="AA132" s="278">
        <f t="shared" ca="1" si="34"/>
        <v>13.136904831990396</v>
      </c>
      <c r="AB132" s="278">
        <f t="shared" ca="1" si="34"/>
        <v>24.150026787564727</v>
      </c>
      <c r="AC132" s="278">
        <f t="shared" ca="1" si="34"/>
        <v>189.36888497469792</v>
      </c>
      <c r="AD132" s="278">
        <f t="shared" ca="1" si="34"/>
        <v>411.24837863032258</v>
      </c>
      <c r="AE132" s="278">
        <f t="shared" ca="1" si="34"/>
        <v>664.30656987665282</v>
      </c>
      <c r="AF132" s="278">
        <f t="shared" ca="1" si="34"/>
        <v>946.06269705790146</v>
      </c>
      <c r="AG132" s="278">
        <f t="shared" ca="1" si="34"/>
        <v>1251.6867032045575</v>
      </c>
      <c r="AH132" s="278">
        <f t="shared" ca="1" si="34"/>
        <v>1584.3159013252039</v>
      </c>
      <c r="AI132" s="278">
        <f t="shared" ca="1" si="34"/>
        <v>1905.2486798372031</v>
      </c>
      <c r="AJ132" s="278">
        <f t="shared" ca="1" si="34"/>
        <v>2300.8726463305661</v>
      </c>
      <c r="AK132" s="278">
        <f t="shared" ca="1" si="34"/>
        <v>0</v>
      </c>
      <c r="AL132" s="278">
        <f t="shared" ca="1" si="34"/>
        <v>0</v>
      </c>
      <c r="AM132" s="278">
        <f t="shared" ca="1" si="34"/>
        <v>0</v>
      </c>
    </row>
    <row r="133" spans="3:39" s="266" customFormat="1" hidden="1" outlineLevel="1">
      <c r="D133" s="4"/>
      <c r="E133" s="4"/>
    </row>
    <row r="134" spans="3:39" s="266" customFormat="1">
      <c r="C134" s="11" t="s">
        <v>70</v>
      </c>
      <c r="D134" s="4"/>
      <c r="E134" s="764" t="s">
        <v>13</v>
      </c>
      <c r="F134" s="54">
        <f ca="1">SUM(G134:AM134)</f>
        <v>89474.121260556858</v>
      </c>
      <c r="G134" s="58">
        <f ca="1">SUM(G130:G132)</f>
        <v>-11327.281872625816</v>
      </c>
      <c r="H134" s="58">
        <f t="shared" ref="H134:AM134" ca="1" si="35">SUM(H130:H132)</f>
        <v>-3333.7297871040464</v>
      </c>
      <c r="I134" s="58">
        <f t="shared" ca="1" si="35"/>
        <v>403.04582291753701</v>
      </c>
      <c r="J134" s="58">
        <f t="shared" ca="1" si="35"/>
        <v>2380.7516842587347</v>
      </c>
      <c r="K134" s="58">
        <f t="shared" ca="1" si="35"/>
        <v>2013.2928153974631</v>
      </c>
      <c r="L134" s="58">
        <f t="shared" ca="1" si="35"/>
        <v>-8355.934470760456</v>
      </c>
      <c r="M134" s="58">
        <f t="shared" ca="1" si="35"/>
        <v>2882.040786429262</v>
      </c>
      <c r="N134" s="58">
        <f t="shared" ca="1" si="35"/>
        <v>422.75734178604483</v>
      </c>
      <c r="O134" s="58">
        <f t="shared" ca="1" si="35"/>
        <v>4937.9300619619207</v>
      </c>
      <c r="P134" s="58">
        <f t="shared" ca="1" si="35"/>
        <v>4106.204202063308</v>
      </c>
      <c r="Q134" s="58">
        <f t="shared" ca="1" si="35"/>
        <v>3702.3783233999775</v>
      </c>
      <c r="R134" s="58">
        <f t="shared" ca="1" si="35"/>
        <v>4203.1733441813039</v>
      </c>
      <c r="S134" s="58">
        <f t="shared" ca="1" si="35"/>
        <v>4139.937762381528</v>
      </c>
      <c r="T134" s="58">
        <f t="shared" ca="1" si="35"/>
        <v>3790.2505357764803</v>
      </c>
      <c r="U134" s="58">
        <f t="shared" ca="1" si="35"/>
        <v>1219.3722164423648</v>
      </c>
      <c r="V134" s="58">
        <f t="shared" ca="1" si="35"/>
        <v>4068.302176909116</v>
      </c>
      <c r="W134" s="58">
        <f t="shared" ca="1" si="35"/>
        <v>4536.741452379737</v>
      </c>
      <c r="X134" s="58">
        <f t="shared" ca="1" si="35"/>
        <v>5016.7437203023273</v>
      </c>
      <c r="Y134" s="58">
        <f t="shared" ca="1" si="35"/>
        <v>4545.6693246690447</v>
      </c>
      <c r="Z134" s="58">
        <f t="shared" ca="1" si="35"/>
        <v>4764.5460820037006</v>
      </c>
      <c r="AA134" s="58">
        <f t="shared" ca="1" si="35"/>
        <v>3510.478206548396</v>
      </c>
      <c r="AB134" s="58">
        <f t="shared" ca="1" si="35"/>
        <v>768.20840957691098</v>
      </c>
      <c r="AC134" s="58">
        <f t="shared" ca="1" si="35"/>
        <v>5396.39270779457</v>
      </c>
      <c r="AD134" s="58">
        <f t="shared" ca="1" si="35"/>
        <v>5706.5969388353415</v>
      </c>
      <c r="AE134" s="58">
        <f t="shared" ca="1" si="35"/>
        <v>6288.4835250374654</v>
      </c>
      <c r="AF134" s="58">
        <f t="shared" ca="1" si="35"/>
        <v>4067.5167513487804</v>
      </c>
      <c r="AG134" s="58">
        <f t="shared" ca="1" si="35"/>
        <v>6856.0858706175668</v>
      </c>
      <c r="AH134" s="58">
        <f t="shared" ca="1" si="35"/>
        <v>5041.3030979287432</v>
      </c>
      <c r="AI134" s="58">
        <f t="shared" ca="1" si="35"/>
        <v>6218.0227068169324</v>
      </c>
      <c r="AJ134" s="58">
        <f t="shared" ca="1" si="35"/>
        <v>11504.841523282617</v>
      </c>
      <c r="AK134" s="58">
        <f t="shared" ca="1" si="35"/>
        <v>0</v>
      </c>
      <c r="AL134" s="58">
        <f t="shared" ca="1" si="35"/>
        <v>0</v>
      </c>
      <c r="AM134" s="58">
        <f t="shared" ca="1" si="35"/>
        <v>0</v>
      </c>
    </row>
    <row r="135" spans="3:39" s="266" customFormat="1" outlineLevel="1">
      <c r="D135" s="4"/>
      <c r="E135" s="4"/>
    </row>
    <row r="136" spans="3:39" s="266" customFormat="1" outlineLevel="1">
      <c r="C136" s="266" t="s">
        <v>72</v>
      </c>
      <c r="D136" s="4"/>
      <c r="E136" s="4" t="s">
        <v>13</v>
      </c>
      <c r="F136" s="44">
        <f t="shared" ref="F136" ca="1" si="36">SUM(G136:AM136)</f>
        <v>-3998.7066206211916</v>
      </c>
      <c r="G136" s="278">
        <f t="shared" ref="G136:AM136" ca="1" si="37">G84</f>
        <v>0</v>
      </c>
      <c r="H136" s="278">
        <f t="shared" ca="1" si="37"/>
        <v>0</v>
      </c>
      <c r="I136" s="278">
        <f t="shared" ca="1" si="37"/>
        <v>-64.31780262814425</v>
      </c>
      <c r="J136" s="278">
        <f t="shared" ca="1" si="37"/>
        <v>-80.132655025441721</v>
      </c>
      <c r="K136" s="278">
        <f t="shared" ca="1" si="37"/>
        <v>-98.593194821106025</v>
      </c>
      <c r="L136" s="278">
        <f t="shared" ca="1" si="37"/>
        <v>-117.82817218026331</v>
      </c>
      <c r="M136" s="278">
        <f t="shared" ca="1" si="37"/>
        <v>-76.882148677014243</v>
      </c>
      <c r="N136" s="278">
        <f t="shared" ca="1" si="37"/>
        <v>-298.79020408438151</v>
      </c>
      <c r="O136" s="278">
        <f t="shared" ca="1" si="37"/>
        <v>-117.58250261053441</v>
      </c>
      <c r="P136" s="278">
        <f t="shared" ca="1" si="37"/>
        <v>-121.31176585641624</v>
      </c>
      <c r="Q136" s="278">
        <f t="shared" ca="1" si="37"/>
        <v>-137.06443553054504</v>
      </c>
      <c r="R136" s="278">
        <f t="shared" ca="1" si="37"/>
        <v>-143.93975509005097</v>
      </c>
      <c r="S136" s="278">
        <f t="shared" ca="1" si="37"/>
        <v>-151.62319422784526</v>
      </c>
      <c r="T136" s="278">
        <f t="shared" ca="1" si="37"/>
        <v>-159.47042537700295</v>
      </c>
      <c r="U136" s="278">
        <f t="shared" ca="1" si="37"/>
        <v>-351.79011851178524</v>
      </c>
      <c r="V136" s="278">
        <f t="shared" ca="1" si="37"/>
        <v>-172.71219838781735</v>
      </c>
      <c r="W136" s="278">
        <f t="shared" ca="1" si="37"/>
        <v>-173.85900353125186</v>
      </c>
      <c r="X136" s="278">
        <f t="shared" ca="1" si="37"/>
        <v>-171.58178103078802</v>
      </c>
      <c r="Y136" s="278">
        <f t="shared" ca="1" si="37"/>
        <v>-159.19049186673715</v>
      </c>
      <c r="Z136" s="278">
        <f t="shared" ca="1" si="37"/>
        <v>-154.55182155282802</v>
      </c>
      <c r="AA136" s="278">
        <f t="shared" ca="1" si="37"/>
        <v>-153.86423078004185</v>
      </c>
      <c r="AB136" s="278">
        <f t="shared" ca="1" si="37"/>
        <v>-316.52832513562657</v>
      </c>
      <c r="AC136" s="278">
        <f t="shared" ca="1" si="37"/>
        <v>-110.06668008102343</v>
      </c>
      <c r="AD136" s="278">
        <f t="shared" ca="1" si="37"/>
        <v>-107.60659718034938</v>
      </c>
      <c r="AE136" s="278">
        <f t="shared" ca="1" si="37"/>
        <v>-103.3716864351984</v>
      </c>
      <c r="AF136" s="278">
        <f t="shared" ca="1" si="37"/>
        <v>-103.29500554797515</v>
      </c>
      <c r="AG136" s="278">
        <f t="shared" ca="1" si="37"/>
        <v>-68.214525925597897</v>
      </c>
      <c r="AH136" s="278">
        <f t="shared" ca="1" si="37"/>
        <v>-65.285281079972179</v>
      </c>
      <c r="AI136" s="278">
        <f t="shared" ca="1" si="37"/>
        <v>-219.25261746545212</v>
      </c>
      <c r="AJ136" s="278">
        <f t="shared" ca="1" si="37"/>
        <v>0</v>
      </c>
      <c r="AK136" s="278">
        <f t="shared" ca="1" si="37"/>
        <v>0</v>
      </c>
      <c r="AL136" s="278">
        <f t="shared" ca="1" si="37"/>
        <v>0</v>
      </c>
      <c r="AM136" s="278">
        <f t="shared" ca="1" si="37"/>
        <v>0</v>
      </c>
    </row>
    <row r="137" spans="3:39" s="266" customFormat="1" hidden="1" outlineLevel="1">
      <c r="D137" s="4"/>
      <c r="E137" s="4"/>
    </row>
    <row r="138" spans="3:39" s="266" customFormat="1">
      <c r="C138" s="11" t="s">
        <v>73</v>
      </c>
      <c r="D138" s="4"/>
      <c r="E138" s="764" t="s">
        <v>13</v>
      </c>
      <c r="F138" s="54">
        <f ca="1">SUM(G138:AM138)</f>
        <v>85475.414639935683</v>
      </c>
      <c r="G138" s="58">
        <f t="shared" ref="G138:AM138" ca="1" si="38">SUM(G134:G136)</f>
        <v>-11327.281872625816</v>
      </c>
      <c r="H138" s="58">
        <f t="shared" ca="1" si="38"/>
        <v>-3333.7297871040464</v>
      </c>
      <c r="I138" s="58">
        <f t="shared" ca="1" si="38"/>
        <v>338.72802028939276</v>
      </c>
      <c r="J138" s="58">
        <f t="shared" ca="1" si="38"/>
        <v>2300.6190292332931</v>
      </c>
      <c r="K138" s="58">
        <f t="shared" ca="1" si="38"/>
        <v>1914.6996205763571</v>
      </c>
      <c r="L138" s="58">
        <f t="shared" ca="1" si="38"/>
        <v>-8473.7626429407192</v>
      </c>
      <c r="M138" s="58">
        <f t="shared" ca="1" si="38"/>
        <v>2805.1586377522476</v>
      </c>
      <c r="N138" s="58">
        <f t="shared" ca="1" si="38"/>
        <v>123.96713770166332</v>
      </c>
      <c r="O138" s="58">
        <f t="shared" ca="1" si="38"/>
        <v>4820.3475593513867</v>
      </c>
      <c r="P138" s="58">
        <f t="shared" ca="1" si="38"/>
        <v>3984.8924362068919</v>
      </c>
      <c r="Q138" s="58">
        <f t="shared" ca="1" si="38"/>
        <v>3565.3138878694326</v>
      </c>
      <c r="R138" s="58">
        <f t="shared" ca="1" si="38"/>
        <v>4059.2335890912532</v>
      </c>
      <c r="S138" s="58">
        <f t="shared" ca="1" si="38"/>
        <v>3988.3145681536826</v>
      </c>
      <c r="T138" s="58">
        <f t="shared" ca="1" si="38"/>
        <v>3630.7801103994775</v>
      </c>
      <c r="U138" s="58">
        <f t="shared" ca="1" si="38"/>
        <v>867.58209793057949</v>
      </c>
      <c r="V138" s="58">
        <f t="shared" ca="1" si="38"/>
        <v>3895.5899785212987</v>
      </c>
      <c r="W138" s="58">
        <f t="shared" ca="1" si="38"/>
        <v>4362.8824488484852</v>
      </c>
      <c r="X138" s="58">
        <f t="shared" ca="1" si="38"/>
        <v>4845.1619392715393</v>
      </c>
      <c r="Y138" s="58">
        <f t="shared" ca="1" si="38"/>
        <v>4386.4788328023078</v>
      </c>
      <c r="Z138" s="58">
        <f t="shared" ca="1" si="38"/>
        <v>4609.9942604508724</v>
      </c>
      <c r="AA138" s="58">
        <f t="shared" ca="1" si="38"/>
        <v>3356.6139757683541</v>
      </c>
      <c r="AB138" s="58">
        <f t="shared" ca="1" si="38"/>
        <v>451.68008444128441</v>
      </c>
      <c r="AC138" s="58">
        <f t="shared" ca="1" si="38"/>
        <v>5286.3260277135469</v>
      </c>
      <c r="AD138" s="58">
        <f t="shared" ca="1" si="38"/>
        <v>5598.9903416549923</v>
      </c>
      <c r="AE138" s="58">
        <f t="shared" ca="1" si="38"/>
        <v>6185.1118386022672</v>
      </c>
      <c r="AF138" s="58">
        <f t="shared" ca="1" si="38"/>
        <v>3964.2217458008054</v>
      </c>
      <c r="AG138" s="58">
        <f t="shared" ca="1" si="38"/>
        <v>6787.8713446919692</v>
      </c>
      <c r="AH138" s="58">
        <f t="shared" ca="1" si="38"/>
        <v>4976.017816848771</v>
      </c>
      <c r="AI138" s="58">
        <f t="shared" ca="1" si="38"/>
        <v>5998.7700893514802</v>
      </c>
      <c r="AJ138" s="58">
        <f t="shared" ca="1" si="38"/>
        <v>11504.841523282617</v>
      </c>
      <c r="AK138" s="58">
        <f t="shared" ca="1" si="38"/>
        <v>0</v>
      </c>
      <c r="AL138" s="58">
        <f t="shared" ca="1" si="38"/>
        <v>0</v>
      </c>
      <c r="AM138" s="58">
        <f t="shared" ca="1" si="38"/>
        <v>0</v>
      </c>
    </row>
    <row r="139" spans="3:39" s="266" customFormat="1">
      <c r="C139" s="11"/>
      <c r="D139" s="4"/>
      <c r="E139" s="764"/>
      <c r="F139" s="765"/>
      <c r="G139" s="766"/>
      <c r="H139" s="766"/>
      <c r="I139" s="766"/>
      <c r="J139" s="766"/>
      <c r="K139" s="766"/>
      <c r="L139" s="766"/>
      <c r="M139" s="766"/>
      <c r="N139" s="766"/>
      <c r="O139" s="766"/>
      <c r="P139" s="766"/>
      <c r="Q139" s="766"/>
      <c r="R139" s="766"/>
      <c r="S139" s="766"/>
      <c r="T139" s="766"/>
      <c r="U139" s="766"/>
      <c r="V139" s="766"/>
      <c r="W139" s="766"/>
      <c r="X139" s="766"/>
      <c r="Y139" s="766"/>
      <c r="Z139" s="766"/>
      <c r="AA139" s="766"/>
      <c r="AB139" s="766"/>
      <c r="AC139" s="766"/>
      <c r="AD139" s="766"/>
      <c r="AE139" s="766"/>
      <c r="AF139" s="766"/>
      <c r="AG139" s="766"/>
      <c r="AH139" s="766"/>
      <c r="AI139" s="766"/>
      <c r="AJ139" s="766"/>
      <c r="AK139" s="766"/>
      <c r="AL139" s="766"/>
      <c r="AM139" s="766"/>
    </row>
    <row r="140" spans="3:39" s="266" customFormat="1">
      <c r="D140" s="4"/>
      <c r="E140" s="4"/>
    </row>
    <row r="141" spans="3:39" s="266" customFormat="1" ht="16.2" thickBot="1">
      <c r="C141" s="394" t="s">
        <v>82</v>
      </c>
      <c r="D141" s="395"/>
      <c r="E141" s="396"/>
      <c r="F141" s="395"/>
      <c r="G141" s="395"/>
      <c r="H141" s="395"/>
      <c r="I141" s="395"/>
      <c r="J141" s="395"/>
      <c r="K141" s="395"/>
      <c r="L141" s="395"/>
      <c r="M141" s="395"/>
      <c r="N141" s="395"/>
      <c r="O141" s="395"/>
      <c r="P141" s="395"/>
      <c r="Q141" s="395"/>
      <c r="R141" s="395"/>
      <c r="S141" s="395"/>
      <c r="T141" s="395"/>
      <c r="U141" s="395"/>
      <c r="V141" s="395"/>
      <c r="W141" s="395"/>
      <c r="X141" s="395"/>
      <c r="Y141" s="395"/>
      <c r="Z141" s="395"/>
      <c r="AA141" s="395"/>
      <c r="AB141" s="395"/>
      <c r="AC141" s="395"/>
      <c r="AD141" s="395"/>
      <c r="AE141" s="395"/>
      <c r="AF141" s="395"/>
      <c r="AG141" s="395"/>
      <c r="AH141" s="395"/>
      <c r="AI141" s="395"/>
      <c r="AJ141" s="395"/>
      <c r="AK141" s="8"/>
      <c r="AL141" s="8"/>
      <c r="AM141" s="8"/>
    </row>
    <row r="142" spans="3:39">
      <c r="C142" s="266"/>
      <c r="E142" s="4"/>
      <c r="F142" s="266"/>
      <c r="G142" s="266"/>
      <c r="H142" s="266"/>
      <c r="I142" s="266"/>
      <c r="J142" s="266"/>
      <c r="K142" s="266"/>
      <c r="L142" s="266"/>
      <c r="M142" s="266"/>
      <c r="N142" s="266"/>
      <c r="O142" s="266"/>
      <c r="P142" s="266"/>
      <c r="Q142" s="266"/>
      <c r="R142" s="266"/>
      <c r="S142" s="266"/>
      <c r="T142" s="266"/>
      <c r="U142" s="266"/>
      <c r="V142" s="266"/>
      <c r="W142" s="266"/>
      <c r="X142" s="266"/>
      <c r="Y142" s="266"/>
      <c r="Z142" s="266"/>
      <c r="AA142" s="266"/>
      <c r="AB142" s="266"/>
      <c r="AC142" s="266"/>
      <c r="AD142" s="266"/>
      <c r="AE142" s="266"/>
      <c r="AF142" s="266"/>
      <c r="AG142" s="266"/>
      <c r="AH142" s="266"/>
      <c r="AI142" s="266"/>
      <c r="AJ142" s="266"/>
      <c r="AK142" s="266"/>
      <c r="AL142" s="266"/>
      <c r="AM142" s="266"/>
    </row>
    <row r="143" spans="3:39" outlineLevel="1">
      <c r="C143" s="266" t="str">
        <f>C16&amp;" + "&amp;C17</f>
        <v>Contraprestação Pública Anual + Receitas Tarifárias</v>
      </c>
      <c r="D143" s="266"/>
      <c r="E143" s="4" t="s">
        <v>13</v>
      </c>
      <c r="F143" s="23">
        <f>SUM(G143:AM143)</f>
        <v>716498.99541189522</v>
      </c>
      <c r="G143" s="273">
        <f t="shared" ref="G143:AM143" si="39">G19</f>
        <v>15876.007815619954</v>
      </c>
      <c r="H143" s="273">
        <f t="shared" si="39"/>
        <v>15051.423824140365</v>
      </c>
      <c r="I143" s="273">
        <f t="shared" si="39"/>
        <v>19494.816785268613</v>
      </c>
      <c r="J143" s="273">
        <f t="shared" si="39"/>
        <v>20175.565060760062</v>
      </c>
      <c r="K143" s="273">
        <f t="shared" si="39"/>
        <v>20587.138871810268</v>
      </c>
      <c r="L143" s="273">
        <f t="shared" si="39"/>
        <v>22035.214987664876</v>
      </c>
      <c r="M143" s="273">
        <f t="shared" si="39"/>
        <v>22232.355854608322</v>
      </c>
      <c r="N143" s="273">
        <f t="shared" si="39"/>
        <v>23359.264941428646</v>
      </c>
      <c r="O143" s="273">
        <f t="shared" si="39"/>
        <v>23013.5189340984</v>
      </c>
      <c r="P143" s="273">
        <f t="shared" si="39"/>
        <v>23138.337527777629</v>
      </c>
      <c r="Q143" s="273">
        <f t="shared" si="39"/>
        <v>23417.912541307025</v>
      </c>
      <c r="R143" s="273">
        <f t="shared" si="39"/>
        <v>23608.050407609164</v>
      </c>
      <c r="S143" s="273">
        <f t="shared" si="39"/>
        <v>23802.339703083089</v>
      </c>
      <c r="T143" s="273">
        <f t="shared" si="39"/>
        <v>23966.702602816349</v>
      </c>
      <c r="U143" s="273">
        <f t="shared" si="39"/>
        <v>24927.927730347445</v>
      </c>
      <c r="V143" s="273">
        <f t="shared" si="39"/>
        <v>24636.676463224492</v>
      </c>
      <c r="W143" s="273">
        <f t="shared" si="39"/>
        <v>24684.19507732222</v>
      </c>
      <c r="X143" s="273">
        <f t="shared" si="39"/>
        <v>24863.670721701186</v>
      </c>
      <c r="Y143" s="273">
        <f t="shared" si="39"/>
        <v>25162.320881247691</v>
      </c>
      <c r="Z143" s="273">
        <f t="shared" si="39"/>
        <v>25308.863459034292</v>
      </c>
      <c r="AA143" s="273">
        <f t="shared" si="39"/>
        <v>25639.746802449172</v>
      </c>
      <c r="AB143" s="273">
        <f t="shared" si="39"/>
        <v>26536.164200502441</v>
      </c>
      <c r="AC143" s="273">
        <f t="shared" si="39"/>
        <v>26024.479662944304</v>
      </c>
      <c r="AD143" s="273">
        <f t="shared" si="39"/>
        <v>26242.953318025484</v>
      </c>
      <c r="AE143" s="273">
        <f t="shared" si="39"/>
        <v>26425.669828056136</v>
      </c>
      <c r="AF143" s="273">
        <f t="shared" si="39"/>
        <v>26911.406080394063</v>
      </c>
      <c r="AG143" s="273">
        <f t="shared" si="39"/>
        <v>26831.05860819446</v>
      </c>
      <c r="AH143" s="273">
        <f t="shared" si="39"/>
        <v>27224.515269547472</v>
      </c>
      <c r="AI143" s="273">
        <f t="shared" si="39"/>
        <v>27847.181277170679</v>
      </c>
      <c r="AJ143" s="273">
        <f t="shared" si="39"/>
        <v>27473.516173740925</v>
      </c>
      <c r="AK143" s="273">
        <f t="shared" si="39"/>
        <v>0</v>
      </c>
      <c r="AL143" s="273">
        <f t="shared" si="39"/>
        <v>0</v>
      </c>
      <c r="AM143" s="273">
        <f t="shared" si="39"/>
        <v>0</v>
      </c>
    </row>
    <row r="144" spans="3:39" outlineLevel="1">
      <c r="C144" s="266" t="s">
        <v>46</v>
      </c>
      <c r="D144" s="266"/>
      <c r="E144" s="4" t="s">
        <v>13</v>
      </c>
      <c r="F144" s="23">
        <f>SUM(G144:AM144)</f>
        <v>-537494.62117216201</v>
      </c>
      <c r="G144" s="273">
        <f>-Ops!G356</f>
        <v>-15797.541762956853</v>
      </c>
      <c r="H144" s="273">
        <f>-Ops!H356</f>
        <v>-16555.215687863012</v>
      </c>
      <c r="I144" s="273">
        <f>-Ops!I356</f>
        <v>-16996.464734224486</v>
      </c>
      <c r="J144" s="273">
        <f>-Ops!J356</f>
        <v>-17370.115209746957</v>
      </c>
      <c r="K144" s="273">
        <f>-Ops!K356</f>
        <v>-17421.856659541751</v>
      </c>
      <c r="L144" s="273">
        <f>-Ops!L356</f>
        <v>-17513.311737542146</v>
      </c>
      <c r="M144" s="273">
        <f>-Ops!M356</f>
        <v>-18476.065638633921</v>
      </c>
      <c r="N144" s="273">
        <f>-Ops!N356</f>
        <v>-17662.762971884982</v>
      </c>
      <c r="O144" s="273">
        <f>-Ops!O356</f>
        <v>-17682.006099403177</v>
      </c>
      <c r="P144" s="273">
        <f>-Ops!P356</f>
        <v>-17763.936511271375</v>
      </c>
      <c r="Q144" s="273">
        <f>-Ops!Q356</f>
        <v>-17783.356971761375</v>
      </c>
      <c r="R144" s="273">
        <f>-Ops!R356</f>
        <v>-17803.469260294965</v>
      </c>
      <c r="S144" s="273">
        <f>-Ops!S356</f>
        <v>-17821.82125542732</v>
      </c>
      <c r="T144" s="273">
        <f>-Ops!T356</f>
        <v>-17841.427070875474</v>
      </c>
      <c r="U144" s="273">
        <f>-Ops!U356</f>
        <v>-17860.240445326042</v>
      </c>
      <c r="V144" s="273">
        <f>-Ops!V356</f>
        <v>-17888.045027404525</v>
      </c>
      <c r="W144" s="273">
        <f>-Ops!W356</f>
        <v>-17899.112235367433</v>
      </c>
      <c r="X144" s="273">
        <f>-Ops!X356</f>
        <v>-17918.411107770622</v>
      </c>
      <c r="Y144" s="273">
        <f>-Ops!Y356</f>
        <v>-18325.444917315668</v>
      </c>
      <c r="Z144" s="273">
        <f>-Ops!Z356</f>
        <v>-18344.718276993863</v>
      </c>
      <c r="AA144" s="273">
        <f>-Ops!AA356</f>
        <v>-18364.55726521149</v>
      </c>
      <c r="AB144" s="273">
        <f>-Ops!AB356</f>
        <v>-18384.397822560608</v>
      </c>
      <c r="AC144" s="273">
        <f>-Ops!AC356</f>
        <v>-18402.673021149807</v>
      </c>
      <c r="AD144" s="273">
        <f>-Ops!AD356</f>
        <v>-18422.075999163491</v>
      </c>
      <c r="AE144" s="273">
        <f>-Ops!AE356</f>
        <v>-18441.370087591684</v>
      </c>
      <c r="AF144" s="273">
        <f>-Ops!AF356</f>
        <v>-18469.224809900676</v>
      </c>
      <c r="AG144" s="273">
        <f>-Ops!AG356</f>
        <v>-18542.238515779925</v>
      </c>
      <c r="AH144" s="273">
        <f>-Ops!AH356</f>
        <v>-18561.892034367593</v>
      </c>
      <c r="AI144" s="273">
        <f>-Ops!AI356</f>
        <v>-18580.772701951315</v>
      </c>
      <c r="AJ144" s="273">
        <f>-Ops!AJ356</f>
        <v>-18600.095332879508</v>
      </c>
      <c r="AK144" s="273">
        <f>-Ops!AK356</f>
        <v>0</v>
      </c>
      <c r="AL144" s="273">
        <f>-Ops!AL356</f>
        <v>0</v>
      </c>
      <c r="AM144" s="273">
        <f>-Ops!AM356</f>
        <v>0</v>
      </c>
    </row>
    <row r="145" spans="3:39" outlineLevel="1">
      <c r="C145" s="266" t="s">
        <v>83</v>
      </c>
      <c r="D145" s="266"/>
      <c r="E145" s="4" t="s">
        <v>13</v>
      </c>
      <c r="F145" s="23">
        <f>SUM(G145:AM145)</f>
        <v>96059.358621877298</v>
      </c>
      <c r="G145" s="273">
        <f>Ops!G1024+Ops!G1041</f>
        <v>0</v>
      </c>
      <c r="H145" s="273">
        <f>Ops!H1024+Ops!H1041</f>
        <v>1080.8492566253194</v>
      </c>
      <c r="I145" s="273">
        <f>Ops!I1024+Ops!I1041</f>
        <v>1254.5490660848573</v>
      </c>
      <c r="J145" s="273">
        <f>Ops!J1024+Ops!J1041</f>
        <v>1435.6636205584225</v>
      </c>
      <c r="K145" s="273">
        <f>Ops!K1024+Ops!K1041</f>
        <v>1481.9043541313042</v>
      </c>
      <c r="L145" s="273">
        <f>Ops!L1024+Ops!L1041</f>
        <v>1564.1189505293478</v>
      </c>
      <c r="M145" s="273">
        <f>Ops!M1024+Ops!M1041</f>
        <v>2803.4397300782898</v>
      </c>
      <c r="N145" s="273">
        <f>Ops!N1024+Ops!N1041</f>
        <v>2818.9455197844554</v>
      </c>
      <c r="O145" s="273">
        <f>Ops!O1024+Ops!O1041</f>
        <v>3627.545575509946</v>
      </c>
      <c r="P145" s="273">
        <f>Ops!P1024+Ops!P1041</f>
        <v>3609.5604020155884</v>
      </c>
      <c r="Q145" s="273">
        <f>Ops!Q1024+Ops!Q1041</f>
        <v>3665.685735702642</v>
      </c>
      <c r="R145" s="273">
        <f>Ops!R1024+Ops!R1041</f>
        <v>3774.8907317717371</v>
      </c>
      <c r="S145" s="273">
        <f>Ops!S1024+Ops!S1041</f>
        <v>3838.9683270074215</v>
      </c>
      <c r="T145" s="273">
        <f>Ops!T1024+Ops!T1041</f>
        <v>3862.1359804682365</v>
      </c>
      <c r="U145" s="273">
        <f>Ops!U1024+Ops!U1041</f>
        <v>3811.5925062869865</v>
      </c>
      <c r="V145" s="273">
        <f>Ops!V1024+Ops!V1041</f>
        <v>4551.8826349786432</v>
      </c>
      <c r="W145" s="273">
        <f>Ops!W1024+Ops!W1041</f>
        <v>4704.1618440936691</v>
      </c>
      <c r="X145" s="273">
        <f>Ops!X1024+Ops!X1041</f>
        <v>4644.6328176531697</v>
      </c>
      <c r="Y145" s="273">
        <f>Ops!Y1024+Ops!Y1041</f>
        <v>4519.2618000355169</v>
      </c>
      <c r="Z145" s="273">
        <f>Ops!Z1024+Ops!Z1041</f>
        <v>4417.8729839983025</v>
      </c>
      <c r="AA145" s="273">
        <f>Ops!AA1024+Ops!AA1041</f>
        <v>4210.010849375386</v>
      </c>
      <c r="AB145" s="273">
        <f>Ops!AB1024+Ops!AB1041</f>
        <v>4096.8551469150943</v>
      </c>
      <c r="AC145" s="273">
        <f>Ops!AC1024+Ops!AC1041</f>
        <v>4680.9554618328248</v>
      </c>
      <c r="AD145" s="273">
        <f>Ops!AD1024+Ops!AD1041</f>
        <v>4369.4271971667558</v>
      </c>
      <c r="AE145" s="273">
        <f>Ops!AE1024+Ops!AE1041</f>
        <v>4006.1839996597964</v>
      </c>
      <c r="AF145" s="273">
        <f>Ops!AF1024+Ops!AF1041</f>
        <v>3545.363267474273</v>
      </c>
      <c r="AG145" s="273">
        <f>Ops!AG1024+Ops!AG1041</f>
        <v>3312.869046339998</v>
      </c>
      <c r="AH145" s="273">
        <f>Ops!AH1024+Ops!AH1041</f>
        <v>2618.4024665224347</v>
      </c>
      <c r="AI145" s="273">
        <f>Ops!AI1024+Ops!AI1041</f>
        <v>2036.5289194644006</v>
      </c>
      <c r="AJ145" s="273">
        <f>Ops!AJ1024+Ops!AJ1041</f>
        <v>1715.1004298124967</v>
      </c>
      <c r="AK145" s="273">
        <f>Ops!AK1024+Ops!AK1041</f>
        <v>0</v>
      </c>
      <c r="AL145" s="273">
        <f>Ops!AL1024+Ops!AL1041</f>
        <v>0</v>
      </c>
      <c r="AM145" s="273">
        <f>Ops!AM1024+Ops!AM1041</f>
        <v>0</v>
      </c>
    </row>
    <row r="146" spans="3:39" outlineLevel="1">
      <c r="C146" s="266" t="s">
        <v>84</v>
      </c>
      <c r="D146" s="266"/>
      <c r="E146" s="4" t="s">
        <v>13</v>
      </c>
      <c r="F146" s="23">
        <f>SUM(G146:AM146)</f>
        <v>76776.486292563059</v>
      </c>
      <c r="G146" s="273">
        <f>Ops!G1023+Ops!G1040</f>
        <v>10775.031120895999</v>
      </c>
      <c r="H146" s="273">
        <f>Ops!H1023+Ops!H1040</f>
        <v>1472.4358093250448</v>
      </c>
      <c r="I146" s="273">
        <f>Ops!I1023+Ops!I1040</f>
        <v>1743.4786958342002</v>
      </c>
      <c r="J146" s="273">
        <f>Ops!J1023+Ops!J1040</f>
        <v>397.26424167419998</v>
      </c>
      <c r="K146" s="273">
        <f>Ops!K1023+Ops!K1040</f>
        <v>763.15204167420006</v>
      </c>
      <c r="L146" s="273">
        <f>Ops!L1023+Ops!L1040</f>
        <v>12305.51313337047</v>
      </c>
      <c r="M146" s="273">
        <f>Ops!M1023+Ops!M1040</f>
        <v>241.59493295294399</v>
      </c>
      <c r="N146" s="273">
        <f>Ops!N1023+Ops!N1040</f>
        <v>8189.1826116742004</v>
      </c>
      <c r="O146" s="273">
        <f>Ops!O1023+Ops!O1040</f>
        <v>43.404541674200004</v>
      </c>
      <c r="P146" s="273">
        <f>Ops!P1023+Ops!P1040</f>
        <v>845.77904167420013</v>
      </c>
      <c r="Q146" s="273">
        <f>Ops!Q1023+Ops!Q1040</f>
        <v>1452.9584045185595</v>
      </c>
      <c r="R146" s="273">
        <f>Ops!R1023+Ops!R1040</f>
        <v>1099.803583204369</v>
      </c>
      <c r="S146" s="273">
        <f>Ops!S1023+Ops!S1040</f>
        <v>797.93392010620016</v>
      </c>
      <c r="T146" s="273">
        <f>Ops!T1023+Ops!T1040</f>
        <v>178.80952295294401</v>
      </c>
      <c r="U146" s="273">
        <f>Ops!U1023+Ops!U1040</f>
        <v>8180.5448516742008</v>
      </c>
      <c r="V146" s="273">
        <f>Ops!V1023+Ops!V1040</f>
        <v>2648.0324560422537</v>
      </c>
      <c r="W146" s="273">
        <f>Ops!W1023+Ops!W1040</f>
        <v>783.53025167420014</v>
      </c>
      <c r="X146" s="273">
        <f>Ops!X1023+Ops!X1040</f>
        <v>351.64980167419998</v>
      </c>
      <c r="Y146" s="273">
        <f>Ops!Y1023+Ops!Y1040</f>
        <v>825.99884167420009</v>
      </c>
      <c r="Z146" s="273">
        <f>Ops!Z1023+Ops!Z1040</f>
        <v>49.327041674200004</v>
      </c>
      <c r="AA146" s="273">
        <f>Ops!AA1023+Ops!AA1040</f>
        <v>1270.9883857973036</v>
      </c>
      <c r="AB146" s="273">
        <f>Ops!AB1023+Ops!AB1040</f>
        <v>8611.8881932043696</v>
      </c>
      <c r="AC146" s="273">
        <f>Ops!AC1023+Ops!AC1040</f>
        <v>735.3069201062001</v>
      </c>
      <c r="AD146" s="273">
        <f>Ops!AD1023+Ops!AD1040</f>
        <v>757.22954167420005</v>
      </c>
      <c r="AE146" s="273">
        <f>Ops!AE1023+Ops!AE1040</f>
        <v>397.92364167419998</v>
      </c>
      <c r="AF146" s="273">
        <f>Ops!AF1023+Ops!AF1040</f>
        <v>3319.4787361862541</v>
      </c>
      <c r="AG146" s="273">
        <f>Ops!AG1023+Ops!AG1040</f>
        <v>63.7827516742</v>
      </c>
      <c r="AH146" s="273">
        <f>Ops!AH1023+Ops!AH1040</f>
        <v>1997.3976029529438</v>
      </c>
      <c r="AI146" s="273">
        <f>Ops!AI1023+Ops!AI1040</f>
        <v>6413.6611316742001</v>
      </c>
      <c r="AJ146" s="273">
        <f>Ops!AJ1023+Ops!AJ1040</f>
        <v>63.404541674200004</v>
      </c>
      <c r="AK146" s="273">
        <f>Ops!AK1023+Ops!AK1040</f>
        <v>0</v>
      </c>
      <c r="AL146" s="273">
        <f>Ops!AL1023+Ops!AL1040</f>
        <v>0</v>
      </c>
      <c r="AM146" s="273">
        <f>Ops!AM1023+Ops!AM1040</f>
        <v>0</v>
      </c>
    </row>
    <row r="147" spans="3:39">
      <c r="C147" s="11" t="s">
        <v>85</v>
      </c>
      <c r="D147" s="266"/>
      <c r="E147" s="4" t="s">
        <v>13</v>
      </c>
      <c r="F147" s="59">
        <f>SUM(G147:AM147)</f>
        <v>351840.21915417362</v>
      </c>
      <c r="G147" s="60">
        <f t="shared" ref="G147:AL147" si="40">SUM(G143:G146)</f>
        <v>10853.497173559101</v>
      </c>
      <c r="H147" s="60">
        <f t="shared" si="40"/>
        <v>1049.4932022277176</v>
      </c>
      <c r="I147" s="60">
        <f t="shared" si="40"/>
        <v>5496.3798129631841</v>
      </c>
      <c r="J147" s="60">
        <f t="shared" si="40"/>
        <v>4638.377713245728</v>
      </c>
      <c r="K147" s="60">
        <f t="shared" si="40"/>
        <v>5410.338608074022</v>
      </c>
      <c r="L147" s="60">
        <f t="shared" si="40"/>
        <v>18391.535334022548</v>
      </c>
      <c r="M147" s="60">
        <f t="shared" si="40"/>
        <v>6801.3248790056341</v>
      </c>
      <c r="N147" s="60">
        <f t="shared" si="40"/>
        <v>16704.63010100232</v>
      </c>
      <c r="O147" s="60">
        <f t="shared" si="40"/>
        <v>9002.4629518793681</v>
      </c>
      <c r="P147" s="60">
        <f t="shared" si="40"/>
        <v>9829.7404601960425</v>
      </c>
      <c r="Q147" s="60">
        <f t="shared" si="40"/>
        <v>10753.199709766852</v>
      </c>
      <c r="R147" s="60">
        <f t="shared" si="40"/>
        <v>10679.275462290305</v>
      </c>
      <c r="S147" s="60">
        <f t="shared" si="40"/>
        <v>10617.420694769391</v>
      </c>
      <c r="T147" s="60">
        <f t="shared" si="40"/>
        <v>10166.221035362056</v>
      </c>
      <c r="U147" s="60">
        <f t="shared" si="40"/>
        <v>19059.824642982589</v>
      </c>
      <c r="V147" s="60">
        <f t="shared" si="40"/>
        <v>13948.546526840864</v>
      </c>
      <c r="W147" s="60">
        <f t="shared" si="40"/>
        <v>12272.774937722656</v>
      </c>
      <c r="X147" s="60">
        <f t="shared" si="40"/>
        <v>11941.542233257935</v>
      </c>
      <c r="Y147" s="60">
        <f t="shared" si="40"/>
        <v>12182.136605641741</v>
      </c>
      <c r="Z147" s="60">
        <f t="shared" si="40"/>
        <v>11431.345207712931</v>
      </c>
      <c r="AA147" s="60">
        <f t="shared" si="40"/>
        <v>12756.188772410373</v>
      </c>
      <c r="AB147" s="60">
        <f t="shared" si="40"/>
        <v>20860.509718061297</v>
      </c>
      <c r="AC147" s="60">
        <f t="shared" si="40"/>
        <v>13038.069023733524</v>
      </c>
      <c r="AD147" s="60">
        <f t="shared" si="40"/>
        <v>12947.534057702947</v>
      </c>
      <c r="AE147" s="60">
        <f t="shared" si="40"/>
        <v>12388.407381798448</v>
      </c>
      <c r="AF147" s="60">
        <f t="shared" si="40"/>
        <v>15307.023274153915</v>
      </c>
      <c r="AG147" s="60">
        <f t="shared" si="40"/>
        <v>11665.471890428733</v>
      </c>
      <c r="AH147" s="60">
        <f t="shared" si="40"/>
        <v>13278.423304655258</v>
      </c>
      <c r="AI147" s="60">
        <f t="shared" si="40"/>
        <v>17716.598626357965</v>
      </c>
      <c r="AJ147" s="60">
        <f t="shared" si="40"/>
        <v>10651.925812348114</v>
      </c>
      <c r="AK147" s="60">
        <f t="shared" si="40"/>
        <v>0</v>
      </c>
      <c r="AL147" s="60">
        <f t="shared" si="40"/>
        <v>0</v>
      </c>
      <c r="AM147" s="60">
        <f t="shared" ref="AM147" si="41">SUM(AM143:AM146)</f>
        <v>0</v>
      </c>
    </row>
    <row r="148" spans="3:39">
      <c r="C148" s="266"/>
      <c r="D148" s="266"/>
      <c r="E148" s="266"/>
      <c r="F148" s="376"/>
      <c r="G148" s="474"/>
      <c r="H148" s="273"/>
      <c r="I148" s="273"/>
      <c r="J148" s="273"/>
      <c r="K148" s="273"/>
      <c r="L148" s="273"/>
      <c r="M148" s="273"/>
      <c r="N148" s="273"/>
      <c r="O148" s="273"/>
      <c r="P148" s="273"/>
      <c r="Q148" s="273"/>
      <c r="R148" s="273"/>
      <c r="S148" s="273"/>
      <c r="T148" s="273"/>
      <c r="U148" s="273"/>
      <c r="V148" s="273"/>
      <c r="W148" s="273"/>
      <c r="X148" s="273"/>
      <c r="Y148" s="273"/>
      <c r="Z148" s="273"/>
      <c r="AA148" s="273"/>
      <c r="AB148" s="273"/>
      <c r="AC148" s="273"/>
      <c r="AD148" s="273"/>
      <c r="AE148" s="273"/>
      <c r="AF148" s="273"/>
      <c r="AG148" s="273"/>
      <c r="AH148" s="273"/>
      <c r="AI148" s="273"/>
      <c r="AJ148" s="273"/>
      <c r="AK148" s="273"/>
      <c r="AL148" s="273"/>
      <c r="AM148" s="273"/>
    </row>
    <row r="149" spans="3:39" outlineLevel="1">
      <c r="C149" s="266" t="s">
        <v>86</v>
      </c>
      <c r="D149" s="266"/>
      <c r="E149" s="4" t="s">
        <v>13</v>
      </c>
      <c r="F149" s="23">
        <f t="shared" ref="F149:F153" si="42">SUM(G149:AM149)</f>
        <v>-172835.84491444039</v>
      </c>
      <c r="G149" s="273">
        <f>Ops!G1025+Ops!G1042</f>
        <v>0</v>
      </c>
      <c r="H149" s="273">
        <f>Ops!H1025+Ops!H1042</f>
        <v>-821.66445267086533</v>
      </c>
      <c r="I149" s="273">
        <f>Ops!I1025+Ops!I1042</f>
        <v>-1192.4892477020085</v>
      </c>
      <c r="J149" s="273">
        <f>Ops!J1025+Ops!J1042</f>
        <v>-1371.9520691266453</v>
      </c>
      <c r="K149" s="273">
        <f>Ops!K1025+Ops!K1042</f>
        <v>-1425.4556704030426</v>
      </c>
      <c r="L149" s="273">
        <f>Ops!L1025+Ops!L1042</f>
        <v>-1514.7917705460643</v>
      </c>
      <c r="M149" s="273">
        <f>Ops!M1025+Ops!M1042</f>
        <v>-2890.4568015821205</v>
      </c>
      <c r="N149" s="273">
        <f>Ops!N1025+Ops!N1042</f>
        <v>-2947.1605993130643</v>
      </c>
      <c r="O149" s="273">
        <f>Ops!O1025+Ops!O1042</f>
        <v>-3850.2450585726297</v>
      </c>
      <c r="P149" s="273">
        <f>Ops!P1025+Ops!P1042</f>
        <v>-3895.8236615937171</v>
      </c>
      <c r="Q149" s="273">
        <f>Ops!Q1025+Ops!Q1042</f>
        <v>-4029.9749997383415</v>
      </c>
      <c r="R149" s="273">
        <f>Ops!R1025+Ops!R1042</f>
        <v>-4235.90210728898</v>
      </c>
      <c r="S149" s="273">
        <f>Ops!S1025+Ops!S1042</f>
        <v>-4405.9429477402482</v>
      </c>
      <c r="T149" s="273">
        <f>Ops!T1025+Ops!T1042</f>
        <v>-4544.8154963206252</v>
      </c>
      <c r="U149" s="273">
        <f>Ops!U1025+Ops!U1042</f>
        <v>-4612.1543249434517</v>
      </c>
      <c r="V149" s="273">
        <f>Ops!V1025+Ops!V1042</f>
        <v>-5681.83733205304</v>
      </c>
      <c r="W149" s="273">
        <f>Ops!W1025+Ops!W1042</f>
        <v>-6081.1394322592896</v>
      </c>
      <c r="X149" s="273">
        <f>Ops!X1025+Ops!X1042</f>
        <v>-6246.1114999118636</v>
      </c>
      <c r="Y149" s="273">
        <f>Ops!Y1025+Ops!Y1042</f>
        <v>-6356.0099588927087</v>
      </c>
      <c r="Z149" s="273">
        <f>Ops!Z1025+Ops!Z1042</f>
        <v>-6539.3862770751857</v>
      </c>
      <c r="AA149" s="273">
        <f>Ops!AA1025+Ops!AA1042</f>
        <v>-6609.0531317200303</v>
      </c>
      <c r="AB149" s="273">
        <f>Ops!AB1025+Ops!AB1042</f>
        <v>-6885.8230462995789</v>
      </c>
      <c r="AC149" s="273">
        <f>Ops!AC1025+Ops!AC1042</f>
        <v>-8521.9005884139606</v>
      </c>
      <c r="AD149" s="273">
        <f>Ops!AD1025+Ops!AD1042</f>
        <v>-8747.8432582373789</v>
      </c>
      <c r="AE149" s="273">
        <f>Ops!AE1025+Ops!AE1042</f>
        <v>-8998.0486557879303</v>
      </c>
      <c r="AF149" s="273">
        <f>Ops!AF1025+Ops!AF1042</f>
        <v>-9182.5865483271336</v>
      </c>
      <c r="AG149" s="273">
        <f>Ops!AG1025+Ops!AG1042</f>
        <v>-10299.817969511521</v>
      </c>
      <c r="AH149" s="273">
        <f>Ops!AH1025+Ops!AH1042</f>
        <v>-10416.521622036778</v>
      </c>
      <c r="AI149" s="273">
        <f>Ops!AI1025+Ops!AI1042</f>
        <v>-11654.52401159805</v>
      </c>
      <c r="AJ149" s="273">
        <f>Ops!AJ1025+Ops!AJ1042</f>
        <v>-18876.412374774118</v>
      </c>
      <c r="AK149" s="273">
        <f>Ops!AK1025+Ops!AK1042</f>
        <v>0</v>
      </c>
      <c r="AL149" s="273">
        <f>Ops!AL1025+Ops!AL1042</f>
        <v>0</v>
      </c>
      <c r="AM149" s="273">
        <f>Ops!AM1025+Ops!AM1042</f>
        <v>0</v>
      </c>
    </row>
    <row r="150" spans="3:39" outlineLevel="1">
      <c r="C150" s="266" t="s">
        <v>87</v>
      </c>
      <c r="D150" s="266"/>
      <c r="E150" s="4" t="s">
        <v>13</v>
      </c>
      <c r="F150" s="23">
        <f t="shared" ca="1" si="42"/>
        <v>-21660.671032363389</v>
      </c>
      <c r="G150" s="273">
        <f ca="1">-Debt!G276</f>
        <v>-592.62671164927997</v>
      </c>
      <c r="H150" s="273">
        <f ca="1">-Debt!H276</f>
        <v>-673.61068116215745</v>
      </c>
      <c r="I150" s="273">
        <f ca="1">-Debt!I276</f>
        <v>-769.50200943303844</v>
      </c>
      <c r="J150" s="273">
        <f ca="1">-Debt!J276</f>
        <v>-736.38711347990238</v>
      </c>
      <c r="K150" s="273">
        <f ca="1">-Debt!K276</f>
        <v>-721.7153131966063</v>
      </c>
      <c r="L150" s="273">
        <f ca="1">-Debt!L276</f>
        <v>-1338.3755927655984</v>
      </c>
      <c r="M150" s="273">
        <f ca="1">-Debt!M276</f>
        <v>-1229.9928056447741</v>
      </c>
      <c r="N150" s="273">
        <f ca="1">-Debt!N276</f>
        <v>-1557.3985687223778</v>
      </c>
      <c r="O150" s="273">
        <f ca="1">-Debt!O276</f>
        <v>-1386.7415331008615</v>
      </c>
      <c r="P150" s="273">
        <f ca="1">-Debt!P276</f>
        <v>-1259.9166887553345</v>
      </c>
      <c r="Q150" s="273">
        <f ca="1">-Debt!Q276</f>
        <v>-1159.8413026102362</v>
      </c>
      <c r="R150" s="273">
        <f ca="1">-Debt!R276</f>
        <v>-1027.0236159181038</v>
      </c>
      <c r="S150" s="273">
        <f ca="1">-Debt!S276</f>
        <v>-865.50525834032408</v>
      </c>
      <c r="T150" s="273">
        <f ca="1">-Debt!T276</f>
        <v>-658.96346751765498</v>
      </c>
      <c r="U150" s="273">
        <f ca="1">-Debt!U276</f>
        <v>-889.23894518718441</v>
      </c>
      <c r="V150" s="273">
        <f ca="1">-Debt!V276</f>
        <v>-444.61947259359221</v>
      </c>
      <c r="W150" s="273">
        <f ca="1">-Debt!W276</f>
        <v>-188.73594892440497</v>
      </c>
      <c r="X150" s="273">
        <f ca="1">-Debt!X276</f>
        <v>-194.5955488075999</v>
      </c>
      <c r="Y150" s="273">
        <f ca="1">-Debt!Y276</f>
        <v>-225.05659672986553</v>
      </c>
      <c r="Z150" s="273">
        <f ca="1">-Debt!Z276</f>
        <v>-209.01486762779103</v>
      </c>
      <c r="AA150" s="273">
        <f ca="1">-Debt!AA276</f>
        <v>-259.91787724411626</v>
      </c>
      <c r="AB150" s="273">
        <f ca="1">-Debt!AB276</f>
        <v>-707.5799401459451</v>
      </c>
      <c r="AC150" s="273">
        <f ca="1">-Debt!AC276</f>
        <v>-669.40182740223668</v>
      </c>
      <c r="AD150" s="273">
        <f ca="1">-Debt!AD276</f>
        <v>-627.37422376903817</v>
      </c>
      <c r="AE150" s="273">
        <f ca="1">-Debt!AE276</f>
        <v>-559.63513495125665</v>
      </c>
      <c r="AF150" s="273">
        <f ca="1">-Debt!AF276</f>
        <v>-648.93394294962457</v>
      </c>
      <c r="AG150" s="273">
        <f ca="1">-Debt!AG276</f>
        <v>-522.65520570178057</v>
      </c>
      <c r="AH150" s="273">
        <f ca="1">-Debt!AH276</f>
        <v>-501.84827243874736</v>
      </c>
      <c r="AI150" s="273">
        <f ca="1">-Debt!AI276</f>
        <v>-687.31687720124592</v>
      </c>
      <c r="AJ150" s="273">
        <f ca="1">-Debt!AJ276</f>
        <v>-347.14568839270396</v>
      </c>
      <c r="AK150" s="273">
        <f ca="1">-Debt!AK276</f>
        <v>0</v>
      </c>
      <c r="AL150" s="273">
        <f ca="1">-Debt!AL276</f>
        <v>0</v>
      </c>
      <c r="AM150" s="273">
        <f ca="1">-Debt!AM276</f>
        <v>0</v>
      </c>
    </row>
    <row r="151" spans="3:39" outlineLevel="1">
      <c r="C151" s="266" t="s">
        <v>88</v>
      </c>
      <c r="D151" s="266"/>
      <c r="E151" s="4" t="s">
        <v>13</v>
      </c>
      <c r="F151" s="23">
        <f t="shared" ca="1" si="42"/>
        <v>-1887.1175100733014</v>
      </c>
      <c r="G151" s="273">
        <f ca="1">-Debt!G118-(+Debt!G71)</f>
        <v>-134.68788901119996</v>
      </c>
      <c r="H151" s="273">
        <f ca="1">-Debt!H118-(+Debt!H71)</f>
        <v>-126.15575882552304</v>
      </c>
      <c r="I151" s="273">
        <f ca="1">-Debt!I118-(+Debt!I71)</f>
        <v>-134.27462041009846</v>
      </c>
      <c r="J151" s="273">
        <f ca="1">-Debt!J118-(+Debt!J71)</f>
        <v>-124.58260622319008</v>
      </c>
      <c r="K151" s="273">
        <f ca="1">-Debt!K118-(+Debt!K71)</f>
        <v>-122.19376563695319</v>
      </c>
      <c r="L151" s="273">
        <f ca="1">-Debt!L118-(+Debt!L71)</f>
        <v>-251.98288907567382</v>
      </c>
      <c r="M151" s="273">
        <f ca="1">-Debt!M118-(+Debt!M71)</f>
        <v>-201.87553734698173</v>
      </c>
      <c r="N151" s="273">
        <f ca="1">-Debt!N118-(+Debt!N71)</f>
        <v>-272.17373531260006</v>
      </c>
      <c r="O151" s="273">
        <f ca="1">-Debt!O118-(+Debt!O71)</f>
        <v>-220.72648252932251</v>
      </c>
      <c r="P151" s="273">
        <f ca="1">-Debt!P118-(+Debt!P71)</f>
        <v>-198.46510039722463</v>
      </c>
      <c r="Q151" s="273">
        <f ca="1">-Debt!Q118-(+Debt!Q71)</f>
        <v>-3.6323960112964007</v>
      </c>
      <c r="R151" s="273">
        <f ca="1">-Debt!R118-(+Debt!R71)</f>
        <v>-2.7495089580109231</v>
      </c>
      <c r="S151" s="273">
        <f ca="1">-Debt!S118-(+Debt!S71)</f>
        <v>-1.994834800265501</v>
      </c>
      <c r="T151" s="273">
        <f ca="1">-Debt!T118-(+Debt!T71)</f>
        <v>-0.44702380738236008</v>
      </c>
      <c r="U151" s="273">
        <f ca="1">-Debt!U118-(+Debt!U71)</f>
        <v>-20.451362129185505</v>
      </c>
      <c r="V151" s="273">
        <f ca="1">-Debt!V118-(+Debt!V71)</f>
        <v>-6.6200811401056345</v>
      </c>
      <c r="W151" s="273">
        <f ca="1">-Debt!W118-(+Debt!W71)</f>
        <v>-1.9588256291855004</v>
      </c>
      <c r="X151" s="273">
        <f ca="1">-Debt!X118-(+Debt!X71)</f>
        <v>-0.87912450418549992</v>
      </c>
      <c r="Y151" s="273">
        <f ca="1">-Debt!Y118-(+Debt!Y71)</f>
        <v>-2.0649971041855002</v>
      </c>
      <c r="Z151" s="273">
        <f ca="1">-Debt!Z118-(+Debt!Z71)</f>
        <v>-0.12331760418550002</v>
      </c>
      <c r="AA151" s="273">
        <f ca="1">-Debt!AA118-(+Debt!AA71)</f>
        <v>-3.1774709644932591</v>
      </c>
      <c r="AB151" s="273">
        <f ca="1">-Debt!AB118-(+Debt!AB71)</f>
        <v>-21.52972048301093</v>
      </c>
      <c r="AC151" s="273">
        <f ca="1">-Debt!AC118-(+Debt!AC71)</f>
        <v>-1.8382673002655003</v>
      </c>
      <c r="AD151" s="273">
        <f ca="1">-Debt!AD118-(+Debt!AD71)</f>
        <v>-1.8930738541855001</v>
      </c>
      <c r="AE151" s="273">
        <f ca="1">-Debt!AE118-(+Debt!AE71)</f>
        <v>-0.99480910418550017</v>
      </c>
      <c r="AF151" s="273">
        <f ca="1">-Debt!AF118-(+Debt!AF71)</f>
        <v>-8.2986968404656345</v>
      </c>
      <c r="AG151" s="273">
        <f ca="1">-Debt!AG118-(+Debt!AG71)</f>
        <v>-0.1594568791855</v>
      </c>
      <c r="AH151" s="273">
        <f ca="1">-Debt!AH118-(+Debt!AH71)</f>
        <v>-4.9934940073823597</v>
      </c>
      <c r="AI151" s="273">
        <f ca="1">-Debt!AI118-(+Debt!AI71)</f>
        <v>-16.034152829185501</v>
      </c>
      <c r="AJ151" s="273">
        <f ca="1">-Debt!AJ118-(+Debt!AJ71)</f>
        <v>-0.1585113541855</v>
      </c>
      <c r="AK151" s="273">
        <f ca="1">-Debt!AK118-(+Debt!AK71)</f>
        <v>0</v>
      </c>
      <c r="AL151" s="273">
        <f ca="1">-Debt!AL118-(+Debt!AL71)</f>
        <v>0</v>
      </c>
      <c r="AM151" s="273">
        <f ca="1">-Debt!AM118-(+Debt!AM71)</f>
        <v>0</v>
      </c>
    </row>
    <row r="152" spans="3:39" outlineLevel="1">
      <c r="C152" s="266" t="s">
        <v>68</v>
      </c>
      <c r="D152" s="266"/>
      <c r="E152" s="4" t="s">
        <v>13</v>
      </c>
      <c r="F152" s="23">
        <f t="shared" ca="1" si="42"/>
        <v>9915.5510545235975</v>
      </c>
      <c r="G152" s="293">
        <f>Ops!G1078</f>
        <v>0</v>
      </c>
      <c r="H152" s="293">
        <f ca="1">Ops!H1078</f>
        <v>0</v>
      </c>
      <c r="I152" s="293">
        <f ca="1">Ops!I1078</f>
        <v>0</v>
      </c>
      <c r="J152" s="293">
        <f ca="1">Ops!J1078</f>
        <v>63.531546272428116</v>
      </c>
      <c r="K152" s="293">
        <f ca="1">Ops!K1078</f>
        <v>178.43001541174146</v>
      </c>
      <c r="L152" s="293">
        <f ca="1">Ops!L1078</f>
        <v>137.15562459708954</v>
      </c>
      <c r="M152" s="293">
        <f ca="1">Ops!M1078</f>
        <v>55.99364327919352</v>
      </c>
      <c r="N152" s="293">
        <f ca="1">Ops!N1078</f>
        <v>6.534982637546201</v>
      </c>
      <c r="O152" s="293">
        <f ca="1">Ops!O1078</f>
        <v>25.397167347172463</v>
      </c>
      <c r="P152" s="293">
        <f ca="1">Ops!P1078</f>
        <v>9.9945127218954291</v>
      </c>
      <c r="Q152" s="293">
        <f ca="1">Ops!Q1078</f>
        <v>10.311500097795385</v>
      </c>
      <c r="R152" s="293">
        <f ca="1">Ops!R1078</f>
        <v>11.650477020096314</v>
      </c>
      <c r="S152" s="293">
        <f ca="1">Ops!S1078</f>
        <v>12.234879182654316</v>
      </c>
      <c r="T152" s="293">
        <f ca="1">Ops!T1078</f>
        <v>12.887971509366828</v>
      </c>
      <c r="U152" s="293">
        <f ca="1">Ops!U1078</f>
        <v>13.55498615704526</v>
      </c>
      <c r="V152" s="293">
        <f ca="1">Ops!V1078</f>
        <v>29.902160073501751</v>
      </c>
      <c r="W152" s="293">
        <f ca="1">Ops!W1078</f>
        <v>14.680536862964477</v>
      </c>
      <c r="X152" s="293">
        <f ca="1">Ops!X1078</f>
        <v>14.778015300156405</v>
      </c>
      <c r="Y152" s="293">
        <f ca="1">Ops!Y1078</f>
        <v>14.584451387616987</v>
      </c>
      <c r="Z152" s="293">
        <f ca="1">Ops!Z1078</f>
        <v>13.53119180867264</v>
      </c>
      <c r="AA152" s="293">
        <f ca="1">Ops!AA1078</f>
        <v>13.136904831990396</v>
      </c>
      <c r="AB152" s="293">
        <f ca="1">Ops!AB1078</f>
        <v>24.150026787564727</v>
      </c>
      <c r="AC152" s="293">
        <f ca="1">Ops!AC1078</f>
        <v>189.36888497469792</v>
      </c>
      <c r="AD152" s="293">
        <f ca="1">Ops!AD1078</f>
        <v>411.24837863032258</v>
      </c>
      <c r="AE152" s="293">
        <f ca="1">Ops!AE1078</f>
        <v>664.30656987665282</v>
      </c>
      <c r="AF152" s="293">
        <f ca="1">Ops!AF1078</f>
        <v>946.06269705790146</v>
      </c>
      <c r="AG152" s="293">
        <f ca="1">Ops!AG1078</f>
        <v>1251.6867032045575</v>
      </c>
      <c r="AH152" s="293">
        <f ca="1">Ops!AH1078</f>
        <v>1584.3159013252039</v>
      </c>
      <c r="AI152" s="293">
        <f ca="1">Ops!AI1078</f>
        <v>1905.2486798372031</v>
      </c>
      <c r="AJ152" s="293">
        <f ca="1">Ops!AJ1078</f>
        <v>2300.8726463305661</v>
      </c>
      <c r="AK152" s="293">
        <f ca="1">Ops!AK1078</f>
        <v>0</v>
      </c>
      <c r="AL152" s="293">
        <f ca="1">Ops!AL1078</f>
        <v>0</v>
      </c>
      <c r="AM152" s="293">
        <f ca="1">Ops!AM1078</f>
        <v>0</v>
      </c>
    </row>
    <row r="153" spans="3:39" outlineLevel="1">
      <c r="C153" s="266" t="s">
        <v>89</v>
      </c>
      <c r="D153" s="266"/>
      <c r="E153" s="4" t="s">
        <v>13</v>
      </c>
      <c r="F153" s="23">
        <f t="shared" si="42"/>
        <v>-76776.486292563059</v>
      </c>
      <c r="G153" s="273">
        <f>-Ops!G1023-Ops!G1040</f>
        <v>-10775.031120895999</v>
      </c>
      <c r="H153" s="273">
        <f>-Ops!H1023-Ops!H1040</f>
        <v>-1472.4358093250448</v>
      </c>
      <c r="I153" s="273">
        <f>-Ops!I1023-Ops!I1040</f>
        <v>-1743.4786958342002</v>
      </c>
      <c r="J153" s="273">
        <f>-Ops!J1023-Ops!J1040</f>
        <v>-397.26424167419998</v>
      </c>
      <c r="K153" s="273">
        <f>-Ops!K1023-Ops!K1040</f>
        <v>-763.15204167420006</v>
      </c>
      <c r="L153" s="273">
        <f>-Ops!L1023-Ops!L1040</f>
        <v>-12305.51313337047</v>
      </c>
      <c r="M153" s="273">
        <f>-Ops!M1023-Ops!M1040</f>
        <v>-241.59493295294399</v>
      </c>
      <c r="N153" s="273">
        <f>-Ops!N1023-Ops!N1040</f>
        <v>-8189.1826116742004</v>
      </c>
      <c r="O153" s="273">
        <f>-Ops!O1023-Ops!O1040</f>
        <v>-43.404541674200004</v>
      </c>
      <c r="P153" s="273">
        <f>-Ops!P1023-Ops!P1040</f>
        <v>-845.77904167420013</v>
      </c>
      <c r="Q153" s="273">
        <f>-Ops!Q1023-Ops!Q1040</f>
        <v>-1452.9584045185595</v>
      </c>
      <c r="R153" s="273">
        <f>-Ops!R1023-Ops!R1040</f>
        <v>-1099.803583204369</v>
      </c>
      <c r="S153" s="273">
        <f>-Ops!S1023-Ops!S1040</f>
        <v>-797.93392010620016</v>
      </c>
      <c r="T153" s="273">
        <f>-Ops!T1023-Ops!T1040</f>
        <v>-178.80952295294401</v>
      </c>
      <c r="U153" s="273">
        <f>-Ops!U1023-Ops!U1040</f>
        <v>-8180.5448516742008</v>
      </c>
      <c r="V153" s="273">
        <f>-Ops!V1023-Ops!V1040</f>
        <v>-2648.0324560422537</v>
      </c>
      <c r="W153" s="273">
        <f>-Ops!W1023-Ops!W1040</f>
        <v>-783.53025167420014</v>
      </c>
      <c r="X153" s="273">
        <f>-Ops!X1023-Ops!X1040</f>
        <v>-351.64980167419998</v>
      </c>
      <c r="Y153" s="273">
        <f>-Ops!Y1023-Ops!Y1040</f>
        <v>-825.99884167420009</v>
      </c>
      <c r="Z153" s="273">
        <f>-Ops!Z1023-Ops!Z1040</f>
        <v>-49.327041674200004</v>
      </c>
      <c r="AA153" s="273">
        <f>-Ops!AA1023-Ops!AA1040</f>
        <v>-1270.9883857973036</v>
      </c>
      <c r="AB153" s="273">
        <f>-Ops!AB1023-Ops!AB1040</f>
        <v>-8611.8881932043696</v>
      </c>
      <c r="AC153" s="273">
        <f>-Ops!AC1023-Ops!AC1040</f>
        <v>-735.3069201062001</v>
      </c>
      <c r="AD153" s="273">
        <f>-Ops!AD1023-Ops!AD1040</f>
        <v>-757.22954167420005</v>
      </c>
      <c r="AE153" s="273">
        <f>-Ops!AE1023-Ops!AE1040</f>
        <v>-397.92364167419998</v>
      </c>
      <c r="AF153" s="273">
        <f>-Ops!AF1023-Ops!AF1040</f>
        <v>-3319.4787361862541</v>
      </c>
      <c r="AG153" s="273">
        <f>-Ops!AG1023-Ops!AG1040</f>
        <v>-63.7827516742</v>
      </c>
      <c r="AH153" s="273">
        <f>-Ops!AH1023-Ops!AH1040</f>
        <v>-1997.3976029529438</v>
      </c>
      <c r="AI153" s="273">
        <f>-Ops!AI1023-Ops!AI1040</f>
        <v>-6413.6611316742001</v>
      </c>
      <c r="AJ153" s="273">
        <f>-Ops!AJ1023-Ops!AJ1040</f>
        <v>-63.404541674200004</v>
      </c>
      <c r="AK153" s="273">
        <f>-Ops!AK1023-Ops!AK1040</f>
        <v>0</v>
      </c>
      <c r="AL153" s="273">
        <f>-Ops!AL1023-Ops!AL1040</f>
        <v>0</v>
      </c>
      <c r="AM153" s="273">
        <f>-Ops!AM1023-Ops!AM1040</f>
        <v>0</v>
      </c>
    </row>
    <row r="154" spans="3:39">
      <c r="C154" s="11" t="s">
        <v>90</v>
      </c>
      <c r="D154" s="266"/>
      <c r="E154" s="4" t="s">
        <v>13</v>
      </c>
      <c r="F154" s="59">
        <f ca="1">SUM(G154:AJ154)</f>
        <v>88595.650459257013</v>
      </c>
      <c r="G154" s="60">
        <f ca="1">SUM(G149:G153)+G147</f>
        <v>-648.84854799737877</v>
      </c>
      <c r="H154" s="60">
        <f t="shared" ref="H154:AK154" ca="1" si="43">SUM(H149:H153)+H147</f>
        <v>-2044.3734997558727</v>
      </c>
      <c r="I154" s="60">
        <f t="shared" ca="1" si="43"/>
        <v>1656.6352395838385</v>
      </c>
      <c r="J154" s="60">
        <f t="shared" ca="1" si="43"/>
        <v>2071.7232290142183</v>
      </c>
      <c r="K154" s="60">
        <f t="shared" ca="1" si="43"/>
        <v>2556.2518325749611</v>
      </c>
      <c r="L154" s="60">
        <f t="shared" ca="1" si="43"/>
        <v>3118.0275728618308</v>
      </c>
      <c r="M154" s="60">
        <f t="shared" ca="1" si="43"/>
        <v>2293.3984447580069</v>
      </c>
      <c r="N154" s="60">
        <f t="shared" ca="1" si="43"/>
        <v>3745.2495686176226</v>
      </c>
      <c r="O154" s="60">
        <f t="shared" ca="1" si="43"/>
        <v>3526.7425033495274</v>
      </c>
      <c r="P154" s="60">
        <f t="shared" ca="1" si="43"/>
        <v>3639.7504804974615</v>
      </c>
      <c r="Q154" s="60">
        <f t="shared" ca="1" si="43"/>
        <v>4117.1041069862131</v>
      </c>
      <c r="R154" s="60">
        <f t="shared" ca="1" si="43"/>
        <v>4325.4471239409377</v>
      </c>
      <c r="S154" s="60">
        <f t="shared" ca="1" si="43"/>
        <v>4558.2786129650076</v>
      </c>
      <c r="T154" s="60">
        <f t="shared" ca="1" si="43"/>
        <v>4796.0734962728166</v>
      </c>
      <c r="U154" s="60">
        <f t="shared" ca="1" si="43"/>
        <v>5370.990145205611</v>
      </c>
      <c r="V154" s="60">
        <f t="shared" ca="1" si="43"/>
        <v>5197.3393450853746</v>
      </c>
      <c r="W154" s="60">
        <f t="shared" ca="1" si="43"/>
        <v>5232.0910160985404</v>
      </c>
      <c r="X154" s="60">
        <f t="shared" ca="1" si="43"/>
        <v>5163.0842736602426</v>
      </c>
      <c r="Y154" s="60">
        <f t="shared" ca="1" si="43"/>
        <v>4787.5906626283986</v>
      </c>
      <c r="Z154" s="60">
        <f t="shared" ca="1" si="43"/>
        <v>4647.0248955402421</v>
      </c>
      <c r="AA154" s="60">
        <f t="shared" ca="1" si="43"/>
        <v>4626.1888115164193</v>
      </c>
      <c r="AB154" s="60">
        <f t="shared" ca="1" si="43"/>
        <v>4657.8388447159559</v>
      </c>
      <c r="AC154" s="60">
        <f t="shared" ca="1" si="43"/>
        <v>3298.9903054855586</v>
      </c>
      <c r="AD154" s="60">
        <f t="shared" ca="1" si="43"/>
        <v>3224.4423387984662</v>
      </c>
      <c r="AE154" s="60">
        <f t="shared" ca="1" si="43"/>
        <v>3096.1117101575273</v>
      </c>
      <c r="AF154" s="60">
        <f t="shared" ca="1" si="43"/>
        <v>3093.7880469083375</v>
      </c>
      <c r="AG154" s="60">
        <f t="shared" ca="1" si="43"/>
        <v>2030.7432098666031</v>
      </c>
      <c r="AH154" s="60">
        <f t="shared" ca="1" si="43"/>
        <v>1941.9782145446115</v>
      </c>
      <c r="AI154" s="60">
        <f t="shared" ca="1" si="43"/>
        <v>850.3111328924897</v>
      </c>
      <c r="AJ154" s="60">
        <f t="shared" ca="1" si="43"/>
        <v>-6334.3226575165263</v>
      </c>
      <c r="AK154" s="60">
        <f t="shared" ca="1" si="43"/>
        <v>0</v>
      </c>
      <c r="AL154" s="60">
        <f ca="1">SUM(AL149:AL153)+AL147</f>
        <v>0</v>
      </c>
      <c r="AM154" s="60">
        <f t="shared" ref="AM154" ca="1" si="44">SUM(AM149:AM153)+AM147</f>
        <v>0</v>
      </c>
    </row>
    <row r="155" spans="3:39">
      <c r="C155" s="266"/>
      <c r="D155" s="266"/>
      <c r="E155" s="266"/>
      <c r="F155" s="273"/>
      <c r="G155" s="273"/>
      <c r="H155"/>
      <c r="I155" s="273"/>
      <c r="J155" s="273"/>
      <c r="K155" s="273"/>
      <c r="L155" s="273"/>
      <c r="M155" s="273"/>
      <c r="N155" s="273"/>
      <c r="O155" s="273"/>
      <c r="P155" s="273"/>
      <c r="Q155" s="273"/>
      <c r="R155" s="273"/>
      <c r="S155" s="273"/>
      <c r="T155" s="273"/>
      <c r="U155" s="273"/>
      <c r="V155" s="273"/>
      <c r="W155" s="273"/>
      <c r="X155" s="273"/>
      <c r="Y155" s="273"/>
      <c r="Z155" s="273"/>
      <c r="AA155" s="273"/>
      <c r="AB155" s="273"/>
      <c r="AC155" s="273"/>
      <c r="AD155" s="273"/>
      <c r="AE155" s="273"/>
      <c r="AF155" s="273"/>
      <c r="AG155" s="273"/>
      <c r="AH155" s="273"/>
      <c r="AI155" s="273"/>
      <c r="AJ155" s="273"/>
      <c r="AK155" s="273"/>
      <c r="AL155" s="273"/>
      <c r="AM155" s="273"/>
    </row>
    <row r="156" spans="3:39" outlineLevel="1">
      <c r="C156" s="266" t="s">
        <v>91</v>
      </c>
      <c r="D156" s="266"/>
      <c r="E156" s="4" t="s">
        <v>13</v>
      </c>
      <c r="F156" s="23">
        <f t="shared" ref="F156" si="45">SUM(G156:AM156)</f>
        <v>13979.1281076</v>
      </c>
      <c r="G156" s="273">
        <f>Ops!G927</f>
        <v>0</v>
      </c>
      <c r="H156" s="273">
        <f>Ops!H927</f>
        <v>0</v>
      </c>
      <c r="I156" s="273">
        <f>Ops!I927</f>
        <v>0</v>
      </c>
      <c r="J156" s="273">
        <f>Ops!J927</f>
        <v>0</v>
      </c>
      <c r="K156" s="273">
        <f>Ops!K927</f>
        <v>0</v>
      </c>
      <c r="L156" s="273">
        <f>Ops!L927</f>
        <v>0</v>
      </c>
      <c r="M156" s="273">
        <f>Ops!M927</f>
        <v>0</v>
      </c>
      <c r="N156" s="273">
        <f>Ops!N927</f>
        <v>3479.9393663999995</v>
      </c>
      <c r="O156" s="273">
        <f>Ops!O927</f>
        <v>0</v>
      </c>
      <c r="P156" s="273">
        <f>Ops!P927</f>
        <v>0</v>
      </c>
      <c r="Q156" s="273">
        <f>Ops!Q927</f>
        <v>0</v>
      </c>
      <c r="R156" s="273">
        <f>Ops!R927</f>
        <v>0</v>
      </c>
      <c r="S156" s="273">
        <f>Ops!S927</f>
        <v>0</v>
      </c>
      <c r="T156" s="273">
        <f>Ops!T927</f>
        <v>0</v>
      </c>
      <c r="U156" s="273">
        <f>Ops!U927</f>
        <v>3466.9488744000005</v>
      </c>
      <c r="V156" s="273">
        <f>Ops!V927</f>
        <v>0</v>
      </c>
      <c r="W156" s="273">
        <f>Ops!W927</f>
        <v>0</v>
      </c>
      <c r="X156" s="273">
        <f>Ops!X927</f>
        <v>0</v>
      </c>
      <c r="Y156" s="273">
        <f>Ops!Y927</f>
        <v>0</v>
      </c>
      <c r="Z156" s="273">
        <f>Ops!Z927</f>
        <v>0</v>
      </c>
      <c r="AA156" s="273">
        <f>Ops!AA927</f>
        <v>0</v>
      </c>
      <c r="AB156" s="273">
        <f>Ops!AB927</f>
        <v>3232.3928652</v>
      </c>
      <c r="AC156" s="273">
        <f>Ops!AC927</f>
        <v>0</v>
      </c>
      <c r="AD156" s="273">
        <f>Ops!AD927</f>
        <v>0</v>
      </c>
      <c r="AE156" s="273">
        <f>Ops!AE927</f>
        <v>0</v>
      </c>
      <c r="AF156" s="273">
        <f>Ops!AF927</f>
        <v>0</v>
      </c>
      <c r="AG156" s="273">
        <f>Ops!AG927</f>
        <v>0</v>
      </c>
      <c r="AH156" s="273">
        <f>Ops!AH927</f>
        <v>0</v>
      </c>
      <c r="AI156" s="273">
        <f>Ops!AI927</f>
        <v>3799.8470015999997</v>
      </c>
      <c r="AJ156" s="273">
        <f>Ops!AJ927</f>
        <v>0</v>
      </c>
      <c r="AK156" s="273">
        <f>Ops!AK927</f>
        <v>0</v>
      </c>
      <c r="AL156" s="273">
        <f>Ops!AL927</f>
        <v>0</v>
      </c>
      <c r="AM156" s="273">
        <f>Ops!AM927</f>
        <v>0</v>
      </c>
    </row>
    <row r="157" spans="3:39" outlineLevel="1">
      <c r="C157" s="266" t="s">
        <v>92</v>
      </c>
      <c r="D157" s="266"/>
      <c r="E157" s="4" t="s">
        <v>13</v>
      </c>
      <c r="F157" s="23">
        <f ca="1">SUM(G157:AJ157)</f>
        <v>-31628.190859703012</v>
      </c>
      <c r="G157" s="273">
        <f ca="1">-Ops!G986</f>
        <v>0</v>
      </c>
      <c r="H157" s="273">
        <f ca="1">-Ops!H986</f>
        <v>0</v>
      </c>
      <c r="I157" s="273">
        <f ca="1">-Ops!I986</f>
        <v>-370.27918702095354</v>
      </c>
      <c r="J157" s="273">
        <f ca="1">-Ops!J986</f>
        <v>-469.07012850538399</v>
      </c>
      <c r="K157" s="273">
        <f ca="1">-Ops!K986</f>
        <v>-584.38793615284078</v>
      </c>
      <c r="L157" s="273">
        <f ca="1">-Ops!L986</f>
        <v>-761.46412925656466</v>
      </c>
      <c r="M157" s="273">
        <f ca="1">-Ops!M986</f>
        <v>-755.75547121772229</v>
      </c>
      <c r="N157" s="273">
        <f ca="1">-Ops!N986</f>
        <v>-1249.3848533299918</v>
      </c>
      <c r="O157" s="273">
        <f ca="1">-Ops!O986</f>
        <v>-1175.0924511388394</v>
      </c>
      <c r="P157" s="273">
        <f ca="1">-Ops!P986</f>
        <v>-1213.5151633691369</v>
      </c>
      <c r="Q157" s="273">
        <f ca="1">-Ops!Q986</f>
        <v>-1375.8153963753125</v>
      </c>
      <c r="R157" s="273">
        <f ca="1">-Ops!R986</f>
        <v>-1446.6520221399187</v>
      </c>
      <c r="S157" s="273">
        <f ca="1">-Ops!S986</f>
        <v>-1525.8147284081024</v>
      </c>
      <c r="T157" s="273">
        <f ca="1">-Ops!T986</f>
        <v>-1606.6649887327576</v>
      </c>
      <c r="U157" s="273">
        <f ca="1">-Ops!U986</f>
        <v>-1802.1366493699079</v>
      </c>
      <c r="V157" s="273">
        <f ca="1">-Ops!V986</f>
        <v>-1743.0953773290273</v>
      </c>
      <c r="W157" s="273">
        <f ca="1">-Ops!W986</f>
        <v>-1754.9109454735037</v>
      </c>
      <c r="X157" s="273">
        <f ca="1">-Ops!X986</f>
        <v>-1731.4486530444824</v>
      </c>
      <c r="Y157" s="273">
        <f ca="1">-Ops!Y986</f>
        <v>-1603.7808252936557</v>
      </c>
      <c r="Z157" s="273">
        <f ca="1">-Ops!Z986</f>
        <v>-1555.9884644836823</v>
      </c>
      <c r="AA157" s="273">
        <f ca="1">-Ops!AA986</f>
        <v>-1548.9041959155825</v>
      </c>
      <c r="AB157" s="273">
        <f ca="1">-Ops!AB986</f>
        <v>-1559.6652072034251</v>
      </c>
      <c r="AC157" s="273">
        <f ca="1">-Ops!AC986</f>
        <v>-1097.6567038650899</v>
      </c>
      <c r="AD157" s="273">
        <f ca="1">-Ops!AD986</f>
        <v>-1072.3103951914786</v>
      </c>
      <c r="AE157" s="273">
        <f ca="1">-Ops!AE986</f>
        <v>-1028.6779814535594</v>
      </c>
      <c r="AF157" s="273">
        <f ca="1">-Ops!AF986</f>
        <v>-1027.8879359488346</v>
      </c>
      <c r="AG157" s="273">
        <f ca="1">-Ops!AG986</f>
        <v>-666.45269135464514</v>
      </c>
      <c r="AH157" s="273">
        <f ca="1">-Ops!AH986</f>
        <v>-636.27259294516796</v>
      </c>
      <c r="AI157" s="273">
        <f ca="1">-Ops!AI986</f>
        <v>-265.10578518344653</v>
      </c>
      <c r="AJ157" s="273">
        <f ca="1">-Ops!AJ986</f>
        <v>0</v>
      </c>
      <c r="AK157" s="273">
        <f ca="1">-Ops!AK986</f>
        <v>0</v>
      </c>
      <c r="AL157" s="273">
        <f ca="1">-Ops!AL986</f>
        <v>0</v>
      </c>
      <c r="AM157" s="273">
        <f ca="1">-Ops!AM986</f>
        <v>0</v>
      </c>
    </row>
    <row r="158" spans="3:39">
      <c r="C158" s="11" t="s">
        <v>93</v>
      </c>
      <c r="D158" s="11"/>
      <c r="E158" s="4" t="s">
        <v>13</v>
      </c>
      <c r="F158" s="59">
        <f ca="1">SUM(G158:AJ158)</f>
        <v>70946.587707154016</v>
      </c>
      <c r="G158" s="60">
        <f t="shared" ref="G158:AM158" ca="1" si="46">G156+G157+G154</f>
        <v>-648.84854799737877</v>
      </c>
      <c r="H158" s="60">
        <f t="shared" ca="1" si="46"/>
        <v>-2044.3734997558727</v>
      </c>
      <c r="I158" s="60">
        <f t="shared" ca="1" si="46"/>
        <v>1286.356052562885</v>
      </c>
      <c r="J158" s="60">
        <f t="shared" ca="1" si="46"/>
        <v>1602.6531005088343</v>
      </c>
      <c r="K158" s="60">
        <f t="shared" ca="1" si="46"/>
        <v>1971.8638964221204</v>
      </c>
      <c r="L158" s="60">
        <f t="shared" ca="1" si="46"/>
        <v>2356.563443605266</v>
      </c>
      <c r="M158" s="60">
        <f t="shared" ca="1" si="46"/>
        <v>1537.6429735402846</v>
      </c>
      <c r="N158" s="60">
        <f t="shared" ca="1" si="46"/>
        <v>5975.8040816876301</v>
      </c>
      <c r="O158" s="60">
        <f t="shared" ca="1" si="46"/>
        <v>2351.650052210688</v>
      </c>
      <c r="P158" s="60">
        <f t="shared" ca="1" si="46"/>
        <v>2426.2353171283248</v>
      </c>
      <c r="Q158" s="60">
        <f t="shared" ca="1" si="46"/>
        <v>2741.2887106109006</v>
      </c>
      <c r="R158" s="60">
        <f t="shared" ca="1" si="46"/>
        <v>2878.795101801019</v>
      </c>
      <c r="S158" s="60">
        <f t="shared" ca="1" si="46"/>
        <v>3032.4638845569052</v>
      </c>
      <c r="T158" s="60">
        <f t="shared" ca="1" si="46"/>
        <v>3189.408507540059</v>
      </c>
      <c r="U158" s="60">
        <f t="shared" ca="1" si="46"/>
        <v>7035.8023702357041</v>
      </c>
      <c r="V158" s="60">
        <f t="shared" ca="1" si="46"/>
        <v>3454.243967756347</v>
      </c>
      <c r="W158" s="60">
        <f t="shared" ca="1" si="46"/>
        <v>3477.1800706250369</v>
      </c>
      <c r="X158" s="60">
        <f t="shared" ca="1" si="46"/>
        <v>3431.6356206157602</v>
      </c>
      <c r="Y158" s="60">
        <f t="shared" ca="1" si="46"/>
        <v>3183.809837334743</v>
      </c>
      <c r="Z158" s="60">
        <f t="shared" ca="1" si="46"/>
        <v>3091.0364310565601</v>
      </c>
      <c r="AA158" s="60">
        <f t="shared" ca="1" si="46"/>
        <v>3077.2846156008368</v>
      </c>
      <c r="AB158" s="60">
        <f t="shared" ca="1" si="46"/>
        <v>6330.5665027125306</v>
      </c>
      <c r="AC158" s="60">
        <f t="shared" ca="1" si="46"/>
        <v>2201.3336016204685</v>
      </c>
      <c r="AD158" s="60">
        <f t="shared" ca="1" si="46"/>
        <v>2152.1319436069875</v>
      </c>
      <c r="AE158" s="60">
        <f t="shared" ca="1" si="46"/>
        <v>2067.433728703968</v>
      </c>
      <c r="AF158" s="60">
        <f t="shared" ca="1" si="46"/>
        <v>2065.9001109595029</v>
      </c>
      <c r="AG158" s="60">
        <f t="shared" ca="1" si="46"/>
        <v>1364.290518511958</v>
      </c>
      <c r="AH158" s="60">
        <f t="shared" ca="1" si="46"/>
        <v>1305.7056215994435</v>
      </c>
      <c r="AI158" s="60">
        <f t="shared" ca="1" si="46"/>
        <v>4385.0523493090423</v>
      </c>
      <c r="AJ158" s="60">
        <f t="shared" ca="1" si="46"/>
        <v>-6334.3226575165263</v>
      </c>
      <c r="AK158" s="60">
        <f t="shared" ca="1" si="46"/>
        <v>0</v>
      </c>
      <c r="AL158" s="60">
        <f t="shared" ca="1" si="46"/>
        <v>0</v>
      </c>
      <c r="AM158" s="60">
        <f t="shared" ca="1" si="46"/>
        <v>0</v>
      </c>
    </row>
    <row r="159" spans="3:39" outlineLevel="1">
      <c r="C159" s="266"/>
      <c r="D159" s="266"/>
      <c r="E159" s="266"/>
      <c r="F159" s="273"/>
      <c r="G159" s="273"/>
      <c r="H159" s="273"/>
      <c r="I159" s="273"/>
      <c r="J159" s="273"/>
      <c r="K159" s="273"/>
      <c r="L159" s="273"/>
      <c r="M159" s="273"/>
      <c r="N159" s="273"/>
      <c r="O159" s="273"/>
      <c r="P159" s="273"/>
      <c r="Q159" s="273"/>
      <c r="R159" s="273"/>
      <c r="S159" s="273"/>
      <c r="T159" s="273"/>
      <c r="U159" s="273"/>
      <c r="V159" s="273"/>
      <c r="W159" s="273"/>
      <c r="X159" s="273"/>
      <c r="Y159" s="273"/>
      <c r="Z159" s="273"/>
      <c r="AA159" s="273"/>
      <c r="AB159" s="273"/>
      <c r="AC159" s="273"/>
      <c r="AD159" s="273"/>
      <c r="AE159" s="273"/>
      <c r="AF159" s="273"/>
      <c r="AG159" s="273"/>
      <c r="AH159" s="273"/>
      <c r="AI159" s="273"/>
      <c r="AJ159" s="273"/>
      <c r="AK159" s="273"/>
      <c r="AL159" s="273"/>
      <c r="AM159" s="273"/>
    </row>
    <row r="160" spans="3:39" outlineLevel="1">
      <c r="C160" s="266" t="s">
        <v>71</v>
      </c>
      <c r="D160" s="266"/>
      <c r="E160" s="4" t="s">
        <v>13</v>
      </c>
      <c r="F160" s="23">
        <f ca="1">SUM(G160:AJ160)</f>
        <v>-73282.203744049359</v>
      </c>
      <c r="G160" s="273">
        <f ca="1">-Ops!G1116</f>
        <v>0</v>
      </c>
      <c r="H160" s="273">
        <f ca="1">-Ops!H1116</f>
        <v>0</v>
      </c>
      <c r="I160" s="273">
        <f ca="1">-Ops!I1116</f>
        <v>0</v>
      </c>
      <c r="J160" s="273">
        <f ca="1">-Ops!J1116</f>
        <v>-51.336647664881781</v>
      </c>
      <c r="K160" s="273">
        <f ca="1">-Ops!K1116</f>
        <v>-1873.2707016010145</v>
      </c>
      <c r="L160" s="273">
        <f ca="1">-Ops!L1116</f>
        <v>-2238.7352714250028</v>
      </c>
      <c r="M160" s="273">
        <f ca="1">-Ops!M1116</f>
        <v>-1156.062681648033</v>
      </c>
      <c r="N160" s="273">
        <f ca="1">-Ops!N1116</f>
        <v>-5007.8026831507432</v>
      </c>
      <c r="O160" s="273">
        <f ca="1">-Ops!O1116</f>
        <v>-1979.3401495829912</v>
      </c>
      <c r="P160" s="273">
        <f ca="1">-Ops!P1116</f>
        <v>-1855.7311990012599</v>
      </c>
      <c r="Q160" s="273">
        <f ca="1">-Ops!Q1116</f>
        <v>-2222.4074486489671</v>
      </c>
      <c r="R160" s="273">
        <f ca="1">-Ops!R1116</f>
        <v>-2401.7623266024207</v>
      </c>
      <c r="S160" s="273">
        <f ca="1">-Ops!S1116</f>
        <v>-2097.6255796906908</v>
      </c>
      <c r="T160" s="273">
        <f ca="1">-Ops!T1116</f>
        <v>-1305.3903675848696</v>
      </c>
      <c r="U160" s="273">
        <f ca="1">-Ops!U1116</f>
        <v>-4276.3632243983075</v>
      </c>
      <c r="V160" s="273">
        <f ca="1">-Ops!V1116</f>
        <v>-2408.7978750854536</v>
      </c>
      <c r="W160" s="273">
        <f ca="1">-Ops!W1116</f>
        <v>-5007.8331389962241</v>
      </c>
      <c r="X160" s="273">
        <f ca="1">-Ops!X1116</f>
        <v>-5039.9943923074325</v>
      </c>
      <c r="Y160" s="273">
        <f ca="1">-Ops!Y1116</f>
        <v>-4988.5054370123808</v>
      </c>
      <c r="Z160" s="273">
        <f ca="1">-Ops!Z1116</f>
        <v>-4436.7573663410503</v>
      </c>
      <c r="AA160" s="273">
        <f ca="1">-Ops!AA1116</f>
        <v>-4155.6935951349351</v>
      </c>
      <c r="AB160" s="273">
        <f ca="1">-Ops!AB1116</f>
        <v>-6014.0381775769038</v>
      </c>
      <c r="AC160" s="273">
        <f ca="1">-Ops!AC1116</f>
        <v>-2091.2669215394449</v>
      </c>
      <c r="AD160" s="273">
        <f ca="1">-Ops!AD1116</f>
        <v>-2044.5253464266382</v>
      </c>
      <c r="AE160" s="273">
        <f ca="1">-Ops!AE1116</f>
        <v>-1964.0620422687696</v>
      </c>
      <c r="AF160" s="273">
        <f ca="1">-Ops!AF1116</f>
        <v>-1962.6051054115278</v>
      </c>
      <c r="AG160" s="273">
        <f ca="1">-Ops!AG1116</f>
        <v>-1296.0759925863604</v>
      </c>
      <c r="AH160" s="273">
        <f ca="1">-Ops!AH1116</f>
        <v>-1240.4203405194712</v>
      </c>
      <c r="AI160" s="273">
        <f ca="1">-Ops!AI1116</f>
        <v>-4165.7997318435901</v>
      </c>
      <c r="AJ160" s="273">
        <f ca="1">-Ops!AJ1116</f>
        <v>0</v>
      </c>
      <c r="AK160" s="273">
        <f ca="1">-Ops!AK1116</f>
        <v>0</v>
      </c>
      <c r="AL160" s="273">
        <f ca="1">-Ops!AL1116</f>
        <v>0</v>
      </c>
      <c r="AM160" s="273">
        <f ca="1">-Ops!AM1116</f>
        <v>0</v>
      </c>
    </row>
    <row r="161" spans="3:39" outlineLevel="1">
      <c r="C161" s="266" t="str">
        <f>Ops!C1089</f>
        <v>Constituição reserva legal</v>
      </c>
      <c r="D161" s="266"/>
      <c r="E161" s="4" t="s">
        <v>13</v>
      </c>
      <c r="F161" s="23">
        <f ca="1">SUM(G161:AJ161)</f>
        <v>-3998.7066206211916</v>
      </c>
      <c r="G161" s="273">
        <f ca="1">-Ops!G1089</f>
        <v>0</v>
      </c>
      <c r="H161" s="273">
        <f ca="1">-Ops!H1089</f>
        <v>0</v>
      </c>
      <c r="I161" s="273">
        <f ca="1">-Ops!I1089</f>
        <v>-64.31780262814425</v>
      </c>
      <c r="J161" s="273">
        <f ca="1">-Ops!J1089</f>
        <v>-80.132655025441721</v>
      </c>
      <c r="K161" s="273">
        <f ca="1">-Ops!K1089</f>
        <v>-98.593194821106025</v>
      </c>
      <c r="L161" s="273">
        <f ca="1">-Ops!L1089</f>
        <v>-117.82817218026331</v>
      </c>
      <c r="M161" s="273">
        <f ca="1">-Ops!M1089</f>
        <v>-76.882148677014243</v>
      </c>
      <c r="N161" s="273">
        <f ca="1">-Ops!N1089</f>
        <v>-298.79020408438151</v>
      </c>
      <c r="O161" s="273">
        <f ca="1">-Ops!O1089</f>
        <v>-117.58250261053441</v>
      </c>
      <c r="P161" s="273">
        <f ca="1">-Ops!P1089</f>
        <v>-121.31176585641624</v>
      </c>
      <c r="Q161" s="273">
        <f ca="1">-Ops!Q1089</f>
        <v>-137.06443553054504</v>
      </c>
      <c r="R161" s="273">
        <f ca="1">-Ops!R1089</f>
        <v>-143.93975509005097</v>
      </c>
      <c r="S161" s="273">
        <f ca="1">-Ops!S1089</f>
        <v>-151.62319422784526</v>
      </c>
      <c r="T161" s="273">
        <f ca="1">-Ops!T1089</f>
        <v>-159.47042537700295</v>
      </c>
      <c r="U161" s="273">
        <f ca="1">-Ops!U1089</f>
        <v>-351.79011851178524</v>
      </c>
      <c r="V161" s="273">
        <f ca="1">-Ops!V1089</f>
        <v>-172.71219838781735</v>
      </c>
      <c r="W161" s="273">
        <f ca="1">-Ops!W1089</f>
        <v>-173.85900353125186</v>
      </c>
      <c r="X161" s="273">
        <f ca="1">-Ops!X1089</f>
        <v>-171.58178103078802</v>
      </c>
      <c r="Y161" s="273">
        <f ca="1">-Ops!Y1089</f>
        <v>-159.19049186673715</v>
      </c>
      <c r="Z161" s="273">
        <f ca="1">-Ops!Z1089</f>
        <v>-154.55182155282802</v>
      </c>
      <c r="AA161" s="273">
        <f ca="1">-Ops!AA1089</f>
        <v>-153.86423078004185</v>
      </c>
      <c r="AB161" s="273">
        <f ca="1">-Ops!AB1089</f>
        <v>-316.52832513562657</v>
      </c>
      <c r="AC161" s="273">
        <f ca="1">-Ops!AC1089</f>
        <v>-110.06668008102343</v>
      </c>
      <c r="AD161" s="273">
        <f ca="1">-Ops!AD1089</f>
        <v>-107.60659718034938</v>
      </c>
      <c r="AE161" s="273">
        <f ca="1">-Ops!AE1089</f>
        <v>-103.3716864351984</v>
      </c>
      <c r="AF161" s="273">
        <f ca="1">-Ops!AF1089</f>
        <v>-103.29500554797515</v>
      </c>
      <c r="AG161" s="273">
        <f ca="1">-Ops!AG1089</f>
        <v>-68.214525925597897</v>
      </c>
      <c r="AH161" s="273">
        <f ca="1">-Ops!AH1089</f>
        <v>-65.285281079972179</v>
      </c>
      <c r="AI161" s="273">
        <f ca="1">-Ops!AI1089</f>
        <v>-219.25261746545212</v>
      </c>
      <c r="AJ161" s="273">
        <f ca="1">-Ops!AJ1089</f>
        <v>0</v>
      </c>
      <c r="AK161" s="273">
        <f ca="1">-Ops!AK1089</f>
        <v>0</v>
      </c>
      <c r="AL161" s="273">
        <f ca="1">-Ops!AL1089</f>
        <v>0</v>
      </c>
      <c r="AM161" s="273">
        <f ca="1">-Ops!AM1089</f>
        <v>0</v>
      </c>
    </row>
    <row r="162" spans="3:39" outlineLevel="1">
      <c r="C162" s="266" t="s">
        <v>94</v>
      </c>
      <c r="D162" s="266"/>
      <c r="E162" s="4" t="s">
        <v>13</v>
      </c>
      <c r="F162" s="23">
        <f ca="1">SUM(G162:AJ162)</f>
        <v>-6334.3226575165263</v>
      </c>
      <c r="G162" s="273">
        <f ca="1">SUM(G158:G161)</f>
        <v>-648.84854799737877</v>
      </c>
      <c r="H162" s="273">
        <f t="shared" ref="H162:AM162" ca="1" si="47">SUM(H158:H161)</f>
        <v>-2044.3734997558727</v>
      </c>
      <c r="I162" s="273">
        <f t="shared" ca="1" si="47"/>
        <v>1222.0382499347406</v>
      </c>
      <c r="J162" s="273">
        <f t="shared" ca="1" si="47"/>
        <v>1471.1837978185108</v>
      </c>
      <c r="K162" s="273">
        <f t="shared" ca="1" si="47"/>
        <v>0</v>
      </c>
      <c r="L162" s="273">
        <f t="shared" ca="1" si="47"/>
        <v>0</v>
      </c>
      <c r="M162" s="273">
        <f t="shared" ca="1" si="47"/>
        <v>304.69814321523734</v>
      </c>
      <c r="N162" s="273">
        <f t="shared" ca="1" si="47"/>
        <v>669.21119445250542</v>
      </c>
      <c r="O162" s="273">
        <f t="shared" ca="1" si="47"/>
        <v>254.72740001716244</v>
      </c>
      <c r="P162" s="273">
        <f t="shared" ca="1" si="47"/>
        <v>449.19235227064866</v>
      </c>
      <c r="Q162" s="273">
        <f t="shared" ca="1" si="47"/>
        <v>381.81682643138839</v>
      </c>
      <c r="R162" s="273">
        <f t="shared" ca="1" si="47"/>
        <v>333.09302010854731</v>
      </c>
      <c r="S162" s="273">
        <f t="shared" ca="1" si="47"/>
        <v>783.2151106383692</v>
      </c>
      <c r="T162" s="273">
        <f t="shared" ca="1" si="47"/>
        <v>1724.5477145781863</v>
      </c>
      <c r="U162" s="273">
        <f t="shared" ca="1" si="47"/>
        <v>2407.6490273256113</v>
      </c>
      <c r="V162" s="273">
        <f t="shared" ca="1" si="47"/>
        <v>872.7338942830761</v>
      </c>
      <c r="W162" s="273">
        <f t="shared" ca="1" si="47"/>
        <v>-1704.5120719024389</v>
      </c>
      <c r="X162" s="273">
        <f t="shared" ca="1" si="47"/>
        <v>-1779.9405527224603</v>
      </c>
      <c r="Y162" s="273">
        <f t="shared" ca="1" si="47"/>
        <v>-1963.8860915443749</v>
      </c>
      <c r="Z162" s="273">
        <f t="shared" ca="1" si="47"/>
        <v>-1500.2727568373182</v>
      </c>
      <c r="AA162" s="273">
        <f t="shared" ca="1" si="47"/>
        <v>-1232.2732103141402</v>
      </c>
      <c r="AB162" s="273">
        <f t="shared" ca="1" si="47"/>
        <v>0</v>
      </c>
      <c r="AC162" s="273">
        <f t="shared" ca="1" si="47"/>
        <v>1.7053025658242404E-13</v>
      </c>
      <c r="AD162" s="273">
        <f t="shared" ca="1" si="47"/>
        <v>0</v>
      </c>
      <c r="AE162" s="273">
        <f t="shared" ca="1" si="47"/>
        <v>0</v>
      </c>
      <c r="AF162" s="273">
        <f t="shared" ca="1" si="47"/>
        <v>0</v>
      </c>
      <c r="AG162" s="273">
        <f t="shared" ca="1" si="47"/>
        <v>-2.7000623958883807E-13</v>
      </c>
      <c r="AH162" s="273">
        <f t="shared" ca="1" si="47"/>
        <v>0</v>
      </c>
      <c r="AI162" s="273">
        <f t="shared" ca="1" si="47"/>
        <v>0</v>
      </c>
      <c r="AJ162" s="273">
        <f t="shared" ca="1" si="47"/>
        <v>-6334.3226575165263</v>
      </c>
      <c r="AK162" s="273">
        <f t="shared" ca="1" si="47"/>
        <v>0</v>
      </c>
      <c r="AL162" s="273">
        <f t="shared" ca="1" si="47"/>
        <v>0</v>
      </c>
      <c r="AM162" s="273">
        <f t="shared" ca="1" si="47"/>
        <v>0</v>
      </c>
    </row>
    <row r="163" spans="3:39" outlineLevel="1">
      <c r="C163" s="266"/>
      <c r="D163" s="266"/>
      <c r="E163" s="266"/>
      <c r="F163" s="273"/>
      <c r="G163" s="273"/>
      <c r="H163" s="273"/>
      <c r="I163" s="273"/>
      <c r="J163" s="273"/>
      <c r="K163" s="273"/>
      <c r="L163" s="273"/>
      <c r="M163" s="273"/>
      <c r="N163" s="273"/>
      <c r="O163" s="273"/>
      <c r="P163" s="273"/>
      <c r="Q163" s="273"/>
      <c r="R163" s="273"/>
      <c r="S163" s="273"/>
      <c r="T163" s="273"/>
      <c r="U163" s="273"/>
      <c r="V163" s="273"/>
      <c r="W163" s="273"/>
      <c r="X163" s="273"/>
      <c r="Y163" s="273"/>
      <c r="Z163" s="273"/>
      <c r="AA163" s="273"/>
      <c r="AB163" s="273"/>
      <c r="AC163" s="273"/>
      <c r="AD163" s="273"/>
      <c r="AE163" s="273"/>
      <c r="AF163" s="273"/>
      <c r="AG163" s="273"/>
      <c r="AH163" s="273"/>
      <c r="AI163" s="273"/>
      <c r="AJ163" s="273"/>
      <c r="AK163" s="273"/>
      <c r="AL163" s="273"/>
      <c r="AM163" s="273"/>
    </row>
    <row r="164" spans="3:39" outlineLevel="1">
      <c r="C164" s="266" t="s">
        <v>95</v>
      </c>
      <c r="D164" s="266"/>
      <c r="E164" s="4" t="s">
        <v>13</v>
      </c>
      <c r="F164" s="42"/>
      <c r="G164" s="273">
        <f>F165</f>
        <v>0</v>
      </c>
      <c r="H164" s="273">
        <f t="shared" ref="H164:AJ164" ca="1" si="48">G165</f>
        <v>-648.84854799737877</v>
      </c>
      <c r="I164" s="273">
        <f t="shared" ca="1" si="48"/>
        <v>-2693.2220477532514</v>
      </c>
      <c r="J164" s="273">
        <f t="shared" ca="1" si="48"/>
        <v>-1471.1837978185108</v>
      </c>
      <c r="K164" s="273">
        <f t="shared" ca="1" si="48"/>
        <v>0</v>
      </c>
      <c r="L164" s="273">
        <f t="shared" ca="1" si="48"/>
        <v>0</v>
      </c>
      <c r="M164" s="273">
        <f t="shared" ca="1" si="48"/>
        <v>0</v>
      </c>
      <c r="N164" s="273">
        <f t="shared" ca="1" si="48"/>
        <v>304.69814321523734</v>
      </c>
      <c r="O164" s="273">
        <f t="shared" ca="1" si="48"/>
        <v>973.90933766774276</v>
      </c>
      <c r="P164" s="273">
        <f t="shared" ca="1" si="48"/>
        <v>1228.6367376849053</v>
      </c>
      <c r="Q164" s="273">
        <f t="shared" ca="1" si="48"/>
        <v>1677.8290899555539</v>
      </c>
      <c r="R164" s="273">
        <f t="shared" ca="1" si="48"/>
        <v>2059.6459163869422</v>
      </c>
      <c r="S164" s="273">
        <f t="shared" ca="1" si="48"/>
        <v>2392.7389364954897</v>
      </c>
      <c r="T164" s="273">
        <f t="shared" ca="1" si="48"/>
        <v>3175.9540471338587</v>
      </c>
      <c r="U164" s="273">
        <f t="shared" ca="1" si="48"/>
        <v>4900.5017617120448</v>
      </c>
      <c r="V164" s="273">
        <f t="shared" ca="1" si="48"/>
        <v>7308.1507890376561</v>
      </c>
      <c r="W164" s="273">
        <f t="shared" ca="1" si="48"/>
        <v>8180.8846833207317</v>
      </c>
      <c r="X164" s="273">
        <f t="shared" ca="1" si="48"/>
        <v>6476.3726114182928</v>
      </c>
      <c r="Y164" s="273">
        <f t="shared" ca="1" si="48"/>
        <v>4696.4320586958329</v>
      </c>
      <c r="Z164" s="273">
        <f t="shared" ca="1" si="48"/>
        <v>2732.5459671514582</v>
      </c>
      <c r="AA164" s="273">
        <f t="shared" ca="1" si="48"/>
        <v>1232.27321031414</v>
      </c>
      <c r="AB164" s="273">
        <f t="shared" ca="1" si="48"/>
        <v>0</v>
      </c>
      <c r="AC164" s="273">
        <f t="shared" ca="1" si="48"/>
        <v>0</v>
      </c>
      <c r="AD164" s="273">
        <f t="shared" ca="1" si="48"/>
        <v>1.7053025658242404E-13</v>
      </c>
      <c r="AE164" s="273">
        <f t="shared" ca="1" si="48"/>
        <v>1.7053025658242404E-13</v>
      </c>
      <c r="AF164" s="273">
        <f t="shared" ca="1" si="48"/>
        <v>1.7053025658242404E-13</v>
      </c>
      <c r="AG164" s="273">
        <f t="shared" ca="1" si="48"/>
        <v>1.7053025658242404E-13</v>
      </c>
      <c r="AH164" s="273">
        <f t="shared" ca="1" si="48"/>
        <v>-9.9475983006414026E-14</v>
      </c>
      <c r="AI164" s="273">
        <f t="shared" ca="1" si="48"/>
        <v>-9.9475983006414026E-14</v>
      </c>
      <c r="AJ164" s="273">
        <f t="shared" ca="1" si="48"/>
        <v>-9.9475983006414026E-14</v>
      </c>
      <c r="AK164" s="273"/>
      <c r="AL164" s="273"/>
      <c r="AM164" s="273"/>
    </row>
    <row r="165" spans="3:39" ht="16.2" outlineLevel="1" thickBot="1">
      <c r="C165" s="266" t="s">
        <v>96</v>
      </c>
      <c r="D165" s="266"/>
      <c r="E165" s="4" t="s">
        <v>13</v>
      </c>
      <c r="F165" s="42"/>
      <c r="G165" s="295">
        <f ca="1">G164+G162</f>
        <v>-648.84854799737877</v>
      </c>
      <c r="H165" s="295">
        <f t="shared" ref="H165:AJ165" ca="1" si="49">H164+H162</f>
        <v>-2693.2220477532514</v>
      </c>
      <c r="I165" s="295">
        <f t="shared" ca="1" si="49"/>
        <v>-1471.1837978185108</v>
      </c>
      <c r="J165" s="295">
        <f t="shared" ca="1" si="49"/>
        <v>0</v>
      </c>
      <c r="K165" s="295">
        <f t="shared" ca="1" si="49"/>
        <v>0</v>
      </c>
      <c r="L165" s="295">
        <f t="shared" ca="1" si="49"/>
        <v>0</v>
      </c>
      <c r="M165" s="295">
        <f t="shared" ca="1" si="49"/>
        <v>304.69814321523734</v>
      </c>
      <c r="N165" s="295">
        <f t="shared" ca="1" si="49"/>
        <v>973.90933766774276</v>
      </c>
      <c r="O165" s="295">
        <f t="shared" ca="1" si="49"/>
        <v>1228.6367376849053</v>
      </c>
      <c r="P165" s="295">
        <f t="shared" ca="1" si="49"/>
        <v>1677.8290899555539</v>
      </c>
      <c r="Q165" s="295">
        <f t="shared" ca="1" si="49"/>
        <v>2059.6459163869422</v>
      </c>
      <c r="R165" s="295">
        <f t="shared" ca="1" si="49"/>
        <v>2392.7389364954897</v>
      </c>
      <c r="S165" s="295">
        <f t="shared" ca="1" si="49"/>
        <v>3175.9540471338587</v>
      </c>
      <c r="T165" s="295">
        <f t="shared" ca="1" si="49"/>
        <v>4900.5017617120448</v>
      </c>
      <c r="U165" s="295">
        <f t="shared" ca="1" si="49"/>
        <v>7308.1507890376561</v>
      </c>
      <c r="V165" s="295">
        <f t="shared" ca="1" si="49"/>
        <v>8180.8846833207317</v>
      </c>
      <c r="W165" s="295">
        <f t="shared" ca="1" si="49"/>
        <v>6476.3726114182928</v>
      </c>
      <c r="X165" s="295">
        <f t="shared" ca="1" si="49"/>
        <v>4696.4320586958329</v>
      </c>
      <c r="Y165" s="295">
        <f t="shared" ca="1" si="49"/>
        <v>2732.5459671514582</v>
      </c>
      <c r="Z165" s="295">
        <f t="shared" ca="1" si="49"/>
        <v>1232.27321031414</v>
      </c>
      <c r="AA165" s="295">
        <f t="shared" ca="1" si="49"/>
        <v>0</v>
      </c>
      <c r="AB165" s="295">
        <f t="shared" ca="1" si="49"/>
        <v>0</v>
      </c>
      <c r="AC165" s="295">
        <f t="shared" ca="1" si="49"/>
        <v>1.7053025658242404E-13</v>
      </c>
      <c r="AD165" s="295">
        <f t="shared" ca="1" si="49"/>
        <v>1.7053025658242404E-13</v>
      </c>
      <c r="AE165" s="295">
        <f t="shared" ca="1" si="49"/>
        <v>1.7053025658242404E-13</v>
      </c>
      <c r="AF165" s="295">
        <f t="shared" ca="1" si="49"/>
        <v>1.7053025658242404E-13</v>
      </c>
      <c r="AG165" s="295">
        <f t="shared" ca="1" si="49"/>
        <v>-9.9475983006414026E-14</v>
      </c>
      <c r="AH165" s="295">
        <f t="shared" ca="1" si="49"/>
        <v>-9.9475983006414026E-14</v>
      </c>
      <c r="AI165" s="295">
        <f t="shared" ca="1" si="49"/>
        <v>-9.9475983006414026E-14</v>
      </c>
      <c r="AJ165" s="295">
        <f t="shared" ca="1" si="49"/>
        <v>-6334.3226575165263</v>
      </c>
      <c r="AK165" s="295"/>
      <c r="AL165" s="295"/>
      <c r="AM165" s="295"/>
    </row>
    <row r="166" spans="3:39" ht="16.2" thickTop="1">
      <c r="C166" s="266"/>
      <c r="E166" s="4"/>
      <c r="F166" s="266"/>
      <c r="G166" s="266"/>
      <c r="H166" s="266"/>
      <c r="I166" s="266"/>
      <c r="J166" s="266"/>
      <c r="K166" s="266"/>
      <c r="L166" s="266"/>
      <c r="M166" s="266"/>
      <c r="N166" s="266"/>
      <c r="O166" s="266"/>
      <c r="P166" s="266"/>
      <c r="Q166" s="266"/>
      <c r="R166" s="266"/>
      <c r="S166" s="266"/>
      <c r="T166" s="266"/>
      <c r="U166" s="266"/>
      <c r="V166" s="266"/>
      <c r="W166" s="266"/>
      <c r="X166" s="266"/>
      <c r="Y166" s="266"/>
      <c r="Z166" s="266"/>
      <c r="AA166" s="266"/>
      <c r="AB166" s="266"/>
      <c r="AC166" s="266"/>
      <c r="AD166" s="266"/>
      <c r="AE166" s="266"/>
      <c r="AF166" s="266"/>
      <c r="AG166" s="266"/>
      <c r="AH166" s="266"/>
      <c r="AI166" s="266"/>
      <c r="AJ166" s="266"/>
      <c r="AK166" s="266"/>
      <c r="AL166" s="266"/>
      <c r="AM166" s="266"/>
    </row>
    <row r="167" spans="3:39">
      <c r="C167" s="266"/>
      <c r="E167" s="4"/>
      <c r="F167" s="266"/>
      <c r="G167" s="266"/>
      <c r="H167" s="278"/>
      <c r="I167" s="266"/>
      <c r="J167" s="266"/>
      <c r="K167" s="266"/>
      <c r="L167" s="266"/>
      <c r="M167" s="266"/>
      <c r="N167" s="266"/>
      <c r="O167" s="266"/>
      <c r="P167" s="266"/>
      <c r="Q167" s="266"/>
      <c r="R167" s="266"/>
      <c r="S167" s="266"/>
      <c r="T167" s="266"/>
      <c r="U167" s="266"/>
      <c r="V167" s="266"/>
      <c r="W167" s="266"/>
      <c r="X167" s="266"/>
      <c r="Y167" s="266"/>
      <c r="Z167" s="266"/>
      <c r="AA167" s="266"/>
      <c r="AB167" s="266"/>
      <c r="AC167" s="266"/>
      <c r="AD167" s="266"/>
      <c r="AE167" s="266"/>
      <c r="AF167" s="266"/>
      <c r="AG167" s="266"/>
      <c r="AH167" s="266"/>
      <c r="AI167" s="266"/>
      <c r="AJ167" s="266"/>
      <c r="AK167" s="266"/>
      <c r="AL167" s="266"/>
      <c r="AM167" s="266"/>
    </row>
    <row r="168" spans="3:39" s="266" customFormat="1" ht="16.2" thickBot="1">
      <c r="C168" s="394" t="s">
        <v>97</v>
      </c>
      <c r="D168" s="395"/>
      <c r="E168" s="396"/>
      <c r="F168" s="395"/>
      <c r="G168" s="395"/>
      <c r="H168" s="395"/>
      <c r="I168" s="395"/>
      <c r="J168" s="395"/>
      <c r="K168" s="395"/>
      <c r="L168" s="395"/>
      <c r="M168" s="395"/>
      <c r="N168" s="395"/>
      <c r="O168" s="395"/>
      <c r="P168" s="395"/>
      <c r="Q168" s="395"/>
      <c r="R168" s="395"/>
      <c r="S168" s="395"/>
      <c r="T168" s="395"/>
      <c r="U168" s="395"/>
      <c r="V168" s="395"/>
      <c r="W168" s="395"/>
      <c r="X168" s="395"/>
      <c r="Y168" s="395"/>
      <c r="Z168" s="395"/>
      <c r="AA168" s="395"/>
      <c r="AB168" s="395"/>
      <c r="AC168" s="395"/>
      <c r="AD168" s="395"/>
      <c r="AE168" s="395"/>
      <c r="AF168" s="395"/>
      <c r="AG168" s="395"/>
      <c r="AH168" s="395"/>
      <c r="AI168" s="395"/>
      <c r="AJ168" s="395"/>
      <c r="AK168" s="8"/>
      <c r="AL168" s="8"/>
      <c r="AM168" s="8"/>
    </row>
    <row r="169" spans="3:39" outlineLevel="1">
      <c r="C169" s="11" t="s">
        <v>98</v>
      </c>
      <c r="D169" s="266"/>
      <c r="E169" s="266"/>
      <c r="F169" s="273"/>
      <c r="G169" s="273"/>
      <c r="H169" s="273"/>
      <c r="I169" s="273"/>
      <c r="J169" s="273"/>
      <c r="K169" s="273"/>
      <c r="L169" s="273"/>
      <c r="M169" s="273"/>
      <c r="N169" s="273"/>
      <c r="O169" s="273"/>
      <c r="P169" s="273"/>
      <c r="Q169" s="273"/>
      <c r="R169" s="273"/>
      <c r="S169" s="273"/>
      <c r="T169" s="273"/>
      <c r="U169" s="273"/>
      <c r="V169" s="273"/>
      <c r="W169" s="273"/>
      <c r="X169" s="273"/>
      <c r="Y169" s="273"/>
      <c r="Z169" s="273"/>
      <c r="AA169" s="273"/>
      <c r="AB169" s="273"/>
      <c r="AC169" s="273"/>
      <c r="AD169" s="273"/>
      <c r="AE169" s="273"/>
      <c r="AF169" s="273"/>
      <c r="AG169" s="273"/>
      <c r="AH169" s="273"/>
      <c r="AI169" s="273"/>
      <c r="AJ169" s="273"/>
      <c r="AK169" s="273"/>
      <c r="AL169" s="273"/>
      <c r="AM169" s="273"/>
    </row>
    <row r="170" spans="3:39" outlineLevel="1">
      <c r="C170" s="296" t="s">
        <v>99</v>
      </c>
      <c r="D170" s="266"/>
      <c r="E170" s="4" t="s">
        <v>13</v>
      </c>
      <c r="F170" s="273"/>
      <c r="G170" s="273">
        <f ca="1">Ops!G1065</f>
        <v>0</v>
      </c>
      <c r="H170" s="273">
        <f ca="1">Ops!H1065</f>
        <v>0</v>
      </c>
      <c r="I170" s="273">
        <f ca="1">Ops!I1065</f>
        <v>747.42995614621304</v>
      </c>
      <c r="J170" s="273">
        <f ca="1">Ops!J1065</f>
        <v>2099.1766519028406</v>
      </c>
      <c r="K170" s="273">
        <f ca="1">Ops!K1065</f>
        <v>1613.595583495171</v>
      </c>
      <c r="L170" s="273">
        <f ca="1">Ops!L1065</f>
        <v>658.74874446110016</v>
      </c>
      <c r="M170" s="273">
        <f ca="1">Ops!M1065</f>
        <v>76.882148677014129</v>
      </c>
      <c r="N170" s="273">
        <f ca="1">Ops!N1065</f>
        <v>298.79020408438191</v>
      </c>
      <c r="O170" s="273">
        <f ca="1">Ops!O1065</f>
        <v>117.58250261053445</v>
      </c>
      <c r="P170" s="273">
        <f ca="1">Ops!P1065</f>
        <v>121.31176585641629</v>
      </c>
      <c r="Q170" s="273">
        <f ca="1">Ops!Q1065</f>
        <v>137.06443553054487</v>
      </c>
      <c r="R170" s="273">
        <f ca="1">Ops!R1065</f>
        <v>143.93975509005077</v>
      </c>
      <c r="S170" s="273">
        <f ca="1">Ops!S1065</f>
        <v>151.62319422784503</v>
      </c>
      <c r="T170" s="273">
        <f ca="1">Ops!T1065</f>
        <v>159.47042537700304</v>
      </c>
      <c r="U170" s="273">
        <f ca="1">Ops!U1065</f>
        <v>351.79011851178529</v>
      </c>
      <c r="V170" s="273">
        <f ca="1">Ops!V1065</f>
        <v>172.71219838781735</v>
      </c>
      <c r="W170" s="273">
        <f ca="1">Ops!W1065</f>
        <v>173.8590035312518</v>
      </c>
      <c r="X170" s="273">
        <f ca="1">Ops!X1065</f>
        <v>171.58178103078808</v>
      </c>
      <c r="Y170" s="273">
        <f ca="1">Ops!Y1065</f>
        <v>159.19049186673692</v>
      </c>
      <c r="Z170" s="273">
        <f ca="1">Ops!Z1065</f>
        <v>154.55182155282819</v>
      </c>
      <c r="AA170" s="273">
        <f ca="1">Ops!AA1065</f>
        <v>284.11796220664382</v>
      </c>
      <c r="AB170" s="273">
        <f ca="1">Ops!AB1065</f>
        <v>2227.8692349964458</v>
      </c>
      <c r="AC170" s="273">
        <f ca="1">Ops!AC1065</f>
        <v>4838.2162191802654</v>
      </c>
      <c r="AD170" s="273">
        <f ca="1">Ops!AD1065</f>
        <v>7815.3714103135617</v>
      </c>
      <c r="AE170" s="273">
        <f ca="1">Ops!AE1065</f>
        <v>11130.149377151782</v>
      </c>
      <c r="AF170" s="273">
        <f ca="1">Ops!AF1065</f>
        <v>14725.725920053617</v>
      </c>
      <c r="AG170" s="273">
        <f ca="1">Ops!AG1065</f>
        <v>18639.010603825926</v>
      </c>
      <c r="AH170" s="273">
        <f ca="1">Ops!AH1065</f>
        <v>22414.690351025918</v>
      </c>
      <c r="AI170" s="273">
        <f ca="1">Ops!AI1065</f>
        <v>27069.08995683019</v>
      </c>
      <c r="AJ170" s="273">
        <f ca="1">Ops!AJ1065</f>
        <v>35134.32043891518</v>
      </c>
      <c r="AK170" s="273"/>
      <c r="AL170" s="273"/>
      <c r="AM170" s="273"/>
    </row>
    <row r="171" spans="3:39" outlineLevel="1">
      <c r="C171" s="296" t="s">
        <v>100</v>
      </c>
      <c r="D171" s="266"/>
      <c r="E171" s="4" t="s">
        <v>13</v>
      </c>
      <c r="F171" s="273"/>
      <c r="G171" s="273">
        <f ca="1">Debt!G295</f>
        <v>0</v>
      </c>
      <c r="H171" s="273">
        <f ca="1">Debt!H295</f>
        <v>423.05954631167043</v>
      </c>
      <c r="I171" s="273">
        <f ca="1">Debt!I295</f>
        <v>417.11437896414054</v>
      </c>
      <c r="J171" s="273">
        <f ca="1">Debt!J295</f>
        <v>422.82311278185017</v>
      </c>
      <c r="K171" s="273">
        <f ca="1">Debt!K295</f>
        <v>814.82370799227886</v>
      </c>
      <c r="L171" s="273">
        <f ca="1">Debt!L295</f>
        <v>782.72269450121985</v>
      </c>
      <c r="M171" s="273">
        <f ca="1">Debt!M295</f>
        <v>1043.5094787062396</v>
      </c>
      <c r="N171" s="273">
        <f ca="1">Debt!N295</f>
        <v>987.52806145061334</v>
      </c>
      <c r="O171" s="273">
        <f ca="1">Debt!O295</f>
        <v>965.39070956577564</v>
      </c>
      <c r="P171" s="273">
        <f ca="1">Debt!P295</f>
        <v>972.39220319848084</v>
      </c>
      <c r="Q171" s="273">
        <f ca="1">Debt!Q295</f>
        <v>964.77976040791566</v>
      </c>
      <c r="R171" s="273">
        <f ca="1">Debt!R295</f>
        <v>944.18755455308076</v>
      </c>
      <c r="S171" s="273">
        <f ca="1">Debt!S295</f>
        <v>885.27415333179908</v>
      </c>
      <c r="T171" s="273">
        <f ca="1">Debt!T295</f>
        <v>1643.7447168611588</v>
      </c>
      <c r="U171" s="273">
        <f ca="1">Debt!U295</f>
        <v>1495.5382259966282</v>
      </c>
      <c r="V171" s="273">
        <f ca="1">Debt!V295</f>
        <v>103.76391997142605</v>
      </c>
      <c r="W171" s="273">
        <f ca="1">Debt!W295</f>
        <v>110.22545072318594</v>
      </c>
      <c r="X171" s="273">
        <f ca="1">Debt!X295</f>
        <v>131.85133949830504</v>
      </c>
      <c r="Y171" s="273">
        <f ca="1">Debt!Y295</f>
        <v>127.25147588358628</v>
      </c>
      <c r="Z171" s="273">
        <f ca="1">Debt!Z295</f>
        <v>165.40228551898306</v>
      </c>
      <c r="AA171" s="273">
        <f ca="1">Debt!AA295</f>
        <v>474.10238413819206</v>
      </c>
      <c r="AB171" s="273">
        <f ca="1">Debt!AB295</f>
        <v>476.69524072583516</v>
      </c>
      <c r="AC171" s="273">
        <f ca="1">Debt!AC295</f>
        <v>480.71531431653574</v>
      </c>
      <c r="AD171" s="273">
        <f ca="1">Debt!AD295</f>
        <v>469.18905253489191</v>
      </c>
      <c r="AE171" s="273">
        <f ca="1">Debt!AE295</f>
        <v>609.6046130738896</v>
      </c>
      <c r="AF171" s="273">
        <f ca="1">Debt!AF295</f>
        <v>570.1693153110333</v>
      </c>
      <c r="AG171" s="273">
        <f ca="1">Debt!AG295</f>
        <v>674.20020438740801</v>
      </c>
      <c r="AH171" s="273">
        <f ca="1">Debt!AH295</f>
        <v>1270.4948336144241</v>
      </c>
      <c r="AI171" s="273">
        <f ca="1">Debt!AI295</f>
        <v>1167.671860957277</v>
      </c>
      <c r="AJ171" s="273">
        <f ca="1">Debt!AJ295</f>
        <v>0</v>
      </c>
      <c r="AK171" s="273"/>
      <c r="AL171" s="273"/>
      <c r="AM171" s="273"/>
    </row>
    <row r="172" spans="3:39" outlineLevel="1">
      <c r="C172" s="296" t="s">
        <v>101</v>
      </c>
      <c r="D172" s="266"/>
      <c r="E172" s="4" t="s">
        <v>13</v>
      </c>
      <c r="F172" s="273"/>
      <c r="G172" s="273">
        <f>Ops!G368</f>
        <v>1304.8773547084893</v>
      </c>
      <c r="H172" s="273">
        <f>Ops!H368</f>
        <v>1233.7232642738004</v>
      </c>
      <c r="I172" s="273">
        <f>Ops!I368</f>
        <v>1602.3137083782422</v>
      </c>
      <c r="J172" s="273">
        <f>Ops!J368</f>
        <v>1658.2656214323338</v>
      </c>
      <c r="K172" s="273">
        <f>Ops!K368</f>
        <v>1692.0936059022138</v>
      </c>
      <c r="L172" s="273">
        <f>Ops!L368</f>
        <v>1806.1651629233506</v>
      </c>
      <c r="M172" s="273">
        <f>Ops!M368</f>
        <v>1827.3169195568485</v>
      </c>
      <c r="N172" s="273">
        <f>Ops!N368</f>
        <v>1919.9395842270121</v>
      </c>
      <c r="O172" s="273">
        <f>Ops!O368</f>
        <v>1891.5221041724712</v>
      </c>
      <c r="P172" s="273">
        <f>Ops!P368</f>
        <v>1896.5850432604614</v>
      </c>
      <c r="Q172" s="273">
        <f>Ops!Q368</f>
        <v>1924.7599349019472</v>
      </c>
      <c r="R172" s="273">
        <f>Ops!R368</f>
        <v>1940.3877047349999</v>
      </c>
      <c r="S172" s="273">
        <f>Ops!S368</f>
        <v>1956.3566879246373</v>
      </c>
      <c r="T172" s="273">
        <f>Ops!T368</f>
        <v>1964.4838199029793</v>
      </c>
      <c r="U172" s="273">
        <f>Ops!U368</f>
        <v>2048.8707723573243</v>
      </c>
      <c r="V172" s="273">
        <f>Ops!V368</f>
        <v>2024.9323120458489</v>
      </c>
      <c r="W172" s="273">
        <f>Ops!W368</f>
        <v>2028.8379515607305</v>
      </c>
      <c r="X172" s="273">
        <f>Ops!X368</f>
        <v>2038.0057968607528</v>
      </c>
      <c r="Y172" s="273">
        <f>Ops!Y368</f>
        <v>2068.1359628422761</v>
      </c>
      <c r="Z172" s="273">
        <f>Ops!Z368</f>
        <v>2080.1805582767911</v>
      </c>
      <c r="AA172" s="273">
        <f>Ops!AA368</f>
        <v>2107.37644951637</v>
      </c>
      <c r="AB172" s="273">
        <f>Ops!AB368</f>
        <v>2175.0954262706919</v>
      </c>
      <c r="AC172" s="273">
        <f>Ops!AC368</f>
        <v>2138.9983284611758</v>
      </c>
      <c r="AD172" s="273">
        <f>Ops!AD368</f>
        <v>2156.9550672349715</v>
      </c>
      <c r="AE172" s="273">
        <f>Ops!AE368</f>
        <v>2171.9728625799567</v>
      </c>
      <c r="AF172" s="273">
        <f>Ops!AF368</f>
        <v>2205.8529574093495</v>
      </c>
      <c r="AG172" s="273">
        <f>Ops!AG368</f>
        <v>2205.2924883447499</v>
      </c>
      <c r="AH172" s="273">
        <f>Ops!AH368</f>
        <v>2237.6313920176003</v>
      </c>
      <c r="AI172" s="273">
        <f>Ops!AI368</f>
        <v>2288.8094200414257</v>
      </c>
      <c r="AJ172" s="273">
        <f>Ops!AJ368</f>
        <v>0</v>
      </c>
      <c r="AK172" s="273"/>
      <c r="AL172" s="273"/>
      <c r="AM172" s="273"/>
    </row>
    <row r="173" spans="3:39" outlineLevel="1">
      <c r="C173" s="28" t="s">
        <v>45</v>
      </c>
      <c r="D173" s="28"/>
      <c r="E173" s="61" t="s">
        <v>13</v>
      </c>
      <c r="F173" s="55"/>
      <c r="G173" s="60">
        <f t="shared" ref="G173:AJ173" ca="1" si="50">SUM(G170:G172)</f>
        <v>1304.8773547084893</v>
      </c>
      <c r="H173" s="60">
        <f t="shared" ca="1" si="50"/>
        <v>1656.7828105854708</v>
      </c>
      <c r="I173" s="60">
        <f t="shared" ca="1" si="50"/>
        <v>2766.8580434885957</v>
      </c>
      <c r="J173" s="60">
        <f t="shared" ca="1" si="50"/>
        <v>4180.2653861170247</v>
      </c>
      <c r="K173" s="60">
        <f t="shared" ca="1" si="50"/>
        <v>4120.5128973896635</v>
      </c>
      <c r="L173" s="60">
        <f t="shared" ca="1" si="50"/>
        <v>3247.6366018856706</v>
      </c>
      <c r="M173" s="60">
        <f t="shared" ca="1" si="50"/>
        <v>2947.7085469401022</v>
      </c>
      <c r="N173" s="60">
        <f t="shared" ca="1" si="50"/>
        <v>3206.257849762007</v>
      </c>
      <c r="O173" s="60">
        <f t="shared" ca="1" si="50"/>
        <v>2974.4953163487812</v>
      </c>
      <c r="P173" s="60">
        <f t="shared" ca="1" si="50"/>
        <v>2990.2890123153584</v>
      </c>
      <c r="Q173" s="60">
        <f t="shared" ca="1" si="50"/>
        <v>3026.6041308404074</v>
      </c>
      <c r="R173" s="60">
        <f t="shared" ca="1" si="50"/>
        <v>3028.5150143781311</v>
      </c>
      <c r="S173" s="60">
        <f t="shared" ca="1" si="50"/>
        <v>2993.2540354842813</v>
      </c>
      <c r="T173" s="60">
        <f t="shared" ca="1" si="50"/>
        <v>3767.6989621411412</v>
      </c>
      <c r="U173" s="60">
        <f t="shared" ca="1" si="50"/>
        <v>3896.1991168657378</v>
      </c>
      <c r="V173" s="60">
        <f t="shared" ca="1" si="50"/>
        <v>2301.4084304050921</v>
      </c>
      <c r="W173" s="60">
        <f t="shared" ca="1" si="50"/>
        <v>2312.9224058151681</v>
      </c>
      <c r="X173" s="60">
        <f t="shared" ca="1" si="50"/>
        <v>2341.4389173898458</v>
      </c>
      <c r="Y173" s="60">
        <f t="shared" ca="1" si="50"/>
        <v>2354.5779305925994</v>
      </c>
      <c r="Z173" s="60">
        <f t="shared" ca="1" si="50"/>
        <v>2400.1346653486025</v>
      </c>
      <c r="AA173" s="60">
        <f t="shared" ca="1" si="50"/>
        <v>2865.5967958612059</v>
      </c>
      <c r="AB173" s="60">
        <f t="shared" ca="1" si="50"/>
        <v>4879.6599019929727</v>
      </c>
      <c r="AC173" s="60">
        <f t="shared" ca="1" si="50"/>
        <v>7457.9298619579768</v>
      </c>
      <c r="AD173" s="60">
        <f t="shared" ca="1" si="50"/>
        <v>10441.515530083427</v>
      </c>
      <c r="AE173" s="60">
        <f t="shared" ca="1" si="50"/>
        <v>13911.726852805628</v>
      </c>
      <c r="AF173" s="60">
        <f t="shared" ca="1" si="50"/>
        <v>17501.748192774001</v>
      </c>
      <c r="AG173" s="60">
        <f t="shared" ca="1" si="50"/>
        <v>21518.503296558083</v>
      </c>
      <c r="AH173" s="60">
        <f t="shared" ca="1" si="50"/>
        <v>25922.81657665794</v>
      </c>
      <c r="AI173" s="60">
        <f t="shared" ca="1" si="50"/>
        <v>30525.571237828895</v>
      </c>
      <c r="AJ173" s="60">
        <f t="shared" ca="1" si="50"/>
        <v>35134.32043891518</v>
      </c>
      <c r="AK173" s="60"/>
      <c r="AL173" s="60"/>
      <c r="AM173" s="60"/>
    </row>
    <row r="174" spans="3:39" outlineLevel="1">
      <c r="C174" s="266"/>
      <c r="D174" s="266"/>
      <c r="E174" s="266"/>
      <c r="F174" s="273"/>
      <c r="G174" s="273"/>
      <c r="H174" s="273"/>
      <c r="I174" s="273"/>
      <c r="J174" s="273"/>
      <c r="K174" s="273"/>
      <c r="L174" s="273"/>
      <c r="M174" s="273"/>
      <c r="N174" s="273"/>
      <c r="O174" s="273"/>
      <c r="P174" s="273"/>
      <c r="Q174" s="273"/>
      <c r="R174" s="273"/>
      <c r="S174" s="273"/>
      <c r="T174" s="273"/>
      <c r="U174" s="273"/>
      <c r="V174" s="273"/>
      <c r="W174" s="273"/>
      <c r="X174" s="273"/>
      <c r="Y174" s="273"/>
      <c r="Z174" s="273"/>
      <c r="AA174" s="273"/>
      <c r="AB174" s="273"/>
      <c r="AC174" s="273"/>
      <c r="AD174" s="273"/>
      <c r="AE174" s="273"/>
      <c r="AF174" s="273"/>
      <c r="AG174" s="273"/>
      <c r="AH174" s="273"/>
      <c r="AI174" s="273"/>
      <c r="AJ174" s="273"/>
      <c r="AK174" s="273"/>
      <c r="AL174" s="273"/>
      <c r="AM174" s="273"/>
    </row>
    <row r="175" spans="3:39" outlineLevel="1">
      <c r="C175" s="266" t="s">
        <v>102</v>
      </c>
      <c r="D175" s="266"/>
      <c r="E175" s="4" t="s">
        <v>13</v>
      </c>
      <c r="F175" s="273"/>
      <c r="G175" s="273">
        <f>Ops!G1026</f>
        <v>1765.5783900000001</v>
      </c>
      <c r="H175" s="273">
        <f>Ops!H1026</f>
        <v>1830.1314470206185</v>
      </c>
      <c r="I175" s="273">
        <f>Ops!I1026</f>
        <v>1831.5457822205922</v>
      </c>
      <c r="J175" s="273">
        <f>Ops!J1026</f>
        <v>1844.6214580497033</v>
      </c>
      <c r="K175" s="273">
        <f>Ops!K1026</f>
        <v>1842.0790652151309</v>
      </c>
      <c r="L175" s="273">
        <f>Ops!L1026</f>
        <v>1911.793202937884</v>
      </c>
      <c r="M175" s="273">
        <f>Ops!M1026</f>
        <v>1928.670290357627</v>
      </c>
      <c r="N175" s="273">
        <f>Ops!N1026</f>
        <v>1918.2030404899817</v>
      </c>
      <c r="O175" s="273">
        <f>Ops!O1026</f>
        <v>1904.6489691845791</v>
      </c>
      <c r="P175" s="273">
        <f>Ops!P1026</f>
        <v>1901.4871497662964</v>
      </c>
      <c r="Q175" s="273">
        <f>Ops!Q1026</f>
        <v>2482.7471192075309</v>
      </c>
      <c r="R175" s="273">
        <f>Ops!R1026</f>
        <v>2488.8620950079894</v>
      </c>
      <c r="S175" s="273">
        <f>Ops!S1026</f>
        <v>2463.3341708698154</v>
      </c>
      <c r="T175" s="273">
        <f>Ops!T1026</f>
        <v>2417.2290649959859</v>
      </c>
      <c r="U175" s="273">
        <f>Ops!U1026</f>
        <v>2363.9002147276992</v>
      </c>
      <c r="V175" s="273">
        <f>Ops!V1026</f>
        <v>2390.9248427669063</v>
      </c>
      <c r="W175" s="273">
        <f>Ops!W1026</f>
        <v>2329.1756146530452</v>
      </c>
      <c r="X175" s="273">
        <f>Ops!X1026</f>
        <v>2246.2604770810567</v>
      </c>
      <c r="Y175" s="273">
        <f>Ops!Y1026</f>
        <v>2166.4091599172248</v>
      </c>
      <c r="Z175" s="273">
        <f>Ops!Z1026</f>
        <v>2059.8897636600641</v>
      </c>
      <c r="AA175" s="273">
        <f>Ops!AA1026</f>
        <v>2542.143938449442</v>
      </c>
      <c r="AB175" s="273">
        <f>Ops!AB1026</f>
        <v>2419.0132032399488</v>
      </c>
      <c r="AC175" s="273">
        <f>Ops!AC1026</f>
        <v>2217.6172293491322</v>
      </c>
      <c r="AD175" s="273">
        <f>Ops!AD1026</f>
        <v>1992.6687639721267</v>
      </c>
      <c r="AE175" s="273">
        <f>Ops!AE1026</f>
        <v>1756.0426366322315</v>
      </c>
      <c r="AF175" s="273">
        <f>Ops!AF1026</f>
        <v>1548.9903511437237</v>
      </c>
      <c r="AG175" s="273">
        <f>Ops!AG1026</f>
        <v>1230.9531224838229</v>
      </c>
      <c r="AH175" s="273">
        <f>Ops!AH1026</f>
        <v>876.57671024229251</v>
      </c>
      <c r="AI175" s="273">
        <f>Ops!AI1026</f>
        <v>460.86218391810121</v>
      </c>
      <c r="AJ175" s="273">
        <f>Ops!AJ1026</f>
        <v>0</v>
      </c>
      <c r="AK175" s="273"/>
      <c r="AL175" s="273"/>
      <c r="AM175" s="273"/>
    </row>
    <row r="176" spans="3:39" outlineLevel="1">
      <c r="C176" s="266" t="s">
        <v>103</v>
      </c>
      <c r="D176" s="266"/>
      <c r="E176" s="4" t="s">
        <v>13</v>
      </c>
      <c r="F176" s="273"/>
      <c r="G176" s="273">
        <f>Ops!G1043</f>
        <v>9009.4527308959987</v>
      </c>
      <c r="H176" s="273">
        <f>Ops!H1043</f>
        <v>10676.520287154877</v>
      </c>
      <c r="I176" s="273">
        <f>Ops!I1043</f>
        <v>12480.644466171951</v>
      </c>
      <c r="J176" s="273">
        <f>Ops!J1043</f>
        <v>12928.544583448816</v>
      </c>
      <c r="K176" s="273">
        <f>Ops!K1043</f>
        <v>13750.687701685851</v>
      </c>
      <c r="L176" s="273">
        <f>Ops!L1043</f>
        <v>26035.813877316854</v>
      </c>
      <c r="M176" s="273">
        <f>Ops!M1043</f>
        <v>26173.514651346224</v>
      </c>
      <c r="N176" s="273">
        <f>Ops!N1043</f>
        <v>34244.949433359463</v>
      </c>
      <c r="O176" s="273">
        <f>Ops!O1043</f>
        <v>34079.208563276385</v>
      </c>
      <c r="P176" s="273">
        <f>Ops!P1043</f>
        <v>34641.88616479074</v>
      </c>
      <c r="Q176" s="273">
        <f>Ops!Q1043</f>
        <v>35149.295335832372</v>
      </c>
      <c r="R176" s="273">
        <f>Ops!R1043</f>
        <v>35781.972567719036</v>
      </c>
      <c r="S176" s="273">
        <f>Ops!S1043</f>
        <v>36038.459791230584</v>
      </c>
      <c r="T176" s="273">
        <f>Ops!T1043</f>
        <v>35580.694904204967</v>
      </c>
      <c r="U176" s="273">
        <f>Ops!U1043</f>
        <v>43014.006787490995</v>
      </c>
      <c r="V176" s="273">
        <f>Ops!V1043</f>
        <v>44505.059918419647</v>
      </c>
      <c r="W176" s="273">
        <f>Ops!W1043</f>
        <v>43973.361810042094</v>
      </c>
      <c r="X176" s="273">
        <f>Ops!X1043</f>
        <v>42806.448067029582</v>
      </c>
      <c r="Y176" s="273">
        <f>Ops!Y1043</f>
        <v>41875.550067010423</v>
      </c>
      <c r="Z176" s="273">
        <f>Ops!Z1043</f>
        <v>39909.883211864901</v>
      </c>
      <c r="AA176" s="273">
        <f>Ops!AA1043</f>
        <v>38299.575140528177</v>
      </c>
      <c r="AB176" s="273">
        <f>Ops!AB1043</f>
        <v>44245.626169557552</v>
      </c>
      <c r="AC176" s="273">
        <f>Ops!AC1043</f>
        <v>41341.383936973434</v>
      </c>
      <c r="AD176" s="273">
        <f>Ops!AD1043</f>
        <v>37945.145882954013</v>
      </c>
      <c r="AE176" s="273">
        <f>Ops!AE1043</f>
        <v>33587.830995839977</v>
      </c>
      <c r="AF176" s="273">
        <f>Ops!AF1043</f>
        <v>31477.13873666188</v>
      </c>
      <c r="AG176" s="273">
        <f>Ops!AG1043</f>
        <v>24872.009793824451</v>
      </c>
      <c r="AH176" s="273">
        <f>Ops!AH1043</f>
        <v>19425.66465350458</v>
      </c>
      <c r="AI176" s="273">
        <f>Ops!AI1043</f>
        <v>16637.04521936932</v>
      </c>
      <c r="AJ176" s="273">
        <f>Ops!AJ1043</f>
        <v>0</v>
      </c>
      <c r="AK176" s="273"/>
      <c r="AL176" s="273"/>
      <c r="AM176" s="273"/>
    </row>
    <row r="177" spans="3:39" outlineLevel="1">
      <c r="C177" s="266" t="s">
        <v>104</v>
      </c>
      <c r="D177" s="266"/>
      <c r="E177" s="4" t="s">
        <v>13</v>
      </c>
      <c r="F177" s="273"/>
      <c r="G177" s="273">
        <f ca="1">Ops!G996</f>
        <v>0</v>
      </c>
      <c r="H177" s="273">
        <f ca="1">Ops!H996</f>
        <v>0</v>
      </c>
      <c r="I177" s="273">
        <f ca="1">Ops!I996</f>
        <v>0</v>
      </c>
      <c r="J177" s="273">
        <f ca="1">Ops!J996</f>
        <v>0</v>
      </c>
      <c r="K177" s="273">
        <f ca="1">Ops!K996</f>
        <v>0</v>
      </c>
      <c r="L177" s="273">
        <f ca="1">Ops!L996</f>
        <v>0</v>
      </c>
      <c r="M177" s="273">
        <f ca="1">Ops!M996</f>
        <v>0</v>
      </c>
      <c r="N177" s="273">
        <f ca="1">Ops!N996</f>
        <v>0</v>
      </c>
      <c r="O177" s="273">
        <f ca="1">Ops!O996</f>
        <v>0</v>
      </c>
      <c r="P177" s="273">
        <f ca="1">Ops!P996</f>
        <v>0</v>
      </c>
      <c r="Q177" s="273">
        <f ca="1">Ops!Q996</f>
        <v>0</v>
      </c>
      <c r="R177" s="273">
        <f ca="1">Ops!R996</f>
        <v>0</v>
      </c>
      <c r="S177" s="273">
        <f ca="1">Ops!S996</f>
        <v>0</v>
      </c>
      <c r="T177" s="273">
        <f ca="1">Ops!T996</f>
        <v>0</v>
      </c>
      <c r="U177" s="273">
        <f ca="1">Ops!U996</f>
        <v>0</v>
      </c>
      <c r="V177" s="273">
        <f ca="1">Ops!V996</f>
        <v>0</v>
      </c>
      <c r="W177" s="273">
        <f ca="1">Ops!W996</f>
        <v>0</v>
      </c>
      <c r="X177" s="273">
        <f ca="1">Ops!X996</f>
        <v>0</v>
      </c>
      <c r="Y177" s="273">
        <f ca="1">Ops!Y996</f>
        <v>0</v>
      </c>
      <c r="Z177" s="273">
        <f ca="1">Ops!Z996</f>
        <v>0</v>
      </c>
      <c r="AA177" s="273">
        <f ca="1">Ops!AA996</f>
        <v>0</v>
      </c>
      <c r="AB177" s="273">
        <f ca="1">Ops!AB996</f>
        <v>0</v>
      </c>
      <c r="AC177" s="273">
        <f ca="1">Ops!AC996</f>
        <v>0</v>
      </c>
      <c r="AD177" s="273">
        <f ca="1">Ops!AD996</f>
        <v>0</v>
      </c>
      <c r="AE177" s="273">
        <f ca="1">Ops!AE996</f>
        <v>0</v>
      </c>
      <c r="AF177" s="273">
        <f ca="1">Ops!AF996</f>
        <v>0</v>
      </c>
      <c r="AG177" s="273">
        <f ca="1">Ops!AG996</f>
        <v>0</v>
      </c>
      <c r="AH177" s="273">
        <f ca="1">Ops!AH996</f>
        <v>476.65160322845395</v>
      </c>
      <c r="AI177" s="273">
        <f ca="1">Ops!AI996</f>
        <v>2586.9770280145763</v>
      </c>
      <c r="AJ177" s="273">
        <f ca="1">Ops!AJ996</f>
        <v>4828.3137733024432</v>
      </c>
      <c r="AK177" s="273"/>
      <c r="AL177" s="273"/>
      <c r="AM177" s="273"/>
    </row>
    <row r="178" spans="3:39">
      <c r="C178" s="28" t="s">
        <v>105</v>
      </c>
      <c r="D178" s="28"/>
      <c r="E178" s="61" t="s">
        <v>13</v>
      </c>
      <c r="F178" s="55"/>
      <c r="G178" s="60">
        <f ca="1">SUM(G175:G177)+G173</f>
        <v>12079.908475604489</v>
      </c>
      <c r="H178" s="60">
        <f t="shared" ref="H178:R178" ca="1" si="51">SUM(H175:H177)+H173</f>
        <v>14163.434544760967</v>
      </c>
      <c r="I178" s="60">
        <f t="shared" ca="1" si="51"/>
        <v>17079.048291881139</v>
      </c>
      <c r="J178" s="60">
        <f t="shared" ca="1" si="51"/>
        <v>18953.431427615546</v>
      </c>
      <c r="K178" s="60">
        <f t="shared" ca="1" si="51"/>
        <v>19713.279664290647</v>
      </c>
      <c r="L178" s="60">
        <f t="shared" ca="1" si="51"/>
        <v>31195.243682140408</v>
      </c>
      <c r="M178" s="60">
        <f t="shared" ca="1" si="51"/>
        <v>31049.893488643953</v>
      </c>
      <c r="N178" s="60">
        <f t="shared" ca="1" si="51"/>
        <v>39369.410323611453</v>
      </c>
      <c r="O178" s="60">
        <f t="shared" ca="1" si="51"/>
        <v>38958.352848809744</v>
      </c>
      <c r="P178" s="60">
        <f t="shared" ca="1" si="51"/>
        <v>39533.662326872392</v>
      </c>
      <c r="Q178" s="60">
        <f t="shared" ca="1" si="51"/>
        <v>40658.646585880313</v>
      </c>
      <c r="R178" s="60">
        <f t="shared" ca="1" si="51"/>
        <v>41299.34967710515</v>
      </c>
      <c r="S178" s="60">
        <f t="shared" ref="S178:AJ178" ca="1" si="52">SUM(S175:S177)+S173</f>
        <v>41495.047997584676</v>
      </c>
      <c r="T178" s="60">
        <f t="shared" ca="1" si="52"/>
        <v>41765.622931342092</v>
      </c>
      <c r="U178" s="60">
        <f t="shared" ca="1" si="52"/>
        <v>49274.106119084434</v>
      </c>
      <c r="V178" s="60">
        <f t="shared" ca="1" si="52"/>
        <v>49197.393191591647</v>
      </c>
      <c r="W178" s="60">
        <f t="shared" ca="1" si="52"/>
        <v>48615.459830510306</v>
      </c>
      <c r="X178" s="60">
        <f t="shared" ca="1" si="52"/>
        <v>47394.147461500484</v>
      </c>
      <c r="Y178" s="60">
        <f t="shared" ca="1" si="52"/>
        <v>46396.537157520244</v>
      </c>
      <c r="Z178" s="60">
        <f t="shared" ca="1" si="52"/>
        <v>44369.907640873571</v>
      </c>
      <c r="AA178" s="60">
        <f t="shared" ca="1" si="52"/>
        <v>43707.31587483883</v>
      </c>
      <c r="AB178" s="60">
        <f t="shared" ca="1" si="52"/>
        <v>51544.299274790472</v>
      </c>
      <c r="AC178" s="60">
        <f t="shared" ca="1" si="52"/>
        <v>51016.931028280545</v>
      </c>
      <c r="AD178" s="60">
        <f t="shared" ca="1" si="52"/>
        <v>50379.330177009571</v>
      </c>
      <c r="AE178" s="60">
        <f t="shared" ca="1" si="52"/>
        <v>49255.600485277835</v>
      </c>
      <c r="AF178" s="60">
        <f t="shared" ca="1" si="52"/>
        <v>50527.877280579603</v>
      </c>
      <c r="AG178" s="60">
        <f t="shared" ca="1" si="52"/>
        <v>47621.466212866355</v>
      </c>
      <c r="AH178" s="60">
        <f t="shared" ca="1" si="52"/>
        <v>46701.709543633267</v>
      </c>
      <c r="AI178" s="60">
        <f t="shared" ca="1" si="52"/>
        <v>50210.45566913089</v>
      </c>
      <c r="AJ178" s="60">
        <f t="shared" ca="1" si="52"/>
        <v>39962.634212217621</v>
      </c>
      <c r="AK178" s="60"/>
      <c r="AL178" s="60"/>
      <c r="AM178" s="60"/>
    </row>
    <row r="179" spans="3:39">
      <c r="C179" s="266"/>
      <c r="D179" s="266"/>
      <c r="E179" s="266"/>
      <c r="F179" s="273"/>
      <c r="G179" s="273"/>
      <c r="H179" s="273"/>
      <c r="I179" s="273"/>
      <c r="J179" s="273"/>
      <c r="K179" s="273"/>
      <c r="L179" s="273"/>
      <c r="M179" s="273"/>
      <c r="N179" s="273"/>
      <c r="O179" s="273"/>
      <c r="P179" s="273"/>
      <c r="Q179" s="273"/>
      <c r="R179" s="273"/>
      <c r="S179" s="273"/>
      <c r="T179" s="273"/>
      <c r="U179" s="273"/>
      <c r="V179" s="273"/>
      <c r="W179" s="273"/>
      <c r="X179" s="273"/>
      <c r="Y179" s="273"/>
      <c r="Z179" s="273"/>
      <c r="AA179" s="273"/>
      <c r="AB179" s="273"/>
      <c r="AC179" s="273"/>
      <c r="AD179" s="273"/>
      <c r="AE179" s="273"/>
      <c r="AF179" s="273"/>
      <c r="AG179" s="273"/>
      <c r="AH179" s="273"/>
      <c r="AI179" s="273"/>
      <c r="AJ179" s="273"/>
      <c r="AK179" s="273"/>
      <c r="AL179" s="273"/>
      <c r="AM179" s="273"/>
    </row>
    <row r="180" spans="3:39" outlineLevel="1">
      <c r="C180" s="11" t="s">
        <v>106</v>
      </c>
      <c r="D180" s="266"/>
      <c r="E180" s="4"/>
      <c r="F180" s="273"/>
      <c r="G180" s="273"/>
      <c r="H180" s="273"/>
      <c r="I180" s="273"/>
      <c r="J180" s="273"/>
      <c r="K180" s="273"/>
      <c r="L180" s="273"/>
      <c r="M180" s="273"/>
      <c r="N180" s="273"/>
      <c r="O180" s="273"/>
      <c r="P180" s="273"/>
      <c r="Q180" s="273"/>
      <c r="R180" s="273"/>
      <c r="S180" s="273"/>
      <c r="T180" s="273"/>
      <c r="U180" s="273"/>
      <c r="V180" s="273"/>
      <c r="W180" s="273"/>
      <c r="X180" s="273"/>
      <c r="Y180" s="273"/>
      <c r="Z180" s="273"/>
      <c r="AA180" s="273"/>
      <c r="AB180" s="273"/>
      <c r="AC180" s="273"/>
      <c r="AD180" s="273"/>
      <c r="AE180" s="273"/>
      <c r="AF180" s="273"/>
      <c r="AG180" s="273"/>
      <c r="AH180" s="273"/>
      <c r="AI180" s="273"/>
      <c r="AJ180" s="273"/>
      <c r="AK180" s="273"/>
      <c r="AL180" s="273"/>
      <c r="AM180" s="273"/>
    </row>
    <row r="181" spans="3:39" outlineLevel="1">
      <c r="C181" s="266" t="s">
        <v>107</v>
      </c>
      <c r="D181" s="266"/>
      <c r="E181" s="4" t="s">
        <v>13</v>
      </c>
      <c r="F181" s="273"/>
      <c r="G181" s="273">
        <f ca="1">Ops!G991</f>
        <v>0</v>
      </c>
      <c r="H181" s="273">
        <f ca="1">Ops!H991</f>
        <v>0</v>
      </c>
      <c r="I181" s="273">
        <f ca="1">Ops!I991</f>
        <v>347.39487643526837</v>
      </c>
      <c r="J181" s="273">
        <f ca="1">Ops!J991</f>
        <v>744.41117750349417</v>
      </c>
      <c r="K181" s="273">
        <f ca="1">Ops!K991</f>
        <v>1189.2682028322342</v>
      </c>
      <c r="L181" s="273">
        <f ca="1">Ops!L991</f>
        <v>1356.120286437613</v>
      </c>
      <c r="M181" s="273">
        <f ca="1">Ops!M991</f>
        <v>1703.6363058597319</v>
      </c>
      <c r="N181" s="273">
        <f ca="1">Ops!N991</f>
        <v>2439.0989980124814</v>
      </c>
      <c r="O181" s="273">
        <f ca="1">Ops!O991</f>
        <v>3188.1697301598538</v>
      </c>
      <c r="P181" s="273">
        <f ca="1">Ops!P991</f>
        <v>3985.5853284583441</v>
      </c>
      <c r="Q181" s="273">
        <f ca="1">Ops!Q991</f>
        <v>4893.9313878758512</v>
      </c>
      <c r="R181" s="273">
        <f ca="1">Ops!R991</f>
        <v>5825.1137860033778</v>
      </c>
      <c r="S181" s="273">
        <f ca="1">Ops!S991</f>
        <v>6255.0972868294048</v>
      </c>
      <c r="T181" s="273">
        <f ca="1">Ops!T991</f>
        <v>6461.8373902515432</v>
      </c>
      <c r="U181" s="273">
        <f ca="1">Ops!U991</f>
        <v>7070.1979457834523</v>
      </c>
      <c r="V181" s="273">
        <f ca="1">Ops!V991</f>
        <v>7342.0016749738097</v>
      </c>
      <c r="W181" s="273">
        <f ca="1">Ops!W991</f>
        <v>7629.7469415793266</v>
      </c>
      <c r="X181" s="273">
        <f ca="1">Ops!X991</f>
        <v>7803.3581860440581</v>
      </c>
      <c r="Y181" s="273">
        <f ca="1">Ops!Y991</f>
        <v>7912.7602499574668</v>
      </c>
      <c r="Z181" s="273">
        <f ca="1">Ops!Z991</f>
        <v>7355.2641869440449</v>
      </c>
      <c r="AA181" s="273">
        <f ca="1">Ops!AA991</f>
        <v>6736.3819939589339</v>
      </c>
      <c r="AB181" s="273">
        <f ca="1">Ops!AB991</f>
        <v>6361.9193486222539</v>
      </c>
      <c r="AC181" s="273">
        <f ca="1">Ops!AC991</f>
        <v>5747.6181359173333</v>
      </c>
      <c r="AD181" s="273">
        <f ca="1">Ops!AD991</f>
        <v>5059.9528649723752</v>
      </c>
      <c r="AE181" s="273">
        <f ca="1">Ops!AE991</f>
        <v>4282.8598677846621</v>
      </c>
      <c r="AF181" s="273">
        <f ca="1">Ops!AF991</f>
        <v>3314.4860784072821</v>
      </c>
      <c r="AG181" s="273">
        <f ca="1">Ops!AG991</f>
        <v>1461.6872125425225</v>
      </c>
      <c r="AH181" s="273">
        <f ca="1">Ops!AH991</f>
        <v>0</v>
      </c>
      <c r="AI181" s="273">
        <f ca="1">Ops!AI991</f>
        <v>0</v>
      </c>
      <c r="AJ181" s="273">
        <f ca="1">Ops!AJ991</f>
        <v>0</v>
      </c>
      <c r="AK181" s="273"/>
      <c r="AL181" s="273"/>
      <c r="AM181" s="273"/>
    </row>
    <row r="182" spans="3:39" outlineLevel="1">
      <c r="C182" s="266" t="s">
        <v>108</v>
      </c>
      <c r="D182" s="266"/>
      <c r="E182" s="4" t="s">
        <v>13</v>
      </c>
      <c r="F182" s="273"/>
      <c r="G182" s="273">
        <f>Ops!G376</f>
        <v>551.40751464538698</v>
      </c>
      <c r="H182" s="273">
        <f>Ops!H376</f>
        <v>549.90093673651984</v>
      </c>
      <c r="I182" s="273">
        <f>Ops!I376</f>
        <v>587.55269777912076</v>
      </c>
      <c r="J182" s="273">
        <f>Ops!J376</f>
        <v>591.2468895599427</v>
      </c>
      <c r="K182" s="273">
        <f>Ops!K376</f>
        <v>591.2468895599427</v>
      </c>
      <c r="L182" s="273">
        <f>Ops!L376</f>
        <v>589.63146089994291</v>
      </c>
      <c r="M182" s="273">
        <f>Ops!M376</f>
        <v>591.2468895599427</v>
      </c>
      <c r="N182" s="273">
        <f>Ops!N376</f>
        <v>591.2468895599427</v>
      </c>
      <c r="O182" s="273">
        <f>Ops!O376</f>
        <v>591.2468895599427</v>
      </c>
      <c r="P182" s="273">
        <f>Ops!P376</f>
        <v>589.63146089994291</v>
      </c>
      <c r="Q182" s="273">
        <f>Ops!Q376</f>
        <v>591.2468895599427</v>
      </c>
      <c r="R182" s="273">
        <f>Ops!R376</f>
        <v>591.2468895599427</v>
      </c>
      <c r="S182" s="273">
        <f>Ops!S376</f>
        <v>591.2468895599427</v>
      </c>
      <c r="T182" s="273">
        <f>Ops!T376</f>
        <v>589.63146089994291</v>
      </c>
      <c r="U182" s="273">
        <f>Ops!U376</f>
        <v>591.2468895599427</v>
      </c>
      <c r="V182" s="273">
        <f>Ops!V376</f>
        <v>591.2468895599427</v>
      </c>
      <c r="W182" s="273">
        <f>Ops!W376</f>
        <v>591.2468895599427</v>
      </c>
      <c r="X182" s="273">
        <f>Ops!X376</f>
        <v>589.63146089994291</v>
      </c>
      <c r="Y182" s="273">
        <f>Ops!Y376</f>
        <v>631.29486133966884</v>
      </c>
      <c r="Z182" s="273">
        <f>Ops!Z376</f>
        <v>631.29486133966884</v>
      </c>
      <c r="AA182" s="273">
        <f>Ops!AA376</f>
        <v>631.29486133966884</v>
      </c>
      <c r="AB182" s="273">
        <f>Ops!AB376</f>
        <v>629.57001199174624</v>
      </c>
      <c r="AC182" s="273">
        <f>Ops!AC376</f>
        <v>631.29486133966884</v>
      </c>
      <c r="AD182" s="273">
        <f>Ops!AD376</f>
        <v>631.29486133966884</v>
      </c>
      <c r="AE182" s="273">
        <f>Ops!AE376</f>
        <v>631.29486133966884</v>
      </c>
      <c r="AF182" s="273">
        <f>Ops!AF376</f>
        <v>629.57001199174624</v>
      </c>
      <c r="AG182" s="273">
        <f>Ops!AG376</f>
        <v>631.29486133966884</v>
      </c>
      <c r="AH182" s="273">
        <f>Ops!AH376</f>
        <v>631.29486133966884</v>
      </c>
      <c r="AI182" s="273">
        <f>Ops!AI376</f>
        <v>631.29486133966884</v>
      </c>
      <c r="AJ182" s="273">
        <f>Ops!AJ376</f>
        <v>0</v>
      </c>
      <c r="AK182" s="273"/>
      <c r="AL182" s="273"/>
      <c r="AM182" s="273"/>
    </row>
    <row r="183" spans="3:39" outlineLevel="1">
      <c r="C183" s="266" t="str">
        <f>Ops!C384</f>
        <v>Obrigações sociais e trabalhistas</v>
      </c>
      <c r="D183" s="266"/>
      <c r="E183" s="4" t="s">
        <v>13</v>
      </c>
      <c r="F183" s="273"/>
      <c r="G183" s="273">
        <f>Ops!G384</f>
        <v>149.69061347242405</v>
      </c>
      <c r="H183" s="273">
        <f>Ops!H384</f>
        <v>149.28162272523164</v>
      </c>
      <c r="I183" s="273">
        <f>Ops!I384</f>
        <v>149.69061347242405</v>
      </c>
      <c r="J183" s="273">
        <f>Ops!J384</f>
        <v>189.7385852521501</v>
      </c>
      <c r="K183" s="273">
        <f>Ops!K384</f>
        <v>189.7385852521501</v>
      </c>
      <c r="L183" s="273">
        <f>Ops!L384</f>
        <v>189.22017381703495</v>
      </c>
      <c r="M183" s="273">
        <f>Ops!M384</f>
        <v>189.7385852521501</v>
      </c>
      <c r="N183" s="273">
        <f>Ops!N384</f>
        <v>189.7385852521501</v>
      </c>
      <c r="O183" s="273">
        <f>Ops!O384</f>
        <v>189.7385852521501</v>
      </c>
      <c r="P183" s="273">
        <f>Ops!P384</f>
        <v>189.22017381703495</v>
      </c>
      <c r="Q183" s="273">
        <f>Ops!Q384</f>
        <v>189.7385852521501</v>
      </c>
      <c r="R183" s="273">
        <f>Ops!R384</f>
        <v>189.7385852521501</v>
      </c>
      <c r="S183" s="273">
        <f>Ops!S384</f>
        <v>189.7385852521501</v>
      </c>
      <c r="T183" s="273">
        <f>Ops!T384</f>
        <v>189.22017381703495</v>
      </c>
      <c r="U183" s="273">
        <f>Ops!U384</f>
        <v>189.7385852521501</v>
      </c>
      <c r="V183" s="273">
        <f>Ops!V384</f>
        <v>189.7385852521501</v>
      </c>
      <c r="W183" s="273">
        <f>Ops!W384</f>
        <v>189.7385852521501</v>
      </c>
      <c r="X183" s="273">
        <f>Ops!X384</f>
        <v>189.22017381703495</v>
      </c>
      <c r="Y183" s="273">
        <f>Ops!Y384</f>
        <v>189.7385852521501</v>
      </c>
      <c r="Z183" s="273">
        <f>Ops!Z384</f>
        <v>189.7385852521501</v>
      </c>
      <c r="AA183" s="273">
        <f>Ops!AA384</f>
        <v>189.7385852521501</v>
      </c>
      <c r="AB183" s="273">
        <f>Ops!AB384</f>
        <v>189.22017381703495</v>
      </c>
      <c r="AC183" s="273">
        <f>Ops!AC384</f>
        <v>189.7385852521501</v>
      </c>
      <c r="AD183" s="273">
        <f>Ops!AD384</f>
        <v>189.7385852521501</v>
      </c>
      <c r="AE183" s="273">
        <f>Ops!AE384</f>
        <v>189.7385852521501</v>
      </c>
      <c r="AF183" s="273">
        <f>Ops!AF384</f>
        <v>189.22017381703495</v>
      </c>
      <c r="AG183" s="273">
        <f>Ops!AG384</f>
        <v>189.7385852521501</v>
      </c>
      <c r="AH183" s="273">
        <f>Ops!AH384</f>
        <v>189.7385852521501</v>
      </c>
      <c r="AI183" s="273">
        <f>Ops!AI384</f>
        <v>189.7385852521501</v>
      </c>
      <c r="AJ183" s="273">
        <f>Ops!AJ384</f>
        <v>0</v>
      </c>
      <c r="AK183" s="273"/>
      <c r="AL183" s="273"/>
      <c r="AM183" s="273"/>
    </row>
    <row r="184" spans="3:39" outlineLevel="1">
      <c r="C184" s="266" t="s">
        <v>109</v>
      </c>
      <c r="D184" s="266"/>
      <c r="E184" s="4" t="s">
        <v>13</v>
      </c>
      <c r="F184" s="273"/>
      <c r="G184" s="273">
        <f ca="1">Debt!G78</f>
        <v>5387.5155604479987</v>
      </c>
      <c r="H184" s="273">
        <f ca="1">Debt!H78</f>
        <v>6123.7334651105211</v>
      </c>
      <c r="I184" s="273">
        <f ca="1">Debt!I78</f>
        <v>6495.7961835256483</v>
      </c>
      <c r="J184" s="273">
        <f ca="1">Debt!J78</f>
        <v>6179.4722809502291</v>
      </c>
      <c r="K184" s="273">
        <f ca="1">Debt!K78</f>
        <v>6014.2942766383849</v>
      </c>
      <c r="L184" s="273">
        <f ca="1">Debt!L78</f>
        <v>11060.955312112383</v>
      </c>
      <c r="M184" s="273">
        <f ca="1">Debt!M78</f>
        <v>10063.577500729969</v>
      </c>
      <c r="N184" s="273">
        <f ca="1">Debt!N78</f>
        <v>12585.038939170729</v>
      </c>
      <c r="O184" s="273">
        <f ca="1">Debt!O78</f>
        <v>11030.89855875685</v>
      </c>
      <c r="P184" s="273">
        <f ca="1">Debt!P78</f>
        <v>9817.5326396519558</v>
      </c>
      <c r="Q184" s="273">
        <f ca="1">Debt!Q78</f>
        <v>8786.6765349260313</v>
      </c>
      <c r="R184" s="273">
        <f ca="1">Debt!R78</f>
        <v>7469.2626612225722</v>
      </c>
      <c r="S184" s="273">
        <f ca="1">Debt!S78</f>
        <v>5901.1722159567544</v>
      </c>
      <c r="T184" s="273">
        <f ca="1">Debt!T78</f>
        <v>3993.7179849554841</v>
      </c>
      <c r="U184" s="273">
        <f ca="1">Debt!U78</f>
        <v>4041.9952053962925</v>
      </c>
      <c r="V184" s="273">
        <f ca="1">Debt!V78</f>
        <v>1324.0162280211271</v>
      </c>
      <c r="W184" s="273">
        <f ca="1">Debt!W78</f>
        <v>1593.2255428683538</v>
      </c>
      <c r="X184" s="273">
        <f ca="1">Debt!X78</f>
        <v>1632.9696403434957</v>
      </c>
      <c r="Y184" s="273">
        <f ca="1">Debt!Y78</f>
        <v>1875.4716394155462</v>
      </c>
      <c r="Z184" s="273">
        <f ca="1">Debt!Z78</f>
        <v>1727.3956002296782</v>
      </c>
      <c r="AA184" s="273">
        <f ca="1">Debt!AA78</f>
        <v>2126.6008138154971</v>
      </c>
      <c r="AB184" s="273">
        <f ca="1">Debt!AB78</f>
        <v>5717.8176981490506</v>
      </c>
      <c r="AC184" s="273">
        <f ca="1">Debt!AC78</f>
        <v>5324.7872634268824</v>
      </c>
      <c r="AD184" s="273">
        <f ca="1">Debt!AD78</f>
        <v>4888.6303150834137</v>
      </c>
      <c r="AE184" s="273">
        <f ca="1">Debt!AE78</f>
        <v>4239.6601132670949</v>
      </c>
      <c r="AF184" s="273">
        <f ca="1">Debt!AF78</f>
        <v>4719.5195850881773</v>
      </c>
      <c r="AG184" s="273">
        <f ca="1">Debt!AG78</f>
        <v>3563.558220693958</v>
      </c>
      <c r="AH184" s="273">
        <f ca="1">Debt!AH78</f>
        <v>3041.5046814469533</v>
      </c>
      <c r="AI184" s="273">
        <f ca="1">Debt!AI78</f>
        <v>3124.1676236420267</v>
      </c>
      <c r="AJ184" s="273">
        <f ca="1">Debt!AJ78</f>
        <v>0</v>
      </c>
      <c r="AK184" s="273"/>
      <c r="AL184" s="273"/>
      <c r="AM184" s="273"/>
    </row>
    <row r="185" spans="3:39">
      <c r="C185" s="28" t="s">
        <v>110</v>
      </c>
      <c r="D185" s="28"/>
      <c r="E185" s="61" t="s">
        <v>13</v>
      </c>
      <c r="F185" s="28"/>
      <c r="G185" s="60">
        <f t="shared" ref="G185:AJ185" ca="1" si="53">SUM(G181:G184)</f>
        <v>6088.6136885658098</v>
      </c>
      <c r="H185" s="60">
        <f t="shared" ca="1" si="53"/>
        <v>6822.9160245722724</v>
      </c>
      <c r="I185" s="60">
        <f t="shared" ca="1" si="53"/>
        <v>7580.434371212461</v>
      </c>
      <c r="J185" s="60">
        <f t="shared" ca="1" si="53"/>
        <v>7704.8689332658159</v>
      </c>
      <c r="K185" s="60">
        <f t="shared" ca="1" si="53"/>
        <v>7984.5479542827125</v>
      </c>
      <c r="L185" s="60">
        <f t="shared" ca="1" si="53"/>
        <v>13195.927233266973</v>
      </c>
      <c r="M185" s="60">
        <f t="shared" ca="1" si="53"/>
        <v>12548.199281401794</v>
      </c>
      <c r="N185" s="60">
        <f t="shared" ca="1" si="53"/>
        <v>15805.123411995302</v>
      </c>
      <c r="O185" s="60">
        <f t="shared" ca="1" si="53"/>
        <v>15000.053763728796</v>
      </c>
      <c r="P185" s="60">
        <f t="shared" ca="1" si="53"/>
        <v>14581.969602827277</v>
      </c>
      <c r="Q185" s="60">
        <f t="shared" ca="1" si="53"/>
        <v>14461.593397613975</v>
      </c>
      <c r="R185" s="60">
        <f t="shared" ca="1" si="53"/>
        <v>14075.361922038042</v>
      </c>
      <c r="S185" s="60">
        <f t="shared" ca="1" si="53"/>
        <v>12937.254977598252</v>
      </c>
      <c r="T185" s="60">
        <f t="shared" ca="1" si="53"/>
        <v>11234.407009924005</v>
      </c>
      <c r="U185" s="60">
        <f t="shared" ca="1" si="53"/>
        <v>11893.178625991837</v>
      </c>
      <c r="V185" s="60">
        <f t="shared" ca="1" si="53"/>
        <v>9447.0033778070301</v>
      </c>
      <c r="W185" s="60">
        <f t="shared" ca="1" si="53"/>
        <v>10003.957959259773</v>
      </c>
      <c r="X185" s="60">
        <f t="shared" ca="1" si="53"/>
        <v>10215.179461104532</v>
      </c>
      <c r="Y185" s="60">
        <f t="shared" ca="1" si="53"/>
        <v>10609.26533596483</v>
      </c>
      <c r="Z185" s="60">
        <f t="shared" ca="1" si="53"/>
        <v>9903.6932337655417</v>
      </c>
      <c r="AA185" s="60">
        <f t="shared" ca="1" si="53"/>
        <v>9684.01625436625</v>
      </c>
      <c r="AB185" s="60">
        <f t="shared" ca="1" si="53"/>
        <v>12898.527232580087</v>
      </c>
      <c r="AC185" s="60">
        <f t="shared" ca="1" si="53"/>
        <v>11893.438845936034</v>
      </c>
      <c r="AD185" s="60">
        <f t="shared" ca="1" si="53"/>
        <v>10769.616626647607</v>
      </c>
      <c r="AE185" s="60">
        <f t="shared" ca="1" si="53"/>
        <v>9343.5534276435756</v>
      </c>
      <c r="AF185" s="60">
        <f t="shared" ca="1" si="53"/>
        <v>8852.7958493042406</v>
      </c>
      <c r="AG185" s="60">
        <f t="shared" ca="1" si="53"/>
        <v>5846.2788798283</v>
      </c>
      <c r="AH185" s="60">
        <f t="shared" ca="1" si="53"/>
        <v>3862.5381280387724</v>
      </c>
      <c r="AI185" s="60">
        <f t="shared" ca="1" si="53"/>
        <v>3945.2010702338457</v>
      </c>
      <c r="AJ185" s="60">
        <f t="shared" ca="1" si="53"/>
        <v>0</v>
      </c>
      <c r="AK185" s="60"/>
      <c r="AL185" s="60"/>
      <c r="AM185" s="60"/>
    </row>
    <row r="186" spans="3:39">
      <c r="C186" s="266"/>
      <c r="D186" s="266"/>
      <c r="E186" s="266"/>
      <c r="F186" s="266"/>
      <c r="G186" s="266"/>
      <c r="H186" s="266"/>
      <c r="I186" s="266"/>
      <c r="J186" s="266"/>
      <c r="K186" s="266"/>
      <c r="L186" s="266"/>
      <c r="M186" s="266"/>
      <c r="N186" s="266"/>
      <c r="O186" s="266"/>
      <c r="P186" s="266"/>
      <c r="Q186" s="266"/>
      <c r="R186" s="266"/>
      <c r="S186" s="266"/>
      <c r="T186" s="266"/>
      <c r="U186" s="266"/>
      <c r="V186" s="278"/>
      <c r="W186" s="278"/>
      <c r="X186" s="266"/>
      <c r="Y186" s="266"/>
      <c r="Z186" s="266"/>
      <c r="AA186" s="266"/>
      <c r="AB186" s="266"/>
      <c r="AC186" s="266"/>
      <c r="AD186" s="266"/>
      <c r="AE186" s="266"/>
      <c r="AF186" s="266"/>
      <c r="AG186" s="266"/>
      <c r="AH186" s="266"/>
      <c r="AI186" s="266"/>
      <c r="AJ186" s="266"/>
      <c r="AK186" s="266"/>
      <c r="AL186" s="266"/>
      <c r="AM186" s="266"/>
    </row>
    <row r="187" spans="3:39" outlineLevel="1">
      <c r="C187" s="11" t="s">
        <v>111</v>
      </c>
      <c r="D187" s="266"/>
      <c r="E187" s="266"/>
      <c r="F187" s="266"/>
      <c r="G187"/>
      <c r="H187" s="266"/>
      <c r="I187" s="266"/>
      <c r="J187" s="266"/>
      <c r="K187" s="266"/>
      <c r="L187" s="266"/>
      <c r="M187" s="266"/>
      <c r="N187" s="266"/>
      <c r="O187" s="266"/>
      <c r="P187" s="266"/>
      <c r="Q187" s="266"/>
      <c r="R187" s="266"/>
      <c r="S187" s="266"/>
      <c r="T187" s="266"/>
      <c r="U187" s="266"/>
      <c r="V187" s="266"/>
      <c r="W187" s="266"/>
      <c r="X187" s="266"/>
      <c r="Y187" s="266"/>
      <c r="Z187" s="266"/>
      <c r="AA187" s="266"/>
      <c r="AB187" s="266"/>
      <c r="AC187" s="266"/>
      <c r="AD187"/>
      <c r="AE187"/>
      <c r="AF187"/>
      <c r="AG187"/>
      <c r="AH187"/>
      <c r="AI187"/>
      <c r="AJ187"/>
      <c r="AK187" s="266"/>
      <c r="AL187" s="266"/>
      <c r="AM187" s="266"/>
    </row>
    <row r="188" spans="3:39" outlineLevel="1">
      <c r="C188" s="266" t="s">
        <v>112</v>
      </c>
      <c r="D188" s="266"/>
      <c r="E188" s="4" t="s">
        <v>13</v>
      </c>
      <c r="F188" s="266"/>
      <c r="G188" s="273">
        <f ca="1">Ops!G1058</f>
        <v>6640.1433350360567</v>
      </c>
      <c r="H188" s="273">
        <f ca="1">Ops!H1058</f>
        <v>10033.740567941948</v>
      </c>
      <c r="I188" s="273">
        <f ca="1">Ops!I1058</f>
        <v>10905.479915859049</v>
      </c>
      <c r="J188" s="273">
        <f ca="1">Ops!J1058</f>
        <v>11104.112036696148</v>
      </c>
      <c r="K188" s="273">
        <f ca="1">Ops!K1058</f>
        <v>11485.688057533247</v>
      </c>
      <c r="L188" s="273">
        <f ca="1">Ops!L1058</f>
        <v>17638.444624218482</v>
      </c>
      <c r="M188" s="273">
        <f ca="1">Ops!M1058</f>
        <v>17759.242090694956</v>
      </c>
      <c r="N188" s="273">
        <f ca="1">Ops!N1058</f>
        <v>21853.833396532056</v>
      </c>
      <c r="O188" s="273">
        <f ca="1">Ops!O1058</f>
        <v>21875.535667369157</v>
      </c>
      <c r="P188" s="273">
        <f ca="1">Ops!P1058</f>
        <v>22298.425188206256</v>
      </c>
      <c r="Q188" s="273">
        <f ca="1">Ops!Q1058</f>
        <v>23024.904390465537</v>
      </c>
      <c r="R188" s="273">
        <f ca="1">Ops!R1058</f>
        <v>23574.806182067721</v>
      </c>
      <c r="S188" s="273">
        <f ca="1">Ops!S1058</f>
        <v>23973.773142120823</v>
      </c>
      <c r="T188" s="273">
        <f ca="1">Ops!T1058</f>
        <v>24063.177903597294</v>
      </c>
      <c r="U188" s="273">
        <f ca="1">Ops!U1058</f>
        <v>28153.450329434396</v>
      </c>
      <c r="V188" s="273">
        <f ca="1">Ops!V1058</f>
        <v>29477.466557455522</v>
      </c>
      <c r="W188" s="273">
        <f ca="1">Ops!W1058</f>
        <v>29869.231683292623</v>
      </c>
      <c r="X188" s="273">
        <f ca="1">Ops!X1058</f>
        <v>30045.056584129721</v>
      </c>
      <c r="Y188" s="273">
        <f ca="1">Ops!Y1058</f>
        <v>30458.05600496682</v>
      </c>
      <c r="Z188" s="273">
        <f ca="1">Ops!Z1058</f>
        <v>30482.719525803921</v>
      </c>
      <c r="AA188" s="273">
        <f ca="1">Ops!AA1058</f>
        <v>31118.213718702573</v>
      </c>
      <c r="AB188" s="273">
        <f ca="1">Ops!AB1058</f>
        <v>35424.157815304759</v>
      </c>
      <c r="AC188" s="273">
        <f ca="1">Ops!AC1058</f>
        <v>35791.811275357861</v>
      </c>
      <c r="AD188" s="273">
        <f ca="1">Ops!AD1058</f>
        <v>36170.42604619496</v>
      </c>
      <c r="AE188" s="273">
        <f ca="1">Ops!AE1058</f>
        <v>36369.387867032063</v>
      </c>
      <c r="AF188" s="273">
        <f ca="1">Ops!AF1058</f>
        <v>38029.12723512519</v>
      </c>
      <c r="AG188" s="273">
        <f ca="1">Ops!AG1058</f>
        <v>38061.018610962288</v>
      </c>
      <c r="AH188" s="273">
        <f ca="1">Ops!AH1058</f>
        <v>39059.71741243876</v>
      </c>
      <c r="AI188" s="273">
        <f ca="1">Ops!AI1058</f>
        <v>42266.547978275863</v>
      </c>
      <c r="AJ188" s="273">
        <f ca="1">Ops!AJ1058</f>
        <v>42298.250249112964</v>
      </c>
      <c r="AK188" s="273"/>
      <c r="AL188" s="273"/>
      <c r="AM188" s="273"/>
    </row>
    <row r="189" spans="3:39" outlineLevel="1">
      <c r="C189" s="266" t="s">
        <v>113</v>
      </c>
      <c r="D189" s="266"/>
      <c r="E189" s="51" t="s">
        <v>13</v>
      </c>
      <c r="F189" s="266"/>
      <c r="G189" s="293">
        <f ca="1">Ops!G1090</f>
        <v>0</v>
      </c>
      <c r="H189" s="293">
        <f ca="1">Ops!H1090</f>
        <v>0</v>
      </c>
      <c r="I189" s="293">
        <f ca="1">Ops!I1090</f>
        <v>64.31780262814425</v>
      </c>
      <c r="J189" s="293">
        <f ca="1">Ops!J1090</f>
        <v>144.45045765358597</v>
      </c>
      <c r="K189" s="293">
        <f ca="1">Ops!K1090</f>
        <v>243.04365247469201</v>
      </c>
      <c r="L189" s="293">
        <f ca="1">Ops!L1090</f>
        <v>360.87182465495533</v>
      </c>
      <c r="M189" s="293">
        <f ca="1">Ops!M1090</f>
        <v>437.75397333196958</v>
      </c>
      <c r="N189" s="293">
        <f ca="1">Ops!N1090</f>
        <v>736.54417741635109</v>
      </c>
      <c r="O189" s="293">
        <f ca="1">Ops!O1090</f>
        <v>854.12668002688554</v>
      </c>
      <c r="P189" s="293">
        <f ca="1">Ops!P1090</f>
        <v>975.43844588330182</v>
      </c>
      <c r="Q189" s="293">
        <f ca="1">Ops!Q1090</f>
        <v>1112.5028814138468</v>
      </c>
      <c r="R189" s="293">
        <f ca="1">Ops!R1090</f>
        <v>1256.4426365038978</v>
      </c>
      <c r="S189" s="293">
        <f ca="1">Ops!S1090</f>
        <v>1408.0658307317431</v>
      </c>
      <c r="T189" s="293">
        <f ca="1">Ops!T1090</f>
        <v>1567.5362561087461</v>
      </c>
      <c r="U189" s="293">
        <f ca="1">Ops!U1090</f>
        <v>1919.3263746205314</v>
      </c>
      <c r="V189" s="293">
        <f ca="1">Ops!V1090</f>
        <v>2092.038573008349</v>
      </c>
      <c r="W189" s="293">
        <f ca="1">Ops!W1090</f>
        <v>2265.8975765396008</v>
      </c>
      <c r="X189" s="293">
        <f ca="1">Ops!X1090</f>
        <v>2437.4793575703889</v>
      </c>
      <c r="Y189" s="293">
        <f ca="1">Ops!Y1090</f>
        <v>2596.6698494371258</v>
      </c>
      <c r="Z189" s="293">
        <f ca="1">Ops!Z1090</f>
        <v>2751.221670989954</v>
      </c>
      <c r="AA189" s="293">
        <f ca="1">Ops!AA1090</f>
        <v>2905.0859017699959</v>
      </c>
      <c r="AB189" s="293">
        <f ca="1">Ops!AB1090</f>
        <v>3221.6142269056227</v>
      </c>
      <c r="AC189" s="293">
        <f ca="1">Ops!AC1090</f>
        <v>3331.6809069866463</v>
      </c>
      <c r="AD189" s="293">
        <f ca="1">Ops!AD1090</f>
        <v>3439.2875041669959</v>
      </c>
      <c r="AE189" s="293">
        <f ca="1">Ops!AE1090</f>
        <v>3542.659190602194</v>
      </c>
      <c r="AF189" s="293">
        <f ca="1">Ops!AF1090</f>
        <v>3645.9541961501691</v>
      </c>
      <c r="AG189" s="293">
        <f ca="1">Ops!AG1090</f>
        <v>3714.1687220757672</v>
      </c>
      <c r="AH189" s="293">
        <f ca="1">Ops!AH1090</f>
        <v>3779.4540031557394</v>
      </c>
      <c r="AI189" s="293">
        <f ca="1">Ops!AI1090</f>
        <v>3998.7066206211916</v>
      </c>
      <c r="AJ189" s="293">
        <f ca="1">Ops!AJ1090</f>
        <v>3998.7066206211916</v>
      </c>
      <c r="AK189" s="293"/>
      <c r="AL189" s="293"/>
      <c r="AM189" s="293"/>
    </row>
    <row r="190" spans="3:39" outlineLevel="1">
      <c r="C190" s="266" t="s">
        <v>114</v>
      </c>
      <c r="D190" s="266"/>
      <c r="E190" s="4" t="s">
        <v>13</v>
      </c>
      <c r="F190" s="266"/>
      <c r="G190" s="278">
        <f t="shared" ref="G190:AI190" ca="1" si="54">G165</f>
        <v>-648.84854799737877</v>
      </c>
      <c r="H190" s="278">
        <f ca="1">H165</f>
        <v>-2693.2220477532514</v>
      </c>
      <c r="I190" s="278">
        <f t="shared" ca="1" si="54"/>
        <v>-1471.1837978185108</v>
      </c>
      <c r="J190" s="278">
        <f t="shared" ca="1" si="54"/>
        <v>0</v>
      </c>
      <c r="K190" s="278">
        <f t="shared" ca="1" si="54"/>
        <v>0</v>
      </c>
      <c r="L190" s="278">
        <f t="shared" ca="1" si="54"/>
        <v>0</v>
      </c>
      <c r="M190" s="278">
        <f t="shared" ca="1" si="54"/>
        <v>304.69814321523734</v>
      </c>
      <c r="N190" s="278">
        <f t="shared" ca="1" si="54"/>
        <v>973.90933766774276</v>
      </c>
      <c r="O190" s="278">
        <f t="shared" ca="1" si="54"/>
        <v>1228.6367376849053</v>
      </c>
      <c r="P190" s="278">
        <f t="shared" ca="1" si="54"/>
        <v>1677.8290899555539</v>
      </c>
      <c r="Q190" s="278">
        <f t="shared" ca="1" si="54"/>
        <v>2059.6459163869422</v>
      </c>
      <c r="R190" s="278">
        <f t="shared" ca="1" si="54"/>
        <v>2392.7389364954897</v>
      </c>
      <c r="S190" s="278">
        <f t="shared" ca="1" si="54"/>
        <v>3175.9540471338587</v>
      </c>
      <c r="T190" s="278">
        <f t="shared" ca="1" si="54"/>
        <v>4900.5017617120448</v>
      </c>
      <c r="U190" s="278">
        <f t="shared" ca="1" si="54"/>
        <v>7308.1507890376561</v>
      </c>
      <c r="V190" s="278">
        <f t="shared" ca="1" si="54"/>
        <v>8180.8846833207317</v>
      </c>
      <c r="W190" s="278">
        <f t="shared" ca="1" si="54"/>
        <v>6476.3726114182928</v>
      </c>
      <c r="X190" s="278">
        <f t="shared" ca="1" si="54"/>
        <v>4696.4320586958329</v>
      </c>
      <c r="Y190" s="278">
        <f t="shared" ca="1" si="54"/>
        <v>2732.5459671514582</v>
      </c>
      <c r="Z190" s="278">
        <f t="shared" ca="1" si="54"/>
        <v>1232.27321031414</v>
      </c>
      <c r="AA190" s="278">
        <f t="shared" ca="1" si="54"/>
        <v>0</v>
      </c>
      <c r="AB190" s="278">
        <f t="shared" ca="1" si="54"/>
        <v>0</v>
      </c>
      <c r="AC190" s="278">
        <f t="shared" ca="1" si="54"/>
        <v>1.7053025658242404E-13</v>
      </c>
      <c r="AD190" s="278">
        <f t="shared" ca="1" si="54"/>
        <v>1.7053025658242404E-13</v>
      </c>
      <c r="AE190" s="278">
        <f t="shared" ca="1" si="54"/>
        <v>1.7053025658242404E-13</v>
      </c>
      <c r="AF190" s="278">
        <f t="shared" ca="1" si="54"/>
        <v>1.7053025658242404E-13</v>
      </c>
      <c r="AG190" s="278">
        <f t="shared" ca="1" si="54"/>
        <v>-9.9475983006414026E-14</v>
      </c>
      <c r="AH190" s="278">
        <f t="shared" ca="1" si="54"/>
        <v>-9.9475983006414026E-14</v>
      </c>
      <c r="AI190" s="278">
        <f t="shared" ca="1" si="54"/>
        <v>-9.9475983006414026E-14</v>
      </c>
      <c r="AJ190" s="278">
        <f ca="1">AJ165</f>
        <v>-6334.3226575165263</v>
      </c>
      <c r="AK190" s="278"/>
      <c r="AL190" s="278"/>
      <c r="AM190" s="278"/>
    </row>
    <row r="191" spans="3:39" ht="16.2" thickBot="1">
      <c r="C191" s="62" t="s">
        <v>115</v>
      </c>
      <c r="D191" s="62"/>
      <c r="E191" s="45" t="s">
        <v>13</v>
      </c>
      <c r="F191" s="62"/>
      <c r="G191" s="63">
        <f t="shared" ref="G191:AJ191" ca="1" si="55">SUM(G188:G190)</f>
        <v>5991.2947870386779</v>
      </c>
      <c r="H191" s="63">
        <f t="shared" ca="1" si="55"/>
        <v>7340.5185201886961</v>
      </c>
      <c r="I191" s="63">
        <f t="shared" ca="1" si="55"/>
        <v>9498.6139206686821</v>
      </c>
      <c r="J191" s="63">
        <f t="shared" ca="1" si="55"/>
        <v>11248.562494349733</v>
      </c>
      <c r="K191" s="63">
        <f t="shared" ca="1" si="55"/>
        <v>11728.73171000794</v>
      </c>
      <c r="L191" s="63">
        <f t="shared" ca="1" si="55"/>
        <v>17999.316448873436</v>
      </c>
      <c r="M191" s="63">
        <f t="shared" ca="1" si="55"/>
        <v>18501.694207242163</v>
      </c>
      <c r="N191" s="63">
        <f t="shared" ca="1" si="55"/>
        <v>23564.286911616149</v>
      </c>
      <c r="O191" s="63">
        <f t="shared" ca="1" si="55"/>
        <v>23958.299085080947</v>
      </c>
      <c r="P191" s="63">
        <f t="shared" ca="1" si="55"/>
        <v>24951.692724045111</v>
      </c>
      <c r="Q191" s="63">
        <f t="shared" ca="1" si="55"/>
        <v>26197.053188266327</v>
      </c>
      <c r="R191" s="63">
        <f t="shared" ca="1" si="55"/>
        <v>27223.987755067108</v>
      </c>
      <c r="S191" s="63">
        <f t="shared" ca="1" si="55"/>
        <v>28557.793019986424</v>
      </c>
      <c r="T191" s="63">
        <f t="shared" ca="1" si="55"/>
        <v>30531.215921418087</v>
      </c>
      <c r="U191" s="63">
        <f t="shared" ca="1" si="55"/>
        <v>37380.927493092582</v>
      </c>
      <c r="V191" s="63">
        <f t="shared" ca="1" si="55"/>
        <v>39750.389813784597</v>
      </c>
      <c r="W191" s="63">
        <f t="shared" ca="1" si="55"/>
        <v>38611.501871250519</v>
      </c>
      <c r="X191" s="63">
        <f t="shared" ca="1" si="55"/>
        <v>37178.968000395944</v>
      </c>
      <c r="Y191" s="63">
        <f t="shared" ca="1" si="55"/>
        <v>35787.271821555405</v>
      </c>
      <c r="Z191" s="63">
        <f t="shared" ca="1" si="55"/>
        <v>34466.214407108011</v>
      </c>
      <c r="AA191" s="63">
        <f t="shared" ca="1" si="55"/>
        <v>34023.299620472571</v>
      </c>
      <c r="AB191" s="63">
        <f t="shared" ca="1" si="55"/>
        <v>38645.772042210381</v>
      </c>
      <c r="AC191" s="63">
        <f t="shared" ca="1" si="55"/>
        <v>39123.492182344504</v>
      </c>
      <c r="AD191" s="63">
        <f t="shared" ca="1" si="55"/>
        <v>39609.713550361957</v>
      </c>
      <c r="AE191" s="63">
        <f t="shared" ca="1" si="55"/>
        <v>39912.047057634256</v>
      </c>
      <c r="AF191" s="63">
        <f t="shared" ca="1" si="55"/>
        <v>41675.081431275357</v>
      </c>
      <c r="AG191" s="63">
        <f t="shared" ca="1" si="55"/>
        <v>41775.187333038055</v>
      </c>
      <c r="AH191" s="63">
        <f t="shared" ca="1" si="55"/>
        <v>42839.171415594501</v>
      </c>
      <c r="AI191" s="63">
        <f t="shared" ca="1" si="55"/>
        <v>46265.254598897052</v>
      </c>
      <c r="AJ191" s="63">
        <f t="shared" ca="1" si="55"/>
        <v>39962.634212217628</v>
      </c>
      <c r="AK191" s="63"/>
      <c r="AL191" s="63"/>
      <c r="AM191" s="63"/>
    </row>
    <row r="192" spans="3:39" ht="16.2" thickTop="1">
      <c r="C192" s="266"/>
      <c r="E192" s="4"/>
      <c r="F192" s="266"/>
      <c r="G192" s="266"/>
      <c r="H192" s="266"/>
      <c r="I192" s="266"/>
      <c r="J192" s="266"/>
      <c r="K192" s="266"/>
      <c r="L192" s="266"/>
      <c r="M192" s="266"/>
      <c r="N192" s="266"/>
      <c r="O192" s="266"/>
      <c r="P192" s="266"/>
      <c r="Q192" s="266"/>
      <c r="R192" s="266"/>
      <c r="S192" s="266"/>
      <c r="T192" s="266"/>
      <c r="U192" s="266"/>
      <c r="V192" s="266"/>
      <c r="W192" s="266"/>
      <c r="X192" s="266"/>
      <c r="Y192" s="266"/>
      <c r="Z192" s="266"/>
      <c r="AA192" s="266"/>
      <c r="AB192" s="266"/>
      <c r="AC192" s="266"/>
      <c r="AD192" s="266"/>
      <c r="AE192" s="266"/>
      <c r="AF192" s="266"/>
      <c r="AG192" s="266"/>
      <c r="AH192" s="266"/>
      <c r="AI192" s="266"/>
      <c r="AJ192" s="266"/>
      <c r="AK192" s="266"/>
      <c r="AL192" s="266"/>
      <c r="AM192" s="266"/>
    </row>
    <row r="193" spans="3:39">
      <c r="C193" s="64" t="s">
        <v>116</v>
      </c>
      <c r="D193" s="65"/>
      <c r="E193" s="65"/>
      <c r="F193" s="23">
        <f ca="1">SUM(G193:AJ193)</f>
        <v>0</v>
      </c>
      <c r="G193" s="66">
        <f ca="1">ROUND(G178-G185-G191,0)</f>
        <v>0</v>
      </c>
      <c r="H193" s="66">
        <f t="shared" ref="H193:AJ193" ca="1" si="56">ROUND(H178-H185-H191,0)</f>
        <v>0</v>
      </c>
      <c r="I193" s="66">
        <f ca="1">ROUND(I178-I185-I191,0)</f>
        <v>0</v>
      </c>
      <c r="J193" s="66">
        <f t="shared" ca="1" si="56"/>
        <v>0</v>
      </c>
      <c r="K193" s="66">
        <f t="shared" ca="1" si="56"/>
        <v>0</v>
      </c>
      <c r="L193" s="66">
        <f t="shared" ca="1" si="56"/>
        <v>0</v>
      </c>
      <c r="M193" s="66">
        <f t="shared" ca="1" si="56"/>
        <v>0</v>
      </c>
      <c r="N193" s="66">
        <f t="shared" ca="1" si="56"/>
        <v>0</v>
      </c>
      <c r="O193" s="66">
        <f t="shared" ca="1" si="56"/>
        <v>0</v>
      </c>
      <c r="P193" s="66">
        <f t="shared" ca="1" si="56"/>
        <v>0</v>
      </c>
      <c r="Q193" s="66">
        <f t="shared" ca="1" si="56"/>
        <v>0</v>
      </c>
      <c r="R193" s="66">
        <f t="shared" ca="1" si="56"/>
        <v>0</v>
      </c>
      <c r="S193" s="66">
        <f t="shared" ca="1" si="56"/>
        <v>0</v>
      </c>
      <c r="T193" s="66">
        <f t="shared" ca="1" si="56"/>
        <v>0</v>
      </c>
      <c r="U193" s="66">
        <f t="shared" ca="1" si="56"/>
        <v>0</v>
      </c>
      <c r="V193" s="66">
        <f t="shared" ca="1" si="56"/>
        <v>0</v>
      </c>
      <c r="W193" s="66">
        <f t="shared" ca="1" si="56"/>
        <v>0</v>
      </c>
      <c r="X193" s="66">
        <f t="shared" ca="1" si="56"/>
        <v>0</v>
      </c>
      <c r="Y193" s="66">
        <f t="shared" ca="1" si="56"/>
        <v>0</v>
      </c>
      <c r="Z193" s="66">
        <f t="shared" ca="1" si="56"/>
        <v>0</v>
      </c>
      <c r="AA193" s="66">
        <f t="shared" ca="1" si="56"/>
        <v>0</v>
      </c>
      <c r="AB193" s="66">
        <f t="shared" ca="1" si="56"/>
        <v>0</v>
      </c>
      <c r="AC193" s="66">
        <f t="shared" ca="1" si="56"/>
        <v>0</v>
      </c>
      <c r="AD193" s="66">
        <f t="shared" ca="1" si="56"/>
        <v>0</v>
      </c>
      <c r="AE193" s="66">
        <f t="shared" ca="1" si="56"/>
        <v>0</v>
      </c>
      <c r="AF193" s="66">
        <f t="shared" ca="1" si="56"/>
        <v>0</v>
      </c>
      <c r="AG193" s="66">
        <f t="shared" ca="1" si="56"/>
        <v>0</v>
      </c>
      <c r="AH193" s="66">
        <f t="shared" ca="1" si="56"/>
        <v>0</v>
      </c>
      <c r="AI193" s="66">
        <f t="shared" ca="1" si="56"/>
        <v>0</v>
      </c>
      <c r="AJ193" s="66">
        <f t="shared" ca="1" si="56"/>
        <v>0</v>
      </c>
      <c r="AK193" s="66"/>
      <c r="AL193" s="66"/>
      <c r="AM193" s="66"/>
    </row>
    <row r="194" spans="3:39">
      <c r="C194" s="266"/>
      <c r="E194" s="4"/>
      <c r="F194" s="266"/>
      <c r="G194" s="266"/>
      <c r="H194" s="266"/>
      <c r="I194" s="278"/>
      <c r="J194" s="278"/>
      <c r="K194" s="278"/>
      <c r="L194" s="278"/>
      <c r="M194" s="278"/>
      <c r="N194" s="266"/>
      <c r="O194" s="266"/>
      <c r="P194" s="266"/>
      <c r="Q194" s="266"/>
      <c r="R194" s="266"/>
      <c r="S194" s="266"/>
      <c r="T194" s="278"/>
      <c r="U194" s="278"/>
      <c r="V194" s="278"/>
      <c r="W194" s="278"/>
      <c r="X194" s="278"/>
      <c r="Y194" s="278"/>
      <c r="Z194" s="278"/>
      <c r="AA194" s="278"/>
      <c r="AB194" s="278"/>
      <c r="AC194" s="278"/>
      <c r="AD194" s="278"/>
      <c r="AE194" s="278"/>
      <c r="AF194" s="278"/>
      <c r="AG194" s="278"/>
      <c r="AH194" s="278"/>
      <c r="AI194" s="278"/>
      <c r="AJ194" s="278"/>
      <c r="AK194" s="278"/>
      <c r="AL194" s="278"/>
      <c r="AM194" s="278"/>
    </row>
    <row r="195" spans="3:39">
      <c r="C195" s="266"/>
      <c r="E195" s="4"/>
      <c r="F195" s="266"/>
      <c r="G195" s="266"/>
      <c r="H195" s="278"/>
      <c r="I195" s="278"/>
      <c r="J195" s="266"/>
      <c r="K195" s="266"/>
      <c r="L195" s="266"/>
      <c r="M195" s="266"/>
      <c r="N195" s="266"/>
      <c r="O195" s="266"/>
      <c r="P195" s="266"/>
      <c r="Q195" s="266"/>
      <c r="R195" s="266"/>
      <c r="S195" s="266"/>
      <c r="T195" s="266"/>
      <c r="U195" s="266"/>
      <c r="V195" s="266"/>
      <c r="W195" s="266"/>
      <c r="X195" s="266"/>
      <c r="Y195" s="266"/>
      <c r="Z195" s="266"/>
      <c r="AA195" s="266"/>
      <c r="AB195" s="266"/>
      <c r="AC195" s="266"/>
      <c r="AD195" s="266"/>
      <c r="AE195" s="266"/>
      <c r="AF195" s="266"/>
      <c r="AG195" s="266"/>
      <c r="AH195" s="266"/>
      <c r="AI195" s="266"/>
      <c r="AJ195" s="266"/>
      <c r="AK195" s="266"/>
      <c r="AL195" s="266"/>
      <c r="AM195" s="266"/>
    </row>
    <row r="196" spans="3:39">
      <c r="C196" s="266"/>
      <c r="E196" s="4"/>
      <c r="F196" s="266"/>
      <c r="G196" s="266"/>
      <c r="H196" s="266"/>
      <c r="I196" s="266"/>
      <c r="J196" s="266"/>
      <c r="K196" s="266"/>
      <c r="L196" s="266"/>
      <c r="M196" s="266"/>
      <c r="N196" s="266"/>
      <c r="O196" s="266"/>
      <c r="P196" s="266"/>
      <c r="Q196" s="266"/>
      <c r="R196" s="266"/>
      <c r="S196" s="266"/>
      <c r="T196" s="266"/>
      <c r="U196" s="266"/>
      <c r="V196" s="266"/>
      <c r="W196" s="266"/>
      <c r="X196" s="266"/>
      <c r="Y196" s="266"/>
      <c r="Z196" s="266"/>
      <c r="AA196" s="266"/>
      <c r="AB196" s="266"/>
      <c r="AC196" s="266"/>
      <c r="AD196" s="266"/>
      <c r="AE196" s="266"/>
      <c r="AF196" s="266"/>
      <c r="AG196" s="266"/>
      <c r="AH196" s="266"/>
      <c r="AI196" s="266"/>
      <c r="AJ196" s="266"/>
      <c r="AK196" s="266"/>
      <c r="AL196" s="266"/>
      <c r="AM196" s="266"/>
    </row>
    <row r="197" spans="3:39">
      <c r="C197" s="266"/>
      <c r="E197" s="4"/>
      <c r="F197" s="278"/>
      <c r="G197" s="266"/>
      <c r="H197" s="266"/>
      <c r="I197" s="266"/>
      <c r="J197" s="266"/>
      <c r="K197" s="266"/>
      <c r="L197" s="266"/>
      <c r="M197" s="266"/>
      <c r="N197" s="266"/>
      <c r="O197" s="266"/>
      <c r="P197" s="266"/>
      <c r="Q197" s="266"/>
      <c r="R197" s="266"/>
      <c r="S197" s="266"/>
      <c r="T197" s="266"/>
      <c r="U197" s="266"/>
      <c r="V197" s="266"/>
      <c r="W197" s="266"/>
      <c r="X197" s="266"/>
      <c r="Y197" s="266"/>
      <c r="Z197" s="266"/>
      <c r="AA197" s="266"/>
      <c r="AB197" s="266"/>
      <c r="AC197" s="266"/>
      <c r="AD197" s="266"/>
      <c r="AE197" s="266"/>
      <c r="AF197" s="266"/>
      <c r="AG197" s="266"/>
      <c r="AH197" s="266"/>
      <c r="AI197" s="266"/>
      <c r="AJ197" s="266"/>
      <c r="AK197" s="266"/>
      <c r="AL197" s="266"/>
      <c r="AM197" s="266"/>
    </row>
    <row r="198" spans="3:39">
      <c r="C198" s="266"/>
      <c r="E198" s="4"/>
      <c r="F198" s="266"/>
      <c r="G198" s="266"/>
      <c r="H198" s="266"/>
      <c r="I198" s="266"/>
      <c r="J198" s="266"/>
      <c r="K198" s="266"/>
      <c r="L198" s="266"/>
      <c r="M198" s="266"/>
      <c r="N198" s="266"/>
      <c r="O198" s="266"/>
      <c r="P198" s="266"/>
      <c r="Q198" s="266"/>
      <c r="R198" s="266"/>
      <c r="S198" s="266"/>
      <c r="T198" s="266"/>
      <c r="U198" s="266"/>
      <c r="V198" s="266"/>
      <c r="W198" s="266"/>
      <c r="X198" s="266"/>
      <c r="Y198" s="266"/>
      <c r="Z198" s="266"/>
      <c r="AA198" s="266"/>
      <c r="AB198" s="266"/>
      <c r="AC198" s="266"/>
      <c r="AD198" s="266"/>
      <c r="AE198" s="266"/>
      <c r="AF198" s="266"/>
      <c r="AG198" s="266"/>
      <c r="AH198" s="266"/>
      <c r="AI198" s="266"/>
      <c r="AJ198" s="266"/>
      <c r="AK198" s="266"/>
      <c r="AL198" s="266"/>
      <c r="AM198" s="266"/>
    </row>
    <row r="199" spans="3:39">
      <c r="C199" s="266"/>
      <c r="E199" s="4"/>
      <c r="F199" s="482"/>
      <c r="G199" s="266"/>
      <c r="H199" s="266"/>
      <c r="I199" s="266"/>
      <c r="J199" s="266"/>
      <c r="K199" s="266"/>
      <c r="L199" s="266"/>
      <c r="M199" s="266"/>
      <c r="N199" s="266"/>
      <c r="O199" s="266"/>
      <c r="P199" s="266"/>
      <c r="Q199" s="266"/>
      <c r="R199" s="266"/>
      <c r="S199" s="266"/>
      <c r="T199" s="266"/>
      <c r="U199" s="266"/>
      <c r="V199" s="266"/>
      <c r="W199" s="266"/>
      <c r="X199" s="266"/>
      <c r="Y199" s="266"/>
      <c r="Z199" s="266"/>
      <c r="AA199" s="266"/>
      <c r="AB199" s="266"/>
      <c r="AC199" s="266"/>
      <c r="AD199" s="266"/>
      <c r="AE199" s="266"/>
      <c r="AF199" s="266"/>
      <c r="AG199" s="266"/>
      <c r="AH199" s="266"/>
      <c r="AI199" s="266"/>
      <c r="AJ199" s="266"/>
      <c r="AK199" s="266"/>
      <c r="AL199" s="266"/>
      <c r="AM199" s="266"/>
    </row>
    <row r="200" spans="3:39">
      <c r="C200" s="266"/>
      <c r="E200" s="4"/>
      <c r="F200" s="266"/>
      <c r="G200" s="266"/>
      <c r="H200" s="266"/>
      <c r="I200" s="266"/>
      <c r="J200" s="266"/>
      <c r="K200" s="266"/>
      <c r="L200" s="266"/>
      <c r="M200" s="266"/>
      <c r="N200" s="266"/>
      <c r="O200" s="266"/>
      <c r="P200" s="266"/>
      <c r="Q200" s="266"/>
      <c r="R200" s="266"/>
      <c r="S200" s="266"/>
      <c r="T200" s="266"/>
      <c r="U200" s="266"/>
      <c r="V200" s="266"/>
      <c r="W200" s="266"/>
      <c r="X200" s="266"/>
      <c r="Y200" s="266"/>
      <c r="Z200" s="266"/>
      <c r="AA200" s="266"/>
      <c r="AB200" s="266"/>
      <c r="AC200" s="266"/>
      <c r="AD200" s="266"/>
      <c r="AE200" s="266"/>
      <c r="AF200" s="266"/>
      <c r="AG200" s="266"/>
      <c r="AH200" s="266"/>
      <c r="AI200" s="266"/>
      <c r="AJ200" s="266"/>
      <c r="AK200" s="266"/>
      <c r="AL200" s="266"/>
      <c r="AM200" s="266"/>
    </row>
    <row r="201" spans="3:39">
      <c r="C201" s="266"/>
      <c r="E201" s="4"/>
      <c r="F201" s="266"/>
      <c r="G201" s="266"/>
      <c r="H201" s="266"/>
      <c r="I201" s="266"/>
      <c r="J201" s="266"/>
      <c r="K201" s="266"/>
      <c r="L201" s="266"/>
      <c r="M201" s="266"/>
      <c r="N201" s="266"/>
      <c r="O201" s="266"/>
      <c r="P201" s="266"/>
      <c r="Q201" s="266"/>
      <c r="R201" s="266"/>
      <c r="S201" s="266"/>
      <c r="T201" s="266"/>
      <c r="U201" s="266"/>
      <c r="V201" s="266"/>
      <c r="W201" s="266"/>
      <c r="X201" s="266"/>
      <c r="Y201" s="266"/>
      <c r="Z201" s="266"/>
      <c r="AA201" s="266"/>
      <c r="AB201" s="266"/>
      <c r="AC201" s="266"/>
      <c r="AD201" s="266"/>
      <c r="AE201" s="266"/>
      <c r="AF201" s="266"/>
      <c r="AG201" s="266"/>
      <c r="AH201" s="266"/>
      <c r="AI201" s="266"/>
      <c r="AJ201" s="266"/>
      <c r="AK201" s="266"/>
      <c r="AL201" s="266"/>
      <c r="AM201" s="266"/>
    </row>
    <row r="202" spans="3:39">
      <c r="C202" s="266"/>
      <c r="E202" s="4"/>
      <c r="F202" s="266"/>
      <c r="G202" s="266"/>
      <c r="H202" s="266"/>
      <c r="I202" s="266"/>
      <c r="J202" s="266"/>
      <c r="K202" s="266"/>
      <c r="L202" s="266"/>
      <c r="M202" s="266"/>
      <c r="N202" s="266"/>
      <c r="O202" s="266"/>
      <c r="P202" s="266"/>
      <c r="Q202" s="266"/>
      <c r="R202" s="266"/>
      <c r="S202" s="266"/>
      <c r="T202" s="266"/>
      <c r="U202" s="266"/>
      <c r="V202" s="266"/>
      <c r="W202" s="266"/>
      <c r="X202" s="266"/>
      <c r="Y202" s="266"/>
      <c r="Z202" s="266"/>
      <c r="AA202" s="266"/>
      <c r="AB202" s="266"/>
      <c r="AC202" s="266"/>
      <c r="AD202" s="266"/>
      <c r="AE202" s="266"/>
      <c r="AF202" s="266"/>
      <c r="AG202" s="266"/>
      <c r="AH202" s="266"/>
      <c r="AI202" s="266"/>
      <c r="AJ202" s="266"/>
      <c r="AK202" s="266"/>
      <c r="AL202" s="266"/>
      <c r="AM202" s="266"/>
    </row>
    <row r="203" spans="3:39">
      <c r="C203" s="266"/>
      <c r="E203" s="4"/>
      <c r="F203" s="266"/>
      <c r="G203" s="266"/>
      <c r="H203" s="266"/>
      <c r="I203" s="266"/>
      <c r="J203" s="266"/>
      <c r="K203" s="266"/>
      <c r="L203" s="266"/>
      <c r="M203" s="266"/>
      <c r="N203" s="266"/>
      <c r="O203" s="266"/>
      <c r="P203" s="266"/>
      <c r="Q203" s="266"/>
      <c r="R203" s="266"/>
      <c r="S203" s="266"/>
      <c r="T203" s="266"/>
      <c r="U203" s="266"/>
      <c r="V203" s="266"/>
      <c r="W203" s="266"/>
      <c r="X203" s="266"/>
      <c r="Y203" s="266"/>
      <c r="Z203" s="266"/>
      <c r="AA203" s="266"/>
      <c r="AB203" s="266"/>
      <c r="AC203" s="266"/>
      <c r="AD203" s="266"/>
      <c r="AE203" s="266"/>
      <c r="AF203" s="266"/>
      <c r="AG203" s="266"/>
      <c r="AH203" s="266"/>
      <c r="AI203" s="266"/>
      <c r="AJ203" s="266"/>
      <c r="AK203" s="266"/>
      <c r="AL203" s="266"/>
      <c r="AM203" s="266"/>
    </row>
    <row r="204" spans="3:39">
      <c r="C204" s="266"/>
      <c r="E204" s="4"/>
      <c r="F204" s="266"/>
      <c r="G204" s="266"/>
      <c r="H204" s="266"/>
      <c r="I204" s="266"/>
      <c r="J204" s="266"/>
      <c r="K204" s="266"/>
      <c r="L204" s="266"/>
      <c r="M204" s="266"/>
      <c r="N204" s="266"/>
      <c r="O204" s="266"/>
      <c r="P204" s="266"/>
      <c r="Q204" s="266"/>
      <c r="R204" s="266"/>
      <c r="S204" s="266"/>
      <c r="T204" s="266"/>
      <c r="U204" s="266"/>
      <c r="V204" s="266"/>
      <c r="W204" s="266"/>
      <c r="X204" s="266"/>
      <c r="Y204" s="266"/>
      <c r="Z204" s="266"/>
      <c r="AA204" s="266"/>
      <c r="AB204" s="266"/>
      <c r="AC204" s="266"/>
      <c r="AD204" s="266"/>
      <c r="AE204" s="266"/>
      <c r="AF204" s="266"/>
      <c r="AG204" s="266"/>
      <c r="AH204" s="266"/>
      <c r="AI204" s="266"/>
      <c r="AJ204" s="266"/>
      <c r="AK204" s="266"/>
      <c r="AL204" s="266"/>
      <c r="AM204" s="266"/>
    </row>
    <row r="205" spans="3:39">
      <c r="C205" s="266"/>
      <c r="E205" s="4"/>
      <c r="F205" s="266"/>
      <c r="G205" s="266"/>
      <c r="H205" s="266"/>
      <c r="I205" s="266"/>
      <c r="J205" s="266"/>
      <c r="K205" s="266"/>
      <c r="L205" s="266"/>
      <c r="M205" s="266"/>
      <c r="N205" s="266"/>
      <c r="O205" s="266"/>
      <c r="P205" s="266"/>
      <c r="Q205" s="266"/>
      <c r="R205" s="266"/>
      <c r="S205" s="266"/>
      <c r="T205" s="266"/>
      <c r="U205" s="266"/>
      <c r="V205" s="266"/>
      <c r="W205" s="266"/>
      <c r="X205" s="266"/>
      <c r="Y205" s="266"/>
      <c r="Z205" s="266"/>
      <c r="AA205" s="266"/>
      <c r="AB205" s="266"/>
      <c r="AC205" s="266"/>
      <c r="AD205" s="266"/>
      <c r="AE205" s="266"/>
      <c r="AF205" s="266"/>
      <c r="AG205" s="266"/>
      <c r="AH205" s="266"/>
      <c r="AI205" s="266"/>
      <c r="AJ205" s="266"/>
      <c r="AK205" s="266"/>
      <c r="AL205" s="266"/>
      <c r="AM205" s="266"/>
    </row>
    <row r="206" spans="3:39">
      <c r="C206" s="266"/>
      <c r="E206" s="4"/>
      <c r="F206" s="266"/>
      <c r="G206" s="266"/>
      <c r="H206" s="266"/>
      <c r="I206" s="266"/>
      <c r="J206" s="266"/>
      <c r="K206" s="266"/>
      <c r="L206" s="266"/>
      <c r="M206" s="266"/>
      <c r="N206" s="266"/>
      <c r="O206" s="266"/>
      <c r="P206" s="266"/>
      <c r="Q206" s="266"/>
      <c r="R206" s="266"/>
      <c r="S206" s="266"/>
      <c r="T206" s="266"/>
      <c r="U206" s="266"/>
      <c r="V206" s="266"/>
      <c r="W206" s="266"/>
      <c r="X206" s="266"/>
      <c r="Y206" s="266"/>
      <c r="Z206" s="266"/>
      <c r="AA206" s="266"/>
      <c r="AB206" s="266"/>
      <c r="AC206" s="266"/>
      <c r="AD206" s="266"/>
      <c r="AE206" s="266"/>
      <c r="AF206" s="266"/>
      <c r="AG206" s="266"/>
      <c r="AH206" s="266"/>
      <c r="AI206" s="266"/>
      <c r="AJ206" s="266"/>
      <c r="AK206" s="266"/>
      <c r="AL206" s="266"/>
      <c r="AM206" s="266"/>
    </row>
    <row r="207" spans="3:39">
      <c r="C207" s="266"/>
      <c r="E207" s="4"/>
      <c r="F207" s="266"/>
      <c r="G207" s="266"/>
      <c r="H207" s="266"/>
      <c r="I207" s="266"/>
      <c r="J207" s="266"/>
      <c r="K207" s="266"/>
      <c r="L207" s="266"/>
      <c r="M207" s="266"/>
      <c r="N207" s="266"/>
      <c r="O207" s="266"/>
      <c r="P207" s="266"/>
      <c r="Q207" s="266"/>
      <c r="R207" s="266"/>
      <c r="S207" s="266"/>
      <c r="T207" s="266"/>
      <c r="U207" s="266"/>
      <c r="V207" s="266"/>
      <c r="W207" s="266"/>
      <c r="X207" s="266"/>
      <c r="Y207" s="266"/>
      <c r="Z207" s="266"/>
      <c r="AA207" s="266"/>
      <c r="AB207" s="266"/>
      <c r="AC207" s="266"/>
      <c r="AD207" s="266"/>
      <c r="AE207" s="266"/>
      <c r="AF207" s="266"/>
      <c r="AG207" s="266"/>
      <c r="AH207" s="266"/>
      <c r="AI207" s="266"/>
      <c r="AJ207" s="266"/>
      <c r="AK207" s="266"/>
      <c r="AL207" s="266"/>
      <c r="AM207" s="266"/>
    </row>
    <row r="208" spans="3:39">
      <c r="C208" s="266"/>
      <c r="E208" s="4"/>
      <c r="F208" s="266"/>
      <c r="G208" s="266"/>
      <c r="H208" s="266"/>
      <c r="I208" s="266"/>
      <c r="J208" s="266"/>
      <c r="K208" s="266"/>
      <c r="L208" s="266"/>
      <c r="M208" s="266"/>
      <c r="N208" s="266"/>
      <c r="O208" s="266"/>
      <c r="P208" s="266"/>
      <c r="Q208" s="266"/>
      <c r="R208" s="266"/>
      <c r="S208" s="266"/>
      <c r="T208" s="266"/>
      <c r="U208" s="266"/>
      <c r="V208" s="266"/>
      <c r="W208" s="266"/>
      <c r="X208" s="266"/>
      <c r="Y208" s="266"/>
      <c r="Z208" s="266"/>
      <c r="AA208" s="266"/>
      <c r="AB208" s="266"/>
      <c r="AC208" s="266"/>
      <c r="AD208" s="266"/>
      <c r="AE208" s="266"/>
      <c r="AF208" s="266"/>
      <c r="AG208" s="266"/>
      <c r="AH208" s="266"/>
      <c r="AI208" s="266"/>
      <c r="AJ208" s="266"/>
      <c r="AK208" s="266"/>
      <c r="AL208" s="266"/>
      <c r="AM208" s="266"/>
    </row>
    <row r="209" spans="3:39">
      <c r="C209" s="266"/>
      <c r="E209" s="4"/>
      <c r="F209" s="266"/>
      <c r="G209" s="266"/>
      <c r="H209" s="266"/>
      <c r="I209" s="266"/>
      <c r="J209" s="266"/>
      <c r="K209" s="266"/>
      <c r="L209" s="266"/>
      <c r="M209" s="266"/>
      <c r="N209" s="266"/>
      <c r="O209" s="266"/>
      <c r="P209" s="266"/>
      <c r="Q209" s="266"/>
      <c r="R209" s="266"/>
      <c r="S209" s="266"/>
      <c r="T209" s="266"/>
      <c r="U209" s="266"/>
      <c r="V209" s="266"/>
      <c r="W209" s="266"/>
      <c r="X209" s="266"/>
      <c r="Y209" s="266"/>
      <c r="Z209" s="266"/>
      <c r="AA209" s="266"/>
      <c r="AB209" s="266"/>
      <c r="AC209" s="266"/>
      <c r="AD209" s="266"/>
      <c r="AE209" s="266"/>
      <c r="AF209" s="266"/>
      <c r="AG209" s="266"/>
      <c r="AH209" s="266"/>
      <c r="AI209" s="266"/>
      <c r="AJ209" s="266"/>
      <c r="AK209" s="266"/>
      <c r="AL209" s="266"/>
      <c r="AM209" s="266"/>
    </row>
    <row r="210" spans="3:39">
      <c r="C210" s="266"/>
      <c r="E210" s="4"/>
      <c r="F210" s="266"/>
      <c r="G210" s="266"/>
      <c r="H210" s="266"/>
      <c r="I210" s="266"/>
      <c r="J210" s="266"/>
      <c r="K210" s="266"/>
      <c r="L210" s="266"/>
      <c r="M210" s="266"/>
      <c r="N210" s="266"/>
      <c r="O210" s="266"/>
      <c r="P210" s="266"/>
      <c r="Q210" s="266"/>
      <c r="R210" s="266"/>
      <c r="S210" s="266"/>
      <c r="T210" s="266"/>
      <c r="U210" s="266"/>
      <c r="V210" s="266"/>
      <c r="W210" s="266"/>
      <c r="X210" s="266"/>
      <c r="Y210" s="266"/>
      <c r="Z210" s="266"/>
      <c r="AA210" s="266"/>
      <c r="AB210" s="266"/>
      <c r="AC210" s="266"/>
      <c r="AD210" s="266"/>
      <c r="AE210" s="266"/>
      <c r="AF210" s="266"/>
      <c r="AG210" s="266"/>
      <c r="AH210" s="266"/>
      <c r="AI210" s="266"/>
      <c r="AJ210" s="266"/>
      <c r="AK210" s="266"/>
      <c r="AL210" s="266"/>
      <c r="AM210" s="266"/>
    </row>
    <row r="211" spans="3:39">
      <c r="C211" s="266"/>
      <c r="E211" s="4"/>
      <c r="F211" s="266"/>
      <c r="G211" s="266"/>
      <c r="H211" s="266"/>
      <c r="I211" s="266"/>
      <c r="J211" s="266"/>
      <c r="K211" s="266"/>
      <c r="L211" s="266"/>
      <c r="M211" s="266"/>
      <c r="N211" s="266"/>
      <c r="O211" s="266"/>
      <c r="P211" s="266"/>
      <c r="Q211" s="266"/>
      <c r="R211" s="266"/>
      <c r="S211" s="266"/>
      <c r="T211" s="266"/>
      <c r="U211" s="266"/>
      <c r="V211" s="266"/>
      <c r="W211" s="266"/>
      <c r="X211" s="266"/>
      <c r="Y211" s="266"/>
      <c r="Z211" s="266"/>
      <c r="AA211" s="266"/>
      <c r="AB211" s="266"/>
      <c r="AC211" s="266"/>
      <c r="AD211" s="266"/>
      <c r="AE211" s="266"/>
      <c r="AF211" s="266"/>
      <c r="AG211" s="266"/>
      <c r="AH211" s="266"/>
      <c r="AI211" s="266"/>
      <c r="AJ211" s="266"/>
      <c r="AK211" s="266"/>
      <c r="AL211" s="266"/>
      <c r="AM211" s="266"/>
    </row>
    <row r="212" spans="3:39">
      <c r="C212" s="266"/>
      <c r="E212" s="4"/>
      <c r="F212" s="266"/>
      <c r="G212" s="266"/>
      <c r="H212" s="266"/>
      <c r="I212" s="266"/>
      <c r="J212" s="266"/>
      <c r="K212" s="266"/>
      <c r="L212" s="266"/>
      <c r="M212" s="266"/>
      <c r="N212" s="266"/>
      <c r="O212" s="266"/>
      <c r="P212" s="266"/>
      <c r="Q212" s="266"/>
      <c r="R212" s="266"/>
      <c r="S212" s="266"/>
      <c r="T212" s="266"/>
      <c r="U212" s="266"/>
      <c r="V212" s="266"/>
      <c r="W212" s="266"/>
      <c r="X212" s="266"/>
      <c r="Y212" s="266"/>
      <c r="Z212" s="266"/>
      <c r="AA212" s="266"/>
      <c r="AB212" s="266"/>
      <c r="AC212" s="266"/>
      <c r="AD212" s="266"/>
      <c r="AE212" s="266"/>
      <c r="AF212" s="266"/>
      <c r="AG212" s="266"/>
      <c r="AH212" s="266"/>
      <c r="AI212" s="266"/>
      <c r="AJ212" s="266"/>
      <c r="AK212" s="266"/>
      <c r="AL212" s="266"/>
      <c r="AM212" s="266"/>
    </row>
    <row r="213" spans="3:39">
      <c r="C213" s="266"/>
      <c r="E213" s="4"/>
      <c r="F213" s="266"/>
      <c r="G213" s="266"/>
      <c r="H213" s="266"/>
      <c r="I213" s="266"/>
      <c r="J213" s="266"/>
      <c r="K213" s="266"/>
      <c r="L213" s="266"/>
      <c r="M213" s="266"/>
      <c r="N213" s="266"/>
      <c r="O213" s="266"/>
      <c r="P213" s="266"/>
      <c r="Q213" s="266"/>
      <c r="R213" s="266"/>
      <c r="S213" s="266"/>
      <c r="T213" s="266"/>
      <c r="U213" s="266"/>
      <c r="V213" s="266"/>
      <c r="W213" s="266"/>
      <c r="X213" s="266"/>
      <c r="Y213" s="266"/>
      <c r="Z213" s="266"/>
      <c r="AA213" s="266"/>
      <c r="AB213" s="266"/>
      <c r="AC213" s="266"/>
      <c r="AD213" s="266"/>
      <c r="AE213" s="266"/>
      <c r="AF213" s="266"/>
      <c r="AG213" s="266"/>
      <c r="AH213" s="266"/>
      <c r="AI213" s="266"/>
      <c r="AJ213" s="266"/>
      <c r="AK213" s="266"/>
      <c r="AL213" s="266"/>
      <c r="AM213" s="266"/>
    </row>
    <row r="214" spans="3:39">
      <c r="C214" s="266"/>
      <c r="E214" s="4"/>
      <c r="F214" s="266"/>
      <c r="G214" s="266"/>
      <c r="H214" s="266"/>
      <c r="I214" s="266"/>
      <c r="J214" s="266"/>
      <c r="K214" s="266"/>
      <c r="L214" s="266"/>
      <c r="M214" s="266"/>
      <c r="N214" s="266"/>
      <c r="O214" s="266"/>
      <c r="P214" s="266"/>
      <c r="Q214" s="266"/>
      <c r="R214" s="266"/>
      <c r="S214" s="266"/>
      <c r="T214" s="266"/>
      <c r="U214" s="266"/>
      <c r="V214" s="266"/>
      <c r="W214" s="266"/>
      <c r="X214" s="266"/>
      <c r="Y214" s="266"/>
      <c r="Z214" s="266"/>
      <c r="AA214" s="266"/>
      <c r="AB214" s="266"/>
      <c r="AC214" s="266"/>
      <c r="AD214" s="266"/>
      <c r="AE214" s="266"/>
      <c r="AF214" s="266"/>
      <c r="AG214" s="266"/>
      <c r="AH214" s="266"/>
      <c r="AI214" s="266"/>
      <c r="AJ214" s="266"/>
      <c r="AK214" s="266"/>
      <c r="AL214" s="266"/>
      <c r="AM214" s="266"/>
    </row>
    <row r="215" spans="3:39">
      <c r="C215" s="266"/>
      <c r="E215" s="4"/>
      <c r="F215" s="266"/>
      <c r="G215" s="266"/>
      <c r="H215" s="266"/>
      <c r="I215" s="266"/>
      <c r="J215" s="266"/>
      <c r="K215" s="266"/>
      <c r="L215" s="266"/>
      <c r="M215" s="266"/>
      <c r="N215" s="266"/>
      <c r="O215" s="266"/>
      <c r="P215" s="266"/>
      <c r="Q215" s="266"/>
      <c r="R215" s="266"/>
      <c r="S215" s="266"/>
      <c r="T215" s="266"/>
      <c r="U215" s="266"/>
      <c r="V215" s="266"/>
      <c r="W215" s="266"/>
      <c r="X215" s="266"/>
      <c r="Y215" s="266"/>
      <c r="Z215" s="266"/>
      <c r="AA215" s="266"/>
      <c r="AB215" s="266"/>
      <c r="AC215" s="266"/>
      <c r="AD215" s="266"/>
      <c r="AE215" s="266"/>
      <c r="AF215" s="266"/>
      <c r="AG215" s="266"/>
      <c r="AH215" s="266"/>
      <c r="AI215" s="266"/>
      <c r="AJ215" s="266"/>
      <c r="AK215" s="266"/>
      <c r="AL215" s="266"/>
      <c r="AM215" s="266"/>
    </row>
    <row r="216" spans="3:39">
      <c r="C216" s="266"/>
      <c r="E216" s="4"/>
      <c r="F216" s="266"/>
      <c r="G216" s="266"/>
      <c r="H216" s="266"/>
      <c r="I216" s="266"/>
      <c r="J216" s="266"/>
      <c r="K216" s="266"/>
      <c r="L216" s="266"/>
      <c r="M216" s="266"/>
      <c r="N216" s="266"/>
      <c r="O216" s="266"/>
      <c r="P216" s="266"/>
      <c r="Q216" s="266"/>
      <c r="R216" s="266"/>
      <c r="S216" s="266"/>
      <c r="T216" s="266"/>
      <c r="U216" s="266"/>
      <c r="V216" s="266"/>
      <c r="W216" s="266"/>
      <c r="X216" s="266"/>
      <c r="Y216" s="266"/>
      <c r="Z216" s="266"/>
      <c r="AA216" s="266"/>
      <c r="AB216" s="266"/>
      <c r="AC216" s="266"/>
      <c r="AD216" s="266"/>
      <c r="AE216" s="266"/>
      <c r="AF216" s="266"/>
      <c r="AG216" s="266"/>
      <c r="AH216" s="266"/>
      <c r="AI216" s="266"/>
      <c r="AJ216" s="266"/>
      <c r="AK216" s="266"/>
      <c r="AL216" s="266"/>
      <c r="AM216" s="266"/>
    </row>
    <row r="217" spans="3:39">
      <c r="C217" s="266"/>
      <c r="E217" s="4"/>
      <c r="F217" s="266"/>
      <c r="G217" s="266"/>
      <c r="H217" s="266"/>
      <c r="I217" s="266"/>
      <c r="J217" s="266"/>
      <c r="K217" s="266"/>
      <c r="L217" s="266"/>
      <c r="M217" s="266"/>
      <c r="N217" s="266"/>
      <c r="O217" s="266"/>
      <c r="P217" s="266"/>
      <c r="Q217" s="266"/>
      <c r="R217" s="266"/>
      <c r="S217" s="266"/>
      <c r="T217" s="266"/>
      <c r="U217" s="266"/>
      <c r="V217" s="266"/>
      <c r="W217" s="266"/>
      <c r="X217" s="266"/>
      <c r="Y217" s="266"/>
      <c r="Z217" s="266"/>
      <c r="AA217" s="266"/>
      <c r="AB217" s="266"/>
      <c r="AC217" s="266"/>
      <c r="AD217" s="266"/>
      <c r="AE217" s="266"/>
      <c r="AF217" s="266"/>
      <c r="AG217" s="266"/>
      <c r="AH217" s="266"/>
      <c r="AI217" s="266"/>
      <c r="AJ217" s="266"/>
      <c r="AK217" s="266"/>
      <c r="AL217" s="266"/>
      <c r="AM217" s="266"/>
    </row>
    <row r="218" spans="3:39">
      <c r="C218" s="266"/>
      <c r="E218" s="4"/>
      <c r="F218" s="266"/>
      <c r="G218" s="266"/>
      <c r="H218" s="266"/>
      <c r="I218" s="266"/>
      <c r="J218" s="266"/>
      <c r="K218" s="266"/>
      <c r="L218" s="266"/>
      <c r="M218" s="266"/>
      <c r="N218" s="266"/>
      <c r="O218" s="266"/>
      <c r="P218" s="266"/>
      <c r="Q218" s="266"/>
      <c r="R218" s="266"/>
      <c r="S218" s="266"/>
      <c r="T218" s="266"/>
      <c r="U218" s="266"/>
      <c r="V218" s="266"/>
      <c r="W218" s="266"/>
      <c r="X218" s="266"/>
      <c r="Y218" s="266"/>
      <c r="Z218" s="266"/>
      <c r="AA218" s="266"/>
      <c r="AB218" s="266"/>
      <c r="AC218" s="266"/>
      <c r="AD218" s="266"/>
      <c r="AE218" s="266"/>
      <c r="AF218" s="266"/>
      <c r="AG218" s="266"/>
      <c r="AH218" s="266"/>
      <c r="AI218" s="266"/>
      <c r="AJ218" s="266"/>
      <c r="AK218" s="266"/>
      <c r="AL218" s="266"/>
      <c r="AM218" s="266"/>
    </row>
    <row r="219" spans="3:39">
      <c r="C219" s="266"/>
      <c r="E219" s="4"/>
      <c r="F219" s="266"/>
      <c r="G219" s="266"/>
      <c r="H219" s="266"/>
      <c r="I219" s="266"/>
      <c r="J219" s="266"/>
      <c r="K219" s="266"/>
      <c r="L219" s="266"/>
      <c r="M219" s="266"/>
      <c r="N219" s="266"/>
      <c r="O219" s="266"/>
      <c r="P219" s="266"/>
      <c r="Q219" s="266"/>
      <c r="R219" s="266"/>
      <c r="S219" s="266"/>
      <c r="T219" s="266"/>
      <c r="U219" s="266"/>
      <c r="V219" s="266"/>
      <c r="W219" s="266"/>
      <c r="X219" s="266"/>
      <c r="Y219" s="266"/>
      <c r="Z219" s="266"/>
      <c r="AA219" s="266"/>
      <c r="AB219" s="266"/>
      <c r="AC219" s="266"/>
      <c r="AD219" s="266"/>
      <c r="AE219" s="266"/>
      <c r="AF219" s="266"/>
      <c r="AG219" s="266"/>
      <c r="AH219" s="266"/>
      <c r="AI219" s="266"/>
      <c r="AJ219" s="266"/>
      <c r="AK219" s="266"/>
      <c r="AL219" s="266"/>
      <c r="AM219" s="266"/>
    </row>
    <row r="220" spans="3:39">
      <c r="C220" s="266"/>
      <c r="E220" s="4"/>
      <c r="F220" s="266"/>
      <c r="G220" s="266"/>
      <c r="H220" s="266"/>
      <c r="I220" s="266"/>
      <c r="J220" s="266"/>
      <c r="K220" s="266"/>
      <c r="L220" s="266"/>
      <c r="M220" s="266"/>
      <c r="N220" s="266"/>
      <c r="O220" s="266"/>
      <c r="P220" s="266"/>
      <c r="Q220" s="266"/>
      <c r="R220" s="266"/>
      <c r="S220" s="266"/>
      <c r="T220" s="266"/>
      <c r="U220" s="266"/>
      <c r="V220" s="266"/>
      <c r="W220" s="266"/>
      <c r="X220" s="266"/>
      <c r="Y220" s="266"/>
      <c r="Z220" s="266"/>
      <c r="AA220" s="266"/>
      <c r="AB220" s="266"/>
      <c r="AC220" s="266"/>
      <c r="AD220" s="266"/>
      <c r="AE220" s="266"/>
      <c r="AF220" s="266"/>
      <c r="AG220" s="266"/>
      <c r="AH220" s="266"/>
      <c r="AI220" s="266"/>
      <c r="AJ220" s="266"/>
      <c r="AK220" s="266"/>
      <c r="AL220" s="266"/>
      <c r="AM220" s="266"/>
    </row>
    <row r="221" spans="3:39">
      <c r="C221" s="266"/>
      <c r="E221" s="4"/>
      <c r="F221" s="266"/>
      <c r="G221" s="266"/>
      <c r="H221" s="266"/>
      <c r="I221" s="266"/>
      <c r="J221" s="266"/>
      <c r="K221" s="266"/>
      <c r="L221" s="266"/>
      <c r="M221" s="266"/>
      <c r="N221" s="266"/>
      <c r="O221" s="266"/>
      <c r="P221" s="266"/>
      <c r="Q221" s="266"/>
      <c r="R221" s="266"/>
      <c r="S221" s="266"/>
      <c r="T221" s="266"/>
      <c r="U221" s="266"/>
      <c r="V221" s="266"/>
      <c r="W221" s="266"/>
      <c r="X221" s="266"/>
      <c r="Y221" s="266"/>
      <c r="Z221" s="266"/>
      <c r="AA221" s="266"/>
      <c r="AB221" s="266"/>
      <c r="AC221" s="266"/>
      <c r="AD221" s="266"/>
      <c r="AE221" s="266"/>
      <c r="AF221" s="266"/>
      <c r="AG221" s="266"/>
      <c r="AH221" s="266"/>
      <c r="AI221" s="266"/>
      <c r="AJ221" s="266"/>
      <c r="AK221" s="266"/>
      <c r="AL221" s="266"/>
      <c r="AM221" s="266"/>
    </row>
    <row r="222" spans="3:39">
      <c r="C222" s="266"/>
      <c r="E222" s="4"/>
      <c r="F222" s="266"/>
      <c r="G222" s="266"/>
      <c r="H222" s="266"/>
      <c r="I222" s="266"/>
      <c r="J222" s="266"/>
      <c r="K222" s="266"/>
      <c r="L222" s="266"/>
      <c r="M222" s="266"/>
      <c r="N222" s="266"/>
      <c r="O222" s="266"/>
      <c r="P222" s="266"/>
      <c r="Q222" s="266"/>
      <c r="R222" s="266"/>
      <c r="S222" s="266"/>
      <c r="T222" s="266"/>
      <c r="U222" s="266"/>
      <c r="V222" s="266"/>
      <c r="W222" s="266"/>
      <c r="X222" s="266"/>
      <c r="Y222" s="266"/>
      <c r="Z222" s="266"/>
      <c r="AA222" s="266"/>
      <c r="AB222" s="266"/>
      <c r="AC222" s="266"/>
      <c r="AD222" s="266"/>
      <c r="AE222" s="266"/>
      <c r="AF222" s="266"/>
      <c r="AG222" s="266"/>
      <c r="AH222" s="266"/>
      <c r="AI222" s="266"/>
      <c r="AJ222" s="266"/>
      <c r="AK222" s="266"/>
      <c r="AL222" s="266"/>
      <c r="AM222" s="266"/>
    </row>
    <row r="223" spans="3:39">
      <c r="C223" s="266"/>
      <c r="E223" s="4"/>
      <c r="F223" s="266"/>
      <c r="G223" s="266"/>
      <c r="H223" s="266"/>
      <c r="I223" s="266"/>
      <c r="J223" s="266"/>
      <c r="K223" s="266"/>
      <c r="L223" s="266"/>
      <c r="M223" s="266"/>
      <c r="N223" s="266"/>
      <c r="O223" s="266"/>
      <c r="P223" s="266"/>
      <c r="Q223" s="266"/>
      <c r="R223" s="266"/>
      <c r="S223" s="266"/>
      <c r="T223" s="266"/>
      <c r="U223" s="266"/>
      <c r="V223" s="266"/>
      <c r="W223" s="266"/>
      <c r="X223" s="266"/>
      <c r="Y223" s="266"/>
      <c r="Z223" s="266"/>
      <c r="AA223" s="266"/>
      <c r="AB223" s="266"/>
      <c r="AC223" s="266"/>
      <c r="AD223" s="266"/>
      <c r="AE223" s="266"/>
      <c r="AF223" s="266"/>
      <c r="AG223" s="266"/>
      <c r="AH223" s="266"/>
      <c r="AI223" s="266"/>
      <c r="AJ223" s="266"/>
      <c r="AK223" s="266"/>
      <c r="AL223" s="266"/>
      <c r="AM223" s="266"/>
    </row>
    <row r="224" spans="3:39">
      <c r="C224" s="266"/>
      <c r="E224" s="4"/>
      <c r="F224" s="266"/>
      <c r="G224" s="266"/>
      <c r="H224" s="266"/>
      <c r="I224" s="266"/>
      <c r="J224" s="266"/>
      <c r="K224" s="266"/>
      <c r="L224" s="266"/>
      <c r="M224" s="266"/>
      <c r="N224" s="266"/>
      <c r="O224" s="266"/>
      <c r="P224" s="266"/>
      <c r="Q224" s="266"/>
      <c r="R224" s="266"/>
      <c r="S224" s="266"/>
      <c r="T224" s="266"/>
      <c r="U224" s="266"/>
      <c r="V224" s="266"/>
      <c r="W224" s="266"/>
      <c r="X224" s="266"/>
      <c r="Y224" s="266"/>
      <c r="Z224" s="266"/>
      <c r="AA224" s="266"/>
      <c r="AB224" s="266"/>
      <c r="AC224" s="266"/>
      <c r="AD224" s="266"/>
      <c r="AE224" s="266"/>
      <c r="AF224" s="266"/>
      <c r="AG224" s="266"/>
      <c r="AH224" s="266"/>
      <c r="AI224" s="266"/>
      <c r="AJ224" s="266"/>
      <c r="AK224" s="266"/>
      <c r="AL224" s="266"/>
      <c r="AM224" s="266"/>
    </row>
    <row r="225" spans="5:5">
      <c r="E225" s="4"/>
    </row>
    <row r="226" spans="5:5">
      <c r="E226" s="4"/>
    </row>
    <row r="227" spans="5:5">
      <c r="E227" s="4"/>
    </row>
    <row r="228" spans="5:5">
      <c r="E228" s="4"/>
    </row>
    <row r="229" spans="5:5">
      <c r="E229" s="4"/>
    </row>
    <row r="230" spans="5:5">
      <c r="E230" s="4"/>
    </row>
    <row r="231" spans="5:5">
      <c r="E231" s="4"/>
    </row>
    <row r="232" spans="5:5">
      <c r="E232" s="4"/>
    </row>
    <row r="233" spans="5:5">
      <c r="E233" s="4"/>
    </row>
    <row r="234" spans="5:5">
      <c r="E234" s="4"/>
    </row>
    <row r="235" spans="5:5">
      <c r="E235" s="4"/>
    </row>
    <row r="236" spans="5:5">
      <c r="E236" s="4"/>
    </row>
    <row r="237" spans="5:5">
      <c r="E237" s="4"/>
    </row>
    <row r="238" spans="5:5">
      <c r="E238" s="4"/>
    </row>
    <row r="239" spans="5:5">
      <c r="E239" s="4"/>
    </row>
    <row r="240" spans="5:5">
      <c r="E240" s="4"/>
    </row>
    <row r="241" spans="5:5">
      <c r="E241" s="4"/>
    </row>
    <row r="242" spans="5:5">
      <c r="E242" s="4"/>
    </row>
    <row r="243" spans="5:5">
      <c r="E243" s="4"/>
    </row>
    <row r="244" spans="5:5">
      <c r="E244" s="4"/>
    </row>
    <row r="245" spans="5:5">
      <c r="E245" s="4"/>
    </row>
  </sheetData>
  <conditionalFormatting sqref="F89:AM89">
    <cfRule type="cellIs" dxfId="116" priority="13" operator="equal">
      <formula>1</formula>
    </cfRule>
  </conditionalFormatting>
  <pageMargins left="0.7" right="0.7" top="0.75" bottom="0.75" header="0.3" footer="0.3"/>
  <pageSetup paperSize="9" scale="25" orientation="landscape" r:id="rId1"/>
  <rowBreaks count="1" manualBreakCount="1">
    <brk id="108" max="3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4273" r:id="rId4" name="Drop Down 1">
              <controlPr defaultSize="0" autoLine="0" autoPict="0">
                <anchor moveWithCells="1">
                  <from>
                    <xdr:col>2</xdr:col>
                    <xdr:colOff>22860</xdr:colOff>
                    <xdr:row>1</xdr:row>
                    <xdr:rowOff>60960</xdr:rowOff>
                  </from>
                  <to>
                    <xdr:col>2</xdr:col>
                    <xdr:colOff>1173480</xdr:colOff>
                    <xdr:row>2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274" r:id="rId5" name="Drop Down 2">
              <controlPr defaultSize="0" autoLine="0" autoPict="0">
                <anchor moveWithCells="1">
                  <from>
                    <xdr:col>2</xdr:col>
                    <xdr:colOff>1295400</xdr:colOff>
                    <xdr:row>1</xdr:row>
                    <xdr:rowOff>38100</xdr:rowOff>
                  </from>
                  <to>
                    <xdr:col>2</xdr:col>
                    <xdr:colOff>2354580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428B8F1E-8B5E-49CE-970F-0BD3AD08433E}">
            <xm:f>Flags!$C$89</xm:f>
            <x14:dxf>
              <fill>
                <patternFill patternType="mediumGray">
                  <fgColor theme="8" tint="-0.24994659260841701"/>
                </patternFill>
              </fill>
            </x14:dxf>
          </x14:cfRule>
          <x14:cfRule type="cellIs" priority="2" operator="equal" id="{93C25A07-CCEE-4568-8039-7951418FC9C5}">
            <xm:f>Flags!$C$88</xm:f>
            <x14:dxf>
              <fill>
                <patternFill patternType="mediumGray">
                  <fgColor theme="9" tint="0.59996337778862885"/>
                </patternFill>
              </fill>
            </x14:dxf>
          </x14:cfRule>
          <x14:cfRule type="cellIs" priority="3" operator="equal" id="{C8A99FB0-1A8E-4CBF-AEEE-F34866FBD909}">
            <xm:f>Flags!$C$87</xm:f>
            <x14:dxf>
              <fill>
                <patternFill patternType="mediumGray">
                  <fgColor theme="5" tint="0.39994506668294322"/>
                </patternFill>
              </fill>
            </x14:dxf>
          </x14:cfRule>
          <x14:cfRule type="cellIs" priority="4" operator="equal" id="{02008844-A13E-4CE6-8225-69B898D44229}">
            <xm:f>Flags!$C$86</xm:f>
            <x14:dxf>
              <fill>
                <patternFill patternType="mediumGray">
                  <fgColor rgb="FF0070C0"/>
                </patternFill>
              </fill>
            </x14:dxf>
          </x14:cfRule>
          <x14:cfRule type="cellIs" priority="5" operator="equal" id="{F44721C3-51E5-4D56-B1E8-1E937825461C}">
            <xm:f>Flags!$C$85</xm:f>
            <x14:dxf>
              <fill>
                <patternFill patternType="mediumGray">
                  <fgColor theme="4" tint="0.39994506668294322"/>
                </patternFill>
              </fill>
            </x14:dxf>
          </x14:cfRule>
          <x14:cfRule type="cellIs" priority="130" operator="equal" id="{B5CBB80A-5468-4C1D-9CCF-08302DB29199}">
            <xm:f>Flags!#REF!</xm:f>
            <x14:dxf>
              <fill>
                <patternFill patternType="lightGray">
                  <bgColor theme="3" tint="0.79998168889431442"/>
                </patternFill>
              </fill>
            </x14:dxf>
          </x14:cfRule>
          <x14:cfRule type="cellIs" priority="132" operator="equal" id="{6EC91C9E-BF05-4E32-8E13-65EB1E7CF92F}">
            <xm:f>Flags!#REF!</xm:f>
            <x14:dxf>
              <fill>
                <patternFill patternType="mediumGray">
                  <fgColor theme="8" tint="-0.24994659260841701"/>
                </patternFill>
              </fill>
            </x14:dxf>
          </x14:cfRule>
          <x14:cfRule type="cellIs" priority="133" operator="equal" id="{0579CFFD-E5EF-4FBC-B4F8-E01CFEFCB968}">
            <xm:f>Flags!$C$88</xm:f>
            <x14:dxf>
              <fill>
                <patternFill patternType="mediumGray">
                  <fgColor theme="9" tint="0.59996337778862885"/>
                </patternFill>
              </fill>
            </x14:dxf>
          </x14:cfRule>
          <x14:cfRule type="cellIs" priority="134" operator="equal" id="{5AD5EDC6-C139-48E0-BB84-FAB5015846AB}">
            <xm:f>Flags!$C$87</xm:f>
            <x14:dxf>
              <fill>
                <patternFill patternType="mediumGray">
                  <fgColor theme="5" tint="0.39994506668294322"/>
                </patternFill>
              </fill>
            </x14:dxf>
          </x14:cfRule>
          <x14:cfRule type="cellIs" priority="135" operator="equal" id="{9EB07364-59EF-4E66-B4E8-FC103F5232B0}">
            <xm:f>Flags!$C$86</xm:f>
            <x14:dxf>
              <fill>
                <patternFill patternType="mediumGray">
                  <fgColor rgb="FF0070C0"/>
                </patternFill>
              </fill>
            </x14:dxf>
          </x14:cfRule>
          <x14:cfRule type="cellIs" priority="136" operator="equal" id="{FD7DC2BA-750B-4FA2-A691-9CEB55AB1340}">
            <xm:f>Flags!$C$85</xm:f>
            <x14:dxf>
              <fill>
                <patternFill patternType="mediumGray">
                  <fgColor theme="4" tint="0.39994506668294322"/>
                </patternFill>
              </fill>
            </x14:dxf>
          </x14:cfRule>
          <xm:sqref>G9:AM9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66510-0A5B-4719-9FD6-ABACF1F0AFEF}">
  <sheetPr codeName="Sheet7">
    <tabColor rgb="FF00338D"/>
  </sheetPr>
  <dimension ref="A1:AP27"/>
  <sheetViews>
    <sheetView showGridLines="0" view="pageBreakPreview" zoomScale="130" zoomScaleNormal="80" zoomScaleSheetLayoutView="130" workbookViewId="0">
      <pane ySplit="3" topLeftCell="A4" activePane="bottomLeft" state="frozen"/>
      <selection activeCell="AM95" sqref="AM95"/>
      <selection pane="bottomLeft" activeCell="AM95" sqref="AM95"/>
    </sheetView>
  </sheetViews>
  <sheetFormatPr defaultColWidth="0" defaultRowHeight="15.6" zeroHeight="1"/>
  <cols>
    <col min="1" max="1" width="8.6640625" style="1" customWidth="1"/>
    <col min="2" max="2" width="27.5546875" style="1" bestFit="1" customWidth="1"/>
    <col min="3" max="3" width="6.44140625" style="1" bestFit="1" customWidth="1"/>
    <col min="4" max="4" width="11.33203125" style="1" bestFit="1" customWidth="1"/>
    <col min="5" max="5" width="12.5546875" style="1" bestFit="1" customWidth="1"/>
    <col min="6" max="33" width="10.33203125" style="1" bestFit="1" customWidth="1"/>
    <col min="34" max="34" width="10.33203125" style="1" customWidth="1"/>
    <col min="35" max="35" width="8.6640625" style="1" customWidth="1"/>
    <col min="36" max="37" width="8.6640625" style="1" hidden="1" customWidth="1"/>
    <col min="38" max="42" width="0" style="1" hidden="1" customWidth="1"/>
    <col min="43" max="16384" width="8.6640625" style="1" hidden="1"/>
  </cols>
  <sheetData>
    <row r="1" spans="1:39">
      <c r="A1" s="386" t="s">
        <v>117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6"/>
      <c r="AD1" s="386"/>
      <c r="AE1" s="386"/>
      <c r="AF1" s="386"/>
      <c r="AG1" s="386"/>
      <c r="AH1" s="386"/>
      <c r="AI1" s="386"/>
      <c r="AJ1" s="120"/>
      <c r="AK1" s="120"/>
      <c r="AL1" s="266"/>
      <c r="AM1" s="266"/>
    </row>
    <row r="2" spans="1:39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W2" s="386"/>
      <c r="X2" s="386"/>
      <c r="Y2" s="386"/>
      <c r="Z2" s="386"/>
      <c r="AA2" s="386"/>
      <c r="AB2" s="386"/>
      <c r="AC2" s="386"/>
      <c r="AD2" s="386"/>
      <c r="AE2" s="386"/>
      <c r="AF2" s="386"/>
      <c r="AG2" s="386"/>
      <c r="AH2" s="386"/>
      <c r="AI2" s="386"/>
      <c r="AJ2" s="120"/>
      <c r="AK2" s="120"/>
      <c r="AL2" s="266"/>
      <c r="AM2" s="266"/>
    </row>
    <row r="3" spans="1:39">
      <c r="A3" s="386"/>
      <c r="B3" s="386" t="s">
        <v>118</v>
      </c>
      <c r="C3" s="386" t="s">
        <v>119</v>
      </c>
      <c r="D3" s="386" t="s">
        <v>45</v>
      </c>
      <c r="E3" s="397">
        <f>DFs!G8</f>
        <v>1</v>
      </c>
      <c r="F3" s="397">
        <f>DFs!H8</f>
        <v>2</v>
      </c>
      <c r="G3" s="397">
        <f>DFs!I8</f>
        <v>3</v>
      </c>
      <c r="H3" s="397">
        <f>DFs!J8</f>
        <v>4</v>
      </c>
      <c r="I3" s="397">
        <f>DFs!K8</f>
        <v>5</v>
      </c>
      <c r="J3" s="397">
        <f>DFs!L8</f>
        <v>6</v>
      </c>
      <c r="K3" s="397">
        <f>DFs!M8</f>
        <v>7</v>
      </c>
      <c r="L3" s="397">
        <f>DFs!N8</f>
        <v>8</v>
      </c>
      <c r="M3" s="397">
        <f>DFs!O8</f>
        <v>9</v>
      </c>
      <c r="N3" s="397">
        <f>DFs!P8</f>
        <v>10</v>
      </c>
      <c r="O3" s="397">
        <f>DFs!Q8</f>
        <v>11</v>
      </c>
      <c r="P3" s="397">
        <f>DFs!R8</f>
        <v>12</v>
      </c>
      <c r="Q3" s="397">
        <f>DFs!S8</f>
        <v>13</v>
      </c>
      <c r="R3" s="397">
        <f>DFs!T8</f>
        <v>14</v>
      </c>
      <c r="S3" s="397">
        <f>DFs!U8</f>
        <v>15</v>
      </c>
      <c r="T3" s="397">
        <f>DFs!V8</f>
        <v>16</v>
      </c>
      <c r="U3" s="397">
        <f>DFs!W8</f>
        <v>17</v>
      </c>
      <c r="V3" s="397">
        <f>DFs!X8</f>
        <v>18</v>
      </c>
      <c r="W3" s="397">
        <f>DFs!Y8</f>
        <v>19</v>
      </c>
      <c r="X3" s="397">
        <f>DFs!Z8</f>
        <v>20</v>
      </c>
      <c r="Y3" s="397">
        <f>DFs!AA8</f>
        <v>21</v>
      </c>
      <c r="Z3" s="397">
        <f>DFs!AB8</f>
        <v>22</v>
      </c>
      <c r="AA3" s="397">
        <f>DFs!AC8</f>
        <v>23</v>
      </c>
      <c r="AB3" s="397">
        <f>DFs!AD8</f>
        <v>24</v>
      </c>
      <c r="AC3" s="397">
        <f>DFs!AE8</f>
        <v>25</v>
      </c>
      <c r="AD3" s="397">
        <f>DFs!AF8</f>
        <v>26</v>
      </c>
      <c r="AE3" s="397">
        <f>DFs!AG8</f>
        <v>27</v>
      </c>
      <c r="AF3" s="397">
        <f>DFs!AH8</f>
        <v>28</v>
      </c>
      <c r="AG3" s="397">
        <f>DFs!AI8</f>
        <v>29</v>
      </c>
      <c r="AH3" s="397">
        <f>DFs!AJ8</f>
        <v>30</v>
      </c>
      <c r="AI3" s="386"/>
      <c r="AJ3" s="120"/>
      <c r="AK3" s="120"/>
      <c r="AL3" s="266"/>
      <c r="AM3" s="266"/>
    </row>
    <row r="4" spans="1:39" ht="7.2" customHeight="1">
      <c r="A4" s="266"/>
      <c r="B4" s="214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70"/>
      <c r="Z4" s="270"/>
      <c r="AA4" s="270"/>
      <c r="AB4" s="270"/>
      <c r="AC4" s="270"/>
      <c r="AD4" s="270"/>
      <c r="AE4" s="270"/>
      <c r="AF4" s="270"/>
      <c r="AG4" s="270"/>
      <c r="AH4" s="270"/>
      <c r="AI4" s="266"/>
      <c r="AJ4" s="266"/>
      <c r="AK4" s="266"/>
      <c r="AL4" s="266"/>
      <c r="AM4" s="266"/>
    </row>
    <row r="5" spans="1:39" s="117" customFormat="1">
      <c r="A5" s="266"/>
      <c r="B5" s="266" t="s">
        <v>120</v>
      </c>
      <c r="C5" s="4" t="s">
        <v>13</v>
      </c>
      <c r="D5" s="210">
        <f t="shared" ref="D5:D15" ca="1" si="0">SUM(E5:AH5)</f>
        <v>-537686.56238789344</v>
      </c>
      <c r="E5" s="273">
        <f ca="1">DFs!G40</f>
        <v>-15824.479340759093</v>
      </c>
      <c r="F5" s="273">
        <f ca="1">DFs!H40</f>
        <v>-16558.896777386326</v>
      </c>
      <c r="G5" s="273">
        <f ca="1">DFs!I40</f>
        <v>-17000.823430964072</v>
      </c>
      <c r="H5" s="273">
        <f ca="1">DFs!J40</f>
        <v>-17371.108370351143</v>
      </c>
      <c r="I5" s="273">
        <f ca="1">DFs!K40</f>
        <v>-17423.764539645937</v>
      </c>
      <c r="J5" s="273">
        <f ca="1">DFs!L40</f>
        <v>-17544.075520375573</v>
      </c>
      <c r="K5" s="273">
        <f ca="1">DFs!M40</f>
        <v>-18476.669625966304</v>
      </c>
      <c r="L5" s="273">
        <f ca="1">DFs!N40</f>
        <v>-17683.235928414168</v>
      </c>
      <c r="M5" s="273">
        <f ca="1">DFs!O40</f>
        <v>-17682.114610757362</v>
      </c>
      <c r="N5" s="273">
        <f ca="1">DFs!P40</f>
        <v>-17766.050958875559</v>
      </c>
      <c r="O5" s="273">
        <f ca="1">DFs!Q40</f>
        <v>-17786.989367772672</v>
      </c>
      <c r="P5" s="273">
        <f ca="1">DFs!R40</f>
        <v>-17806.218769252977</v>
      </c>
      <c r="Q5" s="273">
        <f ca="1">DFs!S40</f>
        <v>-17823.816090227585</v>
      </c>
      <c r="R5" s="273">
        <f ca="1">DFs!T40</f>
        <v>-17841.874094682855</v>
      </c>
      <c r="S5" s="273">
        <f ca="1">DFs!U40</f>
        <v>-17880.691807455227</v>
      </c>
      <c r="T5" s="273">
        <f ca="1">DFs!V40</f>
        <v>-17894.665108544632</v>
      </c>
      <c r="U5" s="273">
        <f ca="1">DFs!W40</f>
        <v>-17901.071060996619</v>
      </c>
      <c r="V5" s="273">
        <f ca="1">DFs!X40</f>
        <v>-17919.290232274809</v>
      </c>
      <c r="W5" s="273">
        <f ca="1">DFs!Y40</f>
        <v>-18327.509914419854</v>
      </c>
      <c r="X5" s="273">
        <f ca="1">DFs!Z40</f>
        <v>-18344.841594598049</v>
      </c>
      <c r="Y5" s="273">
        <f ca="1">DFs!AA40</f>
        <v>-18367.734736175982</v>
      </c>
      <c r="Z5" s="273">
        <f ca="1">DFs!AB40</f>
        <v>-18405.927543043617</v>
      </c>
      <c r="AA5" s="273">
        <f ca="1">DFs!AC40</f>
        <v>-18404.511288450074</v>
      </c>
      <c r="AB5" s="273">
        <f ca="1">DFs!AD40</f>
        <v>-18423.969073017677</v>
      </c>
      <c r="AC5" s="273">
        <f ca="1">DFs!AE40</f>
        <v>-18442.364896695868</v>
      </c>
      <c r="AD5" s="273">
        <f ca="1">DFs!AF40</f>
        <v>-18477.523506741141</v>
      </c>
      <c r="AE5" s="273">
        <f ca="1">DFs!AG40</f>
        <v>-18542.39797265911</v>
      </c>
      <c r="AF5" s="273">
        <f ca="1">DFs!AH40</f>
        <v>-18566.885528374976</v>
      </c>
      <c r="AG5" s="273">
        <f ca="1">DFs!AI40</f>
        <v>-18596.806854780501</v>
      </c>
      <c r="AH5" s="273">
        <f ca="1">DFs!AJ40</f>
        <v>-18600.253844233692</v>
      </c>
      <c r="AI5"/>
      <c r="AJ5"/>
      <c r="AK5"/>
      <c r="AL5"/>
      <c r="AM5"/>
    </row>
    <row r="6" spans="1:39">
      <c r="A6" s="266"/>
      <c r="B6" s="266" t="s">
        <v>121</v>
      </c>
      <c r="C6" s="52" t="s">
        <v>13</v>
      </c>
      <c r="D6" s="23">
        <f t="shared" si="0"/>
        <v>-76776.486292563059</v>
      </c>
      <c r="E6" s="273">
        <f>DFs!G49</f>
        <v>-10775.031120895999</v>
      </c>
      <c r="F6" s="273">
        <f>DFs!H49</f>
        <v>-1472.4358093250448</v>
      </c>
      <c r="G6" s="273">
        <f>DFs!I49</f>
        <v>-1743.4786958342002</v>
      </c>
      <c r="H6" s="273">
        <f>DFs!J49</f>
        <v>-397.26424167419998</v>
      </c>
      <c r="I6" s="273">
        <f>DFs!K49</f>
        <v>-763.15204167420006</v>
      </c>
      <c r="J6" s="273">
        <f>DFs!L49</f>
        <v>-12305.51313337047</v>
      </c>
      <c r="K6" s="273">
        <f>DFs!M49</f>
        <v>-241.59493295294399</v>
      </c>
      <c r="L6" s="273">
        <f>DFs!N49</f>
        <v>-8189.1826116742004</v>
      </c>
      <c r="M6" s="273">
        <f>DFs!O49</f>
        <v>-43.404541674200004</v>
      </c>
      <c r="N6" s="273">
        <f>DFs!P49</f>
        <v>-845.77904167420013</v>
      </c>
      <c r="O6" s="273">
        <f>DFs!Q49</f>
        <v>-1452.9584045185595</v>
      </c>
      <c r="P6" s="273">
        <f>DFs!R49</f>
        <v>-1099.803583204369</v>
      </c>
      <c r="Q6" s="273">
        <f>DFs!S49</f>
        <v>-797.93392010620016</v>
      </c>
      <c r="R6" s="273">
        <f>DFs!T49</f>
        <v>-178.80952295294401</v>
      </c>
      <c r="S6" s="273">
        <f>DFs!U49</f>
        <v>-8180.5448516742008</v>
      </c>
      <c r="T6" s="273">
        <f>DFs!V49</f>
        <v>-2648.0324560422537</v>
      </c>
      <c r="U6" s="273">
        <f>DFs!W49</f>
        <v>-783.53025167420014</v>
      </c>
      <c r="V6" s="273">
        <f>DFs!X49</f>
        <v>-351.64980167419998</v>
      </c>
      <c r="W6" s="273">
        <f>DFs!Y49</f>
        <v>-825.99884167420009</v>
      </c>
      <c r="X6" s="273">
        <f>DFs!Z49</f>
        <v>-49.327041674200004</v>
      </c>
      <c r="Y6" s="273">
        <f>DFs!AA49</f>
        <v>-1270.9883857973036</v>
      </c>
      <c r="Z6" s="273">
        <f>DFs!AB49</f>
        <v>-8611.8881932043696</v>
      </c>
      <c r="AA6" s="273">
        <f>DFs!AC49</f>
        <v>-735.3069201062001</v>
      </c>
      <c r="AB6" s="273">
        <f>DFs!AD49</f>
        <v>-757.22954167420005</v>
      </c>
      <c r="AC6" s="273">
        <f>DFs!AE49</f>
        <v>-397.92364167419998</v>
      </c>
      <c r="AD6" s="273">
        <f>DFs!AF49</f>
        <v>-3319.4787361862541</v>
      </c>
      <c r="AE6" s="273">
        <f>DFs!AG49</f>
        <v>-63.7827516742</v>
      </c>
      <c r="AF6" s="273">
        <f>DFs!AH49</f>
        <v>-1997.3976029529438</v>
      </c>
      <c r="AG6" s="273">
        <f>DFs!AI49</f>
        <v>-6413.6611316742001</v>
      </c>
      <c r="AH6" s="273">
        <f>DFs!AJ49</f>
        <v>-63.404541674200004</v>
      </c>
      <c r="AI6" s="266"/>
      <c r="AJ6" s="266"/>
      <c r="AK6" s="266"/>
      <c r="AL6" s="266"/>
      <c r="AM6" s="266"/>
    </row>
    <row r="7" spans="1:39">
      <c r="A7" s="266"/>
      <c r="B7" s="266" t="s">
        <v>122</v>
      </c>
      <c r="C7" s="52" t="s">
        <v>13</v>
      </c>
      <c r="D7" s="23">
        <f t="shared" si="0"/>
        <v>-36456.504633005454</v>
      </c>
      <c r="E7" s="273">
        <f>DFs!G60</f>
        <v>0</v>
      </c>
      <c r="F7" s="273">
        <f>DFs!H60</f>
        <v>0</v>
      </c>
      <c r="G7" s="273">
        <f>DFs!I60</f>
        <v>-22.884310585685178</v>
      </c>
      <c r="H7" s="273">
        <f>DFs!J60</f>
        <v>-72.053827437158276</v>
      </c>
      <c r="I7" s="273">
        <f>DFs!K60</f>
        <v>-139.53091082410057</v>
      </c>
      <c r="J7" s="273">
        <f>DFs!L60</f>
        <v>-594.61204565118589</v>
      </c>
      <c r="K7" s="273">
        <f>DFs!M60</f>
        <v>-408.23945179560337</v>
      </c>
      <c r="L7" s="273">
        <f>DFs!N60</f>
        <v>-513.92216117724206</v>
      </c>
      <c r="M7" s="273">
        <f>DFs!O60</f>
        <v>-426.02171899146708</v>
      </c>
      <c r="N7" s="273">
        <f>DFs!P60</f>
        <v>-416.09956507064663</v>
      </c>
      <c r="O7" s="273">
        <f>DFs!Q60</f>
        <v>-467.46933695780581</v>
      </c>
      <c r="P7" s="273">
        <f>DFs!R60</f>
        <v>-515.46962401239261</v>
      </c>
      <c r="Q7" s="273">
        <f>DFs!S60</f>
        <v>-1095.8312275820749</v>
      </c>
      <c r="R7" s="273">
        <f>DFs!T60</f>
        <v>-1399.9248853106196</v>
      </c>
      <c r="S7" s="273">
        <f>DFs!U60</f>
        <v>-1193.776093837999</v>
      </c>
      <c r="T7" s="273">
        <f>DFs!V60</f>
        <v>-1471.2916481386703</v>
      </c>
      <c r="U7" s="273">
        <f>DFs!W60</f>
        <v>-1467.1656788679866</v>
      </c>
      <c r="V7" s="273">
        <f>DFs!X60</f>
        <v>-1557.8374085797509</v>
      </c>
      <c r="W7" s="273">
        <f>DFs!Y60</f>
        <v>-1494.3787613802472</v>
      </c>
      <c r="X7" s="273">
        <f>DFs!Z60</f>
        <v>-2113.4845274971044</v>
      </c>
      <c r="Y7" s="273">
        <f>DFs!AA60</f>
        <v>-2167.7863889006931</v>
      </c>
      <c r="Z7" s="273">
        <f>DFs!AB60</f>
        <v>-1934.1278525401046</v>
      </c>
      <c r="AA7" s="273">
        <f>DFs!AC60</f>
        <v>-1711.9579165700106</v>
      </c>
      <c r="AB7" s="273">
        <f>DFs!AD60</f>
        <v>-1759.9756661364365</v>
      </c>
      <c r="AC7" s="273">
        <f>DFs!AE60</f>
        <v>-1805.7709786412724</v>
      </c>
      <c r="AD7" s="273">
        <f>DFs!AF60</f>
        <v>-1996.2617253262147</v>
      </c>
      <c r="AE7" s="273">
        <f>DFs!AG60</f>
        <v>-2519.2515572194047</v>
      </c>
      <c r="AF7" s="273">
        <f>DFs!AH60</f>
        <v>-2574.6114087161445</v>
      </c>
      <c r="AG7" s="273">
        <f>DFs!AI60</f>
        <v>-2375.431209969569</v>
      </c>
      <c r="AH7" s="273">
        <f>DFs!AJ60</f>
        <v>-2241.3367452878674</v>
      </c>
      <c r="AI7" s="266"/>
      <c r="AJ7" s="266"/>
      <c r="AK7" s="266"/>
      <c r="AL7" s="266"/>
      <c r="AM7" s="266"/>
    </row>
    <row r="8" spans="1:39">
      <c r="A8" s="266"/>
      <c r="B8" s="266" t="str">
        <f>DFs!C72</f>
        <v>Depósitos Conta Reserva</v>
      </c>
      <c r="C8" s="52" t="s">
        <v>13</v>
      </c>
      <c r="D8" s="23">
        <f t="shared" ca="1" si="0"/>
        <v>-3069.3200535091109</v>
      </c>
      <c r="E8" s="273">
        <f ca="1">DFs!G72</f>
        <v>0</v>
      </c>
      <c r="F8" s="273">
        <f ca="1">DFs!H72</f>
        <v>-423.05954631167043</v>
      </c>
      <c r="G8" s="273">
        <f ca="1">DFs!I72</f>
        <v>0</v>
      </c>
      <c r="H8" s="273">
        <f ca="1">DFs!J72</f>
        <v>-5.7087338177096285</v>
      </c>
      <c r="I8" s="273">
        <f ca="1">DFs!K72</f>
        <v>-392.00059521042868</v>
      </c>
      <c r="J8" s="273">
        <f ca="1">DFs!L72</f>
        <v>0</v>
      </c>
      <c r="K8" s="273">
        <f ca="1">DFs!M72</f>
        <v>-260.78678420501979</v>
      </c>
      <c r="L8" s="273">
        <f ca="1">DFs!N72</f>
        <v>0</v>
      </c>
      <c r="M8" s="273">
        <f ca="1">DFs!O72</f>
        <v>0</v>
      </c>
      <c r="N8" s="273">
        <f ca="1">DFs!P72</f>
        <v>-7.0014936327052055</v>
      </c>
      <c r="O8" s="273">
        <f ca="1">DFs!Q72</f>
        <v>0</v>
      </c>
      <c r="P8" s="273">
        <f ca="1">DFs!R72</f>
        <v>0</v>
      </c>
      <c r="Q8" s="273">
        <f ca="1">DFs!S72</f>
        <v>0</v>
      </c>
      <c r="R8" s="273">
        <f ca="1">DFs!T72</f>
        <v>-758.47056352935977</v>
      </c>
      <c r="S8" s="273">
        <f ca="1">DFs!U72</f>
        <v>0</v>
      </c>
      <c r="T8" s="273">
        <f ca="1">DFs!V72</f>
        <v>0</v>
      </c>
      <c r="U8" s="273">
        <f ca="1">DFs!W72</f>
        <v>-6.461530751759895</v>
      </c>
      <c r="V8" s="273">
        <f ca="1">DFs!X72</f>
        <v>-21.625888775119094</v>
      </c>
      <c r="W8" s="273">
        <f ca="1">DFs!Y72</f>
        <v>0</v>
      </c>
      <c r="X8" s="273">
        <f ca="1">DFs!Z72</f>
        <v>-38.150809635396783</v>
      </c>
      <c r="Y8" s="273">
        <f ca="1">DFs!AA72</f>
        <v>-308.70009861920903</v>
      </c>
      <c r="Z8" s="273">
        <f ca="1">DFs!AB72</f>
        <v>-2.592856587643098</v>
      </c>
      <c r="AA8" s="273">
        <f ca="1">DFs!AC72</f>
        <v>-4.0200735907005765</v>
      </c>
      <c r="AB8" s="273">
        <f ca="1">DFs!AD72</f>
        <v>0</v>
      </c>
      <c r="AC8" s="273">
        <f ca="1">DFs!AE72</f>
        <v>-140.41556053899768</v>
      </c>
      <c r="AD8" s="273">
        <f ca="1">DFs!AF72</f>
        <v>0</v>
      </c>
      <c r="AE8" s="273">
        <f ca="1">DFs!AG72</f>
        <v>-104.03088907637471</v>
      </c>
      <c r="AF8" s="273">
        <f ca="1">DFs!AH72</f>
        <v>-596.29462922701612</v>
      </c>
      <c r="AG8" s="273">
        <f ca="1">DFs!AI72</f>
        <v>0</v>
      </c>
      <c r="AH8" s="273">
        <f ca="1">DFs!AJ72</f>
        <v>0</v>
      </c>
      <c r="AI8" s="266"/>
      <c r="AJ8" s="266"/>
      <c r="AK8" s="266"/>
      <c r="AL8" s="266"/>
      <c r="AM8" s="266"/>
    </row>
    <row r="9" spans="1:39">
      <c r="A9" s="266"/>
      <c r="B9" s="266" t="str">
        <f>DFs!C65</f>
        <v>Pagamento de Juros</v>
      </c>
      <c r="C9" s="52" t="s">
        <v>13</v>
      </c>
      <c r="D9" s="23">
        <f t="shared" ca="1" si="0"/>
        <v>-21660.671032363389</v>
      </c>
      <c r="E9" s="273">
        <f ca="1">DFs!G65</f>
        <v>-592.62671164927997</v>
      </c>
      <c r="F9" s="273">
        <f ca="1">DFs!H65</f>
        <v>-673.61068116215745</v>
      </c>
      <c r="G9" s="273">
        <f ca="1">DFs!I65</f>
        <v>-769.50200943303844</v>
      </c>
      <c r="H9" s="273">
        <f ca="1">DFs!J65</f>
        <v>-736.38711347990238</v>
      </c>
      <c r="I9" s="273">
        <f ca="1">DFs!K65</f>
        <v>-721.7153131966063</v>
      </c>
      <c r="J9" s="273">
        <f ca="1">DFs!L65</f>
        <v>-1338.3755927655984</v>
      </c>
      <c r="K9" s="273">
        <f ca="1">DFs!M65</f>
        <v>-1229.9928056447741</v>
      </c>
      <c r="L9" s="273">
        <f ca="1">DFs!N65</f>
        <v>-1557.3985687223778</v>
      </c>
      <c r="M9" s="273">
        <f ca="1">DFs!O65</f>
        <v>-1386.7415331008615</v>
      </c>
      <c r="N9" s="273">
        <f ca="1">DFs!P65</f>
        <v>-1259.9166887553345</v>
      </c>
      <c r="O9" s="273">
        <f ca="1">DFs!Q65</f>
        <v>-1159.8413026102362</v>
      </c>
      <c r="P9" s="273">
        <f ca="1">DFs!R65</f>
        <v>-1027.0236159181038</v>
      </c>
      <c r="Q9" s="273">
        <f ca="1">DFs!S65</f>
        <v>-865.50525834032408</v>
      </c>
      <c r="R9" s="273">
        <f ca="1">DFs!T65</f>
        <v>-658.96346751765498</v>
      </c>
      <c r="S9" s="273">
        <f ca="1">DFs!U65</f>
        <v>-889.23894518718441</v>
      </c>
      <c r="T9" s="273">
        <f ca="1">DFs!V65</f>
        <v>-444.61947259359221</v>
      </c>
      <c r="U9" s="273">
        <f ca="1">DFs!W65</f>
        <v>-188.73594892440497</v>
      </c>
      <c r="V9" s="273">
        <f ca="1">DFs!X65</f>
        <v>-194.5955488075999</v>
      </c>
      <c r="W9" s="273">
        <f ca="1">DFs!Y65</f>
        <v>-225.05659672986553</v>
      </c>
      <c r="X9" s="273">
        <f ca="1">DFs!Z65</f>
        <v>-209.01486762779103</v>
      </c>
      <c r="Y9" s="273">
        <f ca="1">DFs!AA65</f>
        <v>-259.91787724411626</v>
      </c>
      <c r="Z9" s="273">
        <f ca="1">DFs!AB65</f>
        <v>-707.5799401459451</v>
      </c>
      <c r="AA9" s="273">
        <f ca="1">DFs!AC65</f>
        <v>-669.40182740223668</v>
      </c>
      <c r="AB9" s="273">
        <f ca="1">DFs!AD65</f>
        <v>-627.37422376903817</v>
      </c>
      <c r="AC9" s="273">
        <f ca="1">DFs!AE65</f>
        <v>-559.63513495125665</v>
      </c>
      <c r="AD9" s="273">
        <f ca="1">DFs!AF65</f>
        <v>-648.93394294962457</v>
      </c>
      <c r="AE9" s="273">
        <f ca="1">DFs!AG65</f>
        <v>-522.65520570178057</v>
      </c>
      <c r="AF9" s="273">
        <f ca="1">DFs!AH65</f>
        <v>-501.84827243874736</v>
      </c>
      <c r="AG9" s="273">
        <f ca="1">DFs!AI65</f>
        <v>-687.31687720124592</v>
      </c>
      <c r="AH9" s="273">
        <f ca="1">DFs!AJ65</f>
        <v>-347.14568839270396</v>
      </c>
      <c r="AI9" s="266"/>
      <c r="AJ9" s="266"/>
      <c r="AK9" s="266"/>
      <c r="AL9" s="266"/>
      <c r="AM9" s="266"/>
    </row>
    <row r="10" spans="1:39">
      <c r="A10" s="266"/>
      <c r="B10" s="266" t="str">
        <f>DFs!C66</f>
        <v>Pagamento de Principal</v>
      </c>
      <c r="C10" s="52" t="s">
        <v>13</v>
      </c>
      <c r="D10" s="23">
        <f t="shared" ca="1" si="0"/>
        <v>-38388.243146281522</v>
      </c>
      <c r="E10" s="273">
        <f>DFs!G66</f>
        <v>0</v>
      </c>
      <c r="F10" s="273">
        <f>DFs!H66</f>
        <v>0</v>
      </c>
      <c r="G10" s="273">
        <f ca="1">DFs!I66</f>
        <v>-499.67662950197297</v>
      </c>
      <c r="H10" s="273">
        <f ca="1">DFs!J66</f>
        <v>-514.95602341251913</v>
      </c>
      <c r="I10" s="273">
        <f ca="1">DFs!K66</f>
        <v>-546.75402514894415</v>
      </c>
      <c r="J10" s="273">
        <f ca="1">DFs!L66</f>
        <v>-1106.0955312112383</v>
      </c>
      <c r="K10" s="273">
        <f ca="1">DFs!M66</f>
        <v>-1118.1752778588855</v>
      </c>
      <c r="L10" s="273">
        <f ca="1">DFs!N66</f>
        <v>-1573.1298673963411</v>
      </c>
      <c r="M10" s="273">
        <f ca="1">DFs!O66</f>
        <v>-1575.8426512509786</v>
      </c>
      <c r="N10" s="273">
        <f ca="1">DFs!P66</f>
        <v>-1636.2554399419928</v>
      </c>
      <c r="O10" s="273">
        <f ca="1">DFs!Q66</f>
        <v>-1757.3353069852062</v>
      </c>
      <c r="P10" s="273">
        <f ca="1">DFs!R66</f>
        <v>-1867.3156653056431</v>
      </c>
      <c r="Q10" s="273">
        <f ca="1">DFs!S66</f>
        <v>-1967.0574053189182</v>
      </c>
      <c r="R10" s="273">
        <f ca="1">DFs!T66</f>
        <v>-1996.8589924777423</v>
      </c>
      <c r="S10" s="273">
        <f ca="1">DFs!U66</f>
        <v>-4041.9952053962925</v>
      </c>
      <c r="T10" s="273">
        <f ca="1">DFs!V66</f>
        <v>-4041.9952053962925</v>
      </c>
      <c r="U10" s="273">
        <f ca="1">DFs!W66</f>
        <v>-122.55581098987334</v>
      </c>
      <c r="V10" s="273">
        <f ca="1">DFs!X66</f>
        <v>-136.08080336195795</v>
      </c>
      <c r="W10" s="273">
        <f ca="1">DFs!Y66</f>
        <v>-170.49742176504961</v>
      </c>
      <c r="X10" s="273">
        <f ca="1">DFs!Z66</f>
        <v>-172.73956002296779</v>
      </c>
      <c r="Y10" s="273">
        <f ca="1">DFs!AA66</f>
        <v>-236.28897931283296</v>
      </c>
      <c r="Z10" s="273">
        <f ca="1">DFs!AB66</f>
        <v>-714.72721226863132</v>
      </c>
      <c r="AA10" s="273">
        <f ca="1">DFs!AC66</f>
        <v>-760.68389477526887</v>
      </c>
      <c r="AB10" s="273">
        <f ca="1">DFs!AD66</f>
        <v>-814.77171918056888</v>
      </c>
      <c r="AC10" s="273">
        <f ca="1">DFs!AE66</f>
        <v>-847.93202265341904</v>
      </c>
      <c r="AD10" s="273">
        <f ca="1">DFs!AF66</f>
        <v>-1179.8798962720443</v>
      </c>
      <c r="AE10" s="273">
        <f ca="1">DFs!AG66</f>
        <v>-1187.8527402313193</v>
      </c>
      <c r="AF10" s="273">
        <f ca="1">DFs!AH66</f>
        <v>-1520.7523407234767</v>
      </c>
      <c r="AG10" s="273">
        <f ca="1">DFs!AI66</f>
        <v>-3124.1676236420267</v>
      </c>
      <c r="AH10" s="273">
        <f ca="1">DFs!AJ66</f>
        <v>-3155.8698944791267</v>
      </c>
      <c r="AI10" s="266"/>
      <c r="AJ10" s="266"/>
      <c r="AK10" s="266"/>
      <c r="AL10" s="266"/>
      <c r="AM10" s="266"/>
    </row>
    <row r="11" spans="1:39">
      <c r="A11" s="266"/>
      <c r="B11" s="266" t="str">
        <f>DFs!C79</f>
        <v>Fiança Bancária</v>
      </c>
      <c r="C11" s="52" t="s">
        <v>13</v>
      </c>
      <c r="D11" s="23">
        <f t="shared" ca="1" si="0"/>
        <v>-1695.1762943418933</v>
      </c>
      <c r="E11" s="273">
        <f ca="1">DFs!G79</f>
        <v>-107.75031120895997</v>
      </c>
      <c r="F11" s="273">
        <f ca="1">DFs!H79</f>
        <v>-122.47466930221043</v>
      </c>
      <c r="G11" s="273">
        <f ca="1">DFs!I79</f>
        <v>-129.91592367051297</v>
      </c>
      <c r="H11" s="273">
        <f ca="1">DFs!J79</f>
        <v>-123.58944561900458</v>
      </c>
      <c r="I11" s="273">
        <f ca="1">DFs!K79</f>
        <v>-120.28588553276769</v>
      </c>
      <c r="J11" s="273">
        <f ca="1">DFs!L79</f>
        <v>-221.21910624224765</v>
      </c>
      <c r="K11" s="273">
        <f ca="1">DFs!M79</f>
        <v>-201.27155001459937</v>
      </c>
      <c r="L11" s="273">
        <f ca="1">DFs!N79</f>
        <v>-251.70077878341456</v>
      </c>
      <c r="M11" s="273">
        <f ca="1">DFs!O79</f>
        <v>-220.617971175137</v>
      </c>
      <c r="N11" s="273">
        <f ca="1">DFs!P79</f>
        <v>-196.35065279303913</v>
      </c>
      <c r="O11" s="273">
        <f>DFs!Q79</f>
        <v>0</v>
      </c>
      <c r="P11" s="273">
        <f>DFs!R79</f>
        <v>0</v>
      </c>
      <c r="Q11" s="273">
        <f>DFs!S79</f>
        <v>0</v>
      </c>
      <c r="R11" s="273">
        <f>DFs!T79</f>
        <v>0</v>
      </c>
      <c r="S11" s="273">
        <f>DFs!U79</f>
        <v>0</v>
      </c>
      <c r="T11" s="273">
        <f>DFs!V79</f>
        <v>0</v>
      </c>
      <c r="U11" s="273">
        <f>DFs!W79</f>
        <v>0</v>
      </c>
      <c r="V11" s="273">
        <f>DFs!X79</f>
        <v>0</v>
      </c>
      <c r="W11" s="273">
        <f>DFs!Y79</f>
        <v>0</v>
      </c>
      <c r="X11" s="273">
        <f>DFs!Z79</f>
        <v>0</v>
      </c>
      <c r="Y11" s="273">
        <f>DFs!AA79</f>
        <v>0</v>
      </c>
      <c r="Z11" s="273">
        <f>DFs!AB79</f>
        <v>0</v>
      </c>
      <c r="AA11" s="273">
        <f>DFs!AC79</f>
        <v>0</v>
      </c>
      <c r="AB11" s="273">
        <f>DFs!AD79</f>
        <v>0</v>
      </c>
      <c r="AC11" s="273">
        <f>DFs!AE79</f>
        <v>0</v>
      </c>
      <c r="AD11" s="273">
        <f>DFs!AF79</f>
        <v>0</v>
      </c>
      <c r="AE11" s="273">
        <f>DFs!AG79</f>
        <v>0</v>
      </c>
      <c r="AF11" s="273">
        <f>DFs!AH79</f>
        <v>0</v>
      </c>
      <c r="AG11" s="273">
        <f>DFs!AI79</f>
        <v>0</v>
      </c>
      <c r="AH11" s="273">
        <f>DFs!AJ79</f>
        <v>0</v>
      </c>
      <c r="AI11" s="266"/>
      <c r="AJ11" s="266"/>
      <c r="AK11" s="266"/>
      <c r="AL11" s="266"/>
      <c r="AM11" s="266"/>
    </row>
    <row r="12" spans="1:39">
      <c r="A12" s="266"/>
      <c r="B12" s="266" t="s">
        <v>123</v>
      </c>
      <c r="C12" s="52" t="s">
        <v>13</v>
      </c>
      <c r="D12" s="23">
        <f t="shared" si="0"/>
        <v>0</v>
      </c>
      <c r="E12" s="273">
        <f>DFs!G42</f>
        <v>-603.77922659067826</v>
      </c>
      <c r="F12" s="273">
        <f>DFs!H42</f>
        <v>69.238521778629348</v>
      </c>
      <c r="G12" s="273">
        <f>DFs!I42</f>
        <v>-330.5296923146484</v>
      </c>
      <c r="H12" s="273">
        <f>DFs!J42</f>
        <v>-12.209749493543626</v>
      </c>
      <c r="I12" s="273">
        <f>DFs!K42</f>
        <v>-33.827984469879993</v>
      </c>
      <c r="J12" s="273">
        <f>DFs!L42</f>
        <v>-116.20539711625182</v>
      </c>
      <c r="K12" s="273">
        <f>DFs!M42</f>
        <v>-19.017916538382877</v>
      </c>
      <c r="L12" s="273">
        <f>DFs!N42</f>
        <v>-92.622664670163658</v>
      </c>
      <c r="M12" s="273">
        <f>DFs!O42</f>
        <v>28.417480054540874</v>
      </c>
      <c r="N12" s="273">
        <f>DFs!P42</f>
        <v>-7.1967791831050647</v>
      </c>
      <c r="O12" s="273">
        <f>DFs!Q42</f>
        <v>-26.04105154637088</v>
      </c>
      <c r="P12" s="273">
        <f>DFs!R42</f>
        <v>-15.627769833052753</v>
      </c>
      <c r="Q12" s="273">
        <f>DFs!S42</f>
        <v>-15.968983189637356</v>
      </c>
      <c r="R12" s="273">
        <f>DFs!T42</f>
        <v>-10.260972073456998</v>
      </c>
      <c r="S12" s="273">
        <f>DFs!U42</f>
        <v>-82.253112359230016</v>
      </c>
      <c r="T12" s="273">
        <f>DFs!V42</f>
        <v>23.93846031147541</v>
      </c>
      <c r="U12" s="273">
        <f>DFs!W42</f>
        <v>-3.9056395148816136</v>
      </c>
      <c r="V12" s="273">
        <f>DFs!X42</f>
        <v>-11.301685395137184</v>
      </c>
      <c r="W12" s="273">
        <f>DFs!Y42</f>
        <v>12.051645893317783</v>
      </c>
      <c r="X12" s="273">
        <f>DFs!Z42</f>
        <v>-12.044595434515031</v>
      </c>
      <c r="Y12" s="273">
        <f>DFs!AA42</f>
        <v>-27.195891239578941</v>
      </c>
      <c r="Z12" s="273">
        <f>DFs!AB42</f>
        <v>-69.962237537359584</v>
      </c>
      <c r="AA12" s="273">
        <f>DFs!AC42</f>
        <v>38.340358592553827</v>
      </c>
      <c r="AB12" s="273">
        <f>DFs!AD42</f>
        <v>-17.956738773795678</v>
      </c>
      <c r="AC12" s="273">
        <f>DFs!AE42</f>
        <v>-15.017795344985188</v>
      </c>
      <c r="AD12" s="273">
        <f>DFs!AF42</f>
        <v>-36.123355612430629</v>
      </c>
      <c r="AE12" s="273">
        <f>DFs!AG42</f>
        <v>2.8037298476373564</v>
      </c>
      <c r="AF12" s="273">
        <f>DFs!AH42</f>
        <v>-32.338903672850392</v>
      </c>
      <c r="AG12" s="273">
        <f>DFs!AI42</f>
        <v>-51.178028023825391</v>
      </c>
      <c r="AH12" s="273">
        <f>DFs!AJ42</f>
        <v>1467.7759734496067</v>
      </c>
      <c r="AI12" s="266"/>
      <c r="AJ12" s="266"/>
      <c r="AK12" s="266"/>
      <c r="AL12" s="266"/>
      <c r="AM12" s="266"/>
    </row>
    <row r="13" spans="1:39">
      <c r="A13" s="266"/>
      <c r="B13" s="266" t="str">
        <f>DFs!C83</f>
        <v>Dividendos</v>
      </c>
      <c r="C13" s="52" t="s">
        <v>13</v>
      </c>
      <c r="D13" s="23">
        <f t="shared" ca="1" si="0"/>
        <v>-73282.203744049359</v>
      </c>
      <c r="E13" s="273">
        <f ca="1">DFs!G83</f>
        <v>0</v>
      </c>
      <c r="F13" s="273">
        <f ca="1">DFs!H83</f>
        <v>0</v>
      </c>
      <c r="G13" s="273">
        <f ca="1">DFs!I83</f>
        <v>0</v>
      </c>
      <c r="H13" s="273">
        <f ca="1">DFs!J83</f>
        <v>-51.336647664881781</v>
      </c>
      <c r="I13" s="273">
        <f ca="1">DFs!K83</f>
        <v>-1873.2707016010145</v>
      </c>
      <c r="J13" s="273">
        <f ca="1">DFs!L83</f>
        <v>-2238.7352714250028</v>
      </c>
      <c r="K13" s="273">
        <f ca="1">DFs!M83</f>
        <v>-1156.062681648033</v>
      </c>
      <c r="L13" s="273">
        <f ca="1">DFs!N83</f>
        <v>-5007.8026831507432</v>
      </c>
      <c r="M13" s="273">
        <f ca="1">DFs!O83</f>
        <v>-1979.3401495829912</v>
      </c>
      <c r="N13" s="273">
        <f ca="1">DFs!P83</f>
        <v>-1855.7311990012599</v>
      </c>
      <c r="O13" s="273">
        <f ca="1">DFs!Q83</f>
        <v>-2222.4074486489671</v>
      </c>
      <c r="P13" s="273">
        <f ca="1">DFs!R83</f>
        <v>-2401.7623266024207</v>
      </c>
      <c r="Q13" s="273">
        <f ca="1">DFs!S83</f>
        <v>-2097.6255796906908</v>
      </c>
      <c r="R13" s="273">
        <f ca="1">DFs!T83</f>
        <v>-1305.3903675848696</v>
      </c>
      <c r="S13" s="273">
        <f ca="1">DFs!U83</f>
        <v>-4276.3632243983075</v>
      </c>
      <c r="T13" s="273">
        <f ca="1">DFs!V83</f>
        <v>-2408.7978750854536</v>
      </c>
      <c r="U13" s="273">
        <f ca="1">DFs!W83</f>
        <v>-5007.8331389962241</v>
      </c>
      <c r="V13" s="273">
        <f ca="1">DFs!X83</f>
        <v>-5039.9943923074325</v>
      </c>
      <c r="W13" s="273">
        <f ca="1">DFs!Y83</f>
        <v>-4988.5054370123808</v>
      </c>
      <c r="X13" s="273">
        <f ca="1">DFs!Z83</f>
        <v>-4436.7573663410503</v>
      </c>
      <c r="Y13" s="273">
        <f ca="1">DFs!AA83</f>
        <v>-4155.6935951349351</v>
      </c>
      <c r="Z13" s="273">
        <f ca="1">DFs!AB83</f>
        <v>-6014.0381775769038</v>
      </c>
      <c r="AA13" s="273">
        <f ca="1">DFs!AC83</f>
        <v>-2091.2669215394449</v>
      </c>
      <c r="AB13" s="273">
        <f ca="1">DFs!AD83</f>
        <v>-2044.5253464266382</v>
      </c>
      <c r="AC13" s="273">
        <f ca="1">DFs!AE83</f>
        <v>-1964.0620422687696</v>
      </c>
      <c r="AD13" s="273">
        <f ca="1">DFs!AF83</f>
        <v>-1962.6051054115278</v>
      </c>
      <c r="AE13" s="273">
        <f ca="1">DFs!AG83</f>
        <v>-1296.0759925863604</v>
      </c>
      <c r="AF13" s="273">
        <f ca="1">DFs!AH83</f>
        <v>-1240.4203405194712</v>
      </c>
      <c r="AG13" s="273">
        <f ca="1">DFs!AI83</f>
        <v>-4165.7997318435901</v>
      </c>
      <c r="AH13" s="273">
        <f ca="1">DFs!AJ83</f>
        <v>0</v>
      </c>
      <c r="AI13" s="266"/>
      <c r="AJ13" s="266"/>
      <c r="AK13" s="266"/>
      <c r="AL13" s="266"/>
      <c r="AM13" s="266"/>
    </row>
    <row r="14" spans="1:39">
      <c r="A14" s="266"/>
      <c r="B14" s="266" t="s">
        <v>124</v>
      </c>
      <c r="C14" s="52" t="s">
        <v>13</v>
      </c>
      <c r="D14" s="24">
        <f t="shared" ca="1" si="0"/>
        <v>-35134.32043891518</v>
      </c>
      <c r="E14" s="273">
        <f ca="1">-DFs!G170+DFs!F170</f>
        <v>0</v>
      </c>
      <c r="F14" s="273">
        <f ca="1">-DFs!H170+DFs!G170</f>
        <v>0</v>
      </c>
      <c r="G14" s="273">
        <f ca="1">-DFs!I170+DFs!H170</f>
        <v>-747.42995614621304</v>
      </c>
      <c r="H14" s="273">
        <f ca="1">-DFs!J170+DFs!I170</f>
        <v>-1351.7466957566276</v>
      </c>
      <c r="I14" s="273">
        <f ca="1">-DFs!K170+DFs!J170</f>
        <v>485.58106840766959</v>
      </c>
      <c r="J14" s="273">
        <f ca="1">-DFs!L170+DFs!K170</f>
        <v>954.84683903407085</v>
      </c>
      <c r="K14" s="273">
        <f ca="1">-DFs!M170+DFs!L170</f>
        <v>581.86659578408603</v>
      </c>
      <c r="L14" s="273">
        <f ca="1">-DFs!N170+DFs!M170</f>
        <v>-221.90805540736778</v>
      </c>
      <c r="M14" s="273">
        <f ca="1">-DFs!O170+DFs!N170</f>
        <v>181.20770147384746</v>
      </c>
      <c r="N14" s="273">
        <f ca="1">-DFs!P170+DFs!O170</f>
        <v>-3.7292632458818389</v>
      </c>
      <c r="O14" s="273">
        <f ca="1">-DFs!Q170+DFs!P170</f>
        <v>-15.752669674128583</v>
      </c>
      <c r="P14" s="273">
        <f ca="1">-DFs!R170+DFs!Q170</f>
        <v>-6.8753195595058969</v>
      </c>
      <c r="Q14" s="273">
        <f ca="1">-DFs!S170+DFs!R170</f>
        <v>-7.6834391377942666</v>
      </c>
      <c r="R14" s="273">
        <f ca="1">-DFs!T170+DFs!S170</f>
        <v>-7.8472311491580058</v>
      </c>
      <c r="S14" s="273">
        <f ca="1">-DFs!U170+DFs!T170</f>
        <v>-192.31969313478226</v>
      </c>
      <c r="T14" s="273">
        <f ca="1">-DFs!V170+DFs!U170</f>
        <v>179.07792012396794</v>
      </c>
      <c r="U14" s="273">
        <f ca="1">-DFs!W170+DFs!V170</f>
        <v>-1.1468051434344488</v>
      </c>
      <c r="V14" s="273">
        <f ca="1">-DFs!X170+DFs!W170</f>
        <v>2.2772225004637221</v>
      </c>
      <c r="W14" s="273">
        <f ca="1">-DFs!Y170+DFs!X170</f>
        <v>12.391289164051159</v>
      </c>
      <c r="X14" s="273">
        <f ca="1">-DFs!Z170+DFs!Y170</f>
        <v>4.6386703139087331</v>
      </c>
      <c r="Y14" s="273">
        <f ca="1">-DFs!AA170+DFs!Z170</f>
        <v>-129.56614065381564</v>
      </c>
      <c r="Z14" s="273">
        <f ca="1">-DFs!AB170+DFs!AA170</f>
        <v>-1943.751272789802</v>
      </c>
      <c r="AA14" s="273">
        <f ca="1">-DFs!AC170+DFs!AB170</f>
        <v>-2610.3469841838196</v>
      </c>
      <c r="AB14" s="273">
        <f ca="1">-DFs!AD170+DFs!AC170</f>
        <v>-2977.1551911332963</v>
      </c>
      <c r="AC14" s="273">
        <f ca="1">-DFs!AE170+DFs!AD170</f>
        <v>-3314.77796683822</v>
      </c>
      <c r="AD14" s="273">
        <f ca="1">-DFs!AF170+DFs!AE170</f>
        <v>-3595.5765429018356</v>
      </c>
      <c r="AE14" s="273">
        <f ca="1">-DFs!AG170+DFs!AF170</f>
        <v>-3913.2846837723082</v>
      </c>
      <c r="AF14" s="273">
        <f ca="1">-DFs!AH170+DFs!AG170</f>
        <v>-3775.6797471999926</v>
      </c>
      <c r="AG14" s="273">
        <f ca="1">-DFs!AI170+DFs!AH170</f>
        <v>-4654.3996058042721</v>
      </c>
      <c r="AH14" s="273">
        <f ca="1">-DFs!AJ170+DFs!AI170</f>
        <v>-8065.2304820849895</v>
      </c>
      <c r="AI14"/>
      <c r="AJ14"/>
      <c r="AK14"/>
      <c r="AL14" s="266"/>
      <c r="AM14" s="266"/>
    </row>
    <row r="15" spans="1:39" ht="16.2" thickBot="1">
      <c r="A15"/>
      <c r="B15" s="62" t="s">
        <v>125</v>
      </c>
      <c r="C15" s="130" t="s">
        <v>13</v>
      </c>
      <c r="D15" s="211">
        <f t="shared" ca="1" si="0"/>
        <v>-824149.48802292219</v>
      </c>
      <c r="E15" s="212">
        <f t="shared" ref="E15:AG15" ca="1" si="1">SUM(E5:E14)</f>
        <v>-27903.666711104011</v>
      </c>
      <c r="F15" s="213">
        <f t="shared" ca="1" si="1"/>
        <v>-19181.238961708779</v>
      </c>
      <c r="G15" s="212">
        <f t="shared" ca="1" si="1"/>
        <v>-21244.240648450348</v>
      </c>
      <c r="H15" s="212">
        <f t="shared" ca="1" si="1"/>
        <v>-20636.360848706685</v>
      </c>
      <c r="I15" s="212">
        <f t="shared" ca="1" si="1"/>
        <v>-21528.720928896211</v>
      </c>
      <c r="J15" s="212">
        <f t="shared" ca="1" si="1"/>
        <v>-34509.984759123501</v>
      </c>
      <c r="K15" s="212">
        <f t="shared" ca="1" si="1"/>
        <v>-22529.944430840456</v>
      </c>
      <c r="L15" s="212">
        <f t="shared" ca="1" si="1"/>
        <v>-35090.90331939602</v>
      </c>
      <c r="M15" s="212">
        <f t="shared" ca="1" si="1"/>
        <v>-23104.45799500461</v>
      </c>
      <c r="N15" s="212">
        <f t="shared" ca="1" si="1"/>
        <v>-23994.111082173724</v>
      </c>
      <c r="O15" s="212">
        <f t="shared" ca="1" si="1"/>
        <v>-24888.794888713943</v>
      </c>
      <c r="P15" s="212">
        <f t="shared" ca="1" si="1"/>
        <v>-24740.096673688462</v>
      </c>
      <c r="Q15" s="212">
        <f t="shared" ca="1" si="1"/>
        <v>-24671.421903593226</v>
      </c>
      <c r="R15" s="212">
        <f t="shared" ca="1" si="1"/>
        <v>-24158.40009727866</v>
      </c>
      <c r="S15" s="212">
        <f t="shared" ca="1" si="1"/>
        <v>-36737.182933443226</v>
      </c>
      <c r="T15" s="212">
        <f t="shared" ca="1" si="1"/>
        <v>-28706.385385365451</v>
      </c>
      <c r="U15" s="212">
        <f t="shared" ca="1" si="1"/>
        <v>-25482.405865859386</v>
      </c>
      <c r="V15" s="212">
        <f t="shared" ca="1" si="1"/>
        <v>-25230.098538675542</v>
      </c>
      <c r="W15" s="212">
        <f t="shared" ca="1" si="1"/>
        <v>-26007.504037924231</v>
      </c>
      <c r="X15" s="212">
        <f t="shared" ca="1" si="1"/>
        <v>-25371.721692517167</v>
      </c>
      <c r="Y15" s="212">
        <f t="shared" ca="1" si="1"/>
        <v>-26923.872093078466</v>
      </c>
      <c r="Z15" s="212">
        <f t="shared" ca="1" si="1"/>
        <v>-38404.59528569437</v>
      </c>
      <c r="AA15" s="212">
        <f t="shared" ca="1" si="1"/>
        <v>-26949.155468025205</v>
      </c>
      <c r="AB15" s="212">
        <f t="shared" ca="1" si="1"/>
        <v>-27422.957500111654</v>
      </c>
      <c r="AC15" s="212">
        <f t="shared" ca="1" si="1"/>
        <v>-27487.900039606982</v>
      </c>
      <c r="AD15" s="212">
        <f t="shared" ca="1" si="1"/>
        <v>-31216.382811401072</v>
      </c>
      <c r="AE15" s="212">
        <f t="shared" ca="1" si="1"/>
        <v>-28146.52806307322</v>
      </c>
      <c r="AF15" s="212">
        <f t="shared" ca="1" si="1"/>
        <v>-30806.22877382562</v>
      </c>
      <c r="AG15" s="212">
        <f t="shared" ca="1" si="1"/>
        <v>-40068.761062939229</v>
      </c>
      <c r="AH15" s="212">
        <f t="shared" ref="AH15" ca="1" si="2">SUM(AH5:AH14)</f>
        <v>-31005.465222702973</v>
      </c>
      <c r="AI15"/>
      <c r="AJ15"/>
      <c r="AK15"/>
      <c r="AL15" s="60">
        <f t="shared" ref="AL15:AM15" si="3">SUM(AL10:AL14)</f>
        <v>0</v>
      </c>
      <c r="AM15" s="60">
        <f t="shared" si="3"/>
        <v>0</v>
      </c>
    </row>
    <row r="16" spans="1:39" ht="7.2" customHeight="1" thickTop="1">
      <c r="A16" s="266"/>
      <c r="B16" s="214"/>
      <c r="C16" s="270"/>
      <c r="D16" s="270"/>
      <c r="E16" s="270"/>
      <c r="F16" s="270"/>
      <c r="G16" s="270"/>
      <c r="H16" s="270"/>
      <c r="I16" s="270"/>
      <c r="J16" s="270"/>
      <c r="K16" s="270"/>
      <c r="L16" s="270"/>
      <c r="M16" s="270"/>
      <c r="N16" s="270"/>
      <c r="O16" s="270"/>
      <c r="P16" s="270"/>
      <c r="Q16" s="270"/>
      <c r="R16" s="270"/>
      <c r="S16" s="270"/>
      <c r="T16" s="270"/>
      <c r="U16" s="270"/>
      <c r="V16" s="270"/>
      <c r="W16" s="270"/>
      <c r="X16" s="270"/>
      <c r="Y16" s="270"/>
      <c r="Z16" s="270"/>
      <c r="AA16" s="270"/>
      <c r="AB16" s="270"/>
      <c r="AC16" s="270"/>
      <c r="AD16" s="270"/>
      <c r="AE16" s="270"/>
      <c r="AF16" s="270"/>
      <c r="AG16" s="270"/>
      <c r="AH16" s="270"/>
      <c r="AI16" s="266"/>
      <c r="AJ16" s="266"/>
      <c r="AK16" s="266"/>
      <c r="AL16" s="266"/>
      <c r="AM16" s="266"/>
    </row>
    <row r="17" spans="1:34" s="117" customFormat="1">
      <c r="A17" s="266"/>
      <c r="B17" s="275" t="s">
        <v>126</v>
      </c>
      <c r="C17" s="215" t="s">
        <v>13</v>
      </c>
      <c r="D17" s="23">
        <f t="shared" ref="D17:D22" si="4">SUM(E17:AH17)</f>
        <v>730478.12351949513</v>
      </c>
      <c r="E17" s="273">
        <f>DFs!G19+DFs!G156</f>
        <v>15876.007815619954</v>
      </c>
      <c r="F17" s="273">
        <f>DFs!H19+DFs!H156</f>
        <v>15051.423824140365</v>
      </c>
      <c r="G17" s="273">
        <f>DFs!I19+DFs!I156</f>
        <v>19494.816785268613</v>
      </c>
      <c r="H17" s="273">
        <f>DFs!J19+DFs!J156</f>
        <v>20175.565060760062</v>
      </c>
      <c r="I17" s="273">
        <f>DFs!K19+DFs!K156</f>
        <v>20587.138871810268</v>
      </c>
      <c r="J17" s="273">
        <f>DFs!L19+DFs!L156</f>
        <v>22035.214987664876</v>
      </c>
      <c r="K17" s="273">
        <f>DFs!M19+DFs!M156</f>
        <v>22232.355854608322</v>
      </c>
      <c r="L17" s="273">
        <f>DFs!N19+DFs!N156</f>
        <v>26839.204307828644</v>
      </c>
      <c r="M17" s="273">
        <f>DFs!O19+DFs!O156</f>
        <v>23013.5189340984</v>
      </c>
      <c r="N17" s="273">
        <f>DFs!P19+DFs!P156</f>
        <v>23138.337527777629</v>
      </c>
      <c r="O17" s="273">
        <f>DFs!Q19+DFs!Q156</f>
        <v>23417.912541307025</v>
      </c>
      <c r="P17" s="273">
        <f>DFs!R19+DFs!R156</f>
        <v>23608.050407609164</v>
      </c>
      <c r="Q17" s="273">
        <f>DFs!S19+DFs!S156</f>
        <v>23802.339703083089</v>
      </c>
      <c r="R17" s="273">
        <f>DFs!T19+DFs!T156</f>
        <v>23966.702602816349</v>
      </c>
      <c r="S17" s="273">
        <f>DFs!U19+DFs!U156</f>
        <v>28394.876604747446</v>
      </c>
      <c r="T17" s="273">
        <f>DFs!V19+DFs!V156</f>
        <v>24636.676463224492</v>
      </c>
      <c r="U17" s="273">
        <f>DFs!W19+DFs!W156</f>
        <v>24684.19507732222</v>
      </c>
      <c r="V17" s="273">
        <f>DFs!X19+DFs!X156</f>
        <v>24863.670721701186</v>
      </c>
      <c r="W17" s="273">
        <f>DFs!Y19+DFs!Y156</f>
        <v>25162.320881247691</v>
      </c>
      <c r="X17" s="273">
        <f>DFs!Z19+DFs!Z156</f>
        <v>25308.863459034292</v>
      </c>
      <c r="Y17" s="273">
        <f>DFs!AA19+DFs!AA156</f>
        <v>25639.746802449172</v>
      </c>
      <c r="Z17" s="273">
        <f>DFs!AB19+DFs!AB156</f>
        <v>29768.55706570244</v>
      </c>
      <c r="AA17" s="273">
        <f>DFs!AC19+DFs!AC156</f>
        <v>26024.479662944304</v>
      </c>
      <c r="AB17" s="273">
        <f>DFs!AD19+DFs!AD156</f>
        <v>26242.953318025484</v>
      </c>
      <c r="AC17" s="273">
        <f>DFs!AE19+DFs!AE156</f>
        <v>26425.669828056136</v>
      </c>
      <c r="AD17" s="273">
        <f>DFs!AF19+DFs!AF156</f>
        <v>26911.406080394063</v>
      </c>
      <c r="AE17" s="273">
        <f>DFs!AG19+DFs!AG156</f>
        <v>26831.05860819446</v>
      </c>
      <c r="AF17" s="273">
        <f>DFs!AH19+DFs!AH156</f>
        <v>27224.515269547472</v>
      </c>
      <c r="AG17" s="273">
        <f>DFs!AI19+DFs!AI156</f>
        <v>31647.028278770678</v>
      </c>
      <c r="AH17" s="273">
        <f>DFs!AJ19+DFs!AJ156</f>
        <v>27473.516173740925</v>
      </c>
    </row>
    <row r="18" spans="1:34" s="117" customFormat="1">
      <c r="A18" s="266"/>
      <c r="B18" s="266" t="s">
        <v>127</v>
      </c>
      <c r="C18" s="52" t="s">
        <v>13</v>
      </c>
      <c r="D18" s="23">
        <f t="shared" ca="1" si="4"/>
        <v>42298.250249112964</v>
      </c>
      <c r="E18" s="273">
        <f ca="1">DFs!G52+Ops!G1063</f>
        <v>6640.1433350360567</v>
      </c>
      <c r="F18" s="273">
        <f ca="1">DFs!H52+Ops!H1063</f>
        <v>3393.5972329058914</v>
      </c>
      <c r="G18" s="273">
        <f ca="1">DFs!I52+Ops!I1063</f>
        <v>871.73934791710019</v>
      </c>
      <c r="H18" s="273">
        <f ca="1">DFs!J52+Ops!J1063</f>
        <v>198.63212083710005</v>
      </c>
      <c r="I18" s="273">
        <f ca="1">DFs!K52+Ops!K1063</f>
        <v>381.57602083710003</v>
      </c>
      <c r="J18" s="273">
        <f ca="1">DFs!L52+Ops!L1063</f>
        <v>6152.7565666852361</v>
      </c>
      <c r="K18" s="273">
        <f ca="1">DFs!M52+Ops!M1063</f>
        <v>120.79746647647202</v>
      </c>
      <c r="L18" s="273">
        <f ca="1">DFs!N52+Ops!N1063</f>
        <v>4094.5913058371002</v>
      </c>
      <c r="M18" s="273">
        <f ca="1">DFs!O52+Ops!O1063</f>
        <v>21.702270837100006</v>
      </c>
      <c r="N18" s="273">
        <f ca="1">DFs!P52+Ops!P1063</f>
        <v>422.88952083710018</v>
      </c>
      <c r="O18" s="273">
        <f ca="1">DFs!Q52+Ops!Q1063</f>
        <v>726.4792022592801</v>
      </c>
      <c r="P18" s="273">
        <f ca="1">DFs!R52+Ops!R1063</f>
        <v>549.90179160218463</v>
      </c>
      <c r="Q18" s="273">
        <f ca="1">DFs!S52+Ops!S1063</f>
        <v>398.96696005310019</v>
      </c>
      <c r="R18" s="273">
        <f ca="1">DFs!T52+Ops!T1063</f>
        <v>89.404761476472018</v>
      </c>
      <c r="S18" s="273">
        <f ca="1">DFs!U52+Ops!U1063</f>
        <v>4090.2724258371009</v>
      </c>
      <c r="T18" s="273">
        <f ca="1">DFs!V52+Ops!V1063</f>
        <v>1324.0162280211268</v>
      </c>
      <c r="U18" s="273">
        <f ca="1">DFs!W52+Ops!W1063</f>
        <v>391.76512583710007</v>
      </c>
      <c r="V18" s="273">
        <f ca="1">DFs!X52+Ops!X1063</f>
        <v>175.82490083709999</v>
      </c>
      <c r="W18" s="273">
        <f ca="1">DFs!Y52+Ops!Y1063</f>
        <v>412.99942083710005</v>
      </c>
      <c r="X18" s="273">
        <f ca="1">DFs!Z52+Ops!Z1063</f>
        <v>24.663520837100002</v>
      </c>
      <c r="Y18" s="273">
        <f ca="1">DFs!AA52+Ops!AA1063</f>
        <v>635.49419289865182</v>
      </c>
      <c r="Z18" s="273">
        <f ca="1">DFs!AB52+Ops!AB1063</f>
        <v>4305.9440966021857</v>
      </c>
      <c r="AA18" s="273">
        <f ca="1">DFs!AC52+Ops!AC1063</f>
        <v>367.65346005310005</v>
      </c>
      <c r="AB18" s="273">
        <f ca="1">DFs!AD52+Ops!AD1063</f>
        <v>378.61477083710002</v>
      </c>
      <c r="AC18" s="273">
        <f ca="1">DFs!AE52+Ops!AE1063</f>
        <v>198.96182083710002</v>
      </c>
      <c r="AD18" s="273">
        <f ca="1">DFs!AF52+Ops!AF1063</f>
        <v>1659.7393680931268</v>
      </c>
      <c r="AE18" s="273">
        <f ca="1">DFs!AG52+Ops!AG1063</f>
        <v>31.8913758371</v>
      </c>
      <c r="AF18" s="273">
        <f ca="1">DFs!AH52+Ops!AH1063</f>
        <v>998.69880147647189</v>
      </c>
      <c r="AG18" s="273">
        <f ca="1">DFs!AI52+Ops!AI1063</f>
        <v>3206.8305658371</v>
      </c>
      <c r="AH18" s="273">
        <f ca="1">DFs!AJ52+Ops!AJ1063</f>
        <v>31.702270837099999</v>
      </c>
    </row>
    <row r="19" spans="1:34" s="117" customFormat="1">
      <c r="A19" s="266"/>
      <c r="B19" s="266" t="s">
        <v>55</v>
      </c>
      <c r="C19" s="52" t="s">
        <v>13</v>
      </c>
      <c r="D19" s="23">
        <f t="shared" ca="1" si="4"/>
        <v>38388.243146281529</v>
      </c>
      <c r="E19" s="273">
        <f ca="1">DFs!G53</f>
        <v>5387.5155604479987</v>
      </c>
      <c r="F19" s="273">
        <f ca="1">DFs!H53</f>
        <v>736.21790466252253</v>
      </c>
      <c r="G19" s="273">
        <f ca="1">DFs!I53</f>
        <v>871.73934791710019</v>
      </c>
      <c r="H19" s="273">
        <f ca="1">DFs!J53</f>
        <v>198.63212083710005</v>
      </c>
      <c r="I19" s="273">
        <f ca="1">DFs!K53</f>
        <v>381.57602083710003</v>
      </c>
      <c r="J19" s="273">
        <f ca="1">DFs!L53</f>
        <v>6152.7565666852361</v>
      </c>
      <c r="K19" s="273">
        <f ca="1">DFs!M53</f>
        <v>120.79746647647202</v>
      </c>
      <c r="L19" s="273">
        <f ca="1">DFs!N53</f>
        <v>4094.5913058371002</v>
      </c>
      <c r="M19" s="273">
        <f ca="1">DFs!O53</f>
        <v>21.702270837100006</v>
      </c>
      <c r="N19" s="273">
        <f ca="1">DFs!P53</f>
        <v>422.88952083710018</v>
      </c>
      <c r="O19" s="273">
        <f ca="1">DFs!Q53</f>
        <v>726.4792022592801</v>
      </c>
      <c r="P19" s="273">
        <f ca="1">DFs!R53</f>
        <v>549.90179160218463</v>
      </c>
      <c r="Q19" s="273">
        <f ca="1">DFs!S53</f>
        <v>398.96696005310019</v>
      </c>
      <c r="R19" s="273">
        <f ca="1">DFs!T53</f>
        <v>89.404761476472018</v>
      </c>
      <c r="S19" s="273">
        <f ca="1">DFs!U53</f>
        <v>4090.2724258371009</v>
      </c>
      <c r="T19" s="273">
        <f ca="1">DFs!V53</f>
        <v>1324.0162280211268</v>
      </c>
      <c r="U19" s="273">
        <f ca="1">DFs!W53</f>
        <v>391.76512583710007</v>
      </c>
      <c r="V19" s="273">
        <f ca="1">DFs!X53</f>
        <v>175.82490083709999</v>
      </c>
      <c r="W19" s="273">
        <f ca="1">DFs!Y53</f>
        <v>412.99942083710005</v>
      </c>
      <c r="X19" s="273">
        <f ca="1">DFs!Z53</f>
        <v>24.663520837100002</v>
      </c>
      <c r="Y19" s="273">
        <f ca="1">DFs!AA53</f>
        <v>635.49419289865182</v>
      </c>
      <c r="Z19" s="273">
        <f ca="1">DFs!AB53</f>
        <v>4305.9440966021857</v>
      </c>
      <c r="AA19" s="273">
        <f ca="1">DFs!AC53</f>
        <v>367.65346005310005</v>
      </c>
      <c r="AB19" s="273">
        <f ca="1">DFs!AD53</f>
        <v>378.61477083710002</v>
      </c>
      <c r="AC19" s="273">
        <f ca="1">DFs!AE53</f>
        <v>198.96182083710002</v>
      </c>
      <c r="AD19" s="273">
        <f ca="1">DFs!AF53</f>
        <v>1659.7393680931268</v>
      </c>
      <c r="AE19" s="273">
        <f ca="1">DFs!AG53</f>
        <v>31.8913758371</v>
      </c>
      <c r="AF19" s="273">
        <f ca="1">DFs!AH53</f>
        <v>998.69880147647189</v>
      </c>
      <c r="AG19" s="273">
        <f ca="1">DFs!AI53</f>
        <v>3206.8305658371</v>
      </c>
      <c r="AH19" s="273">
        <f ca="1">DFs!AJ53</f>
        <v>31.702270837099999</v>
      </c>
    </row>
    <row r="20" spans="1:34">
      <c r="A20" s="266"/>
      <c r="B20" s="266" t="str">
        <f>DFs!C73</f>
        <v>Saques Conta Reserva</v>
      </c>
      <c r="C20" s="52" t="s">
        <v>13</v>
      </c>
      <c r="D20" s="23">
        <f t="shared" ca="1" si="4"/>
        <v>3069.32005350911</v>
      </c>
      <c r="E20" s="273">
        <f ca="1">DFs!G73</f>
        <v>0</v>
      </c>
      <c r="F20" s="273">
        <f ca="1">DFs!H73</f>
        <v>0</v>
      </c>
      <c r="G20" s="273">
        <f ca="1">DFs!I73</f>
        <v>5.945167347529889</v>
      </c>
      <c r="H20" s="273">
        <f ca="1">DFs!J73</f>
        <v>0</v>
      </c>
      <c r="I20" s="273">
        <f ca="1">DFs!K73</f>
        <v>0</v>
      </c>
      <c r="J20" s="273">
        <f ca="1">DFs!L73</f>
        <v>32.101013491059007</v>
      </c>
      <c r="K20" s="273">
        <f ca="1">DFs!M73</f>
        <v>0</v>
      </c>
      <c r="L20" s="273">
        <f ca="1">DFs!N73</f>
        <v>55.981417255626297</v>
      </c>
      <c r="M20" s="273">
        <f ca="1">DFs!O73</f>
        <v>22.137351884837699</v>
      </c>
      <c r="N20" s="273">
        <f ca="1">DFs!P73</f>
        <v>0</v>
      </c>
      <c r="O20" s="273">
        <f ca="1">DFs!Q73</f>
        <v>7.6124427905651828</v>
      </c>
      <c r="P20" s="273">
        <f ca="1">DFs!R73</f>
        <v>20.592205854834901</v>
      </c>
      <c r="Q20" s="273">
        <f ca="1">DFs!S73</f>
        <v>58.913401221281674</v>
      </c>
      <c r="R20" s="273">
        <f ca="1">DFs!T73</f>
        <v>0</v>
      </c>
      <c r="S20" s="273">
        <f ca="1">DFs!U73</f>
        <v>148.20649086453068</v>
      </c>
      <c r="T20" s="273">
        <f ca="1">DFs!V73</f>
        <v>1391.7743060252021</v>
      </c>
      <c r="U20" s="273">
        <f ca="1">DFs!W73</f>
        <v>0</v>
      </c>
      <c r="V20" s="273">
        <f ca="1">DFs!X73</f>
        <v>0</v>
      </c>
      <c r="W20" s="273">
        <f ca="1">DFs!Y73</f>
        <v>4.5998636147187568</v>
      </c>
      <c r="X20" s="273">
        <f ca="1">DFs!Z73</f>
        <v>0</v>
      </c>
      <c r="Y20" s="273">
        <f ca="1">DFs!AA73</f>
        <v>0</v>
      </c>
      <c r="Z20" s="273">
        <f ca="1">DFs!AB73</f>
        <v>0</v>
      </c>
      <c r="AA20" s="273">
        <f ca="1">DFs!AC73</f>
        <v>0</v>
      </c>
      <c r="AB20" s="273">
        <f ca="1">DFs!AD73</f>
        <v>11.526261781643825</v>
      </c>
      <c r="AC20" s="273">
        <f ca="1">DFs!AE73</f>
        <v>0</v>
      </c>
      <c r="AD20" s="273">
        <f ca="1">DFs!AF73</f>
        <v>39.435297762856294</v>
      </c>
      <c r="AE20" s="273">
        <f ca="1">DFs!AG73</f>
        <v>0</v>
      </c>
      <c r="AF20" s="273">
        <f ca="1">DFs!AH73</f>
        <v>0</v>
      </c>
      <c r="AG20" s="273">
        <f ca="1">DFs!AI73</f>
        <v>102.82297265714715</v>
      </c>
      <c r="AH20" s="273">
        <f ca="1">DFs!AJ73</f>
        <v>1167.671860957277</v>
      </c>
    </row>
    <row r="21" spans="1:34">
      <c r="A21" s="266"/>
      <c r="B21" s="266" t="str">
        <f>DFs!C78</f>
        <v>Receitas Financeiras</v>
      </c>
      <c r="C21" s="52" t="s">
        <v>13</v>
      </c>
      <c r="D21" s="23">
        <f t="shared" ca="1" si="4"/>
        <v>9915.5510545235975</v>
      </c>
      <c r="E21" s="273">
        <f>DFs!G78</f>
        <v>0</v>
      </c>
      <c r="F21" s="273">
        <f ca="1">DFs!H78</f>
        <v>0</v>
      </c>
      <c r="G21" s="273">
        <f ca="1">DFs!I78</f>
        <v>0</v>
      </c>
      <c r="H21" s="273">
        <f ca="1">DFs!J78</f>
        <v>63.531546272428116</v>
      </c>
      <c r="I21" s="273">
        <f ca="1">DFs!K78</f>
        <v>178.43001541174146</v>
      </c>
      <c r="J21" s="273">
        <f ca="1">DFs!L78</f>
        <v>137.15562459708954</v>
      </c>
      <c r="K21" s="273">
        <f ca="1">DFs!M78</f>
        <v>55.99364327919352</v>
      </c>
      <c r="L21" s="273">
        <f ca="1">DFs!N78</f>
        <v>6.534982637546201</v>
      </c>
      <c r="M21" s="273">
        <f ca="1">DFs!O78</f>
        <v>25.397167347172463</v>
      </c>
      <c r="N21" s="273">
        <f ca="1">DFs!P78</f>
        <v>9.9945127218954291</v>
      </c>
      <c r="O21" s="273">
        <f ca="1">DFs!Q78</f>
        <v>10.311500097795385</v>
      </c>
      <c r="P21" s="273">
        <f ca="1">DFs!R78</f>
        <v>11.650477020096314</v>
      </c>
      <c r="Q21" s="273">
        <f ca="1">DFs!S78</f>
        <v>12.234879182654316</v>
      </c>
      <c r="R21" s="273">
        <f ca="1">DFs!T78</f>
        <v>12.887971509366828</v>
      </c>
      <c r="S21" s="273">
        <f ca="1">DFs!U78</f>
        <v>13.55498615704526</v>
      </c>
      <c r="T21" s="273">
        <f ca="1">DFs!V78</f>
        <v>29.902160073501751</v>
      </c>
      <c r="U21" s="273">
        <f ca="1">DFs!W78</f>
        <v>14.680536862964477</v>
      </c>
      <c r="V21" s="273">
        <f ca="1">DFs!X78</f>
        <v>14.778015300156405</v>
      </c>
      <c r="W21" s="273">
        <f ca="1">DFs!Y78</f>
        <v>14.584451387616987</v>
      </c>
      <c r="X21" s="273">
        <f ca="1">DFs!Z78</f>
        <v>13.53119180867264</v>
      </c>
      <c r="Y21" s="273">
        <f ca="1">DFs!AA78</f>
        <v>13.136904831990396</v>
      </c>
      <c r="Z21" s="273">
        <f ca="1">DFs!AB78</f>
        <v>24.150026787564727</v>
      </c>
      <c r="AA21" s="273">
        <f ca="1">DFs!AC78</f>
        <v>189.36888497469792</v>
      </c>
      <c r="AB21" s="273">
        <f ca="1">DFs!AD78</f>
        <v>411.24837863032258</v>
      </c>
      <c r="AC21" s="273">
        <f ca="1">DFs!AE78</f>
        <v>664.30656987665282</v>
      </c>
      <c r="AD21" s="273">
        <f ca="1">DFs!AF78</f>
        <v>946.06269705790146</v>
      </c>
      <c r="AE21" s="273">
        <f ca="1">DFs!AG78</f>
        <v>1251.6867032045575</v>
      </c>
      <c r="AF21" s="273">
        <f ca="1">DFs!AH78</f>
        <v>1584.3159013252039</v>
      </c>
      <c r="AG21" s="273">
        <f ca="1">DFs!AI78</f>
        <v>1905.2486798372031</v>
      </c>
      <c r="AH21" s="273">
        <f ca="1">DFs!AJ78</f>
        <v>2300.8726463305661</v>
      </c>
    </row>
    <row r="22" spans="1:34" ht="16.2" thickBot="1">
      <c r="A22" s="266"/>
      <c r="B22" s="62" t="s">
        <v>128</v>
      </c>
      <c r="C22" s="130" t="s">
        <v>13</v>
      </c>
      <c r="D22" s="211">
        <f t="shared" ca="1" si="4"/>
        <v>824149.48802292219</v>
      </c>
      <c r="E22" s="212">
        <f t="shared" ref="E22:AH22" ca="1" si="5">SUM(E17:E21)</f>
        <v>27903.666711104011</v>
      </c>
      <c r="F22" s="213">
        <f t="shared" ca="1" si="5"/>
        <v>19181.238961708783</v>
      </c>
      <c r="G22" s="212">
        <f t="shared" ca="1" si="5"/>
        <v>21244.240648450344</v>
      </c>
      <c r="H22" s="212">
        <f t="shared" ca="1" si="5"/>
        <v>20636.360848706692</v>
      </c>
      <c r="I22" s="212">
        <f t="shared" ca="1" si="5"/>
        <v>21528.720928896208</v>
      </c>
      <c r="J22" s="212">
        <f t="shared" ca="1" si="5"/>
        <v>34509.984759123494</v>
      </c>
      <c r="K22" s="212">
        <f t="shared" ca="1" si="5"/>
        <v>22529.944430840464</v>
      </c>
      <c r="L22" s="212">
        <f t="shared" ca="1" si="5"/>
        <v>35090.90331939602</v>
      </c>
      <c r="M22" s="212">
        <f t="shared" ca="1" si="5"/>
        <v>23104.45799500461</v>
      </c>
      <c r="N22" s="212">
        <f t="shared" ca="1" si="5"/>
        <v>23994.111082173724</v>
      </c>
      <c r="O22" s="212">
        <f t="shared" ca="1" si="5"/>
        <v>24888.794888713946</v>
      </c>
      <c r="P22" s="212">
        <f t="shared" ca="1" si="5"/>
        <v>24740.096673688462</v>
      </c>
      <c r="Q22" s="212">
        <f t="shared" ca="1" si="5"/>
        <v>24671.421903593229</v>
      </c>
      <c r="R22" s="212">
        <f t="shared" ca="1" si="5"/>
        <v>24158.40009727866</v>
      </c>
      <c r="S22" s="212">
        <f t="shared" ca="1" si="5"/>
        <v>36737.182933443226</v>
      </c>
      <c r="T22" s="212">
        <f t="shared" ca="1" si="5"/>
        <v>28706.385385365451</v>
      </c>
      <c r="U22" s="212">
        <f t="shared" ca="1" si="5"/>
        <v>25482.405865859386</v>
      </c>
      <c r="V22" s="212">
        <f t="shared" ca="1" si="5"/>
        <v>25230.098538675538</v>
      </c>
      <c r="W22" s="212">
        <f t="shared" ca="1" si="5"/>
        <v>26007.504037924227</v>
      </c>
      <c r="X22" s="212">
        <f t="shared" ca="1" si="5"/>
        <v>25371.721692517167</v>
      </c>
      <c r="Y22" s="212">
        <f t="shared" ca="1" si="5"/>
        <v>26923.872093078466</v>
      </c>
      <c r="Z22" s="212">
        <f t="shared" ca="1" si="5"/>
        <v>38404.595285694377</v>
      </c>
      <c r="AA22" s="212">
        <f t="shared" ca="1" si="5"/>
        <v>26949.155468025205</v>
      </c>
      <c r="AB22" s="212">
        <f t="shared" ca="1" si="5"/>
        <v>27422.95750011165</v>
      </c>
      <c r="AC22" s="212">
        <f t="shared" ca="1" si="5"/>
        <v>27487.900039606986</v>
      </c>
      <c r="AD22" s="212">
        <f t="shared" ca="1" si="5"/>
        <v>31216.382811401076</v>
      </c>
      <c r="AE22" s="212">
        <f t="shared" ca="1" si="5"/>
        <v>28146.528063073223</v>
      </c>
      <c r="AF22" s="212">
        <f t="shared" ca="1" si="5"/>
        <v>30806.22877382562</v>
      </c>
      <c r="AG22" s="212">
        <f t="shared" ca="1" si="5"/>
        <v>40068.761062939229</v>
      </c>
      <c r="AH22" s="212">
        <f t="shared" ca="1" si="5"/>
        <v>31005.465222702969</v>
      </c>
    </row>
    <row r="23" spans="1:34" ht="7.2" customHeight="1" thickTop="1">
      <c r="A23" s="266"/>
      <c r="B23" s="214"/>
      <c r="C23" s="270"/>
      <c r="D23" s="270"/>
      <c r="E23" s="270"/>
      <c r="F23" s="270"/>
      <c r="G23" s="270"/>
      <c r="H23" s="270"/>
      <c r="I23" s="270"/>
      <c r="J23" s="270"/>
      <c r="K23" s="270"/>
      <c r="L23" s="270"/>
      <c r="M23" s="270"/>
      <c r="N23" s="270"/>
      <c r="O23" s="270"/>
      <c r="P23" s="270"/>
      <c r="Q23" s="270"/>
      <c r="R23" s="270"/>
      <c r="S23" s="270"/>
      <c r="T23" s="270"/>
      <c r="U23" s="270"/>
      <c r="V23" s="270"/>
      <c r="W23" s="270"/>
      <c r="X23" s="270"/>
      <c r="Y23" s="270"/>
      <c r="Z23" s="270"/>
      <c r="AA23" s="270"/>
      <c r="AB23" s="270"/>
      <c r="AC23" s="270"/>
      <c r="AD23" s="270"/>
      <c r="AE23" s="270"/>
      <c r="AF23" s="270"/>
      <c r="AG23" s="270"/>
      <c r="AH23" s="270"/>
    </row>
    <row r="24" spans="1:34">
      <c r="A24" s="266"/>
      <c r="B24" s="64" t="s">
        <v>116</v>
      </c>
      <c r="C24" s="64"/>
      <c r="D24" s="472">
        <f ca="1">D18/-D6</f>
        <v>0.55092714308300117</v>
      </c>
      <c r="E24" s="483">
        <f t="shared" ref="E24:AH24" ca="1" si="6">SUM(E17:E21)+SUM(E5:E14)</f>
        <v>0</v>
      </c>
      <c r="F24" s="483">
        <f t="shared" ca="1" si="6"/>
        <v>0</v>
      </c>
      <c r="G24" s="483">
        <f t="shared" ca="1" si="6"/>
        <v>0</v>
      </c>
      <c r="H24" s="483">
        <f t="shared" ca="1" si="6"/>
        <v>0</v>
      </c>
      <c r="I24" s="483">
        <f t="shared" ca="1" si="6"/>
        <v>0</v>
      </c>
      <c r="J24" s="483">
        <f t="shared" ca="1" si="6"/>
        <v>0</v>
      </c>
      <c r="K24" s="483">
        <f t="shared" ca="1" si="6"/>
        <v>0</v>
      </c>
      <c r="L24" s="483">
        <f t="shared" ca="1" si="6"/>
        <v>0</v>
      </c>
      <c r="M24" s="483">
        <f t="shared" ca="1" si="6"/>
        <v>0</v>
      </c>
      <c r="N24" s="483">
        <f t="shared" ca="1" si="6"/>
        <v>0</v>
      </c>
      <c r="O24" s="483">
        <f t="shared" ca="1" si="6"/>
        <v>0</v>
      </c>
      <c r="P24" s="483">
        <f t="shared" ca="1" si="6"/>
        <v>0</v>
      </c>
      <c r="Q24" s="483">
        <f t="shared" ca="1" si="6"/>
        <v>0</v>
      </c>
      <c r="R24" s="483">
        <f t="shared" ca="1" si="6"/>
        <v>0</v>
      </c>
      <c r="S24" s="483">
        <f t="shared" ca="1" si="6"/>
        <v>0</v>
      </c>
      <c r="T24" s="483">
        <f t="shared" ca="1" si="6"/>
        <v>0</v>
      </c>
      <c r="U24" s="483">
        <f t="shared" ca="1" si="6"/>
        <v>0</v>
      </c>
      <c r="V24" s="483">
        <f t="shared" ca="1" si="6"/>
        <v>0</v>
      </c>
      <c r="W24" s="483">
        <f t="shared" ca="1" si="6"/>
        <v>0</v>
      </c>
      <c r="X24" s="483">
        <f t="shared" ca="1" si="6"/>
        <v>0</v>
      </c>
      <c r="Y24" s="483">
        <f t="shared" ca="1" si="6"/>
        <v>0</v>
      </c>
      <c r="Z24" s="483">
        <f t="shared" ca="1" si="6"/>
        <v>0</v>
      </c>
      <c r="AA24" s="483">
        <f t="shared" ca="1" si="6"/>
        <v>0</v>
      </c>
      <c r="AB24" s="483">
        <f t="shared" ca="1" si="6"/>
        <v>0</v>
      </c>
      <c r="AC24" s="483">
        <f t="shared" ca="1" si="6"/>
        <v>0</v>
      </c>
      <c r="AD24" s="483">
        <f t="shared" ca="1" si="6"/>
        <v>0</v>
      </c>
      <c r="AE24" s="483">
        <f t="shared" ca="1" si="6"/>
        <v>0</v>
      </c>
      <c r="AF24" s="483">
        <f t="shared" ca="1" si="6"/>
        <v>0</v>
      </c>
      <c r="AG24" s="483">
        <f t="shared" ca="1" si="6"/>
        <v>0</v>
      </c>
      <c r="AH24" s="483">
        <f t="shared" ca="1" si="6"/>
        <v>0</v>
      </c>
    </row>
    <row r="25" spans="1:34">
      <c r="A25" s="266"/>
      <c r="B25" s="64"/>
      <c r="C25" s="64"/>
      <c r="D25"/>
      <c r="E25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</row>
    <row r="26" spans="1:34">
      <c r="A26" s="266"/>
      <c r="B26" s="64"/>
      <c r="C26" s="64"/>
      <c r="D2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</row>
    <row r="27" spans="1:34" ht="7.2" customHeight="1">
      <c r="A27" s="266"/>
      <c r="B27" s="11"/>
      <c r="C27" s="266"/>
      <c r="D27" s="266"/>
      <c r="E27" s="266"/>
      <c r="F27" s="266"/>
      <c r="G27" s="266"/>
      <c r="H27" s="266"/>
      <c r="I27" s="266"/>
      <c r="J27" s="266"/>
      <c r="K27" s="266"/>
      <c r="L27" s="266"/>
      <c r="M27" s="266"/>
      <c r="N27" s="266"/>
      <c r="O27" s="266"/>
      <c r="P27" s="266"/>
      <c r="Q27" s="266"/>
      <c r="R27" s="266"/>
      <c r="S27" s="266"/>
      <c r="T27" s="266"/>
      <c r="U27" s="266"/>
      <c r="V27" s="266"/>
      <c r="W27" s="266"/>
      <c r="X27" s="266"/>
      <c r="Y27" s="266"/>
      <c r="Z27" s="266"/>
      <c r="AA27" s="266"/>
      <c r="AB27" s="266"/>
      <c r="AC27" s="266"/>
      <c r="AD27" s="266"/>
      <c r="AE27" s="266"/>
      <c r="AF27" s="266"/>
      <c r="AG27" s="266"/>
      <c r="AH27" s="266"/>
    </row>
  </sheetData>
  <pageMargins left="0.7" right="0.7" top="0.75" bottom="0.75" header="0.3" footer="0.3"/>
  <pageSetup paperSize="9" scale="2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1BE93-B1DF-484E-96A0-71DB7B4CB8E5}">
  <sheetPr codeName="Sheet3">
    <tabColor rgb="FF005EB8"/>
    <outlinePr summaryBelow="0" summaryRight="0"/>
  </sheetPr>
  <dimension ref="A1:BB361"/>
  <sheetViews>
    <sheetView showGridLines="0" view="pageBreakPreview" topLeftCell="O97" zoomScale="130" zoomScaleNormal="90" zoomScaleSheetLayoutView="130" workbookViewId="0">
      <selection activeCell="AM95" sqref="AM95"/>
    </sheetView>
  </sheetViews>
  <sheetFormatPr defaultColWidth="0" defaultRowHeight="15.6" outlineLevelRow="3"/>
  <cols>
    <col min="1" max="1" width="2.6640625" style="1" customWidth="1"/>
    <col min="2" max="2" width="8.6640625" style="1" customWidth="1"/>
    <col min="3" max="3" width="54" style="1" customWidth="1"/>
    <col min="4" max="4" width="19.6640625" style="1" bestFit="1" customWidth="1"/>
    <col min="5" max="5" width="18.5546875" style="1" customWidth="1"/>
    <col min="6" max="6" width="15.44140625" style="1" customWidth="1"/>
    <col min="7" max="7" width="16.6640625" style="1" customWidth="1"/>
    <col min="8" max="8" width="14.6640625" style="1" bestFit="1" customWidth="1"/>
    <col min="9" max="9" width="14.33203125" style="1" bestFit="1" customWidth="1"/>
    <col min="10" max="10" width="15" style="1" bestFit="1" customWidth="1"/>
    <col min="11" max="16" width="12.5546875" style="1" bestFit="1" customWidth="1"/>
    <col min="17" max="17" width="15" style="1" bestFit="1" customWidth="1"/>
    <col min="18" max="21" width="12.5546875" style="1" bestFit="1" customWidth="1"/>
    <col min="22" max="22" width="13.6640625" style="1" bestFit="1" customWidth="1"/>
    <col min="23" max="38" width="12.5546875" style="1" bestFit="1" customWidth="1"/>
    <col min="39" max="39" width="9.5546875" style="1" bestFit="1" customWidth="1"/>
    <col min="40" max="40" width="9.6640625" style="1" bestFit="1" customWidth="1"/>
    <col min="41" max="41" width="9.5546875" style="1" bestFit="1" customWidth="1"/>
    <col min="42" max="42" width="9.44140625" style="1" customWidth="1"/>
    <col min="43" max="43" width="9.6640625" style="1" customWidth="1"/>
    <col min="44" max="44" width="9.6640625" style="1" hidden="1" customWidth="1"/>
    <col min="45" max="46" width="9.5546875" style="1" hidden="1" customWidth="1"/>
    <col min="47" max="47" width="9.6640625" style="1" hidden="1" customWidth="1"/>
    <col min="48" max="51" width="9.5546875" style="1" hidden="1" customWidth="1"/>
    <col min="52" max="52" width="9.6640625" style="1" hidden="1" customWidth="1"/>
    <col min="53" max="54" width="9.5546875" style="1" hidden="1" customWidth="1"/>
    <col min="55" max="16384" width="9.33203125" style="1" hidden="1"/>
  </cols>
  <sheetData>
    <row r="1" spans="1:43" s="120" customFormat="1">
      <c r="A1" s="386" t="s">
        <v>129</v>
      </c>
      <c r="B1" s="386"/>
      <c r="C1" s="386"/>
      <c r="D1" s="386"/>
      <c r="E1" s="393"/>
      <c r="F1" s="393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6"/>
      <c r="AD1" s="386"/>
      <c r="AE1" s="386"/>
      <c r="AF1" s="386"/>
      <c r="AG1" s="386"/>
      <c r="AH1" s="386"/>
      <c r="AI1" s="386"/>
      <c r="AJ1" s="386"/>
      <c r="AK1" s="386"/>
      <c r="AL1" s="386"/>
      <c r="AM1" s="386"/>
      <c r="AN1" s="386"/>
      <c r="AO1" s="386"/>
      <c r="AP1" s="386"/>
      <c r="AQ1" s="386"/>
    </row>
    <row r="2" spans="1:43" s="120" customFormat="1">
      <c r="A2" s="386"/>
      <c r="B2" s="386"/>
      <c r="C2" s="386"/>
      <c r="D2" s="386"/>
      <c r="E2" s="393"/>
      <c r="F2" s="393"/>
      <c r="G2" s="386"/>
      <c r="H2" s="386"/>
      <c r="I2" s="386"/>
      <c r="J2" s="386"/>
      <c r="K2" s="386"/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W2" s="386"/>
      <c r="X2" s="386"/>
      <c r="Y2" s="386"/>
      <c r="Z2" s="386"/>
      <c r="AA2" s="386"/>
      <c r="AB2" s="386"/>
      <c r="AC2" s="386"/>
      <c r="AD2" s="386"/>
      <c r="AE2" s="386"/>
      <c r="AF2" s="386"/>
      <c r="AG2" s="386"/>
      <c r="AH2" s="386"/>
      <c r="AI2" s="386"/>
      <c r="AJ2" s="386"/>
      <c r="AK2" s="386"/>
      <c r="AL2" s="386"/>
      <c r="AM2" s="386"/>
      <c r="AN2" s="386"/>
      <c r="AO2" s="386"/>
      <c r="AP2" s="386"/>
      <c r="AQ2" s="386"/>
    </row>
    <row r="3" spans="1:43" s="120" customFormat="1">
      <c r="A3" s="386"/>
      <c r="B3" s="386"/>
      <c r="C3" s="386" t="s">
        <v>130</v>
      </c>
      <c r="D3" s="386"/>
      <c r="E3" s="393"/>
      <c r="F3" s="393"/>
      <c r="G3" s="386"/>
      <c r="H3" s="386"/>
      <c r="I3" s="386"/>
      <c r="J3" s="386"/>
      <c r="K3" s="386"/>
      <c r="L3" s="386"/>
      <c r="M3" s="386"/>
      <c r="N3" s="386"/>
      <c r="O3" s="386"/>
      <c r="P3" s="386"/>
      <c r="Q3" s="386"/>
      <c r="R3" s="386"/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6"/>
      <c r="AD3" s="386"/>
      <c r="AE3" s="386"/>
      <c r="AF3" s="386"/>
      <c r="AG3" s="386"/>
      <c r="AH3" s="386"/>
      <c r="AI3" s="386"/>
      <c r="AJ3" s="386"/>
      <c r="AK3" s="386"/>
      <c r="AL3" s="386"/>
      <c r="AM3" s="386"/>
      <c r="AN3" s="386"/>
      <c r="AO3" s="386"/>
      <c r="AP3" s="386"/>
      <c r="AQ3" s="386"/>
    </row>
    <row r="4" spans="1:43" s="120" customFormat="1">
      <c r="A4" s="386"/>
      <c r="B4" s="386"/>
      <c r="C4" s="386"/>
      <c r="D4" s="398"/>
      <c r="E4" s="393"/>
      <c r="F4" s="393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6"/>
      <c r="AD4" s="386"/>
      <c r="AE4" s="386"/>
      <c r="AF4" s="386"/>
      <c r="AG4" s="386"/>
      <c r="AH4" s="386"/>
      <c r="AI4" s="386"/>
      <c r="AJ4" s="386"/>
      <c r="AK4" s="386"/>
      <c r="AL4" s="386"/>
      <c r="AM4" s="386"/>
      <c r="AN4" s="386"/>
      <c r="AO4" s="386"/>
      <c r="AP4" s="386"/>
      <c r="AQ4" s="386"/>
    </row>
    <row r="6" spans="1:43" s="266" customFormat="1" ht="16.2" thickBot="1">
      <c r="C6" s="394" t="s">
        <v>131</v>
      </c>
      <c r="D6" s="395"/>
      <c r="E6" s="396"/>
      <c r="F6" s="395"/>
      <c r="G6" s="395"/>
      <c r="H6" s="395"/>
      <c r="I6" s="395"/>
      <c r="J6" s="395"/>
      <c r="K6" s="395"/>
      <c r="L6" s="395"/>
      <c r="M6" s="395"/>
      <c r="N6" s="395"/>
      <c r="O6" s="395"/>
      <c r="P6" s="395"/>
      <c r="Q6" s="395"/>
      <c r="R6" s="395"/>
      <c r="S6" s="395"/>
      <c r="T6" s="395"/>
      <c r="U6" s="395"/>
      <c r="V6" s="395"/>
      <c r="W6" s="395"/>
      <c r="X6" s="395"/>
      <c r="Y6" s="395"/>
      <c r="Z6" s="395"/>
      <c r="AA6" s="395"/>
      <c r="AB6" s="395"/>
      <c r="AC6" s="395"/>
      <c r="AD6" s="395"/>
      <c r="AE6" s="395"/>
      <c r="AF6" s="395"/>
      <c r="AG6" s="395"/>
      <c r="AH6" s="395"/>
      <c r="AI6" s="395"/>
      <c r="AJ6" s="395"/>
      <c r="AK6" s="8"/>
      <c r="AL6" s="8"/>
      <c r="AM6" s="8"/>
    </row>
    <row r="7" spans="1:43" outlineLevel="1">
      <c r="A7" s="266"/>
      <c r="B7" s="266"/>
      <c r="C7" s="266"/>
      <c r="D7" s="266"/>
      <c r="E7" s="266"/>
      <c r="F7" s="266"/>
      <c r="G7" s="266"/>
      <c r="H7" s="266"/>
      <c r="I7" s="266"/>
      <c r="J7" s="266"/>
      <c r="K7" s="266"/>
      <c r="L7" s="266"/>
      <c r="M7" s="266"/>
      <c r="N7" s="266"/>
      <c r="O7" s="266"/>
      <c r="P7" s="266"/>
      <c r="Q7" s="266"/>
      <c r="R7" s="266"/>
      <c r="S7" s="266"/>
      <c r="T7" s="266"/>
      <c r="U7" s="266"/>
      <c r="V7" s="266"/>
      <c r="W7" s="266"/>
      <c r="X7" s="266"/>
      <c r="Y7" s="266"/>
      <c r="Z7" s="266"/>
      <c r="AA7" s="266"/>
      <c r="AB7" s="266"/>
      <c r="AC7" s="266"/>
      <c r="AD7" s="266"/>
      <c r="AE7" s="266"/>
      <c r="AF7" s="266"/>
      <c r="AG7" s="266"/>
      <c r="AH7" s="266"/>
      <c r="AI7" s="266"/>
      <c r="AJ7" s="266"/>
      <c r="AK7" s="266"/>
      <c r="AL7" s="266"/>
      <c r="AM7" s="266"/>
      <c r="AN7" s="266"/>
      <c r="AO7" s="266"/>
      <c r="AP7" s="266"/>
      <c r="AQ7" s="266"/>
    </row>
    <row r="8" spans="1:43" outlineLevel="1">
      <c r="A8" s="266"/>
      <c r="B8" s="266"/>
      <c r="C8" s="5" t="s">
        <v>132</v>
      </c>
      <c r="D8" s="4" t="s">
        <v>133</v>
      </c>
      <c r="E8" s="9">
        <v>46388</v>
      </c>
      <c r="F8" s="266"/>
      <c r="G8" s="266"/>
      <c r="H8" s="266"/>
      <c r="I8" s="266"/>
      <c r="J8" s="266"/>
      <c r="K8" s="266"/>
      <c r="L8" s="266"/>
      <c r="M8" s="266"/>
      <c r="N8" s="266"/>
      <c r="O8" s="266"/>
      <c r="P8" s="266"/>
      <c r="Q8" s="266"/>
      <c r="R8" s="266"/>
      <c r="S8" s="266"/>
      <c r="T8" s="266"/>
      <c r="U8" s="266"/>
      <c r="V8" s="266"/>
      <c r="W8" s="266"/>
      <c r="X8" s="266"/>
      <c r="Y8" s="266"/>
      <c r="Z8" s="266"/>
      <c r="AA8" s="266"/>
      <c r="AB8" s="266"/>
      <c r="AC8" s="266"/>
      <c r="AD8" s="266"/>
      <c r="AE8" s="266"/>
      <c r="AF8" s="266"/>
      <c r="AG8" s="266"/>
      <c r="AH8" s="266"/>
      <c r="AI8" s="266"/>
      <c r="AJ8" s="266"/>
      <c r="AK8" s="266"/>
      <c r="AL8" s="266"/>
      <c r="AM8" s="266"/>
      <c r="AN8" s="266"/>
      <c r="AO8" s="266"/>
      <c r="AP8" s="266"/>
      <c r="AQ8" s="266"/>
    </row>
    <row r="9" spans="1:43" outlineLevel="1">
      <c r="A9" s="266"/>
      <c r="B9" s="266"/>
      <c r="C9" s="5"/>
      <c r="D9" s="266"/>
      <c r="E9" s="266"/>
      <c r="F9" s="266"/>
      <c r="G9" s="266"/>
      <c r="H9" s="266"/>
      <c r="I9" s="266"/>
      <c r="J9" s="266"/>
      <c r="K9" s="266"/>
      <c r="L9" s="266"/>
      <c r="M9" s="266"/>
      <c r="N9" s="266"/>
      <c r="O9" s="266"/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66"/>
      <c r="AD9" s="266"/>
      <c r="AE9" s="266"/>
      <c r="AF9" s="266"/>
      <c r="AG9" s="266"/>
      <c r="AH9" s="266"/>
      <c r="AI9" s="266"/>
      <c r="AJ9" s="266"/>
      <c r="AK9" s="266"/>
      <c r="AL9" s="266"/>
      <c r="AM9" s="266"/>
      <c r="AN9" s="266"/>
      <c r="AO9" s="266"/>
      <c r="AP9" s="266"/>
      <c r="AQ9" s="266"/>
    </row>
    <row r="10" spans="1:43" outlineLevel="1">
      <c r="A10" s="266"/>
      <c r="B10" s="266"/>
      <c r="C10" s="5" t="s">
        <v>134</v>
      </c>
      <c r="D10" s="4"/>
      <c r="E10" s="399">
        <v>12</v>
      </c>
      <c r="F10" s="266"/>
      <c r="G10" s="266"/>
      <c r="H10" s="266"/>
      <c r="I10" s="266"/>
      <c r="J10" s="266"/>
      <c r="K10" s="266"/>
      <c r="L10" s="266"/>
      <c r="M10" s="266"/>
      <c r="N10" s="266"/>
      <c r="O10" s="266"/>
      <c r="P10" s="266"/>
      <c r="Q10" s="266"/>
      <c r="R10" s="266"/>
      <c r="S10" s="266"/>
      <c r="T10" s="266"/>
      <c r="U10" s="266"/>
      <c r="V10" s="266"/>
      <c r="W10" s="266"/>
      <c r="X10" s="266"/>
      <c r="Y10" s="266"/>
      <c r="Z10" s="266"/>
      <c r="AA10" s="266"/>
      <c r="AB10" s="266"/>
      <c r="AC10" s="266"/>
      <c r="AD10" s="266"/>
      <c r="AE10" s="266"/>
      <c r="AF10" s="266"/>
      <c r="AG10" s="266"/>
      <c r="AH10" s="266"/>
      <c r="AI10" s="266"/>
      <c r="AJ10" s="266"/>
      <c r="AK10" s="266"/>
      <c r="AL10" s="266"/>
      <c r="AM10" s="266"/>
      <c r="AN10" s="266"/>
      <c r="AO10" s="266"/>
      <c r="AP10" s="266"/>
      <c r="AQ10" s="266"/>
    </row>
    <row r="11" spans="1:43" outlineLevel="1">
      <c r="A11" s="266"/>
      <c r="B11" s="266"/>
      <c r="C11" s="5"/>
      <c r="D11" s="4"/>
      <c r="E11" s="266"/>
      <c r="F11" s="266"/>
      <c r="G11" s="266"/>
      <c r="H11" s="266"/>
      <c r="I11" s="266"/>
      <c r="J11" s="266"/>
      <c r="K11" s="266"/>
      <c r="L11" s="266"/>
      <c r="M11" s="266"/>
      <c r="N11" s="266"/>
      <c r="O11" s="266"/>
      <c r="P11" s="266"/>
      <c r="Q11" s="266"/>
      <c r="R11" s="266"/>
      <c r="S11" s="266"/>
      <c r="T11" s="266"/>
      <c r="U11" s="266"/>
      <c r="V11" s="266"/>
      <c r="W11" s="266"/>
      <c r="X11" s="266"/>
      <c r="Y11" s="266"/>
      <c r="Z11" s="266"/>
      <c r="AA11" s="266"/>
      <c r="AB11" s="266"/>
      <c r="AC11" s="266"/>
      <c r="AD11" s="266"/>
      <c r="AE11" s="266"/>
      <c r="AF11" s="266"/>
      <c r="AG11" s="266"/>
      <c r="AH11" s="266"/>
      <c r="AI11" s="266"/>
      <c r="AJ11" s="266"/>
      <c r="AK11" s="266"/>
      <c r="AL11" s="266"/>
      <c r="AM11" s="266"/>
      <c r="AN11" s="266"/>
      <c r="AO11" s="266"/>
      <c r="AP11" s="266"/>
      <c r="AQ11" s="266"/>
    </row>
    <row r="12" spans="1:43" outlineLevel="1">
      <c r="A12" s="266"/>
      <c r="B12" s="266"/>
      <c r="C12" s="5" t="s">
        <v>135</v>
      </c>
      <c r="D12" s="4"/>
      <c r="E12" s="266"/>
      <c r="F12" s="266"/>
      <c r="G12" s="266"/>
      <c r="H12" s="266"/>
      <c r="I12" s="266"/>
      <c r="J12" s="266"/>
      <c r="K12" s="266"/>
      <c r="L12" s="266"/>
      <c r="M12" s="266"/>
      <c r="N12" s="266"/>
      <c r="O12" s="266"/>
      <c r="P12" s="266"/>
      <c r="Q12" s="266"/>
      <c r="R12" s="266"/>
      <c r="S12" s="266"/>
      <c r="T12" s="266"/>
      <c r="U12" s="266"/>
      <c r="V12" s="266"/>
      <c r="W12" s="266"/>
      <c r="X12" s="266"/>
      <c r="Y12" s="266"/>
      <c r="Z12" s="266"/>
      <c r="AA12" s="266"/>
      <c r="AB12" s="266"/>
      <c r="AC12" s="266"/>
      <c r="AD12" s="266"/>
      <c r="AE12" s="266"/>
      <c r="AF12" s="266"/>
      <c r="AG12" s="266"/>
      <c r="AH12" s="266"/>
      <c r="AI12" s="266"/>
      <c r="AJ12" s="266"/>
      <c r="AK12" s="266"/>
      <c r="AL12" s="266"/>
      <c r="AM12" s="266"/>
      <c r="AN12" s="266"/>
      <c r="AO12" s="266"/>
      <c r="AP12" s="266"/>
      <c r="AQ12" s="266"/>
    </row>
    <row r="13" spans="1:43" outlineLevel="2">
      <c r="A13" s="266"/>
      <c r="B13" s="266"/>
      <c r="C13" s="57" t="s">
        <v>136</v>
      </c>
      <c r="D13" s="4"/>
      <c r="E13" s="105">
        <v>1</v>
      </c>
      <c r="F13" s="266"/>
      <c r="G13" s="266"/>
      <c r="H13" s="266"/>
      <c r="I13" s="266"/>
      <c r="J13" s="266"/>
      <c r="K13" s="266"/>
      <c r="L13" s="266"/>
      <c r="M13" s="266"/>
      <c r="N13" s="266"/>
      <c r="O13" s="266"/>
      <c r="P13" s="266"/>
      <c r="Q13" s="266"/>
      <c r="R13" s="266"/>
      <c r="S13" s="266"/>
      <c r="T13" s="266"/>
      <c r="U13" s="266"/>
      <c r="V13" s="266"/>
      <c r="W13" s="266"/>
      <c r="X13" s="266"/>
      <c r="Y13" s="266"/>
      <c r="Z13" s="266"/>
      <c r="AA13" s="266"/>
      <c r="AB13" s="266"/>
      <c r="AC13" s="266"/>
      <c r="AD13" s="266"/>
      <c r="AE13" s="266"/>
      <c r="AF13" s="266"/>
      <c r="AG13" s="266"/>
      <c r="AH13" s="266"/>
      <c r="AI13" s="266"/>
      <c r="AJ13" s="266"/>
      <c r="AK13" s="266"/>
      <c r="AL13" s="266"/>
      <c r="AM13" s="266"/>
      <c r="AN13" s="266"/>
      <c r="AO13" s="266"/>
      <c r="AP13" s="266"/>
      <c r="AQ13" s="266"/>
    </row>
    <row r="14" spans="1:43" outlineLevel="2">
      <c r="A14" s="266"/>
      <c r="B14" s="266"/>
      <c r="C14" s="57" t="s">
        <v>137</v>
      </c>
      <c r="D14" s="4"/>
      <c r="E14" s="266"/>
      <c r="F14" s="266"/>
      <c r="G14" s="266"/>
      <c r="H14" s="266"/>
      <c r="I14" s="266"/>
      <c r="J14" s="266"/>
      <c r="K14" s="266"/>
      <c r="L14" s="266"/>
      <c r="M14" s="266"/>
      <c r="N14" s="266"/>
      <c r="O14" s="266"/>
      <c r="P14" s="266"/>
      <c r="Q14" s="266"/>
      <c r="R14" s="266"/>
      <c r="S14" s="266"/>
      <c r="T14" s="266"/>
      <c r="U14" s="266"/>
      <c r="V14" s="266"/>
      <c r="W14" s="266"/>
      <c r="X14" s="266"/>
      <c r="Y14" s="266"/>
      <c r="Z14" s="266"/>
      <c r="AA14" s="266"/>
      <c r="AB14" s="266"/>
      <c r="AC14" s="266"/>
      <c r="AD14" s="266"/>
      <c r="AE14" s="266"/>
      <c r="AF14" s="266"/>
      <c r="AG14" s="266"/>
      <c r="AH14" s="266"/>
      <c r="AI14" s="266"/>
      <c r="AJ14" s="266"/>
      <c r="AK14" s="266"/>
      <c r="AL14" s="266"/>
      <c r="AM14" s="266"/>
      <c r="AN14" s="266"/>
      <c r="AO14" s="266"/>
      <c r="AP14" s="266"/>
      <c r="AQ14" s="266"/>
    </row>
    <row r="15" spans="1:43" outlineLevel="2">
      <c r="A15" s="266"/>
      <c r="B15" s="266"/>
      <c r="C15" s="57" t="s">
        <v>138</v>
      </c>
      <c r="D15" s="4"/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6"/>
      <c r="P15" s="266"/>
      <c r="Q15" s="266"/>
      <c r="R15" s="266"/>
      <c r="S15" s="266"/>
      <c r="T15" s="266"/>
      <c r="U15" s="266"/>
      <c r="V15" s="266"/>
      <c r="W15" s="266"/>
      <c r="X15" s="266"/>
      <c r="Y15" s="266"/>
      <c r="Z15" s="266"/>
      <c r="AA15" s="266"/>
      <c r="AB15" s="266"/>
      <c r="AC15" s="266"/>
      <c r="AD15" s="266"/>
      <c r="AE15" s="266"/>
      <c r="AF15" s="266"/>
      <c r="AG15" s="266"/>
      <c r="AH15" s="266"/>
      <c r="AI15" s="266"/>
      <c r="AJ15" s="266"/>
      <c r="AK15" s="266"/>
      <c r="AL15" s="266"/>
      <c r="AM15" s="266"/>
      <c r="AN15" s="266"/>
      <c r="AO15" s="266"/>
      <c r="AP15" s="266"/>
      <c r="AQ15" s="266"/>
    </row>
    <row r="16" spans="1:43" outlineLevel="2">
      <c r="A16" s="266"/>
      <c r="B16" s="266"/>
      <c r="C16" s="57" t="s">
        <v>139</v>
      </c>
      <c r="D16" s="4"/>
      <c r="E16" s="266"/>
      <c r="F16" s="266"/>
      <c r="G16" s="266"/>
      <c r="H16" s="266"/>
      <c r="I16" s="266"/>
      <c r="J16" s="266"/>
      <c r="K16" s="266"/>
      <c r="L16" s="266"/>
      <c r="M16" s="266"/>
      <c r="N16" s="266"/>
      <c r="O16" s="266"/>
      <c r="P16" s="266"/>
      <c r="Q16" s="266"/>
      <c r="R16" s="266"/>
      <c r="S16" s="266"/>
      <c r="T16" s="266"/>
      <c r="U16" s="266"/>
      <c r="V16" s="266"/>
      <c r="W16" s="266"/>
      <c r="X16" s="266"/>
      <c r="Y16" s="266"/>
      <c r="Z16" s="266"/>
      <c r="AA16" s="266"/>
      <c r="AB16" s="266"/>
      <c r="AC16" s="266"/>
      <c r="AD16" s="266"/>
      <c r="AE16" s="266"/>
      <c r="AF16" s="266"/>
      <c r="AG16" s="266"/>
      <c r="AH16" s="266"/>
      <c r="AI16" s="266"/>
      <c r="AJ16" s="266"/>
      <c r="AK16" s="266"/>
      <c r="AL16" s="266"/>
      <c r="AM16" s="266"/>
      <c r="AN16" s="266"/>
      <c r="AO16" s="266"/>
      <c r="AP16" s="266"/>
      <c r="AQ16" s="266"/>
    </row>
    <row r="17" spans="3:39" outlineLevel="1">
      <c r="C17" s="57"/>
      <c r="D17" s="4"/>
      <c r="E17" s="266"/>
      <c r="F17" s="266"/>
      <c r="G17" s="266"/>
      <c r="H17" s="266"/>
      <c r="I17" s="266"/>
      <c r="J17" s="266"/>
      <c r="K17" s="266"/>
      <c r="L17" s="266"/>
      <c r="M17" s="266"/>
      <c r="N17" s="266"/>
      <c r="O17" s="266"/>
      <c r="P17" s="266"/>
      <c r="Q17" s="266"/>
      <c r="R17" s="266"/>
      <c r="S17" s="266"/>
      <c r="T17" s="266"/>
      <c r="U17" s="266"/>
      <c r="V17" s="266"/>
      <c r="W17" s="266"/>
      <c r="X17" s="266"/>
      <c r="Y17" s="266"/>
      <c r="Z17" s="266"/>
      <c r="AA17" s="266"/>
      <c r="AB17" s="266"/>
      <c r="AC17" s="266"/>
      <c r="AD17" s="266"/>
      <c r="AE17" s="266"/>
      <c r="AF17" s="266"/>
      <c r="AG17" s="266"/>
      <c r="AH17" s="266"/>
      <c r="AI17" s="266"/>
      <c r="AJ17" s="266"/>
      <c r="AK17" s="266"/>
      <c r="AL17" s="266"/>
      <c r="AM17" s="266"/>
    </row>
    <row r="18" spans="3:39" outlineLevel="1">
      <c r="C18" s="5" t="s">
        <v>140</v>
      </c>
      <c r="D18" s="4"/>
      <c r="E18" s="266"/>
      <c r="F18" s="266"/>
      <c r="G18" s="266"/>
      <c r="H18" s="266"/>
      <c r="I18" s="266"/>
      <c r="J18" s="266"/>
      <c r="K18" s="266"/>
      <c r="L18" s="266"/>
      <c r="M18" s="266"/>
      <c r="N18" s="266"/>
      <c r="O18" s="266"/>
      <c r="P18" s="266"/>
      <c r="Q18" s="266"/>
      <c r="R18" s="266"/>
      <c r="S18" s="266"/>
      <c r="T18" s="266"/>
      <c r="U18" s="266"/>
      <c r="V18" s="266"/>
      <c r="W18" s="266"/>
      <c r="X18" s="266"/>
      <c r="Y18" s="266"/>
      <c r="Z18" s="266"/>
      <c r="AA18" s="266"/>
      <c r="AB18" s="266"/>
      <c r="AC18" s="266"/>
      <c r="AD18" s="266"/>
      <c r="AE18" s="266"/>
      <c r="AF18" s="266"/>
      <c r="AG18" s="266"/>
      <c r="AH18" s="266"/>
      <c r="AI18" s="266"/>
      <c r="AJ18" s="266"/>
      <c r="AK18" s="266"/>
      <c r="AL18" s="266"/>
      <c r="AM18" s="266"/>
    </row>
    <row r="19" spans="3:39" outlineLevel="2">
      <c r="C19" s="57" t="s">
        <v>141</v>
      </c>
      <c r="D19" s="4"/>
      <c r="E19" s="105">
        <v>2</v>
      </c>
      <c r="F19" s="266" t="str" cm="1">
        <f t="array" ref="F19">INDEX(C19:C20,E19)</f>
        <v>Real</v>
      </c>
      <c r="G19" s="266"/>
      <c r="H19" s="266"/>
      <c r="I19" s="266"/>
      <c r="J19" s="266"/>
      <c r="K19" s="266"/>
      <c r="L19" s="266"/>
      <c r="M19" s="266"/>
      <c r="N19" s="266"/>
      <c r="O19" s="266"/>
      <c r="P19" s="266"/>
      <c r="Q19" s="266"/>
      <c r="R19" s="266"/>
      <c r="S19" s="266"/>
      <c r="T19" s="266"/>
      <c r="U19" s="266"/>
      <c r="V19" s="266"/>
      <c r="W19" s="266"/>
      <c r="X19" s="266"/>
      <c r="Y19" s="266"/>
      <c r="Z19" s="266"/>
      <c r="AA19" s="266"/>
      <c r="AB19" s="266"/>
      <c r="AC19" s="266"/>
      <c r="AD19" s="266"/>
      <c r="AE19" s="266"/>
      <c r="AF19" s="266"/>
      <c r="AG19" s="266"/>
      <c r="AH19" s="266"/>
      <c r="AI19" s="266"/>
      <c r="AJ19" s="266"/>
      <c r="AK19" s="266"/>
      <c r="AL19" s="266"/>
      <c r="AM19" s="266"/>
    </row>
    <row r="20" spans="3:39" outlineLevel="2">
      <c r="C20" s="57" t="s">
        <v>142</v>
      </c>
      <c r="D20" s="4"/>
      <c r="E20" s="266"/>
      <c r="F20" s="266"/>
      <c r="G20" s="266"/>
      <c r="H20" s="266"/>
      <c r="I20" s="266"/>
      <c r="J20" s="266"/>
      <c r="K20" s="266"/>
      <c r="L20" s="266"/>
      <c r="M20" s="266"/>
      <c r="N20" s="266"/>
      <c r="O20" s="266"/>
      <c r="P20" s="266"/>
      <c r="Q20" s="266"/>
      <c r="R20" s="266"/>
      <c r="S20" s="266"/>
      <c r="T20" s="266"/>
      <c r="U20" s="266"/>
      <c r="V20" s="266"/>
      <c r="W20" s="266"/>
      <c r="X20" s="266"/>
      <c r="Y20" s="266"/>
      <c r="Z20" s="266"/>
      <c r="AA20" s="266"/>
      <c r="AB20" s="266"/>
      <c r="AC20" s="266"/>
      <c r="AD20" s="266"/>
      <c r="AE20" s="266"/>
      <c r="AF20" s="266"/>
      <c r="AG20" s="266"/>
      <c r="AH20" s="266"/>
      <c r="AI20" s="266"/>
      <c r="AJ20" s="266"/>
      <c r="AK20" s="266"/>
      <c r="AL20" s="266"/>
      <c r="AM20" s="266"/>
    </row>
    <row r="21" spans="3:39" outlineLevel="1">
      <c r="C21" s="57"/>
      <c r="D21" s="4"/>
      <c r="E21" s="266"/>
      <c r="F21" s="266"/>
      <c r="G21" s="266"/>
      <c r="H21" s="266"/>
      <c r="I21" s="266"/>
      <c r="J21" s="266"/>
      <c r="K21" s="266"/>
      <c r="L21" s="266"/>
      <c r="M21" s="266"/>
      <c r="N21" s="266"/>
      <c r="O21" s="266"/>
      <c r="P21" s="266"/>
      <c r="Q21" s="266"/>
      <c r="R21" s="266"/>
      <c r="S21" s="266"/>
      <c r="T21" s="266"/>
      <c r="U21" s="266"/>
      <c r="V21" s="266"/>
      <c r="W21" s="266"/>
      <c r="X21" s="266"/>
      <c r="Y21" s="266"/>
      <c r="Z21" s="266"/>
      <c r="AA21" s="266"/>
      <c r="AB21" s="266"/>
      <c r="AC21" s="266"/>
      <c r="AD21" s="266"/>
      <c r="AE21" s="266"/>
      <c r="AF21" s="266"/>
      <c r="AG21" s="266"/>
      <c r="AH21" s="266"/>
      <c r="AI21" s="266"/>
      <c r="AJ21" s="266"/>
      <c r="AK21" s="266"/>
      <c r="AL21" s="266"/>
      <c r="AM21" s="266"/>
    </row>
    <row r="22" spans="3:39">
      <c r="C22" s="57"/>
      <c r="D22" s="4"/>
      <c r="E22" s="266"/>
      <c r="F22" s="266"/>
      <c r="G22" s="266"/>
      <c r="H22" s="266"/>
      <c r="I22" s="266"/>
      <c r="J22" s="266"/>
      <c r="K22" s="266"/>
      <c r="L22" s="266"/>
      <c r="M22" s="266"/>
      <c r="N22" s="266"/>
      <c r="O22" s="266"/>
      <c r="P22" s="266"/>
      <c r="Q22" s="266"/>
      <c r="R22" s="266"/>
      <c r="S22" s="266"/>
      <c r="T22" s="266"/>
      <c r="U22" s="266"/>
      <c r="V22" s="266"/>
      <c r="W22" s="266"/>
      <c r="X22" s="266"/>
      <c r="Y22" s="266"/>
      <c r="Z22" s="266"/>
      <c r="AA22" s="266"/>
      <c r="AB22" s="266"/>
      <c r="AC22" s="266"/>
      <c r="AD22" s="266"/>
      <c r="AE22" s="266"/>
      <c r="AF22" s="266"/>
      <c r="AG22" s="266"/>
      <c r="AH22" s="266"/>
      <c r="AI22" s="266"/>
      <c r="AJ22" s="266"/>
      <c r="AK22" s="266"/>
      <c r="AL22" s="266"/>
      <c r="AM22" s="266"/>
    </row>
    <row r="23" spans="3:39" s="266" customFormat="1" ht="16.2" thickBot="1">
      <c r="C23" s="394" t="s">
        <v>143</v>
      </c>
      <c r="D23" s="395"/>
      <c r="E23" s="396"/>
      <c r="F23" s="395"/>
      <c r="G23" s="395"/>
      <c r="H23" s="395"/>
      <c r="I23" s="395"/>
      <c r="J23" s="395"/>
      <c r="K23" s="395"/>
      <c r="L23" s="395"/>
      <c r="M23" s="395"/>
      <c r="N23" s="395"/>
      <c r="O23" s="395"/>
      <c r="P23" s="395"/>
      <c r="Q23" s="395"/>
      <c r="R23" s="395"/>
      <c r="S23" s="395"/>
      <c r="T23" s="395"/>
      <c r="U23" s="395"/>
      <c r="V23" s="395"/>
      <c r="W23" s="395"/>
      <c r="X23" s="395"/>
      <c r="Y23" s="395"/>
      <c r="Z23" s="395"/>
      <c r="AA23" s="395"/>
      <c r="AB23" s="395"/>
      <c r="AC23" s="395"/>
      <c r="AD23" s="395"/>
      <c r="AE23" s="395"/>
      <c r="AF23" s="395"/>
      <c r="AG23" s="395"/>
      <c r="AH23" s="395"/>
      <c r="AI23" s="395"/>
      <c r="AJ23" s="395"/>
      <c r="AK23" s="8"/>
      <c r="AL23" s="8"/>
      <c r="AM23" s="8"/>
    </row>
    <row r="24" spans="3:39" outlineLevel="1">
      <c r="C24" s="266"/>
      <c r="D24" s="266"/>
      <c r="E24" s="266"/>
      <c r="F24" s="266"/>
      <c r="G24" s="266"/>
      <c r="H24" s="266"/>
      <c r="I24" s="266"/>
      <c r="J24" s="266"/>
      <c r="K24" s="266"/>
      <c r="L24" s="266"/>
      <c r="M24" s="266"/>
      <c r="N24" s="266"/>
      <c r="O24" s="266"/>
      <c r="P24" s="266"/>
      <c r="Q24" s="266"/>
      <c r="R24" s="266"/>
      <c r="S24" s="266"/>
      <c r="T24" s="266"/>
      <c r="U24" s="266"/>
      <c r="V24" s="266"/>
      <c r="W24" s="266"/>
      <c r="X24" s="266"/>
      <c r="Y24" s="266"/>
      <c r="Z24" s="266"/>
      <c r="AA24" s="266"/>
      <c r="AB24" s="266"/>
      <c r="AC24" s="266"/>
      <c r="AD24" s="266"/>
      <c r="AE24" s="266"/>
      <c r="AF24" s="266"/>
      <c r="AG24" s="266"/>
      <c r="AH24" s="266"/>
      <c r="AI24" s="266"/>
      <c r="AJ24" s="266"/>
      <c r="AK24" s="266"/>
      <c r="AL24" s="266"/>
      <c r="AM24" s="266"/>
    </row>
    <row r="25" spans="3:39" outlineLevel="1">
      <c r="C25" s="5"/>
      <c r="D25" s="4"/>
      <c r="E25" s="400" t="s">
        <v>144</v>
      </c>
      <c r="F25" s="266"/>
      <c r="G25" s="266"/>
      <c r="H25" s="266"/>
      <c r="I25" s="266"/>
      <c r="J25" s="266"/>
      <c r="K25" s="266"/>
      <c r="L25" s="266"/>
      <c r="M25" s="266"/>
      <c r="N25" s="266"/>
      <c r="O25" s="266"/>
      <c r="P25" s="266"/>
      <c r="Q25" s="266"/>
      <c r="R25" s="266"/>
      <c r="S25" s="266"/>
      <c r="T25" s="266"/>
      <c r="U25" s="266"/>
      <c r="V25" s="266"/>
      <c r="W25" s="266"/>
      <c r="X25" s="266"/>
      <c r="Y25" s="266"/>
      <c r="Z25" s="266"/>
      <c r="AA25" s="266"/>
      <c r="AB25" s="266"/>
      <c r="AC25" s="266"/>
      <c r="AD25" s="266"/>
      <c r="AE25" s="266"/>
      <c r="AF25" s="266"/>
      <c r="AG25" s="266"/>
      <c r="AH25" s="266"/>
      <c r="AI25" s="266"/>
      <c r="AJ25" s="266"/>
      <c r="AK25" s="266"/>
      <c r="AL25" s="266"/>
      <c r="AM25" s="266"/>
    </row>
    <row r="26" spans="3:39" outlineLevel="1">
      <c r="C26" s="5" t="s">
        <v>145</v>
      </c>
      <c r="D26" s="4"/>
      <c r="E26" s="37">
        <f>Model_Start</f>
        <v>46388</v>
      </c>
      <c r="F26" s="266"/>
      <c r="G26" s="266"/>
      <c r="H26" s="297"/>
      <c r="I26" s="266"/>
      <c r="J26" s="266"/>
      <c r="K26" s="266"/>
      <c r="L26" s="266"/>
      <c r="M26" s="266"/>
      <c r="N26" s="266"/>
      <c r="O26" s="266"/>
      <c r="P26" s="266"/>
      <c r="Q26" s="266"/>
      <c r="R26" s="266"/>
      <c r="S26" s="266"/>
      <c r="T26" s="266"/>
      <c r="U26" s="266"/>
      <c r="V26" s="266"/>
      <c r="W26" s="266"/>
      <c r="X26" s="266"/>
      <c r="Y26" s="266"/>
      <c r="Z26" s="266"/>
      <c r="AA26" s="266"/>
      <c r="AB26" s="266"/>
      <c r="AC26" s="266"/>
      <c r="AD26" s="266"/>
      <c r="AE26" s="266"/>
      <c r="AF26" s="266"/>
      <c r="AG26" s="266"/>
      <c r="AH26" s="266"/>
      <c r="AI26" s="266"/>
      <c r="AJ26" s="266"/>
      <c r="AK26" s="266"/>
      <c r="AL26" s="266"/>
      <c r="AM26" s="266"/>
    </row>
    <row r="27" spans="3:39" outlineLevel="1">
      <c r="C27" s="5"/>
      <c r="D27" s="4"/>
      <c r="E27" s="266"/>
      <c r="F27" s="266"/>
      <c r="G27" s="266"/>
      <c r="H27" s="297"/>
      <c r="I27" s="266"/>
      <c r="J27" s="266"/>
      <c r="K27" s="266"/>
      <c r="L27" s="266"/>
      <c r="M27" s="266"/>
      <c r="N27" s="266"/>
      <c r="O27" s="266"/>
      <c r="P27" s="266"/>
      <c r="Q27" s="266"/>
      <c r="R27" s="266"/>
      <c r="S27" s="266"/>
      <c r="T27" s="266"/>
      <c r="U27" s="266"/>
      <c r="V27" s="266"/>
      <c r="W27" s="266"/>
      <c r="X27" s="266"/>
      <c r="Y27" s="266"/>
      <c r="Z27" s="266"/>
      <c r="AA27" s="266"/>
      <c r="AB27" s="266"/>
      <c r="AC27" s="266"/>
      <c r="AD27" s="266"/>
      <c r="AE27" s="266"/>
      <c r="AF27" s="266"/>
      <c r="AG27" s="266"/>
      <c r="AH27" s="266"/>
      <c r="AI27" s="266"/>
      <c r="AJ27" s="266"/>
      <c r="AK27" s="266"/>
      <c r="AL27" s="266"/>
      <c r="AM27" s="266"/>
    </row>
    <row r="28" spans="3:39" outlineLevel="1">
      <c r="C28" s="5"/>
      <c r="D28"/>
      <c r="E28" s="400" t="s">
        <v>146</v>
      </c>
      <c r="F28" s="266"/>
      <c r="G28" s="266"/>
      <c r="H28" s="266"/>
      <c r="I28" s="266"/>
      <c r="J28" s="266"/>
      <c r="K28" s="266"/>
      <c r="L28" s="266"/>
      <c r="M28" s="266"/>
      <c r="N28" s="266"/>
      <c r="O28" s="266"/>
      <c r="P28" s="266"/>
      <c r="Q28" s="266"/>
      <c r="R28" s="266"/>
      <c r="S28" s="266"/>
      <c r="T28" s="266"/>
      <c r="U28" s="266"/>
      <c r="V28" s="266"/>
      <c r="W28" s="266"/>
      <c r="X28" s="266"/>
      <c r="Y28" s="266"/>
      <c r="Z28" s="266"/>
      <c r="AA28" s="266"/>
      <c r="AB28" s="266"/>
      <c r="AC28" s="266"/>
      <c r="AD28" s="266"/>
      <c r="AE28" s="266"/>
      <c r="AF28" s="266"/>
      <c r="AG28" s="266"/>
      <c r="AH28" s="266"/>
      <c r="AI28" s="266"/>
      <c r="AJ28" s="266"/>
      <c r="AK28" s="266"/>
      <c r="AL28" s="266"/>
      <c r="AM28" s="266"/>
    </row>
    <row r="29" spans="3:39" outlineLevel="1">
      <c r="C29" s="5" t="s">
        <v>147</v>
      </c>
      <c r="D29"/>
      <c r="E29" s="37">
        <f>E26</f>
        <v>46388</v>
      </c>
      <c r="F29" s="298"/>
      <c r="G29" s="299"/>
      <c r="H29" s="299"/>
      <c r="I29" s="299"/>
      <c r="J29" s="299"/>
      <c r="K29" s="299"/>
      <c r="L29" s="266"/>
      <c r="M29" s="266"/>
      <c r="N29" s="266"/>
      <c r="O29" s="266"/>
      <c r="P29" s="266"/>
      <c r="Q29" s="266"/>
      <c r="R29" s="266"/>
      <c r="S29" s="266"/>
      <c r="T29" s="266"/>
      <c r="U29" s="266"/>
      <c r="V29" s="266"/>
      <c r="W29" s="266"/>
      <c r="X29" s="266"/>
      <c r="Y29" s="266"/>
      <c r="Z29" s="266"/>
      <c r="AA29" s="266"/>
      <c r="AB29" s="266"/>
      <c r="AC29" s="266"/>
      <c r="AD29" s="266"/>
      <c r="AE29" s="266"/>
      <c r="AF29" s="266"/>
      <c r="AG29" s="266"/>
      <c r="AH29" s="266"/>
      <c r="AI29" s="266"/>
      <c r="AJ29" s="266"/>
      <c r="AK29" s="266"/>
      <c r="AL29" s="266"/>
      <c r="AM29" s="266"/>
    </row>
    <row r="30" spans="3:39" outlineLevel="1">
      <c r="C30" s="5"/>
      <c r="D30" s="4"/>
      <c r="E30" s="266"/>
      <c r="F30" s="266"/>
      <c r="G30" s="266"/>
      <c r="H30" s="266"/>
      <c r="I30" s="266"/>
      <c r="J30" s="266"/>
      <c r="K30" s="266"/>
      <c r="L30" s="266"/>
      <c r="M30" s="266"/>
      <c r="N30" s="266"/>
      <c r="O30" s="266"/>
      <c r="P30" s="266"/>
      <c r="Q30" s="266"/>
      <c r="R30" s="266"/>
      <c r="S30" s="266"/>
      <c r="T30" s="266"/>
      <c r="U30" s="266"/>
      <c r="V30" s="266"/>
      <c r="W30" s="266"/>
      <c r="X30" s="266"/>
      <c r="Y30" s="266"/>
      <c r="Z30" s="266"/>
      <c r="AA30" s="266"/>
      <c r="AB30" s="266"/>
      <c r="AC30" s="266"/>
      <c r="AD30" s="266"/>
      <c r="AE30" s="266"/>
      <c r="AF30" s="266"/>
      <c r="AG30" s="266"/>
      <c r="AH30" s="266"/>
      <c r="AI30" s="266"/>
      <c r="AJ30" s="266"/>
      <c r="AK30" s="266"/>
      <c r="AL30" s="266"/>
      <c r="AM30" s="266"/>
    </row>
    <row r="31" spans="3:39" outlineLevel="1">
      <c r="C31" s="5"/>
      <c r="D31" s="4"/>
      <c r="E31" s="400" t="s">
        <v>148</v>
      </c>
      <c r="F31" s="266"/>
      <c r="G31" s="266"/>
      <c r="H31" s="266"/>
      <c r="I31" s="266"/>
      <c r="J31" s="266"/>
      <c r="K31" s="266"/>
      <c r="L31" s="266"/>
      <c r="M31" s="266"/>
      <c r="N31" s="266"/>
      <c r="O31" s="266"/>
      <c r="P31" s="266"/>
      <c r="Q31" s="266"/>
      <c r="R31" s="266"/>
      <c r="S31" s="266"/>
      <c r="T31" s="266"/>
      <c r="U31" s="266"/>
      <c r="V31" s="266"/>
      <c r="W31" s="266"/>
      <c r="X31" s="266"/>
      <c r="Y31" s="266"/>
      <c r="Z31" s="266"/>
      <c r="AA31" s="266"/>
      <c r="AB31" s="266"/>
      <c r="AC31" s="266"/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</row>
    <row r="32" spans="3:39" outlineLevel="1">
      <c r="C32" s="5" t="s">
        <v>149</v>
      </c>
      <c r="D32"/>
      <c r="E32" s="399">
        <v>30</v>
      </c>
      <c r="F32" s="4" t="s">
        <v>150</v>
      </c>
      <c r="G32" s="299"/>
      <c r="H32" s="299"/>
      <c r="I32" s="299"/>
      <c r="J32" s="299"/>
      <c r="K32" s="299"/>
      <c r="L32" s="266"/>
      <c r="M32" s="266"/>
      <c r="N32" s="266"/>
      <c r="O32" s="266"/>
      <c r="P32" s="266"/>
      <c r="Q32" s="266"/>
      <c r="R32" s="266"/>
      <c r="S32" s="266"/>
      <c r="T32" s="266"/>
      <c r="U32" s="266"/>
      <c r="V32" s="266"/>
      <c r="W32" s="266"/>
      <c r="X32" s="266"/>
      <c r="Y32" s="266"/>
      <c r="Z32" s="266"/>
      <c r="AA32" s="266"/>
      <c r="AB32" s="266"/>
      <c r="AC32" s="266"/>
      <c r="AD32" s="266"/>
      <c r="AE32" s="266"/>
      <c r="AF32" s="266"/>
      <c r="AG32" s="266"/>
      <c r="AH32" s="266"/>
      <c r="AI32" s="266"/>
      <c r="AJ32" s="266"/>
      <c r="AK32" s="266"/>
      <c r="AL32" s="266"/>
      <c r="AM32" s="266"/>
    </row>
    <row r="33" spans="3:39">
      <c r="C33" s="266"/>
      <c r="D33"/>
      <c r="E33" s="266"/>
      <c r="F33" s="266"/>
      <c r="G33" s="299"/>
      <c r="H33" s="299"/>
      <c r="I33" s="299"/>
      <c r="J33" s="299"/>
      <c r="K33" s="299"/>
      <c r="L33" s="266"/>
      <c r="M33" s="266"/>
      <c r="N33" s="266"/>
      <c r="O33" s="266"/>
      <c r="P33" s="266"/>
      <c r="Q33" s="266"/>
      <c r="R33" s="266"/>
      <c r="S33" s="266"/>
      <c r="T33" s="266"/>
      <c r="U33" s="266"/>
      <c r="V33" s="266"/>
      <c r="W33" s="266"/>
      <c r="X33" s="266"/>
      <c r="Y33" s="266"/>
      <c r="Z33" s="266"/>
      <c r="AA33" s="266"/>
      <c r="AB33" s="266"/>
      <c r="AC33" s="266"/>
      <c r="AD33" s="266"/>
      <c r="AE33" s="266"/>
      <c r="AF33" s="266"/>
      <c r="AG33" s="266"/>
      <c r="AH33" s="266"/>
      <c r="AI33" s="266"/>
      <c r="AJ33" s="266"/>
      <c r="AK33" s="266"/>
      <c r="AL33" s="266"/>
      <c r="AM33" s="266"/>
    </row>
    <row r="34" spans="3:39" s="266" customFormat="1" ht="16.2" thickBot="1">
      <c r="C34" s="394" t="s">
        <v>151</v>
      </c>
      <c r="D34" s="395"/>
      <c r="E34" s="396"/>
      <c r="F34" s="395"/>
      <c r="G34" s="395"/>
      <c r="H34" s="395"/>
      <c r="I34" s="395"/>
      <c r="J34" s="395"/>
      <c r="K34" s="395"/>
      <c r="L34" s="395"/>
      <c r="M34" s="395"/>
      <c r="N34" s="395"/>
      <c r="O34" s="395"/>
      <c r="P34" s="395"/>
      <c r="Q34" s="395"/>
      <c r="R34" s="395"/>
      <c r="S34" s="395"/>
      <c r="T34" s="395"/>
      <c r="U34" s="395"/>
      <c r="V34" s="395"/>
      <c r="W34" s="395"/>
      <c r="X34" s="395"/>
      <c r="Y34" s="395"/>
      <c r="Z34" s="395"/>
      <c r="AA34" s="395"/>
      <c r="AB34" s="395"/>
      <c r="AC34" s="395"/>
      <c r="AD34" s="395"/>
      <c r="AE34" s="395"/>
      <c r="AF34" s="395"/>
      <c r="AG34" s="395"/>
      <c r="AH34" s="395"/>
      <c r="AI34" s="395"/>
      <c r="AJ34" s="395"/>
      <c r="AK34" s="8"/>
      <c r="AL34" s="8"/>
      <c r="AM34" s="8"/>
    </row>
    <row r="35" spans="3:39" outlineLevel="1">
      <c r="C35" s="266"/>
      <c r="D35" s="266"/>
      <c r="E35" s="266"/>
      <c r="F35" s="266"/>
      <c r="G35" s="266"/>
      <c r="H35" s="266"/>
      <c r="I35" s="266"/>
      <c r="J35" s="266"/>
      <c r="K35" s="266"/>
      <c r="L35" s="266"/>
      <c r="M35" s="266"/>
      <c r="N35" s="266"/>
      <c r="O35" s="266"/>
      <c r="P35" s="266"/>
      <c r="Q35" s="266"/>
      <c r="R35" s="266"/>
      <c r="S35" s="266"/>
      <c r="T35" s="266"/>
      <c r="U35" s="266"/>
      <c r="V35" s="266"/>
      <c r="W35" s="266"/>
      <c r="X35" s="266"/>
      <c r="Y35" s="266"/>
      <c r="Z35" s="266"/>
      <c r="AA35" s="266"/>
      <c r="AB35" s="266"/>
      <c r="AC35" s="266"/>
      <c r="AD35" s="266"/>
      <c r="AE35" s="266"/>
      <c r="AF35" s="266"/>
      <c r="AG35" s="266"/>
      <c r="AH35" s="266"/>
      <c r="AI35" s="266"/>
      <c r="AJ35" s="266"/>
      <c r="AK35" s="266"/>
      <c r="AL35" s="266"/>
      <c r="AM35" s="266"/>
    </row>
    <row r="36" spans="3:39" outlineLevel="1">
      <c r="C36" s="11" t="s">
        <v>152</v>
      </c>
      <c r="D36" s="266"/>
      <c r="E36" s="266"/>
      <c r="F36" s="266"/>
      <c r="G36" s="266"/>
      <c r="H36" s="266"/>
      <c r="I36" s="266"/>
      <c r="J36" s="266"/>
      <c r="K36" s="266"/>
      <c r="L36" s="266"/>
      <c r="M36" s="266"/>
      <c r="N36" s="266"/>
      <c r="O36" s="266"/>
      <c r="P36" s="266"/>
      <c r="Q36" s="266"/>
      <c r="R36" s="266"/>
      <c r="S36" s="266"/>
      <c r="T36" s="266"/>
      <c r="U36" s="266"/>
      <c r="V36" s="266"/>
      <c r="W36" s="266"/>
      <c r="X36" s="266"/>
      <c r="Y36" s="266"/>
      <c r="Z36" s="266"/>
      <c r="AA36" s="266"/>
      <c r="AB36" s="266"/>
      <c r="AC36" s="266"/>
      <c r="AD36" s="266"/>
      <c r="AE36" s="266"/>
      <c r="AF36" s="266"/>
      <c r="AG36" s="266"/>
      <c r="AH36" s="266"/>
      <c r="AI36" s="266"/>
      <c r="AJ36" s="266"/>
      <c r="AK36" s="266"/>
      <c r="AL36" s="266"/>
      <c r="AM36" s="266"/>
    </row>
    <row r="37" spans="3:39" outlineLevel="2">
      <c r="C37" s="11"/>
      <c r="D37" s="266"/>
      <c r="E37" s="266"/>
      <c r="F37" s="266"/>
      <c r="G37" s="266"/>
      <c r="H37" s="266"/>
      <c r="I37" s="266"/>
      <c r="J37" s="266"/>
      <c r="K37" s="266"/>
      <c r="L37" s="266"/>
      <c r="M37" s="266"/>
      <c r="N37" s="266"/>
      <c r="O37" s="266"/>
      <c r="P37" s="266"/>
      <c r="Q37" s="266"/>
      <c r="R37" s="266"/>
      <c r="S37" s="266"/>
      <c r="T37" s="266"/>
      <c r="U37" s="266"/>
      <c r="V37" s="266"/>
      <c r="W37" s="266"/>
      <c r="X37" s="266"/>
      <c r="Y37" s="266"/>
      <c r="Z37" s="266"/>
      <c r="AA37" s="266"/>
      <c r="AB37" s="266"/>
      <c r="AC37" s="266"/>
      <c r="AD37" s="266"/>
      <c r="AE37" s="266"/>
      <c r="AF37" s="266"/>
      <c r="AG37" s="266"/>
      <c r="AH37" s="266"/>
      <c r="AI37" s="266"/>
      <c r="AJ37" s="266"/>
      <c r="AK37" s="266"/>
      <c r="AL37" s="266"/>
      <c r="AM37" s="266"/>
    </row>
    <row r="38" spans="3:39" outlineLevel="2">
      <c r="C38" s="404" t="s">
        <v>153</v>
      </c>
      <c r="D38" s="484">
        <f>CAPEX_Sens</f>
        <v>0</v>
      </c>
      <c r="E38" s="4" t="s">
        <v>23</v>
      </c>
      <c r="F38" s="266"/>
      <c r="G38" s="266"/>
      <c r="H38" s="266"/>
      <c r="I38" s="266"/>
      <c r="J38" s="266"/>
      <c r="K38" s="266"/>
      <c r="L38" s="266"/>
      <c r="M38" s="266"/>
      <c r="N38" s="266"/>
      <c r="O38" s="266"/>
      <c r="P38" s="266"/>
      <c r="Q38" s="266"/>
      <c r="R38" s="266"/>
      <c r="S38" s="266"/>
      <c r="T38" s="266"/>
      <c r="U38" s="266"/>
      <c r="V38" s="266"/>
      <c r="W38" s="266"/>
      <c r="X38" s="266"/>
      <c r="Y38" s="266"/>
      <c r="Z38" s="266"/>
      <c r="AA38" s="266"/>
      <c r="AB38" s="266"/>
      <c r="AC38" s="266"/>
      <c r="AD38" s="266"/>
      <c r="AE38" s="266"/>
      <c r="AF38" s="266"/>
      <c r="AG38" s="266"/>
      <c r="AH38" s="266"/>
      <c r="AI38" s="266"/>
      <c r="AJ38" s="266"/>
      <c r="AK38" s="266"/>
      <c r="AL38" s="266"/>
      <c r="AM38" s="266"/>
    </row>
    <row r="39" spans="3:39" outlineLevel="2">
      <c r="C39" s="11"/>
      <c r="D39" s="266"/>
      <c r="E39" s="266"/>
      <c r="F39" s="266"/>
      <c r="G39" s="266"/>
      <c r="H39" s="266"/>
      <c r="I39" s="266"/>
      <c r="J39" s="266"/>
      <c r="K39" s="266"/>
      <c r="L39" s="266"/>
      <c r="M39" s="266"/>
      <c r="N39" s="266"/>
      <c r="O39" s="266"/>
      <c r="P39" s="266"/>
      <c r="Q39" s="266"/>
      <c r="R39" s="266"/>
      <c r="S39" s="266"/>
      <c r="T39" s="266"/>
      <c r="U39" s="266"/>
      <c r="V39" s="266"/>
      <c r="W39" s="266"/>
      <c r="X39" s="266"/>
      <c r="Y39" s="266"/>
      <c r="Z39" s="266"/>
      <c r="AA39" s="266"/>
      <c r="AB39" s="266"/>
      <c r="AC39" s="266"/>
      <c r="AD39" s="266"/>
      <c r="AE39" s="266"/>
      <c r="AF39" s="266"/>
      <c r="AG39" s="266"/>
      <c r="AH39" s="266"/>
      <c r="AI39" s="266"/>
      <c r="AJ39" s="266"/>
      <c r="AK39" s="266"/>
      <c r="AL39" s="266"/>
      <c r="AM39" s="266"/>
    </row>
    <row r="40" spans="3:39" outlineLevel="2">
      <c r="C40" s="11" t="s">
        <v>154</v>
      </c>
      <c r="D40" s="266"/>
      <c r="E40" s="266"/>
      <c r="F40" s="278"/>
      <c r="G40" s="266"/>
      <c r="H40" s="266"/>
      <c r="I40" s="266"/>
      <c r="J40"/>
      <c r="K40" s="266"/>
      <c r="L40" s="266"/>
      <c r="M40" s="266"/>
      <c r="N40" s="266"/>
      <c r="O40" s="266"/>
      <c r="P40" s="266"/>
      <c r="Q40" s="266"/>
      <c r="R40" s="266"/>
      <c r="S40" s="266"/>
      <c r="T40" s="266"/>
      <c r="U40" s="266"/>
      <c r="V40" s="266"/>
      <c r="W40" s="266"/>
      <c r="X40" s="266"/>
      <c r="Y40" s="266"/>
      <c r="Z40" s="266"/>
      <c r="AA40" s="266"/>
      <c r="AB40" s="266"/>
      <c r="AC40" s="266"/>
      <c r="AD40" s="266"/>
      <c r="AE40" s="266"/>
      <c r="AF40" s="266"/>
      <c r="AG40" s="266"/>
      <c r="AH40" s="266"/>
      <c r="AI40" s="266"/>
      <c r="AJ40" s="266"/>
      <c r="AK40" s="266"/>
      <c r="AL40" s="266"/>
      <c r="AM40" s="266"/>
    </row>
    <row r="41" spans="3:39" outlineLevel="3">
      <c r="C41" s="400" t="s">
        <v>155</v>
      </c>
      <c r="D41" s="401">
        <v>1</v>
      </c>
      <c r="E41" s="401">
        <f>D41+1</f>
        <v>2</v>
      </c>
      <c r="F41" s="401">
        <f t="shared" ref="F41:L41" si="0">E41+1</f>
        <v>3</v>
      </c>
      <c r="G41" s="401">
        <f t="shared" si="0"/>
        <v>4</v>
      </c>
      <c r="H41" s="401">
        <f t="shared" si="0"/>
        <v>5</v>
      </c>
      <c r="I41" s="401">
        <f t="shared" si="0"/>
        <v>6</v>
      </c>
      <c r="J41" s="401">
        <f t="shared" si="0"/>
        <v>7</v>
      </c>
      <c r="K41" s="401">
        <f t="shared" si="0"/>
        <v>8</v>
      </c>
      <c r="L41" s="401">
        <f t="shared" si="0"/>
        <v>9</v>
      </c>
      <c r="M41" s="401">
        <f t="shared" ref="M41:AL41" si="1">L41+1</f>
        <v>10</v>
      </c>
      <c r="N41" s="401">
        <f t="shared" si="1"/>
        <v>11</v>
      </c>
      <c r="O41" s="401">
        <f t="shared" si="1"/>
        <v>12</v>
      </c>
      <c r="P41" s="401">
        <f t="shared" si="1"/>
        <v>13</v>
      </c>
      <c r="Q41" s="401">
        <f t="shared" si="1"/>
        <v>14</v>
      </c>
      <c r="R41" s="401">
        <f t="shared" si="1"/>
        <v>15</v>
      </c>
      <c r="S41" s="401">
        <f t="shared" si="1"/>
        <v>16</v>
      </c>
      <c r="T41" s="401">
        <f t="shared" si="1"/>
        <v>17</v>
      </c>
      <c r="U41" s="401">
        <f t="shared" si="1"/>
        <v>18</v>
      </c>
      <c r="V41" s="401">
        <f t="shared" si="1"/>
        <v>19</v>
      </c>
      <c r="W41" s="401">
        <f t="shared" si="1"/>
        <v>20</v>
      </c>
      <c r="X41" s="401">
        <f t="shared" si="1"/>
        <v>21</v>
      </c>
      <c r="Y41" s="401">
        <f t="shared" si="1"/>
        <v>22</v>
      </c>
      <c r="Z41" s="401">
        <f t="shared" si="1"/>
        <v>23</v>
      </c>
      <c r="AA41" s="401">
        <f t="shared" si="1"/>
        <v>24</v>
      </c>
      <c r="AB41" s="401">
        <f t="shared" si="1"/>
        <v>25</v>
      </c>
      <c r="AC41" s="401">
        <f t="shared" si="1"/>
        <v>26</v>
      </c>
      <c r="AD41" s="401">
        <f t="shared" si="1"/>
        <v>27</v>
      </c>
      <c r="AE41" s="401">
        <f t="shared" si="1"/>
        <v>28</v>
      </c>
      <c r="AF41" s="401">
        <f t="shared" si="1"/>
        <v>29</v>
      </c>
      <c r="AG41" s="401">
        <f t="shared" si="1"/>
        <v>30</v>
      </c>
      <c r="AH41" s="401">
        <f t="shared" si="1"/>
        <v>31</v>
      </c>
      <c r="AI41" s="401">
        <f t="shared" si="1"/>
        <v>32</v>
      </c>
      <c r="AJ41" s="401">
        <f t="shared" si="1"/>
        <v>33</v>
      </c>
      <c r="AK41" s="401">
        <f t="shared" si="1"/>
        <v>34</v>
      </c>
      <c r="AL41" s="401">
        <f t="shared" si="1"/>
        <v>35</v>
      </c>
      <c r="AM41" s="266"/>
    </row>
    <row r="42" spans="3:39" outlineLevel="3">
      <c r="C42" s="402" t="s">
        <v>156</v>
      </c>
      <c r="D42" s="300">
        <f>CAPEX!C9*(1+$D$38)</f>
        <v>4510.7923900000005</v>
      </c>
      <c r="E42" s="300">
        <f>CAPEX!D9*(1+$D$38)</f>
        <v>0</v>
      </c>
      <c r="F42" s="300">
        <f>CAPEX!E9*(1+$D$38)</f>
        <v>713.82500000000005</v>
      </c>
      <c r="G42" s="300">
        <f>CAPEX!F9*(1+$D$38)</f>
        <v>0</v>
      </c>
      <c r="H42" s="300">
        <f>CAPEX!G9*(1+$D$38)</f>
        <v>713.82500000000005</v>
      </c>
      <c r="I42" s="300">
        <f>CAPEX!H9*(1+$D$38)</f>
        <v>30</v>
      </c>
      <c r="J42" s="300">
        <f>CAPEX!I9*(1+$D$38)</f>
        <v>0</v>
      </c>
      <c r="K42" s="300">
        <f>CAPEX!J9*(1+$D$38)</f>
        <v>4459.6323900000007</v>
      </c>
      <c r="L42" s="300">
        <f>CAPEX!K9*(1+$D$38)</f>
        <v>0</v>
      </c>
      <c r="M42" s="300">
        <f>CAPEX!L9*(1+$D$38)</f>
        <v>713.82500000000005</v>
      </c>
      <c r="N42" s="300">
        <f>CAPEX!M9*(1+$D$38)</f>
        <v>51.16</v>
      </c>
      <c r="O42" s="300">
        <f>CAPEX!N9*(1+$D$38)</f>
        <v>713.82500000000005</v>
      </c>
      <c r="P42" s="300">
        <f>CAPEX!O9*(1+$D$38)</f>
        <v>0</v>
      </c>
      <c r="Q42" s="300">
        <f>CAPEX!P9*(1+$D$38)</f>
        <v>0</v>
      </c>
      <c r="R42" s="300">
        <f>CAPEX!Q9*(1+$D$38)</f>
        <v>4459.6323900000007</v>
      </c>
      <c r="S42" s="300">
        <f>CAPEX!R9*(1+$D$38)</f>
        <v>30</v>
      </c>
      <c r="T42" s="300">
        <f>CAPEX!S9*(1+$D$38)</f>
        <v>713.82500000000005</v>
      </c>
      <c r="U42" s="300">
        <f>CAPEX!T9*(1+$D$38)</f>
        <v>0</v>
      </c>
      <c r="V42" s="300">
        <f>CAPEX!U9*(1+$D$38)</f>
        <v>713.82500000000005</v>
      </c>
      <c r="W42" s="300">
        <f>CAPEX!V9*(1+$D$38)</f>
        <v>0</v>
      </c>
      <c r="X42" s="300">
        <f>CAPEX!W9*(1+$D$38)</f>
        <v>51.16</v>
      </c>
      <c r="Y42" s="300">
        <f>CAPEX!X9*(1+$D$38)</f>
        <v>4459.6323900000007</v>
      </c>
      <c r="Z42" s="300">
        <f>CAPEX!Y9*(1+$D$38)</f>
        <v>0</v>
      </c>
      <c r="AA42" s="300">
        <f>CAPEX!Z9*(1+$D$38)</f>
        <v>713.82500000000005</v>
      </c>
      <c r="AB42" s="300">
        <f>CAPEX!AA9*(1+$D$38)</f>
        <v>0</v>
      </c>
      <c r="AC42" s="300">
        <f>CAPEX!AB9*(1+$D$38)</f>
        <v>743.82500000000005</v>
      </c>
      <c r="AD42" s="300">
        <f>CAPEX!AC9*(1+$D$38)</f>
        <v>0</v>
      </c>
      <c r="AE42" s="300">
        <f>CAPEX!AD9*(1+$D$38)</f>
        <v>0</v>
      </c>
      <c r="AF42" s="300">
        <f>CAPEX!AE9*(1+$D$38)</f>
        <v>4459.6323900000007</v>
      </c>
      <c r="AG42" s="300">
        <f>CAPEX!AF9*(1+$D$38)</f>
        <v>0</v>
      </c>
      <c r="AH42" s="300"/>
      <c r="AI42" s="300"/>
      <c r="AJ42" s="300"/>
      <c r="AK42" s="300"/>
      <c r="AL42" s="300"/>
      <c r="AM42" s="278">
        <f>SUM(D42:AL42)</f>
        <v>28252.241950000003</v>
      </c>
    </row>
    <row r="43" spans="3:39" outlineLevel="3">
      <c r="C43" s="402" t="s">
        <v>157</v>
      </c>
      <c r="D43" s="300">
        <f>CAPEX!C31*(1+$D$38)</f>
        <v>1772.8062199999999</v>
      </c>
      <c r="E43" s="300">
        <f>CAPEX!D31*(1+$D$38)</f>
        <v>0</v>
      </c>
      <c r="F43" s="300">
        <f>CAPEX!E31*(1+$D$38)</f>
        <v>0</v>
      </c>
      <c r="G43" s="300">
        <f>CAPEX!F31*(1+$D$38)</f>
        <v>285.52999999999997</v>
      </c>
      <c r="H43" s="300">
        <f>CAPEX!G31*(1+$D$38)</f>
        <v>0</v>
      </c>
      <c r="I43" s="300">
        <f>CAPEX!H31*(1+$D$38)</f>
        <v>0</v>
      </c>
      <c r="J43" s="300">
        <f>CAPEX!I31*(1+$D$38)</f>
        <v>0</v>
      </c>
      <c r="K43" s="300">
        <f>CAPEX!J31*(1+$D$38)</f>
        <v>1772.8062199999999</v>
      </c>
      <c r="L43" s="300">
        <f>CAPEX!K31*(1+$D$38)</f>
        <v>0</v>
      </c>
      <c r="M43" s="300">
        <f>CAPEX!L31*(1+$D$38)</f>
        <v>0</v>
      </c>
      <c r="N43" s="300">
        <f>CAPEX!M31*(1+$D$38)</f>
        <v>285.52999999999997</v>
      </c>
      <c r="O43" s="300">
        <f>CAPEX!N31*(1+$D$38)</f>
        <v>0</v>
      </c>
      <c r="P43" s="300">
        <f>CAPEX!O31*(1+$D$38)</f>
        <v>0</v>
      </c>
      <c r="Q43" s="300">
        <f>CAPEX!P31*(1+$D$38)</f>
        <v>0</v>
      </c>
      <c r="R43" s="300">
        <f>CAPEX!Q31*(1+$D$38)</f>
        <v>1772.8062199999999</v>
      </c>
      <c r="S43" s="300">
        <f>CAPEX!R31*(1+$D$38)</f>
        <v>0</v>
      </c>
      <c r="T43" s="300">
        <f>CAPEX!S31*(1+$D$38)</f>
        <v>0</v>
      </c>
      <c r="U43" s="300">
        <f>CAPEX!T31*(1+$D$38)</f>
        <v>285.52999999999997</v>
      </c>
      <c r="V43" s="300">
        <f>CAPEX!U31*(1+$D$38)</f>
        <v>0</v>
      </c>
      <c r="W43" s="300">
        <f>CAPEX!V31*(1+$D$38)</f>
        <v>0</v>
      </c>
      <c r="X43" s="300">
        <f>CAPEX!W31*(1+$D$38)</f>
        <v>0</v>
      </c>
      <c r="Y43" s="300">
        <f>CAPEX!X31*(1+$D$38)</f>
        <v>1772.8062199999999</v>
      </c>
      <c r="Z43" s="300">
        <f>CAPEX!Y31*(1+$D$38)</f>
        <v>0</v>
      </c>
      <c r="AA43" s="300">
        <f>CAPEX!Z31*(1+$D$38)</f>
        <v>0</v>
      </c>
      <c r="AB43" s="300">
        <f>CAPEX!AA31*(1+$D$38)</f>
        <v>285.52999999999997</v>
      </c>
      <c r="AC43" s="300">
        <f>CAPEX!AB31*(1+$D$38)</f>
        <v>0</v>
      </c>
      <c r="AD43" s="300">
        <f>CAPEX!AC31*(1+$D$38)</f>
        <v>0</v>
      </c>
      <c r="AE43" s="300">
        <f>CAPEX!AD31*(1+$D$38)</f>
        <v>1772.8062199999999</v>
      </c>
      <c r="AF43" s="300">
        <f>CAPEX!AE31*(1+$D$38)</f>
        <v>0</v>
      </c>
      <c r="AG43" s="300">
        <f>CAPEX!AF31*(1+$D$38)</f>
        <v>0</v>
      </c>
      <c r="AH43" s="300"/>
      <c r="AI43" s="300"/>
      <c r="AJ43" s="300"/>
      <c r="AK43" s="300"/>
      <c r="AL43" s="300"/>
      <c r="AM43" s="278">
        <f t="shared" ref="AM43:AM53" si="2">SUM(D43:AL43)</f>
        <v>10006.151100000001</v>
      </c>
    </row>
    <row r="44" spans="3:39" outlineLevel="3">
      <c r="C44" s="402" t="s">
        <v>158</v>
      </c>
      <c r="D44" s="300">
        <f>CAPEX!C44*(1+$D$38)</f>
        <v>0</v>
      </c>
      <c r="E44" s="300">
        <f>CAPEX!D44*(1+$D$38)</f>
        <v>0</v>
      </c>
      <c r="F44" s="300">
        <f>CAPEX!E44*(1+$D$38)</f>
        <v>651.48476000000005</v>
      </c>
      <c r="G44" s="300">
        <f>CAPEX!F44*(1+$D$38)</f>
        <v>0</v>
      </c>
      <c r="H44" s="300">
        <f>CAPEX!G44*(1+$D$38)</f>
        <v>0</v>
      </c>
      <c r="I44" s="300">
        <f>CAPEX!H44*(1+$D$38)</f>
        <v>0</v>
      </c>
      <c r="J44" s="300">
        <f>CAPEX!I44*(1+$D$38)</f>
        <v>0</v>
      </c>
      <c r="K44" s="300">
        <f>CAPEX!J44*(1+$D$38)</f>
        <v>0</v>
      </c>
      <c r="L44" s="300">
        <f>CAPEX!K44*(1+$D$38)</f>
        <v>0</v>
      </c>
      <c r="M44" s="300">
        <f>CAPEX!L44*(1+$D$38)</f>
        <v>0</v>
      </c>
      <c r="N44" s="300">
        <f>CAPEX!M44*(1+$D$38)</f>
        <v>0</v>
      </c>
      <c r="O44" s="300">
        <f>CAPEX!N44*(1+$D$38)</f>
        <v>0</v>
      </c>
      <c r="P44" s="300">
        <f>CAPEX!O44*(1+$D$38)</f>
        <v>651.48476000000005</v>
      </c>
      <c r="Q44" s="300">
        <f>CAPEX!P44*(1+$D$38)</f>
        <v>0</v>
      </c>
      <c r="R44" s="300">
        <f>CAPEX!Q44*(1+$D$38)</f>
        <v>0</v>
      </c>
      <c r="S44" s="300">
        <f>CAPEX!R44*(1+$D$38)</f>
        <v>0</v>
      </c>
      <c r="T44" s="300">
        <f>CAPEX!S44*(1+$D$38)</f>
        <v>0</v>
      </c>
      <c r="U44" s="300">
        <f>CAPEX!T44*(1+$D$38)</f>
        <v>0</v>
      </c>
      <c r="V44" s="300">
        <f>CAPEX!U44*(1+$D$38)</f>
        <v>0</v>
      </c>
      <c r="W44" s="300">
        <f>CAPEX!V44*(1+$D$38)</f>
        <v>0</v>
      </c>
      <c r="X44" s="300">
        <f>CAPEX!W44*(1+$D$38)</f>
        <v>0</v>
      </c>
      <c r="Y44" s="300">
        <f>CAPEX!X44*(1+$D$38)</f>
        <v>0</v>
      </c>
      <c r="Z44" s="300">
        <f>CAPEX!Y44*(1+$D$38)</f>
        <v>651.48476000000005</v>
      </c>
      <c r="AA44" s="300">
        <f>CAPEX!Z44*(1+$D$38)</f>
        <v>0</v>
      </c>
      <c r="AB44" s="300">
        <f>CAPEX!AA44*(1+$D$38)</f>
        <v>0</v>
      </c>
      <c r="AC44" s="300">
        <f>CAPEX!AB44*(1+$D$38)</f>
        <v>0</v>
      </c>
      <c r="AD44" s="300">
        <f>CAPEX!AC44*(1+$D$38)</f>
        <v>0</v>
      </c>
      <c r="AE44" s="300">
        <f>CAPEX!AD44*(1+$D$38)</f>
        <v>0</v>
      </c>
      <c r="AF44" s="300">
        <f>CAPEX!AE44*(1+$D$38)</f>
        <v>0</v>
      </c>
      <c r="AG44" s="300">
        <f>CAPEX!AF44*(1+$D$38)</f>
        <v>0</v>
      </c>
      <c r="AH44" s="300"/>
      <c r="AI44" s="300"/>
      <c r="AJ44" s="300"/>
      <c r="AK44" s="300"/>
      <c r="AL44" s="300"/>
      <c r="AM44" s="278">
        <f t="shared" si="2"/>
        <v>1954.4542800000002</v>
      </c>
    </row>
    <row r="45" spans="3:39" outlineLevel="3">
      <c r="C45" s="402" t="s">
        <v>159</v>
      </c>
      <c r="D45" s="300">
        <f>CAPEX!C53*(1+$D$38)</f>
        <v>1904.7016999999998</v>
      </c>
      <c r="E45" s="300">
        <f>CAPEX!D53*(1+$D$38)</f>
        <v>0</v>
      </c>
      <c r="F45" s="300">
        <f>CAPEX!E53*(1+$D$38)</f>
        <v>0</v>
      </c>
      <c r="G45" s="300">
        <f>CAPEX!F53*(1+$D$38)</f>
        <v>0</v>
      </c>
      <c r="H45" s="300">
        <f>CAPEX!G53*(1+$D$38)</f>
        <v>0</v>
      </c>
      <c r="I45" s="300">
        <f>CAPEX!H53*(1+$D$38)</f>
        <v>0</v>
      </c>
      <c r="J45" s="300">
        <f>CAPEX!I53*(1+$D$38)</f>
        <v>0</v>
      </c>
      <c r="K45" s="300">
        <f>CAPEX!J53*(1+$D$38)</f>
        <v>1904.7016999999998</v>
      </c>
      <c r="L45" s="300">
        <f>CAPEX!K53*(1+$D$38)</f>
        <v>0</v>
      </c>
      <c r="M45" s="300">
        <f>CAPEX!L53*(1+$D$38)</f>
        <v>0</v>
      </c>
      <c r="N45" s="300">
        <f>CAPEX!M53*(1+$D$38)</f>
        <v>0</v>
      </c>
      <c r="O45" s="300">
        <f>CAPEX!N53*(1+$D$38)</f>
        <v>0</v>
      </c>
      <c r="P45" s="300">
        <f>CAPEX!O53*(1+$D$38)</f>
        <v>0</v>
      </c>
      <c r="Q45" s="300">
        <f>CAPEX!P53*(1+$D$38)</f>
        <v>0</v>
      </c>
      <c r="R45" s="300">
        <f>CAPEX!Q53*(1+$D$38)</f>
        <v>1904.7016999999998</v>
      </c>
      <c r="S45" s="300">
        <f>CAPEX!R53*(1+$D$38)</f>
        <v>0</v>
      </c>
      <c r="T45" s="300">
        <f>CAPEX!S53*(1+$D$38)</f>
        <v>0</v>
      </c>
      <c r="U45" s="300">
        <f>CAPEX!T53*(1+$D$38)</f>
        <v>0</v>
      </c>
      <c r="V45" s="300">
        <f>CAPEX!U53*(1+$D$38)</f>
        <v>0</v>
      </c>
      <c r="W45" s="300">
        <f>CAPEX!V53*(1+$D$38)</f>
        <v>0</v>
      </c>
      <c r="X45" s="300">
        <f>CAPEX!W53*(1+$D$38)</f>
        <v>0</v>
      </c>
      <c r="Y45" s="300">
        <f>CAPEX!X53*(1+$D$38)</f>
        <v>1904.7016999999998</v>
      </c>
      <c r="Z45" s="300">
        <f>CAPEX!Y53*(1+$D$38)</f>
        <v>0</v>
      </c>
      <c r="AA45" s="300">
        <f>CAPEX!Z53*(1+$D$38)</f>
        <v>0</v>
      </c>
      <c r="AB45" s="300">
        <f>CAPEX!AA53*(1+$D$38)</f>
        <v>0</v>
      </c>
      <c r="AC45" s="300">
        <f>CAPEX!AB53*(1+$D$38)</f>
        <v>0</v>
      </c>
      <c r="AD45" s="300">
        <f>CAPEX!AC53*(1+$D$38)</f>
        <v>0</v>
      </c>
      <c r="AE45" s="300">
        <f>CAPEX!AD53*(1+$D$38)</f>
        <v>0</v>
      </c>
      <c r="AF45" s="300">
        <f>CAPEX!AE53*(1+$D$38)</f>
        <v>1904.7016999999998</v>
      </c>
      <c r="AG45" s="300">
        <f>CAPEX!AF53*(1+$D$38)</f>
        <v>0</v>
      </c>
      <c r="AH45" s="300"/>
      <c r="AI45" s="300"/>
      <c r="AJ45" s="300"/>
      <c r="AK45" s="300"/>
      <c r="AL45" s="300"/>
      <c r="AM45" s="278">
        <f t="shared" si="2"/>
        <v>9523.5084999999999</v>
      </c>
    </row>
    <row r="46" spans="3:39" outlineLevel="3">
      <c r="C46" s="402" t="s">
        <v>160</v>
      </c>
      <c r="D46" s="300">
        <f>CAPEX!C62*(1+$D$38)</f>
        <v>47.486600000000003</v>
      </c>
      <c r="E46" s="300">
        <f>CAPEX!D62*(1+$D$38)</f>
        <v>0</v>
      </c>
      <c r="F46" s="300">
        <f>CAPEX!E62*(1+$D$38)</f>
        <v>0</v>
      </c>
      <c r="G46" s="300">
        <f>CAPEX!F62*(1+$D$38)</f>
        <v>3.0772000000000004</v>
      </c>
      <c r="H46" s="300">
        <f>CAPEX!G62*(1+$D$38)</f>
        <v>0</v>
      </c>
      <c r="I46" s="300">
        <f>CAPEX!H62*(1+$D$38)</f>
        <v>23.249400000000001</v>
      </c>
      <c r="J46" s="300">
        <f>CAPEX!I62*(1+$D$38)</f>
        <v>3.0772000000000004</v>
      </c>
      <c r="K46" s="300">
        <f>CAPEX!J62*(1+$D$38)</f>
        <v>0</v>
      </c>
      <c r="L46" s="300">
        <f>CAPEX!K62*(1+$D$38)</f>
        <v>0</v>
      </c>
      <c r="M46" s="300">
        <f>CAPEX!L62*(1+$D$38)</f>
        <v>3.2970000000000002</v>
      </c>
      <c r="N46" s="300">
        <f>CAPEX!M62*(1+$D$38)</f>
        <v>44.409400000000005</v>
      </c>
      <c r="O46" s="300">
        <f>CAPEX!N62*(1+$D$38)</f>
        <v>0</v>
      </c>
      <c r="P46" s="300">
        <f>CAPEX!O62*(1+$D$38)</f>
        <v>3.2970000000000002</v>
      </c>
      <c r="Q46" s="300">
        <f>CAPEX!P62*(1+$D$38)</f>
        <v>0</v>
      </c>
      <c r="R46" s="300">
        <f>CAPEX!Q62*(1+$D$38)</f>
        <v>0</v>
      </c>
      <c r="S46" s="300">
        <f>CAPEX!R62*(1+$D$38)</f>
        <v>26.546400000000002</v>
      </c>
      <c r="T46" s="300">
        <f>CAPEX!S62*(1+$D$38)</f>
        <v>0</v>
      </c>
      <c r="U46" s="300">
        <f>CAPEX!T62*(1+$D$38)</f>
        <v>0</v>
      </c>
      <c r="V46" s="300">
        <f>CAPEX!U62*(1+$D$38)</f>
        <v>3.5168000000000004</v>
      </c>
      <c r="W46" s="300">
        <f>CAPEX!V62*(1+$D$38)</f>
        <v>0</v>
      </c>
      <c r="X46" s="300">
        <f>CAPEX!W62*(1+$D$38)</f>
        <v>44.409400000000005</v>
      </c>
      <c r="Y46" s="300">
        <f>CAPEX!X62*(1+$D$38)</f>
        <v>3.5168000000000004</v>
      </c>
      <c r="Z46" s="300">
        <f>CAPEX!Y62*(1+$D$38)</f>
        <v>0</v>
      </c>
      <c r="AA46" s="300">
        <f>CAPEX!Z62*(1+$D$38)</f>
        <v>0</v>
      </c>
      <c r="AB46" s="300">
        <f>CAPEX!AA62*(1+$D$38)</f>
        <v>3.7366000000000001</v>
      </c>
      <c r="AC46" s="300">
        <f>CAPEX!AB62*(1+$D$38)</f>
        <v>23.249400000000001</v>
      </c>
      <c r="AD46" s="300">
        <f>CAPEX!AC62*(1+$D$38)</f>
        <v>0</v>
      </c>
      <c r="AE46" s="300">
        <f>CAPEX!AD62*(1+$D$38)</f>
        <v>3.7366000000000001</v>
      </c>
      <c r="AF46" s="300">
        <f>CAPEX!AE62*(1+$D$38)</f>
        <v>0</v>
      </c>
      <c r="AG46" s="300">
        <f>CAPEX!AF62*(1+$D$38)</f>
        <v>0</v>
      </c>
      <c r="AH46" s="300"/>
      <c r="AI46" s="300"/>
      <c r="AJ46" s="300"/>
      <c r="AK46" s="300"/>
      <c r="AL46" s="300"/>
      <c r="AM46" s="278">
        <f t="shared" si="2"/>
        <v>236.60580000000002</v>
      </c>
    </row>
    <row r="47" spans="3:39" outlineLevel="3">
      <c r="C47" s="402" t="s">
        <v>161</v>
      </c>
      <c r="D47" s="300">
        <f>CAPEX!C75*(1+$D$38)</f>
        <v>415.93299999999999</v>
      </c>
      <c r="E47" s="300">
        <f>CAPEX!D75*(1+$D$38)</f>
        <v>0</v>
      </c>
      <c r="F47" s="300">
        <f>CAPEX!E75*(1+$D$38)</f>
        <v>0</v>
      </c>
      <c r="G47" s="300">
        <f>CAPEX!F75*(1+$D$38)</f>
        <v>10.47</v>
      </c>
      <c r="H47" s="300">
        <f>CAPEX!G75*(1+$D$38)</f>
        <v>0</v>
      </c>
      <c r="I47" s="300">
        <f>CAPEX!H75*(1+$D$38)</f>
        <v>0</v>
      </c>
      <c r="J47" s="300">
        <f>CAPEX!I75*(1+$D$38)</f>
        <v>10.47</v>
      </c>
      <c r="K47" s="300">
        <f>CAPEX!J75*(1+$D$38)</f>
        <v>0</v>
      </c>
      <c r="L47" s="300">
        <f>CAPEX!K75*(1+$D$38)</f>
        <v>0</v>
      </c>
      <c r="M47" s="300">
        <f>CAPEX!L75*(1+$D$38)</f>
        <v>10.47</v>
      </c>
      <c r="N47" s="300">
        <f>CAPEX!M75*(1+$D$38)</f>
        <v>405.46300000000002</v>
      </c>
      <c r="O47" s="300">
        <f>CAPEX!N75*(1+$D$38)</f>
        <v>0</v>
      </c>
      <c r="P47" s="300">
        <f>CAPEX!O75*(1+$D$38)</f>
        <v>10.47</v>
      </c>
      <c r="Q47" s="300">
        <f>CAPEX!P75*(1+$D$38)</f>
        <v>0</v>
      </c>
      <c r="R47" s="300">
        <f>CAPEX!Q75*(1+$D$38)</f>
        <v>0</v>
      </c>
      <c r="S47" s="300">
        <f>CAPEX!R75*(1+$D$38)</f>
        <v>10.47</v>
      </c>
      <c r="T47" s="300">
        <f>CAPEX!S75*(1+$D$38)</f>
        <v>0</v>
      </c>
      <c r="U47" s="300">
        <f>CAPEX!T75*(1+$D$38)</f>
        <v>0</v>
      </c>
      <c r="V47" s="300">
        <f>CAPEX!U75*(1+$D$38)</f>
        <v>10.47</v>
      </c>
      <c r="W47" s="300">
        <f>CAPEX!V75*(1+$D$38)</f>
        <v>0</v>
      </c>
      <c r="X47" s="300">
        <f>CAPEX!W75*(1+$D$38)</f>
        <v>405.46300000000002</v>
      </c>
      <c r="Y47" s="300">
        <f>CAPEX!X75*(1+$D$38)</f>
        <v>10.47</v>
      </c>
      <c r="Z47" s="300">
        <f>CAPEX!Y75*(1+$D$38)</f>
        <v>0</v>
      </c>
      <c r="AA47" s="300">
        <f>CAPEX!Z75*(1+$D$38)</f>
        <v>0</v>
      </c>
      <c r="AB47" s="300">
        <f>CAPEX!AA75*(1+$D$38)</f>
        <v>10.47</v>
      </c>
      <c r="AC47" s="300">
        <f>CAPEX!AB75*(1+$D$38)</f>
        <v>0</v>
      </c>
      <c r="AD47" s="300">
        <f>CAPEX!AC75*(1+$D$38)</f>
        <v>0</v>
      </c>
      <c r="AE47" s="300">
        <f>CAPEX!AD75*(1+$D$38)</f>
        <v>10.47</v>
      </c>
      <c r="AF47" s="300">
        <f>CAPEX!AE75*(1+$D$38)</f>
        <v>0</v>
      </c>
      <c r="AG47" s="300">
        <f>CAPEX!AF75*(1+$D$38)</f>
        <v>0</v>
      </c>
      <c r="AH47" s="300"/>
      <c r="AI47" s="300"/>
      <c r="AJ47" s="300"/>
      <c r="AK47" s="300"/>
      <c r="AL47" s="300"/>
      <c r="AM47" s="278">
        <f t="shared" si="2"/>
        <v>1321.0890000000002</v>
      </c>
    </row>
    <row r="48" spans="3:39" outlineLevel="3">
      <c r="C48" s="402" t="s">
        <v>162</v>
      </c>
      <c r="D48" s="300">
        <f>CAPEX!C92*(1+$D$38)</f>
        <v>455.72200000000004</v>
      </c>
      <c r="E48" s="300">
        <f>CAPEX!D92*(1+$D$38)</f>
        <v>0</v>
      </c>
      <c r="F48" s="300">
        <f>CAPEX!E92*(1+$D$38)</f>
        <v>0</v>
      </c>
      <c r="G48" s="300">
        <f>CAPEX!F92*(1+$D$38)</f>
        <v>48.86</v>
      </c>
      <c r="H48" s="300">
        <f>CAPEX!G92*(1+$D$38)</f>
        <v>0</v>
      </c>
      <c r="I48" s="300">
        <f>CAPEX!H92*(1+$D$38)</f>
        <v>0</v>
      </c>
      <c r="J48" s="300">
        <f>CAPEX!I92*(1+$D$38)</f>
        <v>48.86</v>
      </c>
      <c r="K48" s="300">
        <f>CAPEX!J92*(1+$D$38)</f>
        <v>0</v>
      </c>
      <c r="L48" s="300">
        <f>CAPEX!K92*(1+$D$38)</f>
        <v>0</v>
      </c>
      <c r="M48" s="300">
        <f>CAPEX!L92*(1+$D$38)</f>
        <v>48.86</v>
      </c>
      <c r="N48" s="300">
        <f>CAPEX!M92*(1+$D$38)</f>
        <v>406.86200000000002</v>
      </c>
      <c r="O48" s="300">
        <f>CAPEX!N92*(1+$D$38)</f>
        <v>0</v>
      </c>
      <c r="P48" s="300">
        <f>CAPEX!O92*(1+$D$38)</f>
        <v>48.86</v>
      </c>
      <c r="Q48" s="300">
        <f>CAPEX!P92*(1+$D$38)</f>
        <v>0</v>
      </c>
      <c r="R48" s="300">
        <f>CAPEX!Q92*(1+$D$38)</f>
        <v>0</v>
      </c>
      <c r="S48" s="300">
        <f>CAPEX!R92*(1+$D$38)</f>
        <v>48.86</v>
      </c>
      <c r="T48" s="300">
        <f>CAPEX!S92*(1+$D$38)</f>
        <v>0</v>
      </c>
      <c r="U48" s="300">
        <f>CAPEX!T92*(1+$D$38)</f>
        <v>0</v>
      </c>
      <c r="V48" s="300">
        <f>CAPEX!U92*(1+$D$38)</f>
        <v>48.86</v>
      </c>
      <c r="W48" s="300">
        <f>CAPEX!V92*(1+$D$38)</f>
        <v>0</v>
      </c>
      <c r="X48" s="300">
        <f>CAPEX!W92*(1+$D$38)</f>
        <v>406.86200000000002</v>
      </c>
      <c r="Y48" s="300">
        <f>CAPEX!X92*(1+$D$38)</f>
        <v>48.86</v>
      </c>
      <c r="Z48" s="300">
        <f>CAPEX!Y92*(1+$D$38)</f>
        <v>0</v>
      </c>
      <c r="AA48" s="300">
        <f>CAPEX!Z92*(1+$D$38)</f>
        <v>0</v>
      </c>
      <c r="AB48" s="300">
        <f>CAPEX!AA92*(1+$D$38)</f>
        <v>48.86</v>
      </c>
      <c r="AC48" s="300">
        <f>CAPEX!AB92*(1+$D$38)</f>
        <v>0</v>
      </c>
      <c r="AD48" s="300">
        <f>CAPEX!AC92*(1+$D$38)</f>
        <v>0</v>
      </c>
      <c r="AE48" s="300">
        <f>CAPEX!AD92*(1+$D$38)</f>
        <v>48.86</v>
      </c>
      <c r="AF48" s="300">
        <f>CAPEX!AE92*(1+$D$38)</f>
        <v>0</v>
      </c>
      <c r="AG48" s="300">
        <f>CAPEX!AF92*(1+$D$38)</f>
        <v>0</v>
      </c>
      <c r="AH48" s="300"/>
      <c r="AI48" s="300"/>
      <c r="AJ48" s="300"/>
      <c r="AK48" s="300"/>
      <c r="AL48" s="300"/>
      <c r="AM48" s="278">
        <f t="shared" ref="AM48" si="3">SUM(D48:AL48)</f>
        <v>1709.1859999999995</v>
      </c>
    </row>
    <row r="49" spans="3:39" outlineLevel="3">
      <c r="C49" s="402" t="s">
        <v>163</v>
      </c>
      <c r="D49" s="300">
        <f>CAPEX!C108*(1+$D$38)</f>
        <v>365.43042089599805</v>
      </c>
      <c r="E49" s="300">
        <f>CAPEX!D108*(1+$D$38)</f>
        <v>1410.9263993250449</v>
      </c>
      <c r="F49" s="300">
        <f>CAPEX!E108*(1+$D$38)</f>
        <v>378.16893583420006</v>
      </c>
      <c r="G49" s="300">
        <f>CAPEX!F108*(1+$D$38)</f>
        <v>49.327041674200004</v>
      </c>
      <c r="H49" s="300">
        <f>CAPEX!G108*(1+$D$38)</f>
        <v>49.327041674200004</v>
      </c>
      <c r="I49" s="300">
        <f>CAPEX!H108*(1+$D$38)</f>
        <v>12201.004333370471</v>
      </c>
      <c r="J49" s="300">
        <f>CAPEX!I108*(1+$D$38)</f>
        <v>168.31293295294401</v>
      </c>
      <c r="K49" s="300">
        <f>CAPEX!J108*(1+$D$38)</f>
        <v>52.042301674200004</v>
      </c>
      <c r="L49" s="300">
        <f>CAPEX!K108*(1+$D$38)</f>
        <v>43.404541674200004</v>
      </c>
      <c r="M49" s="300">
        <f>CAPEX!L108*(1+$D$38)</f>
        <v>69.327041674200004</v>
      </c>
      <c r="N49" s="300">
        <f>CAPEX!M108*(1+$D$38)</f>
        <v>107.3752145185596</v>
      </c>
      <c r="O49" s="300">
        <f>CAPEX!N108*(1+$D$38)</f>
        <v>347.06917320436901</v>
      </c>
      <c r="P49" s="300">
        <f>CAPEX!O108*(1+$D$38)</f>
        <v>83.822160106200016</v>
      </c>
      <c r="Q49" s="300">
        <f>CAPEX!P108*(1+$D$38)</f>
        <v>178.80952295294401</v>
      </c>
      <c r="R49" s="300">
        <f>CAPEX!Q108*(1+$D$38)</f>
        <v>43.404541674200004</v>
      </c>
      <c r="S49" s="300">
        <f>CAPEX!R108*(1+$D$38)</f>
        <v>2480.8966560422537</v>
      </c>
      <c r="T49" s="300">
        <f>CAPEX!S108*(1+$D$38)</f>
        <v>58.830451674199999</v>
      </c>
      <c r="U49" s="300">
        <f>CAPEX!T108*(1+$D$38)</f>
        <v>66.119801674200005</v>
      </c>
      <c r="V49" s="300">
        <f>CAPEX!U108*(1+$D$38)</f>
        <v>49.327041674200004</v>
      </c>
      <c r="W49" s="300">
        <f>CAPEX!V108*(1+$D$38)</f>
        <v>49.327041674200004</v>
      </c>
      <c r="X49" s="300">
        <f>CAPEX!W108*(1+$D$38)</f>
        <v>210.93519579730363</v>
      </c>
      <c r="Y49" s="300">
        <f>CAPEX!X108*(1+$D$38)</f>
        <v>372.99167320436902</v>
      </c>
      <c r="Z49" s="300">
        <f>CAPEX!Y108*(1+$D$38)</f>
        <v>83.822160106200016</v>
      </c>
      <c r="AA49" s="300">
        <f>CAPEX!Z108*(1+$D$38)</f>
        <v>43.404541674200004</v>
      </c>
      <c r="AB49" s="300">
        <f>CAPEX!AA108*(1+$D$38)</f>
        <v>49.327041674200004</v>
      </c>
      <c r="AC49" s="300">
        <f>CAPEX!AB108*(1+$D$38)</f>
        <v>2501.1449361862537</v>
      </c>
      <c r="AD49" s="300">
        <f>CAPEX!AC108*(1+$D$38)</f>
        <v>52.9079516742</v>
      </c>
      <c r="AE49" s="300">
        <f>CAPEX!AD108*(1+$D$38)</f>
        <v>161.52478295294401</v>
      </c>
      <c r="AF49" s="300">
        <f>CAPEX!AE108*(1+$D$38)</f>
        <v>49.327041674200004</v>
      </c>
      <c r="AG49" s="300">
        <f>CAPEX!AF108*(1+$D$38)</f>
        <v>63.404541674200004</v>
      </c>
      <c r="AH49" s="300"/>
      <c r="AI49" s="300"/>
      <c r="AJ49" s="300"/>
      <c r="AK49" s="300"/>
      <c r="AL49" s="300"/>
      <c r="AM49" s="278">
        <f t="shared" si="2"/>
        <v>21841.042462563055</v>
      </c>
    </row>
    <row r="50" spans="3:39" outlineLevel="3">
      <c r="C50" s="402" t="s">
        <v>164</v>
      </c>
      <c r="D50" s="300">
        <f>CAPEX!C183*(1+$D$38)</f>
        <v>0</v>
      </c>
      <c r="E50" s="300">
        <f>CAPEX!D183*(1+$D$38)</f>
        <v>0</v>
      </c>
      <c r="F50" s="300">
        <f>CAPEX!E183*(1+$D$38)</f>
        <v>0</v>
      </c>
      <c r="G50" s="300">
        <f>CAPEX!F183*(1+$D$38)</f>
        <v>0</v>
      </c>
      <c r="H50" s="300">
        <f>CAPEX!G183*(1+$D$38)</f>
        <v>0</v>
      </c>
      <c r="I50" s="300">
        <f>CAPEX!H183*(1+$D$38)</f>
        <v>0</v>
      </c>
      <c r="J50" s="300">
        <f>CAPEX!I183*(1+$D$38)</f>
        <v>0</v>
      </c>
      <c r="K50" s="300">
        <f>CAPEX!J183*(1+$D$38)</f>
        <v>0</v>
      </c>
      <c r="L50" s="300">
        <f>CAPEX!K183*(1+$D$38)</f>
        <v>0</v>
      </c>
      <c r="M50" s="300">
        <f>CAPEX!L183*(1+$D$38)</f>
        <v>0</v>
      </c>
      <c r="N50" s="300">
        <f>CAPEX!M183*(1+$D$38)</f>
        <v>0</v>
      </c>
      <c r="O50" s="300">
        <f>CAPEX!N183*(1+$D$38)</f>
        <v>0</v>
      </c>
      <c r="P50" s="300">
        <f>CAPEX!O183*(1+$D$38)</f>
        <v>0</v>
      </c>
      <c r="Q50" s="300">
        <f>CAPEX!P183*(1+$D$38)</f>
        <v>0</v>
      </c>
      <c r="R50" s="300">
        <f>CAPEX!Q183*(1+$D$38)</f>
        <v>0</v>
      </c>
      <c r="S50" s="300">
        <f>CAPEX!R183*(1+$D$38)</f>
        <v>0</v>
      </c>
      <c r="T50" s="300">
        <f>CAPEX!S183*(1+$D$38)</f>
        <v>0</v>
      </c>
      <c r="U50" s="300">
        <f>CAPEX!T183*(1+$D$38)</f>
        <v>0</v>
      </c>
      <c r="V50" s="300">
        <f>CAPEX!U183*(1+$D$38)</f>
        <v>0</v>
      </c>
      <c r="W50" s="300">
        <f>CAPEX!V183*(1+$D$38)</f>
        <v>0</v>
      </c>
      <c r="X50" s="300">
        <f>CAPEX!W183*(1+$D$38)</f>
        <v>0</v>
      </c>
      <c r="Y50" s="300">
        <f>CAPEX!X183*(1+$D$38)</f>
        <v>0</v>
      </c>
      <c r="Z50" s="300">
        <f>CAPEX!Y183*(1+$D$38)</f>
        <v>0</v>
      </c>
      <c r="AA50" s="300">
        <f>CAPEX!Z183*(1+$D$38)</f>
        <v>0</v>
      </c>
      <c r="AB50" s="300">
        <f>CAPEX!AA183*(1+$D$38)</f>
        <v>0</v>
      </c>
      <c r="AC50" s="300">
        <f>CAPEX!AB183*(1+$D$38)</f>
        <v>0</v>
      </c>
      <c r="AD50" s="300">
        <f>CAPEX!AC183*(1+$D$38)</f>
        <v>0</v>
      </c>
      <c r="AE50" s="300">
        <f>CAPEX!AD183*(1+$D$38)</f>
        <v>0</v>
      </c>
      <c r="AF50" s="300">
        <f>CAPEX!AE183*(1+$D$38)</f>
        <v>0</v>
      </c>
      <c r="AG50" s="300">
        <f>CAPEX!AF183*(1+$D$38)</f>
        <v>0</v>
      </c>
      <c r="AH50" s="300"/>
      <c r="AI50" s="300"/>
      <c r="AJ50" s="300"/>
      <c r="AK50" s="300"/>
      <c r="AL50" s="300"/>
      <c r="AM50" s="278">
        <f t="shared" si="2"/>
        <v>0</v>
      </c>
    </row>
    <row r="51" spans="3:39" outlineLevel="3">
      <c r="C51" s="402" t="s">
        <v>165</v>
      </c>
      <c r="D51" s="300">
        <f>CAPEX!C189*(1+$D$38)</f>
        <v>175.2099</v>
      </c>
      <c r="E51" s="300">
        <f>CAPEX!D189*(1+$D$38)</f>
        <v>61.509409999999995</v>
      </c>
      <c r="F51" s="300">
        <f>CAPEX!E189*(1+$D$38)</f>
        <v>0</v>
      </c>
      <c r="G51" s="300">
        <f>CAPEX!F189*(1+$D$38)</f>
        <v>0</v>
      </c>
      <c r="H51" s="300">
        <f>CAPEX!G189*(1+$D$38)</f>
        <v>0</v>
      </c>
      <c r="I51" s="300">
        <f>CAPEX!H189*(1+$D$38)</f>
        <v>25.209900000000001</v>
      </c>
      <c r="J51" s="300">
        <f>CAPEX!I189*(1+$D$38)</f>
        <v>10.874799999999999</v>
      </c>
      <c r="K51" s="300">
        <f>CAPEX!J189*(1+$D$38)</f>
        <v>0</v>
      </c>
      <c r="L51" s="300">
        <f>CAPEX!K189*(1+$D$38)</f>
        <v>0</v>
      </c>
      <c r="M51" s="300">
        <f>CAPEX!L189*(1+$D$38)</f>
        <v>0</v>
      </c>
      <c r="N51" s="300">
        <f>CAPEX!M189*(1+$D$38)</f>
        <v>25.209900000000001</v>
      </c>
      <c r="O51" s="300">
        <f>CAPEX!N189*(1+$D$38)</f>
        <v>38.909409999999994</v>
      </c>
      <c r="P51" s="300">
        <f>CAPEX!O189*(1+$D$38)</f>
        <v>0</v>
      </c>
      <c r="Q51" s="300">
        <f>CAPEX!P189*(1+$D$38)</f>
        <v>0</v>
      </c>
      <c r="R51" s="300">
        <f>CAPEX!Q189*(1+$D$38)</f>
        <v>0</v>
      </c>
      <c r="S51" s="300">
        <f>CAPEX!R189*(1+$D$38)</f>
        <v>25.209900000000001</v>
      </c>
      <c r="T51" s="300">
        <f>CAPEX!S189*(1+$D$38)</f>
        <v>10.874799999999999</v>
      </c>
      <c r="U51" s="300">
        <f>CAPEX!T189*(1+$D$38)</f>
        <v>0</v>
      </c>
      <c r="V51" s="300">
        <f>CAPEX!U189*(1+$D$38)</f>
        <v>0</v>
      </c>
      <c r="W51" s="300">
        <f>CAPEX!V189*(1+$D$38)</f>
        <v>0</v>
      </c>
      <c r="X51" s="300">
        <f>CAPEX!W189*(1+$D$38)</f>
        <v>25.209900000000001</v>
      </c>
      <c r="Y51" s="300">
        <f>CAPEX!X189*(1+$D$38)</f>
        <v>38.909409999999994</v>
      </c>
      <c r="Z51" s="300">
        <f>CAPEX!Y189*(1+$D$38)</f>
        <v>0</v>
      </c>
      <c r="AA51" s="300">
        <f>CAPEX!Z189*(1+$D$38)</f>
        <v>0</v>
      </c>
      <c r="AB51" s="300">
        <f>CAPEX!AA189*(1+$D$38)</f>
        <v>0</v>
      </c>
      <c r="AC51" s="300">
        <f>CAPEX!AB189*(1+$D$38)</f>
        <v>25.209900000000001</v>
      </c>
      <c r="AD51" s="300">
        <f>CAPEX!AC189*(1+$D$38)</f>
        <v>10.874799999999999</v>
      </c>
      <c r="AE51" s="300">
        <f>CAPEX!AD189*(1+$D$38)</f>
        <v>0</v>
      </c>
      <c r="AF51" s="300">
        <f>CAPEX!AE189*(1+$D$38)</f>
        <v>0</v>
      </c>
      <c r="AG51" s="300">
        <f>CAPEX!AF189*(1+$D$38)</f>
        <v>0</v>
      </c>
      <c r="AH51" s="300"/>
      <c r="AI51" s="300"/>
      <c r="AJ51" s="300"/>
      <c r="AK51" s="300"/>
      <c r="AL51" s="300"/>
      <c r="AM51" s="278">
        <f t="shared" si="2"/>
        <v>473.21202999999997</v>
      </c>
    </row>
    <row r="52" spans="3:39" outlineLevel="3">
      <c r="C52" s="402" t="s">
        <v>166</v>
      </c>
      <c r="D52" s="300">
        <f>CAPEX!C210*(1+$D$38)</f>
        <v>126.94889000000001</v>
      </c>
      <c r="E52" s="300">
        <f>CAPEX!D210*(1+$D$38)</f>
        <v>0</v>
      </c>
      <c r="F52" s="300">
        <f>CAPEX!E210*(1+$D$38)</f>
        <v>0</v>
      </c>
      <c r="G52" s="300">
        <f>CAPEX!F210*(1+$D$38)</f>
        <v>0</v>
      </c>
      <c r="H52" s="300">
        <f>CAPEX!G210*(1+$D$38)</f>
        <v>0</v>
      </c>
      <c r="I52" s="300">
        <f>CAPEX!H210*(1+$D$38)</f>
        <v>26.049499999999998</v>
      </c>
      <c r="J52" s="300">
        <f>CAPEX!I210*(1+$D$38)</f>
        <v>0</v>
      </c>
      <c r="K52" s="300">
        <f>CAPEX!J210*(1+$D$38)</f>
        <v>0</v>
      </c>
      <c r="L52" s="300">
        <f>CAPEX!K210*(1+$D$38)</f>
        <v>0</v>
      </c>
      <c r="M52" s="300">
        <f>CAPEX!L210*(1+$D$38)</f>
        <v>0</v>
      </c>
      <c r="N52" s="300">
        <f>CAPEX!M210*(1+$D$38)</f>
        <v>126.94889000000001</v>
      </c>
      <c r="O52" s="300">
        <f>CAPEX!N210*(1+$D$38)</f>
        <v>0</v>
      </c>
      <c r="P52" s="300">
        <f>CAPEX!O210*(1+$D$38)</f>
        <v>0</v>
      </c>
      <c r="Q52" s="300">
        <f>CAPEX!P210*(1+$D$38)</f>
        <v>0</v>
      </c>
      <c r="R52" s="300">
        <f>CAPEX!Q210*(1+$D$38)</f>
        <v>0</v>
      </c>
      <c r="S52" s="300">
        <f>CAPEX!R210*(1+$D$38)</f>
        <v>26.049499999999998</v>
      </c>
      <c r="T52" s="300">
        <f>CAPEX!S210*(1+$D$38)</f>
        <v>0</v>
      </c>
      <c r="U52" s="300">
        <f>CAPEX!T210*(1+$D$38)</f>
        <v>0</v>
      </c>
      <c r="V52" s="300">
        <f>CAPEX!U210*(1+$D$38)</f>
        <v>0</v>
      </c>
      <c r="W52" s="300">
        <f>CAPEX!V210*(1+$D$38)</f>
        <v>0</v>
      </c>
      <c r="X52" s="300">
        <f>CAPEX!W210*(1+$D$38)</f>
        <v>126.94889000000001</v>
      </c>
      <c r="Y52" s="300">
        <f>CAPEX!X210*(1+$D$38)</f>
        <v>0</v>
      </c>
      <c r="Z52" s="300">
        <f>CAPEX!Y210*(1+$D$38)</f>
        <v>0</v>
      </c>
      <c r="AA52" s="300">
        <f>CAPEX!Z210*(1+$D$38)</f>
        <v>0</v>
      </c>
      <c r="AB52" s="300">
        <f>CAPEX!AA210*(1+$D$38)</f>
        <v>0</v>
      </c>
      <c r="AC52" s="300">
        <f>CAPEX!AB210*(1+$D$38)</f>
        <v>26.049499999999998</v>
      </c>
      <c r="AD52" s="300">
        <f>CAPEX!AC210*(1+$D$38)</f>
        <v>0</v>
      </c>
      <c r="AE52" s="300">
        <f>CAPEX!AD210*(1+$D$38)</f>
        <v>0</v>
      </c>
      <c r="AF52" s="300">
        <f>CAPEX!AE210*(1+$D$38)</f>
        <v>0</v>
      </c>
      <c r="AG52" s="300">
        <f>CAPEX!AF210*(1+$D$38)</f>
        <v>0</v>
      </c>
      <c r="AH52" s="300"/>
      <c r="AI52" s="300"/>
      <c r="AJ52" s="300"/>
      <c r="AK52" s="300"/>
      <c r="AL52" s="300"/>
      <c r="AM52" s="278">
        <f t="shared" si="2"/>
        <v>458.99517000000003</v>
      </c>
    </row>
    <row r="53" spans="3:39" outlineLevel="3">
      <c r="C53" s="402" t="s">
        <v>167</v>
      </c>
      <c r="D53" s="300">
        <f>CAPEX!C219*(1+$D$38)</f>
        <v>1000</v>
      </c>
      <c r="E53" s="300">
        <f>CAPEX!D219*(1+$D$38)</f>
        <v>0</v>
      </c>
      <c r="F53" s="300">
        <f>CAPEX!E219*(1+$D$38)</f>
        <v>0</v>
      </c>
      <c r="G53" s="300">
        <f>CAPEX!F219*(1+$D$38)</f>
        <v>0</v>
      </c>
      <c r="H53" s="300">
        <f>CAPEX!G219*(1+$D$38)</f>
        <v>0</v>
      </c>
      <c r="I53" s="300">
        <f>CAPEX!H219*(1+$D$38)</f>
        <v>0</v>
      </c>
      <c r="J53" s="300">
        <f>CAPEX!I219*(1+$D$38)</f>
        <v>0</v>
      </c>
      <c r="K53" s="300">
        <f>CAPEX!J219*(1+$D$38)</f>
        <v>0</v>
      </c>
      <c r="L53" s="300">
        <f>CAPEX!K219*(1+$D$38)</f>
        <v>0</v>
      </c>
      <c r="M53" s="300">
        <f>CAPEX!L219*(1+$D$38)</f>
        <v>0</v>
      </c>
      <c r="N53" s="300">
        <f>CAPEX!M219*(1+$D$38)</f>
        <v>0</v>
      </c>
      <c r="O53" s="300">
        <f>CAPEX!N219*(1+$D$38)</f>
        <v>0</v>
      </c>
      <c r="P53" s="300">
        <f>CAPEX!O219*(1+$D$38)</f>
        <v>0</v>
      </c>
      <c r="Q53" s="300">
        <f>CAPEX!P219*(1+$D$38)</f>
        <v>0</v>
      </c>
      <c r="R53" s="300">
        <f>CAPEX!Q219*(1+$D$38)</f>
        <v>0</v>
      </c>
      <c r="S53" s="300">
        <f>CAPEX!R219*(1+$D$38)</f>
        <v>0</v>
      </c>
      <c r="T53" s="300">
        <f>CAPEX!S219*(1+$D$38)</f>
        <v>0</v>
      </c>
      <c r="U53" s="300">
        <f>CAPEX!T219*(1+$D$38)</f>
        <v>0</v>
      </c>
      <c r="V53" s="300">
        <f>CAPEX!U219*(1+$D$38)</f>
        <v>0</v>
      </c>
      <c r="W53" s="300">
        <f>CAPEX!V219*(1+$D$38)</f>
        <v>0</v>
      </c>
      <c r="X53" s="300">
        <f>CAPEX!W219*(1+$D$38)</f>
        <v>0</v>
      </c>
      <c r="Y53" s="300">
        <f>CAPEX!X219*(1+$D$38)</f>
        <v>0</v>
      </c>
      <c r="Z53" s="300">
        <f>CAPEX!Y219*(1+$D$38)</f>
        <v>0</v>
      </c>
      <c r="AA53" s="300">
        <f>CAPEX!Z219*(1+$D$38)</f>
        <v>0</v>
      </c>
      <c r="AB53" s="300">
        <f>CAPEX!AA219*(1+$D$38)</f>
        <v>0</v>
      </c>
      <c r="AC53" s="300">
        <f>CAPEX!AB219*(1+$D$38)</f>
        <v>0</v>
      </c>
      <c r="AD53" s="300">
        <f>CAPEX!AC219*(1+$D$38)</f>
        <v>0</v>
      </c>
      <c r="AE53" s="300">
        <f>CAPEX!AD219*(1+$D$38)</f>
        <v>0</v>
      </c>
      <c r="AF53" s="300">
        <f>CAPEX!AE219*(1+$D$38)</f>
        <v>0</v>
      </c>
      <c r="AG53" s="300">
        <f>CAPEX!AF219*(1+$D$38)</f>
        <v>0</v>
      </c>
      <c r="AH53" s="300"/>
      <c r="AI53" s="300"/>
      <c r="AJ53" s="300"/>
      <c r="AK53" s="300"/>
      <c r="AL53" s="300"/>
      <c r="AM53" s="278">
        <f t="shared" si="2"/>
        <v>1000</v>
      </c>
    </row>
    <row r="54" spans="3:39" outlineLevel="2">
      <c r="C54" s="301"/>
      <c r="D54" s="266"/>
      <c r="E54" s="266"/>
      <c r="F54" s="278"/>
      <c r="G54" s="266"/>
      <c r="H54" s="273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266"/>
      <c r="AE54" s="266"/>
      <c r="AF54" s="266"/>
      <c r="AG54" s="266"/>
      <c r="AH54" s="266"/>
      <c r="AI54" s="266"/>
      <c r="AJ54" s="266"/>
      <c r="AK54" s="266"/>
      <c r="AL54" s="266"/>
      <c r="AM54" s="266"/>
    </row>
    <row r="55" spans="3:39" outlineLevel="2">
      <c r="C55" s="11" t="s">
        <v>168</v>
      </c>
      <c r="D55" s="266"/>
      <c r="E55" s="266"/>
      <c r="F55" s="278"/>
      <c r="G55" s="26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66"/>
      <c r="AE55" s="266"/>
      <c r="AF55" s="266"/>
      <c r="AG55" s="266"/>
      <c r="AH55" s="266"/>
      <c r="AI55" s="266"/>
      <c r="AJ55" s="266"/>
      <c r="AK55" s="266"/>
      <c r="AL55" s="266"/>
      <c r="AM55" s="266"/>
    </row>
    <row r="56" spans="3:39" outlineLevel="3">
      <c r="C56" s="400" t="s">
        <v>155</v>
      </c>
      <c r="D56" s="400" t="s">
        <v>169</v>
      </c>
      <c r="E56" s="266"/>
      <c r="F56" s="266"/>
      <c r="G56" s="266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6"/>
      <c r="AE56" s="266"/>
      <c r="AF56" s="266"/>
      <c r="AG56" s="266"/>
      <c r="AH56" s="266"/>
      <c r="AI56" s="266"/>
      <c r="AJ56" s="266"/>
      <c r="AK56" s="266"/>
      <c r="AL56" s="266"/>
      <c r="AM56" s="266"/>
    </row>
    <row r="57" spans="3:39" outlineLevel="3">
      <c r="C57" s="402" t="s">
        <v>156</v>
      </c>
      <c r="D57" s="405" t="s">
        <v>170</v>
      </c>
      <c r="E57" s="266"/>
      <c r="F57" s="405" t="s">
        <v>170</v>
      </c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6"/>
      <c r="AE57" s="266"/>
      <c r="AF57" s="266"/>
      <c r="AG57" s="266"/>
      <c r="AH57" s="266"/>
      <c r="AI57" s="266"/>
      <c r="AJ57" s="266"/>
      <c r="AK57" s="266"/>
      <c r="AL57" s="266"/>
      <c r="AM57" s="266"/>
    </row>
    <row r="58" spans="3:39" outlineLevel="3">
      <c r="C58" s="402" t="s">
        <v>157</v>
      </c>
      <c r="D58" s="405" t="s">
        <v>170</v>
      </c>
      <c r="E58" s="266"/>
      <c r="F58" s="405" t="s">
        <v>171</v>
      </c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6"/>
      <c r="AE58" s="266"/>
      <c r="AF58" s="266"/>
      <c r="AG58" s="266"/>
      <c r="AH58" s="266"/>
      <c r="AI58" s="266"/>
      <c r="AJ58" s="266"/>
      <c r="AK58" s="266"/>
      <c r="AL58" s="266"/>
      <c r="AM58" s="266"/>
    </row>
    <row r="59" spans="3:39" outlineLevel="3">
      <c r="C59" s="402" t="s">
        <v>172</v>
      </c>
      <c r="D59" s="405" t="s">
        <v>170</v>
      </c>
      <c r="E59" s="266"/>
      <c r="F59" s="266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6"/>
      <c r="AE59" s="266"/>
      <c r="AF59" s="266"/>
      <c r="AG59" s="266"/>
      <c r="AH59" s="266"/>
      <c r="AI59" s="266"/>
      <c r="AJ59" s="266"/>
      <c r="AK59" s="266"/>
      <c r="AL59" s="266"/>
      <c r="AM59" s="266"/>
    </row>
    <row r="60" spans="3:39" outlineLevel="3">
      <c r="C60" s="402" t="s">
        <v>158</v>
      </c>
      <c r="D60" s="405" t="s">
        <v>170</v>
      </c>
      <c r="E60" s="266"/>
      <c r="F60" s="266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6"/>
      <c r="AE60" s="266"/>
      <c r="AF60" s="266"/>
      <c r="AG60" s="266"/>
      <c r="AH60" s="266"/>
      <c r="AI60" s="266"/>
      <c r="AJ60" s="266"/>
      <c r="AK60" s="266"/>
      <c r="AL60" s="266"/>
      <c r="AM60" s="266"/>
    </row>
    <row r="61" spans="3:39" outlineLevel="3">
      <c r="C61" s="402" t="s">
        <v>159</v>
      </c>
      <c r="D61" s="405" t="s">
        <v>170</v>
      </c>
      <c r="E61" s="266"/>
      <c r="F61" s="266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6"/>
      <c r="AE61" s="266"/>
      <c r="AF61" s="266"/>
      <c r="AG61" s="266"/>
      <c r="AH61" s="266"/>
      <c r="AI61" s="266"/>
      <c r="AJ61" s="266"/>
      <c r="AK61" s="266"/>
      <c r="AL61" s="266"/>
      <c r="AM61" s="266"/>
    </row>
    <row r="62" spans="3:39" outlineLevel="3">
      <c r="C62" s="402" t="s">
        <v>160</v>
      </c>
      <c r="D62" s="405" t="s">
        <v>171</v>
      </c>
      <c r="E62" s="266"/>
      <c r="F62" s="266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6"/>
      <c r="AE62" s="266"/>
      <c r="AF62" s="266"/>
      <c r="AG62" s="266"/>
      <c r="AH62" s="266"/>
      <c r="AI62" s="266"/>
      <c r="AJ62" s="266"/>
      <c r="AK62" s="266"/>
      <c r="AL62" s="266"/>
      <c r="AM62" s="266"/>
    </row>
    <row r="63" spans="3:39" outlineLevel="3">
      <c r="C63" s="402" t="s">
        <v>162</v>
      </c>
      <c r="D63" s="405" t="s">
        <v>170</v>
      </c>
      <c r="E63" s="266"/>
      <c r="F63" s="266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6"/>
      <c r="AE63" s="266"/>
      <c r="AF63" s="266"/>
      <c r="AG63" s="266"/>
      <c r="AH63" s="266"/>
      <c r="AI63" s="266"/>
      <c r="AJ63" s="266"/>
      <c r="AK63" s="266"/>
      <c r="AL63" s="266"/>
      <c r="AM63" s="266"/>
    </row>
    <row r="64" spans="3:39" outlineLevel="3">
      <c r="C64" s="402" t="s">
        <v>161</v>
      </c>
      <c r="D64" s="405" t="s">
        <v>171</v>
      </c>
      <c r="E64" s="266"/>
      <c r="F64" s="266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6"/>
      <c r="AE64" s="266"/>
      <c r="AF64" s="266"/>
      <c r="AG64" s="266"/>
      <c r="AH64" s="266"/>
      <c r="AI64" s="266"/>
      <c r="AJ64" s="266"/>
      <c r="AK64" s="266"/>
      <c r="AL64" s="266"/>
      <c r="AM64" s="266"/>
    </row>
    <row r="65" spans="3:39" outlineLevel="3">
      <c r="C65" s="402" t="s">
        <v>163</v>
      </c>
      <c r="D65" s="405" t="s">
        <v>170</v>
      </c>
      <c r="E65" s="266"/>
      <c r="F65" s="266"/>
      <c r="G65" s="266"/>
      <c r="H65" s="266"/>
      <c r="I65" s="266"/>
      <c r="J65" s="266"/>
      <c r="K65" s="266"/>
      <c r="L65" s="266"/>
      <c r="M65" s="266"/>
      <c r="N65" s="266"/>
      <c r="O65" s="266"/>
      <c r="P65" s="266"/>
      <c r="Q65" s="266"/>
      <c r="R65" s="266"/>
      <c r="S65" s="266"/>
      <c r="T65" s="266"/>
      <c r="U65" s="266"/>
      <c r="V65" s="266"/>
      <c r="W65" s="266"/>
      <c r="X65" s="266"/>
      <c r="Y65" s="266"/>
      <c r="Z65" s="266"/>
      <c r="AA65" s="266"/>
      <c r="AB65" s="266"/>
      <c r="AC65" s="266"/>
      <c r="AD65" s="266"/>
      <c r="AE65" s="266"/>
      <c r="AF65" s="266"/>
      <c r="AG65" s="266"/>
      <c r="AH65" s="266"/>
      <c r="AI65" s="266"/>
      <c r="AJ65" s="266"/>
      <c r="AK65" s="266"/>
      <c r="AL65" s="266"/>
      <c r="AM65" s="266"/>
    </row>
    <row r="66" spans="3:39" outlineLevel="3">
      <c r="C66" s="402" t="s">
        <v>164</v>
      </c>
      <c r="D66" s="405" t="s">
        <v>171</v>
      </c>
      <c r="E66" s="266"/>
      <c r="F66" s="266"/>
      <c r="G66" s="266"/>
      <c r="H66" s="266"/>
      <c r="I66" s="266"/>
      <c r="J66" s="266"/>
      <c r="K66" s="266"/>
      <c r="L66" s="266"/>
      <c r="M66" s="266"/>
      <c r="N66" s="266"/>
      <c r="O66" s="266"/>
      <c r="P66" s="266"/>
      <c r="Q66" s="266"/>
      <c r="R66" s="266"/>
      <c r="S66" s="266"/>
      <c r="T66" s="266"/>
      <c r="U66" s="266"/>
      <c r="V66" s="266"/>
      <c r="W66" s="266"/>
      <c r="X66" s="266"/>
      <c r="Y66" s="266"/>
      <c r="Z66" s="266"/>
      <c r="AA66" s="266"/>
      <c r="AB66" s="266"/>
      <c r="AC66" s="266"/>
      <c r="AD66" s="266"/>
      <c r="AE66" s="266"/>
      <c r="AF66" s="266"/>
      <c r="AG66" s="266"/>
      <c r="AH66" s="266"/>
      <c r="AI66" s="266"/>
      <c r="AJ66" s="266"/>
      <c r="AK66" s="266"/>
      <c r="AL66" s="266"/>
      <c r="AM66" s="266"/>
    </row>
    <row r="67" spans="3:39" outlineLevel="3">
      <c r="C67" s="402" t="s">
        <v>165</v>
      </c>
      <c r="D67" s="405" t="s">
        <v>171</v>
      </c>
      <c r="E67" s="266"/>
      <c r="F67" s="266"/>
      <c r="G67" s="266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6"/>
      <c r="S67" s="266"/>
      <c r="T67" s="266"/>
      <c r="U67" s="266"/>
      <c r="V67" s="266"/>
      <c r="W67" s="266"/>
      <c r="X67" s="266"/>
      <c r="Y67" s="266"/>
      <c r="Z67" s="266"/>
      <c r="AA67" s="266"/>
      <c r="AB67" s="266"/>
      <c r="AC67" s="266"/>
      <c r="AD67" s="266"/>
      <c r="AE67" s="266"/>
      <c r="AF67" s="266"/>
      <c r="AG67" s="266"/>
      <c r="AH67" s="266"/>
      <c r="AI67" s="266"/>
      <c r="AJ67" s="266"/>
      <c r="AK67" s="266"/>
      <c r="AL67" s="266"/>
      <c r="AM67" s="266"/>
    </row>
    <row r="68" spans="3:39" outlineLevel="3">
      <c r="C68" s="402" t="s">
        <v>166</v>
      </c>
      <c r="D68" s="405" t="s">
        <v>171</v>
      </c>
      <c r="E68" s="266"/>
      <c r="F68" s="266"/>
      <c r="G68" s="266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6"/>
      <c r="S68" s="266"/>
      <c r="T68" s="266"/>
      <c r="U68" s="266"/>
      <c r="V68" s="266"/>
      <c r="W68" s="266"/>
      <c r="X68" s="266"/>
      <c r="Y68" s="266"/>
      <c r="Z68" s="266"/>
      <c r="AA68" s="266"/>
      <c r="AB68" s="266"/>
      <c r="AC68" s="266"/>
      <c r="AD68" s="266"/>
      <c r="AE68" s="266"/>
      <c r="AF68" s="266"/>
      <c r="AG68" s="266"/>
      <c r="AH68" s="266"/>
      <c r="AI68" s="266"/>
      <c r="AJ68" s="266"/>
      <c r="AK68" s="266"/>
      <c r="AL68" s="266"/>
      <c r="AM68" s="266"/>
    </row>
    <row r="69" spans="3:39" outlineLevel="3">
      <c r="C69" s="402" t="s">
        <v>167</v>
      </c>
      <c r="D69" s="405" t="s">
        <v>171</v>
      </c>
      <c r="E69" s="266"/>
      <c r="F69" s="266"/>
      <c r="G69" s="266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6"/>
      <c r="S69" s="266"/>
      <c r="T69" s="266"/>
      <c r="U69" s="266"/>
      <c r="V69" s="266"/>
      <c r="W69" s="266"/>
      <c r="X69" s="266"/>
      <c r="Y69" s="266"/>
      <c r="Z69" s="266"/>
      <c r="AA69" s="266"/>
      <c r="AB69" s="266"/>
      <c r="AC69" s="266"/>
      <c r="AD69" s="266"/>
      <c r="AE69" s="266"/>
      <c r="AF69" s="266"/>
      <c r="AG69" s="266"/>
      <c r="AH69" s="266"/>
      <c r="AI69" s="266"/>
      <c r="AJ69" s="266"/>
      <c r="AK69" s="266"/>
      <c r="AL69" s="266"/>
      <c r="AM69" s="266"/>
    </row>
    <row r="70" spans="3:39" outlineLevel="2">
      <c r="C70" s="301"/>
      <c r="D70" s="266"/>
      <c r="E70" s="266"/>
      <c r="F70" s="278"/>
      <c r="G70" s="266"/>
      <c r="H70" s="273"/>
      <c r="I70" s="266"/>
      <c r="J70" s="266"/>
      <c r="K70" s="266"/>
      <c r="L70" s="266"/>
      <c r="M70" s="266"/>
      <c r="N70" s="266"/>
      <c r="O70" s="266"/>
      <c r="P70" s="266"/>
      <c r="Q70" s="266"/>
      <c r="R70" s="266"/>
      <c r="S70" s="266"/>
      <c r="T70" s="266"/>
      <c r="U70" s="266"/>
      <c r="V70" s="266"/>
      <c r="W70" s="266"/>
      <c r="X70" s="266"/>
      <c r="Y70" s="266"/>
      <c r="Z70" s="266"/>
      <c r="AA70" s="266"/>
      <c r="AB70" s="266"/>
      <c r="AC70" s="266"/>
      <c r="AD70" s="266"/>
      <c r="AE70" s="266"/>
      <c r="AF70" s="266"/>
      <c r="AG70" s="266"/>
      <c r="AH70" s="266"/>
      <c r="AI70" s="266"/>
      <c r="AJ70" s="266"/>
      <c r="AK70" s="266"/>
      <c r="AL70" s="266"/>
      <c r="AM70" s="266"/>
    </row>
    <row r="71" spans="3:39" outlineLevel="1">
      <c r="C71" s="266"/>
      <c r="D71" s="266"/>
      <c r="E71" s="266"/>
      <c r="F71" s="266"/>
      <c r="G71" s="266"/>
      <c r="H71" s="266"/>
      <c r="I71" s="266"/>
      <c r="J71" s="266"/>
      <c r="K71" s="266"/>
      <c r="L71" s="266"/>
      <c r="M71" s="266"/>
      <c r="N71" s="266"/>
      <c r="O71" s="266"/>
      <c r="P71" s="266"/>
      <c r="Q71" s="266"/>
      <c r="R71" s="266"/>
      <c r="S71" s="266"/>
      <c r="T71" s="266"/>
      <c r="U71" s="266"/>
      <c r="V71" s="266"/>
      <c r="W71" s="266"/>
      <c r="X71" s="266"/>
      <c r="Y71" s="266"/>
      <c r="Z71" s="266"/>
      <c r="AA71" s="266"/>
      <c r="AB71" s="266"/>
      <c r="AC71" s="266"/>
      <c r="AD71" s="266"/>
      <c r="AE71" s="266"/>
      <c r="AF71" s="266"/>
      <c r="AG71" s="266"/>
      <c r="AH71" s="266"/>
      <c r="AI71" s="266"/>
      <c r="AJ71" s="266"/>
      <c r="AK71" s="266"/>
      <c r="AL71" s="266"/>
      <c r="AM71" s="266"/>
    </row>
    <row r="72" spans="3:39">
      <c r="C72" s="266"/>
      <c r="D72" s="302"/>
      <c r="E72" s="302"/>
      <c r="F72" s="302"/>
      <c r="G72" s="302"/>
      <c r="H72" s="302"/>
      <c r="I72" s="302"/>
      <c r="J72" s="302"/>
      <c r="K72" s="302"/>
      <c r="L72" s="302"/>
      <c r="M72" s="302"/>
      <c r="N72" s="302"/>
      <c r="O72" s="302"/>
      <c r="P72" s="302"/>
      <c r="Q72" s="302"/>
      <c r="R72" s="302"/>
      <c r="S72" s="302"/>
      <c r="T72" s="302"/>
      <c r="U72" s="302"/>
      <c r="V72" s="302"/>
      <c r="W72" s="302"/>
      <c r="X72" s="302"/>
      <c r="Y72" s="302"/>
      <c r="Z72" s="302"/>
      <c r="AA72" s="302"/>
      <c r="AB72" s="302"/>
      <c r="AC72" s="302"/>
      <c r="AD72" s="302"/>
      <c r="AE72" s="302"/>
      <c r="AF72" s="302"/>
      <c r="AG72" s="302"/>
      <c r="AH72" s="302"/>
      <c r="AI72" s="302"/>
      <c r="AJ72" s="302"/>
      <c r="AK72" s="302"/>
      <c r="AL72" s="302"/>
      <c r="AM72" s="266"/>
    </row>
    <row r="73" spans="3:39" s="266" customFormat="1" ht="16.2" thickBot="1">
      <c r="C73" s="394" t="s">
        <v>173</v>
      </c>
      <c r="D73" s="395"/>
      <c r="E73" s="396"/>
      <c r="F73" s="395"/>
      <c r="G73" s="395"/>
      <c r="H73" s="395"/>
      <c r="I73" s="395"/>
      <c r="J73" s="395"/>
      <c r="K73" s="395"/>
      <c r="L73" s="395"/>
      <c r="M73" s="395"/>
      <c r="N73" s="395"/>
      <c r="O73" s="395"/>
      <c r="P73" s="395"/>
      <c r="Q73" s="395"/>
      <c r="R73" s="395"/>
      <c r="S73" s="395"/>
      <c r="T73" s="395"/>
      <c r="U73" s="395"/>
      <c r="V73" s="395"/>
      <c r="W73" s="395"/>
      <c r="X73" s="395"/>
      <c r="Y73" s="395"/>
      <c r="Z73" s="395"/>
      <c r="AA73" s="395"/>
      <c r="AB73" s="395"/>
      <c r="AC73" s="395"/>
      <c r="AD73" s="395"/>
      <c r="AE73" s="395"/>
      <c r="AF73" s="395"/>
      <c r="AG73" s="395"/>
      <c r="AH73" s="395"/>
      <c r="AI73" s="395"/>
      <c r="AJ73" s="395"/>
      <c r="AK73" s="8"/>
      <c r="AL73" s="8"/>
      <c r="AM73" s="8"/>
    </row>
    <row r="74" spans="3:39" outlineLevel="1">
      <c r="C74" s="303"/>
      <c r="D74"/>
      <c r="E74" s="266"/>
      <c r="F74" s="266"/>
      <c r="G74" s="266"/>
      <c r="H74" s="266"/>
      <c r="I74" s="266"/>
      <c r="J74" s="266"/>
      <c r="K74" s="266"/>
      <c r="L74" s="266"/>
      <c r="M74" s="266"/>
      <c r="N74" s="266"/>
      <c r="O74" s="266"/>
      <c r="P74" s="266"/>
      <c r="Q74" s="266"/>
      <c r="R74" s="266"/>
      <c r="S74" s="266"/>
      <c r="T74" s="266"/>
      <c r="U74" s="266"/>
      <c r="V74" s="266"/>
      <c r="W74" s="266"/>
      <c r="X74" s="266"/>
      <c r="Y74" s="266"/>
      <c r="Z74" s="266"/>
      <c r="AA74" s="266"/>
      <c r="AB74" s="266"/>
      <c r="AC74" s="266"/>
      <c r="AD74" s="266"/>
      <c r="AE74" s="266"/>
      <c r="AF74" s="266"/>
      <c r="AG74" s="266"/>
      <c r="AH74" s="266"/>
      <c r="AI74" s="266"/>
      <c r="AJ74" s="266"/>
      <c r="AK74" s="266"/>
      <c r="AL74" s="266"/>
      <c r="AM74" s="266"/>
    </row>
    <row r="75" spans="3:39" ht="16.2" customHeight="1" outlineLevel="1">
      <c r="C75" s="303" t="s">
        <v>174</v>
      </c>
      <c r="D75" s="896">
        <v>6261.4</v>
      </c>
      <c r="E75" s="4" t="s">
        <v>175</v>
      </c>
      <c r="F75" s="197"/>
      <c r="G75" s="266"/>
      <c r="H75" s="266"/>
      <c r="I75" s="278"/>
      <c r="J75" s="278"/>
      <c r="K75" s="266"/>
      <c r="L75" s="266"/>
      <c r="M75" s="266"/>
      <c r="N75" s="266"/>
      <c r="O75" s="266"/>
      <c r="P75" s="266"/>
      <c r="Q75" s="266"/>
      <c r="R75" s="266"/>
      <c r="S75" s="266"/>
      <c r="T75" s="266"/>
      <c r="U75" s="266"/>
      <c r="V75" s="266"/>
      <c r="W75" s="266"/>
      <c r="X75" s="266"/>
      <c r="Y75" s="266"/>
      <c r="Z75" s="266"/>
      <c r="AA75" s="266"/>
      <c r="AB75" s="266"/>
      <c r="AC75" s="266"/>
      <c r="AD75" s="266"/>
      <c r="AE75" s="266"/>
      <c r="AF75" s="266"/>
      <c r="AG75" s="266"/>
      <c r="AH75" s="266"/>
      <c r="AI75" s="266"/>
      <c r="AJ75" s="266"/>
      <c r="AK75" s="266"/>
      <c r="AL75" s="266"/>
      <c r="AM75" s="266"/>
    </row>
    <row r="76" spans="3:39" outlineLevel="1">
      <c r="C76" s="303"/>
      <c r="D76" s="278"/>
      <c r="E76" s="4"/>
      <c r="F76" s="197"/>
      <c r="G76" s="266"/>
      <c r="H76" s="266"/>
      <c r="I76" s="278"/>
      <c r="J76" s="266"/>
      <c r="K76" s="266"/>
      <c r="L76" s="266"/>
      <c r="M76" s="266"/>
      <c r="N76" s="266"/>
      <c r="O76" s="266"/>
      <c r="P76" s="266"/>
      <c r="Q76" s="266"/>
      <c r="R76" s="266"/>
      <c r="S76" s="266"/>
      <c r="T76" s="266"/>
      <c r="U76" s="266"/>
      <c r="V76" s="266"/>
      <c r="W76" s="266"/>
      <c r="X76" s="266"/>
      <c r="Y76" s="266"/>
      <c r="Z76" s="266"/>
      <c r="AA76" s="266"/>
      <c r="AB76" s="266"/>
      <c r="AC76" s="266"/>
      <c r="AD76" s="266"/>
      <c r="AE76" s="266"/>
      <c r="AF76" s="266"/>
      <c r="AG76" s="266"/>
      <c r="AH76" s="266"/>
      <c r="AI76" s="266"/>
      <c r="AJ76" s="266"/>
      <c r="AK76" s="266"/>
      <c r="AL76" s="266"/>
      <c r="AM76" s="266"/>
    </row>
    <row r="77" spans="3:39" outlineLevel="1">
      <c r="C77" s="303" t="s">
        <v>176</v>
      </c>
      <c r="D77" s="406">
        <f>Ops!D167*(1-Inputs!D132)</f>
        <v>9190.3171653679983</v>
      </c>
      <c r="E77" s="4" t="s">
        <v>175</v>
      </c>
      <c r="F77" s="197"/>
      <c r="G77" s="266"/>
      <c r="H77" s="266"/>
      <c r="I77" s="278"/>
      <c r="J77" s="266"/>
      <c r="K77" s="266"/>
      <c r="L77" s="266"/>
      <c r="M77" s="266"/>
      <c r="N77" s="266"/>
      <c r="O77" s="266"/>
      <c r="P77" s="266"/>
      <c r="Q77" s="266"/>
      <c r="R77" s="266"/>
      <c r="S77" s="266"/>
      <c r="T77" s="266"/>
      <c r="U77" s="266"/>
      <c r="V77" s="266"/>
      <c r="W77" s="266"/>
      <c r="X77" s="266"/>
      <c r="Y77" s="266"/>
      <c r="Z77" s="266"/>
      <c r="AA77" s="266"/>
      <c r="AB77" s="266"/>
      <c r="AC77" s="266"/>
      <c r="AD77" s="266"/>
      <c r="AE77" s="266"/>
      <c r="AF77" s="266"/>
      <c r="AG77" s="266"/>
      <c r="AH77" s="266"/>
      <c r="AI77" s="266"/>
      <c r="AJ77" s="266"/>
      <c r="AK77" s="266"/>
      <c r="AL77" s="266"/>
      <c r="AM77" s="266"/>
    </row>
    <row r="78" spans="3:39" outlineLevel="1">
      <c r="C78" s="303"/>
      <c r="D78" s="142"/>
      <c r="E78" s="266"/>
      <c r="F78" s="278"/>
      <c r="G78" s="266"/>
      <c r="H78" s="266"/>
      <c r="I78" s="266"/>
      <c r="J78" s="266"/>
      <c r="K78" s="266"/>
      <c r="L78" s="266"/>
      <c r="M78" s="266"/>
      <c r="N78" s="266"/>
      <c r="O78" s="266"/>
      <c r="P78" s="266"/>
      <c r="Q78" s="266"/>
      <c r="R78" s="266"/>
      <c r="S78" s="266"/>
      <c r="T78" s="266"/>
      <c r="U78" s="266"/>
      <c r="V78" s="266"/>
      <c r="W78" s="266"/>
      <c r="X78" s="266"/>
      <c r="Y78" s="266"/>
      <c r="Z78" s="266"/>
      <c r="AA78" s="266"/>
      <c r="AB78" s="266"/>
      <c r="AC78" s="266"/>
      <c r="AD78" s="266"/>
      <c r="AE78" s="266"/>
      <c r="AF78" s="266"/>
      <c r="AG78" s="266"/>
      <c r="AH78" s="266"/>
      <c r="AI78" s="266"/>
      <c r="AJ78" s="266"/>
      <c r="AK78" s="266"/>
      <c r="AL78" s="266"/>
      <c r="AM78" s="266"/>
    </row>
    <row r="79" spans="3:39" outlineLevel="1">
      <c r="C79" s="303" t="s">
        <v>177</v>
      </c>
      <c r="D79" s="43">
        <v>0</v>
      </c>
      <c r="E79" s="4" t="s">
        <v>23</v>
      </c>
      <c r="F79" s="376"/>
      <c r="G79"/>
      <c r="H79" s="266"/>
      <c r="I79" s="266"/>
      <c r="J79" s="266"/>
      <c r="K79" s="266"/>
      <c r="L79" s="266"/>
      <c r="M79" s="266"/>
      <c r="N79" s="266"/>
      <c r="O79" s="266"/>
      <c r="P79" s="266"/>
      <c r="Q79" s="266"/>
      <c r="R79" s="266"/>
      <c r="S79" s="266"/>
      <c r="T79" s="266"/>
      <c r="U79" s="266"/>
      <c r="V79" s="266"/>
      <c r="W79" s="266"/>
      <c r="X79" s="266"/>
      <c r="Y79" s="266"/>
      <c r="Z79" s="266"/>
      <c r="AA79" s="266"/>
      <c r="AB79" s="266"/>
      <c r="AC79" s="266"/>
      <c r="AD79" s="266"/>
      <c r="AE79" s="266"/>
      <c r="AF79" s="266"/>
      <c r="AG79" s="266"/>
      <c r="AH79" s="266"/>
      <c r="AI79" s="266"/>
      <c r="AJ79" s="266"/>
      <c r="AK79" s="266"/>
      <c r="AL79" s="266"/>
      <c r="AM79" s="266"/>
    </row>
    <row r="80" spans="3:39" outlineLevel="1">
      <c r="C80" s="303"/>
      <c r="D80"/>
      <c r="E80" s="266"/>
      <c r="F80" s="491"/>
      <c r="G80" s="266"/>
      <c r="H80" s="266"/>
      <c r="I80" s="266"/>
      <c r="J80" s="266"/>
      <c r="K80" s="266"/>
      <c r="L80" s="266"/>
      <c r="M80" s="266"/>
      <c r="N80" s="266"/>
      <c r="O80" s="266"/>
      <c r="P80" s="266"/>
      <c r="Q80" s="266"/>
      <c r="R80" s="266"/>
      <c r="S80" s="266"/>
      <c r="T80" s="266"/>
      <c r="U80" s="266"/>
      <c r="V80" s="266"/>
      <c r="W80" s="266"/>
      <c r="X80" s="266"/>
      <c r="Y80" s="266"/>
      <c r="Z80" s="266"/>
      <c r="AA80" s="266"/>
      <c r="AB80" s="266"/>
      <c r="AC80" s="266"/>
      <c r="AD80" s="266"/>
      <c r="AE80" s="266"/>
      <c r="AF80" s="266"/>
      <c r="AG80" s="266"/>
      <c r="AH80" s="266"/>
      <c r="AI80" s="266"/>
      <c r="AJ80" s="266"/>
      <c r="AK80" s="266"/>
      <c r="AL80" s="266"/>
      <c r="AM80" s="266"/>
    </row>
    <row r="81" spans="3:40" outlineLevel="1">
      <c r="C81" s="303" t="s">
        <v>178</v>
      </c>
      <c r="D81" s="407">
        <v>0.5</v>
      </c>
      <c r="E81" s="4" t="s">
        <v>23</v>
      </c>
      <c r="F81" s="266"/>
      <c r="G81" s="266"/>
      <c r="H81" s="266"/>
      <c r="I81" s="266"/>
      <c r="J81" s="266"/>
      <c r="K81" s="266"/>
      <c r="L81" s="266"/>
      <c r="M81" s="266"/>
      <c r="N81" s="266"/>
      <c r="O81" s="266"/>
      <c r="P81" s="266"/>
      <c r="Q81" s="266"/>
      <c r="R81" s="266"/>
      <c r="S81" s="266"/>
      <c r="T81" s="266"/>
      <c r="U81" s="266"/>
      <c r="V81" s="266"/>
      <c r="W81" s="266"/>
      <c r="X81" s="266"/>
      <c r="Y81" s="266"/>
      <c r="Z81" s="266"/>
      <c r="AA81" s="266"/>
      <c r="AB81" s="266"/>
      <c r="AC81" s="266"/>
      <c r="AD81" s="266"/>
      <c r="AE81" s="266"/>
      <c r="AF81" s="266"/>
      <c r="AG81" s="266"/>
      <c r="AH81" s="266"/>
      <c r="AI81" s="266"/>
      <c r="AJ81" s="266"/>
      <c r="AK81" s="266"/>
      <c r="AL81" s="266"/>
      <c r="AM81" s="266"/>
      <c r="AN81" s="266"/>
    </row>
    <row r="82" spans="3:40" outlineLevel="1">
      <c r="C82" s="303" t="s">
        <v>179</v>
      </c>
      <c r="D82" s="407">
        <v>0.5</v>
      </c>
      <c r="E82" s="4" t="s">
        <v>23</v>
      </c>
      <c r="F82" s="266"/>
      <c r="G82"/>
      <c r="H82" s="266"/>
      <c r="I82" s="266"/>
      <c r="J82" s="266"/>
      <c r="K82" s="266"/>
      <c r="L82" s="266"/>
      <c r="M82" s="266"/>
      <c r="N82" s="266"/>
      <c r="O82" s="266"/>
      <c r="P82" s="266"/>
      <c r="Q82" s="266"/>
      <c r="R82" s="266"/>
      <c r="S82" s="266"/>
      <c r="T82" s="266"/>
      <c r="U82" s="266"/>
      <c r="V82" s="266"/>
      <c r="W82" s="266"/>
      <c r="X82" s="266"/>
      <c r="Y82" s="266"/>
      <c r="Z82" s="266"/>
      <c r="AA82" s="266"/>
      <c r="AB82" s="266"/>
      <c r="AC82" s="266"/>
      <c r="AD82" s="266"/>
      <c r="AE82" s="266"/>
      <c r="AF82" s="266"/>
      <c r="AG82" s="266"/>
      <c r="AH82" s="266"/>
      <c r="AI82" s="266"/>
      <c r="AJ82" s="266"/>
      <c r="AK82" s="266"/>
      <c r="AL82" s="266"/>
      <c r="AM82" s="266"/>
      <c r="AN82" s="266"/>
    </row>
    <row r="83" spans="3:40" outlineLevel="1">
      <c r="C83" s="303"/>
      <c r="D83"/>
      <c r="E83" s="266"/>
      <c r="F83" s="266"/>
      <c r="G83"/>
      <c r="H83" s="266"/>
      <c r="I83" s="266"/>
      <c r="J83" s="299"/>
      <c r="K83" s="299"/>
      <c r="L83" s="266"/>
      <c r="M83" s="266"/>
      <c r="N83" s="266"/>
      <c r="O83" s="266"/>
      <c r="P83" s="266"/>
      <c r="Q83" s="266"/>
      <c r="R83" s="266"/>
      <c r="S83" s="266"/>
      <c r="T83" s="266"/>
      <c r="U83" s="266"/>
      <c r="V83" s="266"/>
      <c r="W83" s="266"/>
      <c r="X83" s="266"/>
      <c r="Y83" s="266"/>
      <c r="Z83" s="266"/>
      <c r="AA83" s="266"/>
      <c r="AB83" s="266"/>
      <c r="AC83" s="266"/>
      <c r="AD83" s="266"/>
      <c r="AE83" s="266"/>
      <c r="AF83" s="266"/>
      <c r="AG83" s="266"/>
      <c r="AH83" s="266"/>
      <c r="AI83" s="266"/>
      <c r="AJ83" s="266"/>
      <c r="AK83" s="266"/>
      <c r="AL83" s="266"/>
      <c r="AM83" s="266"/>
      <c r="AN83" s="266"/>
    </row>
    <row r="84" spans="3:40" outlineLevel="1">
      <c r="C84" s="303" t="s">
        <v>180</v>
      </c>
      <c r="D84">
        <v>1</v>
      </c>
      <c r="E84" s="4" t="s">
        <v>181</v>
      </c>
      <c r="F84" s="266"/>
      <c r="G84" s="266"/>
      <c r="H84" s="266"/>
      <c r="I84" s="266"/>
      <c r="J84" s="266"/>
      <c r="K84" s="266"/>
      <c r="L84" s="266"/>
      <c r="M84" s="266"/>
      <c r="N84" s="266"/>
      <c r="O84" s="266"/>
      <c r="P84" s="266"/>
      <c r="Q84" s="266"/>
      <c r="R84" s="266"/>
      <c r="S84" s="266"/>
      <c r="T84" s="266"/>
      <c r="U84" s="266"/>
      <c r="V84" s="266"/>
      <c r="W84" s="266"/>
      <c r="X84" s="266"/>
      <c r="Y84" s="266"/>
      <c r="Z84" s="266"/>
      <c r="AA84" s="266"/>
      <c r="AB84" s="266"/>
      <c r="AC84" s="266"/>
      <c r="AD84" s="266"/>
      <c r="AE84" s="266"/>
      <c r="AF84" s="266"/>
      <c r="AG84" s="266"/>
      <c r="AH84" s="266"/>
      <c r="AI84" s="266"/>
      <c r="AJ84" s="266"/>
      <c r="AK84" s="266"/>
      <c r="AL84" s="266"/>
      <c r="AM84" s="266"/>
      <c r="AN84" s="266"/>
    </row>
    <row r="85" spans="3:40" outlineLevel="1">
      <c r="C85" s="303"/>
      <c r="D85" s="266"/>
      <c r="E85" s="4"/>
      <c r="F85" s="266"/>
      <c r="G85" s="266"/>
      <c r="H85" s="266"/>
      <c r="I85" s="266"/>
      <c r="J85" s="266"/>
      <c r="K85"/>
      <c r="L85" s="266"/>
      <c r="M85" s="266"/>
      <c r="N85" s="266"/>
      <c r="O85" s="266"/>
      <c r="P85" s="266"/>
      <c r="Q85" s="266"/>
      <c r="R85" s="266"/>
      <c r="S85" s="266"/>
      <c r="T85" s="266"/>
      <c r="U85" s="266"/>
      <c r="V85" s="266"/>
      <c r="W85" s="266"/>
      <c r="X85" s="266"/>
      <c r="Y85" s="266"/>
      <c r="Z85" s="266"/>
      <c r="AA85" s="266"/>
      <c r="AB85" s="266"/>
      <c r="AC85" s="266"/>
      <c r="AD85" s="266"/>
      <c r="AE85" s="266"/>
      <c r="AF85" s="266"/>
      <c r="AG85" s="266"/>
      <c r="AH85" s="266"/>
      <c r="AI85" s="266"/>
      <c r="AJ85" s="266"/>
      <c r="AK85" s="266"/>
      <c r="AL85" s="266"/>
      <c r="AM85" s="266"/>
      <c r="AN85" s="266"/>
    </row>
    <row r="86" spans="3:40" outlineLevel="1">
      <c r="C86" s="303"/>
      <c r="D86" s="408">
        <f>YEAR(Model_Start)</f>
        <v>2027</v>
      </c>
      <c r="E86" s="408">
        <f>D86+1</f>
        <v>2028</v>
      </c>
      <c r="F86" s="408">
        <f t="shared" ref="F86:H86" si="4">E86+1</f>
        <v>2029</v>
      </c>
      <c r="G86" s="408">
        <f t="shared" si="4"/>
        <v>2030</v>
      </c>
      <c r="H86" s="409">
        <f t="shared" si="4"/>
        <v>2031</v>
      </c>
      <c r="I86" s="266"/>
      <c r="J86"/>
      <c r="K86" s="266"/>
      <c r="L86" s="266"/>
      <c r="M86" s="266"/>
      <c r="N86" s="266"/>
      <c r="O86" s="266"/>
      <c r="P86" s="266"/>
      <c r="Q86" s="266"/>
      <c r="R86" s="266"/>
      <c r="S86" s="266"/>
      <c r="T86" s="266"/>
      <c r="U86" s="266"/>
      <c r="V86" s="266"/>
      <c r="W86" s="266"/>
      <c r="X86" s="266"/>
      <c r="Y86" s="266"/>
      <c r="Z86" s="266"/>
      <c r="AA86" s="266"/>
      <c r="AB86" s="266"/>
      <c r="AC86" s="266"/>
      <c r="AD86" s="266"/>
      <c r="AE86" s="266"/>
      <c r="AF86" s="266"/>
      <c r="AG86" s="266"/>
      <c r="AH86" s="266"/>
      <c r="AI86" s="266"/>
      <c r="AJ86" s="266"/>
      <c r="AK86" s="266"/>
      <c r="AL86" s="266"/>
      <c r="AM86" s="266"/>
      <c r="AN86" s="266"/>
    </row>
    <row r="87" spans="3:40" outlineLevel="1">
      <c r="C87" s="303" t="s">
        <v>182</v>
      </c>
      <c r="D87" s="410">
        <f>(CP+D77)/CP</f>
        <v>2.4677735275446384</v>
      </c>
      <c r="E87" s="410">
        <v>1</v>
      </c>
      <c r="F87" s="410">
        <f>E87</f>
        <v>1</v>
      </c>
      <c r="G87" s="410">
        <f t="shared" ref="G87:H87" si="5">F87</f>
        <v>1</v>
      </c>
      <c r="H87" s="410">
        <f t="shared" si="5"/>
        <v>1</v>
      </c>
      <c r="I87" s="266"/>
      <c r="J87" s="266"/>
      <c r="K87" s="266"/>
      <c r="L87" s="266"/>
      <c r="M87" s="266"/>
      <c r="N87" s="266"/>
      <c r="O87" s="266"/>
      <c r="P87" s="266"/>
      <c r="Q87" s="266"/>
      <c r="R87" s="266"/>
      <c r="S87" s="266"/>
      <c r="T87" s="266"/>
      <c r="U87" s="266"/>
      <c r="V87" s="266"/>
      <c r="W87" s="266"/>
      <c r="X87" s="266"/>
      <c r="Y87" s="266"/>
      <c r="Z87" s="266"/>
      <c r="AA87" s="266"/>
      <c r="AB87" s="266"/>
      <c r="AC87" s="266"/>
      <c r="AD87" s="266"/>
      <c r="AE87" s="266"/>
      <c r="AF87" s="266"/>
      <c r="AG87" s="266"/>
      <c r="AH87" s="266"/>
      <c r="AI87" s="266"/>
      <c r="AJ87" s="266"/>
      <c r="AK87" s="266"/>
      <c r="AL87" s="266"/>
      <c r="AM87" s="266"/>
      <c r="AN87" s="266"/>
    </row>
    <row r="88" spans="3:40" outlineLevel="1">
      <c r="C88" s="303"/>
      <c r="D88" s="266"/>
      <c r="E88" s="4"/>
      <c r="F88" s="266"/>
      <c r="G88" s="266"/>
      <c r="H88" s="266"/>
      <c r="I88" s="266"/>
      <c r="J88" s="266"/>
      <c r="K88" s="266"/>
      <c r="L88" s="266"/>
      <c r="M88" s="266"/>
      <c r="N88" s="266"/>
      <c r="O88" s="266"/>
      <c r="P88" s="266"/>
      <c r="Q88" s="266"/>
      <c r="R88" s="266"/>
      <c r="S88" s="266"/>
      <c r="T88" s="266"/>
      <c r="U88" s="266"/>
      <c r="V88" s="266"/>
      <c r="W88" s="266"/>
      <c r="X88" s="266"/>
      <c r="Y88" s="266"/>
      <c r="Z88" s="266"/>
      <c r="AA88" s="266"/>
      <c r="AB88" s="266"/>
      <c r="AC88" s="266"/>
      <c r="AD88" s="266"/>
      <c r="AE88" s="266"/>
      <c r="AF88" s="266"/>
      <c r="AG88" s="266"/>
      <c r="AH88" s="266"/>
      <c r="AI88" s="266"/>
      <c r="AJ88" s="266"/>
      <c r="AK88" s="266"/>
      <c r="AL88" s="266"/>
      <c r="AM88" s="266"/>
      <c r="AN88" s="266"/>
    </row>
    <row r="89" spans="3:40" outlineLevel="1">
      <c r="C89" s="303"/>
      <c r="D89"/>
      <c r="E89" s="4"/>
      <c r="F89" s="266"/>
      <c r="G89" s="266"/>
      <c r="H89" s="266"/>
      <c r="I89" s="266"/>
      <c r="J89" s="266"/>
      <c r="K89" s="266"/>
      <c r="L89" s="266"/>
      <c r="M89" s="266"/>
      <c r="N89" s="266"/>
      <c r="O89" s="266"/>
      <c r="P89" s="266"/>
      <c r="Q89" s="266"/>
      <c r="R89" s="266"/>
      <c r="S89" s="266"/>
      <c r="T89" s="266"/>
      <c r="U89" s="266"/>
      <c r="V89" s="266"/>
      <c r="W89" s="266"/>
      <c r="X89" s="266"/>
      <c r="Y89" s="266"/>
      <c r="Z89" s="266"/>
      <c r="AA89" s="266"/>
      <c r="AB89" s="266"/>
      <c r="AC89" s="266"/>
      <c r="AD89" s="266"/>
      <c r="AE89" s="266"/>
      <c r="AF89" s="266"/>
      <c r="AG89" s="266"/>
      <c r="AH89" s="266"/>
      <c r="AI89" s="266"/>
      <c r="AJ89" s="266"/>
      <c r="AK89" s="266"/>
      <c r="AL89" s="266"/>
      <c r="AM89" s="266"/>
      <c r="AN89" s="266"/>
    </row>
    <row r="90" spans="3:40">
      <c r="C90" s="266"/>
      <c r="D90" s="266"/>
      <c r="E90" s="266"/>
      <c r="F90" s="266"/>
      <c r="G90" s="266"/>
      <c r="H90" s="266"/>
      <c r="I90" s="266"/>
      <c r="J90" s="266"/>
      <c r="K90" s="266"/>
      <c r="L90" s="266"/>
      <c r="M90" s="266"/>
      <c r="N90" s="266"/>
      <c r="O90" s="266"/>
      <c r="P90" s="266"/>
      <c r="Q90" s="266"/>
      <c r="R90" s="266"/>
      <c r="S90" s="266"/>
      <c r="T90" s="266"/>
      <c r="U90" s="266"/>
      <c r="V90" s="266"/>
      <c r="W90" s="266"/>
      <c r="X90" s="266"/>
      <c r="Y90" s="266"/>
      <c r="Z90" s="266"/>
      <c r="AA90" s="266"/>
      <c r="AB90" s="266"/>
      <c r="AC90" s="266"/>
      <c r="AD90" s="266"/>
      <c r="AE90" s="266"/>
      <c r="AF90" s="266"/>
      <c r="AG90" s="266"/>
      <c r="AH90" s="266"/>
      <c r="AI90" s="266"/>
      <c r="AJ90" s="266"/>
      <c r="AK90" s="266"/>
      <c r="AL90" s="266"/>
      <c r="AM90" s="266"/>
      <c r="AN90" s="266"/>
    </row>
    <row r="91" spans="3:40" s="266" customFormat="1" ht="16.2" thickBot="1">
      <c r="C91" s="394" t="s">
        <v>183</v>
      </c>
      <c r="D91" s="395"/>
      <c r="E91" s="396"/>
      <c r="F91" s="395"/>
      <c r="G91" s="395"/>
      <c r="H91" s="395"/>
      <c r="I91" s="395"/>
      <c r="J91" s="395"/>
      <c r="K91" s="395"/>
      <c r="L91" s="395"/>
      <c r="M91" s="395"/>
      <c r="N91" s="395"/>
      <c r="O91" s="395"/>
      <c r="P91" s="395"/>
      <c r="Q91" s="395"/>
      <c r="R91" s="395"/>
      <c r="S91" s="395"/>
      <c r="T91" s="395"/>
      <c r="U91" s="395"/>
      <c r="V91" s="395"/>
      <c r="W91" s="395"/>
      <c r="X91" s="395"/>
      <c r="Y91" s="395"/>
      <c r="Z91" s="395"/>
      <c r="AA91" s="395"/>
      <c r="AB91" s="395"/>
      <c r="AC91" s="395"/>
      <c r="AD91" s="395"/>
      <c r="AE91" s="395"/>
      <c r="AF91" s="395"/>
      <c r="AG91" s="395"/>
      <c r="AH91" s="395"/>
      <c r="AI91" s="395"/>
      <c r="AJ91" s="395"/>
      <c r="AK91" s="8"/>
      <c r="AL91" s="8"/>
      <c r="AM91" s="8"/>
    </row>
    <row r="92" spans="3:40" outlineLevel="1">
      <c r="C92" s="266"/>
      <c r="D92" s="266"/>
      <c r="E92" s="266"/>
      <c r="F92" s="266"/>
      <c r="G92" s="266"/>
      <c r="H92" s="278"/>
      <c r="I92" s="278"/>
      <c r="J92" s="266"/>
      <c r="K92" s="266"/>
      <c r="L92" s="266"/>
      <c r="M92" s="266"/>
      <c r="N92" s="266"/>
      <c r="O92" s="266"/>
      <c r="P92" s="266"/>
      <c r="Q92" s="266"/>
      <c r="R92" s="266"/>
      <c r="S92" s="266"/>
      <c r="T92" s="266"/>
      <c r="U92" s="266"/>
      <c r="V92" s="266"/>
      <c r="W92" s="266"/>
      <c r="X92" s="266"/>
      <c r="Y92" s="266"/>
      <c r="Z92" s="266"/>
      <c r="AA92" s="266"/>
      <c r="AB92" s="266"/>
      <c r="AC92" s="266"/>
      <c r="AD92" s="266"/>
      <c r="AE92" s="266"/>
      <c r="AF92" s="266"/>
      <c r="AG92" s="266"/>
      <c r="AH92" s="266"/>
      <c r="AI92" s="266"/>
      <c r="AJ92" s="266"/>
      <c r="AK92" s="266"/>
      <c r="AL92" s="266"/>
      <c r="AM92" s="266"/>
      <c r="AN92" s="266"/>
    </row>
    <row r="93" spans="3:40" outlineLevel="1">
      <c r="C93" s="11" t="s">
        <v>184</v>
      </c>
      <c r="D93" s="266"/>
      <c r="E93" s="266"/>
      <c r="F93" s="266"/>
      <c r="G93" s="266"/>
      <c r="H93" s="266"/>
      <c r="I93" s="266"/>
      <c r="J93" s="266"/>
      <c r="K93" s="266"/>
      <c r="L93" s="266"/>
      <c r="M93" s="266"/>
      <c r="N93" s="266"/>
      <c r="O93" s="266"/>
      <c r="P93" s="266"/>
      <c r="Q93" s="266"/>
      <c r="R93" s="266"/>
      <c r="S93" s="266"/>
      <c r="T93" s="266"/>
      <c r="U93" s="266"/>
      <c r="V93" s="266"/>
      <c r="W93" s="266"/>
      <c r="X93" s="266"/>
      <c r="Y93" s="266"/>
      <c r="Z93" s="266"/>
      <c r="AA93" s="266"/>
      <c r="AB93" s="266"/>
      <c r="AC93" s="266"/>
      <c r="AD93" s="266"/>
      <c r="AE93" s="266"/>
      <c r="AF93" s="266"/>
      <c r="AG93" s="266"/>
      <c r="AH93" s="266"/>
      <c r="AI93" s="266"/>
      <c r="AJ93" s="266"/>
      <c r="AK93" s="266"/>
      <c r="AL93" s="266"/>
      <c r="AM93" s="266"/>
      <c r="AN93" s="266"/>
    </row>
    <row r="94" spans="3:40" outlineLevel="1">
      <c r="C94" s="266" t="s">
        <v>185</v>
      </c>
      <c r="D94" s="410">
        <f>Ops!D137</f>
        <v>0.40350000000000003</v>
      </c>
      <c r="E94" s="76" t="s">
        <v>23</v>
      </c>
      <c r="F94" s="266"/>
      <c r="G94" s="266"/>
      <c r="H94" s="266"/>
      <c r="I94" s="266"/>
      <c r="J94" s="266"/>
      <c r="K94" s="266"/>
      <c r="L94" s="266"/>
      <c r="M94" s="266"/>
      <c r="N94" s="266"/>
      <c r="O94" s="266"/>
      <c r="P94" s="266"/>
      <c r="Q94" s="266"/>
      <c r="R94" s="266"/>
      <c r="S94" s="266"/>
      <c r="T94" s="266"/>
      <c r="U94" s="266"/>
      <c r="V94" s="266"/>
      <c r="W94" s="266"/>
      <c r="X94" s="266"/>
      <c r="Y94" s="266"/>
      <c r="Z94" s="266"/>
      <c r="AA94" s="266"/>
      <c r="AB94" s="266"/>
      <c r="AC94" s="266"/>
      <c r="AD94" s="266"/>
      <c r="AE94" s="266"/>
      <c r="AF94" s="266"/>
      <c r="AG94" s="266"/>
      <c r="AH94" s="266"/>
      <c r="AI94" s="266"/>
      <c r="AJ94" s="266"/>
      <c r="AK94" s="266"/>
      <c r="AL94" s="266"/>
      <c r="AM94" s="266"/>
      <c r="AN94" s="266"/>
    </row>
    <row r="95" spans="3:40" ht="15" customHeight="1" outlineLevel="1">
      <c r="C95" s="266"/>
      <c r="D95" s="266"/>
      <c r="E95" s="266"/>
      <c r="F95" s="266"/>
      <c r="G95" s="266"/>
      <c r="H95" s="278"/>
      <c r="I95" s="278"/>
      <c r="J95" s="266"/>
      <c r="K95" s="266"/>
      <c r="L95" s="266"/>
      <c r="M95" s="266"/>
      <c r="N95" s="266"/>
      <c r="O95" s="266"/>
      <c r="P95" s="266"/>
      <c r="Q95" s="266"/>
      <c r="R95" s="266"/>
      <c r="S95" s="266"/>
      <c r="T95" s="266"/>
      <c r="U95" s="266"/>
      <c r="V95" s="266"/>
      <c r="W95" s="266"/>
      <c r="X95" s="266"/>
      <c r="Y95" s="266"/>
      <c r="Z95" s="266"/>
      <c r="AA95" s="266"/>
      <c r="AB95" s="266"/>
      <c r="AC95" s="266"/>
      <c r="AD95" s="266"/>
      <c r="AE95" s="266"/>
      <c r="AF95" s="266"/>
      <c r="AG95" s="266"/>
      <c r="AH95" s="266"/>
      <c r="AI95" s="266"/>
      <c r="AJ95" s="266"/>
      <c r="AK95" s="266"/>
      <c r="AL95" s="266"/>
      <c r="AM95" s="266"/>
      <c r="AN95" s="266"/>
    </row>
    <row r="96" spans="3:40" outlineLevel="1">
      <c r="C96" s="266"/>
      <c r="D96" s="309"/>
      <c r="E96" s="462"/>
      <c r="F96" s="76"/>
      <c r="G96" s="266"/>
      <c r="H96" s="266"/>
      <c r="I96" s="278"/>
      <c r="J96" s="278"/>
      <c r="K96" s="266"/>
      <c r="L96" s="266"/>
      <c r="M96" s="266"/>
      <c r="N96" s="266"/>
      <c r="O96" s="266"/>
      <c r="P96" s="266"/>
      <c r="Q96" s="266"/>
      <c r="R96" s="266"/>
      <c r="S96" s="266"/>
      <c r="T96" s="266"/>
      <c r="U96" s="266"/>
      <c r="V96" s="266"/>
      <c r="W96" s="266"/>
      <c r="X96" s="266"/>
      <c r="Y96" s="266"/>
      <c r="Z96" s="266"/>
      <c r="AA96" s="266"/>
      <c r="AB96" s="266"/>
      <c r="AC96" s="266"/>
      <c r="AD96" s="266"/>
      <c r="AE96" s="266"/>
      <c r="AF96" s="266"/>
      <c r="AG96" s="266"/>
      <c r="AH96" s="266"/>
      <c r="AI96" s="266"/>
      <c r="AJ96" s="266"/>
      <c r="AK96" s="266"/>
      <c r="AL96" s="266"/>
      <c r="AM96" s="266"/>
      <c r="AN96" s="266"/>
    </row>
    <row r="97" spans="3:40" ht="15" customHeight="1" outlineLevel="1">
      <c r="C97" s="303" t="s">
        <v>186</v>
      </c>
      <c r="D97" s="463">
        <f>595.5*(1+0.063)</f>
        <v>633.01649999999995</v>
      </c>
      <c r="E97" s="468" t="s">
        <v>187</v>
      </c>
      <c r="F97" s="468"/>
      <c r="G97" s="264"/>
      <c r="H97" s="266"/>
      <c r="I97" s="278"/>
      <c r="J97" s="278"/>
      <c r="K97" s="266"/>
      <c r="L97" s="266"/>
      <c r="M97" s="266"/>
      <c r="N97" s="266"/>
      <c r="O97" s="266"/>
      <c r="P97" s="266"/>
      <c r="Q97" s="266"/>
      <c r="R97" s="266"/>
      <c r="S97" s="266"/>
      <c r="T97" s="266"/>
      <c r="U97" s="266"/>
      <c r="V97" s="266"/>
      <c r="W97" s="266"/>
      <c r="X97" s="266"/>
      <c r="Y97" s="266"/>
      <c r="Z97" s="266"/>
      <c r="AA97" s="266"/>
      <c r="AB97" s="266"/>
      <c r="AC97" s="266"/>
      <c r="AD97" s="266"/>
      <c r="AE97" s="266"/>
      <c r="AF97" s="266"/>
      <c r="AG97" s="266"/>
      <c r="AH97" s="266"/>
      <c r="AI97" s="266"/>
      <c r="AJ97" s="266"/>
      <c r="AK97" s="266"/>
      <c r="AL97" s="266"/>
      <c r="AM97" s="266"/>
      <c r="AN97" s="266"/>
    </row>
    <row r="98" spans="3:40" ht="15" customHeight="1" outlineLevel="1">
      <c r="C98" s="303" t="s">
        <v>188</v>
      </c>
      <c r="D98" s="463">
        <f>397*(1+0.063)</f>
        <v>422.01099999999997</v>
      </c>
      <c r="E98" s="468" t="s">
        <v>187</v>
      </c>
      <c r="F98" s="468"/>
      <c r="G98" s="264"/>
      <c r="H98" s="266"/>
      <c r="I98" s="278"/>
      <c r="J98" s="278"/>
      <c r="K98" s="266"/>
      <c r="L98" s="266"/>
      <c r="M98" s="266"/>
      <c r="N98" s="266"/>
      <c r="O98" s="266"/>
      <c r="P98" s="266"/>
      <c r="Q98" s="266"/>
      <c r="R98" s="266"/>
      <c r="S98" s="266"/>
      <c r="T98" s="266"/>
      <c r="U98" s="266"/>
      <c r="V98" s="266"/>
      <c r="W98" s="266"/>
      <c r="X98" s="266"/>
      <c r="Y98" s="266"/>
      <c r="Z98" s="266"/>
      <c r="AA98" s="266"/>
      <c r="AB98" s="266"/>
      <c r="AC98" s="266"/>
      <c r="AD98" s="266"/>
      <c r="AE98" s="266"/>
      <c r="AF98" s="266"/>
      <c r="AG98" s="266"/>
      <c r="AH98" s="266"/>
      <c r="AI98" s="266"/>
      <c r="AJ98" s="266"/>
      <c r="AK98" s="266"/>
      <c r="AL98" s="266"/>
      <c r="AM98" s="266"/>
      <c r="AN98" s="266"/>
    </row>
    <row r="99" spans="3:40" ht="15" customHeight="1" outlineLevel="1">
      <c r="C99" s="303" t="s">
        <v>189</v>
      </c>
      <c r="D99" s="463">
        <f>198.5*(1+0.063)</f>
        <v>211.00549999999998</v>
      </c>
      <c r="E99" s="468" t="s">
        <v>187</v>
      </c>
      <c r="F99" s="468"/>
      <c r="G99" s="264"/>
      <c r="H99" s="266"/>
      <c r="I99" s="278"/>
      <c r="J99" s="278"/>
      <c r="K99" s="266"/>
      <c r="L99" s="266"/>
      <c r="M99" s="266"/>
      <c r="N99" s="266"/>
      <c r="O99" s="266"/>
      <c r="P99" s="266"/>
      <c r="Q99" s="266"/>
      <c r="R99" s="266"/>
      <c r="S99" s="266"/>
      <c r="T99" s="266"/>
      <c r="U99" s="266"/>
      <c r="V99" s="266"/>
      <c r="W99" s="266"/>
      <c r="X99" s="266"/>
      <c r="Y99" s="266"/>
      <c r="Z99" s="266"/>
      <c r="AA99" s="266"/>
      <c r="AB99" s="266"/>
      <c r="AC99" s="266"/>
      <c r="AD99" s="266"/>
      <c r="AE99" s="266"/>
      <c r="AF99" s="266"/>
      <c r="AG99" s="266"/>
      <c r="AH99" s="266"/>
      <c r="AI99" s="266"/>
      <c r="AJ99" s="266"/>
      <c r="AK99" s="266"/>
      <c r="AL99" s="266"/>
      <c r="AM99" s="266"/>
      <c r="AN99" s="266"/>
    </row>
    <row r="100" spans="3:40" ht="15" customHeight="1" outlineLevel="1">
      <c r="C100" s="303" t="s">
        <v>190</v>
      </c>
      <c r="D100" s="463">
        <f>3388511.67*(1+0.063)</f>
        <v>3601987.9052099995</v>
      </c>
      <c r="E100" s="468" t="s">
        <v>187</v>
      </c>
      <c r="F100" s="264"/>
      <c r="G100" s="266"/>
      <c r="H100" s="278"/>
      <c r="I100" s="278"/>
      <c r="J100" s="266"/>
      <c r="K100" s="266"/>
      <c r="L100" s="266"/>
      <c r="M100" s="266"/>
      <c r="N100" s="266"/>
      <c r="O100" s="266"/>
      <c r="P100" s="266"/>
      <c r="Q100" s="266"/>
      <c r="R100" s="266"/>
      <c r="S100" s="266"/>
      <c r="T100" s="266"/>
      <c r="U100" s="266"/>
      <c r="V100" s="266"/>
      <c r="W100" s="266"/>
      <c r="X100" s="266"/>
      <c r="Y100" s="266"/>
      <c r="Z100" s="266"/>
      <c r="AA100" s="266"/>
      <c r="AB100" s="266"/>
      <c r="AC100" s="266"/>
      <c r="AD100" s="266"/>
      <c r="AE100" s="266"/>
      <c r="AF100" s="266"/>
      <c r="AG100" s="266"/>
      <c r="AH100" s="266"/>
      <c r="AI100" s="266"/>
      <c r="AJ100" s="266"/>
      <c r="AK100" s="266"/>
      <c r="AL100" s="266"/>
      <c r="AM100" s="266"/>
      <c r="AN100" s="266"/>
    </row>
    <row r="101" spans="3:40" ht="15" hidden="1" customHeight="1" outlineLevel="1">
      <c r="C101" s="303"/>
      <c r="D101" s="463"/>
      <c r="E101" s="468"/>
      <c r="F101" s="264"/>
      <c r="G101" s="266"/>
      <c r="H101" s="278"/>
      <c r="I101" s="278"/>
      <c r="J101" s="266"/>
      <c r="K101" s="266"/>
      <c r="L101" s="266"/>
      <c r="M101" s="266"/>
      <c r="N101" s="266"/>
      <c r="O101" s="266"/>
      <c r="P101" s="266"/>
      <c r="Q101" s="266"/>
      <c r="R101" s="266"/>
      <c r="S101" s="266"/>
      <c r="T101" s="266"/>
      <c r="U101" s="266"/>
      <c r="V101" s="266"/>
      <c r="W101" s="266"/>
      <c r="X101" s="266"/>
      <c r="Y101" s="266"/>
      <c r="Z101" s="266"/>
      <c r="AA101" s="266"/>
      <c r="AB101" s="266"/>
      <c r="AC101" s="266"/>
      <c r="AD101" s="266"/>
      <c r="AE101" s="266"/>
      <c r="AF101" s="266"/>
      <c r="AG101" s="266"/>
      <c r="AH101" s="266"/>
      <c r="AI101" s="266"/>
      <c r="AJ101" s="266"/>
      <c r="AK101" s="266"/>
      <c r="AL101" s="266"/>
      <c r="AM101" s="266"/>
      <c r="AN101" s="266"/>
    </row>
    <row r="102" spans="3:40" ht="15" hidden="1" customHeight="1" outlineLevel="1">
      <c r="C102" s="303"/>
      <c r="D102" s="463"/>
      <c r="E102" s="468"/>
      <c r="F102" s="264"/>
      <c r="G102" s="266"/>
      <c r="H102" s="278"/>
      <c r="I102" s="278"/>
      <c r="J102" s="266"/>
      <c r="K102" s="266"/>
      <c r="L102" s="266"/>
      <c r="M102" s="266"/>
      <c r="N102" s="266"/>
      <c r="O102" s="266"/>
      <c r="P102" s="266"/>
      <c r="Q102" s="266"/>
      <c r="R102" s="266"/>
      <c r="S102" s="266"/>
      <c r="T102" s="266"/>
      <c r="U102" s="266"/>
      <c r="V102" s="266"/>
      <c r="W102" s="266"/>
      <c r="X102" s="266"/>
      <c r="Y102" s="266"/>
      <c r="Z102" s="266"/>
      <c r="AA102" s="266"/>
      <c r="AB102" s="266"/>
      <c r="AC102" s="266"/>
      <c r="AD102" s="266"/>
      <c r="AE102" s="266"/>
      <c r="AF102" s="266"/>
      <c r="AG102" s="266"/>
      <c r="AH102" s="266"/>
      <c r="AI102" s="266"/>
      <c r="AJ102" s="266"/>
      <c r="AK102" s="266"/>
      <c r="AL102" s="266"/>
      <c r="AM102" s="266"/>
      <c r="AN102" s="266"/>
    </row>
    <row r="103" spans="3:40" ht="15" hidden="1" customHeight="1" outlineLevel="1">
      <c r="C103" s="303"/>
      <c r="D103" s="463"/>
      <c r="E103" s="468"/>
      <c r="F103" s="264"/>
      <c r="G103" s="266"/>
      <c r="H103" s="278"/>
      <c r="I103" s="278"/>
      <c r="J103" s="266"/>
      <c r="K103" s="266"/>
      <c r="L103" s="266"/>
      <c r="M103" s="266"/>
      <c r="N103" s="266"/>
      <c r="O103" s="266"/>
      <c r="P103" s="266"/>
      <c r="Q103" s="266"/>
      <c r="R103" s="266"/>
      <c r="S103" s="266"/>
      <c r="T103" s="266"/>
      <c r="U103" s="266"/>
      <c r="V103" s="266"/>
      <c r="W103" s="266"/>
      <c r="X103" s="266"/>
      <c r="Y103" s="266"/>
      <c r="Z103" s="266"/>
      <c r="AA103" s="266"/>
      <c r="AB103" s="266"/>
      <c r="AC103" s="266"/>
      <c r="AD103" s="266"/>
      <c r="AE103" s="266"/>
      <c r="AF103" s="266"/>
      <c r="AG103" s="266"/>
      <c r="AH103" s="266"/>
      <c r="AI103" s="266"/>
      <c r="AJ103" s="266"/>
      <c r="AK103" s="266"/>
      <c r="AL103" s="266"/>
      <c r="AM103" s="266"/>
      <c r="AN103" s="266"/>
    </row>
    <row r="104" spans="3:40" ht="15" customHeight="1" outlineLevel="1">
      <c r="C104" s="303"/>
      <c r="D104"/>
      <c r="E104" s="266"/>
      <c r="F104" s="266"/>
      <c r="G104" s="266"/>
      <c r="H104" s="278"/>
      <c r="I104" s="278"/>
      <c r="J104" s="266"/>
      <c r="K104" s="266"/>
      <c r="L104" s="266"/>
      <c r="M104" s="266"/>
      <c r="N104" s="266"/>
      <c r="O104" s="266"/>
      <c r="P104" s="266"/>
      <c r="Q104" s="266"/>
      <c r="R104" s="266"/>
      <c r="S104" s="266"/>
      <c r="T104" s="266"/>
      <c r="U104" s="266"/>
      <c r="V104" s="266"/>
      <c r="W104" s="266"/>
      <c r="X104" s="266"/>
      <c r="Y104" s="266"/>
      <c r="Z104" s="266"/>
      <c r="AA104" s="266"/>
      <c r="AB104" s="266"/>
      <c r="AC104" s="266"/>
      <c r="AD104" s="266"/>
      <c r="AE104" s="266"/>
      <c r="AF104" s="266"/>
      <c r="AG104" s="266"/>
      <c r="AH104" s="266"/>
      <c r="AI104" s="266"/>
      <c r="AJ104" s="266"/>
      <c r="AK104" s="266"/>
      <c r="AL104" s="266"/>
      <c r="AM104" s="266"/>
      <c r="AN104" s="266"/>
    </row>
    <row r="105" spans="3:40" ht="15" customHeight="1" outlineLevel="1">
      <c r="C105" s="303"/>
      <c r="D105" s="266"/>
      <c r="E105" s="266"/>
      <c r="F105" s="266"/>
      <c r="G105" s="266"/>
      <c r="H105" s="278"/>
      <c r="I105" s="278"/>
      <c r="J105" s="266"/>
      <c r="K105" s="266"/>
      <c r="L105" s="266"/>
      <c r="M105" s="266"/>
      <c r="N105" s="266"/>
      <c r="O105" s="266"/>
      <c r="P105" s="266"/>
      <c r="Q105" s="266"/>
      <c r="R105" s="266"/>
      <c r="S105" s="266"/>
      <c r="T105" s="266"/>
      <c r="U105" s="266"/>
      <c r="V105" s="266"/>
      <c r="W105" s="266"/>
      <c r="X105" s="266"/>
      <c r="Y105" s="266"/>
      <c r="Z105" s="266"/>
      <c r="AA105" s="266"/>
      <c r="AB105" s="266"/>
      <c r="AC105" s="266"/>
      <c r="AD105" s="266"/>
      <c r="AE105" s="266"/>
      <c r="AF105" s="266"/>
      <c r="AG105" s="266"/>
      <c r="AH105" s="266"/>
      <c r="AI105" s="266"/>
      <c r="AJ105" s="266"/>
      <c r="AK105" s="266"/>
      <c r="AL105" s="266"/>
      <c r="AM105" s="266"/>
      <c r="AN105" s="266"/>
    </row>
    <row r="106" spans="3:40" ht="15.6" hidden="1" customHeight="1">
      <c r="C106" s="303"/>
      <c r="D106" s="266"/>
      <c r="E106" s="266"/>
      <c r="F106" s="266"/>
      <c r="G106" s="266"/>
      <c r="H106" s="266"/>
      <c r="I106" s="266"/>
      <c r="J106" s="266"/>
      <c r="K106" s="266"/>
      <c r="L106" s="266"/>
      <c r="M106" s="266"/>
      <c r="N106" s="266"/>
      <c r="O106" s="266"/>
      <c r="P106" s="266"/>
      <c r="Q106" s="266"/>
      <c r="R106" s="266"/>
      <c r="S106" s="266"/>
      <c r="T106" s="266"/>
      <c r="U106" s="266"/>
      <c r="V106" s="266"/>
      <c r="W106" s="266"/>
      <c r="X106" s="266"/>
      <c r="Y106" s="266"/>
      <c r="Z106" s="266"/>
      <c r="AA106" s="266"/>
      <c r="AB106" s="266"/>
      <c r="AC106" s="266"/>
      <c r="AD106" s="266"/>
      <c r="AE106" s="266"/>
      <c r="AF106" s="266"/>
      <c r="AG106" s="266"/>
      <c r="AH106" s="266"/>
      <c r="AI106" s="266"/>
      <c r="AJ106" s="266"/>
      <c r="AK106" s="266"/>
      <c r="AL106" s="266"/>
      <c r="AM106" s="266"/>
      <c r="AN106" s="266"/>
    </row>
    <row r="107" spans="3:40" s="266" customFormat="1" ht="16.2" thickBot="1">
      <c r="C107" s="394" t="s">
        <v>191</v>
      </c>
      <c r="D107" s="395"/>
      <c r="E107" s="396"/>
      <c r="F107" s="395"/>
      <c r="G107" s="395"/>
      <c r="H107" s="395"/>
      <c r="I107" s="395"/>
      <c r="J107" s="395"/>
      <c r="K107" s="395"/>
      <c r="L107" s="395"/>
      <c r="M107" s="395"/>
      <c r="N107" s="395"/>
      <c r="O107" s="395"/>
      <c r="P107" s="395"/>
      <c r="Q107" s="395"/>
      <c r="R107" s="395"/>
      <c r="S107" s="395"/>
      <c r="T107" s="395"/>
      <c r="U107" s="395"/>
      <c r="V107" s="395"/>
      <c r="W107" s="395"/>
      <c r="X107" s="395"/>
      <c r="Y107" s="395"/>
      <c r="Z107" s="395"/>
      <c r="AA107" s="395"/>
      <c r="AB107" s="395"/>
      <c r="AC107" s="395"/>
      <c r="AD107" s="395"/>
      <c r="AE107" s="395"/>
      <c r="AF107" s="395"/>
      <c r="AG107" s="395"/>
      <c r="AH107" s="395"/>
      <c r="AI107" s="395"/>
      <c r="AJ107" s="395"/>
      <c r="AK107" s="8"/>
      <c r="AL107" s="8"/>
      <c r="AM107" s="8"/>
    </row>
    <row r="108" spans="3:40" ht="15" customHeight="1" outlineLevel="1">
      <c r="C108" s="266"/>
      <c r="D108" s="266"/>
      <c r="E108" s="266"/>
      <c r="F108" s="266"/>
      <c r="G108" s="266"/>
      <c r="H108" s="278"/>
      <c r="I108" s="278"/>
      <c r="J108" s="266"/>
      <c r="K108" s="266"/>
      <c r="L108" s="266"/>
      <c r="M108" s="266"/>
      <c r="N108" s="266"/>
      <c r="O108" s="266"/>
      <c r="P108" s="266"/>
      <c r="Q108" s="266"/>
      <c r="R108" s="266"/>
      <c r="S108" s="266"/>
      <c r="T108" s="266"/>
      <c r="U108" s="266"/>
      <c r="V108" s="266"/>
      <c r="W108" s="266"/>
      <c r="X108" s="266"/>
      <c r="Y108" s="266"/>
      <c r="Z108" s="266"/>
      <c r="AA108" s="266"/>
      <c r="AB108" s="266"/>
      <c r="AC108" s="266"/>
      <c r="AD108" s="266"/>
      <c r="AE108" s="266"/>
      <c r="AF108" s="266"/>
      <c r="AG108" s="266"/>
      <c r="AH108" s="266"/>
      <c r="AI108" s="266"/>
      <c r="AJ108" s="266"/>
      <c r="AK108" s="266"/>
      <c r="AL108" s="266"/>
      <c r="AM108" s="266"/>
      <c r="AN108" s="266"/>
    </row>
    <row r="109" spans="3:40" outlineLevel="1">
      <c r="C109" s="266" t="str">
        <f>C75</f>
        <v>Contraprestação Ano 1</v>
      </c>
      <c r="D109" s="406">
        <f>D75</f>
        <v>6261.4</v>
      </c>
      <c r="E109" s="4" t="str">
        <f>E75</f>
        <v>BRL R$</v>
      </c>
      <c r="F109" s="266"/>
      <c r="G109" s="266"/>
      <c r="H109" s="278"/>
      <c r="I109" s="278"/>
      <c r="J109" s="266"/>
      <c r="K109" s="266"/>
      <c r="L109" s="266"/>
      <c r="M109" s="266"/>
      <c r="N109" s="266"/>
      <c r="O109" s="266"/>
      <c r="P109" s="266"/>
      <c r="Q109" s="266"/>
      <c r="R109" s="266"/>
      <c r="S109" s="266"/>
      <c r="T109" s="266"/>
      <c r="U109" s="266"/>
      <c r="V109" s="266"/>
      <c r="W109" s="266"/>
      <c r="X109" s="266"/>
      <c r="Y109" s="266"/>
      <c r="Z109" s="266"/>
      <c r="AA109" s="266"/>
      <c r="AB109" s="266"/>
      <c r="AC109" s="266"/>
      <c r="AD109" s="266"/>
      <c r="AE109" s="266"/>
      <c r="AF109" s="266"/>
      <c r="AG109" s="266"/>
      <c r="AH109" s="266"/>
      <c r="AI109" s="266"/>
      <c r="AJ109" s="266"/>
      <c r="AK109" s="266"/>
      <c r="AL109" s="266"/>
      <c r="AM109" s="266"/>
      <c r="AN109" s="266"/>
    </row>
    <row r="110" spans="3:40" outlineLevel="1">
      <c r="C110" s="266" t="s">
        <v>192</v>
      </c>
      <c r="D110" s="407">
        <v>0</v>
      </c>
      <c r="E110" s="4" t="s">
        <v>23</v>
      </c>
      <c r="F110" s="266"/>
      <c r="G110" s="266"/>
      <c r="H110" s="278"/>
      <c r="I110" s="278"/>
      <c r="J110" s="266"/>
      <c r="K110" s="266"/>
      <c r="L110" s="266"/>
      <c r="M110" s="266"/>
      <c r="N110" s="266"/>
      <c r="O110" s="266"/>
      <c r="P110" s="266"/>
      <c r="Q110" s="266"/>
      <c r="R110" s="266"/>
      <c r="S110" s="266"/>
      <c r="T110" s="266"/>
      <c r="U110" s="266"/>
      <c r="V110" s="266"/>
      <c r="W110" s="266"/>
      <c r="X110" s="266"/>
      <c r="Y110" s="266"/>
      <c r="Z110" s="266"/>
      <c r="AA110" s="266"/>
      <c r="AB110" s="266"/>
      <c r="AC110" s="266"/>
      <c r="AD110" s="266"/>
      <c r="AE110" s="266"/>
      <c r="AF110" s="266"/>
      <c r="AG110" s="266"/>
      <c r="AH110" s="266"/>
      <c r="AI110" s="266"/>
      <c r="AJ110" s="266"/>
      <c r="AK110" s="266"/>
      <c r="AL110" s="266"/>
      <c r="AM110" s="266"/>
      <c r="AN110" s="266"/>
    </row>
    <row r="111" spans="3:40" ht="15" customHeight="1" outlineLevel="1">
      <c r="C111" s="266" t="s">
        <v>193</v>
      </c>
      <c r="D111" s="407">
        <f>D109*D110</f>
        <v>0</v>
      </c>
      <c r="E111" s="4"/>
      <c r="F111" s="266"/>
      <c r="G111" s="266"/>
      <c r="H111" s="278"/>
      <c r="I111" s="278"/>
      <c r="J111" s="266"/>
      <c r="K111" s="266"/>
      <c r="L111" s="266"/>
      <c r="M111" s="266"/>
      <c r="N111" s="266"/>
      <c r="O111" s="266"/>
      <c r="P111" s="266"/>
      <c r="Q111" s="266"/>
      <c r="R111" s="266"/>
      <c r="S111" s="266"/>
      <c r="T111" s="266"/>
      <c r="U111" s="266"/>
      <c r="V111" s="266"/>
      <c r="W111" s="266"/>
      <c r="X111" s="266"/>
      <c r="Y111" s="266"/>
      <c r="Z111" s="266"/>
      <c r="AA111" s="266"/>
      <c r="AB111" s="266"/>
      <c r="AC111" s="266"/>
      <c r="AD111" s="266"/>
      <c r="AE111" s="266"/>
      <c r="AF111" s="266"/>
      <c r="AG111" s="266"/>
      <c r="AH111" s="266"/>
      <c r="AI111" s="266"/>
      <c r="AJ111" s="266"/>
      <c r="AK111" s="266"/>
      <c r="AL111" s="266"/>
      <c r="AM111" s="266"/>
      <c r="AN111" s="266"/>
    </row>
    <row r="112" spans="3:40" ht="15" customHeight="1" outlineLevel="1">
      <c r="C112" s="266"/>
      <c r="D112" s="266"/>
      <c r="E112" s="266"/>
      <c r="F112" s="266"/>
      <c r="G112" s="266"/>
      <c r="H112" s="278"/>
      <c r="I112" s="278"/>
      <c r="J112" s="266"/>
      <c r="K112" s="266"/>
      <c r="L112" s="266"/>
      <c r="M112" s="266"/>
      <c r="N112" s="266"/>
      <c r="O112" s="266"/>
      <c r="P112" s="266"/>
      <c r="Q112" s="266"/>
      <c r="R112" s="266"/>
      <c r="S112" s="266"/>
      <c r="T112" s="266"/>
      <c r="U112" s="266"/>
      <c r="V112" s="266"/>
      <c r="W112" s="266"/>
      <c r="X112" s="266"/>
      <c r="Y112" s="266"/>
      <c r="Z112" s="266"/>
      <c r="AA112" s="266"/>
      <c r="AB112" s="266"/>
      <c r="AC112" s="266"/>
      <c r="AD112" s="266"/>
      <c r="AE112" s="266"/>
      <c r="AF112" s="266"/>
      <c r="AG112" s="266"/>
      <c r="AH112" s="266"/>
      <c r="AI112" s="266"/>
      <c r="AJ112" s="266"/>
      <c r="AK112" s="266"/>
      <c r="AL112" s="266"/>
      <c r="AM112" s="266"/>
      <c r="AN112" s="266"/>
    </row>
    <row r="113" spans="3:40" ht="15" customHeight="1" outlineLevel="1">
      <c r="C113" s="266"/>
      <c r="D113" s="266"/>
      <c r="E113" s="266"/>
      <c r="F113" s="266"/>
      <c r="G113" s="266"/>
      <c r="H113" s="278"/>
      <c r="I113" s="278"/>
      <c r="J113" s="266"/>
      <c r="K113" s="266"/>
      <c r="L113" s="266"/>
      <c r="M113" s="266"/>
      <c r="N113" s="266"/>
      <c r="O113" s="266"/>
      <c r="P113" s="266"/>
      <c r="Q113" s="266"/>
      <c r="R113" s="266"/>
      <c r="S113" s="266"/>
      <c r="T113" s="266"/>
      <c r="U113" s="266"/>
      <c r="V113" s="266"/>
      <c r="W113" s="266"/>
      <c r="X113" s="266"/>
      <c r="Y113" s="266"/>
      <c r="Z113" s="266"/>
      <c r="AA113" s="266"/>
      <c r="AB113" s="266"/>
      <c r="AC113" s="266"/>
      <c r="AD113" s="266"/>
      <c r="AE113" s="266"/>
      <c r="AF113" s="266"/>
      <c r="AG113" s="266"/>
      <c r="AH113" s="266"/>
      <c r="AI113" s="266"/>
      <c r="AJ113" s="266"/>
      <c r="AK113" s="266"/>
      <c r="AL113" s="266"/>
      <c r="AM113" s="266"/>
      <c r="AN113" s="266"/>
    </row>
    <row r="114" spans="3:40" s="266" customFormat="1" ht="16.2" thickBot="1">
      <c r="C114" s="464" t="s">
        <v>194</v>
      </c>
      <c r="D114" s="395"/>
      <c r="E114" s="396"/>
      <c r="F114" s="395"/>
      <c r="G114" s="395"/>
      <c r="H114" s="395"/>
      <c r="I114" s="395"/>
      <c r="J114" s="395"/>
      <c r="K114" s="395"/>
      <c r="L114" s="395"/>
      <c r="M114" s="395"/>
      <c r="N114" s="395"/>
      <c r="O114" s="395"/>
      <c r="P114" s="395"/>
      <c r="Q114" s="395"/>
      <c r="R114" s="395"/>
      <c r="S114" s="395"/>
      <c r="T114" s="395"/>
      <c r="U114" s="395"/>
      <c r="V114" s="395"/>
      <c r="W114" s="395"/>
      <c r="X114" s="395"/>
      <c r="Y114" s="395"/>
      <c r="Z114" s="395"/>
      <c r="AA114" s="395"/>
      <c r="AB114" s="395"/>
      <c r="AC114" s="395"/>
      <c r="AD114" s="395"/>
      <c r="AE114" s="395"/>
      <c r="AF114" s="395"/>
      <c r="AG114" s="395"/>
      <c r="AH114" s="395"/>
      <c r="AI114" s="395"/>
      <c r="AJ114" s="395"/>
      <c r="AK114" s="8"/>
      <c r="AL114" s="8"/>
      <c r="AM114" s="8"/>
    </row>
    <row r="115" spans="3:40" ht="15" customHeight="1" outlineLevel="1">
      <c r="C115" s="266"/>
      <c r="D115" s="266"/>
      <c r="E115" s="266"/>
      <c r="F115" s="266"/>
      <c r="G115" s="266"/>
      <c r="H115" s="278"/>
      <c r="I115" s="278"/>
      <c r="J115" s="266"/>
      <c r="K115" s="266"/>
      <c r="L115" s="266"/>
      <c r="M115" s="266"/>
      <c r="N115" s="266"/>
      <c r="O115" s="266"/>
      <c r="P115" s="266"/>
      <c r="Q115" s="266"/>
      <c r="R115" s="266"/>
      <c r="S115" s="266"/>
      <c r="T115" s="266"/>
      <c r="U115" s="266"/>
      <c r="V115" s="266"/>
      <c r="W115" s="266"/>
      <c r="X115" s="266"/>
      <c r="Y115" s="266"/>
      <c r="Z115" s="266"/>
      <c r="AA115" s="266"/>
      <c r="AB115" s="266"/>
      <c r="AC115" s="266"/>
      <c r="AD115" s="266"/>
      <c r="AE115" s="266"/>
      <c r="AF115" s="266"/>
      <c r="AG115" s="266"/>
      <c r="AH115" s="266"/>
      <c r="AI115" s="266"/>
      <c r="AJ115" s="266"/>
      <c r="AK115" s="266"/>
      <c r="AL115" s="266"/>
      <c r="AM115" s="266"/>
      <c r="AN115" s="266"/>
    </row>
    <row r="116" spans="3:40" ht="15" customHeight="1" outlineLevel="1">
      <c r="C116" s="402" t="s">
        <v>195</v>
      </c>
      <c r="D116" s="413"/>
      <c r="E116" s="413">
        <f>YEAR(Model_Start)</f>
        <v>2027</v>
      </c>
      <c r="F116" s="413">
        <f>E116+1</f>
        <v>2028</v>
      </c>
      <c r="G116" s="413">
        <f t="shared" ref="G116" si="6">F116+1</f>
        <v>2029</v>
      </c>
      <c r="H116" s="413">
        <f t="shared" ref="H116" si="7">G116+1</f>
        <v>2030</v>
      </c>
      <c r="I116" s="413">
        <f t="shared" ref="I116" si="8">H116+1</f>
        <v>2031</v>
      </c>
      <c r="J116" s="413">
        <f t="shared" ref="J116" si="9">I116+1</f>
        <v>2032</v>
      </c>
      <c r="K116" s="413">
        <f t="shared" ref="K116" si="10">J116+1</f>
        <v>2033</v>
      </c>
      <c r="L116" s="413">
        <f t="shared" ref="L116" si="11">K116+1</f>
        <v>2034</v>
      </c>
      <c r="M116" s="413">
        <f t="shared" ref="M116" si="12">L116+1</f>
        <v>2035</v>
      </c>
      <c r="N116" s="413">
        <f t="shared" ref="N116" si="13">M116+1</f>
        <v>2036</v>
      </c>
      <c r="O116" s="413">
        <f t="shared" ref="O116" si="14">N116+1</f>
        <v>2037</v>
      </c>
      <c r="P116" s="413">
        <f t="shared" ref="P116" si="15">O116+1</f>
        <v>2038</v>
      </c>
      <c r="Q116" s="413">
        <f t="shared" ref="Q116" si="16">P116+1</f>
        <v>2039</v>
      </c>
      <c r="R116" s="413">
        <f t="shared" ref="R116" si="17">Q116+1</f>
        <v>2040</v>
      </c>
      <c r="S116" s="413">
        <f t="shared" ref="S116" si="18">R116+1</f>
        <v>2041</v>
      </c>
      <c r="T116" s="413">
        <f t="shared" ref="T116" si="19">S116+1</f>
        <v>2042</v>
      </c>
      <c r="U116" s="413">
        <f t="shared" ref="U116" si="20">T116+1</f>
        <v>2043</v>
      </c>
      <c r="V116" s="413">
        <f t="shared" ref="V116" si="21">U116+1</f>
        <v>2044</v>
      </c>
      <c r="W116" s="413">
        <f t="shared" ref="W116" si="22">V116+1</f>
        <v>2045</v>
      </c>
      <c r="X116" s="413">
        <f t="shared" ref="X116" si="23">W116+1</f>
        <v>2046</v>
      </c>
      <c r="Y116" s="413">
        <f t="shared" ref="Y116" si="24">X116+1</f>
        <v>2047</v>
      </c>
      <c r="Z116" s="413">
        <f t="shared" ref="Z116" si="25">Y116+1</f>
        <v>2048</v>
      </c>
      <c r="AA116" s="413">
        <f t="shared" ref="AA116" si="26">Z116+1</f>
        <v>2049</v>
      </c>
      <c r="AB116" s="413">
        <f t="shared" ref="AB116" si="27">AA116+1</f>
        <v>2050</v>
      </c>
      <c r="AC116" s="413">
        <f t="shared" ref="AC116" si="28">AB116+1</f>
        <v>2051</v>
      </c>
      <c r="AD116" s="413">
        <f t="shared" ref="AD116" si="29">AC116+1</f>
        <v>2052</v>
      </c>
      <c r="AE116" s="413">
        <f t="shared" ref="AE116" si="30">AD116+1</f>
        <v>2053</v>
      </c>
      <c r="AF116" s="413">
        <f t="shared" ref="AF116" si="31">AE116+1</f>
        <v>2054</v>
      </c>
      <c r="AG116" s="413">
        <f t="shared" ref="AG116" si="32">AF116+1</f>
        <v>2055</v>
      </c>
      <c r="AH116" s="413">
        <f t="shared" ref="AH116" si="33">AG116+1</f>
        <v>2056</v>
      </c>
      <c r="AI116" s="266"/>
      <c r="AJ116" s="266"/>
      <c r="AK116" s="266"/>
      <c r="AL116" s="266"/>
      <c r="AM116" s="266"/>
      <c r="AN116" s="266"/>
    </row>
    <row r="117" spans="3:40" ht="15" customHeight="1" outlineLevel="1">
      <c r="C117" s="402" t="s">
        <v>196</v>
      </c>
      <c r="D117" s="457" t="s">
        <v>197</v>
      </c>
      <c r="E117" s="457" t="s">
        <v>198</v>
      </c>
      <c r="F117" s="457" t="s">
        <v>199</v>
      </c>
      <c r="G117" s="457" t="s">
        <v>200</v>
      </c>
      <c r="H117" s="457" t="s">
        <v>201</v>
      </c>
      <c r="I117" s="457" t="s">
        <v>202</v>
      </c>
      <c r="J117" s="457" t="s">
        <v>203</v>
      </c>
      <c r="K117" s="457" t="s">
        <v>204</v>
      </c>
      <c r="L117" s="457" t="s">
        <v>205</v>
      </c>
      <c r="M117" s="457" t="s">
        <v>206</v>
      </c>
      <c r="N117" s="457" t="s">
        <v>207</v>
      </c>
      <c r="O117" s="457" t="s">
        <v>208</v>
      </c>
      <c r="P117" s="457" t="s">
        <v>209</v>
      </c>
      <c r="Q117" s="457" t="s">
        <v>210</v>
      </c>
      <c r="R117" s="457" t="s">
        <v>211</v>
      </c>
      <c r="S117" s="457" t="s">
        <v>212</v>
      </c>
      <c r="T117" s="457" t="s">
        <v>213</v>
      </c>
      <c r="U117" s="457" t="s">
        <v>214</v>
      </c>
      <c r="V117" s="457" t="s">
        <v>215</v>
      </c>
      <c r="W117" s="457" t="s">
        <v>216</v>
      </c>
      <c r="X117" s="457" t="s">
        <v>217</v>
      </c>
      <c r="Y117" s="457" t="s">
        <v>218</v>
      </c>
      <c r="Z117" s="457" t="s">
        <v>219</v>
      </c>
      <c r="AA117" s="457" t="s">
        <v>220</v>
      </c>
      <c r="AB117" s="457" t="s">
        <v>221</v>
      </c>
      <c r="AC117" s="457" t="s">
        <v>222</v>
      </c>
      <c r="AD117" s="457" t="s">
        <v>223</v>
      </c>
      <c r="AE117" s="457" t="s">
        <v>224</v>
      </c>
      <c r="AF117" s="457" t="s">
        <v>225</v>
      </c>
      <c r="AG117" s="457" t="s">
        <v>226</v>
      </c>
      <c r="AH117" s="457" t="s">
        <v>227</v>
      </c>
      <c r="AI117" s="266"/>
      <c r="AJ117" s="266"/>
      <c r="AK117" s="266"/>
      <c r="AL117" s="266"/>
      <c r="AM117" s="266"/>
      <c r="AN117" s="266"/>
    </row>
    <row r="118" spans="3:40" ht="15" customHeight="1" outlineLevel="1">
      <c r="C118" s="402" t="s">
        <v>228</v>
      </c>
      <c r="D118" s="465">
        <v>52853.5</v>
      </c>
      <c r="E118" s="465">
        <v>53476.75</v>
      </c>
      <c r="F118" s="465">
        <v>54100</v>
      </c>
      <c r="G118" s="465">
        <v>54723.25</v>
      </c>
      <c r="H118" s="465">
        <v>55346.5</v>
      </c>
      <c r="I118" s="465">
        <v>55969.75</v>
      </c>
      <c r="J118" s="465">
        <v>56593</v>
      </c>
      <c r="K118" s="465">
        <v>57216.25</v>
      </c>
      <c r="L118" s="465">
        <v>57839.5</v>
      </c>
      <c r="M118" s="465">
        <v>58462.75</v>
      </c>
      <c r="N118" s="465">
        <v>59086</v>
      </c>
      <c r="O118" s="465">
        <v>59709.25</v>
      </c>
      <c r="P118" s="465">
        <v>60332.5</v>
      </c>
      <c r="Q118" s="465">
        <v>60955.75</v>
      </c>
      <c r="R118" s="465">
        <v>61579</v>
      </c>
      <c r="S118" s="465">
        <v>62202.25</v>
      </c>
      <c r="T118" s="465">
        <v>62825.5</v>
      </c>
      <c r="U118" s="465">
        <v>63448.75</v>
      </c>
      <c r="V118" s="465">
        <v>64072</v>
      </c>
      <c r="W118" s="465">
        <v>64695.25</v>
      </c>
      <c r="X118" s="465">
        <v>65318.5</v>
      </c>
      <c r="Y118" s="465">
        <v>65941.75</v>
      </c>
      <c r="Z118" s="465">
        <v>66565</v>
      </c>
      <c r="AA118" s="465">
        <v>67188.25</v>
      </c>
      <c r="AB118" s="465">
        <v>67811.5</v>
      </c>
      <c r="AC118" s="465">
        <v>68434.75</v>
      </c>
      <c r="AD118" s="465">
        <v>69058</v>
      </c>
      <c r="AE118" s="465">
        <v>69681.25</v>
      </c>
      <c r="AF118" s="465">
        <v>70304.5</v>
      </c>
      <c r="AG118" s="465">
        <v>70927.75</v>
      </c>
      <c r="AH118" s="465">
        <v>71551</v>
      </c>
      <c r="AI118" s="266"/>
      <c r="AJ118" s="266"/>
      <c r="AK118" s="266"/>
      <c r="AL118" s="266"/>
      <c r="AM118" s="266"/>
      <c r="AN118" s="266"/>
    </row>
    <row r="119" spans="3:40" ht="15" customHeight="1" outlineLevel="1">
      <c r="C119" s="402" t="s">
        <v>229</v>
      </c>
      <c r="D119" s="470">
        <v>0</v>
      </c>
      <c r="E119" s="466">
        <f>(E118/D118)-1</f>
        <v>1.179202891010056E-2</v>
      </c>
      <c r="F119" s="466">
        <f t="shared" ref="F119:AH119" si="34">(F118/E118)-1</f>
        <v>1.1654597558752089E-2</v>
      </c>
      <c r="G119" s="466">
        <f t="shared" si="34"/>
        <v>1.152033271719044E-2</v>
      </c>
      <c r="H119" s="466">
        <f t="shared" si="34"/>
        <v>1.1389126194076615E-2</v>
      </c>
      <c r="I119" s="466">
        <f t="shared" si="34"/>
        <v>1.1260874671388477E-2</v>
      </c>
      <c r="J119" s="466">
        <f t="shared" si="34"/>
        <v>1.1135479433086681E-2</v>
      </c>
      <c r="K119" s="466">
        <f t="shared" si="34"/>
        <v>1.1012846111709829E-2</v>
      </c>
      <c r="L119" s="466">
        <f t="shared" si="34"/>
        <v>1.0892884451532581E-2</v>
      </c>
      <c r="M119" s="466">
        <f t="shared" si="34"/>
        <v>1.077550808703398E-2</v>
      </c>
      <c r="N119" s="466">
        <f t="shared" si="34"/>
        <v>1.0660634335538433E-2</v>
      </c>
      <c r="O119" s="466">
        <f t="shared" si="34"/>
        <v>1.0548184002978633E-2</v>
      </c>
      <c r="P119" s="466">
        <f t="shared" si="34"/>
        <v>1.0438081201823879E-2</v>
      </c>
      <c r="Q119" s="466">
        <f t="shared" si="34"/>
        <v>1.0330253180292459E-2</v>
      </c>
      <c r="R119" s="466">
        <f t="shared" si="34"/>
        <v>1.0224630162043669E-2</v>
      </c>
      <c r="S119" s="466">
        <f t="shared" si="34"/>
        <v>1.0121145195602477E-2</v>
      </c>
      <c r="T119" s="466">
        <f t="shared" si="34"/>
        <v>1.0019734012837178E-2</v>
      </c>
      <c r="U119" s="466">
        <f t="shared" si="34"/>
        <v>9.9203348958623039E-3</v>
      </c>
      <c r="V119" s="466">
        <f t="shared" si="34"/>
        <v>9.8228885517839259E-3</v>
      </c>
      <c r="W119" s="466">
        <f t="shared" si="34"/>
        <v>9.7273379947560024E-3</v>
      </c>
      <c r="X119" s="466">
        <f t="shared" si="34"/>
        <v>9.6336284348541579E-3</v>
      </c>
      <c r="Y119" s="466">
        <f t="shared" si="34"/>
        <v>9.5417071733123748E-3</v>
      </c>
      <c r="Z119" s="466">
        <f t="shared" si="34"/>
        <v>9.451523503698267E-3</v>
      </c>
      <c r="AA119" s="466">
        <f t="shared" si="34"/>
        <v>9.3630286186434653E-3</v>
      </c>
      <c r="AB119" s="466">
        <f t="shared" si="34"/>
        <v>9.2761755217616315E-3</v>
      </c>
      <c r="AC119" s="466">
        <f t="shared" si="34"/>
        <v>9.1909189444268069E-3</v>
      </c>
      <c r="AD119" s="466">
        <f t="shared" si="34"/>
        <v>9.1072152670974571E-3</v>
      </c>
      <c r="AE119" s="466">
        <f t="shared" si="34"/>
        <v>9.0250224449013317E-3</v>
      </c>
      <c r="AF119" s="466">
        <f t="shared" si="34"/>
        <v>8.9442999372140175E-3</v>
      </c>
      <c r="AG119" s="466">
        <f t="shared" si="34"/>
        <v>8.865008640983163E-3</v>
      </c>
      <c r="AH119" s="466">
        <f t="shared" si="34"/>
        <v>8.7871108275674459E-3</v>
      </c>
      <c r="AI119" s="266"/>
      <c r="AJ119" s="266"/>
      <c r="AK119" s="266"/>
      <c r="AL119" s="266"/>
      <c r="AM119" s="266"/>
      <c r="AN119" s="266"/>
    </row>
    <row r="120" spans="3:40" ht="15" customHeight="1" outlineLevel="1">
      <c r="C120" s="266"/>
      <c r="D120" s="266"/>
      <c r="E120" s="266"/>
      <c r="F120" s="266"/>
      <c r="G120" s="266"/>
      <c r="H120" s="278"/>
      <c r="I120" s="278"/>
      <c r="J120" s="266"/>
      <c r="K120" s="266"/>
      <c r="L120" s="266"/>
      <c r="M120" s="266"/>
      <c r="N120" s="266"/>
      <c r="O120" s="266"/>
      <c r="P120" s="266"/>
      <c r="Q120" s="266"/>
      <c r="R120" s="266"/>
      <c r="S120" s="266"/>
      <c r="T120" s="266"/>
      <c r="U120" s="266"/>
      <c r="V120" s="266"/>
      <c r="W120" s="266"/>
      <c r="X120" s="266"/>
      <c r="Y120" s="266"/>
      <c r="Z120" s="266"/>
      <c r="AA120" s="266"/>
      <c r="AB120" s="266"/>
      <c r="AC120" s="266"/>
      <c r="AD120" s="266"/>
      <c r="AE120" s="266"/>
      <c r="AF120" s="266"/>
      <c r="AG120" s="266"/>
      <c r="AH120" s="266"/>
      <c r="AI120" s="266"/>
      <c r="AJ120" s="266"/>
      <c r="AK120" s="266"/>
      <c r="AL120" s="266"/>
      <c r="AM120" s="266"/>
      <c r="AN120" s="266"/>
    </row>
    <row r="121" spans="3:40" ht="15" customHeight="1" outlineLevel="1">
      <c r="C121" s="266"/>
      <c r="D121" s="266"/>
      <c r="E121" s="266"/>
      <c r="F121" s="266"/>
      <c r="G121" s="266"/>
      <c r="H121" s="278"/>
      <c r="I121" s="278"/>
      <c r="J121" s="266"/>
      <c r="K121" s="266"/>
      <c r="L121" s="266"/>
      <c r="M121" s="266"/>
      <c r="N121" s="266"/>
      <c r="O121" s="266"/>
      <c r="P121" s="266"/>
      <c r="Q121" s="266"/>
      <c r="R121" s="266"/>
      <c r="S121" s="266"/>
      <c r="T121" s="266"/>
      <c r="U121" s="266"/>
      <c r="V121" s="266"/>
      <c r="W121" s="266"/>
      <c r="X121" s="266"/>
      <c r="Y121" s="266"/>
      <c r="Z121" s="266"/>
      <c r="AA121" s="266"/>
      <c r="AB121" s="266"/>
      <c r="AC121" s="266"/>
      <c r="AD121" s="266"/>
      <c r="AE121" s="266"/>
      <c r="AF121" s="266"/>
      <c r="AG121" s="266"/>
      <c r="AH121" s="266"/>
      <c r="AI121" s="266"/>
      <c r="AJ121" s="266"/>
      <c r="AK121" s="266"/>
      <c r="AL121" s="266"/>
      <c r="AM121" s="266"/>
      <c r="AN121" s="266"/>
    </row>
    <row r="122" spans="3:40" ht="15" customHeight="1">
      <c r="C122" s="266"/>
      <c r="D122" s="266"/>
      <c r="E122" s="266"/>
      <c r="F122" s="266"/>
      <c r="G122" s="266"/>
      <c r="H122" s="266"/>
      <c r="I122" s="266"/>
      <c r="J122" s="266"/>
      <c r="K122" s="266"/>
      <c r="L122" s="266"/>
      <c r="M122" s="266"/>
      <c r="N122" s="266"/>
      <c r="O122" s="266"/>
      <c r="P122" s="266"/>
      <c r="Q122" s="266"/>
      <c r="R122" s="266"/>
      <c r="S122" s="266"/>
      <c r="T122" s="266"/>
      <c r="U122" s="266"/>
      <c r="V122" s="266"/>
      <c r="W122" s="266"/>
      <c r="X122" s="266"/>
      <c r="Y122" s="266"/>
      <c r="Z122" s="266"/>
      <c r="AA122" s="266"/>
      <c r="AB122" s="266"/>
      <c r="AC122" s="266"/>
      <c r="AD122" s="266"/>
      <c r="AE122" s="266"/>
      <c r="AF122" s="266"/>
      <c r="AG122" s="266"/>
      <c r="AH122" s="266"/>
      <c r="AI122" s="266"/>
      <c r="AJ122" s="266"/>
      <c r="AK122" s="266"/>
      <c r="AL122" s="266"/>
      <c r="AM122" s="266"/>
      <c r="AN122" s="266"/>
    </row>
    <row r="123" spans="3:40" s="266" customFormat="1" ht="16.2" thickBot="1">
      <c r="C123" s="394" t="s">
        <v>44</v>
      </c>
      <c r="D123" s="395"/>
      <c r="E123" s="396"/>
      <c r="F123" s="395"/>
      <c r="G123" s="395"/>
      <c r="H123" s="395"/>
      <c r="I123" s="395"/>
      <c r="J123" s="395"/>
      <c r="K123" s="395"/>
      <c r="L123" s="395"/>
      <c r="M123" s="395"/>
      <c r="N123" s="395"/>
      <c r="O123" s="395"/>
      <c r="P123" s="395"/>
      <c r="Q123" s="395"/>
      <c r="R123" s="395"/>
      <c r="S123" s="395"/>
      <c r="T123" s="395"/>
      <c r="U123" s="395"/>
      <c r="V123" s="395"/>
      <c r="W123" s="395"/>
      <c r="X123" s="395"/>
      <c r="Y123" s="395"/>
      <c r="Z123" s="395"/>
      <c r="AA123" s="395"/>
      <c r="AB123" s="395"/>
      <c r="AC123" s="395"/>
      <c r="AD123" s="395"/>
      <c r="AE123" s="395"/>
      <c r="AF123" s="395"/>
      <c r="AG123" s="395"/>
      <c r="AH123" s="395"/>
      <c r="AI123" s="395"/>
      <c r="AJ123" s="395"/>
      <c r="AK123" s="8"/>
      <c r="AL123" s="8"/>
      <c r="AM123" s="8"/>
    </row>
    <row r="124" spans="3:40" ht="15" customHeight="1" outlineLevel="1">
      <c r="C124" s="266"/>
      <c r="D124" s="266"/>
      <c r="E124" s="266"/>
      <c r="F124" s="266"/>
      <c r="G124" s="266"/>
      <c r="H124" s="266"/>
      <c r="I124" s="266"/>
      <c r="J124" s="266"/>
      <c r="K124" s="266"/>
      <c r="L124" s="266"/>
      <c r="M124" s="266"/>
      <c r="N124" s="266"/>
      <c r="O124" s="266"/>
      <c r="P124" s="266"/>
      <c r="Q124" s="266"/>
      <c r="R124" s="266"/>
      <c r="S124" s="266"/>
      <c r="T124" s="266"/>
      <c r="U124" s="266"/>
      <c r="V124" s="266"/>
      <c r="W124" s="266"/>
      <c r="X124" s="266"/>
      <c r="Y124" s="266"/>
      <c r="Z124" s="266"/>
      <c r="AA124" s="266"/>
      <c r="AB124" s="266"/>
      <c r="AC124" s="266"/>
      <c r="AD124" s="266"/>
      <c r="AE124" s="266"/>
      <c r="AF124" s="266"/>
      <c r="AG124" s="266"/>
      <c r="AH124" s="266"/>
      <c r="AI124" s="266"/>
      <c r="AJ124" s="266"/>
      <c r="AK124" s="266"/>
      <c r="AL124" s="266"/>
      <c r="AM124" s="266"/>
      <c r="AN124" s="266"/>
    </row>
    <row r="125" spans="3:40" outlineLevel="1">
      <c r="C125" s="266" t="s">
        <v>230</v>
      </c>
      <c r="D125" s="411">
        <v>0.03</v>
      </c>
      <c r="E125" s="266" t="s">
        <v>23</v>
      </c>
      <c r="F125" s="266"/>
      <c r="G125" s="266"/>
      <c r="H125" s="266"/>
      <c r="I125" s="266"/>
      <c r="J125" s="266"/>
      <c r="K125" s="266"/>
      <c r="L125" s="266"/>
      <c r="M125" s="266"/>
      <c r="N125" s="266"/>
      <c r="O125" s="266"/>
      <c r="P125" s="266"/>
      <c r="Q125" s="266"/>
      <c r="R125" s="266"/>
      <c r="S125" s="266"/>
      <c r="T125" s="266"/>
      <c r="U125" s="266"/>
      <c r="V125" s="266"/>
      <c r="W125" s="266"/>
      <c r="X125" s="266"/>
      <c r="Y125" s="266"/>
      <c r="Z125" s="266"/>
      <c r="AA125" s="266"/>
      <c r="AB125" s="266"/>
      <c r="AC125" s="266"/>
      <c r="AD125" s="266"/>
      <c r="AE125" s="266"/>
      <c r="AF125" s="266"/>
      <c r="AG125" s="266"/>
      <c r="AH125" s="266"/>
      <c r="AI125" s="266"/>
      <c r="AJ125" s="266"/>
      <c r="AK125" s="266"/>
      <c r="AL125" s="266"/>
      <c r="AM125" s="266"/>
      <c r="AN125" s="266"/>
    </row>
    <row r="126" spans="3:40" outlineLevel="1">
      <c r="C126" s="266" t="s">
        <v>231</v>
      </c>
      <c r="D126" s="411">
        <v>1.6500000000000001E-2</v>
      </c>
      <c r="E126" s="266" t="s">
        <v>23</v>
      </c>
      <c r="F126" s="266"/>
      <c r="G126" s="266"/>
      <c r="H126" s="266"/>
      <c r="I126" s="266"/>
      <c r="J126" s="266"/>
      <c r="K126" s="266"/>
      <c r="L126" s="266"/>
      <c r="M126" s="266"/>
      <c r="N126" s="266"/>
      <c r="O126" s="266"/>
      <c r="P126" s="266"/>
      <c r="Q126" s="266"/>
      <c r="R126" s="266"/>
      <c r="S126" s="266"/>
      <c r="T126" s="266"/>
      <c r="U126" s="266"/>
      <c r="V126" s="266"/>
      <c r="W126" s="266"/>
      <c r="X126" s="266"/>
      <c r="Y126" s="266"/>
      <c r="Z126" s="266"/>
      <c r="AA126" s="266"/>
      <c r="AB126" s="266"/>
      <c r="AC126" s="266"/>
      <c r="AD126" s="266"/>
      <c r="AE126" s="266"/>
      <c r="AF126" s="266"/>
      <c r="AG126" s="266"/>
      <c r="AH126" s="266"/>
      <c r="AI126" s="266"/>
      <c r="AJ126" s="266"/>
      <c r="AK126" s="266"/>
      <c r="AL126" s="266"/>
      <c r="AM126" s="266"/>
      <c r="AN126" s="266"/>
    </row>
    <row r="127" spans="3:40" outlineLevel="1">
      <c r="C127" s="266" t="s">
        <v>232</v>
      </c>
      <c r="D127" s="411">
        <v>7.5999999999999998E-2</v>
      </c>
      <c r="E127" s="266" t="s">
        <v>23</v>
      </c>
      <c r="F127" s="266"/>
      <c r="G127" s="266"/>
      <c r="H127" s="266"/>
      <c r="I127" s="266"/>
      <c r="J127" s="266"/>
      <c r="K127" s="266"/>
      <c r="L127" s="266"/>
      <c r="M127" s="266"/>
      <c r="N127" s="266"/>
      <c r="O127" s="266"/>
      <c r="P127" s="266"/>
      <c r="Q127" s="266"/>
      <c r="R127" s="266"/>
      <c r="S127" s="266"/>
      <c r="T127" s="266"/>
      <c r="U127" s="266"/>
      <c r="V127" s="266"/>
      <c r="W127" s="266"/>
      <c r="X127" s="266"/>
      <c r="Y127" s="266"/>
      <c r="Z127" s="266"/>
      <c r="AA127" s="266"/>
      <c r="AB127" s="266"/>
      <c r="AC127" s="266"/>
      <c r="AD127" s="266"/>
      <c r="AE127" s="266"/>
      <c r="AF127" s="266"/>
      <c r="AG127" s="266"/>
      <c r="AH127" s="266"/>
      <c r="AI127" s="266"/>
      <c r="AJ127" s="266"/>
      <c r="AK127" s="266"/>
      <c r="AL127" s="266"/>
      <c r="AM127" s="266"/>
      <c r="AN127" s="266"/>
    </row>
    <row r="128" spans="3:40" outlineLevel="1">
      <c r="C128" s="266"/>
      <c r="D128" s="266"/>
      <c r="E128" s="266"/>
      <c r="F128" s="266"/>
      <c r="G128" s="266"/>
      <c r="H128" s="266"/>
      <c r="I128" s="266"/>
      <c r="J128" s="266"/>
      <c r="K128" s="266"/>
      <c r="L128" s="266"/>
      <c r="M128" s="266"/>
      <c r="N128" s="266"/>
      <c r="O128" s="266"/>
      <c r="P128" s="266"/>
      <c r="Q128" s="266"/>
      <c r="R128" s="266"/>
      <c r="S128" s="266"/>
      <c r="T128" s="266"/>
      <c r="U128" s="266"/>
      <c r="V128" s="266"/>
      <c r="W128" s="266"/>
      <c r="X128" s="266"/>
      <c r="Y128" s="266"/>
      <c r="Z128" s="266"/>
      <c r="AA128" s="266"/>
      <c r="AB128" s="266"/>
      <c r="AC128" s="266"/>
      <c r="AD128" s="266"/>
      <c r="AE128" s="266"/>
      <c r="AF128" s="266"/>
      <c r="AG128" s="266"/>
      <c r="AH128" s="266"/>
      <c r="AI128" s="266"/>
      <c r="AJ128" s="266"/>
      <c r="AK128" s="266"/>
      <c r="AL128" s="266"/>
      <c r="AM128" s="266"/>
      <c r="AN128" s="266"/>
    </row>
    <row r="129" spans="3:39" outlineLevel="1">
      <c r="C129" s="266" t="s">
        <v>233</v>
      </c>
      <c r="D129" s="411">
        <v>1</v>
      </c>
      <c r="E129" s="266" t="s">
        <v>23</v>
      </c>
      <c r="F129" s="266"/>
      <c r="G129" s="266"/>
      <c r="H129" s="266"/>
      <c r="I129" s="266"/>
      <c r="J129" s="266"/>
      <c r="K129" s="266"/>
      <c r="L129" s="266"/>
      <c r="M129" s="266"/>
      <c r="N129" s="266"/>
      <c r="O129" s="266"/>
      <c r="P129" s="266"/>
      <c r="Q129" s="266"/>
      <c r="R129" s="266"/>
      <c r="S129" s="266"/>
      <c r="T129" s="266"/>
      <c r="U129" s="266"/>
      <c r="V129" s="266"/>
      <c r="W129" s="266"/>
      <c r="X129" s="266"/>
      <c r="Y129" s="266"/>
      <c r="Z129" s="266"/>
      <c r="AA129" s="266"/>
      <c r="AB129" s="266"/>
      <c r="AC129" s="266"/>
      <c r="AD129" s="266"/>
      <c r="AE129" s="266"/>
      <c r="AF129" s="266"/>
      <c r="AG129" s="266"/>
      <c r="AH129" s="266"/>
      <c r="AI129" s="266"/>
      <c r="AJ129" s="266"/>
      <c r="AK129" s="266"/>
      <c r="AL129" s="266"/>
      <c r="AM129" s="266"/>
    </row>
    <row r="130" spans="3:39" outlineLevel="1">
      <c r="C130" s="266"/>
      <c r="D130" s="266"/>
      <c r="E130" s="266"/>
      <c r="F130" s="266"/>
      <c r="G130" s="266"/>
      <c r="H130" s="266"/>
      <c r="I130" s="266"/>
      <c r="J130" s="266"/>
      <c r="K130" s="266"/>
      <c r="L130" s="266"/>
      <c r="M130" s="266"/>
      <c r="N130" s="266"/>
      <c r="O130" s="266"/>
      <c r="P130" s="266"/>
      <c r="Q130" s="266"/>
      <c r="R130" s="266"/>
      <c r="S130" s="266"/>
      <c r="T130" s="266"/>
      <c r="U130" s="266"/>
      <c r="V130" s="266"/>
      <c r="W130" s="266"/>
      <c r="X130" s="266"/>
      <c r="Y130" s="266"/>
      <c r="Z130" s="266"/>
      <c r="AA130" s="266"/>
      <c r="AB130" s="266"/>
      <c r="AC130" s="266"/>
      <c r="AD130" s="266"/>
      <c r="AE130" s="266"/>
      <c r="AF130" s="266"/>
      <c r="AG130" s="266"/>
      <c r="AH130" s="266"/>
      <c r="AI130" s="266"/>
      <c r="AJ130" s="266"/>
      <c r="AK130" s="266"/>
      <c r="AL130" s="266"/>
      <c r="AM130" s="266"/>
    </row>
    <row r="131" spans="3:39" outlineLevel="1">
      <c r="C131" s="402" t="s">
        <v>38</v>
      </c>
      <c r="D131" s="403">
        <v>2</v>
      </c>
      <c r="E131" s="403">
        <f>D131+1</f>
        <v>3</v>
      </c>
      <c r="F131" s="403">
        <f t="shared" ref="F131:J131" si="35">E131+1</f>
        <v>4</v>
      </c>
      <c r="G131" s="403">
        <f t="shared" si="35"/>
        <v>5</v>
      </c>
      <c r="H131" s="403">
        <f t="shared" si="35"/>
        <v>6</v>
      </c>
      <c r="I131" s="403">
        <f t="shared" si="35"/>
        <v>7</v>
      </c>
      <c r="J131" s="403">
        <f t="shared" si="35"/>
        <v>8</v>
      </c>
      <c r="K131" s="403">
        <f t="shared" ref="K131" si="36">J131+1</f>
        <v>9</v>
      </c>
      <c r="L131" s="403">
        <f t="shared" ref="L131" si="37">K131+1</f>
        <v>10</v>
      </c>
      <c r="M131" s="403">
        <f t="shared" ref="M131" si="38">L131+1</f>
        <v>11</v>
      </c>
      <c r="N131" s="403">
        <f t="shared" ref="N131" si="39">M131+1</f>
        <v>12</v>
      </c>
      <c r="O131" s="266"/>
      <c r="P131" s="266"/>
      <c r="Q131" s="266"/>
      <c r="R131" s="266"/>
      <c r="S131" s="266"/>
      <c r="T131" s="266"/>
      <c r="U131" s="266"/>
      <c r="V131" s="266"/>
      <c r="W131" s="266"/>
      <c r="X131" s="266"/>
      <c r="Y131" s="266"/>
      <c r="Z131" s="266"/>
      <c r="AA131" s="266"/>
      <c r="AB131" s="266"/>
      <c r="AC131" s="266"/>
      <c r="AD131" s="266"/>
      <c r="AE131" s="266"/>
      <c r="AF131" s="266"/>
      <c r="AG131" s="266"/>
      <c r="AH131" s="266"/>
      <c r="AI131" s="266"/>
      <c r="AJ131" s="266"/>
      <c r="AK131" s="266"/>
      <c r="AL131" s="266"/>
      <c r="AM131" s="266"/>
    </row>
    <row r="132" spans="3:39" outlineLevel="1">
      <c r="C132" s="404" t="s">
        <v>234</v>
      </c>
      <c r="D132" s="484">
        <v>0.2</v>
      </c>
      <c r="E132" s="484">
        <f>D132-2%</f>
        <v>0.18000000000000002</v>
      </c>
      <c r="F132" s="484">
        <f t="shared" ref="F132:K132" si="40">E132-2%</f>
        <v>0.16000000000000003</v>
      </c>
      <c r="G132" s="484">
        <f t="shared" si="40"/>
        <v>0.14000000000000004</v>
      </c>
      <c r="H132" s="484">
        <f t="shared" si="40"/>
        <v>0.12000000000000004</v>
      </c>
      <c r="I132" s="484">
        <f t="shared" si="40"/>
        <v>0.10000000000000003</v>
      </c>
      <c r="J132" s="484">
        <f t="shared" si="40"/>
        <v>8.0000000000000029E-2</v>
      </c>
      <c r="K132" s="484">
        <f t="shared" si="40"/>
        <v>6.0000000000000026E-2</v>
      </c>
      <c r="L132" s="484">
        <f>K132</f>
        <v>6.0000000000000026E-2</v>
      </c>
      <c r="M132" s="484">
        <f>L132</f>
        <v>6.0000000000000026E-2</v>
      </c>
      <c r="N132" s="484">
        <f>M132</f>
        <v>6.0000000000000026E-2</v>
      </c>
      <c r="O132" s="266"/>
      <c r="P132" s="266"/>
      <c r="Q132" s="266"/>
      <c r="R132" s="266"/>
      <c r="S132" s="266"/>
      <c r="T132" s="266"/>
      <c r="U132" s="266"/>
      <c r="V132" s="266"/>
      <c r="W132" s="266"/>
      <c r="X132" s="266"/>
      <c r="Y132" s="266"/>
      <c r="Z132" s="266"/>
      <c r="AA132" s="266"/>
      <c r="AB132" s="266"/>
      <c r="AC132" s="266"/>
      <c r="AD132" s="266"/>
      <c r="AE132" s="266"/>
      <c r="AF132" s="266"/>
      <c r="AG132" s="266"/>
      <c r="AH132" s="266"/>
      <c r="AI132" s="266"/>
      <c r="AJ132" s="266"/>
      <c r="AK132" s="266"/>
      <c r="AL132" s="266"/>
      <c r="AM132" s="266"/>
    </row>
    <row r="133" spans="3:39" outlineLevel="1">
      <c r="C133" s="266"/>
      <c r="D133" s="266"/>
      <c r="E133" s="266"/>
      <c r="F133" s="266"/>
      <c r="G133" s="266"/>
      <c r="H133" s="266"/>
      <c r="I133" s="266"/>
      <c r="J133" s="266"/>
      <c r="K133" s="266"/>
      <c r="L133" s="266"/>
      <c r="M133" s="266"/>
      <c r="N133" s="266"/>
      <c r="O133" s="266"/>
      <c r="P133" s="266"/>
      <c r="Q133" s="266"/>
      <c r="R133" s="266"/>
      <c r="S133" s="266"/>
      <c r="T133" s="266"/>
      <c r="U133" s="266"/>
      <c r="V133" s="266"/>
      <c r="W133" s="266"/>
      <c r="X133" s="266"/>
      <c r="Y133" s="266"/>
      <c r="Z133" s="266"/>
      <c r="AA133" s="266"/>
      <c r="AB133" s="266"/>
      <c r="AC133" s="266"/>
      <c r="AD133" s="266"/>
      <c r="AE133" s="266"/>
      <c r="AF133" s="266"/>
      <c r="AG133" s="266"/>
      <c r="AH133" s="266"/>
      <c r="AI133" s="266"/>
      <c r="AJ133" s="266"/>
      <c r="AK133" s="266"/>
      <c r="AL133" s="266"/>
      <c r="AM133" s="266"/>
    </row>
    <row r="134" spans="3:39" outlineLevel="1">
      <c r="C134" s="266" t="s">
        <v>235</v>
      </c>
      <c r="D134" s="411">
        <v>0.5</v>
      </c>
      <c r="E134" s="266" t="s">
        <v>23</v>
      </c>
      <c r="F134" s="266"/>
      <c r="G134" s="266"/>
      <c r="H134" s="266"/>
      <c r="I134" s="266"/>
      <c r="J134" s="266"/>
      <c r="K134" s="266"/>
      <c r="L134" s="266"/>
      <c r="M134" s="266"/>
      <c r="N134" s="266"/>
      <c r="O134" s="266"/>
      <c r="P134" s="266"/>
      <c r="Q134" s="266"/>
      <c r="R134" s="266"/>
      <c r="S134" s="266"/>
      <c r="T134" s="266"/>
      <c r="U134" s="266"/>
      <c r="V134" s="266"/>
      <c r="W134" s="266"/>
      <c r="X134" s="266"/>
      <c r="Y134" s="266"/>
      <c r="Z134" s="266"/>
      <c r="AA134" s="266"/>
      <c r="AB134" s="266"/>
      <c r="AC134" s="266"/>
      <c r="AD134" s="266"/>
      <c r="AE134" s="266"/>
      <c r="AF134" s="266"/>
      <c r="AG134" s="266"/>
      <c r="AH134" s="266"/>
      <c r="AI134" s="266"/>
      <c r="AJ134" s="266"/>
      <c r="AK134" s="266"/>
      <c r="AL134" s="266"/>
      <c r="AM134" s="266"/>
    </row>
    <row r="135" spans="3:39">
      <c r="C135" s="266"/>
      <c r="D135" s="266"/>
      <c r="E135" s="266"/>
      <c r="F135" s="266"/>
      <c r="G135" s="266"/>
      <c r="H135" s="266"/>
      <c r="I135" s="266"/>
      <c r="J135" s="266"/>
      <c r="K135" s="266"/>
      <c r="L135" s="266"/>
      <c r="M135" s="266"/>
      <c r="N135" s="266"/>
      <c r="O135" s="266"/>
      <c r="P135" s="266"/>
      <c r="Q135" s="266"/>
      <c r="R135" s="266"/>
      <c r="S135" s="266"/>
      <c r="T135" s="266"/>
      <c r="U135" s="266"/>
      <c r="V135" s="266"/>
      <c r="W135" s="266"/>
      <c r="X135" s="266"/>
      <c r="Y135" s="266"/>
      <c r="Z135" s="266"/>
      <c r="AA135" s="266"/>
      <c r="AB135" s="266"/>
      <c r="AC135" s="266"/>
      <c r="AD135" s="266"/>
      <c r="AE135" s="266"/>
      <c r="AF135" s="266"/>
      <c r="AG135" s="266"/>
      <c r="AH135" s="266"/>
      <c r="AI135" s="266"/>
      <c r="AJ135" s="266"/>
      <c r="AK135" s="266"/>
      <c r="AL135" s="266"/>
      <c r="AM135" s="266"/>
    </row>
    <row r="136" spans="3:39" s="266" customFormat="1" ht="16.2" thickBot="1">
      <c r="C136" s="394" t="s">
        <v>236</v>
      </c>
      <c r="D136" s="395"/>
      <c r="E136" s="396"/>
      <c r="F136" s="395"/>
      <c r="G136" s="395"/>
      <c r="H136" s="395"/>
      <c r="I136" s="395"/>
      <c r="J136" s="395"/>
      <c r="K136" s="395"/>
      <c r="L136" s="395"/>
      <c r="M136" s="395"/>
      <c r="N136" s="395"/>
      <c r="O136" s="395"/>
      <c r="P136" s="395"/>
      <c r="Q136" s="395"/>
      <c r="R136" s="395"/>
      <c r="S136" s="395"/>
      <c r="T136" s="395"/>
      <c r="U136" s="395"/>
      <c r="V136" s="395"/>
      <c r="W136" s="395"/>
      <c r="X136" s="395"/>
      <c r="Y136" s="395"/>
      <c r="Z136" s="395"/>
      <c r="AA136" s="395"/>
      <c r="AB136" s="395"/>
      <c r="AC136" s="395"/>
      <c r="AD136" s="395"/>
      <c r="AE136" s="395"/>
      <c r="AF136" s="395"/>
      <c r="AG136" s="395"/>
      <c r="AH136" s="395"/>
      <c r="AI136" s="395"/>
      <c r="AJ136" s="395"/>
      <c r="AK136" s="8"/>
      <c r="AL136" s="8"/>
      <c r="AM136" s="8"/>
    </row>
    <row r="137" spans="3:39" outlineLevel="1">
      <c r="C137" s="266"/>
      <c r="D137" s="299"/>
      <c r="E137" s="266"/>
      <c r="F137" s="278"/>
      <c r="G137" s="266"/>
      <c r="H137" s="273"/>
      <c r="I137" s="266"/>
      <c r="J137" s="266"/>
      <c r="K137" s="266"/>
      <c r="L137" s="266"/>
      <c r="M137" s="266"/>
      <c r="N137" s="266"/>
      <c r="O137" s="266"/>
      <c r="P137" s="266"/>
      <c r="Q137" s="266"/>
      <c r="R137" s="266"/>
      <c r="S137" s="266"/>
      <c r="T137" s="266"/>
      <c r="U137" s="266"/>
      <c r="V137" s="266"/>
      <c r="W137" s="266"/>
      <c r="X137" s="266"/>
      <c r="Y137" s="266"/>
      <c r="Z137" s="266"/>
      <c r="AA137" s="266"/>
      <c r="AB137" s="266"/>
      <c r="AC137" s="266"/>
      <c r="AD137" s="266"/>
      <c r="AE137" s="266"/>
      <c r="AF137" s="266"/>
      <c r="AG137" s="266"/>
      <c r="AH137" s="266"/>
      <c r="AI137" s="266"/>
      <c r="AJ137" s="266"/>
      <c r="AK137" s="266"/>
      <c r="AL137" s="266"/>
      <c r="AM137" s="266"/>
    </row>
    <row r="138" spans="3:39" outlineLevel="1">
      <c r="C138" s="11" t="s">
        <v>237</v>
      </c>
      <c r="D138" s="266"/>
      <c r="E138" s="266"/>
      <c r="F138" s="278"/>
      <c r="G138" s="266"/>
      <c r="H138" s="273"/>
      <c r="I138" s="266"/>
      <c r="J138" s="266"/>
      <c r="K138" s="266"/>
      <c r="L138" s="266"/>
      <c r="M138" s="266"/>
      <c r="N138" s="266"/>
      <c r="O138" s="266"/>
      <c r="P138" s="266"/>
      <c r="Q138" s="266"/>
      <c r="R138" s="266"/>
      <c r="S138" s="266"/>
      <c r="T138" s="266"/>
      <c r="U138" s="266"/>
      <c r="V138" s="266"/>
      <c r="W138" s="266"/>
      <c r="X138" s="266"/>
      <c r="Y138" s="266"/>
      <c r="Z138" s="266"/>
      <c r="AA138" s="266"/>
      <c r="AB138" s="266"/>
      <c r="AC138" s="266"/>
      <c r="AD138" s="266"/>
      <c r="AE138" s="266"/>
      <c r="AF138" s="266"/>
      <c r="AG138" s="266"/>
      <c r="AH138" s="266"/>
      <c r="AI138" s="266"/>
      <c r="AJ138" s="266"/>
      <c r="AK138" s="266"/>
      <c r="AL138" s="266"/>
      <c r="AM138" s="266"/>
    </row>
    <row r="139" spans="3:39" outlineLevel="2">
      <c r="C139" s="11"/>
      <c r="D139" s="266"/>
      <c r="E139" s="266"/>
      <c r="F139" s="278"/>
      <c r="G139" s="266"/>
      <c r="H139" s="273"/>
      <c r="I139" s="266"/>
      <c r="J139" s="266"/>
      <c r="K139" s="266"/>
      <c r="L139" s="266"/>
      <c r="M139" s="266"/>
      <c r="N139" s="266"/>
      <c r="O139" s="266"/>
      <c r="P139" s="266"/>
      <c r="Q139" s="266"/>
      <c r="R139" s="266"/>
      <c r="S139" s="266"/>
      <c r="T139" s="266"/>
      <c r="U139" s="266"/>
      <c r="V139" s="266"/>
      <c r="W139" s="266"/>
      <c r="X139" s="266"/>
      <c r="Y139" s="266"/>
      <c r="Z139" s="266"/>
      <c r="AA139" s="266"/>
      <c r="AB139" s="266"/>
      <c r="AC139" s="266"/>
      <c r="AD139" s="266"/>
      <c r="AE139" s="266"/>
      <c r="AF139" s="266"/>
      <c r="AG139" s="266"/>
      <c r="AH139" s="266"/>
      <c r="AI139" s="266"/>
      <c r="AJ139" s="266"/>
      <c r="AK139" s="266"/>
      <c r="AL139" s="266"/>
      <c r="AM139" s="266"/>
    </row>
    <row r="140" spans="3:39" outlineLevel="2">
      <c r="C140" s="266" t="s">
        <v>238</v>
      </c>
      <c r="D140" s="412">
        <f>Summary!E66</f>
        <v>76776.486292563059</v>
      </c>
      <c r="E140" s="266"/>
      <c r="F140" s="278"/>
      <c r="G140" s="266"/>
      <c r="H140" s="273"/>
      <c r="I140" s="266"/>
      <c r="J140" s="266"/>
      <c r="K140" s="266"/>
      <c r="L140" s="266"/>
      <c r="M140" s="266"/>
      <c r="N140" s="266"/>
      <c r="O140" s="266"/>
      <c r="P140" s="266"/>
      <c r="Q140" s="266"/>
      <c r="R140" s="266"/>
      <c r="S140" s="266"/>
      <c r="T140" s="266"/>
      <c r="U140" s="266"/>
      <c r="V140" s="266"/>
      <c r="W140" s="266"/>
      <c r="X140" s="266"/>
      <c r="Y140" s="266"/>
      <c r="Z140" s="266"/>
      <c r="AA140" s="266"/>
      <c r="AB140" s="266"/>
      <c r="AC140" s="266"/>
      <c r="AD140" s="266"/>
      <c r="AE140" s="266"/>
      <c r="AF140" s="266"/>
      <c r="AG140" s="266"/>
      <c r="AH140" s="266"/>
      <c r="AI140" s="266"/>
      <c r="AJ140" s="266"/>
      <c r="AK140" s="266"/>
      <c r="AL140" s="266"/>
      <c r="AM140" s="266"/>
    </row>
    <row r="141" spans="3:39" outlineLevel="2">
      <c r="C141" s="404" t="s">
        <v>239</v>
      </c>
      <c r="D141" s="486">
        <v>1E-3</v>
      </c>
      <c r="E141" s="266"/>
      <c r="F141" s="278"/>
      <c r="G141" s="266"/>
      <c r="H141" s="273"/>
      <c r="I141" s="266"/>
      <c r="J141" s="266"/>
      <c r="K141" s="266"/>
      <c r="L141" s="266"/>
      <c r="M141" s="266"/>
      <c r="N141" s="266"/>
      <c r="O141" s="266"/>
      <c r="P141" s="266"/>
      <c r="Q141" s="266"/>
      <c r="R141" s="266"/>
      <c r="S141" s="266"/>
      <c r="T141" s="266"/>
      <c r="U141" s="266"/>
      <c r="V141" s="266"/>
      <c r="W141" s="266"/>
      <c r="X141" s="266"/>
      <c r="Y141" s="266"/>
      <c r="Z141" s="266"/>
      <c r="AA141" s="266"/>
      <c r="AB141" s="266"/>
      <c r="AC141" s="266"/>
      <c r="AD141" s="266"/>
      <c r="AE141" s="266"/>
      <c r="AF141" s="266"/>
      <c r="AG141" s="266"/>
      <c r="AH141" s="266"/>
      <c r="AI141" s="266"/>
      <c r="AJ141" s="266"/>
      <c r="AK141" s="266"/>
      <c r="AL141" s="266"/>
      <c r="AM141" s="266"/>
    </row>
    <row r="142" spans="3:39" outlineLevel="2">
      <c r="C142" s="11"/>
      <c r="D142" s="266"/>
      <c r="E142" s="266"/>
      <c r="F142" s="278"/>
      <c r="G142" s="266"/>
      <c r="H142" s="273"/>
      <c r="I142" s="266"/>
      <c r="J142" s="266"/>
      <c r="K142" s="266"/>
      <c r="L142" s="266"/>
      <c r="M142" s="266"/>
      <c r="N142" s="266"/>
      <c r="O142" s="266"/>
      <c r="P142" s="266"/>
      <c r="Q142" s="266"/>
      <c r="R142" s="266"/>
      <c r="S142" s="266"/>
      <c r="T142" s="266"/>
      <c r="U142" s="266"/>
      <c r="V142" s="266"/>
      <c r="W142" s="266"/>
      <c r="X142" s="266"/>
      <c r="Y142" s="266"/>
      <c r="Z142" s="266"/>
      <c r="AA142" s="266"/>
      <c r="AB142" s="266"/>
      <c r="AC142" s="266"/>
      <c r="AD142" s="266"/>
      <c r="AE142" s="266"/>
      <c r="AF142" s="266"/>
      <c r="AG142" s="266"/>
      <c r="AH142" s="266"/>
      <c r="AI142" s="266"/>
      <c r="AJ142" s="266"/>
      <c r="AK142" s="266"/>
      <c r="AL142" s="266"/>
      <c r="AM142" s="266"/>
    </row>
    <row r="143" spans="3:39" outlineLevel="2">
      <c r="C143" s="404" t="s">
        <v>240</v>
      </c>
      <c r="D143" s="484">
        <f>OPEX_Sens</f>
        <v>0</v>
      </c>
      <c r="E143" s="4" t="s">
        <v>23</v>
      </c>
      <c r="F143" s="278"/>
      <c r="G143" s="266"/>
      <c r="H143" s="273"/>
      <c r="I143" s="266"/>
      <c r="J143" s="266"/>
      <c r="K143" s="266"/>
      <c r="L143" s="266"/>
      <c r="M143" s="266"/>
      <c r="N143" s="266"/>
      <c r="O143" s="266"/>
      <c r="P143" s="266"/>
      <c r="Q143" s="266"/>
      <c r="R143" s="266"/>
      <c r="S143" s="266"/>
      <c r="T143" s="266"/>
      <c r="U143" s="266"/>
      <c r="V143" s="266"/>
      <c r="W143" s="266"/>
      <c r="X143" s="266"/>
      <c r="Y143" s="266"/>
      <c r="Z143" s="266"/>
      <c r="AA143" s="266"/>
      <c r="AB143" s="266"/>
      <c r="AC143" s="266"/>
      <c r="AD143" s="266"/>
      <c r="AE143" s="266"/>
      <c r="AF143" s="266"/>
      <c r="AG143" s="266"/>
      <c r="AH143" s="266"/>
      <c r="AI143" s="266"/>
      <c r="AJ143" s="266"/>
      <c r="AK143" s="266"/>
      <c r="AL143" s="266"/>
      <c r="AM143" s="266"/>
    </row>
    <row r="144" spans="3:39" outlineLevel="2">
      <c r="C144" s="11"/>
      <c r="D144" s="266"/>
      <c r="E144" s="266"/>
      <c r="F144" s="278"/>
      <c r="G144" s="266"/>
      <c r="H144" s="273"/>
      <c r="I144" s="266"/>
      <c r="J144" s="266"/>
      <c r="K144" s="266"/>
      <c r="L144" s="266"/>
      <c r="M144" s="266"/>
      <c r="N144" s="266"/>
      <c r="O144" s="266"/>
      <c r="P144" s="266"/>
      <c r="Q144" s="266"/>
      <c r="R144" s="266"/>
      <c r="S144" s="266"/>
      <c r="T144" s="266"/>
      <c r="U144" s="266"/>
      <c r="V144" s="266"/>
      <c r="W144" s="266"/>
      <c r="X144" s="266"/>
      <c r="Y144" s="266"/>
      <c r="Z144" s="266"/>
      <c r="AA144" s="266"/>
      <c r="AB144" s="266"/>
      <c r="AC144" s="266"/>
      <c r="AD144" s="266"/>
      <c r="AE144" s="266"/>
      <c r="AF144" s="266"/>
      <c r="AG144" s="266"/>
      <c r="AH144" s="266"/>
      <c r="AI144" s="266"/>
      <c r="AJ144" s="266"/>
      <c r="AK144" s="266"/>
      <c r="AL144" s="266"/>
      <c r="AM144" s="266"/>
    </row>
    <row r="145" spans="3:39" outlineLevel="2">
      <c r="C145" s="11"/>
      <c r="D145" s="266"/>
      <c r="E145" s="266"/>
      <c r="F145" s="278"/>
      <c r="G145" s="266"/>
      <c r="H145" s="273"/>
      <c r="I145" s="266"/>
      <c r="J145" s="266"/>
      <c r="K145" s="266"/>
      <c r="L145" s="266"/>
      <c r="M145" s="266"/>
      <c r="N145" s="266"/>
      <c r="O145" s="266"/>
      <c r="P145" s="266"/>
      <c r="Q145" s="266"/>
      <c r="R145" s="266"/>
      <c r="S145" s="266"/>
      <c r="T145" s="266"/>
      <c r="U145" s="266"/>
      <c r="V145" s="266"/>
      <c r="W145" s="266"/>
      <c r="X145" s="266"/>
      <c r="Y145" s="266"/>
      <c r="Z145" s="266"/>
      <c r="AA145" s="266"/>
      <c r="AB145" s="266"/>
      <c r="AC145" s="266"/>
      <c r="AD145" s="266"/>
      <c r="AE145" s="266"/>
      <c r="AF145" s="266"/>
      <c r="AG145" s="266"/>
      <c r="AH145" s="266"/>
      <c r="AI145" s="266"/>
      <c r="AJ145" s="266"/>
      <c r="AK145" s="266"/>
      <c r="AL145" s="266"/>
      <c r="AM145" s="266"/>
    </row>
    <row r="146" spans="3:39" outlineLevel="2">
      <c r="C146" s="400" t="s">
        <v>237</v>
      </c>
      <c r="D146" s="413">
        <f>YEAR(Model_Start)</f>
        <v>2027</v>
      </c>
      <c r="E146" s="413">
        <f>D146+1</f>
        <v>2028</v>
      </c>
      <c r="F146" s="413">
        <f t="shared" ref="F146" si="41">E146+1</f>
        <v>2029</v>
      </c>
      <c r="G146" s="413">
        <f t="shared" ref="G146" si="42">F146+1</f>
        <v>2030</v>
      </c>
      <c r="H146" s="413">
        <f t="shared" ref="H146" si="43">G146+1</f>
        <v>2031</v>
      </c>
      <c r="I146" s="413">
        <f t="shared" ref="I146" si="44">H146+1</f>
        <v>2032</v>
      </c>
      <c r="J146" s="413">
        <f t="shared" ref="J146" si="45">I146+1</f>
        <v>2033</v>
      </c>
      <c r="K146" s="413">
        <f t="shared" ref="K146" si="46">J146+1</f>
        <v>2034</v>
      </c>
      <c r="L146" s="413">
        <f t="shared" ref="L146" si="47">K146+1</f>
        <v>2035</v>
      </c>
      <c r="M146" s="413">
        <f t="shared" ref="M146" si="48">L146+1</f>
        <v>2036</v>
      </c>
      <c r="N146" s="413">
        <f t="shared" ref="N146" si="49">M146+1</f>
        <v>2037</v>
      </c>
      <c r="O146" s="413">
        <f t="shared" ref="O146" si="50">N146+1</f>
        <v>2038</v>
      </c>
      <c r="P146" s="413">
        <f t="shared" ref="P146" si="51">O146+1</f>
        <v>2039</v>
      </c>
      <c r="Q146" s="413">
        <f t="shared" ref="Q146" si="52">P146+1</f>
        <v>2040</v>
      </c>
      <c r="R146" s="413">
        <f t="shared" ref="R146" si="53">Q146+1</f>
        <v>2041</v>
      </c>
      <c r="S146" s="413">
        <f t="shared" ref="S146" si="54">R146+1</f>
        <v>2042</v>
      </c>
      <c r="T146" s="413">
        <f t="shared" ref="T146" si="55">S146+1</f>
        <v>2043</v>
      </c>
      <c r="U146" s="413">
        <f t="shared" ref="U146" si="56">T146+1</f>
        <v>2044</v>
      </c>
      <c r="V146" s="413">
        <f t="shared" ref="V146" si="57">U146+1</f>
        <v>2045</v>
      </c>
      <c r="W146" s="413">
        <f t="shared" ref="W146" si="58">V146+1</f>
        <v>2046</v>
      </c>
      <c r="X146" s="413">
        <f t="shared" ref="X146" si="59">W146+1</f>
        <v>2047</v>
      </c>
      <c r="Y146" s="413">
        <f t="shared" ref="Y146" si="60">X146+1</f>
        <v>2048</v>
      </c>
      <c r="Z146" s="413">
        <f t="shared" ref="Z146" si="61">Y146+1</f>
        <v>2049</v>
      </c>
      <c r="AA146" s="413">
        <f t="shared" ref="AA146" si="62">Z146+1</f>
        <v>2050</v>
      </c>
      <c r="AB146" s="413">
        <f t="shared" ref="AB146" si="63">AA146+1</f>
        <v>2051</v>
      </c>
      <c r="AC146" s="413">
        <f t="shared" ref="AC146" si="64">AB146+1</f>
        <v>2052</v>
      </c>
      <c r="AD146" s="413">
        <f t="shared" ref="AD146" si="65">AC146+1</f>
        <v>2053</v>
      </c>
      <c r="AE146" s="413">
        <f t="shared" ref="AE146" si="66">AD146+1</f>
        <v>2054</v>
      </c>
      <c r="AF146" s="413">
        <f t="shared" ref="AF146" si="67">AE146+1</f>
        <v>2055</v>
      </c>
      <c r="AG146" s="413">
        <f t="shared" ref="AG146" si="68">AF146+1</f>
        <v>2056</v>
      </c>
      <c r="AH146" s="266"/>
      <c r="AI146" s="266"/>
      <c r="AJ146" s="266"/>
      <c r="AK146" s="266"/>
      <c r="AL146" s="266"/>
      <c r="AM146" s="266"/>
    </row>
    <row r="147" spans="3:39" outlineLevel="2">
      <c r="C147" s="402" t="s">
        <v>241</v>
      </c>
      <c r="D147" s="300">
        <f>OPEX!C9</f>
        <v>3802.4182892478507</v>
      </c>
      <c r="E147" s="300">
        <f>OPEX!D9</f>
        <v>3802.4182892478507</v>
      </c>
      <c r="F147" s="300">
        <f>OPEX!E9</f>
        <v>3832.3822892478506</v>
      </c>
      <c r="G147" s="300">
        <f>OPEX!F9</f>
        <v>3862.3462892478506</v>
      </c>
      <c r="H147" s="300">
        <f>OPEX!G9</f>
        <v>3862.3462892478506</v>
      </c>
      <c r="I147" s="300">
        <f>OPEX!H9</f>
        <v>3862.3462892478506</v>
      </c>
      <c r="J147" s="300">
        <f>OPEX!I9</f>
        <v>3862.3462892478506</v>
      </c>
      <c r="K147" s="300">
        <f>OPEX!J9</f>
        <v>3862.3462892478506</v>
      </c>
      <c r="L147" s="300">
        <f>OPEX!K9</f>
        <v>3862.3462892478506</v>
      </c>
      <c r="M147" s="300">
        <f>OPEX!L9</f>
        <v>3862.3462892478506</v>
      </c>
      <c r="N147" s="300">
        <f>OPEX!M9</f>
        <v>3862.3462892478506</v>
      </c>
      <c r="O147" s="300">
        <f>OPEX!N9</f>
        <v>3862.3462892478506</v>
      </c>
      <c r="P147" s="300">
        <f>OPEX!O9</f>
        <v>3862.3462892478506</v>
      </c>
      <c r="Q147" s="300">
        <f>OPEX!P9</f>
        <v>3862.3462892478506</v>
      </c>
      <c r="R147" s="300">
        <f>OPEX!Q9</f>
        <v>3862.3462892478506</v>
      </c>
      <c r="S147" s="300">
        <f>OPEX!R9</f>
        <v>3862.3462892478506</v>
      </c>
      <c r="T147" s="300">
        <f>OPEX!S9</f>
        <v>3862.3462892478506</v>
      </c>
      <c r="U147" s="300">
        <f>OPEX!T9</f>
        <v>3862.3462892478506</v>
      </c>
      <c r="V147" s="300">
        <f>OPEX!U9</f>
        <v>4187.1798381278504</v>
      </c>
      <c r="W147" s="300">
        <f>OPEX!V9</f>
        <v>4187.1798381278504</v>
      </c>
      <c r="X147" s="300">
        <f>OPEX!W9</f>
        <v>4187.1798381278504</v>
      </c>
      <c r="Y147" s="300">
        <f>OPEX!X9</f>
        <v>4187.1798381278504</v>
      </c>
      <c r="Z147" s="300">
        <f>OPEX!Y9</f>
        <v>4187.1798381278504</v>
      </c>
      <c r="AA147" s="300">
        <f>OPEX!Z9</f>
        <v>4187.1798381278504</v>
      </c>
      <c r="AB147" s="300">
        <f>OPEX!AA9</f>
        <v>4187.1798381278504</v>
      </c>
      <c r="AC147" s="300">
        <f>OPEX!AB9</f>
        <v>4187.1798381278504</v>
      </c>
      <c r="AD147" s="300">
        <f>OPEX!AC9</f>
        <v>4187.1798381278504</v>
      </c>
      <c r="AE147" s="300">
        <f>OPEX!AD9</f>
        <v>4187.1798381278504</v>
      </c>
      <c r="AF147" s="300">
        <f>OPEX!AE9</f>
        <v>4187.1798381278504</v>
      </c>
      <c r="AG147" s="300">
        <f>OPEX!AF9</f>
        <v>4187.1798381278504</v>
      </c>
      <c r="AH147" s="266"/>
      <c r="AI147" s="266"/>
      <c r="AJ147" s="266"/>
      <c r="AK147" s="266"/>
      <c r="AL147" s="266"/>
      <c r="AM147" s="266"/>
    </row>
    <row r="148" spans="3:39" outlineLevel="2">
      <c r="C148" s="402" t="s">
        <v>242</v>
      </c>
      <c r="D148" s="300">
        <f>OPEX!C245</f>
        <v>1214.1571981652173</v>
      </c>
      <c r="E148" s="300">
        <f>OPEX!D245</f>
        <v>1214.1571981652173</v>
      </c>
      <c r="F148" s="300">
        <f>OPEX!E245</f>
        <v>1214.1571981652173</v>
      </c>
      <c r="G148" s="300">
        <f>OPEX!F245</f>
        <v>1538.9907470452174</v>
      </c>
      <c r="H148" s="300">
        <f>OPEX!G245</f>
        <v>1538.9907470452174</v>
      </c>
      <c r="I148" s="300">
        <f>OPEX!H245</f>
        <v>1538.9907470452174</v>
      </c>
      <c r="J148" s="300">
        <f>OPEX!I245</f>
        <v>1538.9907470452174</v>
      </c>
      <c r="K148" s="300">
        <f>OPEX!J245</f>
        <v>1538.9907470452174</v>
      </c>
      <c r="L148" s="300">
        <f>OPEX!K245</f>
        <v>1538.9907470452174</v>
      </c>
      <c r="M148" s="300">
        <f>OPEX!L245</f>
        <v>1538.9907470452174</v>
      </c>
      <c r="N148" s="300">
        <f>OPEX!M245</f>
        <v>1538.9907470452174</v>
      </c>
      <c r="O148" s="300">
        <f>OPEX!N245</f>
        <v>1538.9907470452174</v>
      </c>
      <c r="P148" s="300">
        <f>OPEX!O245</f>
        <v>1538.9907470452174</v>
      </c>
      <c r="Q148" s="300">
        <f>OPEX!P245</f>
        <v>1538.9907470452174</v>
      </c>
      <c r="R148" s="300">
        <f>OPEX!Q245</f>
        <v>1538.9907470452174</v>
      </c>
      <c r="S148" s="300">
        <f>OPEX!R245</f>
        <v>1538.9907470452174</v>
      </c>
      <c r="T148" s="300">
        <f>OPEX!S245</f>
        <v>1538.9907470452174</v>
      </c>
      <c r="U148" s="300">
        <f>OPEX!T245</f>
        <v>1538.9907470452174</v>
      </c>
      <c r="V148" s="300">
        <f>OPEX!U245</f>
        <v>1538.9907470452174</v>
      </c>
      <c r="W148" s="300">
        <f>OPEX!V245</f>
        <v>1538.9907470452174</v>
      </c>
      <c r="X148" s="300">
        <f>OPEX!W245</f>
        <v>1538.9907470452174</v>
      </c>
      <c r="Y148" s="300">
        <f>OPEX!X245</f>
        <v>1538.9907470452174</v>
      </c>
      <c r="Z148" s="300">
        <f>OPEX!Y245</f>
        <v>1538.9907470452174</v>
      </c>
      <c r="AA148" s="300">
        <f>OPEX!Z245</f>
        <v>1538.9907470452174</v>
      </c>
      <c r="AB148" s="300">
        <f>OPEX!AA245</f>
        <v>1538.9907470452174</v>
      </c>
      <c r="AC148" s="300">
        <f>OPEX!AB245</f>
        <v>1538.9907470452174</v>
      </c>
      <c r="AD148" s="300">
        <f>OPEX!AC245</f>
        <v>1538.9907470452174</v>
      </c>
      <c r="AE148" s="300">
        <f>OPEX!AD245</f>
        <v>1538.9907470452174</v>
      </c>
      <c r="AF148" s="300">
        <f>OPEX!AE245</f>
        <v>1538.9907470452174</v>
      </c>
      <c r="AG148" s="300">
        <f>OPEX!AF245</f>
        <v>1538.9907470452174</v>
      </c>
      <c r="AH148" s="266"/>
      <c r="AI148" s="266"/>
      <c r="AJ148" s="266"/>
      <c r="AK148" s="266"/>
      <c r="AL148" s="266"/>
      <c r="AM148" s="266"/>
    </row>
    <row r="149" spans="3:39" outlineLevel="2">
      <c r="C149" s="402" t="s">
        <v>243</v>
      </c>
      <c r="D149" s="300">
        <f>OPEX!C419</f>
        <v>0</v>
      </c>
      <c r="E149" s="300">
        <f>OPEX!D419</f>
        <v>0</v>
      </c>
      <c r="F149" s="300">
        <f>OPEX!E419</f>
        <v>263.21359652917431</v>
      </c>
      <c r="G149" s="300">
        <f>OPEX!F419</f>
        <v>263.21359652917431</v>
      </c>
      <c r="H149" s="300">
        <f>OPEX!G419</f>
        <v>263.21359652917431</v>
      </c>
      <c r="I149" s="300">
        <f>OPEX!H419</f>
        <v>263.21359652917431</v>
      </c>
      <c r="J149" s="300">
        <f>OPEX!I419</f>
        <v>263.21359652917431</v>
      </c>
      <c r="K149" s="300">
        <f>OPEX!J419</f>
        <v>263.21359652917431</v>
      </c>
      <c r="L149" s="300">
        <f>OPEX!K419</f>
        <v>263.21359652917431</v>
      </c>
      <c r="M149" s="300">
        <f>OPEX!L419</f>
        <v>263.21359652917431</v>
      </c>
      <c r="N149" s="300">
        <f>OPEX!M419</f>
        <v>263.21359652917431</v>
      </c>
      <c r="O149" s="300">
        <f>OPEX!N419</f>
        <v>263.21359652917431</v>
      </c>
      <c r="P149" s="300">
        <f>OPEX!O419</f>
        <v>263.21359652917431</v>
      </c>
      <c r="Q149" s="300">
        <f>OPEX!P419</f>
        <v>263.21359652917431</v>
      </c>
      <c r="R149" s="300">
        <f>OPEX!Q419</f>
        <v>263.21359652917431</v>
      </c>
      <c r="S149" s="300">
        <f>OPEX!R419</f>
        <v>263.21359652917431</v>
      </c>
      <c r="T149" s="300">
        <f>OPEX!S419</f>
        <v>263.21359652917431</v>
      </c>
      <c r="U149" s="300">
        <f>OPEX!T419</f>
        <v>263.21359652917431</v>
      </c>
      <c r="V149" s="300">
        <f>OPEX!U419</f>
        <v>263.21359652917431</v>
      </c>
      <c r="W149" s="300">
        <f>OPEX!V419</f>
        <v>263.21359652917431</v>
      </c>
      <c r="X149" s="300">
        <f>OPEX!W419</f>
        <v>263.21359652917431</v>
      </c>
      <c r="Y149" s="300">
        <f>OPEX!X419</f>
        <v>263.21359652917431</v>
      </c>
      <c r="Z149" s="300">
        <f>OPEX!Y419</f>
        <v>263.21359652917431</v>
      </c>
      <c r="AA149" s="300">
        <f>OPEX!Z419</f>
        <v>263.21359652917431</v>
      </c>
      <c r="AB149" s="300">
        <f>OPEX!AA419</f>
        <v>263.21359652917431</v>
      </c>
      <c r="AC149" s="300">
        <f>OPEX!AB419</f>
        <v>263.21359652917431</v>
      </c>
      <c r="AD149" s="300">
        <f>OPEX!AC419</f>
        <v>263.21359652917431</v>
      </c>
      <c r="AE149" s="300">
        <f>OPEX!AD419</f>
        <v>263.21359652917431</v>
      </c>
      <c r="AF149" s="300">
        <f>OPEX!AE419</f>
        <v>263.21359652917431</v>
      </c>
      <c r="AG149" s="300">
        <f>OPEX!AF419</f>
        <v>263.21359652917431</v>
      </c>
      <c r="AH149" s="266"/>
      <c r="AI149" s="266"/>
      <c r="AJ149" s="266"/>
      <c r="AK149" s="266"/>
      <c r="AL149" s="266"/>
      <c r="AM149" s="266"/>
    </row>
    <row r="150" spans="3:39" outlineLevel="2">
      <c r="C150" s="402" t="s">
        <v>244</v>
      </c>
      <c r="D150" s="300">
        <f>OPEX!C519</f>
        <v>670.10932954251052</v>
      </c>
      <c r="E150" s="300">
        <f>OPEX!D519</f>
        <v>670.10932954251052</v>
      </c>
      <c r="F150" s="300">
        <f>OPEX!E519</f>
        <v>670.10932954251052</v>
      </c>
      <c r="G150" s="300">
        <f>OPEX!F519</f>
        <v>670.10932954251052</v>
      </c>
      <c r="H150" s="300">
        <f>OPEX!G519</f>
        <v>670.10932954251052</v>
      </c>
      <c r="I150" s="300">
        <f>OPEX!H519</f>
        <v>670.10932954251052</v>
      </c>
      <c r="J150" s="300">
        <f>OPEX!I519</f>
        <v>670.10932954251052</v>
      </c>
      <c r="K150" s="300">
        <f>OPEX!J519</f>
        <v>670.10932954251052</v>
      </c>
      <c r="L150" s="300">
        <f>OPEX!K519</f>
        <v>670.10932954251052</v>
      </c>
      <c r="M150" s="300">
        <f>OPEX!L519</f>
        <v>670.10932954251052</v>
      </c>
      <c r="N150" s="300">
        <f>OPEX!M519</f>
        <v>670.10932954251052</v>
      </c>
      <c r="O150" s="300">
        <f>OPEX!N519</f>
        <v>670.10932954251052</v>
      </c>
      <c r="P150" s="300">
        <f>OPEX!O519</f>
        <v>670.10932954251052</v>
      </c>
      <c r="Q150" s="300">
        <f>OPEX!P519</f>
        <v>670.10932954251052</v>
      </c>
      <c r="R150" s="300">
        <f>OPEX!Q519</f>
        <v>670.10932954251052</v>
      </c>
      <c r="S150" s="300">
        <f>OPEX!R519</f>
        <v>670.10932954251052</v>
      </c>
      <c r="T150" s="300">
        <f>OPEX!S519</f>
        <v>670.10932954251052</v>
      </c>
      <c r="U150" s="300">
        <f>OPEX!T519</f>
        <v>670.10932954251052</v>
      </c>
      <c r="V150" s="300">
        <f>OPEX!U519</f>
        <v>670.10932954251052</v>
      </c>
      <c r="W150" s="300">
        <f>OPEX!V519</f>
        <v>670.10932954251052</v>
      </c>
      <c r="X150" s="300">
        <f>OPEX!W519</f>
        <v>670.10932954251052</v>
      </c>
      <c r="Y150" s="300">
        <f>OPEX!X519</f>
        <v>670.10932954251052</v>
      </c>
      <c r="Z150" s="300">
        <f>OPEX!Y519</f>
        <v>670.10932954251052</v>
      </c>
      <c r="AA150" s="300">
        <f>OPEX!Z519</f>
        <v>670.10932954251052</v>
      </c>
      <c r="AB150" s="300">
        <f>OPEX!AA519</f>
        <v>670.10932954251052</v>
      </c>
      <c r="AC150" s="300">
        <f>OPEX!AB519</f>
        <v>670.10932954251052</v>
      </c>
      <c r="AD150" s="300">
        <f>OPEX!AC519</f>
        <v>670.10932954251052</v>
      </c>
      <c r="AE150" s="300">
        <f>OPEX!AD519</f>
        <v>670.10932954251052</v>
      </c>
      <c r="AF150" s="300">
        <f>OPEX!AE519</f>
        <v>670.10932954251052</v>
      </c>
      <c r="AG150" s="300">
        <f>OPEX!AF519</f>
        <v>670.10932954251052</v>
      </c>
      <c r="AH150" s="266"/>
      <c r="AI150" s="266"/>
      <c r="AJ150" s="266"/>
      <c r="AK150" s="266"/>
      <c r="AL150" s="266"/>
      <c r="AM150" s="266"/>
    </row>
    <row r="151" spans="3:39" outlineLevel="2">
      <c r="C151" s="402" t="s">
        <v>160</v>
      </c>
      <c r="D151" s="300">
        <f>OPEX!C618</f>
        <v>902.85758976611521</v>
      </c>
      <c r="E151" s="300">
        <f>OPEX!D618</f>
        <v>1027.1445066461151</v>
      </c>
      <c r="F151" s="300">
        <f>OPEX!E618</f>
        <v>1027.4155866461151</v>
      </c>
      <c r="G151" s="300">
        <f>OPEX!F618</f>
        <v>1027.4155866461151</v>
      </c>
      <c r="H151" s="300">
        <f>OPEX!G618</f>
        <v>1027.4155866461151</v>
      </c>
      <c r="I151" s="300">
        <f>OPEX!H618</f>
        <v>1027.4155866461151</v>
      </c>
      <c r="J151" s="300">
        <f>OPEX!I618</f>
        <v>1027.4155866461151</v>
      </c>
      <c r="K151" s="300">
        <f>OPEX!J618</f>
        <v>1027.4155866461151</v>
      </c>
      <c r="L151" s="300">
        <f>OPEX!K618</f>
        <v>1027.4155866461151</v>
      </c>
      <c r="M151" s="300">
        <f>OPEX!L618</f>
        <v>1089.8466100861149</v>
      </c>
      <c r="N151" s="300">
        <f>OPEX!M618</f>
        <v>1089.8466100861149</v>
      </c>
      <c r="O151" s="300">
        <f>OPEX!N618</f>
        <v>1089.8466100861149</v>
      </c>
      <c r="P151" s="300">
        <f>OPEX!O618</f>
        <v>1089.8466100861149</v>
      </c>
      <c r="Q151" s="300">
        <f>OPEX!P618</f>
        <v>1089.8466100861149</v>
      </c>
      <c r="R151" s="300">
        <f>OPEX!Q618</f>
        <v>1089.8466100861149</v>
      </c>
      <c r="S151" s="300">
        <f>OPEX!R618</f>
        <v>1089.8466100861149</v>
      </c>
      <c r="T151" s="300">
        <f>OPEX!S618</f>
        <v>1090.1176900861149</v>
      </c>
      <c r="U151" s="300">
        <f>OPEX!T618</f>
        <v>1090.1176900861149</v>
      </c>
      <c r="V151" s="300">
        <f>OPEX!U618</f>
        <v>1152.2776335261151</v>
      </c>
      <c r="W151" s="300">
        <f>OPEX!V618</f>
        <v>1152.2776335261151</v>
      </c>
      <c r="X151" s="300">
        <f>OPEX!W618</f>
        <v>1152.2776335261151</v>
      </c>
      <c r="Y151" s="300">
        <f>OPEX!X618</f>
        <v>1152.2776335261151</v>
      </c>
      <c r="Z151" s="300">
        <f>OPEX!Y618</f>
        <v>1152.2776335261151</v>
      </c>
      <c r="AA151" s="300">
        <f>OPEX!Z618</f>
        <v>1152.5487135261151</v>
      </c>
      <c r="AB151" s="300">
        <f>OPEX!AA618</f>
        <v>1152.5487135261151</v>
      </c>
      <c r="AC151" s="300">
        <f>OPEX!AB618</f>
        <v>1152.5487135261151</v>
      </c>
      <c r="AD151" s="300">
        <f>OPEX!AC618</f>
        <v>1214.7086569661151</v>
      </c>
      <c r="AE151" s="300">
        <f>OPEX!AD618</f>
        <v>1214.7086569661151</v>
      </c>
      <c r="AF151" s="300">
        <f>OPEX!AE618</f>
        <v>1214.7086569661151</v>
      </c>
      <c r="AG151" s="300">
        <f>OPEX!AF618</f>
        <v>1214.7086569661151</v>
      </c>
      <c r="AH151" s="266"/>
      <c r="AI151" s="266"/>
      <c r="AJ151" s="266"/>
      <c r="AK151" s="266"/>
      <c r="AL151" s="266"/>
      <c r="AM151" s="266"/>
    </row>
    <row r="152" spans="3:39" outlineLevel="2">
      <c r="C152" s="402" t="s">
        <v>245</v>
      </c>
      <c r="D152" s="300">
        <f>OPEX!C750</f>
        <v>2479.9108490438762</v>
      </c>
      <c r="E152" s="300">
        <f>OPEX!D750</f>
        <v>2479.9108490438762</v>
      </c>
      <c r="F152" s="300">
        <f>OPEX!E750</f>
        <v>2479.9108490438762</v>
      </c>
      <c r="G152" s="300">
        <f>OPEX!F750</f>
        <v>2479.9108490438762</v>
      </c>
      <c r="H152" s="300">
        <f>OPEX!G750</f>
        <v>2479.9108490438762</v>
      </c>
      <c r="I152" s="300">
        <f>OPEX!H750</f>
        <v>2479.9108490438762</v>
      </c>
      <c r="J152" s="300">
        <f>OPEX!I750</f>
        <v>2479.9108490438762</v>
      </c>
      <c r="K152" s="300">
        <f>OPEX!J750</f>
        <v>2479.9108490438762</v>
      </c>
      <c r="L152" s="300">
        <f>OPEX!K750</f>
        <v>2479.9108490438762</v>
      </c>
      <c r="M152" s="300">
        <f>OPEX!L750</f>
        <v>2479.9108490438762</v>
      </c>
      <c r="N152" s="300">
        <f>OPEX!M750</f>
        <v>2479.9108490438762</v>
      </c>
      <c r="O152" s="300">
        <f>OPEX!N750</f>
        <v>2479.9108490438762</v>
      </c>
      <c r="P152" s="300">
        <f>OPEX!O750</f>
        <v>2479.9108490438762</v>
      </c>
      <c r="Q152" s="300">
        <f>OPEX!P750</f>
        <v>2479.9108490438762</v>
      </c>
      <c r="R152" s="300">
        <f>OPEX!Q750</f>
        <v>2479.9108490438762</v>
      </c>
      <c r="S152" s="300">
        <f>OPEX!R750</f>
        <v>2479.9108490438762</v>
      </c>
      <c r="T152" s="300">
        <f>OPEX!S750</f>
        <v>2479.9108490438762</v>
      </c>
      <c r="U152" s="300">
        <f>OPEX!T750</f>
        <v>2479.9108490438762</v>
      </c>
      <c r="V152" s="300">
        <f>OPEX!U750</f>
        <v>2479.9108490438762</v>
      </c>
      <c r="W152" s="300">
        <f>OPEX!V750</f>
        <v>2479.9108490438762</v>
      </c>
      <c r="X152" s="300">
        <f>OPEX!W750</f>
        <v>2479.9108490438762</v>
      </c>
      <c r="Y152" s="300">
        <f>OPEX!X750</f>
        <v>2479.9108490438762</v>
      </c>
      <c r="Z152" s="300">
        <f>OPEX!Y750</f>
        <v>2479.9108490438762</v>
      </c>
      <c r="AA152" s="300">
        <f>OPEX!Z750</f>
        <v>2479.9108490438762</v>
      </c>
      <c r="AB152" s="300">
        <f>OPEX!AA750</f>
        <v>2479.9108490438762</v>
      </c>
      <c r="AC152" s="300">
        <f>OPEX!AB750</f>
        <v>2479.9108490438762</v>
      </c>
      <c r="AD152" s="300">
        <f>OPEX!AC750</f>
        <v>2479.9108490438762</v>
      </c>
      <c r="AE152" s="300">
        <f>OPEX!AD750</f>
        <v>2479.9108490438762</v>
      </c>
      <c r="AF152" s="300">
        <f>OPEX!AE750</f>
        <v>2479.9108490438762</v>
      </c>
      <c r="AG152" s="300">
        <f>OPEX!AF750</f>
        <v>2479.9108490438762</v>
      </c>
      <c r="AH152" s="266"/>
      <c r="AI152" s="266"/>
      <c r="AJ152" s="266"/>
      <c r="AK152" s="266"/>
      <c r="AL152" s="266"/>
      <c r="AM152" s="266"/>
    </row>
    <row r="153" spans="3:39" outlineLevel="2">
      <c r="C153" s="402" t="s">
        <v>162</v>
      </c>
      <c r="D153" s="300">
        <f>OPEX!C929</f>
        <v>1404.7369616736601</v>
      </c>
      <c r="E153" s="300">
        <f>OPEX!D929</f>
        <v>1404.7369616736601</v>
      </c>
      <c r="F153" s="300">
        <f>OPEX!E929</f>
        <v>1404.7369616736601</v>
      </c>
      <c r="G153" s="300">
        <f>OPEX!F929</f>
        <v>1404.7369616736601</v>
      </c>
      <c r="H153" s="300">
        <f>OPEX!G929</f>
        <v>1404.7369616736601</v>
      </c>
      <c r="I153" s="300">
        <f>OPEX!H929</f>
        <v>1404.7369616736601</v>
      </c>
      <c r="J153" s="300">
        <f>OPEX!I929</f>
        <v>1404.7369616736601</v>
      </c>
      <c r="K153" s="300">
        <f>OPEX!J929</f>
        <v>1404.7369616736601</v>
      </c>
      <c r="L153" s="300">
        <f>OPEX!K929</f>
        <v>1404.7369616736601</v>
      </c>
      <c r="M153" s="300">
        <f>OPEX!L929</f>
        <v>1404.7369616736601</v>
      </c>
      <c r="N153" s="300">
        <f>OPEX!M929</f>
        <v>1404.7369616736601</v>
      </c>
      <c r="O153" s="300">
        <f>OPEX!N929</f>
        <v>1404.7369616736601</v>
      </c>
      <c r="P153" s="300">
        <f>OPEX!O929</f>
        <v>1404.7369616736601</v>
      </c>
      <c r="Q153" s="300">
        <f>OPEX!P929</f>
        <v>1404.7369616736601</v>
      </c>
      <c r="R153" s="300">
        <f>OPEX!Q929</f>
        <v>1404.7369616736601</v>
      </c>
      <c r="S153" s="300">
        <f>OPEX!R929</f>
        <v>1404.7369616736601</v>
      </c>
      <c r="T153" s="300">
        <f>OPEX!S929</f>
        <v>1404.7369616736601</v>
      </c>
      <c r="U153" s="300">
        <f>OPEX!T929</f>
        <v>1404.7369616736601</v>
      </c>
      <c r="V153" s="300">
        <f>OPEX!U929</f>
        <v>1404.7369616736601</v>
      </c>
      <c r="W153" s="300">
        <f>OPEX!V929</f>
        <v>1404.7369616736601</v>
      </c>
      <c r="X153" s="300">
        <f>OPEX!W929</f>
        <v>1404.7369616736601</v>
      </c>
      <c r="Y153" s="300">
        <f>OPEX!X929</f>
        <v>1404.7369616736601</v>
      </c>
      <c r="Z153" s="300">
        <f>OPEX!Y929</f>
        <v>1404.7369616736601</v>
      </c>
      <c r="AA153" s="300">
        <f>OPEX!Z929</f>
        <v>1404.7369616736601</v>
      </c>
      <c r="AB153" s="300">
        <f>OPEX!AA929</f>
        <v>1404.7369616736601</v>
      </c>
      <c r="AC153" s="300">
        <f>OPEX!AB929</f>
        <v>1404.7369616736601</v>
      </c>
      <c r="AD153" s="300">
        <f>OPEX!AC929</f>
        <v>1404.7369616736601</v>
      </c>
      <c r="AE153" s="300">
        <f>OPEX!AD929</f>
        <v>1404.7369616736601</v>
      </c>
      <c r="AF153" s="300">
        <f>OPEX!AE929</f>
        <v>1404.7369616736601</v>
      </c>
      <c r="AG153" s="300">
        <f>OPEX!AF929</f>
        <v>1404.7369616736601</v>
      </c>
      <c r="AH153" s="266"/>
      <c r="AI153" s="266"/>
      <c r="AJ153" s="266"/>
      <c r="AK153" s="266"/>
      <c r="AL153" s="266"/>
      <c r="AM153" s="266"/>
    </row>
    <row r="154" spans="3:39" outlineLevel="2">
      <c r="C154" s="402" t="s">
        <v>246</v>
      </c>
      <c r="D154" s="300">
        <f>OPEX!C1083</f>
        <v>3730.3440009626115</v>
      </c>
      <c r="E154" s="300">
        <f>OPEX!D1083</f>
        <v>3844.8985269753866</v>
      </c>
      <c r="F154" s="300">
        <f>OPEX!E1083</f>
        <v>3992.6100238902841</v>
      </c>
      <c r="G154" s="300">
        <f>OPEX!F1083</f>
        <v>4036.0044731226894</v>
      </c>
      <c r="H154" s="300">
        <f>OPEX!G1083</f>
        <v>4084.3129988778605</v>
      </c>
      <c r="I154" s="300">
        <f>OPEX!H1083</f>
        <v>4129.8042823176957</v>
      </c>
      <c r="J154" s="300">
        <f>OPEX!I1083</f>
        <v>5098.4926465873132</v>
      </c>
      <c r="K154" s="300">
        <f>OPEX!J1083</f>
        <v>4282.1640030082226</v>
      </c>
      <c r="L154" s="300">
        <f>OPEX!K1083</f>
        <v>4298.0044386467944</v>
      </c>
      <c r="M154" s="300">
        <f>OPEX!L1083</f>
        <v>4313.8448742853661</v>
      </c>
      <c r="N154" s="300">
        <f>OPEX!M1083</f>
        <v>4329.699242130785</v>
      </c>
      <c r="O154" s="300">
        <f>OPEX!N1083</f>
        <v>4345.5396777693559</v>
      </c>
      <c r="P154" s="300">
        <f>OPEX!O1083</f>
        <v>4361.3801134079267</v>
      </c>
      <c r="Q154" s="300">
        <f>OPEX!P1083</f>
        <v>4377.2205490464985</v>
      </c>
      <c r="R154" s="300">
        <f>OPEX!Q1083</f>
        <v>4393.0749168919174</v>
      </c>
      <c r="S154" s="300">
        <f>OPEX!R1083</f>
        <v>4408.9153525304882</v>
      </c>
      <c r="T154" s="300">
        <f>OPEX!S1083</f>
        <v>4424.75578816906</v>
      </c>
      <c r="U154" s="300">
        <f>OPEX!T1083</f>
        <v>4440.5962238076308</v>
      </c>
      <c r="V154" s="300">
        <f>OPEX!U1083</f>
        <v>4456.4505916530507</v>
      </c>
      <c r="W154" s="300">
        <f>OPEX!V1083</f>
        <v>4472.2910272916215</v>
      </c>
      <c r="X154" s="300">
        <f>OPEX!W1083</f>
        <v>4488.1314629301924</v>
      </c>
      <c r="Y154" s="300">
        <f>OPEX!X1083</f>
        <v>4503.9718985687632</v>
      </c>
      <c r="Z154" s="300">
        <f>OPEX!Y1083</f>
        <v>4519.826266414183</v>
      </c>
      <c r="AA154" s="300">
        <f>OPEX!Z1083</f>
        <v>4535.6667020527539</v>
      </c>
      <c r="AB154" s="300">
        <f>OPEX!AA1083</f>
        <v>4551.5071376913247</v>
      </c>
      <c r="AC154" s="300">
        <f>OPEX!AB1083</f>
        <v>4567.3475733298965</v>
      </c>
      <c r="AD154" s="300">
        <f>OPEX!AC1083</f>
        <v>4583.2019411753163</v>
      </c>
      <c r="AE154" s="300">
        <f>OPEX!AD1083</f>
        <v>4599.0423768138862</v>
      </c>
      <c r="AF154" s="300">
        <f>OPEX!AE1083</f>
        <v>4614.882812452458</v>
      </c>
      <c r="AG154" s="300">
        <f>OPEX!AF1083</f>
        <v>4630.7232480910288</v>
      </c>
      <c r="AH154" s="266"/>
      <c r="AI154" s="266"/>
      <c r="AJ154" s="266"/>
      <c r="AK154" s="266"/>
      <c r="AL154" s="266"/>
      <c r="AM154" s="266"/>
    </row>
    <row r="155" spans="3:39" outlineLevel="2">
      <c r="C155" s="402" t="s">
        <v>247</v>
      </c>
      <c r="D155" s="300">
        <f>OPEX!C1380</f>
        <v>266.27880593759994</v>
      </c>
      <c r="E155" s="300">
        <f>OPEX!D1380</f>
        <v>266.27880593759994</v>
      </c>
      <c r="F155" s="300">
        <f>OPEX!E1380</f>
        <v>266.27880593759994</v>
      </c>
      <c r="G155" s="300">
        <f>OPEX!F1380</f>
        <v>266.27880593759994</v>
      </c>
      <c r="H155" s="300">
        <f>OPEX!G1380</f>
        <v>266.27880593759994</v>
      </c>
      <c r="I155" s="300">
        <f>OPEX!H1380</f>
        <v>266.27880593759994</v>
      </c>
      <c r="J155" s="300">
        <f>OPEX!I1380</f>
        <v>200.02160850159999</v>
      </c>
      <c r="K155" s="300">
        <f>OPEX!J1380</f>
        <v>200.02160850159999</v>
      </c>
      <c r="L155" s="300">
        <f>OPEX!K1380</f>
        <v>200.02160850159999</v>
      </c>
      <c r="M155" s="300">
        <f>OPEX!L1380</f>
        <v>200.02160850159999</v>
      </c>
      <c r="N155" s="300">
        <f>OPEX!M1380</f>
        <v>200.02160850159999</v>
      </c>
      <c r="O155" s="300">
        <f>OPEX!N1380</f>
        <v>200.02160850159999</v>
      </c>
      <c r="P155" s="300">
        <f>OPEX!O1380</f>
        <v>200.02160850159999</v>
      </c>
      <c r="Q155" s="300">
        <f>OPEX!P1380</f>
        <v>200.02160850159999</v>
      </c>
      <c r="R155" s="300">
        <f>OPEX!Q1380</f>
        <v>200.02160850159999</v>
      </c>
      <c r="S155" s="300">
        <f>OPEX!R1380</f>
        <v>200.02160850159999</v>
      </c>
      <c r="T155" s="300">
        <f>OPEX!S1380</f>
        <v>200.02160850159999</v>
      </c>
      <c r="U155" s="300">
        <f>OPEX!T1380</f>
        <v>200.02160850159999</v>
      </c>
      <c r="V155" s="300">
        <f>OPEX!U1380</f>
        <v>200.02160850159999</v>
      </c>
      <c r="W155" s="300">
        <f>OPEX!V1380</f>
        <v>200.02160850159999</v>
      </c>
      <c r="X155" s="300">
        <f>OPEX!W1380</f>
        <v>200.02160850159999</v>
      </c>
      <c r="Y155" s="300">
        <f>OPEX!X1380</f>
        <v>200.02160850159999</v>
      </c>
      <c r="Z155" s="300">
        <f>OPEX!Y1380</f>
        <v>200.02160850159999</v>
      </c>
      <c r="AA155" s="300">
        <f>OPEX!Z1380</f>
        <v>200.02160850159999</v>
      </c>
      <c r="AB155" s="300">
        <f>OPEX!AA1380</f>
        <v>200.02160850159999</v>
      </c>
      <c r="AC155" s="300">
        <f>OPEX!AB1380</f>
        <v>200.02160850159999</v>
      </c>
      <c r="AD155" s="300">
        <f>OPEX!AC1380</f>
        <v>200.02160850159999</v>
      </c>
      <c r="AE155" s="300">
        <f>OPEX!AD1380</f>
        <v>200.02160850159999</v>
      </c>
      <c r="AF155" s="300">
        <f>OPEX!AE1380</f>
        <v>200.02160850159999</v>
      </c>
      <c r="AG155" s="300">
        <f>OPEX!AF1380</f>
        <v>200.02160850159999</v>
      </c>
      <c r="AH155" s="266"/>
      <c r="AI155" s="266"/>
      <c r="AJ155" s="266"/>
      <c r="AK155" s="266"/>
      <c r="AL155" s="266"/>
      <c r="AM155" s="266"/>
    </row>
    <row r="156" spans="3:39" outlineLevel="2">
      <c r="C156" s="402" t="s">
        <v>165</v>
      </c>
      <c r="D156" s="300">
        <f>OPEX!C1474</f>
        <v>405.37059451200003</v>
      </c>
      <c r="E156" s="300">
        <f>OPEX!D1474</f>
        <v>919.42288060088424</v>
      </c>
      <c r="F156" s="300">
        <f>OPEX!E1474</f>
        <v>922.18269464050775</v>
      </c>
      <c r="G156" s="300">
        <f>OPEX!F1474</f>
        <v>924.94250868013125</v>
      </c>
      <c r="H156" s="300">
        <f>OPEX!G1474</f>
        <v>927.70232271975499</v>
      </c>
      <c r="I156" s="300">
        <f>OPEX!H1474</f>
        <v>930.4621367593785</v>
      </c>
      <c r="J156" s="300">
        <f>OPEX!I1474</f>
        <v>933.221950799002</v>
      </c>
      <c r="K156" s="300">
        <f>OPEX!J1474</f>
        <v>935.98176483862551</v>
      </c>
      <c r="L156" s="300">
        <f>OPEX!K1474</f>
        <v>938.74157887824902</v>
      </c>
      <c r="M156" s="300">
        <f>OPEX!L1474</f>
        <v>941.50139291787275</v>
      </c>
      <c r="N156" s="300">
        <f>OPEX!M1474</f>
        <v>944.26120695749626</v>
      </c>
      <c r="O156" s="300">
        <f>OPEX!N1474</f>
        <v>947.02102099711976</v>
      </c>
      <c r="P156" s="300">
        <f>OPEX!O1474</f>
        <v>949.78083503674327</v>
      </c>
      <c r="Q156" s="300">
        <f>OPEX!P1474</f>
        <v>952.540649076367</v>
      </c>
      <c r="R156" s="300">
        <f>OPEX!Q1474</f>
        <v>955.30046311599028</v>
      </c>
      <c r="S156" s="300">
        <f>OPEX!R1474</f>
        <v>958.06027715561402</v>
      </c>
      <c r="T156" s="300">
        <f>OPEX!S1474</f>
        <v>960.82009119523752</v>
      </c>
      <c r="U156" s="300">
        <f>OPEX!T1474</f>
        <v>963.57990523486103</v>
      </c>
      <c r="V156" s="300">
        <f>OPEX!U1474</f>
        <v>966.33971927448454</v>
      </c>
      <c r="W156" s="300">
        <f>OPEX!V1474</f>
        <v>969.09953331410827</v>
      </c>
      <c r="X156" s="300">
        <f>OPEX!W1474</f>
        <v>971.85934735373178</v>
      </c>
      <c r="Y156" s="300">
        <f>OPEX!X1474</f>
        <v>974.61916139335551</v>
      </c>
      <c r="Z156" s="300">
        <f>OPEX!Y1474</f>
        <v>977.37897543297879</v>
      </c>
      <c r="AA156" s="300">
        <f>OPEX!Z1474</f>
        <v>980.13878947260253</v>
      </c>
      <c r="AB156" s="300">
        <f>OPEX!AA1474</f>
        <v>982.89860351222603</v>
      </c>
      <c r="AC156" s="300">
        <f>OPEX!AB1474</f>
        <v>985.65841755184954</v>
      </c>
      <c r="AD156" s="300">
        <f>OPEX!AC1474</f>
        <v>988.41823159147305</v>
      </c>
      <c r="AE156" s="300">
        <f>OPEX!AD1474</f>
        <v>991.17804563109678</v>
      </c>
      <c r="AF156" s="300">
        <f>OPEX!AE1474</f>
        <v>993.93785967072029</v>
      </c>
      <c r="AG156" s="300">
        <f>OPEX!AF1474</f>
        <v>996.69767371034379</v>
      </c>
      <c r="AH156" s="266"/>
      <c r="AI156" s="266"/>
      <c r="AJ156" s="266"/>
      <c r="AK156" s="266"/>
      <c r="AL156" s="266"/>
      <c r="AM156" s="266"/>
    </row>
    <row r="157" spans="3:39" outlineLevel="2">
      <c r="C157" s="402" t="s">
        <v>166</v>
      </c>
      <c r="D157" s="300">
        <f>OPEX!C1625</f>
        <v>726.75657898000009</v>
      </c>
      <c r="E157" s="300">
        <f>OPEX!D1625</f>
        <v>727.20442897999999</v>
      </c>
      <c r="F157" s="300">
        <f>OPEX!E1625</f>
        <v>727.47502898000005</v>
      </c>
      <c r="G157" s="300">
        <f>OPEX!F1625</f>
        <v>728.15152898000008</v>
      </c>
      <c r="H157" s="300">
        <f>OPEX!G1625</f>
        <v>728.15152898000008</v>
      </c>
      <c r="I157" s="300">
        <f>OPEX!H1625</f>
        <v>728.15152898000008</v>
      </c>
      <c r="J157" s="300">
        <f>OPEX!I1625</f>
        <v>827.15575910000007</v>
      </c>
      <c r="K157" s="300">
        <f>OPEX!J1625</f>
        <v>827.15575910000007</v>
      </c>
      <c r="L157" s="300">
        <f>OPEX!K1625</f>
        <v>827.15575910000007</v>
      </c>
      <c r="M157" s="300">
        <f>OPEX!L1625</f>
        <v>827.29105909999998</v>
      </c>
      <c r="N157" s="300">
        <f>OPEX!M1625</f>
        <v>827.29105909999998</v>
      </c>
      <c r="O157" s="300">
        <f>OPEX!N1625</f>
        <v>827.29105909999998</v>
      </c>
      <c r="P157" s="300">
        <f>OPEX!O1625</f>
        <v>827.29105909999998</v>
      </c>
      <c r="Q157" s="300">
        <f>OPEX!P1625</f>
        <v>827.29105909999998</v>
      </c>
      <c r="R157" s="300">
        <f>OPEX!Q1625</f>
        <v>827.29105909999998</v>
      </c>
      <c r="S157" s="300">
        <f>OPEX!R1625</f>
        <v>827.29105909999998</v>
      </c>
      <c r="T157" s="300">
        <f>OPEX!S1625</f>
        <v>827.29105909999998</v>
      </c>
      <c r="U157" s="300">
        <f>OPEX!T1625</f>
        <v>827.29105909999998</v>
      </c>
      <c r="V157" s="300">
        <f>OPEX!U1625</f>
        <v>828.10285909999993</v>
      </c>
      <c r="W157" s="300">
        <f>OPEX!V1625</f>
        <v>828.10285909999993</v>
      </c>
      <c r="X157" s="300">
        <f>OPEX!W1625</f>
        <v>828.10285909999993</v>
      </c>
      <c r="Y157" s="300">
        <f>OPEX!X1625</f>
        <v>828.10285909999993</v>
      </c>
      <c r="Z157" s="300">
        <f>OPEX!Y1625</f>
        <v>828.10285909999993</v>
      </c>
      <c r="AA157" s="300">
        <f>OPEX!Z1625</f>
        <v>828.10285909999993</v>
      </c>
      <c r="AB157" s="300">
        <f>OPEX!AA1625</f>
        <v>828.10285909999993</v>
      </c>
      <c r="AC157" s="300">
        <f>OPEX!AB1625</f>
        <v>828.10285909999993</v>
      </c>
      <c r="AD157" s="300">
        <f>OPEX!AC1625</f>
        <v>828.23815910000008</v>
      </c>
      <c r="AE157" s="300">
        <f>OPEX!AD1625</f>
        <v>828.23815910000008</v>
      </c>
      <c r="AF157" s="300">
        <f>OPEX!AE1625</f>
        <v>828.23815910000008</v>
      </c>
      <c r="AG157" s="300">
        <f>OPEX!AF1625</f>
        <v>828.23815910000008</v>
      </c>
      <c r="AH157" s="266"/>
      <c r="AI157" s="266"/>
      <c r="AJ157" s="266"/>
      <c r="AK157" s="266"/>
      <c r="AL157" s="266"/>
      <c r="AM157" s="266"/>
    </row>
    <row r="158" spans="3:39" outlineLevel="2">
      <c r="C158" s="402" t="s">
        <v>248</v>
      </c>
      <c r="D158" s="300">
        <f>OPEX!C1751</f>
        <v>0</v>
      </c>
      <c r="E158" s="300">
        <f>OPEX!D1751</f>
        <v>0</v>
      </c>
      <c r="F158" s="300">
        <f>OPEX!E1751</f>
        <v>0</v>
      </c>
      <c r="G158" s="300">
        <f>OPEX!F1751</f>
        <v>0</v>
      </c>
      <c r="H158" s="300">
        <f>OPEX!G1751</f>
        <v>0</v>
      </c>
      <c r="I158" s="300">
        <f>OPEX!H1751</f>
        <v>0</v>
      </c>
      <c r="J158" s="300">
        <f>OPEX!I1751</f>
        <v>0</v>
      </c>
      <c r="K158" s="300">
        <f>OPEX!J1751</f>
        <v>0</v>
      </c>
      <c r="L158" s="300">
        <f>OPEX!K1751</f>
        <v>0</v>
      </c>
      <c r="M158" s="300">
        <f>OPEX!L1751</f>
        <v>0</v>
      </c>
      <c r="N158" s="300">
        <f>OPEX!M1751</f>
        <v>0</v>
      </c>
      <c r="O158" s="300">
        <f>OPEX!N1751</f>
        <v>0</v>
      </c>
      <c r="P158" s="300">
        <f>OPEX!O1751</f>
        <v>0</v>
      </c>
      <c r="Q158" s="300">
        <f>OPEX!P1751</f>
        <v>0</v>
      </c>
      <c r="R158" s="300">
        <f>OPEX!Q1751</f>
        <v>0</v>
      </c>
      <c r="S158" s="300">
        <f>OPEX!R1751</f>
        <v>0</v>
      </c>
      <c r="T158" s="300">
        <f>OPEX!S1751</f>
        <v>0</v>
      </c>
      <c r="U158" s="300">
        <f>OPEX!T1751</f>
        <v>0</v>
      </c>
      <c r="V158" s="300">
        <f>OPEX!U1751</f>
        <v>0</v>
      </c>
      <c r="W158" s="300">
        <f>OPEX!V1751</f>
        <v>0</v>
      </c>
      <c r="X158" s="300">
        <f>OPEX!W1751</f>
        <v>0</v>
      </c>
      <c r="Y158" s="300">
        <f>OPEX!X1751</f>
        <v>0</v>
      </c>
      <c r="Z158" s="300">
        <f>OPEX!Y1751</f>
        <v>0</v>
      </c>
      <c r="AA158" s="300">
        <f>OPEX!Z1751</f>
        <v>0</v>
      </c>
      <c r="AB158" s="300">
        <f>OPEX!AA1751</f>
        <v>0</v>
      </c>
      <c r="AC158" s="300">
        <f>OPEX!AB1751</f>
        <v>0</v>
      </c>
      <c r="AD158" s="300">
        <f>OPEX!AC1751</f>
        <v>0</v>
      </c>
      <c r="AE158" s="300">
        <f>OPEX!AD1751</f>
        <v>0</v>
      </c>
      <c r="AF158" s="300">
        <f>OPEX!AE1751</f>
        <v>0</v>
      </c>
      <c r="AG158" s="300">
        <f>OPEX!AF1751</f>
        <v>0</v>
      </c>
      <c r="AH158" s="266"/>
      <c r="AI158" s="266"/>
      <c r="AJ158" s="266"/>
      <c r="AK158" s="266"/>
      <c r="AL158" s="266"/>
      <c r="AM158" s="266"/>
    </row>
    <row r="159" spans="3:39" outlineLevel="2">
      <c r="C159" s="402" t="s">
        <v>249</v>
      </c>
      <c r="D159" s="300">
        <f>$D$140*$D$141</f>
        <v>76.776486292563064</v>
      </c>
      <c r="E159" s="300">
        <f t="shared" ref="E159:AG159" si="69">$D$140*$D$141</f>
        <v>76.776486292563064</v>
      </c>
      <c r="F159" s="300">
        <f t="shared" si="69"/>
        <v>76.776486292563064</v>
      </c>
      <c r="G159" s="300">
        <f t="shared" si="69"/>
        <v>76.776486292563064</v>
      </c>
      <c r="H159" s="300">
        <f t="shared" si="69"/>
        <v>76.776486292563064</v>
      </c>
      <c r="I159" s="300">
        <f t="shared" si="69"/>
        <v>76.776486292563064</v>
      </c>
      <c r="J159" s="300">
        <f t="shared" si="69"/>
        <v>76.776486292563064</v>
      </c>
      <c r="K159" s="300">
        <f t="shared" si="69"/>
        <v>76.776486292563064</v>
      </c>
      <c r="L159" s="300">
        <f t="shared" si="69"/>
        <v>76.776486292563064</v>
      </c>
      <c r="M159" s="300">
        <f t="shared" si="69"/>
        <v>76.776486292563064</v>
      </c>
      <c r="N159" s="300">
        <f t="shared" si="69"/>
        <v>76.776486292563064</v>
      </c>
      <c r="O159" s="300">
        <f t="shared" si="69"/>
        <v>76.776486292563064</v>
      </c>
      <c r="P159" s="300">
        <f t="shared" si="69"/>
        <v>76.776486292563064</v>
      </c>
      <c r="Q159" s="300">
        <f t="shared" si="69"/>
        <v>76.776486292563064</v>
      </c>
      <c r="R159" s="300">
        <f t="shared" si="69"/>
        <v>76.776486292563064</v>
      </c>
      <c r="S159" s="300">
        <f t="shared" si="69"/>
        <v>76.776486292563064</v>
      </c>
      <c r="T159" s="300">
        <f t="shared" si="69"/>
        <v>76.776486292563064</v>
      </c>
      <c r="U159" s="300">
        <f t="shared" si="69"/>
        <v>76.776486292563064</v>
      </c>
      <c r="V159" s="300">
        <f t="shared" si="69"/>
        <v>76.776486292563064</v>
      </c>
      <c r="W159" s="300">
        <f t="shared" si="69"/>
        <v>76.776486292563064</v>
      </c>
      <c r="X159" s="300">
        <f t="shared" si="69"/>
        <v>76.776486292563064</v>
      </c>
      <c r="Y159" s="300">
        <f t="shared" si="69"/>
        <v>76.776486292563064</v>
      </c>
      <c r="Z159" s="300">
        <f t="shared" si="69"/>
        <v>76.776486292563064</v>
      </c>
      <c r="AA159" s="300">
        <f t="shared" si="69"/>
        <v>76.776486292563064</v>
      </c>
      <c r="AB159" s="300">
        <f t="shared" si="69"/>
        <v>76.776486292563064</v>
      </c>
      <c r="AC159" s="300">
        <f t="shared" si="69"/>
        <v>76.776486292563064</v>
      </c>
      <c r="AD159" s="300">
        <f t="shared" si="69"/>
        <v>76.776486292563064</v>
      </c>
      <c r="AE159" s="300">
        <f t="shared" si="69"/>
        <v>76.776486292563064</v>
      </c>
      <c r="AF159" s="300">
        <f t="shared" si="69"/>
        <v>76.776486292563064</v>
      </c>
      <c r="AG159" s="300">
        <f t="shared" si="69"/>
        <v>76.776486292563064</v>
      </c>
      <c r="AH159" s="266"/>
      <c r="AI159" s="266"/>
      <c r="AJ159" s="266"/>
      <c r="AK159" s="266"/>
      <c r="AL159" s="266"/>
      <c r="AM159" s="266"/>
    </row>
    <row r="160" spans="3:39" outlineLevel="2">
      <c r="C160" s="266"/>
      <c r="D160" s="266"/>
      <c r="E160" s="266"/>
      <c r="F160" s="278"/>
      <c r="G160" s="266"/>
      <c r="H160" s="273"/>
      <c r="I160" s="266"/>
      <c r="J160" s="266"/>
      <c r="K160" s="266"/>
      <c r="L160" s="266"/>
      <c r="M160" s="266"/>
      <c r="N160" s="266"/>
      <c r="O160" s="266"/>
      <c r="P160" s="266"/>
      <c r="Q160" s="266"/>
      <c r="R160" s="266"/>
      <c r="S160" s="266"/>
      <c r="T160" s="266"/>
      <c r="U160" s="266"/>
      <c r="V160" s="266"/>
      <c r="W160" s="266"/>
      <c r="X160" s="266"/>
      <c r="Y160" s="266"/>
      <c r="Z160" s="266"/>
      <c r="AA160" s="266"/>
      <c r="AB160" s="266"/>
      <c r="AC160" s="266"/>
      <c r="AD160" s="266"/>
      <c r="AE160" s="266"/>
      <c r="AF160" s="266"/>
      <c r="AG160" s="266"/>
      <c r="AH160" s="266"/>
      <c r="AI160" s="266"/>
      <c r="AJ160" s="266"/>
      <c r="AK160" s="266"/>
      <c r="AL160" s="266"/>
      <c r="AM160" s="266"/>
    </row>
    <row r="161" spans="3:39" outlineLevel="1">
      <c r="C161" s="266"/>
      <c r="D161" s="266"/>
      <c r="E161" s="266"/>
      <c r="F161" s="278"/>
      <c r="G161" s="266"/>
      <c r="H161" s="273"/>
      <c r="I161" s="266"/>
      <c r="J161" s="266"/>
      <c r="K161" s="266"/>
      <c r="L161" s="266"/>
      <c r="M161" s="266"/>
      <c r="N161" s="266"/>
      <c r="O161" s="266"/>
      <c r="P161" s="266"/>
      <c r="Q161" s="266"/>
      <c r="R161" s="266"/>
      <c r="S161" s="266"/>
      <c r="T161" s="266"/>
      <c r="U161" s="266"/>
      <c r="V161" s="266"/>
      <c r="W161" s="266"/>
      <c r="X161" s="266"/>
      <c r="Y161" s="266"/>
      <c r="Z161" s="266"/>
      <c r="AA161" s="266"/>
      <c r="AB161" s="266"/>
      <c r="AC161" s="266"/>
      <c r="AD161" s="266"/>
      <c r="AE161" s="266"/>
      <c r="AF161" s="266"/>
      <c r="AG161" s="266"/>
      <c r="AH161" s="266"/>
      <c r="AI161" s="266"/>
      <c r="AJ161" s="266"/>
      <c r="AK161" s="266"/>
      <c r="AL161" s="266"/>
      <c r="AM161" s="266"/>
    </row>
    <row r="162" spans="3:39" outlineLevel="1">
      <c r="C162" s="11" t="s">
        <v>250</v>
      </c>
      <c r="D162" s="266"/>
      <c r="E162" s="266"/>
      <c r="F162" s="278"/>
      <c r="G162" s="266"/>
      <c r="H162" s="273"/>
      <c r="I162" s="266"/>
      <c r="J162" s="266"/>
      <c r="K162" s="266"/>
      <c r="L162" s="266"/>
      <c r="M162" s="266"/>
      <c r="N162" s="266"/>
      <c r="O162" s="266"/>
      <c r="P162" s="266"/>
      <c r="Q162" s="266"/>
      <c r="R162" s="266"/>
      <c r="S162" s="266"/>
      <c r="T162" s="266"/>
      <c r="U162" s="266"/>
      <c r="V162" s="266"/>
      <c r="W162" s="266"/>
      <c r="X162" s="266"/>
      <c r="Y162" s="266"/>
      <c r="Z162" s="266"/>
      <c r="AA162" s="266"/>
      <c r="AB162" s="266"/>
      <c r="AC162" s="266"/>
      <c r="AD162" s="266"/>
      <c r="AE162" s="266"/>
      <c r="AF162" s="266"/>
      <c r="AG162" s="266"/>
      <c r="AH162" s="266"/>
      <c r="AI162" s="266"/>
      <c r="AJ162" s="266"/>
      <c r="AK162" s="266"/>
      <c r="AL162" s="266"/>
      <c r="AM162" s="266"/>
    </row>
    <row r="163" spans="3:39" outlineLevel="2">
      <c r="C163" s="266"/>
      <c r="D163" s="266"/>
      <c r="E163" s="266"/>
      <c r="F163" s="278"/>
      <c r="G163" s="266"/>
      <c r="H163" s="273"/>
      <c r="I163" s="266"/>
      <c r="J163" s="266"/>
      <c r="K163" s="266"/>
      <c r="L163" s="266"/>
      <c r="M163" s="266"/>
      <c r="N163" s="266"/>
      <c r="O163" s="266"/>
      <c r="P163" s="266"/>
      <c r="Q163" s="266"/>
      <c r="R163" s="266"/>
      <c r="S163" s="266"/>
      <c r="T163" s="266"/>
      <c r="U163" s="266"/>
      <c r="V163" s="266"/>
      <c r="W163" s="266"/>
      <c r="X163" s="266"/>
      <c r="Y163" s="266"/>
      <c r="Z163" s="266"/>
      <c r="AA163" s="266"/>
      <c r="AB163" s="266"/>
      <c r="AC163" s="266"/>
      <c r="AD163" s="266"/>
      <c r="AE163" s="266"/>
      <c r="AF163" s="266"/>
      <c r="AG163" s="266"/>
      <c r="AH163" s="266"/>
      <c r="AI163" s="266"/>
      <c r="AJ163" s="266"/>
      <c r="AK163" s="266"/>
      <c r="AL163" s="266"/>
      <c r="AM163" s="266"/>
    </row>
    <row r="164" spans="3:39" outlineLevel="2">
      <c r="C164" s="11" t="s">
        <v>251</v>
      </c>
      <c r="D164" s="266"/>
      <c r="E164" s="266"/>
      <c r="F164" s="278"/>
      <c r="G164" s="901" t="s">
        <v>252</v>
      </c>
      <c r="H164" s="901"/>
      <c r="I164" s="901"/>
      <c r="J164" s="459"/>
      <c r="K164" s="266"/>
      <c r="L164" s="266"/>
      <c r="M164" s="266"/>
      <c r="N164" s="266"/>
      <c r="O164" s="266"/>
      <c r="P164" s="266"/>
      <c r="Q164" s="266"/>
      <c r="R164" s="266"/>
      <c r="S164" s="266"/>
      <c r="T164" s="266"/>
      <c r="U164" s="266"/>
      <c r="V164" s="266"/>
      <c r="W164" s="266"/>
      <c r="X164" s="266"/>
      <c r="Y164" s="266"/>
      <c r="Z164" s="266"/>
      <c r="AA164" s="266"/>
      <c r="AB164" s="266"/>
      <c r="AC164" s="266"/>
      <c r="AD164" s="266"/>
      <c r="AE164" s="266"/>
      <c r="AF164" s="266"/>
      <c r="AG164" s="266"/>
      <c r="AH164" s="266"/>
      <c r="AI164" s="266"/>
      <c r="AJ164" s="266"/>
      <c r="AK164" s="266"/>
      <c r="AL164" s="266"/>
      <c r="AM164" s="266"/>
    </row>
    <row r="165" spans="3:39" outlineLevel="2">
      <c r="C165"/>
      <c r="D165" s="266"/>
      <c r="E165" s="266"/>
      <c r="F165" s="278"/>
      <c r="G165" s="901"/>
      <c r="H165" s="901"/>
      <c r="I165" s="901"/>
      <c r="J165" s="459"/>
      <c r="K165" s="266"/>
      <c r="L165" s="266"/>
      <c r="M165" s="266"/>
      <c r="N165" s="266"/>
      <c r="O165" s="266"/>
      <c r="P165" s="266"/>
      <c r="Q165" s="266"/>
      <c r="R165" s="266"/>
      <c r="S165" s="266"/>
      <c r="T165" s="266"/>
      <c r="U165" s="266"/>
      <c r="V165" s="266"/>
      <c r="W165" s="266"/>
      <c r="X165" s="266"/>
      <c r="Y165" s="266"/>
      <c r="Z165" s="266"/>
      <c r="AA165" s="266"/>
      <c r="AB165" s="266"/>
      <c r="AC165" s="266"/>
      <c r="AD165" s="266"/>
      <c r="AE165" s="266"/>
      <c r="AF165" s="266"/>
      <c r="AG165" s="266"/>
      <c r="AH165" s="266"/>
      <c r="AI165" s="266"/>
      <c r="AJ165" s="266"/>
      <c r="AK165" s="266"/>
      <c r="AL165" s="266"/>
      <c r="AM165" s="266"/>
    </row>
    <row r="166" spans="3:39" outlineLevel="2">
      <c r="C166" s="11" t="s">
        <v>253</v>
      </c>
      <c r="D166" s="266"/>
      <c r="E166" s="266"/>
      <c r="F166" s="278"/>
      <c r="G166" s="901"/>
      <c r="H166" s="901"/>
      <c r="I166" s="901"/>
      <c r="J166" s="459"/>
      <c r="K166" s="266"/>
      <c r="L166" s="266"/>
      <c r="M166" s="266"/>
      <c r="N166" s="266"/>
      <c r="O166" s="266"/>
      <c r="P166" s="266"/>
      <c r="Q166" s="266"/>
      <c r="R166" s="266"/>
      <c r="S166" s="266"/>
      <c r="T166" s="266"/>
      <c r="U166" s="266"/>
      <c r="V166" s="266"/>
      <c r="W166" s="266"/>
      <c r="X166" s="266"/>
      <c r="Y166" s="266"/>
      <c r="Z166" s="266"/>
      <c r="AA166" s="266"/>
      <c r="AB166" s="266"/>
      <c r="AC166" s="266"/>
      <c r="AD166" s="266"/>
      <c r="AE166" s="266"/>
      <c r="AF166" s="266"/>
      <c r="AG166" s="266"/>
      <c r="AH166" s="266"/>
      <c r="AI166" s="266"/>
      <c r="AJ166" s="266"/>
      <c r="AK166" s="266"/>
      <c r="AL166" s="266"/>
      <c r="AM166" s="266"/>
    </row>
    <row r="167" spans="3:39" outlineLevel="2">
      <c r="C167" s="266" t="s">
        <v>254</v>
      </c>
      <c r="D167" s="266"/>
      <c r="E167" s="266"/>
      <c r="F167" s="278"/>
      <c r="G167" s="901"/>
      <c r="H167" s="901"/>
      <c r="I167" s="901"/>
      <c r="J167" s="459"/>
      <c r="K167" s="266"/>
      <c r="L167" s="266"/>
      <c r="M167" s="266"/>
      <c r="N167" s="266"/>
      <c r="O167" s="266"/>
      <c r="P167" s="266"/>
      <c r="Q167" s="266"/>
      <c r="R167" s="266"/>
      <c r="S167" s="266"/>
      <c r="T167" s="266"/>
      <c r="U167" s="266"/>
      <c r="V167" s="266"/>
      <c r="W167" s="266"/>
      <c r="X167" s="266"/>
      <c r="Y167" s="266"/>
      <c r="Z167" s="266"/>
      <c r="AA167" s="266"/>
      <c r="AB167" s="266"/>
      <c r="AC167" s="266"/>
      <c r="AD167" s="266"/>
      <c r="AE167" s="266"/>
      <c r="AF167" s="266"/>
      <c r="AG167" s="266"/>
      <c r="AH167" s="266"/>
      <c r="AI167" s="266"/>
      <c r="AJ167" s="266"/>
      <c r="AK167" s="266"/>
      <c r="AL167" s="266"/>
      <c r="AM167" s="266"/>
    </row>
    <row r="168" spans="3:39" outlineLevel="2">
      <c r="C168" s="266" t="s">
        <v>255</v>
      </c>
      <c r="D168" s="266"/>
      <c r="E168" s="266"/>
      <c r="F168" s="278"/>
      <c r="G168" s="901"/>
      <c r="H168" s="901"/>
      <c r="I168" s="901"/>
      <c r="J168" s="459"/>
      <c r="K168" s="266"/>
      <c r="L168" s="266"/>
      <c r="M168" s="266"/>
      <c r="N168" s="266"/>
      <c r="O168" s="266"/>
      <c r="P168" s="266"/>
      <c r="Q168" s="266"/>
      <c r="R168" s="266"/>
      <c r="S168" s="266"/>
      <c r="T168" s="266"/>
      <c r="U168" s="266"/>
      <c r="V168" s="266"/>
      <c r="W168" s="266"/>
      <c r="X168" s="266"/>
      <c r="Y168" s="266"/>
      <c r="Z168" s="266"/>
      <c r="AA168" s="266"/>
      <c r="AB168" s="266"/>
      <c r="AC168" s="266"/>
      <c r="AD168" s="266"/>
      <c r="AE168" s="266"/>
      <c r="AF168" s="266"/>
      <c r="AG168" s="266"/>
      <c r="AH168" s="266"/>
      <c r="AI168" s="266"/>
      <c r="AJ168" s="266"/>
      <c r="AK168" s="266"/>
      <c r="AL168" s="266"/>
      <c r="AM168" s="266"/>
    </row>
    <row r="169" spans="3:39" outlineLevel="2">
      <c r="C169" s="266" t="s">
        <v>256</v>
      </c>
      <c r="D169" s="266"/>
      <c r="E169" s="266"/>
      <c r="F169" s="278"/>
      <c r="G169" s="901"/>
      <c r="H169" s="901"/>
      <c r="I169" s="901"/>
      <c r="J169" s="266"/>
      <c r="K169" s="266"/>
      <c r="L169" s="266"/>
      <c r="M169" s="266"/>
      <c r="N169" s="266"/>
      <c r="O169" s="266"/>
      <c r="P169" s="266"/>
      <c r="Q169" s="266"/>
      <c r="R169" s="266"/>
      <c r="S169" s="266"/>
      <c r="T169" s="266"/>
      <c r="U169" s="266"/>
      <c r="V169" s="266"/>
      <c r="W169" s="266"/>
      <c r="X169" s="266"/>
      <c r="Y169" s="266"/>
      <c r="Z169" s="266"/>
      <c r="AA169" s="266"/>
      <c r="AB169" s="266"/>
      <c r="AC169" s="266"/>
      <c r="AD169" s="266"/>
      <c r="AE169" s="266"/>
      <c r="AF169" s="266"/>
      <c r="AG169" s="266"/>
      <c r="AH169" s="266"/>
      <c r="AI169" s="266"/>
      <c r="AJ169" s="266"/>
      <c r="AK169" s="266"/>
      <c r="AL169" s="266"/>
      <c r="AM169" s="266"/>
    </row>
    <row r="170" spans="3:39" outlineLevel="2">
      <c r="C170" s="266" t="s">
        <v>257</v>
      </c>
      <c r="D170" s="266"/>
      <c r="E170" s="266"/>
      <c r="F170" s="278"/>
      <c r="G170" s="901"/>
      <c r="H170" s="901"/>
      <c r="I170" s="901"/>
      <c r="J170" s="266"/>
      <c r="K170" s="266"/>
      <c r="L170" s="266"/>
      <c r="M170" s="266"/>
      <c r="N170" s="266"/>
      <c r="O170" s="266"/>
      <c r="P170" s="266"/>
      <c r="Q170" s="266"/>
      <c r="R170" s="266"/>
      <c r="S170" s="266"/>
      <c r="T170" s="266"/>
      <c r="U170" s="266"/>
      <c r="V170" s="266"/>
      <c r="W170" s="266"/>
      <c r="X170" s="266"/>
      <c r="Y170" s="266"/>
      <c r="Z170" s="266"/>
      <c r="AA170" s="266"/>
      <c r="AB170" s="266"/>
      <c r="AC170" s="266"/>
      <c r="AD170" s="266"/>
      <c r="AE170" s="266"/>
      <c r="AF170" s="266"/>
      <c r="AG170" s="266"/>
      <c r="AH170" s="266"/>
      <c r="AI170" s="266"/>
      <c r="AJ170" s="266"/>
      <c r="AK170" s="266"/>
      <c r="AL170" s="266"/>
      <c r="AM170" s="266"/>
    </row>
    <row r="171" spans="3:39" outlineLevel="2">
      <c r="C171" s="266"/>
      <c r="D171" s="266"/>
      <c r="E171" s="266"/>
      <c r="F171" s="278"/>
      <c r="G171" s="266"/>
      <c r="H171" s="273"/>
      <c r="I171" s="266"/>
      <c r="J171" s="266"/>
      <c r="K171" s="266"/>
      <c r="L171" s="266"/>
      <c r="M171" s="266"/>
      <c r="N171" s="266"/>
      <c r="O171" s="266"/>
      <c r="P171" s="266"/>
      <c r="Q171" s="266"/>
      <c r="R171" s="266"/>
      <c r="S171" s="266"/>
      <c r="T171" s="266"/>
      <c r="U171" s="266"/>
      <c r="V171" s="266"/>
      <c r="W171" s="266"/>
      <c r="X171" s="266"/>
      <c r="Y171" s="266"/>
      <c r="Z171" s="266"/>
      <c r="AA171" s="266"/>
      <c r="AB171" s="266"/>
      <c r="AC171" s="266"/>
      <c r="AD171" s="266"/>
      <c r="AE171" s="266"/>
      <c r="AF171" s="266"/>
      <c r="AG171" s="266"/>
      <c r="AH171" s="266"/>
      <c r="AI171" s="266"/>
      <c r="AJ171" s="266"/>
      <c r="AK171" s="266"/>
      <c r="AL171" s="266"/>
      <c r="AM171" s="266"/>
    </row>
    <row r="172" spans="3:39" outlineLevel="2">
      <c r="C172" s="11" t="s">
        <v>258</v>
      </c>
      <c r="D172" s="266"/>
      <c r="E172" s="266"/>
      <c r="F172" s="278"/>
      <c r="G172" s="266"/>
      <c r="H172" s="273"/>
      <c r="I172" s="266"/>
      <c r="J172" s="266"/>
      <c r="K172" s="266"/>
      <c r="L172" s="266"/>
      <c r="M172" s="266"/>
      <c r="N172" s="266"/>
      <c r="O172" s="266"/>
      <c r="P172" s="266"/>
      <c r="Q172" s="266"/>
      <c r="R172" s="266"/>
      <c r="S172" s="266"/>
      <c r="T172" s="266"/>
      <c r="U172" s="266"/>
      <c r="V172" s="266"/>
      <c r="W172" s="266"/>
      <c r="X172" s="266"/>
      <c r="Y172" s="266"/>
      <c r="Z172" s="266"/>
      <c r="AA172" s="266"/>
      <c r="AB172" s="266"/>
      <c r="AC172" s="266"/>
      <c r="AD172" s="266"/>
      <c r="AE172" s="266"/>
      <c r="AF172" s="266"/>
      <c r="AG172" s="266"/>
      <c r="AH172" s="266"/>
      <c r="AI172" s="266"/>
      <c r="AJ172" s="266"/>
      <c r="AK172" s="266"/>
      <c r="AL172" s="266"/>
      <c r="AM172" s="266"/>
    </row>
    <row r="173" spans="3:39" outlineLevel="2">
      <c r="C173" s="266" t="s">
        <v>259</v>
      </c>
      <c r="D173" s="266"/>
      <c r="E173" s="266"/>
      <c r="F173" s="278"/>
      <c r="G173" s="266"/>
      <c r="H173" s="273"/>
      <c r="I173" s="266"/>
      <c r="J173" s="266"/>
      <c r="K173" s="266"/>
      <c r="L173" s="266"/>
      <c r="M173" s="266"/>
      <c r="N173" s="266"/>
      <c r="O173" s="266"/>
      <c r="P173" s="266"/>
      <c r="Q173" s="266"/>
      <c r="R173" s="266"/>
      <c r="S173" s="266"/>
      <c r="T173" s="266"/>
      <c r="U173" s="266"/>
      <c r="V173" s="266"/>
      <c r="W173" s="266"/>
      <c r="X173" s="266"/>
      <c r="Y173" s="266"/>
      <c r="Z173" s="266"/>
      <c r="AA173" s="266"/>
      <c r="AB173" s="266"/>
      <c r="AC173" s="266"/>
      <c r="AD173" s="266"/>
      <c r="AE173" s="266"/>
      <c r="AF173" s="266"/>
      <c r="AG173" s="266"/>
      <c r="AH173" s="266"/>
      <c r="AI173" s="266"/>
      <c r="AJ173" s="266"/>
      <c r="AK173" s="266"/>
      <c r="AL173" s="266"/>
      <c r="AM173" s="266"/>
    </row>
    <row r="174" spans="3:39" outlineLevel="2">
      <c r="C174" s="266" t="s">
        <v>260</v>
      </c>
      <c r="D174" s="266"/>
      <c r="E174" s="266"/>
      <c r="F174" s="278"/>
      <c r="G174" s="266"/>
      <c r="H174" s="273"/>
      <c r="I174" s="266"/>
      <c r="J174" s="266"/>
      <c r="K174" s="266"/>
      <c r="L174" s="266"/>
      <c r="M174" s="266"/>
      <c r="N174" s="266"/>
      <c r="O174" s="266"/>
      <c r="P174" s="266"/>
      <c r="Q174" s="266"/>
      <c r="R174" s="266"/>
      <c r="S174" s="266"/>
      <c r="T174" s="266"/>
      <c r="U174" s="266"/>
      <c r="V174" s="266"/>
      <c r="W174" s="266"/>
      <c r="X174" s="266"/>
      <c r="Y174" s="266"/>
      <c r="Z174" s="266"/>
      <c r="AA174" s="266"/>
      <c r="AB174" s="266"/>
      <c r="AC174" s="266"/>
      <c r="AD174" s="266"/>
      <c r="AE174" s="266"/>
      <c r="AF174" s="266"/>
      <c r="AG174" s="266"/>
      <c r="AH174" s="266"/>
      <c r="AI174" s="266"/>
      <c r="AJ174" s="266"/>
      <c r="AK174" s="266"/>
      <c r="AL174" s="266"/>
      <c r="AM174" s="266"/>
    </row>
    <row r="175" spans="3:39" outlineLevel="2">
      <c r="C175" s="266" t="s">
        <v>256</v>
      </c>
      <c r="D175" s="266"/>
      <c r="E175" s="266"/>
      <c r="F175" s="278"/>
      <c r="G175" s="266"/>
      <c r="H175" s="273"/>
      <c r="I175" s="266"/>
      <c r="J175" s="266"/>
      <c r="K175" s="266"/>
      <c r="L175" s="266"/>
      <c r="M175" s="266"/>
      <c r="N175" s="266"/>
      <c r="O175" s="266"/>
      <c r="P175" s="266"/>
      <c r="Q175" s="266"/>
      <c r="R175" s="266"/>
      <c r="S175" s="266"/>
      <c r="T175" s="266"/>
      <c r="U175" s="266"/>
      <c r="V175" s="266"/>
      <c r="W175" s="266"/>
      <c r="X175" s="266"/>
      <c r="Y175" s="266"/>
      <c r="Z175" s="266"/>
      <c r="AA175" s="266"/>
      <c r="AB175" s="266"/>
      <c r="AC175" s="266"/>
      <c r="AD175" s="266"/>
      <c r="AE175" s="266"/>
      <c r="AF175" s="266"/>
      <c r="AG175" s="266"/>
      <c r="AH175" s="266"/>
      <c r="AI175" s="266"/>
      <c r="AJ175" s="266"/>
      <c r="AK175" s="266"/>
      <c r="AL175" s="266"/>
      <c r="AM175" s="266"/>
    </row>
    <row r="176" spans="3:39" outlineLevel="2">
      <c r="C176" s="266" t="s">
        <v>261</v>
      </c>
      <c r="D176" s="266"/>
      <c r="E176" s="266"/>
      <c r="F176" s="278"/>
      <c r="G176" s="266"/>
      <c r="H176" s="273"/>
      <c r="I176" s="266"/>
      <c r="J176" s="266"/>
      <c r="K176" s="266"/>
      <c r="L176" s="266"/>
      <c r="M176" s="266"/>
      <c r="N176" s="266"/>
      <c r="O176" s="266"/>
      <c r="P176" s="266"/>
      <c r="Q176" s="266"/>
      <c r="R176" s="266"/>
      <c r="S176" s="266"/>
      <c r="T176" s="266"/>
      <c r="U176" s="266"/>
      <c r="V176" s="266"/>
      <c r="W176" s="266"/>
      <c r="X176" s="266"/>
      <c r="Y176" s="266"/>
      <c r="Z176" s="266"/>
      <c r="AA176" s="266"/>
      <c r="AB176" s="266"/>
      <c r="AC176" s="266"/>
      <c r="AD176" s="266"/>
      <c r="AE176" s="266"/>
      <c r="AF176" s="266"/>
      <c r="AG176" s="266"/>
      <c r="AH176" s="266"/>
      <c r="AI176" s="266"/>
      <c r="AJ176" s="266"/>
      <c r="AK176" s="266"/>
      <c r="AL176" s="266"/>
      <c r="AM176" s="266"/>
    </row>
    <row r="177" spans="3:33" outlineLevel="2">
      <c r="C177" s="266"/>
      <c r="D177" s="266"/>
      <c r="E177" s="266"/>
      <c r="F177" s="278"/>
      <c r="G177" s="266"/>
      <c r="H177" s="273"/>
      <c r="I177" s="266"/>
      <c r="J177" s="266"/>
      <c r="K177" s="266"/>
      <c r="L177" s="266"/>
      <c r="M177" s="266"/>
      <c r="N177" s="266"/>
      <c r="O177" s="266"/>
      <c r="P177" s="266"/>
      <c r="Q177" s="266"/>
      <c r="R177" s="266"/>
      <c r="S177" s="266"/>
      <c r="T177" s="266"/>
      <c r="U177" s="266"/>
      <c r="V177" s="266"/>
      <c r="W177" s="266"/>
      <c r="X177" s="266"/>
      <c r="Y177" s="266"/>
      <c r="Z177" s="266"/>
      <c r="AA177" s="266"/>
      <c r="AB177" s="266"/>
      <c r="AC177" s="266"/>
      <c r="AD177" s="266"/>
      <c r="AE177" s="266"/>
      <c r="AF177" s="266"/>
      <c r="AG177" s="266"/>
    </row>
    <row r="178" spans="3:33" outlineLevel="2">
      <c r="C178" s="11" t="s">
        <v>262</v>
      </c>
      <c r="D178" s="266"/>
      <c r="E178" s="266"/>
      <c r="F178" s="278"/>
      <c r="G178" s="266"/>
      <c r="H178" s="273"/>
      <c r="I178" s="266"/>
      <c r="J178" s="266"/>
      <c r="K178" s="266"/>
      <c r="L178" s="266"/>
      <c r="M178" s="266"/>
      <c r="N178" s="266"/>
      <c r="O178" s="266"/>
      <c r="P178" s="266"/>
      <c r="Q178" s="266"/>
      <c r="R178" s="266"/>
      <c r="S178" s="266"/>
      <c r="T178" s="266"/>
      <c r="U178" s="266"/>
      <c r="V178" s="266"/>
      <c r="W178" s="266"/>
      <c r="X178" s="266"/>
      <c r="Y178" s="266"/>
      <c r="Z178" s="266"/>
      <c r="AA178" s="266"/>
      <c r="AB178" s="266"/>
      <c r="AC178" s="266"/>
      <c r="AD178" s="266"/>
      <c r="AE178" s="266"/>
      <c r="AF178" s="266"/>
      <c r="AG178" s="266"/>
    </row>
    <row r="179" spans="3:33" outlineLevel="2">
      <c r="C179" s="266" t="s">
        <v>263</v>
      </c>
      <c r="D179" s="266"/>
      <c r="E179" s="266"/>
      <c r="F179" s="278"/>
      <c r="G179" s="266"/>
      <c r="H179" s="273"/>
      <c r="I179" s="266"/>
      <c r="J179" s="266"/>
      <c r="K179" s="266"/>
      <c r="L179" s="266"/>
      <c r="M179" s="266"/>
      <c r="N179" s="266"/>
      <c r="O179" s="266"/>
      <c r="P179" s="266"/>
      <c r="Q179" s="266"/>
      <c r="R179" s="266"/>
      <c r="S179" s="266"/>
      <c r="T179" s="266"/>
      <c r="U179" s="266"/>
      <c r="V179" s="266"/>
      <c r="W179" s="266"/>
      <c r="X179" s="266"/>
      <c r="Y179" s="266"/>
      <c r="Z179" s="266"/>
      <c r="AA179" s="266"/>
      <c r="AB179" s="266"/>
      <c r="AC179" s="266"/>
      <c r="AD179" s="266"/>
      <c r="AE179" s="266"/>
      <c r="AF179" s="266"/>
      <c r="AG179" s="266"/>
    </row>
    <row r="180" spans="3:33" outlineLevel="2">
      <c r="C180" s="266" t="s">
        <v>264</v>
      </c>
      <c r="D180" s="266"/>
      <c r="E180" s="266"/>
      <c r="F180" s="278"/>
      <c r="G180" s="266"/>
      <c r="H180" s="273"/>
      <c r="I180" s="266"/>
      <c r="J180" s="266"/>
      <c r="K180" s="266"/>
      <c r="L180" s="266"/>
      <c r="M180" s="266"/>
      <c r="N180" s="266"/>
      <c r="O180" s="266"/>
      <c r="P180" s="266"/>
      <c r="Q180" s="266"/>
      <c r="R180" s="266"/>
      <c r="S180" s="266"/>
      <c r="T180" s="266"/>
      <c r="U180" s="266"/>
      <c r="V180" s="266"/>
      <c r="W180" s="266"/>
      <c r="X180" s="266"/>
      <c r="Y180" s="266"/>
      <c r="Z180" s="266"/>
      <c r="AA180" s="266"/>
      <c r="AB180" s="266"/>
      <c r="AC180" s="266"/>
      <c r="AD180" s="266"/>
      <c r="AE180" s="266"/>
      <c r="AF180" s="266"/>
      <c r="AG180" s="266"/>
    </row>
    <row r="181" spans="3:33" outlineLevel="2">
      <c r="C181" s="266" t="s">
        <v>256</v>
      </c>
      <c r="D181" s="266"/>
      <c r="E181" s="266"/>
      <c r="F181" s="278"/>
      <c r="G181" s="266"/>
      <c r="H181" s="273"/>
      <c r="I181" s="266"/>
      <c r="J181" s="266"/>
      <c r="K181" s="266"/>
      <c r="L181" s="266"/>
      <c r="M181" s="266"/>
      <c r="N181" s="266"/>
      <c r="O181" s="266"/>
      <c r="P181" s="266"/>
      <c r="Q181" s="266"/>
      <c r="R181" s="266"/>
      <c r="S181" s="266"/>
      <c r="T181" s="266"/>
      <c r="U181" s="266"/>
      <c r="V181" s="266"/>
      <c r="W181" s="266"/>
      <c r="X181" s="266"/>
      <c r="Y181" s="266"/>
      <c r="Z181" s="266"/>
      <c r="AA181" s="266"/>
      <c r="AB181" s="266"/>
      <c r="AC181" s="266"/>
      <c r="AD181" s="266"/>
      <c r="AE181" s="266"/>
      <c r="AF181" s="266"/>
      <c r="AG181" s="266"/>
    </row>
    <row r="182" spans="3:33" outlineLevel="2">
      <c r="C182" s="266" t="s">
        <v>265</v>
      </c>
      <c r="D182" s="266"/>
      <c r="E182" s="266"/>
      <c r="F182" s="278"/>
      <c r="G182" s="266"/>
      <c r="H182" s="273"/>
      <c r="I182" s="266"/>
      <c r="J182" s="266"/>
      <c r="K182" s="266"/>
      <c r="L182" s="266"/>
      <c r="M182" s="266"/>
      <c r="N182" s="266"/>
      <c r="O182" s="266"/>
      <c r="P182" s="266"/>
      <c r="Q182" s="266"/>
      <c r="R182" s="266"/>
      <c r="S182" s="266"/>
      <c r="T182" s="266"/>
      <c r="U182" s="266"/>
      <c r="V182" s="266"/>
      <c r="W182" s="266"/>
      <c r="X182" s="266"/>
      <c r="Y182" s="266"/>
      <c r="Z182" s="266"/>
      <c r="AA182" s="266"/>
      <c r="AB182" s="266"/>
      <c r="AC182" s="266"/>
      <c r="AD182" s="266"/>
      <c r="AE182" s="266"/>
      <c r="AF182" s="266"/>
      <c r="AG182" s="266"/>
    </row>
    <row r="183" spans="3:33" outlineLevel="2">
      <c r="C183" s="266"/>
      <c r="D183" s="266"/>
      <c r="E183" s="266"/>
      <c r="F183" s="278"/>
      <c r="G183" s="266"/>
      <c r="H183" s="273"/>
      <c r="I183" s="266"/>
      <c r="J183" s="266"/>
      <c r="K183" s="266"/>
      <c r="L183" s="266"/>
      <c r="M183" s="266"/>
      <c r="N183" s="266"/>
      <c r="O183" s="266"/>
      <c r="P183" s="266"/>
      <c r="Q183" s="266"/>
      <c r="R183" s="266"/>
      <c r="S183" s="266"/>
      <c r="T183" s="266"/>
      <c r="U183" s="266"/>
      <c r="V183" s="266"/>
      <c r="W183" s="266"/>
      <c r="X183" s="266"/>
      <c r="Y183" s="266"/>
      <c r="Z183" s="266"/>
      <c r="AA183" s="266"/>
      <c r="AB183" s="266"/>
      <c r="AC183" s="266"/>
      <c r="AD183" s="266"/>
      <c r="AE183" s="266"/>
      <c r="AF183" s="266"/>
      <c r="AG183" s="266"/>
    </row>
    <row r="184" spans="3:33" outlineLevel="2">
      <c r="C184" s="11" t="s">
        <v>266</v>
      </c>
      <c r="D184" s="266"/>
      <c r="E184" s="266"/>
      <c r="F184" s="278"/>
      <c r="G184" s="266"/>
      <c r="H184" s="273"/>
      <c r="I184" s="266"/>
      <c r="J184" s="266"/>
      <c r="K184" s="266"/>
      <c r="L184" s="266"/>
      <c r="M184" s="266"/>
      <c r="N184" s="266"/>
      <c r="O184" s="266"/>
      <c r="P184" s="266"/>
      <c r="Q184" s="266"/>
      <c r="R184" s="266"/>
      <c r="S184" s="266"/>
      <c r="T184" s="266"/>
      <c r="U184" s="266"/>
      <c r="V184" s="266"/>
      <c r="W184" s="266"/>
      <c r="X184" s="266"/>
      <c r="Y184" s="266"/>
      <c r="Z184" s="266"/>
      <c r="AA184" s="266"/>
      <c r="AB184" s="266"/>
      <c r="AC184" s="266"/>
      <c r="AD184" s="266"/>
      <c r="AE184" s="266"/>
      <c r="AF184" s="266"/>
      <c r="AG184" s="266"/>
    </row>
    <row r="185" spans="3:33" outlineLevel="2">
      <c r="C185" s="266" t="s">
        <v>267</v>
      </c>
      <c r="D185" s="266"/>
      <c r="E185" s="266"/>
      <c r="F185" s="278"/>
      <c r="G185" s="266"/>
      <c r="H185" s="273"/>
      <c r="I185" s="266"/>
      <c r="J185" s="266"/>
      <c r="K185" s="266"/>
      <c r="L185" s="266"/>
      <c r="M185" s="266"/>
      <c r="N185" s="266"/>
      <c r="O185" s="266"/>
      <c r="P185" s="266"/>
      <c r="Q185" s="266"/>
      <c r="R185" s="266"/>
      <c r="S185" s="266"/>
      <c r="T185" s="266"/>
      <c r="U185" s="266"/>
      <c r="V185" s="266"/>
      <c r="W185" s="266"/>
      <c r="X185" s="266"/>
      <c r="Y185" s="266"/>
      <c r="Z185" s="266"/>
      <c r="AA185" s="266"/>
      <c r="AB185" s="266"/>
      <c r="AC185" s="266"/>
      <c r="AD185" s="266"/>
      <c r="AE185" s="266"/>
      <c r="AF185" s="266"/>
      <c r="AG185" s="266"/>
    </row>
    <row r="186" spans="3:33" outlineLevel="2">
      <c r="C186" s="266" t="s">
        <v>268</v>
      </c>
      <c r="D186" s="266"/>
      <c r="E186" s="266"/>
      <c r="F186" s="278"/>
      <c r="G186" s="266"/>
      <c r="H186" s="273"/>
      <c r="I186" s="266"/>
      <c r="J186" s="266"/>
      <c r="K186" s="266"/>
      <c r="L186" s="266"/>
      <c r="M186" s="266"/>
      <c r="N186" s="266"/>
      <c r="O186" s="266"/>
      <c r="P186" s="266"/>
      <c r="Q186" s="266"/>
      <c r="R186" s="266"/>
      <c r="S186" s="266"/>
      <c r="T186" s="266"/>
      <c r="U186" s="266"/>
      <c r="V186" s="266"/>
      <c r="W186" s="266"/>
      <c r="X186" s="266"/>
      <c r="Y186" s="266"/>
      <c r="Z186" s="266"/>
      <c r="AA186" s="266"/>
      <c r="AB186" s="266"/>
      <c r="AC186" s="266"/>
      <c r="AD186" s="266"/>
      <c r="AE186" s="266"/>
      <c r="AF186" s="266"/>
      <c r="AG186" s="266"/>
    </row>
    <row r="187" spans="3:33" outlineLevel="2">
      <c r="C187" s="266" t="s">
        <v>256</v>
      </c>
      <c r="D187" s="266"/>
      <c r="E187" s="266"/>
      <c r="F187" s="278"/>
      <c r="G187" s="266"/>
      <c r="H187" s="273"/>
      <c r="I187" s="266"/>
      <c r="J187" s="266"/>
      <c r="K187" s="266"/>
      <c r="L187" s="266"/>
      <c r="M187" s="266"/>
      <c r="N187" s="266"/>
      <c r="O187" s="266"/>
      <c r="P187" s="266"/>
      <c r="Q187" s="266"/>
      <c r="R187" s="266"/>
      <c r="S187" s="266"/>
      <c r="T187" s="266"/>
      <c r="U187" s="266"/>
      <c r="V187" s="266"/>
      <c r="W187" s="266"/>
      <c r="X187" s="266"/>
      <c r="Y187" s="266"/>
      <c r="Z187" s="266"/>
      <c r="AA187" s="266"/>
      <c r="AB187" s="266"/>
      <c r="AC187" s="266"/>
      <c r="AD187" s="266"/>
      <c r="AE187" s="266"/>
      <c r="AF187" s="266"/>
      <c r="AG187" s="266"/>
    </row>
    <row r="188" spans="3:33" outlineLevel="2">
      <c r="C188" s="266" t="s">
        <v>269</v>
      </c>
      <c r="D188" s="266"/>
      <c r="E188" s="266"/>
      <c r="F188" s="278"/>
      <c r="G188" s="266"/>
      <c r="H188" s="273"/>
      <c r="I188" s="266"/>
      <c r="J188" s="266"/>
      <c r="K188" s="266"/>
      <c r="L188" s="266"/>
      <c r="M188" s="266"/>
      <c r="N188" s="266"/>
      <c r="O188" s="266"/>
      <c r="P188" s="266"/>
      <c r="Q188" s="266"/>
      <c r="R188" s="266"/>
      <c r="S188" s="266"/>
      <c r="T188" s="266"/>
      <c r="U188" s="266"/>
      <c r="V188" s="266"/>
      <c r="W188" s="266"/>
      <c r="X188" s="266"/>
      <c r="Y188" s="266"/>
      <c r="Z188" s="266"/>
      <c r="AA188" s="266"/>
      <c r="AB188" s="266"/>
      <c r="AC188" s="266"/>
      <c r="AD188" s="266"/>
      <c r="AE188" s="266"/>
      <c r="AF188" s="266"/>
      <c r="AG188" s="266"/>
    </row>
    <row r="189" spans="3:33" outlineLevel="2">
      <c r="C189" s="266"/>
      <c r="D189" s="266"/>
      <c r="E189" s="266"/>
      <c r="F189" s="278"/>
      <c r="G189" s="266"/>
      <c r="H189" s="273"/>
      <c r="I189" s="266"/>
      <c r="J189" s="266"/>
      <c r="K189" s="266"/>
      <c r="L189" s="266"/>
      <c r="M189" s="266"/>
      <c r="N189" s="266"/>
      <c r="O189" s="266"/>
      <c r="P189" s="266"/>
      <c r="Q189" s="266"/>
      <c r="R189" s="266"/>
      <c r="S189" s="266"/>
      <c r="T189" s="266"/>
      <c r="U189" s="266"/>
      <c r="V189" s="266"/>
      <c r="W189" s="266"/>
      <c r="X189" s="266"/>
      <c r="Y189" s="266"/>
      <c r="Z189" s="266"/>
      <c r="AA189" s="266"/>
      <c r="AB189" s="266"/>
      <c r="AC189" s="266"/>
      <c r="AD189" s="266"/>
      <c r="AE189" s="266"/>
      <c r="AF189" s="266"/>
      <c r="AG189" s="266"/>
    </row>
    <row r="190" spans="3:33" outlineLevel="2">
      <c r="C190" s="402" t="s">
        <v>195</v>
      </c>
      <c r="D190" s="413"/>
      <c r="E190" s="413"/>
      <c r="F190" s="413"/>
      <c r="G190" s="413"/>
      <c r="H190" s="413"/>
      <c r="I190" s="413"/>
      <c r="J190" s="413"/>
      <c r="K190" s="413"/>
      <c r="L190" s="413"/>
      <c r="M190" s="413"/>
      <c r="N190" s="413"/>
      <c r="O190" s="413"/>
      <c r="P190" s="413"/>
      <c r="Q190" s="413"/>
      <c r="R190" s="413"/>
      <c r="S190" s="413"/>
      <c r="T190" s="413"/>
      <c r="U190" s="413"/>
      <c r="V190" s="413"/>
      <c r="W190" s="413"/>
      <c r="X190" s="413"/>
      <c r="Y190" s="413"/>
      <c r="Z190" s="413"/>
      <c r="AA190" s="413"/>
      <c r="AB190" s="413"/>
      <c r="AC190" s="413"/>
      <c r="AD190" s="413"/>
      <c r="AE190" s="413"/>
      <c r="AF190" s="413"/>
      <c r="AG190" s="413"/>
    </row>
    <row r="191" spans="3:33" outlineLevel="2">
      <c r="C191" s="402" t="s">
        <v>196</v>
      </c>
      <c r="D191" s="457" t="s">
        <v>198</v>
      </c>
      <c r="E191" s="457" t="s">
        <v>199</v>
      </c>
      <c r="F191" s="457" t="s">
        <v>200</v>
      </c>
      <c r="G191" s="457" t="s">
        <v>201</v>
      </c>
      <c r="H191" s="457" t="s">
        <v>202</v>
      </c>
      <c r="I191" s="457" t="s">
        <v>203</v>
      </c>
      <c r="J191" s="457" t="s">
        <v>204</v>
      </c>
      <c r="K191" s="457" t="s">
        <v>205</v>
      </c>
      <c r="L191" s="457" t="s">
        <v>206</v>
      </c>
      <c r="M191" s="457" t="s">
        <v>207</v>
      </c>
      <c r="N191" s="457" t="s">
        <v>208</v>
      </c>
      <c r="O191" s="457" t="s">
        <v>209</v>
      </c>
      <c r="P191" s="457" t="s">
        <v>210</v>
      </c>
      <c r="Q191" s="457" t="s">
        <v>211</v>
      </c>
      <c r="R191" s="457" t="s">
        <v>212</v>
      </c>
      <c r="S191" s="457" t="s">
        <v>213</v>
      </c>
      <c r="T191" s="457" t="s">
        <v>214</v>
      </c>
      <c r="U191" s="457" t="s">
        <v>215</v>
      </c>
      <c r="V191" s="457" t="s">
        <v>216</v>
      </c>
      <c r="W191" s="457" t="s">
        <v>217</v>
      </c>
      <c r="X191" s="457" t="s">
        <v>218</v>
      </c>
      <c r="Y191" s="457" t="s">
        <v>219</v>
      </c>
      <c r="Z191" s="457" t="s">
        <v>220</v>
      </c>
      <c r="AA191" s="457" t="s">
        <v>221</v>
      </c>
      <c r="AB191" s="457" t="s">
        <v>222</v>
      </c>
      <c r="AC191" s="457" t="s">
        <v>223</v>
      </c>
      <c r="AD191" s="457" t="s">
        <v>224</v>
      </c>
      <c r="AE191" s="457" t="s">
        <v>225</v>
      </c>
      <c r="AF191" s="457" t="s">
        <v>226</v>
      </c>
      <c r="AG191" s="457" t="s">
        <v>227</v>
      </c>
    </row>
    <row r="192" spans="3:33" outlineLevel="2">
      <c r="C192" s="402" t="s">
        <v>228</v>
      </c>
      <c r="D192" s="458">
        <f>E118</f>
        <v>53476.75</v>
      </c>
      <c r="E192" s="458">
        <f t="shared" ref="E192:AG192" si="70">F118</f>
        <v>54100</v>
      </c>
      <c r="F192" s="458">
        <f t="shared" si="70"/>
        <v>54723.25</v>
      </c>
      <c r="G192" s="458">
        <f t="shared" si="70"/>
        <v>55346.5</v>
      </c>
      <c r="H192" s="458">
        <f t="shared" si="70"/>
        <v>55969.75</v>
      </c>
      <c r="I192" s="458">
        <f t="shared" si="70"/>
        <v>56593</v>
      </c>
      <c r="J192" s="458">
        <f t="shared" si="70"/>
        <v>57216.25</v>
      </c>
      <c r="K192" s="458">
        <f t="shared" si="70"/>
        <v>57839.5</v>
      </c>
      <c r="L192" s="458">
        <f t="shared" si="70"/>
        <v>58462.75</v>
      </c>
      <c r="M192" s="458">
        <f t="shared" si="70"/>
        <v>59086</v>
      </c>
      <c r="N192" s="458">
        <f t="shared" si="70"/>
        <v>59709.25</v>
      </c>
      <c r="O192" s="458">
        <f t="shared" si="70"/>
        <v>60332.5</v>
      </c>
      <c r="P192" s="458">
        <f t="shared" si="70"/>
        <v>60955.75</v>
      </c>
      <c r="Q192" s="458">
        <f t="shared" si="70"/>
        <v>61579</v>
      </c>
      <c r="R192" s="458">
        <f t="shared" si="70"/>
        <v>62202.25</v>
      </c>
      <c r="S192" s="458">
        <f t="shared" si="70"/>
        <v>62825.5</v>
      </c>
      <c r="T192" s="458">
        <f t="shared" si="70"/>
        <v>63448.75</v>
      </c>
      <c r="U192" s="458">
        <f t="shared" si="70"/>
        <v>64072</v>
      </c>
      <c r="V192" s="458">
        <f t="shared" si="70"/>
        <v>64695.25</v>
      </c>
      <c r="W192" s="458">
        <f t="shared" si="70"/>
        <v>65318.5</v>
      </c>
      <c r="X192" s="458">
        <f t="shared" si="70"/>
        <v>65941.75</v>
      </c>
      <c r="Y192" s="458">
        <f t="shared" si="70"/>
        <v>66565</v>
      </c>
      <c r="Z192" s="458">
        <f t="shared" si="70"/>
        <v>67188.25</v>
      </c>
      <c r="AA192" s="458">
        <f t="shared" si="70"/>
        <v>67811.5</v>
      </c>
      <c r="AB192" s="458">
        <f t="shared" si="70"/>
        <v>68434.75</v>
      </c>
      <c r="AC192" s="458">
        <f t="shared" si="70"/>
        <v>69058</v>
      </c>
      <c r="AD192" s="458">
        <f t="shared" si="70"/>
        <v>69681.25</v>
      </c>
      <c r="AE192" s="458">
        <f t="shared" si="70"/>
        <v>70304.5</v>
      </c>
      <c r="AF192" s="458">
        <f t="shared" si="70"/>
        <v>70927.75</v>
      </c>
      <c r="AG192" s="458">
        <f t="shared" si="70"/>
        <v>71551</v>
      </c>
    </row>
    <row r="193" spans="3:39" outlineLevel="2">
      <c r="C193" s="460"/>
      <c r="D193" s="467"/>
      <c r="E193" s="467"/>
      <c r="F193" s="467"/>
      <c r="G193" s="467"/>
      <c r="H193" s="467"/>
      <c r="I193" s="467"/>
      <c r="J193" s="467"/>
      <c r="K193" s="467"/>
      <c r="L193" s="467"/>
      <c r="M193" s="467"/>
      <c r="N193" s="467"/>
      <c r="O193" s="467"/>
      <c r="P193" s="467"/>
      <c r="Q193" s="467"/>
      <c r="R193" s="467"/>
      <c r="S193" s="467"/>
      <c r="T193" s="467"/>
      <c r="U193" s="467"/>
      <c r="V193" s="467"/>
      <c r="W193" s="467"/>
      <c r="X193" s="467"/>
      <c r="Y193" s="467"/>
      <c r="Z193" s="467"/>
      <c r="AA193" s="467"/>
      <c r="AB193" s="467"/>
      <c r="AC193" s="467"/>
      <c r="AD193" s="467"/>
      <c r="AE193" s="467"/>
      <c r="AF193" s="467"/>
      <c r="AG193" s="467"/>
      <c r="AH193" s="266"/>
      <c r="AI193" s="266"/>
      <c r="AJ193" s="266"/>
      <c r="AK193" s="266"/>
      <c r="AL193" s="266"/>
      <c r="AM193" s="266"/>
    </row>
    <row r="194" spans="3:39" outlineLevel="1">
      <c r="C194" s="266"/>
      <c r="D194" s="266"/>
      <c r="E194" s="266"/>
      <c r="F194" s="278"/>
      <c r="G194" s="266"/>
      <c r="H194" s="273"/>
      <c r="I194" s="266"/>
      <c r="J194" s="266"/>
      <c r="K194" s="266"/>
      <c r="L194" s="266"/>
      <c r="M194" s="266"/>
      <c r="N194" s="266"/>
      <c r="O194" s="266"/>
      <c r="P194" s="266"/>
      <c r="Q194" s="266"/>
      <c r="R194" s="266"/>
      <c r="S194" s="266"/>
      <c r="T194" s="266"/>
      <c r="U194" s="266"/>
      <c r="V194" s="266"/>
      <c r="W194" s="266"/>
      <c r="X194" s="266"/>
      <c r="Y194" s="266"/>
      <c r="Z194" s="266"/>
      <c r="AA194" s="266"/>
      <c r="AB194" s="266"/>
      <c r="AC194" s="266"/>
      <c r="AD194" s="266"/>
      <c r="AE194" s="266"/>
      <c r="AF194" s="266"/>
      <c r="AG194" s="266"/>
      <c r="AH194" s="266"/>
      <c r="AI194" s="266"/>
      <c r="AJ194" s="266"/>
      <c r="AK194" s="266"/>
      <c r="AL194" s="266"/>
      <c r="AM194" s="266"/>
    </row>
    <row r="195" spans="3:39" outlineLevel="1">
      <c r="C195" s="266"/>
      <c r="D195" s="266"/>
      <c r="E195" s="266"/>
      <c r="F195" s="278"/>
      <c r="G195" s="266"/>
      <c r="H195" s="273"/>
      <c r="I195" s="266"/>
      <c r="J195" s="266"/>
      <c r="K195" s="266"/>
      <c r="L195" s="266"/>
      <c r="M195" s="266"/>
      <c r="N195" s="266"/>
      <c r="O195" s="266"/>
      <c r="P195" s="266"/>
      <c r="Q195" s="266"/>
      <c r="R195" s="266"/>
      <c r="S195" s="266"/>
      <c r="T195" s="266"/>
      <c r="U195" s="266"/>
      <c r="V195" s="266"/>
      <c r="W195" s="266"/>
      <c r="X195" s="266"/>
      <c r="Y195" s="266"/>
      <c r="Z195" s="266"/>
      <c r="AA195" s="266"/>
      <c r="AB195" s="266"/>
      <c r="AC195" s="266"/>
      <c r="AD195" s="266"/>
      <c r="AE195" s="266"/>
      <c r="AF195" s="266"/>
      <c r="AG195" s="266"/>
      <c r="AH195" s="266"/>
      <c r="AI195" s="266"/>
      <c r="AJ195" s="266"/>
      <c r="AK195" s="266"/>
      <c r="AL195" s="266"/>
      <c r="AM195" s="266"/>
    </row>
    <row r="196" spans="3:39" outlineLevel="1">
      <c r="C196" s="11" t="s">
        <v>270</v>
      </c>
      <c r="D196" s="3"/>
      <c r="E196" s="266"/>
      <c r="F196" s="11"/>
      <c r="G196" s="266"/>
      <c r="H196" s="273"/>
      <c r="I196" s="266"/>
      <c r="J196" s="266"/>
      <c r="K196" s="266"/>
      <c r="L196" s="266"/>
      <c r="M196" s="266"/>
      <c r="N196" s="266"/>
      <c r="O196" s="266"/>
      <c r="P196" s="266"/>
      <c r="Q196" s="266"/>
      <c r="R196" s="266"/>
      <c r="S196" s="266"/>
      <c r="T196" s="266"/>
      <c r="U196" s="266"/>
      <c r="V196" s="266"/>
      <c r="W196" s="266"/>
      <c r="X196" s="266"/>
      <c r="Y196" s="266"/>
      <c r="Z196" s="266"/>
      <c r="AA196" s="266"/>
      <c r="AB196" s="266"/>
      <c r="AC196" s="266"/>
      <c r="AD196" s="266"/>
      <c r="AE196" s="266"/>
      <c r="AF196" s="266"/>
      <c r="AG196" s="266"/>
      <c r="AH196" s="266"/>
      <c r="AI196" s="266"/>
      <c r="AJ196" s="266"/>
      <c r="AK196" s="266"/>
      <c r="AL196" s="266"/>
      <c r="AM196" s="266"/>
    </row>
    <row r="197" spans="3:39" outlineLevel="2">
      <c r="C197" s="402" t="s">
        <v>271</v>
      </c>
      <c r="D197" s="402" t="s">
        <v>272</v>
      </c>
      <c r="E197" s="266"/>
      <c r="F197" s="266"/>
      <c r="G197" s="266"/>
      <c r="H197" s="273"/>
      <c r="I197" s="266"/>
      <c r="J197" s="266"/>
      <c r="K197" s="266"/>
      <c r="L197" s="266"/>
      <c r="M197" s="266"/>
      <c r="N197" s="266"/>
      <c r="O197" s="266"/>
      <c r="P197" s="266"/>
      <c r="Q197" s="266"/>
      <c r="R197" s="266"/>
      <c r="S197" s="266"/>
      <c r="T197" s="266"/>
      <c r="U197" s="266"/>
      <c r="V197" s="266"/>
      <c r="W197" s="266"/>
      <c r="X197" s="266"/>
      <c r="Y197" s="266"/>
      <c r="Z197" s="266"/>
      <c r="AA197" s="266"/>
      <c r="AB197" s="266"/>
      <c r="AC197" s="266"/>
      <c r="AD197" s="266"/>
      <c r="AE197" s="266"/>
      <c r="AF197" s="266"/>
      <c r="AG197" s="266"/>
      <c r="AH197" s="266"/>
      <c r="AI197" s="266"/>
      <c r="AJ197" s="266"/>
      <c r="AK197" s="266"/>
      <c r="AL197" s="266"/>
      <c r="AM197" s="266"/>
    </row>
    <row r="198" spans="3:39" outlineLevel="2">
      <c r="C198" s="266" t="s">
        <v>273</v>
      </c>
      <c r="D198" s="414">
        <f>2500</f>
        <v>2500</v>
      </c>
      <c r="E198" s="367"/>
      <c r="F198" s="266"/>
      <c r="G198" s="266"/>
      <c r="H198" s="273"/>
      <c r="I198" s="266"/>
      <c r="J198" s="266"/>
      <c r="K198" s="266"/>
      <c r="L198" s="266"/>
      <c r="M198" s="266"/>
      <c r="N198" s="266"/>
      <c r="O198" s="266"/>
      <c r="P198" s="266"/>
      <c r="Q198" s="266"/>
      <c r="R198" s="266"/>
      <c r="S198" s="266"/>
      <c r="T198" s="266"/>
      <c r="U198" s="266"/>
      <c r="V198" s="266"/>
      <c r="W198" s="266"/>
      <c r="X198" s="266"/>
      <c r="Y198" s="266"/>
      <c r="Z198" s="266"/>
      <c r="AA198" s="266"/>
      <c r="AB198" s="266"/>
      <c r="AC198" s="266"/>
      <c r="AD198" s="266"/>
      <c r="AE198" s="266"/>
      <c r="AF198" s="266"/>
      <c r="AG198" s="266"/>
      <c r="AH198" s="266"/>
      <c r="AI198" s="266"/>
      <c r="AJ198" s="266"/>
      <c r="AK198" s="266"/>
      <c r="AL198" s="266"/>
      <c r="AM198" s="266"/>
    </row>
    <row r="199" spans="3:39" outlineLevel="2">
      <c r="C199" s="266" t="s">
        <v>274</v>
      </c>
      <c r="D199" s="487">
        <v>1E-3</v>
      </c>
      <c r="E199" s="266"/>
      <c r="F199" s="266"/>
      <c r="G199" s="266"/>
      <c r="H199" s="273"/>
      <c r="I199" s="266"/>
      <c r="J199" s="266"/>
      <c r="K199" s="266"/>
      <c r="L199" s="266"/>
      <c r="M199" s="266"/>
      <c r="N199" s="266"/>
      <c r="O199" s="266"/>
      <c r="P199" s="266"/>
      <c r="Q199" s="266"/>
      <c r="R199" s="266"/>
      <c r="S199" s="266"/>
      <c r="T199" s="266"/>
      <c r="U199" s="266"/>
      <c r="V199" s="266"/>
      <c r="W199" s="266"/>
      <c r="X199" s="266"/>
      <c r="Y199" s="266"/>
      <c r="Z199" s="266"/>
      <c r="AA199" s="266"/>
      <c r="AB199" s="266"/>
      <c r="AC199" s="266"/>
      <c r="AD199" s="266"/>
      <c r="AE199" s="266"/>
      <c r="AF199" s="266"/>
      <c r="AG199" s="266"/>
      <c r="AH199" s="266"/>
      <c r="AI199" s="266"/>
      <c r="AJ199" s="266"/>
      <c r="AK199" s="266"/>
      <c r="AL199" s="266"/>
      <c r="AM199" s="266"/>
    </row>
    <row r="200" spans="3:39" outlineLevel="2">
      <c r="C200" s="266" t="s">
        <v>275</v>
      </c>
      <c r="D200" s="415">
        <f>(D198*D199)</f>
        <v>2.5</v>
      </c>
      <c r="E200" s="266"/>
      <c r="F200" s="266"/>
      <c r="G200" s="266"/>
      <c r="H200" s="273"/>
      <c r="I200" s="266"/>
      <c r="J200" s="266"/>
      <c r="K200" s="266"/>
      <c r="L200" s="266"/>
      <c r="M200" s="266"/>
      <c r="N200" s="266"/>
      <c r="O200" s="266"/>
      <c r="P200" s="266"/>
      <c r="Q200" s="266"/>
      <c r="R200" s="266"/>
      <c r="S200" s="266"/>
      <c r="T200" s="266"/>
      <c r="U200" s="266"/>
      <c r="V200" s="266"/>
      <c r="W200" s="266"/>
      <c r="X200" s="266"/>
      <c r="Y200" s="266"/>
      <c r="Z200" s="266"/>
      <c r="AA200" s="266"/>
      <c r="AB200" s="266"/>
      <c r="AC200" s="266"/>
      <c r="AD200" s="266"/>
      <c r="AE200" s="266"/>
      <c r="AF200" s="266"/>
      <c r="AG200" s="266"/>
      <c r="AH200" s="266"/>
      <c r="AI200" s="266"/>
      <c r="AJ200" s="266"/>
      <c r="AK200" s="266"/>
      <c r="AL200" s="266"/>
      <c r="AM200" s="266"/>
    </row>
    <row r="201" spans="3:39" outlineLevel="2">
      <c r="C201" s="266"/>
      <c r="D201" s="266"/>
      <c r="E201" s="266"/>
      <c r="F201" s="266"/>
      <c r="G201" s="266"/>
      <c r="H201" s="273"/>
      <c r="I201" s="266"/>
      <c r="J201" s="266"/>
      <c r="K201" s="266"/>
      <c r="L201" s="266"/>
      <c r="M201" s="266"/>
      <c r="N201" s="266"/>
      <c r="O201" s="266"/>
      <c r="P201" s="266"/>
      <c r="Q201" s="266"/>
      <c r="R201" s="266"/>
      <c r="S201" s="266"/>
      <c r="T201" s="266"/>
      <c r="U201" s="266"/>
      <c r="V201" s="266"/>
      <c r="W201" s="266"/>
      <c r="X201" s="266"/>
      <c r="Y201" s="266"/>
      <c r="Z201" s="266"/>
      <c r="AA201" s="266"/>
      <c r="AB201" s="266"/>
      <c r="AC201" s="266"/>
      <c r="AD201" s="266"/>
      <c r="AE201" s="266"/>
      <c r="AF201" s="266"/>
      <c r="AG201" s="266"/>
      <c r="AH201" s="266"/>
      <c r="AI201" s="266"/>
      <c r="AJ201" s="266"/>
      <c r="AK201" s="266"/>
      <c r="AL201" s="266"/>
      <c r="AM201" s="266"/>
    </row>
    <row r="202" spans="3:39" outlineLevel="2">
      <c r="C202" s="266"/>
      <c r="D202" s="266"/>
      <c r="E202" s="266"/>
      <c r="F202" s="266"/>
      <c r="G202" s="266"/>
      <c r="H202" s="273"/>
      <c r="I202" s="266"/>
      <c r="J202" s="266"/>
      <c r="K202" s="266"/>
      <c r="L202" s="266"/>
      <c r="M202" s="266"/>
      <c r="N202" s="266"/>
      <c r="O202" s="266"/>
      <c r="P202" s="266"/>
      <c r="Q202" s="266"/>
      <c r="R202" s="266"/>
      <c r="S202" s="266"/>
      <c r="T202" s="266"/>
      <c r="U202" s="266"/>
      <c r="V202" s="266"/>
      <c r="W202" s="266"/>
      <c r="X202" s="266"/>
      <c r="Y202" s="266"/>
      <c r="Z202" s="266"/>
      <c r="AA202" s="266"/>
      <c r="AB202" s="266"/>
      <c r="AC202" s="266"/>
      <c r="AD202" s="266"/>
      <c r="AE202" s="266"/>
      <c r="AF202" s="266"/>
      <c r="AG202" s="266"/>
      <c r="AH202" s="266"/>
      <c r="AI202" s="266"/>
      <c r="AJ202" s="266"/>
      <c r="AK202" s="266"/>
      <c r="AL202" s="266"/>
      <c r="AM202" s="266"/>
    </row>
    <row r="203" spans="3:39" outlineLevel="1">
      <c r="C203" s="11"/>
      <c r="D203" s="266"/>
      <c r="E203" s="266"/>
      <c r="F203" s="278"/>
      <c r="G203" s="266"/>
      <c r="H203" s="273"/>
      <c r="I203" s="266"/>
      <c r="J203" s="266"/>
      <c r="K203" s="266"/>
      <c r="L203" s="266"/>
      <c r="M203" s="266"/>
      <c r="N203" s="266"/>
      <c r="O203" s="266"/>
      <c r="P203" s="266"/>
      <c r="Q203" s="266"/>
      <c r="R203" s="266"/>
      <c r="S203" s="266"/>
      <c r="T203" s="266"/>
      <c r="U203" s="266"/>
      <c r="V203" s="266"/>
      <c r="W203" s="266"/>
      <c r="X203" s="266"/>
      <c r="Y203" s="266"/>
      <c r="Z203" s="266"/>
      <c r="AA203" s="266"/>
      <c r="AB203" s="266"/>
      <c r="AC203" s="266"/>
      <c r="AD203" s="266"/>
      <c r="AE203" s="266"/>
      <c r="AF203" s="266"/>
      <c r="AG203" s="266"/>
      <c r="AH203" s="266"/>
      <c r="AI203" s="266"/>
      <c r="AJ203" s="266"/>
      <c r="AK203" s="266"/>
      <c r="AL203" s="266"/>
      <c r="AM203" s="266"/>
    </row>
    <row r="204" spans="3:39" outlineLevel="1">
      <c r="C204" s="11" t="s">
        <v>276</v>
      </c>
      <c r="D204" s="3"/>
      <c r="E204" s="266"/>
      <c r="F204" s="278"/>
      <c r="G204" s="266"/>
      <c r="H204" s="273"/>
      <c r="I204" s="266"/>
      <c r="J204" s="266"/>
      <c r="K204" s="266"/>
      <c r="L204" s="266"/>
      <c r="M204" s="266"/>
      <c r="N204" s="266"/>
      <c r="O204" s="266"/>
      <c r="P204" s="266"/>
      <c r="Q204" s="266"/>
      <c r="R204" s="266"/>
      <c r="S204" s="266"/>
      <c r="T204" s="266"/>
      <c r="U204" s="266"/>
      <c r="V204" s="266"/>
      <c r="W204" s="266"/>
      <c r="X204" s="266"/>
      <c r="Y204" s="266"/>
      <c r="Z204" s="266"/>
      <c r="AA204" s="266"/>
      <c r="AB204" s="266"/>
      <c r="AC204" s="266"/>
      <c r="AD204" s="266"/>
      <c r="AE204" s="266"/>
      <c r="AF204" s="266"/>
      <c r="AG204" s="266"/>
      <c r="AH204" s="266"/>
      <c r="AI204" s="266"/>
      <c r="AJ204" s="266"/>
      <c r="AK204" s="266"/>
      <c r="AL204" s="266"/>
      <c r="AM204" s="266"/>
    </row>
    <row r="205" spans="3:39" outlineLevel="2">
      <c r="C205" s="11"/>
      <c r="D205" s="266"/>
      <c r="E205" s="266"/>
      <c r="F205" s="278"/>
      <c r="G205" s="266"/>
      <c r="H205" s="273"/>
      <c r="I205" s="266"/>
      <c r="J205" s="266"/>
      <c r="K205" s="266"/>
      <c r="L205" s="266"/>
      <c r="M205" s="266"/>
      <c r="N205" s="266"/>
      <c r="O205" s="266"/>
      <c r="P205" s="266"/>
      <c r="Q205" s="266"/>
      <c r="R205" s="266"/>
      <c r="S205" s="266"/>
      <c r="T205" s="266"/>
      <c r="U205" s="266"/>
      <c r="V205" s="266"/>
      <c r="W205" s="266"/>
      <c r="X205" s="266"/>
      <c r="Y205" s="266"/>
      <c r="Z205" s="266"/>
      <c r="AA205" s="266"/>
      <c r="AB205" s="266"/>
      <c r="AC205" s="266"/>
      <c r="AD205" s="266"/>
      <c r="AE205" s="266"/>
      <c r="AF205" s="266"/>
      <c r="AG205" s="266"/>
      <c r="AH205" s="266"/>
      <c r="AI205" s="266"/>
      <c r="AJ205" s="266"/>
      <c r="AK205" s="266"/>
      <c r="AL205" s="266"/>
      <c r="AM205" s="266"/>
    </row>
    <row r="206" spans="3:39" outlineLevel="2">
      <c r="C206" s="11" t="s">
        <v>277</v>
      </c>
      <c r="D206" s="266"/>
      <c r="E206" s="266"/>
      <c r="F206" s="11"/>
      <c r="G206" s="266"/>
      <c r="H206" s="273"/>
      <c r="I206" s="266"/>
      <c r="J206" s="266"/>
      <c r="K206" s="266"/>
      <c r="L206" s="266"/>
      <c r="M206" s="266"/>
      <c r="N206" s="266"/>
      <c r="O206" s="266"/>
      <c r="P206" s="266"/>
      <c r="Q206" s="266"/>
      <c r="R206" s="266"/>
      <c r="S206" s="266"/>
      <c r="T206" s="266"/>
      <c r="U206" s="266"/>
      <c r="V206" s="266"/>
      <c r="W206" s="266"/>
      <c r="X206" s="266"/>
      <c r="Y206" s="266"/>
      <c r="Z206" s="266"/>
      <c r="AA206" s="266"/>
      <c r="AB206" s="266"/>
      <c r="AC206" s="266"/>
      <c r="AD206" s="266"/>
      <c r="AE206" s="266"/>
      <c r="AF206" s="266"/>
      <c r="AG206" s="266"/>
      <c r="AH206" s="266"/>
      <c r="AI206" s="266"/>
      <c r="AJ206" s="266"/>
      <c r="AK206" s="266"/>
      <c r="AL206" s="266"/>
      <c r="AM206" s="266"/>
    </row>
    <row r="207" spans="3:39" outlineLevel="3">
      <c r="C207" s="266" t="s">
        <v>273</v>
      </c>
      <c r="D207" s="414">
        <v>5000</v>
      </c>
      <c r="E207" s="266"/>
      <c r="F207"/>
      <c r="G207" s="266"/>
      <c r="H207" s="273"/>
      <c r="I207" s="266"/>
      <c r="J207" s="266"/>
      <c r="K207" s="266"/>
      <c r="L207" s="266"/>
      <c r="M207" s="266"/>
      <c r="N207" s="266"/>
      <c r="O207" s="266"/>
      <c r="P207" s="266"/>
      <c r="Q207" s="266"/>
      <c r="R207" s="266"/>
      <c r="S207" s="266"/>
      <c r="T207" s="266"/>
      <c r="U207" s="266"/>
      <c r="V207" s="266"/>
      <c r="W207" s="266"/>
      <c r="X207" s="266"/>
      <c r="Y207" s="266"/>
      <c r="Z207" s="266"/>
      <c r="AA207" s="266"/>
      <c r="AB207" s="266"/>
      <c r="AC207" s="266"/>
      <c r="AD207" s="266"/>
      <c r="AE207" s="266"/>
      <c r="AF207" s="266"/>
      <c r="AG207" s="266"/>
      <c r="AH207" s="266"/>
      <c r="AI207" s="266"/>
      <c r="AJ207" s="266"/>
      <c r="AK207" s="266"/>
      <c r="AL207" s="266"/>
      <c r="AM207" s="266"/>
    </row>
    <row r="208" spans="3:39" outlineLevel="3">
      <c r="C208" s="266"/>
      <c r="D208" s="266"/>
      <c r="E208" s="266"/>
      <c r="F208"/>
      <c r="G208" s="266"/>
      <c r="H208" s="273"/>
      <c r="I208" s="266"/>
      <c r="J208" s="266"/>
      <c r="K208" s="266"/>
      <c r="L208" s="266"/>
      <c r="M208" s="266"/>
      <c r="N208" s="266"/>
      <c r="O208" s="266"/>
      <c r="P208" s="266"/>
      <c r="Q208" s="266"/>
      <c r="R208" s="266"/>
      <c r="S208" s="266"/>
      <c r="T208" s="266"/>
      <c r="U208" s="266"/>
      <c r="V208" s="266"/>
      <c r="W208" s="266"/>
      <c r="X208" s="266"/>
      <c r="Y208" s="266"/>
      <c r="Z208" s="266"/>
      <c r="AA208" s="266"/>
      <c r="AB208" s="266"/>
      <c r="AC208" s="266"/>
      <c r="AD208" s="266"/>
      <c r="AE208" s="266"/>
      <c r="AF208" s="266"/>
      <c r="AG208" s="266"/>
      <c r="AH208" s="266"/>
      <c r="AI208" s="266"/>
      <c r="AJ208" s="266"/>
      <c r="AK208" s="266"/>
      <c r="AL208" s="266"/>
      <c r="AM208" s="266"/>
    </row>
    <row r="209" spans="3:39" outlineLevel="3">
      <c r="C209" s="266" t="s">
        <v>278</v>
      </c>
      <c r="D209" s="488">
        <v>5.4999999999999997E-3</v>
      </c>
      <c r="E209" s="266"/>
      <c r="F209" s="278"/>
      <c r="G209" s="266"/>
      <c r="H209" s="273"/>
      <c r="I209" s="266"/>
      <c r="J209" s="266"/>
      <c r="K209" s="266"/>
      <c r="L209" s="266"/>
      <c r="M209" s="266"/>
      <c r="N209" s="266"/>
      <c r="O209" s="266"/>
      <c r="P209" s="266"/>
      <c r="Q209" s="266"/>
      <c r="R209" s="266"/>
      <c r="S209" s="266"/>
      <c r="T209" s="266"/>
      <c r="U209" s="266"/>
      <c r="V209" s="266"/>
      <c r="W209" s="266"/>
      <c r="X209" s="266"/>
      <c r="Y209" s="266"/>
      <c r="Z209" s="266"/>
      <c r="AA209" s="266"/>
      <c r="AB209" s="266"/>
      <c r="AC209" s="266"/>
      <c r="AD209" s="266"/>
      <c r="AE209" s="266"/>
      <c r="AF209" s="266"/>
      <c r="AG209" s="266"/>
      <c r="AH209" s="266"/>
      <c r="AI209" s="266"/>
      <c r="AJ209" s="266"/>
      <c r="AK209" s="266"/>
      <c r="AL209" s="266"/>
      <c r="AM209" s="266"/>
    </row>
    <row r="210" spans="3:39" outlineLevel="3">
      <c r="C210" s="266" t="s">
        <v>279</v>
      </c>
      <c r="D210" s="415">
        <f>D207*D209</f>
        <v>27.5</v>
      </c>
      <c r="E210" s="367"/>
      <c r="F210"/>
      <c r="G210" s="266"/>
      <c r="H210" s="273"/>
      <c r="I210" s="266"/>
      <c r="J210" s="266"/>
      <c r="K210" s="266"/>
      <c r="L210" s="266"/>
      <c r="M210" s="266"/>
      <c r="N210" s="266"/>
      <c r="O210" s="266"/>
      <c r="P210" s="266"/>
      <c r="Q210" s="266"/>
      <c r="R210" s="266"/>
      <c r="S210" s="266"/>
      <c r="T210" s="266"/>
      <c r="U210" s="266"/>
      <c r="V210" s="266"/>
      <c r="W210" s="266"/>
      <c r="X210" s="266"/>
      <c r="Y210" s="266"/>
      <c r="Z210" s="266"/>
      <c r="AA210" s="266"/>
      <c r="AB210" s="266"/>
      <c r="AC210" s="266"/>
      <c r="AD210" s="266"/>
      <c r="AE210" s="266"/>
      <c r="AF210" s="266"/>
      <c r="AG210" s="266"/>
      <c r="AH210" s="266"/>
      <c r="AI210" s="266"/>
      <c r="AJ210" s="266"/>
      <c r="AK210" s="266"/>
      <c r="AL210" s="266"/>
      <c r="AM210" s="266"/>
    </row>
    <row r="211" spans="3:39" outlineLevel="3">
      <c r="C211" s="266"/>
      <c r="D211" s="266"/>
      <c r="E211" s="266"/>
      <c r="F211" s="278"/>
      <c r="G211" s="266"/>
      <c r="H211" s="273"/>
      <c r="I211" s="266"/>
      <c r="J211" s="266"/>
      <c r="K211" s="266"/>
      <c r="L211" s="266"/>
      <c r="M211" s="266"/>
      <c r="N211" s="266"/>
      <c r="O211" s="266"/>
      <c r="P211" s="266"/>
      <c r="Q211" s="266"/>
      <c r="R211" s="266"/>
      <c r="S211" s="266"/>
      <c r="T211" s="266"/>
      <c r="U211" s="266"/>
      <c r="V211" s="266"/>
      <c r="W211" s="266"/>
      <c r="X211" s="266"/>
      <c r="Y211" s="266"/>
      <c r="Z211" s="266"/>
      <c r="AA211" s="266"/>
      <c r="AB211" s="266"/>
      <c r="AC211" s="266"/>
      <c r="AD211" s="266"/>
      <c r="AE211" s="266"/>
      <c r="AF211" s="266"/>
      <c r="AG211" s="266"/>
      <c r="AH211" s="266"/>
      <c r="AI211" s="266"/>
      <c r="AJ211" s="266"/>
      <c r="AK211" s="266"/>
      <c r="AL211" s="266"/>
      <c r="AM211" s="266"/>
    </row>
    <row r="212" spans="3:39" outlineLevel="3">
      <c r="C212" s="266"/>
      <c r="D212" s="408">
        <f>YEAR(Model_Start)</f>
        <v>2027</v>
      </c>
      <c r="E212" s="408">
        <f>D212+1</f>
        <v>2028</v>
      </c>
      <c r="F212" s="408">
        <f t="shared" ref="F212" si="71">E212+1</f>
        <v>2029</v>
      </c>
      <c r="G212" s="408">
        <f t="shared" ref="G212" si="72">F212+1</f>
        <v>2030</v>
      </c>
      <c r="H212" s="273"/>
      <c r="I212" s="266"/>
      <c r="J212" s="266"/>
      <c r="K212" s="266"/>
      <c r="L212" s="266"/>
      <c r="M212" s="266"/>
      <c r="N212" s="266"/>
      <c r="O212" s="266"/>
      <c r="P212" s="266"/>
      <c r="Q212" s="266"/>
      <c r="R212" s="266"/>
      <c r="S212" s="266"/>
      <c r="T212" s="266"/>
      <c r="U212" s="266"/>
      <c r="V212" s="266"/>
      <c r="W212" s="266"/>
      <c r="X212" s="266"/>
      <c r="Y212" s="266"/>
      <c r="Z212" s="266"/>
      <c r="AA212" s="266"/>
      <c r="AB212" s="266"/>
      <c r="AC212" s="266"/>
      <c r="AD212" s="266"/>
      <c r="AE212" s="266"/>
      <c r="AF212" s="266"/>
      <c r="AG212" s="266"/>
      <c r="AH212" s="266"/>
      <c r="AI212" s="266"/>
      <c r="AJ212" s="266"/>
      <c r="AK212" s="266"/>
      <c r="AL212" s="266"/>
      <c r="AM212" s="266"/>
    </row>
    <row r="213" spans="3:39" outlineLevel="3">
      <c r="C213" s="266" t="s">
        <v>280</v>
      </c>
      <c r="D213" s="410">
        <v>1</v>
      </c>
      <c r="E213" s="410">
        <v>1</v>
      </c>
      <c r="F213" s="410">
        <v>1</v>
      </c>
      <c r="G213" s="410">
        <v>0</v>
      </c>
      <c r="H213" s="273"/>
      <c r="I213" s="266"/>
      <c r="J213" s="266"/>
      <c r="K213" s="266"/>
      <c r="L213" s="266"/>
      <c r="M213" s="266"/>
      <c r="N213" s="266"/>
      <c r="O213" s="266"/>
      <c r="P213" s="266"/>
      <c r="Q213" s="266"/>
      <c r="R213" s="266"/>
      <c r="S213" s="266"/>
      <c r="T213" s="266"/>
      <c r="U213" s="266"/>
      <c r="V213" s="266"/>
      <c r="W213" s="266"/>
      <c r="X213" s="266"/>
      <c r="Y213" s="266"/>
      <c r="Z213" s="266"/>
      <c r="AA213" s="266"/>
      <c r="AB213" s="266"/>
      <c r="AC213" s="266"/>
      <c r="AD213" s="266"/>
      <c r="AE213" s="266"/>
      <c r="AF213" s="266"/>
      <c r="AG213" s="266"/>
      <c r="AH213" s="266"/>
      <c r="AI213" s="266"/>
      <c r="AJ213" s="266"/>
      <c r="AK213" s="266"/>
      <c r="AL213" s="266"/>
      <c r="AM213" s="266"/>
    </row>
    <row r="214" spans="3:39" outlineLevel="3">
      <c r="C214" s="266" t="s">
        <v>281</v>
      </c>
      <c r="D214" s="415">
        <f>D213*$D$210</f>
        <v>27.5</v>
      </c>
      <c r="E214" s="415">
        <f>E213*$D$210</f>
        <v>27.5</v>
      </c>
      <c r="F214" s="415">
        <f>F213*$D$210</f>
        <v>27.5</v>
      </c>
      <c r="G214" s="415">
        <f>G213*$D$210</f>
        <v>0</v>
      </c>
      <c r="H214" s="273"/>
      <c r="I214" s="266"/>
      <c r="J214" s="266"/>
      <c r="K214" s="266"/>
      <c r="L214" s="266"/>
      <c r="M214" s="266"/>
      <c r="N214" s="266"/>
      <c r="O214" s="266"/>
      <c r="P214" s="266"/>
      <c r="Q214" s="266"/>
      <c r="R214" s="266"/>
      <c r="S214" s="266"/>
      <c r="T214" s="266"/>
      <c r="U214" s="266"/>
      <c r="V214" s="266"/>
      <c r="W214" s="266"/>
      <c r="X214" s="266"/>
      <c r="Y214" s="266"/>
      <c r="Z214" s="266"/>
      <c r="AA214" s="266"/>
      <c r="AB214" s="266"/>
      <c r="AC214" s="266"/>
      <c r="AD214" s="266"/>
      <c r="AE214" s="266"/>
      <c r="AF214" s="266"/>
      <c r="AG214" s="266"/>
      <c r="AH214" s="266"/>
      <c r="AI214" s="266"/>
      <c r="AJ214" s="266"/>
      <c r="AK214" s="266"/>
      <c r="AL214" s="266"/>
      <c r="AM214" s="266"/>
    </row>
    <row r="215" spans="3:39" outlineLevel="3">
      <c r="C215" s="266"/>
      <c r="D215" s="266"/>
      <c r="E215" s="266"/>
      <c r="F215" s="278"/>
      <c r="G215" s="266"/>
      <c r="H215" s="273"/>
      <c r="I215" s="266"/>
      <c r="J215" s="266"/>
      <c r="K215" s="266"/>
      <c r="L215" s="266"/>
      <c r="M215" s="266"/>
      <c r="N215" s="266"/>
      <c r="O215" s="266"/>
      <c r="P215" s="266"/>
      <c r="Q215" s="266"/>
      <c r="R215" s="266"/>
      <c r="S215" s="266"/>
      <c r="T215" s="266"/>
      <c r="U215" s="266"/>
      <c r="V215" s="266"/>
      <c r="W215" s="266"/>
      <c r="X215" s="266"/>
      <c r="Y215" s="266"/>
      <c r="Z215" s="266"/>
      <c r="AA215" s="266"/>
      <c r="AB215" s="266"/>
      <c r="AC215" s="266"/>
      <c r="AD215" s="266"/>
      <c r="AE215" s="266"/>
      <c r="AF215" s="266"/>
      <c r="AG215" s="266"/>
      <c r="AH215" s="266"/>
      <c r="AI215" s="266"/>
      <c r="AJ215" s="266"/>
      <c r="AK215" s="266"/>
      <c r="AL215" s="266"/>
      <c r="AM215" s="266"/>
    </row>
    <row r="216" spans="3:39" outlineLevel="2">
      <c r="C216" s="266"/>
      <c r="D216" s="266"/>
      <c r="E216" s="266"/>
      <c r="F216" s="278"/>
      <c r="G216" s="266"/>
      <c r="H216" s="273"/>
      <c r="I216" s="266"/>
      <c r="J216" s="266"/>
      <c r="K216" s="266"/>
      <c r="L216" s="266"/>
      <c r="M216" s="266"/>
      <c r="N216" s="266"/>
      <c r="O216" s="266"/>
      <c r="P216" s="266"/>
      <c r="Q216" s="266"/>
      <c r="R216" s="266"/>
      <c r="S216" s="266"/>
      <c r="T216" s="266"/>
      <c r="U216" s="266"/>
      <c r="V216" s="266"/>
      <c r="W216" s="266"/>
      <c r="X216" s="266"/>
      <c r="Y216" s="266"/>
      <c r="Z216" s="266"/>
      <c r="AA216" s="266"/>
      <c r="AB216" s="266"/>
      <c r="AC216" s="266"/>
      <c r="AD216" s="266"/>
      <c r="AE216" s="266"/>
      <c r="AF216" s="266"/>
      <c r="AG216" s="266"/>
      <c r="AH216" s="266"/>
      <c r="AI216" s="266"/>
      <c r="AJ216" s="266"/>
      <c r="AK216" s="266"/>
      <c r="AL216" s="266"/>
      <c r="AM216" s="266"/>
    </row>
    <row r="217" spans="3:39" outlineLevel="2">
      <c r="C217" s="11" t="s">
        <v>282</v>
      </c>
      <c r="D217" s="266"/>
      <c r="E217" s="266"/>
      <c r="F217" s="369"/>
      <c r="G217" s="266"/>
      <c r="H217" s="273"/>
      <c r="I217" s="266"/>
      <c r="J217" s="266"/>
      <c r="K217" s="266"/>
      <c r="L217" s="266"/>
      <c r="M217" s="266"/>
      <c r="N217" s="266"/>
      <c r="O217" s="266"/>
      <c r="P217" s="266"/>
      <c r="Q217" s="266"/>
      <c r="R217" s="266"/>
      <c r="S217" s="266"/>
      <c r="T217" s="266"/>
      <c r="U217" s="266"/>
      <c r="V217" s="266"/>
      <c r="W217" s="266"/>
      <c r="X217" s="266"/>
      <c r="Y217" s="266"/>
      <c r="Z217" s="266"/>
      <c r="AA217" s="266"/>
      <c r="AB217" s="266"/>
      <c r="AC217" s="266"/>
      <c r="AD217" s="266"/>
      <c r="AE217" s="266"/>
      <c r="AF217" s="266"/>
      <c r="AG217" s="266"/>
      <c r="AH217" s="266"/>
      <c r="AI217" s="266"/>
      <c r="AJ217" s="266"/>
      <c r="AK217" s="266"/>
      <c r="AL217" s="266"/>
      <c r="AM217" s="266"/>
    </row>
    <row r="218" spans="3:39" outlineLevel="3">
      <c r="C218" s="266" t="s">
        <v>283</v>
      </c>
      <c r="D218" s="414">
        <f>Summary!E66*5%</f>
        <v>3838.8243146281529</v>
      </c>
      <c r="E218" s="266"/>
      <c r="F218" s="278"/>
      <c r="G218" s="266"/>
      <c r="H218" s="273"/>
      <c r="I218" s="266"/>
      <c r="J218" s="266"/>
      <c r="K218" s="266"/>
      <c r="L218" s="266"/>
      <c r="M218" s="266"/>
      <c r="N218" s="266"/>
      <c r="O218" s="266"/>
      <c r="P218" s="266"/>
      <c r="Q218" s="266"/>
      <c r="R218" s="266"/>
      <c r="S218" s="266"/>
      <c r="T218" s="266"/>
      <c r="U218" s="266"/>
      <c r="V218" s="266"/>
      <c r="W218" s="266"/>
      <c r="X218" s="266"/>
      <c r="Y218" s="266"/>
      <c r="Z218" s="266"/>
      <c r="AA218" s="266"/>
      <c r="AB218" s="266"/>
      <c r="AC218" s="266"/>
      <c r="AD218" s="266"/>
      <c r="AE218" s="266"/>
      <c r="AF218" s="266"/>
      <c r="AG218" s="266"/>
      <c r="AH218" s="266"/>
      <c r="AI218" s="266"/>
      <c r="AJ218" s="266"/>
      <c r="AK218" s="266"/>
      <c r="AL218" s="266"/>
      <c r="AM218" s="266"/>
    </row>
    <row r="219" spans="3:39" outlineLevel="3">
      <c r="C219" s="266"/>
      <c r="D219" s="266"/>
      <c r="E219" s="266"/>
      <c r="F219" s="278"/>
      <c r="G219" s="266"/>
      <c r="H219" s="273"/>
      <c r="I219" s="266"/>
      <c r="J219" s="266"/>
      <c r="K219" s="266"/>
      <c r="L219" s="266"/>
      <c r="M219" s="266"/>
      <c r="N219" s="266"/>
      <c r="O219" s="266"/>
      <c r="P219" s="266"/>
      <c r="Q219" s="266"/>
      <c r="R219" s="266"/>
      <c r="S219" s="266"/>
      <c r="T219" s="266"/>
      <c r="U219" s="266"/>
      <c r="V219" s="266"/>
      <c r="W219" s="266"/>
      <c r="X219" s="266"/>
      <c r="Y219" s="266"/>
      <c r="Z219" s="266"/>
      <c r="AA219" s="266"/>
      <c r="AB219" s="266"/>
      <c r="AC219" s="266"/>
      <c r="AD219" s="266"/>
      <c r="AE219" s="266"/>
      <c r="AF219" s="266"/>
      <c r="AG219" s="266"/>
      <c r="AH219" s="266"/>
      <c r="AI219" s="266"/>
      <c r="AJ219" s="266"/>
      <c r="AK219" s="266"/>
      <c r="AL219" s="266"/>
      <c r="AM219" s="266"/>
    </row>
    <row r="220" spans="3:39" outlineLevel="3">
      <c r="C220" s="266" t="s">
        <v>278</v>
      </c>
      <c r="D220" s="488">
        <v>7.4999999999999997E-3</v>
      </c>
      <c r="E220" s="266"/>
      <c r="F220" s="278"/>
      <c r="G220" s="266"/>
      <c r="H220" s="273"/>
      <c r="I220" s="266"/>
      <c r="J220" s="266"/>
      <c r="K220" s="266"/>
      <c r="L220" s="266"/>
      <c r="M220" s="266"/>
      <c r="N220" s="266"/>
      <c r="O220" s="266"/>
      <c r="P220" s="266"/>
      <c r="Q220" s="266"/>
      <c r="R220" s="266"/>
      <c r="S220" s="266"/>
      <c r="T220" s="266"/>
      <c r="U220" s="266"/>
      <c r="V220" s="266"/>
      <c r="W220" s="266"/>
      <c r="X220" s="266"/>
      <c r="Y220" s="266"/>
      <c r="Z220" s="266"/>
      <c r="AA220" s="266"/>
      <c r="AB220" s="266"/>
      <c r="AC220" s="266"/>
      <c r="AD220" s="266"/>
      <c r="AE220" s="266"/>
      <c r="AF220" s="266"/>
      <c r="AG220" s="266"/>
      <c r="AH220" s="266"/>
      <c r="AI220" s="266"/>
      <c r="AJ220" s="266"/>
      <c r="AK220" s="266"/>
      <c r="AL220" s="266"/>
      <c r="AM220" s="266"/>
    </row>
    <row r="221" spans="3:39" outlineLevel="3">
      <c r="C221" s="266" t="s">
        <v>279</v>
      </c>
      <c r="D221" s="415">
        <f>D218*D220</f>
        <v>28.791182359711147</v>
      </c>
      <c r="E221" s="367"/>
      <c r="F221"/>
      <c r="G221" s="266"/>
      <c r="H221" s="273"/>
      <c r="I221" s="266"/>
      <c r="J221" s="266"/>
      <c r="K221" s="266"/>
      <c r="L221" s="266"/>
      <c r="M221" s="266"/>
      <c r="N221" s="266"/>
      <c r="O221" s="266"/>
      <c r="P221" s="266"/>
      <c r="Q221" s="266"/>
      <c r="R221" s="266"/>
      <c r="S221" s="266"/>
      <c r="T221" s="266"/>
      <c r="U221" s="266"/>
      <c r="V221" s="266"/>
      <c r="W221" s="266"/>
      <c r="X221" s="266"/>
      <c r="Y221" s="266"/>
      <c r="Z221" s="266"/>
      <c r="AA221" s="266"/>
      <c r="AB221" s="266"/>
      <c r="AC221" s="266"/>
      <c r="AD221" s="266"/>
      <c r="AE221" s="266"/>
      <c r="AF221" s="266"/>
      <c r="AG221" s="266"/>
      <c r="AH221" s="266"/>
      <c r="AI221" s="266"/>
      <c r="AJ221" s="266"/>
      <c r="AK221" s="266"/>
      <c r="AL221" s="266"/>
      <c r="AM221" s="266"/>
    </row>
    <row r="222" spans="3:39" outlineLevel="3">
      <c r="C222" s="266"/>
      <c r="D222" s="266"/>
      <c r="E222" s="266"/>
      <c r="F222" s="278"/>
      <c r="G222" s="266"/>
      <c r="H222" s="273"/>
      <c r="I222" s="266"/>
      <c r="J222" s="266"/>
      <c r="K222" s="266"/>
      <c r="L222" s="266"/>
      <c r="M222" s="266"/>
      <c r="N222" s="266"/>
      <c r="O222" s="266"/>
      <c r="P222" s="266"/>
      <c r="Q222" s="266"/>
      <c r="R222" s="266"/>
      <c r="S222" s="266"/>
      <c r="T222" s="266"/>
      <c r="U222" s="266"/>
      <c r="V222" s="266"/>
      <c r="W222" s="266"/>
      <c r="X222" s="266"/>
      <c r="Y222" s="266"/>
      <c r="Z222" s="266"/>
      <c r="AA222" s="266"/>
      <c r="AB222" s="266"/>
      <c r="AC222" s="266"/>
      <c r="AD222" s="266"/>
      <c r="AE222" s="266"/>
      <c r="AF222" s="266"/>
      <c r="AG222" s="266"/>
      <c r="AH222" s="266"/>
      <c r="AI222" s="266"/>
      <c r="AJ222" s="266"/>
      <c r="AK222" s="266"/>
      <c r="AL222" s="266"/>
      <c r="AM222" s="266"/>
    </row>
    <row r="223" spans="3:39" outlineLevel="3">
      <c r="C223" s="266"/>
      <c r="D223" s="408" t="s">
        <v>284</v>
      </c>
      <c r="E223" s="266"/>
      <c r="F223" s="266"/>
      <c r="G223" s="266"/>
      <c r="H223" s="273"/>
      <c r="I223" s="266"/>
      <c r="J223" s="266"/>
      <c r="K223" s="266"/>
      <c r="L223" s="266"/>
      <c r="M223" s="266"/>
      <c r="N223" s="266"/>
      <c r="O223" s="266"/>
      <c r="P223" s="266"/>
      <c r="Q223" s="266"/>
      <c r="R223" s="266"/>
      <c r="S223" s="266"/>
      <c r="T223" s="266"/>
      <c r="U223" s="266"/>
      <c r="V223" s="266"/>
      <c r="W223" s="266"/>
      <c r="X223" s="266"/>
      <c r="Y223" s="266"/>
      <c r="Z223" s="266"/>
      <c r="AA223" s="266"/>
      <c r="AB223" s="266"/>
      <c r="AC223" s="266"/>
      <c r="AD223" s="266"/>
      <c r="AE223" s="266"/>
      <c r="AF223" s="266"/>
      <c r="AG223" s="266"/>
      <c r="AH223" s="266"/>
      <c r="AI223" s="266"/>
      <c r="AJ223" s="266"/>
      <c r="AK223" s="266"/>
      <c r="AL223" s="266"/>
      <c r="AM223" s="266"/>
    </row>
    <row r="224" spans="3:39" outlineLevel="3">
      <c r="C224" s="266" t="s">
        <v>285</v>
      </c>
      <c r="D224" s="415">
        <v>1</v>
      </c>
      <c r="E224" s="266"/>
      <c r="F224" s="266"/>
      <c r="G224" s="266"/>
      <c r="H224" s="273"/>
      <c r="I224" s="266"/>
      <c r="J224" s="266"/>
      <c r="K224" s="266"/>
      <c r="L224" s="266"/>
      <c r="M224" s="266"/>
      <c r="N224" s="266"/>
      <c r="O224" s="266"/>
      <c r="P224" s="266"/>
      <c r="Q224" s="266"/>
      <c r="R224" s="266"/>
      <c r="S224" s="266"/>
      <c r="T224" s="266"/>
      <c r="U224" s="266"/>
      <c r="V224" s="266"/>
      <c r="W224" s="266"/>
      <c r="X224" s="266"/>
      <c r="Y224" s="266"/>
      <c r="Z224" s="266"/>
      <c r="AA224" s="266"/>
      <c r="AB224" s="266"/>
      <c r="AC224" s="266"/>
      <c r="AD224" s="266"/>
      <c r="AE224" s="266"/>
      <c r="AF224" s="266"/>
      <c r="AG224" s="266"/>
      <c r="AH224" s="266"/>
      <c r="AI224" s="266"/>
      <c r="AJ224" s="266"/>
      <c r="AK224" s="266"/>
      <c r="AL224" s="266"/>
      <c r="AM224" s="266"/>
    </row>
    <row r="225" spans="3:39" outlineLevel="3">
      <c r="C225" s="266" t="s">
        <v>286</v>
      </c>
      <c r="D225" s="415">
        <f>D221/D224</f>
        <v>28.791182359711147</v>
      </c>
      <c r="E225" s="266"/>
      <c r="F225" s="266"/>
      <c r="G225" s="266"/>
      <c r="H225" s="273"/>
      <c r="I225" s="266"/>
      <c r="J225" s="266"/>
      <c r="K225" s="266"/>
      <c r="L225" s="266"/>
      <c r="M225" s="266"/>
      <c r="N225" s="266"/>
      <c r="O225" s="266"/>
      <c r="P225" s="266"/>
      <c r="Q225" s="266"/>
      <c r="R225" s="266"/>
      <c r="S225" s="266"/>
      <c r="T225" s="266"/>
      <c r="U225" s="266"/>
      <c r="V225" s="266"/>
      <c r="W225" s="266"/>
      <c r="X225" s="266"/>
      <c r="Y225" s="266"/>
      <c r="Z225" s="266"/>
      <c r="AA225" s="266"/>
      <c r="AB225" s="266"/>
      <c r="AC225" s="266"/>
      <c r="AD225" s="266"/>
      <c r="AE225" s="266"/>
      <c r="AF225" s="266"/>
      <c r="AG225" s="266"/>
      <c r="AH225" s="266"/>
      <c r="AI225" s="266"/>
      <c r="AJ225" s="266"/>
      <c r="AK225" s="266"/>
      <c r="AL225" s="266"/>
      <c r="AM225" s="266"/>
    </row>
    <row r="226" spans="3:39" outlineLevel="3">
      <c r="C226" s="266"/>
      <c r="D226" s="266"/>
      <c r="E226" s="266"/>
      <c r="F226" s="278"/>
      <c r="G226" s="266"/>
      <c r="H226" s="273"/>
      <c r="I226" s="266"/>
      <c r="J226" s="266"/>
      <c r="K226" s="266"/>
      <c r="L226" s="266"/>
      <c r="M226" s="266"/>
      <c r="N226" s="266"/>
      <c r="O226" s="266"/>
      <c r="P226" s="266"/>
      <c r="Q226" s="266"/>
      <c r="R226" s="266"/>
      <c r="S226" s="266"/>
      <c r="T226" s="266"/>
      <c r="U226" s="266"/>
      <c r="V226" s="266"/>
      <c r="W226" s="266"/>
      <c r="X226" s="266"/>
      <c r="Y226" s="266"/>
      <c r="Z226" s="266"/>
      <c r="AA226" s="266"/>
      <c r="AB226" s="266"/>
      <c r="AC226" s="266"/>
      <c r="AD226" s="266"/>
      <c r="AE226" s="266"/>
      <c r="AF226" s="266"/>
      <c r="AG226" s="266"/>
      <c r="AH226" s="266"/>
      <c r="AI226" s="266"/>
      <c r="AJ226" s="266"/>
      <c r="AK226" s="266"/>
      <c r="AL226" s="266"/>
      <c r="AM226" s="266"/>
    </row>
    <row r="227" spans="3:39" outlineLevel="3">
      <c r="C227" s="266"/>
      <c r="D227" s="266"/>
      <c r="E227" s="266"/>
      <c r="F227" s="278"/>
      <c r="G227" s="266"/>
      <c r="H227" s="273"/>
      <c r="I227" s="266"/>
      <c r="J227" s="266"/>
      <c r="K227" s="266"/>
      <c r="L227" s="266"/>
      <c r="M227" s="266"/>
      <c r="N227" s="266"/>
      <c r="O227" s="266"/>
      <c r="P227" s="266"/>
      <c r="Q227" s="266"/>
      <c r="R227" s="266"/>
      <c r="S227" s="266"/>
      <c r="T227" s="266"/>
      <c r="U227" s="266"/>
      <c r="V227" s="266"/>
      <c r="W227" s="266"/>
      <c r="X227" s="266"/>
      <c r="Y227" s="266"/>
      <c r="Z227" s="266"/>
      <c r="AA227" s="266"/>
      <c r="AB227" s="266"/>
      <c r="AC227" s="266"/>
      <c r="AD227" s="266"/>
      <c r="AE227" s="266"/>
      <c r="AF227" s="266"/>
      <c r="AG227" s="266"/>
      <c r="AH227" s="266"/>
      <c r="AI227" s="266"/>
      <c r="AJ227" s="266"/>
      <c r="AK227" s="266"/>
      <c r="AL227" s="266"/>
      <c r="AM227" s="266"/>
    </row>
    <row r="228" spans="3:39" outlineLevel="3">
      <c r="C228" s="11" t="s">
        <v>287</v>
      </c>
      <c r="D228" s="266"/>
      <c r="E228" s="266"/>
      <c r="F228" s="278"/>
      <c r="G228" s="266"/>
      <c r="H228" s="273"/>
      <c r="I228" s="266"/>
      <c r="J228" s="266"/>
      <c r="K228" s="266"/>
      <c r="L228" s="266"/>
      <c r="M228" s="266"/>
      <c r="N228" s="266"/>
      <c r="O228" s="266"/>
      <c r="P228" s="266"/>
      <c r="Q228" s="266"/>
      <c r="R228" s="266"/>
      <c r="S228" s="266"/>
      <c r="T228" s="266"/>
      <c r="U228" s="266"/>
      <c r="V228" s="266"/>
      <c r="W228" s="266"/>
      <c r="X228" s="266"/>
      <c r="Y228" s="266"/>
      <c r="Z228" s="266"/>
      <c r="AA228" s="266"/>
      <c r="AB228" s="266"/>
      <c r="AC228" s="266"/>
      <c r="AD228" s="266"/>
      <c r="AE228" s="266"/>
      <c r="AF228" s="266"/>
      <c r="AG228" s="266"/>
      <c r="AH228" s="266"/>
      <c r="AI228" s="266"/>
      <c r="AJ228" s="266"/>
      <c r="AK228" s="266"/>
      <c r="AL228" s="266"/>
      <c r="AM228" s="266"/>
    </row>
    <row r="229" spans="3:39" outlineLevel="3">
      <c r="C229" s="266"/>
      <c r="D229" s="266"/>
      <c r="E229" s="266"/>
      <c r="F229" s="278"/>
      <c r="G229" s="266"/>
      <c r="H229" s="273"/>
      <c r="I229" s="266"/>
      <c r="J229" s="266"/>
      <c r="K229" s="266"/>
      <c r="L229" s="266"/>
      <c r="M229" s="266"/>
      <c r="N229" s="266"/>
      <c r="O229" s="266"/>
      <c r="P229" s="266"/>
      <c r="Q229" s="266"/>
      <c r="R229" s="266"/>
      <c r="S229" s="266"/>
      <c r="T229" s="266"/>
      <c r="U229" s="266"/>
      <c r="V229" s="266"/>
      <c r="W229" s="266"/>
      <c r="X229" s="266"/>
      <c r="Y229" s="266"/>
      <c r="Z229" s="266"/>
      <c r="AA229" s="266"/>
      <c r="AB229" s="266"/>
      <c r="AC229" s="266"/>
      <c r="AD229" s="266"/>
      <c r="AE229" s="266"/>
      <c r="AF229" s="266"/>
      <c r="AG229" s="266"/>
      <c r="AH229" s="266"/>
      <c r="AI229" s="266"/>
      <c r="AJ229" s="266"/>
      <c r="AK229" s="266"/>
      <c r="AL229" s="266"/>
      <c r="AM229" s="266"/>
    </row>
    <row r="230" spans="3:39" outlineLevel="3">
      <c r="C230" s="408" t="s">
        <v>288</v>
      </c>
      <c r="D230" s="408">
        <v>2024</v>
      </c>
      <c r="E230" s="408">
        <v>2025</v>
      </c>
      <c r="F230" s="408">
        <v>2026</v>
      </c>
      <c r="G230" s="408">
        <v>2027</v>
      </c>
      <c r="H230" s="408">
        <v>2028</v>
      </c>
      <c r="I230" s="408">
        <v>2029</v>
      </c>
      <c r="J230" s="408">
        <v>2030</v>
      </c>
      <c r="K230" s="408">
        <v>2031</v>
      </c>
      <c r="L230" s="408">
        <v>2032</v>
      </c>
      <c r="M230" s="408">
        <v>2033</v>
      </c>
      <c r="N230" s="408">
        <v>2034</v>
      </c>
      <c r="O230" s="408">
        <v>2035</v>
      </c>
      <c r="P230" s="408">
        <v>2036</v>
      </c>
      <c r="Q230" s="408">
        <v>2037</v>
      </c>
      <c r="R230" s="408">
        <v>2038</v>
      </c>
      <c r="S230" s="408">
        <v>2039</v>
      </c>
      <c r="T230" s="408">
        <v>2040</v>
      </c>
      <c r="U230" s="408">
        <v>2041</v>
      </c>
      <c r="V230" s="408">
        <v>2042</v>
      </c>
      <c r="W230" s="408">
        <v>2043</v>
      </c>
      <c r="X230" s="408">
        <v>2044</v>
      </c>
      <c r="Y230" s="408">
        <v>2045</v>
      </c>
      <c r="Z230" s="408">
        <v>2046</v>
      </c>
      <c r="AA230" s="408">
        <v>2047</v>
      </c>
      <c r="AB230" s="408">
        <v>2048</v>
      </c>
      <c r="AC230" s="408">
        <v>2049</v>
      </c>
      <c r="AD230" s="408">
        <v>2050</v>
      </c>
      <c r="AE230" s="408">
        <v>2051</v>
      </c>
      <c r="AF230" s="408">
        <v>2052</v>
      </c>
      <c r="AG230" s="408">
        <v>2053</v>
      </c>
      <c r="AH230" s="266"/>
      <c r="AI230" s="266"/>
      <c r="AJ230" s="266"/>
      <c r="AK230" s="266"/>
      <c r="AL230" s="266"/>
      <c r="AM230" s="266"/>
    </row>
    <row r="231" spans="3:39" outlineLevel="3">
      <c r="C231" s="485" t="str">
        <f t="shared" ref="C231:AG231" si="73">C49</f>
        <v>Investimentos Destinação Final</v>
      </c>
      <c r="D231" s="458">
        <f t="shared" si="73"/>
        <v>365.43042089599805</v>
      </c>
      <c r="E231" s="458">
        <f t="shared" si="73"/>
        <v>1410.9263993250449</v>
      </c>
      <c r="F231" s="458">
        <f t="shared" si="73"/>
        <v>378.16893583420006</v>
      </c>
      <c r="G231" s="458">
        <f t="shared" si="73"/>
        <v>49.327041674200004</v>
      </c>
      <c r="H231" s="458">
        <f t="shared" si="73"/>
        <v>49.327041674200004</v>
      </c>
      <c r="I231" s="458">
        <f t="shared" si="73"/>
        <v>12201.004333370471</v>
      </c>
      <c r="J231" s="458">
        <f t="shared" si="73"/>
        <v>168.31293295294401</v>
      </c>
      <c r="K231" s="458">
        <f t="shared" si="73"/>
        <v>52.042301674200004</v>
      </c>
      <c r="L231" s="458">
        <f t="shared" si="73"/>
        <v>43.404541674200004</v>
      </c>
      <c r="M231" s="458">
        <f t="shared" si="73"/>
        <v>69.327041674200004</v>
      </c>
      <c r="N231" s="458">
        <f t="shared" si="73"/>
        <v>107.3752145185596</v>
      </c>
      <c r="O231" s="458">
        <f t="shared" si="73"/>
        <v>347.06917320436901</v>
      </c>
      <c r="P231" s="458">
        <f t="shared" si="73"/>
        <v>83.822160106200016</v>
      </c>
      <c r="Q231" s="458">
        <f t="shared" si="73"/>
        <v>178.80952295294401</v>
      </c>
      <c r="R231" s="458">
        <f t="shared" si="73"/>
        <v>43.404541674200004</v>
      </c>
      <c r="S231" s="458">
        <f t="shared" si="73"/>
        <v>2480.8966560422537</v>
      </c>
      <c r="T231" s="458">
        <f t="shared" si="73"/>
        <v>58.830451674199999</v>
      </c>
      <c r="U231" s="458">
        <f t="shared" si="73"/>
        <v>66.119801674200005</v>
      </c>
      <c r="V231" s="458">
        <f t="shared" si="73"/>
        <v>49.327041674200004</v>
      </c>
      <c r="W231" s="458">
        <f t="shared" si="73"/>
        <v>49.327041674200004</v>
      </c>
      <c r="X231" s="458">
        <f t="shared" si="73"/>
        <v>210.93519579730363</v>
      </c>
      <c r="Y231" s="458">
        <f t="shared" si="73"/>
        <v>372.99167320436902</v>
      </c>
      <c r="Z231" s="458">
        <f t="shared" si="73"/>
        <v>83.822160106200016</v>
      </c>
      <c r="AA231" s="458">
        <f t="shared" si="73"/>
        <v>43.404541674200004</v>
      </c>
      <c r="AB231" s="458">
        <f t="shared" si="73"/>
        <v>49.327041674200004</v>
      </c>
      <c r="AC231" s="458">
        <f t="shared" si="73"/>
        <v>2501.1449361862537</v>
      </c>
      <c r="AD231" s="458">
        <f t="shared" si="73"/>
        <v>52.9079516742</v>
      </c>
      <c r="AE231" s="458">
        <f t="shared" si="73"/>
        <v>161.52478295294401</v>
      </c>
      <c r="AF231" s="458">
        <f t="shared" si="73"/>
        <v>49.327041674200004</v>
      </c>
      <c r="AG231" s="458">
        <f t="shared" si="73"/>
        <v>63.404541674200004</v>
      </c>
      <c r="AH231" s="266"/>
      <c r="AI231" s="266"/>
      <c r="AJ231" s="266"/>
      <c r="AK231" s="266"/>
      <c r="AL231" s="266"/>
      <c r="AM231" s="266"/>
    </row>
    <row r="232" spans="3:39" outlineLevel="3">
      <c r="C232" s="488">
        <v>3.5000000000000001E-3</v>
      </c>
      <c r="D232" s="458">
        <f t="shared" ref="D232:AG232" si="74">$C$232*D231</f>
        <v>1.2790064731359931</v>
      </c>
      <c r="E232" s="458">
        <f t="shared" si="74"/>
        <v>4.9382423976376577</v>
      </c>
      <c r="F232" s="458">
        <f t="shared" si="74"/>
        <v>1.3235912754197001</v>
      </c>
      <c r="G232" s="458">
        <f t="shared" si="74"/>
        <v>0.17264464585970002</v>
      </c>
      <c r="H232" s="458">
        <f t="shared" si="74"/>
        <v>0.17264464585970002</v>
      </c>
      <c r="I232" s="458">
        <f t="shared" si="74"/>
        <v>42.703515166796649</v>
      </c>
      <c r="J232" s="458">
        <f t="shared" si="74"/>
        <v>0.5890952653353041</v>
      </c>
      <c r="K232" s="458">
        <f t="shared" si="74"/>
        <v>0.18214805585970001</v>
      </c>
      <c r="L232" s="458">
        <f t="shared" si="74"/>
        <v>0.15191589585970003</v>
      </c>
      <c r="M232" s="458">
        <f t="shared" si="74"/>
        <v>0.24264464585970003</v>
      </c>
      <c r="N232" s="458">
        <f t="shared" si="74"/>
        <v>0.37581325081495859</v>
      </c>
      <c r="O232" s="458">
        <f t="shared" si="74"/>
        <v>1.2147421062152917</v>
      </c>
      <c r="P232" s="458">
        <f t="shared" si="74"/>
        <v>0.29337756037170004</v>
      </c>
      <c r="Q232" s="458">
        <f t="shared" si="74"/>
        <v>0.62583333033530408</v>
      </c>
      <c r="R232" s="458">
        <f t="shared" si="74"/>
        <v>0.15191589585970003</v>
      </c>
      <c r="S232" s="458">
        <f t="shared" si="74"/>
        <v>8.683138296147888</v>
      </c>
      <c r="T232" s="458">
        <f t="shared" si="74"/>
        <v>0.20590658085970001</v>
      </c>
      <c r="U232" s="458">
        <f t="shared" si="74"/>
        <v>0.23141930585970003</v>
      </c>
      <c r="V232" s="458">
        <f t="shared" si="74"/>
        <v>0.17264464585970002</v>
      </c>
      <c r="W232" s="458">
        <f t="shared" si="74"/>
        <v>0.17264464585970002</v>
      </c>
      <c r="X232" s="458">
        <f t="shared" si="74"/>
        <v>0.73827318529056274</v>
      </c>
      <c r="Y232" s="458">
        <f t="shared" si="74"/>
        <v>1.3054708562152917</v>
      </c>
      <c r="Z232" s="458">
        <f t="shared" si="74"/>
        <v>0.29337756037170004</v>
      </c>
      <c r="AA232" s="458">
        <f t="shared" si="74"/>
        <v>0.15191589585970003</v>
      </c>
      <c r="AB232" s="458">
        <f t="shared" si="74"/>
        <v>0.17264464585970002</v>
      </c>
      <c r="AC232" s="458">
        <f t="shared" si="74"/>
        <v>8.7540072766518886</v>
      </c>
      <c r="AD232" s="458">
        <f t="shared" si="74"/>
        <v>0.18517783085969999</v>
      </c>
      <c r="AE232" s="458">
        <f t="shared" si="74"/>
        <v>0.56533674033530401</v>
      </c>
      <c r="AF232" s="458">
        <f t="shared" si="74"/>
        <v>0.17264464585970002</v>
      </c>
      <c r="AG232" s="458">
        <f t="shared" si="74"/>
        <v>0.22191589585970001</v>
      </c>
      <c r="AH232" s="266"/>
      <c r="AI232" s="266"/>
      <c r="AJ232" s="266"/>
      <c r="AK232" s="266"/>
      <c r="AL232" s="266"/>
      <c r="AM232" s="266"/>
    </row>
    <row r="233" spans="3:39" outlineLevel="3">
      <c r="C233" s="266"/>
      <c r="D233" s="266"/>
      <c r="E233" s="266"/>
      <c r="F233" s="278"/>
      <c r="G233" s="266"/>
      <c r="H233" s="273"/>
      <c r="I233" s="266"/>
      <c r="J233" s="266"/>
      <c r="K233" s="266"/>
      <c r="L233" s="266"/>
      <c r="M233" s="266"/>
      <c r="N233" s="266"/>
      <c r="O233" s="266"/>
      <c r="P233" s="266"/>
      <c r="Q233" s="266"/>
      <c r="R233" s="266"/>
      <c r="S233" s="266"/>
      <c r="T233" s="266"/>
      <c r="U233" s="266"/>
      <c r="V233" s="266"/>
      <c r="W233" s="266"/>
      <c r="X233" s="266"/>
      <c r="Y233" s="266"/>
      <c r="Z233" s="266"/>
      <c r="AA233" s="266"/>
      <c r="AB233" s="266"/>
      <c r="AC233" s="266"/>
      <c r="AD233" s="266"/>
      <c r="AE233" s="266"/>
      <c r="AF233" s="266"/>
      <c r="AG233" s="266"/>
      <c r="AH233" s="266"/>
      <c r="AI233" s="266"/>
      <c r="AJ233" s="266"/>
      <c r="AK233" s="266"/>
      <c r="AL233" s="266"/>
      <c r="AM233" s="266"/>
    </row>
    <row r="234" spans="3:39" outlineLevel="2">
      <c r="C234" s="266"/>
      <c r="D234" s="266"/>
      <c r="E234" s="266"/>
      <c r="F234" s="278"/>
      <c r="G234" s="266"/>
      <c r="H234" s="273"/>
      <c r="I234" s="266"/>
      <c r="J234" s="266"/>
      <c r="K234" s="266"/>
      <c r="L234" s="266"/>
      <c r="M234" s="266"/>
      <c r="N234" s="266"/>
      <c r="O234" s="266"/>
      <c r="P234" s="266"/>
      <c r="Q234" s="266"/>
      <c r="R234" s="266"/>
      <c r="S234" s="266"/>
      <c r="T234" s="266"/>
      <c r="U234" s="266"/>
      <c r="V234" s="266"/>
      <c r="W234" s="266"/>
      <c r="X234" s="266"/>
      <c r="Y234" s="266"/>
      <c r="Z234" s="266"/>
      <c r="AA234" s="266"/>
      <c r="AB234" s="266"/>
      <c r="AC234" s="266"/>
      <c r="AD234" s="266"/>
      <c r="AE234" s="266"/>
      <c r="AF234" s="266"/>
      <c r="AG234" s="266"/>
      <c r="AH234" s="266"/>
      <c r="AI234" s="266"/>
      <c r="AJ234" s="266"/>
      <c r="AK234" s="266"/>
      <c r="AL234" s="266"/>
      <c r="AM234" s="266"/>
    </row>
    <row r="235" spans="3:39" s="266" customFormat="1" ht="16.2" thickBot="1">
      <c r="C235" s="394" t="s">
        <v>289</v>
      </c>
      <c r="D235" s="395"/>
      <c r="E235" s="396"/>
      <c r="F235" s="395"/>
      <c r="G235" s="395"/>
      <c r="H235" s="395"/>
      <c r="I235" s="395"/>
      <c r="J235" s="395"/>
      <c r="K235" s="395"/>
      <c r="L235" s="395"/>
      <c r="M235" s="395"/>
      <c r="N235" s="395"/>
      <c r="O235" s="395"/>
      <c r="P235" s="395"/>
      <c r="Q235" s="395"/>
      <c r="R235" s="395"/>
      <c r="S235" s="395"/>
      <c r="T235" s="395"/>
      <c r="U235" s="395"/>
      <c r="V235" s="395"/>
      <c r="W235" s="395"/>
      <c r="X235" s="395"/>
      <c r="Y235" s="395"/>
      <c r="Z235" s="395"/>
      <c r="AA235" s="395"/>
      <c r="AB235" s="395"/>
      <c r="AC235" s="395"/>
      <c r="AD235" s="395"/>
      <c r="AE235" s="395"/>
      <c r="AF235" s="395"/>
      <c r="AG235" s="395"/>
      <c r="AH235" s="395"/>
      <c r="AI235" s="395"/>
      <c r="AJ235" s="395"/>
      <c r="AK235" s="8"/>
      <c r="AL235" s="8"/>
      <c r="AM235" s="8"/>
    </row>
    <row r="236" spans="3:39" outlineLevel="1">
      <c r="C236" s="266"/>
      <c r="D236" s="266"/>
      <c r="E236" s="266"/>
      <c r="F236" s="266"/>
      <c r="G236" s="266"/>
      <c r="H236" s="266"/>
      <c r="I236" s="266"/>
      <c r="J236" s="266"/>
      <c r="K236" s="266"/>
      <c r="L236" s="266"/>
      <c r="M236" s="266"/>
      <c r="N236" s="266"/>
      <c r="O236" s="266"/>
      <c r="P236" s="266"/>
      <c r="Q236" s="266"/>
      <c r="R236" s="266"/>
      <c r="S236" s="266"/>
      <c r="T236" s="266"/>
      <c r="U236" s="266"/>
      <c r="V236" s="266"/>
      <c r="W236" s="266"/>
      <c r="X236" s="266"/>
      <c r="Y236" s="266"/>
      <c r="Z236" s="266"/>
      <c r="AA236" s="266"/>
      <c r="AB236" s="266"/>
      <c r="AC236" s="266"/>
      <c r="AD236" s="266"/>
      <c r="AE236" s="266"/>
      <c r="AF236" s="266"/>
      <c r="AG236" s="266"/>
      <c r="AH236" s="266"/>
      <c r="AI236" s="266"/>
      <c r="AJ236" s="266"/>
      <c r="AK236" s="266"/>
      <c r="AL236" s="266"/>
      <c r="AM236" s="266"/>
    </row>
    <row r="237" spans="3:39" outlineLevel="1">
      <c r="C237" s="266" t="s">
        <v>290</v>
      </c>
      <c r="D237" s="4"/>
      <c r="E237" s="472">
        <f>WACC!D30</f>
        <v>0.5</v>
      </c>
      <c r="F237" s="4" t="s">
        <v>23</v>
      </c>
      <c r="G237" s="304">
        <f>1-E237</f>
        <v>0.5</v>
      </c>
      <c r="H237" s="266"/>
      <c r="I237" s="11"/>
      <c r="J237" s="266"/>
      <c r="K237" s="266"/>
      <c r="L237" s="266"/>
      <c r="M237" s="266"/>
      <c r="N237" s="266"/>
      <c r="O237" s="266"/>
      <c r="P237" s="266"/>
      <c r="Q237" s="266"/>
      <c r="R237" s="266"/>
      <c r="S237" s="266"/>
      <c r="T237" s="266"/>
      <c r="U237" s="266"/>
      <c r="V237" s="266"/>
      <c r="W237" s="266"/>
      <c r="X237" s="266"/>
      <c r="Y237" s="266"/>
      <c r="Z237" s="266"/>
      <c r="AA237" s="266"/>
      <c r="AB237" s="266"/>
      <c r="AC237" s="266"/>
      <c r="AD237" s="266"/>
      <c r="AE237" s="266"/>
      <c r="AF237" s="266"/>
      <c r="AG237" s="266"/>
      <c r="AH237" s="266"/>
      <c r="AI237" s="266"/>
      <c r="AJ237" s="266"/>
      <c r="AK237" s="266"/>
      <c r="AL237" s="266"/>
      <c r="AM237" s="266"/>
    </row>
    <row r="238" spans="3:39" outlineLevel="1">
      <c r="C238" s="266"/>
      <c r="D238" s="266"/>
      <c r="E238" s="266"/>
      <c r="F238" s="266"/>
      <c r="G238" s="266"/>
      <c r="H238" s="266"/>
      <c r="I238" s="266"/>
      <c r="J238" s="266"/>
      <c r="K238" s="266"/>
      <c r="L238" s="266"/>
      <c r="M238" s="266"/>
      <c r="N238" s="266"/>
      <c r="O238" s="266"/>
      <c r="P238" s="266"/>
      <c r="Q238" s="266"/>
      <c r="R238" s="266"/>
      <c r="S238" s="266"/>
      <c r="T238" s="266"/>
      <c r="U238" s="266"/>
      <c r="V238" s="266"/>
      <c r="W238" s="266"/>
      <c r="X238" s="266"/>
      <c r="Y238" s="266"/>
      <c r="Z238" s="266"/>
      <c r="AA238" s="266"/>
      <c r="AB238" s="266"/>
      <c r="AC238" s="266"/>
      <c r="AD238" s="266"/>
      <c r="AE238" s="266"/>
      <c r="AF238" s="266"/>
      <c r="AG238" s="266"/>
      <c r="AH238" s="266"/>
      <c r="AI238" s="266"/>
      <c r="AJ238" s="266"/>
      <c r="AK238" s="266"/>
      <c r="AL238" s="266"/>
      <c r="AM238" s="266"/>
    </row>
    <row r="239" spans="3:39" outlineLevel="1">
      <c r="C239" s="266" t="s">
        <v>291</v>
      </c>
      <c r="D239" s="4"/>
      <c r="E239">
        <v>5</v>
      </c>
      <c r="F239" s="4" t="s">
        <v>24</v>
      </c>
      <c r="G239" s="266"/>
      <c r="H239" s="266"/>
      <c r="I239" s="266"/>
      <c r="J239" s="266"/>
      <c r="K239" s="266"/>
      <c r="L239" s="266"/>
      <c r="M239" s="266"/>
      <c r="N239" s="266"/>
      <c r="O239" s="266"/>
      <c r="P239" s="266"/>
      <c r="Q239" s="266"/>
      <c r="R239" s="266"/>
      <c r="S239" s="266"/>
      <c r="T239" s="266"/>
      <c r="U239" s="266"/>
      <c r="V239" s="266"/>
      <c r="W239" s="266"/>
      <c r="X239" s="266"/>
      <c r="Y239" s="266"/>
      <c r="Z239" s="266"/>
      <c r="AA239" s="266"/>
      <c r="AB239" s="266"/>
      <c r="AC239" s="266"/>
      <c r="AD239" s="266"/>
      <c r="AE239" s="266"/>
      <c r="AF239" s="266"/>
      <c r="AG239" s="266"/>
      <c r="AH239" s="266"/>
      <c r="AI239" s="266"/>
      <c r="AJ239" s="266"/>
      <c r="AK239" s="266"/>
      <c r="AL239" s="266"/>
      <c r="AM239" s="266"/>
    </row>
    <row r="240" spans="3:39" outlineLevel="1">
      <c r="C240" s="266" t="s">
        <v>292</v>
      </c>
      <c r="D240" s="4"/>
      <c r="E240">
        <v>6</v>
      </c>
      <c r="F240" s="4" t="s">
        <v>24</v>
      </c>
      <c r="G240" s="266"/>
      <c r="H240" s="266"/>
      <c r="I240" s="266"/>
      <c r="J240" s="266"/>
      <c r="K240" s="266"/>
      <c r="L240" s="266"/>
      <c r="M240" s="266"/>
      <c r="N240" s="266"/>
      <c r="O240" s="266"/>
      <c r="P240" s="266"/>
      <c r="Q240" s="266"/>
      <c r="R240" s="266"/>
      <c r="S240" s="266"/>
      <c r="T240" s="266"/>
      <c r="U240" s="266"/>
      <c r="V240" s="266"/>
      <c r="W240" s="266"/>
      <c r="X240" s="266"/>
      <c r="Y240" s="266"/>
      <c r="Z240" s="266"/>
      <c r="AA240" s="266"/>
      <c r="AB240" s="266"/>
      <c r="AC240" s="266"/>
      <c r="AD240" s="266"/>
      <c r="AE240" s="266"/>
      <c r="AF240" s="266"/>
      <c r="AG240" s="266"/>
      <c r="AH240" s="266"/>
      <c r="AI240" s="266"/>
      <c r="AJ240" s="266"/>
      <c r="AK240" s="266"/>
      <c r="AL240" s="266"/>
      <c r="AM240" s="266"/>
    </row>
    <row r="241" spans="3:39" outlineLevel="1">
      <c r="C241" s="266"/>
      <c r="D241" s="266"/>
      <c r="E241" s="266"/>
      <c r="F241" s="266"/>
      <c r="G241" s="266"/>
      <c r="H241" s="266"/>
      <c r="I241" s="266"/>
      <c r="J241" s="266"/>
      <c r="K241" s="266"/>
      <c r="L241" s="266"/>
      <c r="M241" s="266"/>
      <c r="N241" s="266"/>
      <c r="O241" s="266"/>
      <c r="P241" s="266"/>
      <c r="Q241" s="266"/>
      <c r="R241" s="266"/>
      <c r="S241" s="266"/>
      <c r="T241" s="266"/>
      <c r="U241" s="266"/>
      <c r="V241" s="266"/>
      <c r="W241" s="266"/>
      <c r="X241" s="266"/>
      <c r="Y241" s="266"/>
      <c r="Z241" s="266"/>
      <c r="AA241" s="266"/>
      <c r="AB241" s="266"/>
      <c r="AC241" s="266"/>
      <c r="AD241" s="266"/>
      <c r="AE241" s="266"/>
      <c r="AF241" s="266"/>
      <c r="AG241" s="266"/>
      <c r="AH241" s="266"/>
      <c r="AI241" s="266"/>
      <c r="AJ241" s="266"/>
      <c r="AK241" s="266"/>
      <c r="AL241" s="266"/>
      <c r="AM241" s="266"/>
    </row>
    <row r="242" spans="3:39" outlineLevel="1">
      <c r="C242" s="266" t="s">
        <v>293</v>
      </c>
      <c r="D242" s="4"/>
      <c r="E242" s="473">
        <v>5.0000000000000001E-3</v>
      </c>
      <c r="F242" s="4" t="s">
        <v>23</v>
      </c>
      <c r="G242" s="266"/>
      <c r="H242" s="299"/>
      <c r="I242" s="266"/>
      <c r="J242" s="266"/>
      <c r="K242" s="266"/>
      <c r="L242" s="266"/>
      <c r="M242" s="266"/>
      <c r="N242" s="266"/>
      <c r="O242" s="266"/>
      <c r="P242" s="266"/>
      <c r="Q242" s="266"/>
      <c r="R242" s="266"/>
      <c r="S242" s="266"/>
      <c r="T242" s="266"/>
      <c r="U242" s="266"/>
      <c r="V242" s="266"/>
      <c r="W242" s="266"/>
      <c r="X242" s="266"/>
      <c r="Y242" s="266"/>
      <c r="Z242" s="266"/>
      <c r="AA242" s="266"/>
      <c r="AB242" s="266"/>
      <c r="AC242" s="266"/>
      <c r="AD242" s="266"/>
      <c r="AE242" s="266"/>
      <c r="AF242" s="266"/>
      <c r="AG242" s="266"/>
      <c r="AH242" s="266"/>
      <c r="AI242" s="266"/>
      <c r="AJ242" s="266"/>
      <c r="AK242" s="266"/>
      <c r="AL242" s="266"/>
      <c r="AM242" s="266"/>
    </row>
    <row r="243" spans="3:39" outlineLevel="1">
      <c r="C243" s="266"/>
      <c r="D243" s="266"/>
      <c r="E243" s="13"/>
      <c r="F243" s="4"/>
      <c r="G243" s="266"/>
      <c r="H243" s="304"/>
      <c r="I243" s="266"/>
      <c r="J243" s="266"/>
      <c r="K243" s="266"/>
      <c r="L243" s="266"/>
      <c r="M243" s="266"/>
      <c r="N243" s="266"/>
      <c r="O243" s="266"/>
      <c r="P243" s="266"/>
      <c r="Q243" s="266"/>
      <c r="R243" s="266"/>
      <c r="S243" s="266"/>
      <c r="T243" s="266"/>
      <c r="U243" s="266"/>
      <c r="V243" s="266"/>
      <c r="W243" s="266"/>
      <c r="X243" s="266"/>
      <c r="Y243" s="266"/>
      <c r="Z243" s="266"/>
      <c r="AA243" s="266"/>
      <c r="AB243" s="266"/>
      <c r="AC243" s="266"/>
      <c r="AD243" s="266"/>
      <c r="AE243" s="266"/>
      <c r="AF243" s="266"/>
      <c r="AG243" s="266"/>
      <c r="AH243" s="266"/>
      <c r="AI243" s="266"/>
      <c r="AJ243" s="266"/>
      <c r="AK243" s="266"/>
      <c r="AL243" s="266"/>
      <c r="AM243" s="266"/>
    </row>
    <row r="244" spans="3:39" outlineLevel="1">
      <c r="C244" s="301"/>
      <c r="D244" s="266"/>
      <c r="E244" s="266"/>
      <c r="F244" s="4"/>
      <c r="G244" s="266"/>
      <c r="H244" s="266"/>
      <c r="I244" s="266"/>
      <c r="J244" s="266"/>
      <c r="K244" s="266"/>
      <c r="L244" s="266"/>
      <c r="M244" s="266"/>
      <c r="N244" s="266"/>
      <c r="O244" s="266"/>
      <c r="P244" s="266"/>
      <c r="Q244" s="266"/>
      <c r="R244" s="266"/>
      <c r="S244" s="266"/>
      <c r="T244" s="266"/>
      <c r="U244" s="266"/>
      <c r="V244" s="266"/>
      <c r="W244" s="266"/>
      <c r="X244" s="266"/>
      <c r="Y244" s="266"/>
      <c r="Z244" s="266"/>
      <c r="AA244" s="266"/>
      <c r="AB244" s="266"/>
      <c r="AC244" s="266"/>
      <c r="AD244" s="266"/>
      <c r="AE244" s="266"/>
      <c r="AF244" s="266"/>
      <c r="AG244" s="266"/>
      <c r="AH244" s="266"/>
      <c r="AI244" s="266"/>
      <c r="AJ244" s="266"/>
      <c r="AK244" s="266"/>
      <c r="AL244" s="266"/>
      <c r="AM244" s="266"/>
    </row>
    <row r="245" spans="3:39">
      <c r="C245" s="266"/>
      <c r="D245" s="266"/>
      <c r="E245" s="266"/>
      <c r="F245" s="266"/>
      <c r="G245" s="266"/>
      <c r="H245" s="266"/>
      <c r="I245" s="266"/>
      <c r="J245" s="266"/>
      <c r="K245" s="266"/>
      <c r="L245" s="266"/>
      <c r="M245" s="266"/>
      <c r="N245" s="266"/>
      <c r="O245" s="266"/>
      <c r="P245" s="266"/>
      <c r="Q245" s="266"/>
      <c r="R245" s="266"/>
      <c r="S245" s="266"/>
      <c r="T245" s="266"/>
      <c r="U245" s="266"/>
      <c r="V245" s="266"/>
      <c r="W245" s="266"/>
      <c r="X245" s="266"/>
      <c r="Y245" s="266"/>
      <c r="Z245" s="266"/>
      <c r="AA245" s="266"/>
      <c r="AB245" s="266"/>
      <c r="AC245" s="266"/>
      <c r="AD245" s="266"/>
      <c r="AE245" s="266"/>
      <c r="AF245" s="266"/>
      <c r="AG245" s="266"/>
      <c r="AH245" s="266"/>
      <c r="AI245" s="266"/>
      <c r="AJ245" s="266"/>
      <c r="AK245" s="266"/>
      <c r="AL245" s="266"/>
      <c r="AM245" s="266"/>
    </row>
    <row r="246" spans="3:39" s="266" customFormat="1" ht="16.2" thickBot="1">
      <c r="C246" s="394" t="s">
        <v>294</v>
      </c>
      <c r="D246" s="395"/>
      <c r="E246" s="396"/>
      <c r="F246" s="395"/>
      <c r="G246" s="395"/>
      <c r="H246" s="395"/>
      <c r="I246" s="395"/>
      <c r="J246" s="395"/>
      <c r="K246" s="395"/>
      <c r="L246" s="395"/>
      <c r="M246" s="395"/>
      <c r="N246" s="395"/>
      <c r="O246" s="395"/>
      <c r="P246" s="395"/>
      <c r="Q246" s="395"/>
      <c r="R246" s="395"/>
      <c r="S246" s="395"/>
      <c r="T246" s="395"/>
      <c r="U246" s="395"/>
      <c r="V246" s="395"/>
      <c r="W246" s="395"/>
      <c r="X246" s="395"/>
      <c r="Y246" s="395"/>
      <c r="Z246" s="395"/>
      <c r="AA246" s="395"/>
      <c r="AB246" s="395"/>
      <c r="AC246" s="395"/>
      <c r="AD246" s="395"/>
      <c r="AE246" s="395"/>
      <c r="AF246" s="395"/>
      <c r="AG246" s="395"/>
      <c r="AH246" s="395"/>
      <c r="AI246" s="395"/>
      <c r="AJ246" s="395"/>
      <c r="AK246" s="8"/>
      <c r="AL246" s="8"/>
      <c r="AM246" s="8"/>
    </row>
    <row r="247" spans="3:39" outlineLevel="1">
      <c r="C247" s="266"/>
      <c r="D247" s="266"/>
      <c r="E247" s="266"/>
      <c r="F247" s="266"/>
      <c r="G247" s="266"/>
      <c r="H247" s="266"/>
      <c r="I247" s="266"/>
      <c r="J247" s="266"/>
      <c r="K247" s="266"/>
      <c r="L247" s="266"/>
      <c r="M247" s="266"/>
      <c r="N247" s="266"/>
      <c r="O247" s="266"/>
      <c r="P247" s="266"/>
      <c r="Q247" s="266"/>
      <c r="R247" s="266"/>
      <c r="S247" s="266"/>
      <c r="T247" s="266"/>
      <c r="U247" s="266"/>
      <c r="V247" s="266"/>
      <c r="W247" s="266"/>
      <c r="X247" s="266"/>
      <c r="Y247" s="266"/>
      <c r="Z247" s="266"/>
      <c r="AA247" s="266"/>
      <c r="AB247" s="266"/>
      <c r="AC247" s="266"/>
      <c r="AD247" s="266"/>
      <c r="AE247" s="266"/>
      <c r="AF247" s="266"/>
      <c r="AG247" s="266"/>
      <c r="AH247" s="266"/>
      <c r="AI247" s="266"/>
      <c r="AJ247" s="266"/>
      <c r="AK247" s="266"/>
      <c r="AL247" s="266"/>
      <c r="AM247" s="266"/>
    </row>
    <row r="248" spans="3:39" outlineLevel="1">
      <c r="C248" s="11" t="s">
        <v>295</v>
      </c>
      <c r="D248" s="266"/>
      <c r="E248" s="266"/>
      <c r="F248" s="266"/>
      <c r="G248" s="266"/>
      <c r="H248" s="266"/>
      <c r="I248" s="266"/>
      <c r="J248" s="266"/>
      <c r="K248" s="266"/>
      <c r="L248" s="266"/>
      <c r="M248" s="266"/>
      <c r="N248" s="266"/>
      <c r="O248" s="266"/>
      <c r="P248" s="266"/>
      <c r="Q248" s="266"/>
      <c r="R248" s="266"/>
      <c r="S248" s="266"/>
      <c r="T248" s="266"/>
      <c r="U248" s="266"/>
      <c r="V248" s="266"/>
      <c r="W248" s="266"/>
      <c r="X248" s="266"/>
      <c r="Y248" s="266"/>
      <c r="Z248" s="266"/>
      <c r="AA248" s="266"/>
      <c r="AB248" s="266"/>
      <c r="AC248" s="266"/>
      <c r="AD248" s="266"/>
      <c r="AE248" s="266"/>
      <c r="AF248" s="266"/>
      <c r="AG248" s="266"/>
      <c r="AH248" s="266"/>
      <c r="AI248" s="266"/>
      <c r="AJ248" s="266"/>
      <c r="AK248" s="266"/>
      <c r="AL248" s="266"/>
      <c r="AM248" s="266"/>
    </row>
    <row r="249" spans="3:39" outlineLevel="1">
      <c r="C249" s="405" t="s">
        <v>296</v>
      </c>
      <c r="D249" s="266"/>
      <c r="E249" s="266"/>
      <c r="F249" s="266"/>
      <c r="G249" s="266"/>
      <c r="H249" s="266"/>
      <c r="I249" s="266"/>
      <c r="J249" s="266"/>
      <c r="K249" s="266"/>
      <c r="L249" s="266"/>
      <c r="M249" s="266"/>
      <c r="N249" s="266"/>
      <c r="O249" s="266"/>
      <c r="P249" s="266"/>
      <c r="Q249" s="266"/>
      <c r="R249" s="266"/>
      <c r="S249" s="266"/>
      <c r="T249" s="266"/>
      <c r="U249" s="266"/>
      <c r="V249" s="266"/>
      <c r="W249" s="266"/>
      <c r="X249" s="266"/>
      <c r="Y249" s="266"/>
      <c r="Z249" s="266"/>
      <c r="AA249" s="266"/>
      <c r="AB249" s="266"/>
      <c r="AC249" s="266"/>
      <c r="AD249" s="266"/>
      <c r="AE249" s="266"/>
      <c r="AF249" s="266"/>
      <c r="AG249" s="266"/>
      <c r="AH249" s="266"/>
      <c r="AI249" s="266"/>
      <c r="AJ249" s="266"/>
      <c r="AK249" s="266"/>
      <c r="AL249" s="266"/>
      <c r="AM249" s="266"/>
    </row>
    <row r="250" spans="3:39" outlineLevel="1">
      <c r="C250" s="405" t="s">
        <v>297</v>
      </c>
      <c r="D250" s="266"/>
      <c r="E250" s="266"/>
      <c r="F250" s="266"/>
      <c r="G250" s="266"/>
      <c r="H250" s="266"/>
      <c r="I250" s="266"/>
      <c r="J250" s="266"/>
      <c r="K250" s="266"/>
      <c r="L250" s="266"/>
      <c r="M250" s="266"/>
      <c r="N250" s="266"/>
      <c r="O250" s="266"/>
      <c r="P250" s="266"/>
      <c r="Q250" s="266"/>
      <c r="R250" s="266"/>
      <c r="S250" s="266"/>
      <c r="T250" s="266"/>
      <c r="U250" s="266"/>
      <c r="V250" s="266"/>
      <c r="W250" s="266"/>
      <c r="X250" s="266"/>
      <c r="Y250" s="266"/>
      <c r="Z250" s="266"/>
      <c r="AA250" s="266"/>
      <c r="AB250" s="266"/>
      <c r="AC250" s="266"/>
      <c r="AD250" s="266"/>
      <c r="AE250" s="266"/>
      <c r="AF250" s="266"/>
      <c r="AG250" s="266"/>
      <c r="AH250" s="266"/>
      <c r="AI250" s="266"/>
      <c r="AJ250" s="266"/>
      <c r="AK250" s="266"/>
      <c r="AL250" s="266"/>
      <c r="AM250" s="266"/>
    </row>
    <row r="251" spans="3:39" outlineLevel="1">
      <c r="C251" s="405" t="s">
        <v>298</v>
      </c>
      <c r="D251" s="266"/>
      <c r="E251" s="266"/>
      <c r="F251" s="266"/>
      <c r="G251" s="266"/>
      <c r="H251" s="266"/>
      <c r="I251" s="266"/>
      <c r="J251" s="266"/>
      <c r="K251" s="266"/>
      <c r="L251" s="266"/>
      <c r="M251" s="266"/>
      <c r="N251" s="266"/>
      <c r="O251" s="266"/>
      <c r="P251" s="266"/>
      <c r="Q251" s="266"/>
      <c r="R251" s="266"/>
      <c r="S251" s="266"/>
      <c r="T251" s="266"/>
      <c r="U251" s="266"/>
      <c r="V251" s="266"/>
      <c r="W251" s="266"/>
      <c r="X251" s="266"/>
      <c r="Y251" s="266"/>
      <c r="Z251" s="266"/>
      <c r="AA251" s="266"/>
      <c r="AB251" s="266"/>
      <c r="AC251" s="266"/>
      <c r="AD251" s="266"/>
      <c r="AE251" s="266"/>
      <c r="AF251" s="266"/>
      <c r="AG251" s="266"/>
      <c r="AH251" s="266"/>
      <c r="AI251" s="266"/>
      <c r="AJ251" s="266"/>
      <c r="AK251" s="266"/>
      <c r="AL251" s="266"/>
      <c r="AM251" s="266"/>
    </row>
    <row r="252" spans="3:39" outlineLevel="1">
      <c r="C252" s="405" t="s">
        <v>299</v>
      </c>
      <c r="D252" s="266"/>
      <c r="E252" s="266"/>
      <c r="F252" s="266"/>
      <c r="G252" s="266"/>
      <c r="H252" s="266"/>
      <c r="I252" s="266"/>
      <c r="J252" s="266"/>
      <c r="K252" s="266"/>
      <c r="L252" s="266"/>
      <c r="M252" s="266"/>
      <c r="N252" s="266"/>
      <c r="O252" s="266"/>
      <c r="P252" s="266"/>
      <c r="Q252" s="266"/>
      <c r="R252" s="266"/>
      <c r="S252" s="266"/>
      <c r="T252" s="266"/>
      <c r="U252" s="266"/>
      <c r="V252" s="266"/>
      <c r="W252" s="266"/>
      <c r="X252" s="266"/>
      <c r="Y252" s="266"/>
      <c r="Z252" s="266"/>
      <c r="AA252" s="266"/>
      <c r="AB252" s="266"/>
      <c r="AC252" s="266"/>
      <c r="AD252" s="266"/>
      <c r="AE252" s="266"/>
      <c r="AF252" s="266"/>
      <c r="AG252" s="266"/>
      <c r="AH252" s="266"/>
      <c r="AI252" s="266"/>
      <c r="AJ252" s="266"/>
      <c r="AK252" s="266"/>
      <c r="AL252" s="266"/>
      <c r="AM252" s="266"/>
    </row>
    <row r="253" spans="3:39" outlineLevel="1">
      <c r="C253" s="266"/>
      <c r="D253" s="266"/>
      <c r="E253" s="266"/>
      <c r="F253" s="266"/>
      <c r="G253" s="266"/>
      <c r="H253" s="266"/>
      <c r="I253" s="266"/>
      <c r="J253" s="266"/>
      <c r="K253" s="266"/>
      <c r="L253" s="266"/>
      <c r="M253" s="266"/>
      <c r="N253" s="266"/>
      <c r="O253" s="266"/>
      <c r="P253" s="266"/>
      <c r="Q253" s="266"/>
      <c r="R253" s="266"/>
      <c r="S253" s="266"/>
      <c r="T253" s="266"/>
      <c r="U253" s="266"/>
      <c r="V253" s="266"/>
      <c r="W253" s="266"/>
      <c r="X253" s="266"/>
      <c r="Y253" s="266"/>
      <c r="Z253" s="266"/>
      <c r="AA253" s="266"/>
      <c r="AB253" s="266"/>
      <c r="AC253" s="266"/>
      <c r="AD253" s="266"/>
      <c r="AE253" s="266"/>
      <c r="AF253" s="266"/>
      <c r="AG253" s="266"/>
      <c r="AH253" s="266"/>
      <c r="AI253" s="266"/>
      <c r="AJ253" s="266"/>
      <c r="AK253" s="266"/>
      <c r="AL253" s="266"/>
      <c r="AM253" s="266"/>
    </row>
    <row r="254" spans="3:39" outlineLevel="1">
      <c r="C254" s="11" t="s">
        <v>300</v>
      </c>
      <c r="D254" s="266"/>
      <c r="E254" s="266"/>
      <c r="F254" s="266"/>
      <c r="G254" s="266"/>
      <c r="H254" s="266"/>
      <c r="I254" s="266"/>
      <c r="J254" s="266"/>
      <c r="K254" s="266"/>
      <c r="L254" s="266"/>
      <c r="M254" s="266"/>
      <c r="N254" s="266"/>
      <c r="O254" s="266"/>
      <c r="P254" s="266"/>
      <c r="Q254" s="266"/>
      <c r="R254" s="266"/>
      <c r="S254" s="266"/>
      <c r="T254" s="266"/>
      <c r="U254" s="266"/>
      <c r="V254" s="266"/>
      <c r="W254" s="266"/>
      <c r="X254" s="266"/>
      <c r="Y254" s="266"/>
      <c r="Z254" s="266"/>
      <c r="AA254" s="266"/>
      <c r="AB254" s="266"/>
      <c r="AC254" s="266"/>
      <c r="AD254" s="266"/>
      <c r="AE254" s="266"/>
      <c r="AF254" s="266"/>
      <c r="AG254" s="266"/>
      <c r="AH254" s="266"/>
      <c r="AI254" s="266"/>
      <c r="AJ254" s="266"/>
      <c r="AK254" s="266"/>
      <c r="AL254" s="266"/>
      <c r="AM254" s="266"/>
    </row>
    <row r="255" spans="3:39" outlineLevel="1">
      <c r="C255" s="405" t="s">
        <v>171</v>
      </c>
      <c r="D255" s="266"/>
      <c r="E255" s="266"/>
      <c r="F255" s="266"/>
      <c r="G255" s="266"/>
      <c r="H255" s="266"/>
      <c r="I255" s="266"/>
      <c r="J255" s="266"/>
      <c r="K255" s="266"/>
      <c r="L255" s="266"/>
      <c r="M255" s="266"/>
      <c r="N255" s="266"/>
      <c r="O255" s="266"/>
      <c r="P255" s="266"/>
      <c r="Q255" s="266"/>
      <c r="R255" s="266"/>
      <c r="S255" s="266"/>
      <c r="T255" s="266"/>
      <c r="U255" s="266"/>
      <c r="V255" s="266"/>
      <c r="W255" s="266"/>
      <c r="X255" s="266"/>
      <c r="Y255" s="266"/>
      <c r="Z255" s="266"/>
      <c r="AA255" s="266"/>
      <c r="AB255" s="266"/>
      <c r="AC255" s="266"/>
      <c r="AD255" s="266"/>
      <c r="AE255" s="266"/>
      <c r="AF255" s="266"/>
      <c r="AG255" s="266"/>
      <c r="AH255" s="266"/>
      <c r="AI255" s="266"/>
      <c r="AJ255" s="266"/>
      <c r="AK255" s="266"/>
      <c r="AL255" s="266"/>
      <c r="AM255" s="266"/>
    </row>
    <row r="256" spans="3:39" outlineLevel="1">
      <c r="C256" s="405" t="s">
        <v>170</v>
      </c>
      <c r="D256" s="266"/>
      <c r="E256" s="266"/>
      <c r="F256" s="266"/>
      <c r="G256" s="266"/>
      <c r="H256" s="266"/>
      <c r="I256" s="266"/>
      <c r="J256" s="266"/>
      <c r="K256" s="266"/>
      <c r="L256" s="266"/>
      <c r="M256" s="266"/>
      <c r="N256" s="266"/>
      <c r="O256" s="266"/>
      <c r="P256" s="266"/>
      <c r="Q256" s="266"/>
      <c r="R256" s="266"/>
      <c r="S256" s="266"/>
      <c r="T256" s="266"/>
      <c r="U256" s="266"/>
      <c r="V256" s="266"/>
      <c r="W256" s="266"/>
      <c r="X256" s="266"/>
      <c r="Y256" s="266"/>
      <c r="Z256" s="266"/>
      <c r="AA256" s="266"/>
      <c r="AB256" s="266"/>
      <c r="AC256" s="266"/>
      <c r="AD256" s="266"/>
      <c r="AE256" s="266"/>
      <c r="AF256" s="266"/>
      <c r="AG256" s="266"/>
      <c r="AH256" s="266"/>
      <c r="AI256" s="266"/>
      <c r="AJ256" s="266"/>
      <c r="AK256" s="266"/>
      <c r="AL256" s="266"/>
      <c r="AM256" s="266"/>
    </row>
    <row r="257" spans="3:43" outlineLevel="1">
      <c r="C257" s="266"/>
      <c r="D257" s="266"/>
      <c r="E257" s="266"/>
      <c r="F257" s="266"/>
      <c r="G257" s="266"/>
      <c r="H257" s="266"/>
      <c r="I257" s="266"/>
      <c r="J257" s="266"/>
      <c r="K257" s="266"/>
      <c r="L257" s="266"/>
      <c r="M257" s="266"/>
      <c r="N257" s="266"/>
      <c r="O257" s="266"/>
      <c r="P257" s="266"/>
      <c r="Q257" s="266"/>
      <c r="R257" s="266"/>
      <c r="S257" s="266"/>
      <c r="T257" s="266"/>
      <c r="U257" s="266"/>
      <c r="V257" s="266"/>
      <c r="W257" s="266"/>
      <c r="X257" s="266"/>
      <c r="Y257" s="266"/>
      <c r="Z257" s="266"/>
      <c r="AA257" s="266"/>
      <c r="AB257" s="266"/>
      <c r="AC257" s="266"/>
      <c r="AD257" s="266"/>
      <c r="AE257" s="266"/>
      <c r="AF257" s="266"/>
      <c r="AG257" s="266"/>
      <c r="AH257" s="266"/>
      <c r="AI257" s="266"/>
      <c r="AJ257" s="266"/>
      <c r="AK257" s="266"/>
      <c r="AL257" s="266"/>
      <c r="AM257" s="266"/>
      <c r="AN257" s="266"/>
      <c r="AO257" s="266"/>
      <c r="AP257" s="266"/>
      <c r="AQ257" s="266"/>
    </row>
    <row r="258" spans="3:43" outlineLevel="1">
      <c r="C258" s="11" t="s">
        <v>301</v>
      </c>
      <c r="D258" s="11" t="s">
        <v>301</v>
      </c>
      <c r="E258" s="11" t="s">
        <v>302</v>
      </c>
      <c r="F258" s="266"/>
      <c r="G258" s="266"/>
      <c r="H258" s="266"/>
      <c r="I258" s="266"/>
      <c r="J258" s="266"/>
      <c r="K258" s="266"/>
      <c r="L258" s="266"/>
      <c r="M258" s="266"/>
      <c r="N258" s="266"/>
      <c r="O258" s="266"/>
      <c r="P258" s="266"/>
      <c r="Q258" s="266"/>
      <c r="R258" s="266"/>
      <c r="S258" s="266"/>
      <c r="T258" s="266"/>
      <c r="U258" s="266"/>
      <c r="V258" s="266"/>
      <c r="W258" s="266"/>
      <c r="X258" s="266"/>
      <c r="Y258" s="266"/>
      <c r="Z258" s="266"/>
      <c r="AA258" s="266"/>
      <c r="AB258" s="266"/>
      <c r="AC258" s="266"/>
      <c r="AD258" s="266"/>
      <c r="AE258" s="266"/>
      <c r="AF258" s="266"/>
      <c r="AG258" s="266"/>
      <c r="AH258" s="266"/>
      <c r="AI258" s="266"/>
      <c r="AJ258" s="266"/>
      <c r="AK258" s="266"/>
      <c r="AL258" s="266"/>
      <c r="AM258" s="266"/>
      <c r="AN258" s="266"/>
      <c r="AO258" s="266"/>
      <c r="AP258" s="266"/>
      <c r="AQ258" s="266"/>
    </row>
    <row r="259" spans="3:43" outlineLevel="1">
      <c r="C259" s="405" t="s">
        <v>296</v>
      </c>
      <c r="D259" s="488">
        <f>1/10</f>
        <v>0.1</v>
      </c>
      <c r="E259" s="488">
        <v>0</v>
      </c>
      <c r="F259" s="266"/>
      <c r="G259" s="266"/>
      <c r="H259" s="266"/>
      <c r="I259" s="266"/>
      <c r="J259" s="266"/>
      <c r="K259" s="266"/>
      <c r="L259" s="266"/>
      <c r="M259" s="266"/>
      <c r="N259" s="266"/>
      <c r="O259" s="266"/>
      <c r="P259" s="266"/>
      <c r="Q259" s="266"/>
      <c r="R259" s="266"/>
      <c r="S259" s="266"/>
      <c r="T259" s="266"/>
      <c r="U259" s="266"/>
      <c r="V259" s="266"/>
      <c r="W259" s="266"/>
      <c r="X259" s="266"/>
      <c r="Y259" s="266"/>
      <c r="Z259" s="266"/>
      <c r="AA259" s="266"/>
      <c r="AB259" s="266"/>
      <c r="AC259" s="266"/>
      <c r="AD259" s="266"/>
      <c r="AE259" s="266"/>
      <c r="AF259" s="266"/>
      <c r="AG259" s="266"/>
      <c r="AH259" s="266"/>
      <c r="AI259" s="266"/>
      <c r="AJ259" s="266"/>
      <c r="AK259" s="266"/>
      <c r="AL259" s="266"/>
      <c r="AM259" s="266"/>
      <c r="AN259" s="266"/>
      <c r="AO259" s="266"/>
      <c r="AP259" s="266"/>
      <c r="AQ259" s="266"/>
    </row>
    <row r="260" spans="3:43" outlineLevel="1">
      <c r="C260" s="405" t="s">
        <v>297</v>
      </c>
      <c r="D260" s="488">
        <f>1/5</f>
        <v>0.2</v>
      </c>
      <c r="E260" s="488">
        <v>0.3</v>
      </c>
      <c r="F260" s="266"/>
      <c r="G260" s="266"/>
      <c r="H260" s="266"/>
      <c r="I260" s="266"/>
      <c r="J260" s="266"/>
      <c r="K260" s="266"/>
      <c r="L260" s="266"/>
      <c r="M260" s="266"/>
      <c r="N260" s="266"/>
      <c r="O260" s="266"/>
      <c r="P260" s="266"/>
      <c r="Q260" s="266"/>
      <c r="R260" s="266"/>
      <c r="S260" s="266"/>
      <c r="T260" s="266"/>
      <c r="U260" s="266"/>
      <c r="V260" s="266"/>
      <c r="W260" s="266"/>
      <c r="X260" s="266"/>
      <c r="Y260" s="266"/>
      <c r="Z260" s="266"/>
      <c r="AA260" s="266"/>
      <c r="AB260" s="266"/>
      <c r="AC260" s="266"/>
      <c r="AD260" s="266"/>
      <c r="AE260" s="266"/>
      <c r="AF260" s="266"/>
      <c r="AG260" s="266"/>
      <c r="AH260" s="266"/>
      <c r="AI260" s="266"/>
      <c r="AJ260" s="266"/>
      <c r="AK260" s="266"/>
      <c r="AL260" s="266"/>
      <c r="AM260" s="266"/>
      <c r="AN260" s="266"/>
      <c r="AO260" s="266"/>
      <c r="AP260" s="266"/>
      <c r="AQ260" s="266"/>
    </row>
    <row r="261" spans="3:43" outlineLevel="1">
      <c r="C261" s="405" t="s">
        <v>298</v>
      </c>
      <c r="D261" s="488">
        <v>0.1</v>
      </c>
      <c r="E261" s="488">
        <v>0</v>
      </c>
      <c r="F261" s="266"/>
      <c r="G261"/>
      <c r="H261" s="266"/>
      <c r="I261" s="266"/>
      <c r="J261" s="266"/>
      <c r="K261" s="266"/>
      <c r="L261" s="266"/>
      <c r="M261" s="266"/>
      <c r="N261" s="266"/>
      <c r="O261" s="266"/>
      <c r="P261" s="266"/>
      <c r="Q261" s="266"/>
      <c r="R261" s="266"/>
      <c r="S261" s="266"/>
      <c r="T261" s="266"/>
      <c r="U261" s="266"/>
      <c r="V261" s="266"/>
      <c r="W261" s="266"/>
      <c r="X261" s="266"/>
      <c r="Y261" s="266"/>
      <c r="Z261" s="266"/>
      <c r="AA261" s="266"/>
      <c r="AB261" s="266"/>
      <c r="AC261" s="266"/>
      <c r="AD261" s="266"/>
      <c r="AE261" s="266"/>
      <c r="AF261" s="266"/>
      <c r="AG261" s="266"/>
      <c r="AH261" s="266"/>
      <c r="AI261" s="266"/>
      <c r="AJ261" s="266"/>
      <c r="AK261" s="266"/>
      <c r="AL261" s="266"/>
      <c r="AM261" s="266"/>
      <c r="AN261" s="266"/>
      <c r="AO261" s="266"/>
      <c r="AP261" s="266"/>
      <c r="AQ261" s="266"/>
    </row>
    <row r="262" spans="3:43" outlineLevel="1">
      <c r="C262" s="405" t="s">
        <v>299</v>
      </c>
      <c r="D262" s="488">
        <f>1/10</f>
        <v>0.1</v>
      </c>
      <c r="E262" s="488">
        <v>0</v>
      </c>
      <c r="F262" s="266"/>
      <c r="G262" s="266"/>
      <c r="H262" s="266"/>
      <c r="I262" s="266"/>
      <c r="J262" s="266"/>
      <c r="K262" s="266"/>
      <c r="L262" s="266"/>
      <c r="M262" s="266"/>
      <c r="N262" s="266"/>
      <c r="O262" s="266"/>
      <c r="P262" s="266"/>
      <c r="Q262" s="266"/>
      <c r="R262" s="266"/>
      <c r="S262" s="266"/>
      <c r="T262" s="266"/>
      <c r="U262" s="266"/>
      <c r="V262" s="266"/>
      <c r="W262" s="266"/>
      <c r="X262" s="266"/>
      <c r="Y262" s="266"/>
      <c r="Z262" s="266"/>
      <c r="AA262" s="266"/>
      <c r="AB262" s="266"/>
      <c r="AC262" s="266"/>
      <c r="AD262" s="266"/>
      <c r="AE262" s="266"/>
      <c r="AF262" s="266"/>
      <c r="AG262" s="266"/>
      <c r="AH262" s="266"/>
      <c r="AI262" s="266"/>
      <c r="AJ262" s="266"/>
      <c r="AK262" s="266"/>
      <c r="AL262" s="266"/>
      <c r="AM262" s="266"/>
      <c r="AN262" s="266"/>
      <c r="AO262" s="266"/>
      <c r="AP262" s="266"/>
      <c r="AQ262" s="266"/>
    </row>
    <row r="263" spans="3:43" outlineLevel="1">
      <c r="C263" s="266"/>
      <c r="D263"/>
      <c r="E263"/>
      <c r="F263" s="266"/>
      <c r="G263"/>
      <c r="H263"/>
      <c r="I263"/>
      <c r="J263"/>
      <c r="K263"/>
      <c r="L263"/>
      <c r="M263"/>
      <c r="N263"/>
      <c r="O263"/>
      <c r="P263"/>
      <c r="Q263"/>
      <c r="R263"/>
      <c r="S263" s="266"/>
      <c r="T263" s="266"/>
      <c r="U263" s="266"/>
      <c r="V263" s="266"/>
      <c r="W263" s="266"/>
      <c r="X263" s="266"/>
      <c r="Y263" s="266"/>
      <c r="Z263" s="266"/>
      <c r="AA263" s="266"/>
      <c r="AB263" s="266"/>
      <c r="AC263" s="266"/>
      <c r="AD263" s="266"/>
      <c r="AE263" s="266"/>
      <c r="AF263" s="266"/>
      <c r="AG263" s="266"/>
      <c r="AH263" s="266"/>
      <c r="AI263" s="266"/>
      <c r="AJ263" s="266"/>
      <c r="AK263" s="266"/>
      <c r="AL263" s="266"/>
      <c r="AM263" s="266"/>
      <c r="AN263" s="266"/>
      <c r="AO263" s="266"/>
      <c r="AP263" s="266"/>
      <c r="AQ263" s="266"/>
    </row>
    <row r="264" spans="3:43">
      <c r="C264" s="266"/>
      <c r="D264" s="266"/>
      <c r="E264" s="266"/>
      <c r="F264" s="266"/>
      <c r="G264" s="266"/>
      <c r="H264" s="266"/>
      <c r="I264" s="266"/>
      <c r="J264" s="266"/>
      <c r="K264" s="266"/>
      <c r="L264" s="266"/>
      <c r="M264" s="266"/>
      <c r="N264" s="266"/>
      <c r="O264" s="266"/>
      <c r="P264" s="266"/>
      <c r="Q264" s="266"/>
      <c r="R264" s="266"/>
      <c r="S264" s="266"/>
      <c r="T264" s="266"/>
      <c r="U264" s="266"/>
      <c r="V264" s="266"/>
      <c r="W264" s="266"/>
      <c r="X264" s="266"/>
      <c r="Y264" s="266"/>
      <c r="Z264" s="266"/>
      <c r="AA264" s="266"/>
      <c r="AB264" s="266"/>
      <c r="AC264" s="266"/>
      <c r="AD264" s="266"/>
      <c r="AE264" s="266"/>
      <c r="AF264" s="266"/>
      <c r="AG264" s="266"/>
      <c r="AH264" s="266"/>
      <c r="AI264" s="266"/>
      <c r="AJ264" s="266"/>
      <c r="AK264" s="266"/>
      <c r="AL264" s="266"/>
      <c r="AM264" s="266"/>
      <c r="AN264" s="266"/>
      <c r="AO264" s="266"/>
      <c r="AP264" s="266"/>
      <c r="AQ264" s="266"/>
    </row>
    <row r="265" spans="3:43" ht="16.2" thickBot="1">
      <c r="C265" s="394" t="s">
        <v>123</v>
      </c>
      <c r="D265" s="395"/>
      <c r="E265" s="396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266"/>
      <c r="AO265" s="266"/>
      <c r="AP265" s="266"/>
      <c r="AQ265" s="266"/>
    </row>
    <row r="266" spans="3:43" outlineLevel="1">
      <c r="C266" s="266"/>
      <c r="D266" s="266"/>
      <c r="E266" s="266"/>
      <c r="F266" s="266"/>
      <c r="G266" s="266"/>
      <c r="H266" s="266"/>
      <c r="I266" s="266"/>
      <c r="J266" s="266"/>
      <c r="K266" s="266"/>
      <c r="L266" s="266"/>
      <c r="M266" s="266"/>
      <c r="N266" s="266"/>
      <c r="O266" s="266"/>
      <c r="P266" s="266"/>
      <c r="Q266" s="266"/>
      <c r="R266" s="266"/>
      <c r="S266" s="266"/>
      <c r="T266" s="266"/>
      <c r="U266" s="266"/>
      <c r="V266" s="266"/>
      <c r="W266" s="266"/>
      <c r="X266" s="266"/>
      <c r="Y266" s="266"/>
      <c r="Z266" s="266"/>
      <c r="AA266" s="266"/>
      <c r="AB266" s="266"/>
      <c r="AC266" s="266"/>
      <c r="AD266" s="266"/>
      <c r="AE266" s="266"/>
      <c r="AF266" s="266"/>
      <c r="AG266" s="266"/>
      <c r="AH266" s="266"/>
      <c r="AI266" s="266"/>
      <c r="AJ266" s="266"/>
      <c r="AK266" s="266"/>
      <c r="AL266" s="266"/>
      <c r="AM266" s="266"/>
      <c r="AN266" s="266"/>
      <c r="AO266" s="266"/>
      <c r="AP266" s="266"/>
      <c r="AQ266" s="266"/>
    </row>
    <row r="267" spans="3:43" outlineLevel="1">
      <c r="C267" s="11" t="s">
        <v>303</v>
      </c>
      <c r="D267" s="4"/>
      <c r="E267" s="408" t="s">
        <v>304</v>
      </c>
      <c r="F267" s="266"/>
      <c r="G267" s="266"/>
      <c r="H267" s="266"/>
      <c r="I267" s="266"/>
      <c r="J267" s="266"/>
      <c r="K267" s="266"/>
      <c r="L267" s="266"/>
      <c r="M267" s="266"/>
      <c r="N267" s="266"/>
      <c r="O267" s="266"/>
      <c r="P267" s="266"/>
      <c r="Q267" s="266"/>
      <c r="R267" s="266"/>
      <c r="S267" s="266"/>
      <c r="T267" s="266"/>
      <c r="U267" s="266"/>
      <c r="V267" s="266"/>
      <c r="W267" s="266"/>
      <c r="X267" s="266"/>
      <c r="Y267" s="266"/>
      <c r="Z267" s="266"/>
      <c r="AA267" s="266"/>
      <c r="AB267" s="266"/>
      <c r="AC267" s="266"/>
      <c r="AD267" s="266"/>
      <c r="AE267" s="266"/>
      <c r="AF267" s="266"/>
      <c r="AG267" s="266"/>
      <c r="AH267" s="266"/>
      <c r="AI267" s="266"/>
      <c r="AJ267" s="266"/>
      <c r="AK267" s="266"/>
      <c r="AL267" s="266"/>
      <c r="AM267" s="266"/>
      <c r="AN267" s="266"/>
      <c r="AO267" s="266"/>
      <c r="AP267" s="266"/>
      <c r="AQ267" s="266"/>
    </row>
    <row r="268" spans="3:43" outlineLevel="1">
      <c r="C268" s="266" t="s">
        <v>305</v>
      </c>
      <c r="D268" s="4" t="s">
        <v>304</v>
      </c>
      <c r="E268" s="416">
        <v>30</v>
      </c>
      <c r="F268" s="900"/>
      <c r="G268" s="266"/>
      <c r="H268" s="266"/>
      <c r="I268" s="266"/>
      <c r="J268" s="266"/>
      <c r="K268" s="266"/>
      <c r="L268" s="266"/>
      <c r="M268" s="266"/>
      <c r="N268" s="266"/>
      <c r="O268" s="266"/>
      <c r="P268" s="266"/>
      <c r="Q268" s="266"/>
      <c r="R268" s="266"/>
      <c r="S268" s="266"/>
      <c r="T268" s="266"/>
      <c r="U268" s="266"/>
      <c r="V268" s="266"/>
      <c r="W268" s="266"/>
      <c r="X268" s="266"/>
      <c r="Y268" s="266"/>
      <c r="Z268" s="266"/>
      <c r="AA268" s="266"/>
      <c r="AB268" s="266"/>
      <c r="AC268" s="266"/>
      <c r="AD268" s="266"/>
      <c r="AE268" s="266"/>
      <c r="AF268" s="266"/>
      <c r="AG268" s="266"/>
      <c r="AH268" s="266"/>
      <c r="AI268" s="266"/>
      <c r="AJ268" s="266"/>
      <c r="AK268" s="266"/>
      <c r="AL268" s="266"/>
      <c r="AM268" s="266"/>
      <c r="AN268" s="266"/>
      <c r="AO268" s="266"/>
      <c r="AP268" s="266"/>
      <c r="AQ268" s="266"/>
    </row>
    <row r="269" spans="3:43" outlineLevel="1">
      <c r="C269" s="266" t="s">
        <v>306</v>
      </c>
      <c r="D269" s="4" t="s">
        <v>304</v>
      </c>
      <c r="E269" s="416">
        <v>30</v>
      </c>
      <c r="F269" s="900"/>
      <c r="G269" s="266"/>
      <c r="H269" s="266"/>
      <c r="I269" s="266"/>
      <c r="J269" s="266"/>
      <c r="K269" s="266"/>
      <c r="L269" s="266"/>
      <c r="M269" s="266"/>
      <c r="N269" s="266"/>
      <c r="O269" s="266"/>
      <c r="P269" s="266"/>
      <c r="Q269" s="266"/>
      <c r="R269" s="266"/>
      <c r="S269" s="266"/>
      <c r="T269" s="266"/>
      <c r="U269" s="266"/>
      <c r="V269" s="266"/>
      <c r="W269" s="266"/>
      <c r="X269" s="266"/>
      <c r="Y269" s="266"/>
      <c r="Z269" s="266"/>
      <c r="AA269" s="266"/>
      <c r="AB269" s="266"/>
      <c r="AC269" s="266"/>
      <c r="AD269" s="266"/>
      <c r="AE269" s="266"/>
      <c r="AF269" s="266"/>
      <c r="AG269" s="266"/>
      <c r="AH269" s="266"/>
      <c r="AI269" s="266"/>
      <c r="AJ269" s="266"/>
      <c r="AK269" s="266"/>
      <c r="AL269" s="266"/>
      <c r="AM269" s="266"/>
      <c r="AN269" s="266"/>
      <c r="AO269" s="266"/>
      <c r="AP269" s="266"/>
      <c r="AQ269" s="266"/>
    </row>
    <row r="270" spans="3:43" outlineLevel="1">
      <c r="C270" s="266" t="s">
        <v>108</v>
      </c>
      <c r="D270" s="4" t="s">
        <v>304</v>
      </c>
      <c r="E270" s="416">
        <v>45</v>
      </c>
      <c r="F270" s="900"/>
      <c r="G270" s="266"/>
      <c r="H270" s="266"/>
      <c r="I270" s="266"/>
      <c r="J270" s="266"/>
      <c r="K270" s="266"/>
      <c r="L270" s="266"/>
      <c r="M270" s="266"/>
      <c r="N270" s="266"/>
      <c r="O270" s="266"/>
      <c r="P270" s="266"/>
      <c r="Q270" s="266"/>
      <c r="R270" s="266"/>
      <c r="S270" s="266"/>
      <c r="T270" s="266"/>
      <c r="U270" s="266"/>
      <c r="V270" s="266"/>
      <c r="W270" s="266"/>
      <c r="X270" s="266"/>
      <c r="Y270" s="266"/>
      <c r="Z270" s="266"/>
      <c r="AA270" s="266"/>
      <c r="AB270" s="266"/>
      <c r="AC270" s="266"/>
      <c r="AD270" s="266"/>
      <c r="AE270" s="266"/>
      <c r="AF270" s="266"/>
      <c r="AG270" s="266"/>
      <c r="AH270" s="266"/>
      <c r="AI270" s="266"/>
      <c r="AJ270" s="266"/>
      <c r="AK270" s="266"/>
      <c r="AL270" s="266"/>
      <c r="AM270" s="266"/>
      <c r="AN270" s="266"/>
      <c r="AO270" s="266"/>
      <c r="AP270" s="266"/>
      <c r="AQ270" s="266"/>
    </row>
    <row r="271" spans="3:43" outlineLevel="1">
      <c r="C271" s="266" t="s">
        <v>307</v>
      </c>
      <c r="D271" s="4" t="s">
        <v>304</v>
      </c>
      <c r="E271" s="416">
        <v>45</v>
      </c>
      <c r="F271" s="900"/>
      <c r="G271" s="266"/>
      <c r="H271" s="266"/>
      <c r="I271" s="266"/>
      <c r="J271" s="266"/>
      <c r="K271" s="266"/>
      <c r="L271" s="266"/>
      <c r="M271" s="266"/>
      <c r="N271" s="266"/>
      <c r="O271" s="266"/>
      <c r="P271" s="266"/>
      <c r="Q271" s="266"/>
      <c r="R271" s="266"/>
      <c r="S271" s="266"/>
      <c r="T271" s="266"/>
      <c r="U271" s="266"/>
      <c r="V271" s="266"/>
      <c r="W271" s="266"/>
      <c r="X271" s="266"/>
      <c r="Y271" s="266"/>
      <c r="Z271" s="266"/>
      <c r="AA271" s="266"/>
      <c r="AB271" s="266"/>
      <c r="AC271" s="266"/>
      <c r="AD271" s="266"/>
      <c r="AE271" s="266"/>
      <c r="AF271" s="266"/>
      <c r="AG271" s="266"/>
      <c r="AH271" s="266"/>
      <c r="AI271" s="266"/>
      <c r="AJ271" s="266"/>
      <c r="AK271" s="266"/>
      <c r="AL271" s="266"/>
      <c r="AM271" s="266"/>
      <c r="AN271" s="266"/>
      <c r="AO271" s="266"/>
      <c r="AP271" s="266"/>
      <c r="AQ271" s="266"/>
    </row>
    <row r="272" spans="3:43">
      <c r="C272" s="266"/>
      <c r="D272" s="266"/>
      <c r="E272" s="266"/>
      <c r="F272" s="266"/>
      <c r="G272" s="266"/>
      <c r="H272" s="266"/>
      <c r="I272" s="266"/>
      <c r="J272" s="266"/>
      <c r="K272" s="266"/>
      <c r="L272" s="266"/>
      <c r="M272" s="266"/>
      <c r="N272" s="266"/>
      <c r="O272" s="266"/>
      <c r="P272" s="266"/>
      <c r="Q272" s="266"/>
      <c r="R272" s="266"/>
      <c r="S272" s="266"/>
      <c r="T272" s="266"/>
      <c r="U272" s="266"/>
      <c r="V272" s="266"/>
      <c r="W272" s="266"/>
      <c r="X272" s="266"/>
      <c r="Y272" s="266"/>
      <c r="Z272" s="266"/>
      <c r="AA272" s="266"/>
      <c r="AB272" s="266"/>
      <c r="AC272" s="266"/>
      <c r="AD272" s="266"/>
      <c r="AE272" s="266"/>
      <c r="AF272" s="266"/>
      <c r="AG272" s="266"/>
      <c r="AH272" s="266"/>
      <c r="AI272" s="266"/>
      <c r="AJ272" s="266"/>
      <c r="AK272" s="266"/>
      <c r="AL272" s="266"/>
      <c r="AM272" s="266"/>
      <c r="AN272" s="266"/>
      <c r="AO272" s="266"/>
      <c r="AP272" s="266"/>
      <c r="AQ272" s="266"/>
    </row>
    <row r="273" spans="3:43" ht="16.2" thickBot="1">
      <c r="C273" s="394" t="s">
        <v>308</v>
      </c>
      <c r="D273" s="395"/>
      <c r="E273" s="396"/>
      <c r="F273" s="395"/>
      <c r="G273" s="395"/>
      <c r="H273" s="395"/>
      <c r="I273" s="395"/>
      <c r="J273" s="395"/>
      <c r="K273" s="395"/>
      <c r="L273" s="395"/>
      <c r="M273" s="395"/>
      <c r="N273" s="395"/>
      <c r="O273" s="395"/>
      <c r="P273" s="395"/>
      <c r="Q273" s="395"/>
      <c r="R273" s="395"/>
      <c r="S273" s="395"/>
      <c r="T273" s="395"/>
      <c r="U273" s="395"/>
      <c r="V273" s="395"/>
      <c r="W273" s="395"/>
      <c r="X273" s="395"/>
      <c r="Y273" s="395"/>
      <c r="Z273" s="395"/>
      <c r="AA273" s="395"/>
      <c r="AB273" s="395"/>
      <c r="AC273" s="395"/>
      <c r="AD273" s="395"/>
      <c r="AE273" s="395"/>
      <c r="AF273" s="395"/>
      <c r="AG273" s="395"/>
      <c r="AH273" s="395"/>
      <c r="AI273" s="395"/>
      <c r="AJ273" s="395"/>
      <c r="AK273" s="8"/>
      <c r="AL273" s="8"/>
      <c r="AM273" s="8"/>
      <c r="AN273" s="266"/>
      <c r="AO273" s="266"/>
      <c r="AP273" s="266"/>
      <c r="AQ273" s="266"/>
    </row>
    <row r="274" spans="3:43" outlineLevel="1">
      <c r="C274" s="2" t="s">
        <v>309</v>
      </c>
      <c r="D274" s="266"/>
      <c r="E274" s="266"/>
      <c r="F274" s="266"/>
      <c r="G274" s="266"/>
      <c r="H274" s="266"/>
      <c r="I274" s="266"/>
      <c r="J274" s="266"/>
      <c r="K274" s="266"/>
      <c r="L274" s="266"/>
      <c r="M274" s="266"/>
      <c r="N274" s="266"/>
      <c r="O274" s="266"/>
      <c r="P274" s="266"/>
      <c r="Q274" s="266"/>
      <c r="R274" s="266"/>
      <c r="S274" s="266"/>
      <c r="T274" s="266"/>
      <c r="U274" s="266"/>
      <c r="V274" s="266"/>
      <c r="W274" s="266"/>
      <c r="X274" s="266"/>
      <c r="Y274" s="266"/>
      <c r="Z274" s="266"/>
      <c r="AA274" s="266"/>
      <c r="AB274" s="266"/>
      <c r="AC274" s="266"/>
      <c r="AD274" s="266"/>
      <c r="AE274" s="266"/>
      <c r="AF274" s="266"/>
      <c r="AG274" s="266"/>
      <c r="AH274" s="266"/>
      <c r="AI274" s="266"/>
      <c r="AJ274" s="266"/>
      <c r="AK274" s="266"/>
      <c r="AL274" s="266"/>
      <c r="AM274" s="266"/>
      <c r="AN274" s="266"/>
      <c r="AO274" s="266"/>
      <c r="AP274" s="266"/>
      <c r="AQ274" s="266"/>
    </row>
    <row r="275" spans="3:43" outlineLevel="1">
      <c r="C275" s="266" t="s">
        <v>310</v>
      </c>
      <c r="D275" s="52" t="s">
        <v>23</v>
      </c>
      <c r="E275" s="410">
        <v>0.15</v>
      </c>
      <c r="F275" s="266"/>
      <c r="G275" s="266"/>
      <c r="H275" s="266"/>
      <c r="I275" s="266"/>
      <c r="J275" s="266"/>
      <c r="K275" s="266"/>
      <c r="L275" s="266"/>
      <c r="M275" s="266"/>
      <c r="N275" s="266"/>
      <c r="O275" s="266"/>
      <c r="P275" s="266"/>
      <c r="Q275" s="266"/>
      <c r="R275" s="266"/>
      <c r="S275" s="266"/>
      <c r="T275" s="266"/>
      <c r="U275" s="266"/>
      <c r="V275" s="266"/>
      <c r="W275" s="266"/>
      <c r="X275" s="266"/>
      <c r="Y275" s="266"/>
      <c r="Z275" s="266"/>
      <c r="AA275" s="266"/>
      <c r="AB275" s="266"/>
      <c r="AC275" s="266"/>
      <c r="AD275" s="266"/>
      <c r="AE275" s="266"/>
      <c r="AF275" s="266"/>
      <c r="AG275" s="266"/>
      <c r="AH275" s="266"/>
      <c r="AI275" s="266"/>
      <c r="AJ275" s="266"/>
      <c r="AK275" s="266"/>
      <c r="AL275" s="266"/>
      <c r="AM275" s="266"/>
      <c r="AN275" s="266"/>
      <c r="AO275" s="266"/>
      <c r="AP275" s="266"/>
      <c r="AQ275" s="266"/>
    </row>
    <row r="276" spans="3:43" outlineLevel="1">
      <c r="C276" s="266" t="s">
        <v>311</v>
      </c>
      <c r="D276" s="52" t="s">
        <v>23</v>
      </c>
      <c r="E276" s="410">
        <v>0.1</v>
      </c>
      <c r="F276" s="266"/>
      <c r="G276" s="266"/>
      <c r="H276" s="266"/>
      <c r="I276" s="266"/>
      <c r="J276" s="266"/>
      <c r="K276" s="266"/>
      <c r="L276" s="266"/>
      <c r="M276" s="266"/>
      <c r="N276" s="266"/>
      <c r="O276" s="266"/>
      <c r="P276" s="266"/>
      <c r="Q276" s="266"/>
      <c r="R276" s="266"/>
      <c r="S276" s="266"/>
      <c r="T276" s="266"/>
      <c r="U276" s="266"/>
      <c r="V276" s="266"/>
      <c r="W276" s="266"/>
      <c r="X276" s="266"/>
      <c r="Y276" s="266"/>
      <c r="Z276" s="266"/>
      <c r="AA276" s="266"/>
      <c r="AB276" s="266"/>
      <c r="AC276" s="266"/>
      <c r="AD276" s="266"/>
      <c r="AE276" s="266"/>
      <c r="AF276" s="266"/>
      <c r="AG276" s="266"/>
      <c r="AH276" s="266"/>
      <c r="AI276" s="266"/>
      <c r="AJ276" s="266"/>
      <c r="AK276" s="266"/>
      <c r="AL276" s="266"/>
      <c r="AM276" s="266"/>
      <c r="AN276" s="266"/>
      <c r="AO276" s="266"/>
      <c r="AP276" s="266"/>
      <c r="AQ276" s="266"/>
    </row>
    <row r="277" spans="3:43" outlineLevel="1">
      <c r="C277" s="266" t="s">
        <v>312</v>
      </c>
      <c r="D277" s="52" t="s">
        <v>313</v>
      </c>
      <c r="E277" s="414">
        <v>240000</v>
      </c>
      <c r="F277" s="266"/>
      <c r="G277" s="266"/>
      <c r="H277" s="266"/>
      <c r="I277" s="266"/>
      <c r="J277" s="266"/>
      <c r="K277" s="266"/>
      <c r="L277" s="266"/>
      <c r="M277" s="266"/>
      <c r="N277" s="266"/>
      <c r="O277" s="266"/>
      <c r="P277" s="266"/>
      <c r="Q277" s="266"/>
      <c r="R277" s="266"/>
      <c r="S277" s="266"/>
      <c r="T277" s="266"/>
      <c r="U277" s="266"/>
      <c r="V277" s="266"/>
      <c r="W277" s="266"/>
      <c r="X277" s="266"/>
      <c r="Y277" s="266"/>
      <c r="Z277" s="266"/>
      <c r="AA277" s="266"/>
      <c r="AB277" s="266"/>
      <c r="AC277" s="266"/>
      <c r="AD277" s="266"/>
      <c r="AE277" s="266"/>
      <c r="AF277" s="266"/>
      <c r="AG277" s="266"/>
      <c r="AH277" s="266"/>
      <c r="AI277" s="266"/>
      <c r="AJ277" s="266"/>
      <c r="AK277" s="266"/>
      <c r="AL277" s="266"/>
      <c r="AM277" s="266"/>
      <c r="AN277" s="266"/>
      <c r="AO277" s="266"/>
      <c r="AP277" s="266"/>
      <c r="AQ277" s="266"/>
    </row>
    <row r="278" spans="3:43" outlineLevel="1">
      <c r="C278" s="266" t="s">
        <v>314</v>
      </c>
      <c r="D278" s="52" t="s">
        <v>23</v>
      </c>
      <c r="E278" s="410">
        <v>0.09</v>
      </c>
      <c r="F278" s="266"/>
      <c r="G278" s="266"/>
      <c r="H278" s="266"/>
      <c r="I278" s="266"/>
      <c r="J278" s="266"/>
      <c r="K278" s="266"/>
      <c r="L278" s="266"/>
      <c r="M278" s="266"/>
      <c r="N278" s="266"/>
      <c r="O278" s="266"/>
      <c r="P278" s="266"/>
      <c r="Q278" s="266"/>
      <c r="R278" s="266"/>
      <c r="S278" s="266"/>
      <c r="T278" s="266"/>
      <c r="U278" s="266"/>
      <c r="V278" s="266"/>
      <c r="W278" s="266"/>
      <c r="X278" s="266"/>
      <c r="Y278" s="266"/>
      <c r="Z278" s="266"/>
      <c r="AA278" s="266"/>
      <c r="AB278" s="266"/>
      <c r="AC278" s="266"/>
      <c r="AD278" s="266"/>
      <c r="AE278" s="266"/>
      <c r="AF278" s="266"/>
      <c r="AG278" s="266"/>
      <c r="AH278" s="266"/>
      <c r="AI278" s="266"/>
      <c r="AJ278" s="266"/>
      <c r="AK278" s="266"/>
      <c r="AL278" s="266"/>
      <c r="AM278" s="266"/>
      <c r="AN278" s="266"/>
      <c r="AO278" s="266"/>
      <c r="AP278" s="266"/>
      <c r="AQ278" s="266"/>
    </row>
    <row r="279" spans="3:43" outlineLevel="1">
      <c r="C279" s="266" t="s">
        <v>315</v>
      </c>
      <c r="D279" s="52" t="s">
        <v>23</v>
      </c>
      <c r="E279" s="410">
        <v>0.3</v>
      </c>
      <c r="F279" s="266"/>
      <c r="G279" s="266"/>
      <c r="H279" s="266"/>
      <c r="I279" s="266"/>
      <c r="J279" s="266"/>
      <c r="K279" s="266"/>
      <c r="L279" s="266"/>
      <c r="M279" s="266"/>
      <c r="N279" s="266"/>
      <c r="O279" s="266"/>
      <c r="P279" s="266"/>
      <c r="Q279" s="266"/>
      <c r="R279" s="266"/>
      <c r="S279" s="266"/>
      <c r="T279" s="266"/>
      <c r="U279" s="266"/>
      <c r="V279" s="266"/>
      <c r="W279" s="266"/>
      <c r="X279" s="266"/>
      <c r="Y279" s="266"/>
      <c r="Z279" s="266"/>
      <c r="AA279" s="266"/>
      <c r="AB279" s="266"/>
      <c r="AC279" s="266"/>
      <c r="AD279" s="266"/>
      <c r="AE279" s="266"/>
      <c r="AF279" s="266"/>
      <c r="AG279" s="266"/>
      <c r="AH279" s="266"/>
      <c r="AI279" s="266"/>
      <c r="AJ279" s="266"/>
      <c r="AK279" s="266"/>
      <c r="AL279" s="266"/>
      <c r="AM279" s="266"/>
      <c r="AN279" s="266"/>
      <c r="AO279" s="266"/>
      <c r="AP279" s="266"/>
      <c r="AQ279" s="266"/>
    </row>
    <row r="280" spans="3:43">
      <c r="C280" s="266"/>
      <c r="D280" s="266"/>
      <c r="E280" s="266"/>
      <c r="F280" s="266"/>
      <c r="G280" s="266"/>
      <c r="H280" s="266"/>
      <c r="I280" s="266"/>
      <c r="J280" s="266"/>
      <c r="K280" s="266"/>
      <c r="L280" s="266"/>
      <c r="M280" s="266"/>
      <c r="N280" s="266"/>
      <c r="O280" s="266"/>
      <c r="P280" s="266"/>
      <c r="Q280" s="266"/>
      <c r="R280" s="266"/>
      <c r="S280" s="266"/>
      <c r="T280" s="266"/>
      <c r="U280" s="266"/>
      <c r="V280" s="266"/>
      <c r="W280" s="266"/>
      <c r="X280" s="266"/>
      <c r="Y280" s="266"/>
      <c r="Z280" s="266"/>
      <c r="AA280" s="266"/>
      <c r="AB280" s="266"/>
      <c r="AC280" s="266"/>
      <c r="AD280" s="266"/>
      <c r="AE280" s="266"/>
      <c r="AF280" s="266"/>
      <c r="AG280" s="266"/>
      <c r="AH280" s="266"/>
      <c r="AI280" s="266"/>
      <c r="AJ280" s="266"/>
      <c r="AK280" s="266"/>
      <c r="AL280" s="266"/>
      <c r="AM280" s="266"/>
      <c r="AN280" s="266"/>
      <c r="AO280" s="266"/>
      <c r="AP280" s="266"/>
      <c r="AQ280" s="266"/>
    </row>
    <row r="281" spans="3:43" ht="16.2" thickBot="1">
      <c r="C281" s="394" t="s">
        <v>316</v>
      </c>
      <c r="D281" s="395"/>
      <c r="E281" s="396"/>
      <c r="F281" s="395"/>
      <c r="G281" s="395"/>
      <c r="H281" s="395"/>
      <c r="I281" s="395"/>
      <c r="J281" s="395"/>
      <c r="K281" s="395"/>
      <c r="L281" s="395"/>
      <c r="M281" s="395"/>
      <c r="N281" s="395"/>
      <c r="O281" s="395"/>
      <c r="P281" s="395"/>
      <c r="Q281" s="395"/>
      <c r="R281" s="395"/>
      <c r="S281" s="395"/>
      <c r="T281" s="395"/>
      <c r="U281" s="395"/>
      <c r="V281" s="395"/>
      <c r="W281" s="395"/>
      <c r="X281" s="395"/>
      <c r="Y281" s="395"/>
      <c r="Z281" s="395"/>
      <c r="AA281" s="395"/>
      <c r="AB281" s="395"/>
      <c r="AC281" s="395"/>
      <c r="AD281" s="395"/>
      <c r="AE281" s="395"/>
      <c r="AF281" s="395"/>
      <c r="AG281" s="395"/>
      <c r="AH281" s="395"/>
      <c r="AI281" s="395"/>
      <c r="AJ281" s="395"/>
      <c r="AK281" s="8"/>
      <c r="AL281" s="8"/>
      <c r="AM281" s="8"/>
      <c r="AN281" s="266"/>
      <c r="AO281" s="266"/>
      <c r="AP281" s="266"/>
      <c r="AQ281" s="266"/>
    </row>
    <row r="282" spans="3:43" outlineLevel="1">
      <c r="C282" s="266"/>
      <c r="D282" s="266"/>
      <c r="E282" s="266"/>
      <c r="F282" s="266"/>
      <c r="G282" s="266"/>
      <c r="H282" s="266"/>
      <c r="I282" s="266"/>
      <c r="J282" s="266"/>
      <c r="K282" s="266"/>
      <c r="L282" s="266"/>
      <c r="M282" s="266"/>
      <c r="N282" s="266"/>
      <c r="O282" s="266"/>
      <c r="P282" s="266"/>
      <c r="Q282" s="266"/>
      <c r="R282" s="266"/>
      <c r="S282" s="266"/>
      <c r="T282" s="266"/>
      <c r="U282" s="266"/>
      <c r="V282" s="266"/>
      <c r="W282" s="266"/>
      <c r="X282" s="266"/>
      <c r="Y282" s="266"/>
      <c r="Z282" s="266"/>
      <c r="AA282" s="266"/>
      <c r="AB282" s="266"/>
      <c r="AC282" s="266"/>
      <c r="AD282" s="266"/>
      <c r="AE282" s="266"/>
      <c r="AF282" s="266"/>
      <c r="AG282" s="266"/>
      <c r="AH282" s="266"/>
      <c r="AI282" s="266"/>
      <c r="AJ282" s="266"/>
      <c r="AK282" s="266"/>
      <c r="AL282" s="266"/>
      <c r="AM282" s="266"/>
      <c r="AN282" s="266"/>
      <c r="AO282" s="266"/>
      <c r="AP282" s="266"/>
      <c r="AQ282" s="266"/>
    </row>
    <row r="283" spans="3:43" outlineLevel="1">
      <c r="C283" s="140" t="s">
        <v>55</v>
      </c>
      <c r="D283" s="266"/>
      <c r="E283" s="266"/>
      <c r="F283" s="266"/>
      <c r="G283" s="266"/>
      <c r="H283" s="266"/>
      <c r="I283" s="266"/>
      <c r="J283" s="266"/>
      <c r="K283" s="266"/>
      <c r="L283" s="266"/>
      <c r="M283" s="266"/>
      <c r="N283" s="266"/>
      <c r="O283" s="266"/>
      <c r="P283" s="266"/>
      <c r="Q283" s="266"/>
      <c r="R283" s="266"/>
      <c r="S283" s="266"/>
      <c r="T283" s="266"/>
      <c r="U283" s="266"/>
      <c r="V283" s="266"/>
      <c r="W283" s="266"/>
      <c r="X283" s="266"/>
      <c r="Y283" s="266"/>
      <c r="Z283" s="266"/>
      <c r="AA283" s="266"/>
      <c r="AB283" s="266"/>
      <c r="AC283" s="266"/>
      <c r="AD283" s="266"/>
      <c r="AE283" s="266"/>
      <c r="AF283" s="266"/>
      <c r="AG283" s="266"/>
      <c r="AH283" s="266"/>
      <c r="AI283" s="266"/>
      <c r="AJ283" s="266"/>
      <c r="AK283" s="266"/>
      <c r="AL283" s="266"/>
      <c r="AM283" s="266"/>
      <c r="AN283" s="266"/>
      <c r="AO283" s="266"/>
      <c r="AP283" s="266"/>
      <c r="AQ283" s="266"/>
    </row>
    <row r="284" spans="3:43" outlineLevel="2">
      <c r="C284" s="417" t="s">
        <v>317</v>
      </c>
      <c r="D284" s="417"/>
      <c r="E284" s="266"/>
      <c r="F284" s="140"/>
      <c r="G284" s="266"/>
      <c r="H284" s="266"/>
      <c r="I284" s="266"/>
      <c r="J284" s="266"/>
      <c r="K284" s="266"/>
      <c r="L284" s="266"/>
      <c r="M284" s="266"/>
      <c r="N284" s="266"/>
      <c r="O284" s="266"/>
      <c r="P284" s="266"/>
      <c r="Q284" s="266"/>
      <c r="R284" s="266"/>
      <c r="S284" s="266"/>
      <c r="T284" s="266"/>
      <c r="U284" s="266"/>
      <c r="V284" s="266"/>
      <c r="W284" s="266"/>
      <c r="X284" s="266"/>
      <c r="Y284" s="266"/>
      <c r="Z284" s="266"/>
      <c r="AA284" s="266"/>
      <c r="AB284" s="266"/>
      <c r="AC284" s="266"/>
      <c r="AD284" s="266"/>
      <c r="AE284" s="266"/>
      <c r="AF284" s="266"/>
      <c r="AG284" s="266"/>
      <c r="AH284" s="266"/>
      <c r="AI284" s="266"/>
      <c r="AJ284" s="266"/>
      <c r="AK284" s="266"/>
      <c r="AL284" s="266"/>
      <c r="AM284" s="266"/>
      <c r="AN284" s="266"/>
      <c r="AO284" s="266"/>
      <c r="AP284" s="266"/>
      <c r="AQ284" s="266"/>
    </row>
    <row r="285" spans="3:43" outlineLevel="2">
      <c r="C285" s="305" t="s">
        <v>318</v>
      </c>
      <c r="D285" s="306" t="s">
        <v>319</v>
      </c>
      <c r="E285" s="266"/>
      <c r="F285" s="307" t="s">
        <v>319</v>
      </c>
      <c r="G285" s="266"/>
      <c r="H285" s="266"/>
      <c r="I285" s="266"/>
      <c r="J285" s="266"/>
      <c r="K285" s="266"/>
      <c r="L285" s="266"/>
      <c r="M285" s="266"/>
      <c r="N285" s="266"/>
      <c r="O285" s="266"/>
      <c r="P285" s="266"/>
      <c r="Q285" s="266"/>
      <c r="R285" s="266"/>
      <c r="S285" s="266"/>
      <c r="T285" s="266"/>
      <c r="U285" s="266"/>
      <c r="V285" s="266"/>
      <c r="W285" s="266"/>
      <c r="X285" s="266"/>
      <c r="Y285" s="266"/>
      <c r="Z285" s="266"/>
      <c r="AA285" s="266"/>
      <c r="AB285" s="266"/>
      <c r="AC285" s="266"/>
      <c r="AD285" s="266"/>
      <c r="AE285" s="266"/>
      <c r="AF285" s="266"/>
      <c r="AG285" s="266"/>
      <c r="AH285" s="266"/>
      <c r="AI285" s="266"/>
      <c r="AJ285" s="266"/>
      <c r="AK285" s="266"/>
      <c r="AL285" s="266"/>
      <c r="AM285" s="266"/>
      <c r="AN285" s="266"/>
      <c r="AO285" s="266"/>
      <c r="AP285" s="266"/>
      <c r="AQ285" s="266"/>
    </row>
    <row r="286" spans="3:43" outlineLevel="2">
      <c r="C286" s="305" t="s">
        <v>320</v>
      </c>
      <c r="D286" s="306" t="s">
        <v>321</v>
      </c>
      <c r="E286" s="266"/>
      <c r="F286" s="307"/>
      <c r="G286" s="266"/>
      <c r="H286" s="140" t="s">
        <v>322</v>
      </c>
      <c r="I286" s="266"/>
      <c r="J286" s="11"/>
      <c r="K286" s="266"/>
      <c r="L286" s="266"/>
      <c r="M286" s="266"/>
      <c r="N286" s="266"/>
      <c r="O286" s="266"/>
      <c r="P286" s="266"/>
      <c r="Q286" s="266"/>
      <c r="R286" s="266"/>
      <c r="S286" s="266"/>
      <c r="T286" s="266"/>
      <c r="U286" s="266"/>
      <c r="V286" s="266"/>
      <c r="W286" s="266"/>
      <c r="X286" s="266"/>
      <c r="Y286" s="266"/>
      <c r="Z286" s="266"/>
      <c r="AA286" s="266"/>
      <c r="AB286" s="266"/>
      <c r="AC286" s="266"/>
      <c r="AD286" s="266"/>
      <c r="AE286" s="266"/>
      <c r="AF286" s="266"/>
      <c r="AG286" s="266"/>
      <c r="AH286" s="266"/>
      <c r="AI286" s="266"/>
      <c r="AJ286" s="266"/>
      <c r="AK286" s="266"/>
      <c r="AL286" s="266"/>
      <c r="AM286" s="266"/>
      <c r="AN286" s="266"/>
      <c r="AO286" s="266"/>
      <c r="AP286" s="266"/>
      <c r="AQ286" s="266"/>
    </row>
    <row r="287" spans="3:43" outlineLevel="2">
      <c r="C287" s="303"/>
      <c r="D287" s="266"/>
      <c r="E287" s="266"/>
      <c r="F287" s="266"/>
      <c r="G287" s="266"/>
      <c r="H287" s="418" t="s">
        <v>198</v>
      </c>
      <c r="I287" s="418" t="s">
        <v>199</v>
      </c>
      <c r="J287" s="418" t="s">
        <v>200</v>
      </c>
      <c r="K287" s="418" t="s">
        <v>201</v>
      </c>
      <c r="L287" s="418" t="s">
        <v>202</v>
      </c>
      <c r="M287" s="418" t="s">
        <v>203</v>
      </c>
      <c r="N287" s="418" t="s">
        <v>204</v>
      </c>
      <c r="O287" s="418" t="s">
        <v>205</v>
      </c>
      <c r="P287" s="418" t="s">
        <v>206</v>
      </c>
      <c r="Q287" s="418" t="s">
        <v>207</v>
      </c>
      <c r="R287" s="418" t="s">
        <v>208</v>
      </c>
      <c r="S287" s="418" t="s">
        <v>209</v>
      </c>
      <c r="T287" s="418" t="s">
        <v>210</v>
      </c>
      <c r="U287" s="418" t="s">
        <v>211</v>
      </c>
      <c r="V287" s="418" t="s">
        <v>212</v>
      </c>
      <c r="W287" s="418" t="s">
        <v>213</v>
      </c>
      <c r="X287" s="418" t="s">
        <v>214</v>
      </c>
      <c r="Y287" s="418" t="s">
        <v>215</v>
      </c>
      <c r="Z287" s="418" t="s">
        <v>216</v>
      </c>
      <c r="AA287" s="418" t="s">
        <v>217</v>
      </c>
      <c r="AB287" s="418" t="s">
        <v>218</v>
      </c>
      <c r="AC287" s="418" t="s">
        <v>219</v>
      </c>
      <c r="AD287" s="418" t="s">
        <v>220</v>
      </c>
      <c r="AE287" s="418" t="s">
        <v>221</v>
      </c>
      <c r="AF287" s="418" t="s">
        <v>222</v>
      </c>
      <c r="AG287" s="418" t="s">
        <v>223</v>
      </c>
      <c r="AH287" s="418" t="s">
        <v>224</v>
      </c>
      <c r="AI287" s="418" t="s">
        <v>225</v>
      </c>
      <c r="AJ287" s="418" t="s">
        <v>226</v>
      </c>
      <c r="AK287" s="418" t="s">
        <v>227</v>
      </c>
      <c r="AL287" s="266"/>
      <c r="AM287" s="266"/>
      <c r="AN287"/>
      <c r="AO287"/>
      <c r="AP287" s="266"/>
      <c r="AQ287" s="266"/>
    </row>
    <row r="288" spans="3:43" outlineLevel="2">
      <c r="C288" s="402" t="s">
        <v>323</v>
      </c>
      <c r="D288" s="486">
        <v>2.5000000000000001E-2</v>
      </c>
      <c r="E288" s="304"/>
      <c r="F288" s="3"/>
      <c r="G288" s="266" t="s">
        <v>324</v>
      </c>
      <c r="H288" s="410">
        <f>CAPEX!C227</f>
        <v>0.22222567603500051</v>
      </c>
      <c r="I288" s="410">
        <f>CAPEX!D227</f>
        <v>3.0367712118328605E-2</v>
      </c>
      <c r="J288" s="410">
        <f>CAPEX!E227</f>
        <v>3.5957736686532946E-2</v>
      </c>
      <c r="K288" s="410">
        <f>CAPEX!F227</f>
        <v>8.1932305976708704E-3</v>
      </c>
      <c r="L288" s="410">
        <f>CAPEX!G227</f>
        <v>1.5739349285929263E-2</v>
      </c>
      <c r="M288" s="410">
        <f>CAPEX!H227</f>
        <v>0.25379054077325347</v>
      </c>
      <c r="N288" s="410">
        <f>CAPEX!I227</f>
        <v>4.9826860544263689E-3</v>
      </c>
      <c r="O288" s="410">
        <f>CAPEX!J227</f>
        <v>0.16889479219453438</v>
      </c>
      <c r="P288" s="410">
        <f>CAPEX!K227</f>
        <v>8.9518104479835317E-4</v>
      </c>
      <c r="Q288" s="410">
        <f>CAPEX!L227</f>
        <v>1.7443459531897364E-2</v>
      </c>
      <c r="R288" s="410">
        <f>CAPEX!M227</f>
        <v>2.9966007529082968E-2</v>
      </c>
      <c r="S288" s="410">
        <f>CAPEX!N227</f>
        <v>2.2682495488048616E-2</v>
      </c>
      <c r="T288" s="410">
        <f>CAPEX!O227</f>
        <v>1.6456695376311201E-2</v>
      </c>
      <c r="U288" s="410">
        <f>CAPEX!P227</f>
        <v>3.6877914016093974E-3</v>
      </c>
      <c r="V288" s="410">
        <f>CAPEX!Q227</f>
        <v>0.16871664588257568</v>
      </c>
      <c r="W288" s="410">
        <f>CAPEX!R227</f>
        <v>0</v>
      </c>
      <c r="X288" s="410">
        <f>CAPEX!S227</f>
        <v>0</v>
      </c>
      <c r="Y288" s="410">
        <f>CAPEX!T227</f>
        <v>0</v>
      </c>
      <c r="Z288" s="410">
        <f>CAPEX!U227</f>
        <v>0</v>
      </c>
      <c r="AA288" s="410">
        <f>CAPEX!V227</f>
        <v>0</v>
      </c>
      <c r="AB288" s="410">
        <f>CAPEX!W227</f>
        <v>0</v>
      </c>
      <c r="AC288" s="410">
        <f>CAPEX!X227</f>
        <v>0</v>
      </c>
      <c r="AD288" s="410">
        <f>CAPEX!Y227</f>
        <v>0</v>
      </c>
      <c r="AE288" s="410">
        <f>CAPEX!Z227</f>
        <v>0</v>
      </c>
      <c r="AF288" s="410">
        <f>CAPEX!AA227</f>
        <v>0</v>
      </c>
      <c r="AG288" s="410">
        <f>CAPEX!AB227</f>
        <v>0</v>
      </c>
      <c r="AH288" s="410">
        <f>CAPEX!AC227</f>
        <v>0</v>
      </c>
      <c r="AI288" s="410">
        <f>CAPEX!AD227</f>
        <v>0</v>
      </c>
      <c r="AJ288" s="410">
        <f>CAPEX!AE227</f>
        <v>0</v>
      </c>
      <c r="AK288" s="410">
        <f>CAPEX!AF227</f>
        <v>0</v>
      </c>
      <c r="AL288" s="266"/>
      <c r="AM288" s="266"/>
      <c r="AN288"/>
      <c r="AO288"/>
      <c r="AP288" s="266"/>
      <c r="AQ288" s="266"/>
    </row>
    <row r="289" spans="3:43" outlineLevel="2">
      <c r="C289" s="402" t="s">
        <v>325</v>
      </c>
      <c r="D289" s="486">
        <v>2.5000000000000001E-2</v>
      </c>
      <c r="E289" s="304"/>
      <c r="F289" s="3"/>
      <c r="G289" s="266" t="s">
        <v>326</v>
      </c>
      <c r="H289" s="410">
        <f>CAPEX!C228</f>
        <v>0</v>
      </c>
      <c r="I289" s="410">
        <f>CAPEX!D228</f>
        <v>0</v>
      </c>
      <c r="J289" s="410">
        <f>CAPEX!E228</f>
        <v>0</v>
      </c>
      <c r="K289" s="410">
        <f>CAPEX!F228</f>
        <v>0</v>
      </c>
      <c r="L289" s="410">
        <f>CAPEX!G228</f>
        <v>0</v>
      </c>
      <c r="M289" s="410">
        <f>CAPEX!H228</f>
        <v>0</v>
      </c>
      <c r="N289" s="410">
        <f>CAPEX!I228</f>
        <v>0</v>
      </c>
      <c r="O289" s="410">
        <f>CAPEX!J228</f>
        <v>0</v>
      </c>
      <c r="P289" s="410">
        <f>CAPEX!K228</f>
        <v>0</v>
      </c>
      <c r="Q289" s="410">
        <f>CAPEX!L228</f>
        <v>0</v>
      </c>
      <c r="R289" s="410">
        <f>CAPEX!M228</f>
        <v>0</v>
      </c>
      <c r="S289" s="410">
        <f>CAPEX!N228</f>
        <v>0</v>
      </c>
      <c r="T289" s="410">
        <f>CAPEX!O228</f>
        <v>0</v>
      </c>
      <c r="U289" s="410">
        <f>CAPEX!P228</f>
        <v>0</v>
      </c>
      <c r="V289" s="410">
        <f>CAPEX!Q228</f>
        <v>0</v>
      </c>
      <c r="W289" s="410">
        <f>CAPEX!R228</f>
        <v>9.3604450790366125E-2</v>
      </c>
      <c r="X289" s="410">
        <f>CAPEX!S228</f>
        <v>2.7696759803019031E-2</v>
      </c>
      <c r="Y289" s="410">
        <f>CAPEX!T228</f>
        <v>1.243035616166535E-2</v>
      </c>
      <c r="Z289" s="410">
        <f>CAPEX!U228</f>
        <v>2.9197968382891435E-2</v>
      </c>
      <c r="AA289" s="410">
        <f>CAPEX!V228</f>
        <v>1.7436457904779238E-3</v>
      </c>
      <c r="AB289" s="410">
        <f>CAPEX!W228</f>
        <v>4.4927761191908978E-2</v>
      </c>
      <c r="AC289" s="410">
        <f>CAPEX!X228</f>
        <v>0.30441887626926833</v>
      </c>
      <c r="AD289" s="410">
        <f>CAPEX!Y228</f>
        <v>2.5992128707427828E-2</v>
      </c>
      <c r="AE289" s="410">
        <f>CAPEX!Z228</f>
        <v>2.6767064432658579E-2</v>
      </c>
      <c r="AF289" s="410">
        <f>CAPEX!AA228</f>
        <v>1.4066075304486976E-2</v>
      </c>
      <c r="AG289" s="410">
        <f>CAPEX!AB228</f>
        <v>0.11733919019837531</v>
      </c>
      <c r="AH289" s="410">
        <f>CAPEX!AC228</f>
        <v>2.2546360512835533E-3</v>
      </c>
      <c r="AI289" s="410">
        <f>CAPEX!AD228</f>
        <v>7.0605367848792233E-2</v>
      </c>
      <c r="AJ289" s="410">
        <f>CAPEX!AE228</f>
        <v>0.22671445224019643</v>
      </c>
      <c r="AK289" s="410">
        <f>CAPEX!AF228</f>
        <v>2.2412668271818456E-3</v>
      </c>
      <c r="AL289" s="266"/>
      <c r="AM289" s="266"/>
      <c r="AN289"/>
      <c r="AO289"/>
      <c r="AP289" s="266"/>
      <c r="AQ289" s="266"/>
    </row>
    <row r="290" spans="3:43" outlineLevel="2">
      <c r="C290" s="303"/>
      <c r="D290" s="266"/>
      <c r="E290" s="266"/>
      <c r="F290" s="266"/>
      <c r="G290" s="266"/>
      <c r="H290" s="266"/>
      <c r="I290" s="266"/>
      <c r="J290" s="266"/>
      <c r="K290" s="266"/>
      <c r="L290" s="266"/>
      <c r="M290" s="266"/>
      <c r="N290" s="266"/>
      <c r="O290" s="266"/>
      <c r="P290" s="266"/>
      <c r="Q290" s="266"/>
      <c r="R290" s="266"/>
      <c r="S290" s="266"/>
      <c r="T290" s="266"/>
      <c r="U290" s="266"/>
      <c r="V290" s="266"/>
      <c r="W290" s="266"/>
      <c r="X290" s="266"/>
      <c r="Y290" s="266"/>
      <c r="Z290" s="266"/>
      <c r="AA290" s="266"/>
      <c r="AB290" s="266"/>
      <c r="AC290" s="266"/>
      <c r="AD290" s="266"/>
      <c r="AE290" s="266"/>
      <c r="AF290" s="266"/>
      <c r="AG290" s="266"/>
      <c r="AH290" s="266"/>
      <c r="AI290" s="266"/>
      <c r="AJ290" s="266"/>
      <c r="AK290" s="266"/>
      <c r="AL290" s="266"/>
      <c r="AM290" s="266"/>
      <c r="AN290" s="266"/>
      <c r="AO290" s="266"/>
      <c r="AP290" s="266"/>
      <c r="AQ290" s="266"/>
    </row>
    <row r="291" spans="3:43" outlineLevel="2">
      <c r="C291" s="29" t="s">
        <v>55</v>
      </c>
      <c r="D291" s="266"/>
      <c r="E291" s="266"/>
      <c r="F291" s="266"/>
      <c r="G291" s="266"/>
      <c r="H291" s="266"/>
      <c r="I291" s="266"/>
      <c r="J291" s="266"/>
      <c r="K291" s="266"/>
      <c r="L291" s="266"/>
      <c r="M291" s="266"/>
      <c r="N291" s="266"/>
      <c r="O291" s="266"/>
      <c r="P291" s="266"/>
      <c r="Q291" s="266"/>
      <c r="R291" s="266"/>
      <c r="S291" s="266"/>
      <c r="T291" s="266"/>
      <c r="U291" s="266"/>
      <c r="V291" s="266"/>
      <c r="W291" s="266"/>
      <c r="X291" s="266"/>
      <c r="Y291" s="266"/>
      <c r="Z291" s="266"/>
      <c r="AA291" s="266"/>
      <c r="AB291" s="266"/>
      <c r="AC291" s="266"/>
      <c r="AD291" s="266"/>
      <c r="AE291" s="266"/>
      <c r="AF291" s="266"/>
      <c r="AG291" s="266"/>
      <c r="AH291" s="266"/>
      <c r="AI291" s="266"/>
      <c r="AJ291" s="266"/>
      <c r="AK291" s="266"/>
      <c r="AL291" s="266"/>
      <c r="AM291" s="266"/>
      <c r="AN291" s="266"/>
      <c r="AO291" s="266"/>
      <c r="AP291" s="266"/>
      <c r="AQ291" s="266"/>
    </row>
    <row r="292" spans="3:43" outlineLevel="2">
      <c r="C292" s="402" t="s">
        <v>327</v>
      </c>
      <c r="D292" s="15">
        <v>1.3</v>
      </c>
      <c r="E292" s="266"/>
      <c r="F292" s="266"/>
      <c r="G292" s="266"/>
      <c r="H292" s="266"/>
      <c r="I292" s="266"/>
      <c r="J292" s="266"/>
      <c r="K292" s="266"/>
      <c r="L292" s="266"/>
      <c r="M292" s="266"/>
      <c r="N292" s="266"/>
      <c r="O292" s="266"/>
      <c r="P292" s="266"/>
      <c r="Q292" s="266"/>
      <c r="R292" s="266"/>
      <c r="S292" s="266"/>
      <c r="T292" s="266"/>
      <c r="U292" s="266"/>
      <c r="V292" s="266"/>
      <c r="W292" s="266"/>
      <c r="X292" s="266"/>
      <c r="Y292" s="266"/>
      <c r="Z292" s="266"/>
      <c r="AA292" s="266"/>
      <c r="AB292" s="266"/>
      <c r="AC292" s="266"/>
      <c r="AD292" s="266"/>
      <c r="AE292" s="266"/>
      <c r="AF292" s="266"/>
      <c r="AG292" s="266"/>
      <c r="AH292" s="266"/>
      <c r="AI292" s="266"/>
      <c r="AJ292" s="266"/>
      <c r="AK292" s="266"/>
      <c r="AL292" s="266"/>
      <c r="AM292" s="266"/>
      <c r="AN292" s="266"/>
      <c r="AO292" s="266"/>
      <c r="AP292" s="266"/>
      <c r="AQ292" s="266"/>
    </row>
    <row r="293" spans="3:43" outlineLevel="2">
      <c r="C293" s="402" t="s">
        <v>328</v>
      </c>
      <c r="D293" s="115" t="s">
        <v>329</v>
      </c>
      <c r="E293" s="266"/>
      <c r="F293" s="266"/>
      <c r="G293" s="266"/>
      <c r="H293" s="266"/>
      <c r="I293" s="266"/>
      <c r="J293" s="266"/>
      <c r="K293" s="266"/>
      <c r="L293" s="266"/>
      <c r="M293" s="266"/>
      <c r="N293" s="266"/>
      <c r="O293" s="266"/>
      <c r="P293" s="266"/>
      <c r="Q293" s="266"/>
      <c r="R293" s="266"/>
      <c r="S293" s="266"/>
      <c r="T293" s="266"/>
      <c r="U293" s="266"/>
      <c r="V293" s="266"/>
      <c r="W293" s="266"/>
      <c r="X293" s="266"/>
      <c r="Y293" s="266"/>
      <c r="Z293" s="266"/>
      <c r="AA293" s="266"/>
      <c r="AB293" s="266"/>
      <c r="AC293" s="266"/>
      <c r="AD293" s="266"/>
      <c r="AE293" s="266"/>
      <c r="AF293" s="266"/>
      <c r="AG293" s="266"/>
      <c r="AH293" s="266"/>
      <c r="AI293" s="266"/>
      <c r="AJ293" s="266"/>
      <c r="AK293" s="266"/>
      <c r="AL293" s="266"/>
      <c r="AM293" s="266"/>
      <c r="AN293" s="266"/>
      <c r="AO293" s="266"/>
      <c r="AP293" s="266"/>
      <c r="AQ293" s="266"/>
    </row>
    <row r="294" spans="3:43" outlineLevel="2">
      <c r="C294" s="402" t="s">
        <v>330</v>
      </c>
      <c r="D294" s="115">
        <f>16-4</f>
        <v>12</v>
      </c>
      <c r="E294" s="266"/>
      <c r="F294" s="266"/>
      <c r="G294" s="266"/>
      <c r="H294" s="266"/>
      <c r="I294" s="266"/>
      <c r="J294" s="266"/>
      <c r="K294" s="266"/>
      <c r="L294" s="266"/>
      <c r="M294" s="266"/>
      <c r="N294" s="266"/>
      <c r="O294" s="266"/>
      <c r="P294" s="266"/>
      <c r="Q294" s="266"/>
      <c r="R294" s="266"/>
      <c r="S294" s="266"/>
      <c r="T294" s="266"/>
      <c r="U294" s="266"/>
      <c r="V294" s="266"/>
      <c r="W294" s="266"/>
      <c r="X294" s="266"/>
      <c r="Y294" s="266"/>
      <c r="Z294" s="266"/>
      <c r="AA294" s="266"/>
      <c r="AB294" s="266"/>
      <c r="AC294" s="266"/>
      <c r="AD294" s="266"/>
      <c r="AE294" s="266"/>
      <c r="AF294" s="266"/>
      <c r="AG294" s="266"/>
      <c r="AH294" s="266"/>
      <c r="AI294" s="266"/>
      <c r="AJ294" s="266"/>
      <c r="AK294" s="266"/>
      <c r="AL294" s="266"/>
      <c r="AM294" s="266"/>
      <c r="AN294" s="266"/>
      <c r="AO294" s="266"/>
      <c r="AP294" s="266"/>
      <c r="AQ294" s="266"/>
    </row>
    <row r="295" spans="3:43" outlineLevel="2">
      <c r="C295" s="402" t="s">
        <v>331</v>
      </c>
      <c r="D295" s="116">
        <v>2</v>
      </c>
      <c r="E295" s="266"/>
      <c r="F295" s="266"/>
      <c r="G295" s="266"/>
      <c r="H295" s="266"/>
      <c r="I295" s="266"/>
      <c r="J295" s="266"/>
      <c r="K295" s="266"/>
      <c r="L295" s="266"/>
      <c r="M295" s="266"/>
      <c r="N295" s="266"/>
      <c r="O295" s="266"/>
      <c r="P295" s="266"/>
      <c r="Q295" s="266"/>
      <c r="R295" s="266"/>
      <c r="S295" s="266"/>
      <c r="T295" s="266"/>
      <c r="U295" s="266"/>
      <c r="V295" s="266"/>
      <c r="W295" s="266"/>
      <c r="X295" s="266"/>
      <c r="Y295" s="266"/>
      <c r="Z295" s="266"/>
      <c r="AA295" s="266"/>
      <c r="AB295" s="266"/>
      <c r="AC295" s="266"/>
      <c r="AD295" s="266"/>
      <c r="AE295" s="266"/>
      <c r="AF295" s="266"/>
      <c r="AG295" s="266"/>
      <c r="AH295" s="266"/>
      <c r="AI295" s="266"/>
      <c r="AJ295" s="266"/>
      <c r="AK295" s="266"/>
      <c r="AL295" s="266"/>
      <c r="AM295" s="266"/>
      <c r="AN295" s="266"/>
      <c r="AO295" s="266"/>
      <c r="AP295" s="266"/>
      <c r="AQ295" s="266"/>
    </row>
    <row r="296" spans="3:43" outlineLevel="2">
      <c r="C296" s="303"/>
      <c r="D296" s="266"/>
      <c r="E296" s="266"/>
      <c r="F296" s="266"/>
      <c r="G296" s="266"/>
      <c r="H296" s="266"/>
      <c r="I296" s="266"/>
      <c r="J296" s="266"/>
      <c r="K296" s="266"/>
      <c r="L296" s="266"/>
      <c r="M296" s="266"/>
      <c r="N296" s="266"/>
      <c r="O296" s="266"/>
      <c r="P296" s="266"/>
      <c r="Q296" s="266"/>
      <c r="R296" s="266"/>
      <c r="S296" s="266"/>
      <c r="T296" s="266"/>
      <c r="U296" s="266"/>
      <c r="V296" s="266"/>
      <c r="W296" s="266"/>
      <c r="X296" s="266"/>
      <c r="Y296" s="266"/>
      <c r="Z296" s="266"/>
      <c r="AA296" s="266"/>
      <c r="AB296" s="266"/>
      <c r="AC296" s="266"/>
      <c r="AD296" s="266"/>
      <c r="AE296" s="266"/>
      <c r="AF296" s="266"/>
      <c r="AG296" s="266"/>
      <c r="AH296" s="266"/>
      <c r="AI296" s="266"/>
      <c r="AJ296" s="266"/>
      <c r="AK296" s="266"/>
      <c r="AL296" s="266"/>
      <c r="AM296" s="266"/>
      <c r="AN296" s="266"/>
      <c r="AO296" s="266"/>
      <c r="AP296" s="266"/>
      <c r="AQ296" s="266"/>
    </row>
    <row r="297" spans="3:43" outlineLevel="2">
      <c r="C297" s="402" t="s">
        <v>100</v>
      </c>
      <c r="D297" s="16">
        <v>3</v>
      </c>
      <c r="E297" s="4" t="s">
        <v>332</v>
      </c>
      <c r="F297" s="266"/>
      <c r="G297" s="266"/>
      <c r="H297" s="266"/>
      <c r="I297" s="266"/>
      <c r="J297" s="266"/>
      <c r="K297" s="266"/>
      <c r="L297" s="266"/>
      <c r="M297" s="266"/>
      <c r="N297" s="266"/>
      <c r="O297" s="266"/>
      <c r="P297" s="266"/>
      <c r="Q297" s="266"/>
      <c r="R297" s="266"/>
      <c r="S297" s="266"/>
      <c r="T297" s="266"/>
      <c r="U297" s="266"/>
      <c r="V297" s="266"/>
      <c r="W297" s="266"/>
      <c r="X297" s="266"/>
      <c r="Y297" s="266"/>
      <c r="Z297" s="266"/>
      <c r="AA297" s="266"/>
      <c r="AB297" s="266"/>
      <c r="AC297" s="266"/>
      <c r="AD297" s="266"/>
      <c r="AE297" s="266"/>
      <c r="AF297" s="266"/>
      <c r="AG297" s="266"/>
      <c r="AH297" s="266"/>
      <c r="AI297" s="266"/>
      <c r="AJ297" s="266"/>
      <c r="AK297" s="266"/>
      <c r="AL297" s="266"/>
      <c r="AM297" s="266"/>
      <c r="AN297" s="266"/>
      <c r="AO297" s="266"/>
      <c r="AP297" s="266"/>
      <c r="AQ297" s="266"/>
    </row>
    <row r="298" spans="3:43" outlineLevel="2">
      <c r="C298" s="303"/>
      <c r="D298" s="266"/>
      <c r="E298" s="266"/>
      <c r="F298" s="266"/>
      <c r="G298" s="266"/>
      <c r="H298" s="266"/>
      <c r="I298" s="266"/>
      <c r="J298" s="266"/>
      <c r="K298" s="266"/>
      <c r="L298" s="266"/>
      <c r="M298" s="266"/>
      <c r="N298" s="266"/>
      <c r="O298" s="266"/>
      <c r="P298" s="266"/>
      <c r="Q298" s="266"/>
      <c r="R298" s="266"/>
      <c r="S298" s="266"/>
      <c r="T298" s="266"/>
      <c r="U298" s="266"/>
      <c r="V298" s="266"/>
      <c r="W298" s="266"/>
      <c r="X298" s="266"/>
      <c r="Y298" s="266"/>
      <c r="Z298" s="266"/>
      <c r="AA298" s="266"/>
      <c r="AB298" s="266"/>
      <c r="AC298" s="266"/>
      <c r="AD298" s="266"/>
      <c r="AE298" s="266"/>
      <c r="AF298" s="266"/>
      <c r="AG298" s="266"/>
      <c r="AH298" s="266"/>
      <c r="AI298" s="266"/>
      <c r="AJ298" s="266"/>
      <c r="AK298" s="266"/>
      <c r="AL298" s="266"/>
      <c r="AM298" s="266"/>
      <c r="AN298" s="266"/>
      <c r="AO298" s="266"/>
      <c r="AP298" s="266"/>
      <c r="AQ298" s="266"/>
    </row>
    <row r="299" spans="3:43" outlineLevel="2">
      <c r="C299" s="402" t="s">
        <v>69</v>
      </c>
      <c r="D299" s="486">
        <v>0.02</v>
      </c>
      <c r="E299" s="4"/>
      <c r="F299" s="266"/>
      <c r="G299" s="266"/>
      <c r="H299" s="266"/>
      <c r="I299" s="266"/>
      <c r="J299" s="266"/>
      <c r="K299" s="266"/>
      <c r="L299" s="266"/>
      <c r="M299" s="266"/>
      <c r="N299" s="266"/>
      <c r="O299" s="266"/>
      <c r="P299" s="266"/>
      <c r="Q299" s="266"/>
      <c r="R299" s="266"/>
      <c r="S299" s="266"/>
      <c r="T299" s="266"/>
      <c r="U299" s="266"/>
      <c r="V299" s="266"/>
      <c r="W299" s="266"/>
      <c r="X299" s="266"/>
      <c r="Y299" s="266"/>
      <c r="Z299" s="266"/>
      <c r="AA299" s="266"/>
      <c r="AB299" s="266"/>
      <c r="AC299" s="266"/>
      <c r="AD299" s="266"/>
      <c r="AE299" s="266"/>
      <c r="AF299" s="266"/>
      <c r="AG299" s="266"/>
      <c r="AH299" s="266"/>
      <c r="AI299" s="266"/>
      <c r="AJ299" s="266"/>
      <c r="AK299" s="266"/>
      <c r="AL299" s="266"/>
      <c r="AM299" s="266"/>
      <c r="AN299" s="266"/>
      <c r="AO299" s="266"/>
      <c r="AP299" s="266"/>
      <c r="AQ299" s="266"/>
    </row>
    <row r="300" spans="3:43" outlineLevel="2">
      <c r="C300" s="402" t="s">
        <v>333</v>
      </c>
      <c r="D300" s="489">
        <v>10</v>
      </c>
      <c r="E300" s="4" t="s">
        <v>334</v>
      </c>
      <c r="F300" s="266"/>
      <c r="G300" s="266"/>
      <c r="H300" s="266"/>
      <c r="I300" s="266"/>
      <c r="J300" s="266"/>
      <c r="K300" s="266"/>
      <c r="L300" s="266"/>
      <c r="M300" s="266"/>
      <c r="N300" s="266"/>
      <c r="O300" s="266"/>
      <c r="P300" s="266"/>
      <c r="Q300" s="266"/>
      <c r="R300" s="266"/>
      <c r="S300" s="266"/>
      <c r="T300" s="266"/>
      <c r="U300" s="266"/>
      <c r="V300" s="266"/>
      <c r="W300" s="266"/>
      <c r="X300" s="266"/>
      <c r="Y300" s="266"/>
      <c r="Z300" s="266"/>
      <c r="AA300" s="266"/>
      <c r="AB300" s="266"/>
      <c r="AC300" s="266"/>
      <c r="AD300" s="266"/>
      <c r="AE300" s="266"/>
      <c r="AF300" s="266"/>
      <c r="AG300" s="266"/>
      <c r="AH300" s="266"/>
      <c r="AI300" s="266"/>
      <c r="AJ300" s="266"/>
      <c r="AK300" s="266"/>
      <c r="AL300" s="266"/>
      <c r="AM300" s="266"/>
      <c r="AN300" s="266"/>
      <c r="AO300" s="266"/>
      <c r="AP300" s="266"/>
      <c r="AQ300" s="266"/>
    </row>
    <row r="301" spans="3:43" outlineLevel="1">
      <c r="C301" s="266"/>
      <c r="D301"/>
      <c r="E301" s="266"/>
      <c r="F301" s="266"/>
      <c r="G301" s="266"/>
      <c r="H301" s="266"/>
      <c r="I301" s="266"/>
      <c r="J301" s="266"/>
      <c r="K301" s="266"/>
      <c r="L301" s="266"/>
      <c r="M301" s="266"/>
      <c r="N301" s="266"/>
      <c r="O301" s="266"/>
      <c r="P301" s="266"/>
      <c r="Q301" s="266"/>
      <c r="R301" s="266"/>
      <c r="S301" s="266"/>
      <c r="T301" s="266"/>
      <c r="U301" s="266"/>
      <c r="V301" s="266"/>
      <c r="W301" s="266"/>
      <c r="X301" s="266"/>
      <c r="Y301" s="266"/>
      <c r="Z301" s="266"/>
      <c r="AA301" s="266"/>
      <c r="AB301" s="266"/>
      <c r="AC301" s="266"/>
      <c r="AD301" s="266"/>
      <c r="AE301" s="266"/>
      <c r="AF301" s="266"/>
      <c r="AG301" s="266"/>
      <c r="AH301" s="266"/>
      <c r="AI301" s="266"/>
      <c r="AJ301" s="266"/>
      <c r="AK301" s="266"/>
      <c r="AL301" s="266"/>
      <c r="AM301" s="266"/>
      <c r="AN301" s="266"/>
      <c r="AO301" s="266"/>
      <c r="AP301" s="266"/>
      <c r="AQ301" s="266"/>
    </row>
    <row r="302" spans="3:43">
      <c r="C302" s="266"/>
      <c r="D302" s="266"/>
      <c r="E302" s="266"/>
      <c r="F302" s="266"/>
      <c r="G302" s="266"/>
      <c r="H302" s="266"/>
      <c r="I302" s="266"/>
      <c r="J302" s="266"/>
      <c r="K302" s="266"/>
      <c r="L302" s="266"/>
      <c r="M302" s="266"/>
      <c r="N302" s="266"/>
      <c r="O302" s="266"/>
      <c r="P302" s="266"/>
      <c r="Q302" s="266"/>
      <c r="R302" s="266"/>
      <c r="S302" s="266"/>
      <c r="T302" s="266"/>
      <c r="U302" s="266"/>
      <c r="V302" s="266"/>
      <c r="W302" s="266"/>
      <c r="X302" s="266"/>
      <c r="Y302" s="266"/>
      <c r="Z302" s="266"/>
      <c r="AA302" s="266"/>
      <c r="AB302" s="266"/>
      <c r="AC302" s="266"/>
      <c r="AD302" s="266"/>
      <c r="AE302" s="266"/>
      <c r="AF302" s="266"/>
      <c r="AG302" s="266"/>
      <c r="AH302" s="266"/>
      <c r="AI302" s="266"/>
      <c r="AJ302" s="266"/>
      <c r="AK302" s="266"/>
      <c r="AL302" s="266"/>
      <c r="AM302" s="266"/>
      <c r="AN302" s="266"/>
      <c r="AO302" s="266"/>
      <c r="AP302" s="266"/>
      <c r="AQ302" s="266"/>
    </row>
    <row r="303" spans="3:43" s="266" customFormat="1" ht="16.2" thickBot="1">
      <c r="C303" s="394" t="s">
        <v>127</v>
      </c>
      <c r="D303" s="395"/>
      <c r="E303" s="396"/>
      <c r="F303" s="395"/>
      <c r="G303" s="395"/>
      <c r="H303" s="395"/>
      <c r="I303" s="395"/>
      <c r="J303" s="395"/>
      <c r="K303" s="395"/>
      <c r="L303" s="395"/>
      <c r="M303" s="395"/>
      <c r="N303" s="395"/>
      <c r="O303" s="395"/>
      <c r="P303" s="395"/>
      <c r="Q303" s="395"/>
      <c r="R303" s="395"/>
      <c r="S303" s="395"/>
      <c r="T303" s="395"/>
      <c r="U303" s="395"/>
      <c r="V303" s="395"/>
      <c r="W303" s="395"/>
      <c r="X303" s="395"/>
      <c r="Y303" s="395"/>
      <c r="Z303" s="395"/>
      <c r="AA303" s="395"/>
      <c r="AB303" s="395"/>
      <c r="AC303" s="395"/>
      <c r="AD303" s="395"/>
      <c r="AE303" s="395"/>
      <c r="AF303" s="395"/>
      <c r="AG303" s="395"/>
      <c r="AH303" s="395"/>
      <c r="AI303" s="395"/>
      <c r="AJ303" s="395"/>
      <c r="AK303" s="8"/>
      <c r="AL303" s="8"/>
      <c r="AM303" s="8"/>
    </row>
    <row r="304" spans="3:43" s="266" customFormat="1" outlineLevel="1"/>
    <row r="305" spans="3:39" s="266" customFormat="1" outlineLevel="1">
      <c r="C305" s="11" t="s">
        <v>71</v>
      </c>
    </row>
    <row r="306" spans="3:39" s="266" customFormat="1" outlineLevel="2">
      <c r="C306" s="266" t="s">
        <v>335</v>
      </c>
      <c r="D306">
        <v>0</v>
      </c>
      <c r="E306" s="419" t="s">
        <v>336</v>
      </c>
    </row>
    <row r="307" spans="3:39" s="266" customFormat="1" outlineLevel="2">
      <c r="C307" s="266" t="s">
        <v>337</v>
      </c>
      <c r="D307">
        <v>1</v>
      </c>
    </row>
    <row r="308" spans="3:39" s="266" customFormat="1" outlineLevel="2"/>
    <row r="309" spans="3:39" s="266" customFormat="1" outlineLevel="1"/>
    <row r="310" spans="3:39" s="266" customFormat="1" outlineLevel="1">
      <c r="C310" s="11" t="s">
        <v>72</v>
      </c>
    </row>
    <row r="311" spans="3:39" s="266" customFormat="1" outlineLevel="2">
      <c r="C311" s="266" t="s">
        <v>338</v>
      </c>
      <c r="D311" s="473">
        <v>0.05</v>
      </c>
      <c r="E311" s="4" t="s">
        <v>23</v>
      </c>
    </row>
    <row r="312" spans="3:39" s="266" customFormat="1" outlineLevel="2">
      <c r="C312" s="266" t="s">
        <v>339</v>
      </c>
      <c r="D312" s="473">
        <v>0.2</v>
      </c>
      <c r="E312" s="4" t="s">
        <v>23</v>
      </c>
    </row>
    <row r="313" spans="3:39" s="266" customFormat="1" outlineLevel="2"/>
    <row r="314" spans="3:39" s="266" customFormat="1" outlineLevel="1"/>
    <row r="315" spans="3:39" s="266" customFormat="1"/>
    <row r="316" spans="3:39" s="266" customFormat="1" ht="16.2" thickBot="1">
      <c r="C316" s="394" t="s">
        <v>340</v>
      </c>
      <c r="D316" s="395"/>
      <c r="E316" s="396"/>
      <c r="F316" s="395"/>
      <c r="G316" s="395"/>
      <c r="H316" s="395"/>
      <c r="I316" s="395"/>
      <c r="J316" s="395"/>
      <c r="K316" s="395"/>
      <c r="L316" s="395"/>
      <c r="M316" s="395"/>
      <c r="N316" s="395"/>
      <c r="O316" s="395"/>
      <c r="P316" s="395"/>
      <c r="Q316" s="395"/>
      <c r="R316" s="395"/>
      <c r="S316" s="395"/>
      <c r="T316" s="395"/>
      <c r="U316" s="395"/>
      <c r="V316" s="395"/>
      <c r="W316" s="395"/>
      <c r="X316" s="395"/>
      <c r="Y316" s="395"/>
      <c r="Z316" s="395"/>
      <c r="AA316" s="395"/>
      <c r="AB316" s="395"/>
      <c r="AC316" s="395"/>
      <c r="AD316" s="395"/>
      <c r="AE316" s="395"/>
      <c r="AF316" s="395"/>
      <c r="AG316" s="395"/>
      <c r="AH316" s="395"/>
      <c r="AI316" s="395"/>
      <c r="AJ316" s="395"/>
      <c r="AK316" s="8"/>
      <c r="AL316" s="8"/>
      <c r="AM316" s="8"/>
    </row>
    <row r="317" spans="3:39" s="266" customFormat="1" outlineLevel="1"/>
    <row r="318" spans="3:39" s="266" customFormat="1" outlineLevel="1">
      <c r="C318" s="266" t="s">
        <v>341</v>
      </c>
      <c r="D318" s="420">
        <v>1.3</v>
      </c>
    </row>
    <row r="319" spans="3:39" s="266" customFormat="1" outlineLevel="1">
      <c r="C319" s="266" t="s">
        <v>342</v>
      </c>
      <c r="D319" s="420">
        <v>1</v>
      </c>
    </row>
    <row r="320" spans="3:39" s="266" customFormat="1" outlineLevel="1"/>
    <row r="321" spans="3:39" s="266" customFormat="1" outlineLevel="1"/>
    <row r="322" spans="3:39" s="266" customFormat="1"/>
    <row r="323" spans="3:39" s="266" customFormat="1" ht="16.2" thickBot="1">
      <c r="C323" s="394" t="s">
        <v>343</v>
      </c>
      <c r="D323" s="395"/>
      <c r="E323" s="396"/>
      <c r="F323" s="395"/>
      <c r="G323" s="395"/>
      <c r="H323" s="395"/>
      <c r="I323" s="395"/>
      <c r="J323" s="395"/>
      <c r="K323" s="395"/>
      <c r="L323" s="395"/>
      <c r="M323" s="395"/>
      <c r="N323" s="395"/>
      <c r="O323" s="395"/>
      <c r="P323" s="395"/>
      <c r="Q323" s="395"/>
      <c r="R323" s="395"/>
      <c r="S323" s="395"/>
      <c r="T323" s="395"/>
      <c r="U323" s="395"/>
      <c r="V323" s="395"/>
      <c r="W323" s="395"/>
      <c r="X323" s="395"/>
      <c r="Y323" s="395"/>
      <c r="Z323" s="395"/>
      <c r="AA323" s="395"/>
      <c r="AB323" s="395"/>
      <c r="AC323" s="395"/>
      <c r="AD323" s="395"/>
      <c r="AE323" s="395"/>
      <c r="AF323" s="395"/>
      <c r="AG323" s="395"/>
      <c r="AH323" s="395"/>
      <c r="AI323" s="395"/>
      <c r="AJ323" s="395"/>
      <c r="AK323" s="8"/>
      <c r="AL323" s="8"/>
      <c r="AM323" s="8"/>
    </row>
    <row r="324" spans="3:39" s="266" customFormat="1" outlineLevel="1"/>
    <row r="325" spans="3:39" s="266" customFormat="1" outlineLevel="1">
      <c r="C325" s="266" t="s">
        <v>344</v>
      </c>
      <c r="D325" s="421">
        <v>45083</v>
      </c>
      <c r="E325" s="266" t="s">
        <v>345</v>
      </c>
    </row>
    <row r="326" spans="3:39" s="266" customFormat="1" outlineLevel="1"/>
    <row r="327" spans="3:39" s="266" customFormat="1" outlineLevel="1">
      <c r="C327" s="266" t="s">
        <v>346</v>
      </c>
      <c r="D327" s="473">
        <f>WACC!D21</f>
        <v>0.16399713323759083</v>
      </c>
      <c r="E327" s="266" t="s">
        <v>23</v>
      </c>
      <c r="F327" s="11"/>
    </row>
    <row r="328" spans="3:39" s="266" customFormat="1" outlineLevel="1">
      <c r="C328" s="266" t="s">
        <v>347</v>
      </c>
      <c r="D328" s="473">
        <f>WACC!D34</f>
        <v>0.10790356661879541</v>
      </c>
      <c r="E328" s="266" t="s">
        <v>23</v>
      </c>
    </row>
    <row r="329" spans="3:39" s="266" customFormat="1" outlineLevel="1"/>
    <row r="330" spans="3:39" s="266" customFormat="1" outlineLevel="1">
      <c r="C330" s="266" t="s">
        <v>348</v>
      </c>
      <c r="D330" s="422">
        <f>Sensitivity!E18</f>
        <v>0.1079</v>
      </c>
      <c r="E330" s="266" t="s">
        <v>23</v>
      </c>
    </row>
    <row r="331" spans="3:39" s="266" customFormat="1" outlineLevel="1"/>
    <row r="332" spans="3:39" s="266" customFormat="1" outlineLevel="1"/>
    <row r="333" spans="3:39" s="266" customFormat="1"/>
    <row r="334" spans="3:39" s="266" customFormat="1" ht="16.2" thickBot="1">
      <c r="C334" s="394" t="s">
        <v>349</v>
      </c>
      <c r="D334" s="395"/>
      <c r="E334" s="396"/>
      <c r="F334" s="395"/>
      <c r="G334" s="395"/>
      <c r="H334" s="395"/>
      <c r="I334" s="395"/>
      <c r="J334" s="395"/>
      <c r="K334" s="395"/>
      <c r="L334" s="395"/>
      <c r="M334" s="395"/>
      <c r="N334" s="395"/>
      <c r="O334" s="395"/>
      <c r="P334" s="395"/>
      <c r="Q334" s="395"/>
      <c r="R334" s="395"/>
      <c r="S334" s="395"/>
      <c r="T334" s="395"/>
      <c r="U334" s="395"/>
      <c r="V334" s="395"/>
      <c r="W334" s="395"/>
      <c r="X334" s="395"/>
      <c r="Y334" s="395"/>
      <c r="Z334" s="395"/>
      <c r="AA334" s="395"/>
      <c r="AB334" s="395"/>
      <c r="AC334" s="395"/>
      <c r="AD334" s="395"/>
      <c r="AE334" s="395"/>
      <c r="AF334" s="395"/>
      <c r="AG334" s="395"/>
      <c r="AH334" s="395"/>
      <c r="AI334" s="395"/>
      <c r="AJ334" s="395"/>
      <c r="AK334" s="8"/>
      <c r="AL334" s="8"/>
      <c r="AM334" s="8"/>
    </row>
    <row r="335" spans="3:39" s="266" customFormat="1" outlineLevel="1">
      <c r="C335" s="2" t="s">
        <v>350</v>
      </c>
      <c r="E335" s="3"/>
    </row>
    <row r="336" spans="3:39" s="266" customFormat="1" outlineLevel="1">
      <c r="E336" s="408" t="s">
        <v>351</v>
      </c>
      <c r="G336" s="408">
        <v>2024</v>
      </c>
      <c r="H336" s="408">
        <f>G336+1</f>
        <v>2025</v>
      </c>
      <c r="I336" s="408">
        <f t="shared" ref="I336:K336" si="75">H336+1</f>
        <v>2026</v>
      </c>
      <c r="J336" s="408">
        <f t="shared" si="75"/>
        <v>2027</v>
      </c>
      <c r="K336" s="423">
        <f t="shared" si="75"/>
        <v>2028</v>
      </c>
    </row>
    <row r="337" spans="3:39" s="266" customFormat="1" outlineLevel="1">
      <c r="C337" s="424" t="s">
        <v>321</v>
      </c>
      <c r="D337" s="4" t="s">
        <v>352</v>
      </c>
      <c r="E337" s="425">
        <v>1</v>
      </c>
      <c r="G337" s="486">
        <v>0</v>
      </c>
      <c r="H337" s="486">
        <v>0</v>
      </c>
      <c r="I337" s="486">
        <v>0</v>
      </c>
      <c r="J337" s="486">
        <v>0</v>
      </c>
      <c r="K337" s="486">
        <f>J337</f>
        <v>0</v>
      </c>
    </row>
    <row r="338" spans="3:39" s="266" customFormat="1" outlineLevel="1">
      <c r="C338" s="426" t="s">
        <v>353</v>
      </c>
      <c r="D338" s="4" t="s">
        <v>352</v>
      </c>
      <c r="E338" s="425">
        <v>1</v>
      </c>
      <c r="G338" s="486">
        <v>2.3800000000000002E-2</v>
      </c>
      <c r="H338" s="486">
        <v>3.7900000000000003E-2</v>
      </c>
      <c r="I338" s="486">
        <v>3.9E-2</v>
      </c>
      <c r="J338" s="486">
        <v>3.7999999999999999E-2</v>
      </c>
      <c r="K338" s="486">
        <f>J338</f>
        <v>3.7999999999999999E-2</v>
      </c>
      <c r="L338" s="266" t="s">
        <v>1545</v>
      </c>
    </row>
    <row r="339" spans="3:39" s="266" customFormat="1" outlineLevel="1">
      <c r="C339" s="426" t="s">
        <v>354</v>
      </c>
      <c r="D339" s="4" t="s">
        <v>352</v>
      </c>
      <c r="E339" s="425">
        <v>1</v>
      </c>
      <c r="G339" s="486">
        <v>1.8499999999999999E-2</v>
      </c>
      <c r="H339" s="486">
        <v>0.02</v>
      </c>
      <c r="I339" s="486">
        <v>0.02</v>
      </c>
      <c r="J339" s="486">
        <v>0.02</v>
      </c>
      <c r="K339" s="486">
        <f t="shared" ref="K339:K345" si="76">J339</f>
        <v>0.02</v>
      </c>
      <c r="L339" s="266" t="s">
        <v>1545</v>
      </c>
    </row>
    <row r="340" spans="3:39" s="266" customFormat="1" outlineLevel="1">
      <c r="C340" s="426" t="s">
        <v>355</v>
      </c>
      <c r="D340" s="4" t="s">
        <v>352</v>
      </c>
      <c r="E340" s="425">
        <v>1</v>
      </c>
      <c r="G340" s="486">
        <v>2.4E-2</v>
      </c>
      <c r="H340" s="486">
        <v>2.5000000000000001E-2</v>
      </c>
      <c r="I340" s="486">
        <v>2.5000000000000001E-2</v>
      </c>
      <c r="J340" s="486">
        <v>2.5000000000000001E-2</v>
      </c>
      <c r="K340" s="486">
        <f t="shared" si="76"/>
        <v>2.5000000000000001E-2</v>
      </c>
      <c r="L340" s="304" t="s">
        <v>356</v>
      </c>
    </row>
    <row r="341" spans="3:39" s="266" customFormat="1" outlineLevel="1">
      <c r="C341" s="426" t="s">
        <v>357</v>
      </c>
      <c r="D341" s="4" t="s">
        <v>352</v>
      </c>
      <c r="E341" s="425">
        <v>1</v>
      </c>
      <c r="G341" s="486">
        <v>3.2000000000000001E-2</v>
      </c>
      <c r="H341" s="486">
        <v>3.1E-2</v>
      </c>
      <c r="I341" s="486">
        <v>3.1E-2</v>
      </c>
      <c r="J341" s="486">
        <v>3.1E-2</v>
      </c>
      <c r="K341" s="486">
        <f t="shared" si="76"/>
        <v>3.1E-2</v>
      </c>
      <c r="L341" s="266" t="s">
        <v>358</v>
      </c>
    </row>
    <row r="342" spans="3:39" s="266" customFormat="1" outlineLevel="1">
      <c r="C342" s="426" t="s">
        <v>359</v>
      </c>
      <c r="D342" s="4" t="s">
        <v>352</v>
      </c>
      <c r="E342" s="425">
        <v>1</v>
      </c>
      <c r="G342" s="486">
        <v>0.09</v>
      </c>
      <c r="H342" s="486">
        <v>8.5000000000000006E-2</v>
      </c>
      <c r="I342" s="486">
        <v>8.5000000000000006E-2</v>
      </c>
      <c r="J342" s="486">
        <v>8.5000000000000006E-2</v>
      </c>
      <c r="K342" s="486">
        <f t="shared" si="76"/>
        <v>8.5000000000000006E-2</v>
      </c>
      <c r="L342" s="266" t="s">
        <v>1545</v>
      </c>
    </row>
    <row r="343" spans="3:39" s="266" customFormat="1" outlineLevel="1">
      <c r="C343" s="426" t="s">
        <v>319</v>
      </c>
      <c r="D343" s="4" t="s">
        <v>352</v>
      </c>
      <c r="E343" s="425">
        <v>1</v>
      </c>
      <c r="G343" s="486">
        <v>0.09</v>
      </c>
      <c r="H343" s="486">
        <v>8.5000000000000006E-2</v>
      </c>
      <c r="I343" s="486">
        <v>8.5000000000000006E-2</v>
      </c>
      <c r="J343" s="486">
        <v>8.5000000000000006E-2</v>
      </c>
      <c r="K343" s="486">
        <v>8.5000000000000006E-2</v>
      </c>
      <c r="L343" s="304" t="s">
        <v>360</v>
      </c>
    </row>
    <row r="344" spans="3:39" s="266" customFormat="1" outlineLevel="1">
      <c r="C344" s="426" t="s">
        <v>361</v>
      </c>
      <c r="D344" s="4" t="s">
        <v>352</v>
      </c>
      <c r="E344" s="425">
        <v>1</v>
      </c>
      <c r="G344" s="486">
        <f>G345+5.48%</f>
        <v>9.2299999999999993E-2</v>
      </c>
      <c r="H344" s="486">
        <f>H345+5.48%</f>
        <v>8.9900000000000008E-2</v>
      </c>
      <c r="I344" s="486">
        <f>I345+5.48%</f>
        <v>8.9800000000000005E-2</v>
      </c>
      <c r="J344" s="486">
        <f>J345+5.48%</f>
        <v>8.9800000000000005E-2</v>
      </c>
      <c r="K344" s="486">
        <f t="shared" si="76"/>
        <v>8.9800000000000005E-2</v>
      </c>
      <c r="L344" s="266" t="s">
        <v>362</v>
      </c>
    </row>
    <row r="345" spans="3:39" s="266" customFormat="1" outlineLevel="1">
      <c r="C345" s="424" t="s">
        <v>363</v>
      </c>
      <c r="D345" s="4" t="s">
        <v>352</v>
      </c>
      <c r="E345" s="425">
        <v>1</v>
      </c>
      <c r="G345" s="486">
        <v>3.7499999999999999E-2</v>
      </c>
      <c r="H345" s="486">
        <v>3.5099999999999999E-2</v>
      </c>
      <c r="I345" s="486">
        <v>3.5000000000000003E-2</v>
      </c>
      <c r="J345" s="486">
        <v>3.5000000000000003E-2</v>
      </c>
      <c r="K345" s="486">
        <f t="shared" si="76"/>
        <v>3.5000000000000003E-2</v>
      </c>
      <c r="L345" s="266" t="s">
        <v>1545</v>
      </c>
    </row>
    <row r="346" spans="3:39" s="266" customFormat="1" outlineLevel="1"/>
    <row r="347" spans="3:39" s="266" customFormat="1"/>
    <row r="348" spans="3:39" s="266" customFormat="1" ht="16.2" thickBot="1">
      <c r="C348" s="394" t="s">
        <v>364</v>
      </c>
      <c r="D348" s="395"/>
      <c r="E348" s="396"/>
      <c r="F348" s="395"/>
      <c r="G348" s="395"/>
      <c r="H348" s="395"/>
      <c r="I348" s="395"/>
      <c r="J348" s="395"/>
      <c r="K348" s="395"/>
      <c r="L348" s="395"/>
      <c r="M348" s="395"/>
      <c r="N348" s="395"/>
      <c r="O348" s="395"/>
      <c r="P348" s="395"/>
      <c r="Q348" s="395"/>
      <c r="R348" s="395"/>
      <c r="S348" s="395"/>
      <c r="T348" s="395"/>
      <c r="U348" s="395"/>
      <c r="V348" s="395"/>
      <c r="W348" s="395"/>
      <c r="X348" s="395"/>
      <c r="Y348" s="395"/>
      <c r="Z348" s="395"/>
      <c r="AA348" s="395"/>
      <c r="AB348" s="395"/>
      <c r="AC348" s="395"/>
      <c r="AD348" s="395"/>
      <c r="AE348" s="395"/>
      <c r="AF348" s="395"/>
      <c r="AG348" s="395"/>
      <c r="AH348" s="395"/>
      <c r="AI348" s="395"/>
      <c r="AJ348" s="395"/>
      <c r="AK348" s="8"/>
      <c r="AL348" s="8"/>
      <c r="AM348" s="8"/>
    </row>
    <row r="349" spans="3:39" s="266" customFormat="1" outlineLevel="1"/>
    <row r="350" spans="3:39" s="266" customFormat="1" outlineLevel="1">
      <c r="C350" s="11" t="s">
        <v>68</v>
      </c>
    </row>
    <row r="351" spans="3:39" s="266" customFormat="1" outlineLevel="2">
      <c r="C351" s="266" t="s">
        <v>365</v>
      </c>
      <c r="D351" s="424">
        <v>0</v>
      </c>
      <c r="E351" s="419" t="s">
        <v>336</v>
      </c>
    </row>
    <row r="352" spans="3:39" s="266" customFormat="1" outlineLevel="2">
      <c r="C352" s="266" t="s">
        <v>366</v>
      </c>
      <c r="D352" s="427">
        <v>1</v>
      </c>
    </row>
    <row r="353" spans="3:39" s="266" customFormat="1" outlineLevel="2">
      <c r="C353" s="266" t="s">
        <v>320</v>
      </c>
      <c r="D353" s="428" t="s">
        <v>319</v>
      </c>
    </row>
    <row r="354" spans="3:39" s="266" customFormat="1" outlineLevel="1"/>
    <row r="355" spans="3:39" s="266" customFormat="1" outlineLevel="1">
      <c r="C355" s="11" t="s">
        <v>367</v>
      </c>
    </row>
    <row r="356" spans="3:39" s="266" customFormat="1" outlineLevel="2">
      <c r="C356" s="266" t="s">
        <v>368</v>
      </c>
      <c r="D356" s="424">
        <v>0</v>
      </c>
      <c r="E356" s="419" t="s">
        <v>369</v>
      </c>
    </row>
    <row r="357" spans="3:39" s="266" customFormat="1" outlineLevel="2">
      <c r="C357" s="266" t="s">
        <v>320</v>
      </c>
      <c r="D357" s="428" t="s">
        <v>359</v>
      </c>
    </row>
    <row r="358" spans="3:39" s="266" customFormat="1" outlineLevel="2"/>
    <row r="359" spans="3:39" s="266" customFormat="1" outlineLevel="2">
      <c r="C359" s="266" t="s">
        <v>370</v>
      </c>
      <c r="D359" s="473">
        <f>G342</f>
        <v>0.09</v>
      </c>
      <c r="E359" s="266" t="s">
        <v>23</v>
      </c>
    </row>
    <row r="360" spans="3:39" outlineLevel="1">
      <c r="C360" s="266"/>
      <c r="D360" s="266"/>
      <c r="E360" s="266"/>
      <c r="F360" s="266"/>
      <c r="G360" s="266"/>
      <c r="H360" s="266"/>
      <c r="I360" s="266"/>
      <c r="J360" s="266"/>
      <c r="K360" s="266"/>
      <c r="L360" s="266"/>
      <c r="M360" s="266"/>
      <c r="N360" s="266"/>
      <c r="O360" s="266"/>
      <c r="P360" s="266"/>
      <c r="Q360" s="266"/>
      <c r="R360" s="266"/>
      <c r="S360" s="266"/>
      <c r="T360" s="266"/>
      <c r="U360" s="266"/>
      <c r="V360" s="266"/>
      <c r="W360" s="266"/>
      <c r="X360" s="266"/>
      <c r="Y360" s="266"/>
      <c r="Z360" s="266"/>
      <c r="AA360" s="266"/>
      <c r="AB360" s="266"/>
      <c r="AC360" s="266"/>
      <c r="AD360" s="266"/>
      <c r="AE360" s="266"/>
      <c r="AF360" s="266"/>
      <c r="AG360" s="266"/>
      <c r="AH360" s="266"/>
      <c r="AI360" s="266"/>
      <c r="AJ360" s="266"/>
      <c r="AK360" s="266"/>
      <c r="AL360" s="266"/>
      <c r="AM360" s="266"/>
    </row>
    <row r="361" spans="3:39">
      <c r="C361" s="266"/>
      <c r="D361" s="266"/>
      <c r="E361" s="278"/>
      <c r="F361" s="278"/>
      <c r="G361" s="266"/>
      <c r="H361" s="266"/>
      <c r="I361" s="266"/>
      <c r="J361" s="266"/>
      <c r="K361" s="266"/>
      <c r="L361" s="266"/>
      <c r="M361" s="266"/>
      <c r="N361" s="266"/>
      <c r="O361" s="266"/>
      <c r="P361" s="266"/>
      <c r="Q361" s="266"/>
      <c r="R361" s="266"/>
      <c r="S361" s="266"/>
      <c r="T361" s="266"/>
      <c r="U361" s="266"/>
      <c r="V361" s="266"/>
      <c r="W361" s="266"/>
      <c r="X361" s="266"/>
      <c r="Y361" s="266"/>
      <c r="Z361" s="266"/>
      <c r="AA361" s="266"/>
      <c r="AB361" s="266"/>
      <c r="AC361" s="266"/>
      <c r="AD361" s="266"/>
      <c r="AE361" s="266"/>
      <c r="AF361" s="266"/>
      <c r="AG361" s="266"/>
      <c r="AH361" s="266"/>
      <c r="AI361" s="266"/>
      <c r="AJ361" s="266"/>
      <c r="AK361" s="266"/>
      <c r="AL361" s="266"/>
      <c r="AM361" s="266"/>
    </row>
  </sheetData>
  <dataConsolidate/>
  <mergeCells count="2">
    <mergeCell ref="F268:F271"/>
    <mergeCell ref="G164:I170"/>
  </mergeCells>
  <phoneticPr fontId="67" type="noConversion"/>
  <dataValidations disablePrompts="1" count="1">
    <dataValidation type="list" allowBlank="1" showInputMessage="1" showErrorMessage="1" sqref="D353 D357 D286" xr:uid="{A05BF45C-C9BE-4F49-8044-C9D0590B9FE9}">
      <formula1>$C$337:$C$345</formula1>
    </dataValidation>
  </dataValidations>
  <pageMargins left="0.7" right="0.7" top="0.75" bottom="0.75" header="0.3" footer="0.3"/>
  <pageSetup paperSize="9" scale="25" orientation="landscape" r:id="rId1"/>
  <rowBreaks count="3" manualBreakCount="3">
    <brk id="89" max="37" man="1"/>
    <brk id="194" max="37" man="1"/>
    <brk id="280" max="3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928" r:id="rId4" name="Drop Down 88">
              <controlPr defaultSize="0" autoLine="0" autoPict="0">
                <anchor moveWithCells="1">
                  <from>
                    <xdr:col>2</xdr:col>
                    <xdr:colOff>2095500</xdr:colOff>
                    <xdr:row>1</xdr:row>
                    <xdr:rowOff>114300</xdr:rowOff>
                  </from>
                  <to>
                    <xdr:col>2</xdr:col>
                    <xdr:colOff>3307080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30" r:id="rId5" name="Drop Down 90">
              <controlPr defaultSize="0" autoLine="0" autoPict="0">
                <anchor moveWithCells="1">
                  <from>
                    <xdr:col>2</xdr:col>
                    <xdr:colOff>3573780</xdr:colOff>
                    <xdr:row>1</xdr:row>
                    <xdr:rowOff>114300</xdr:rowOff>
                  </from>
                  <to>
                    <xdr:col>3</xdr:col>
                    <xdr:colOff>1028700</xdr:colOff>
                    <xdr:row>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32" r:id="rId6" name="Button 92">
              <controlPr defaultSize="0" print="0" autoFill="0" autoPict="0" macro="[0]!CP_meta">
                <anchor moveWithCells="1" sizeWithCells="1">
                  <from>
                    <xdr:col>5</xdr:col>
                    <xdr:colOff>106680</xdr:colOff>
                    <xdr:row>73</xdr:row>
                    <xdr:rowOff>190500</xdr:rowOff>
                  </from>
                  <to>
                    <xdr:col>7</xdr:col>
                    <xdr:colOff>365760</xdr:colOff>
                    <xdr:row>75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3142656F-29AE-493E-BF86-BC8877CFE727}">
          <x14:formula1>
            <xm:f>SETUP!$C$27:$C$29</xm:f>
          </x14:formula1>
          <xm:sqref>D293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8CF43-1C5A-401D-851D-620DF81206A6}">
  <sheetPr codeName="Sheet14">
    <tabColor rgb="FF0091DA"/>
  </sheetPr>
  <dimension ref="A1:XFC1146"/>
  <sheetViews>
    <sheetView showGridLines="0" view="pageBreakPreview" zoomScale="130" zoomScaleNormal="80" zoomScaleSheetLayoutView="130" workbookViewId="0">
      <pane ySplit="10" topLeftCell="A596" activePane="bottomLeft" state="frozen"/>
      <selection activeCell="AM95" sqref="AM95"/>
      <selection pane="bottomLeft" activeCell="AM95" sqref="AM95"/>
    </sheetView>
  </sheetViews>
  <sheetFormatPr defaultColWidth="0" defaultRowHeight="15.6" outlineLevelRow="5"/>
  <cols>
    <col min="1" max="1" width="12.5546875" style="266" bestFit="1" customWidth="1"/>
    <col min="2" max="2" width="3" style="266" bestFit="1" customWidth="1"/>
    <col min="3" max="3" width="65.5546875" style="266" customWidth="1"/>
    <col min="4" max="4" width="17.6640625" style="4" bestFit="1" customWidth="1"/>
    <col min="5" max="5" width="20" style="32" bestFit="1" customWidth="1"/>
    <col min="6" max="6" width="13" style="266" bestFit="1" customWidth="1"/>
    <col min="7" max="7" width="14.6640625" style="266" bestFit="1" customWidth="1"/>
    <col min="8" max="35" width="13.44140625" style="266" bestFit="1" customWidth="1"/>
    <col min="36" max="36" width="10.6640625" style="266" customWidth="1"/>
    <col min="37" max="40" width="10.33203125" style="266" bestFit="1" customWidth="1"/>
    <col min="41" max="41" width="4.33203125" style="266" bestFit="1" customWidth="1"/>
    <col min="42" max="42" width="9" style="266" customWidth="1"/>
    <col min="43" max="160" width="4.33203125" style="266" bestFit="1" customWidth="1"/>
    <col min="161" max="16383" width="0" style="266" hidden="1"/>
    <col min="16384" max="16384" width="8.6640625" style="266" hidden="1"/>
  </cols>
  <sheetData>
    <row r="1" spans="1:16311" s="6" customFormat="1">
      <c r="A1" s="386" t="s">
        <v>371</v>
      </c>
      <c r="B1" s="386"/>
      <c r="C1" s="386"/>
      <c r="D1" s="393" t="s">
        <v>33</v>
      </c>
      <c r="E1" s="393" t="s">
        <v>34</v>
      </c>
      <c r="F1" s="393" t="s">
        <v>35</v>
      </c>
      <c r="G1" s="393" t="s">
        <v>36</v>
      </c>
      <c r="H1" s="386" t="s">
        <v>37</v>
      </c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6"/>
      <c r="AD1" s="386"/>
      <c r="AE1" s="386"/>
      <c r="AF1" s="386"/>
      <c r="AG1" s="386"/>
      <c r="AH1" s="386"/>
      <c r="AI1" s="386"/>
      <c r="AJ1" s="386"/>
      <c r="AK1" s="386"/>
      <c r="AL1" s="386"/>
      <c r="AM1" s="386"/>
      <c r="AN1" s="386"/>
      <c r="AO1" s="386"/>
      <c r="AP1" s="266"/>
      <c r="AQ1" s="266"/>
      <c r="AR1" s="266"/>
      <c r="AS1" s="266"/>
      <c r="AT1" s="266"/>
      <c r="AU1" s="266"/>
      <c r="AV1" s="266"/>
      <c r="AW1" s="266"/>
      <c r="AX1" s="266"/>
      <c r="AY1" s="266"/>
      <c r="AZ1" s="266"/>
      <c r="BA1" s="266"/>
      <c r="BB1" s="266"/>
      <c r="BC1" s="266"/>
      <c r="BD1" s="266"/>
      <c r="BE1" s="266"/>
      <c r="BF1" s="266"/>
      <c r="BG1" s="266"/>
      <c r="BH1" s="266"/>
      <c r="BI1" s="266"/>
      <c r="BJ1" s="266"/>
      <c r="BK1" s="266"/>
      <c r="BL1" s="266"/>
      <c r="BM1" s="266"/>
      <c r="BN1" s="266"/>
      <c r="BO1" s="266"/>
      <c r="BP1" s="266"/>
      <c r="BQ1" s="266"/>
      <c r="BR1" s="266"/>
      <c r="BS1" s="266"/>
      <c r="BT1" s="266"/>
      <c r="BU1" s="266"/>
      <c r="BV1" s="266"/>
      <c r="BW1" s="266"/>
      <c r="BX1" s="266"/>
      <c r="BY1" s="266"/>
      <c r="BZ1" s="266"/>
      <c r="CA1" s="266"/>
      <c r="CB1" s="266"/>
      <c r="CC1" s="266"/>
      <c r="CD1" s="266"/>
      <c r="CE1" s="266"/>
      <c r="CF1" s="266"/>
      <c r="CG1" s="266"/>
      <c r="CH1" s="266"/>
      <c r="CI1" s="266"/>
      <c r="CJ1" s="266"/>
      <c r="CK1" s="266"/>
      <c r="CL1" s="266"/>
      <c r="CM1" s="266"/>
      <c r="CN1" s="266"/>
      <c r="CO1" s="266"/>
      <c r="CP1" s="266"/>
      <c r="CQ1" s="266"/>
      <c r="CR1" s="266"/>
      <c r="CS1" s="266"/>
      <c r="CT1" s="266"/>
      <c r="CU1" s="266"/>
      <c r="CV1" s="266"/>
      <c r="CW1" s="266"/>
      <c r="CX1" s="266"/>
      <c r="CY1" s="266"/>
      <c r="CZ1" s="266"/>
      <c r="DA1" s="266"/>
      <c r="DB1" s="266"/>
      <c r="DC1" s="266"/>
      <c r="DD1" s="266"/>
      <c r="DE1" s="266"/>
      <c r="DF1" s="266"/>
      <c r="DG1" s="266"/>
      <c r="DH1" s="266"/>
      <c r="DI1" s="266"/>
      <c r="DJ1" s="266"/>
      <c r="DK1" s="266"/>
      <c r="DL1" s="266"/>
      <c r="DM1" s="266"/>
      <c r="DN1" s="266"/>
      <c r="DO1" s="266"/>
      <c r="DP1" s="266"/>
      <c r="DQ1" s="266"/>
      <c r="DR1" s="266"/>
      <c r="DS1" s="266"/>
      <c r="DT1" s="266"/>
      <c r="DU1" s="266"/>
      <c r="DV1" s="266"/>
      <c r="DW1" s="266"/>
      <c r="DX1" s="266"/>
      <c r="DY1" s="266"/>
      <c r="DZ1" s="266"/>
      <c r="EA1" s="266"/>
      <c r="EB1" s="266"/>
      <c r="EC1" s="266"/>
      <c r="ED1" s="266"/>
      <c r="EE1" s="266"/>
      <c r="EF1" s="266"/>
      <c r="EG1" s="266"/>
      <c r="EH1" s="266"/>
      <c r="EI1" s="266"/>
      <c r="EJ1" s="266"/>
      <c r="EK1" s="266"/>
      <c r="EL1" s="266"/>
      <c r="EM1" s="266"/>
      <c r="EN1" s="266"/>
      <c r="EO1" s="266"/>
      <c r="EP1" s="266"/>
      <c r="EQ1" s="266"/>
      <c r="ER1" s="266"/>
      <c r="ES1" s="266"/>
      <c r="ET1" s="266"/>
      <c r="EU1" s="266"/>
      <c r="EV1" s="266"/>
      <c r="EW1" s="266"/>
      <c r="EX1" s="266"/>
      <c r="EY1" s="266"/>
      <c r="EZ1" s="266"/>
      <c r="FA1" s="266"/>
      <c r="FB1" s="266"/>
      <c r="FC1" s="266"/>
      <c r="FD1" s="266"/>
      <c r="FE1" s="266"/>
      <c r="FF1" s="266"/>
      <c r="FG1" s="266"/>
      <c r="FH1" s="266"/>
      <c r="FI1" s="266"/>
      <c r="FJ1" s="266"/>
      <c r="FK1" s="266"/>
      <c r="FL1" s="266"/>
      <c r="FM1" s="266"/>
      <c r="FN1" s="266"/>
      <c r="FO1" s="266"/>
      <c r="FP1" s="266"/>
      <c r="FQ1" s="266"/>
      <c r="FR1" s="266"/>
      <c r="FS1" s="266"/>
      <c r="FT1" s="266"/>
      <c r="FU1" s="266"/>
      <c r="FV1" s="266"/>
      <c r="FW1" s="266"/>
      <c r="FX1" s="266"/>
      <c r="FY1" s="266"/>
      <c r="FZ1" s="266"/>
      <c r="GA1" s="266"/>
      <c r="GB1" s="266"/>
      <c r="GC1" s="266"/>
      <c r="GD1" s="266"/>
      <c r="GE1" s="266"/>
      <c r="GF1" s="266"/>
      <c r="GG1" s="266"/>
      <c r="GH1" s="266"/>
      <c r="GI1" s="266"/>
      <c r="GJ1" s="266"/>
      <c r="GK1" s="266"/>
      <c r="GL1" s="266"/>
      <c r="GM1" s="266"/>
      <c r="GN1" s="266"/>
      <c r="GO1" s="266"/>
      <c r="GP1" s="266"/>
      <c r="GQ1" s="266"/>
      <c r="GR1" s="266"/>
      <c r="GS1" s="266"/>
      <c r="GT1" s="266"/>
      <c r="GU1" s="266"/>
      <c r="GV1" s="266"/>
      <c r="GW1" s="266"/>
      <c r="GX1" s="266"/>
      <c r="GY1" s="266"/>
      <c r="GZ1" s="266"/>
      <c r="HA1" s="266"/>
      <c r="HB1" s="266"/>
      <c r="HC1" s="266"/>
      <c r="HD1" s="266"/>
      <c r="HE1" s="266"/>
      <c r="HF1" s="266"/>
      <c r="HG1" s="266"/>
      <c r="HH1" s="266"/>
      <c r="HI1" s="266"/>
      <c r="HJ1" s="266"/>
      <c r="HK1" s="266"/>
      <c r="HL1" s="266"/>
      <c r="HM1" s="266"/>
      <c r="HN1" s="266"/>
      <c r="HO1" s="266"/>
      <c r="HP1" s="266"/>
      <c r="HQ1" s="266"/>
      <c r="HR1" s="266"/>
      <c r="HS1" s="266"/>
      <c r="HT1" s="266"/>
      <c r="HU1" s="266"/>
      <c r="HV1" s="266"/>
      <c r="HW1" s="266"/>
      <c r="HX1" s="266"/>
      <c r="HY1" s="266"/>
      <c r="HZ1" s="266"/>
      <c r="IA1" s="266"/>
      <c r="IB1" s="266"/>
      <c r="IC1" s="266"/>
      <c r="ID1" s="266"/>
      <c r="IE1" s="266"/>
      <c r="IF1" s="266"/>
      <c r="IG1" s="266"/>
      <c r="IH1" s="266"/>
      <c r="II1" s="266"/>
      <c r="IJ1" s="266"/>
      <c r="IK1" s="266"/>
      <c r="IL1" s="266"/>
      <c r="IM1" s="266"/>
      <c r="IN1" s="266"/>
      <c r="IO1" s="266"/>
      <c r="IP1" s="266"/>
      <c r="IQ1" s="266"/>
      <c r="IR1" s="266"/>
      <c r="IS1" s="266"/>
      <c r="IT1" s="266"/>
      <c r="IU1" s="266"/>
      <c r="IV1" s="266"/>
      <c r="IW1" s="266"/>
      <c r="IX1" s="266"/>
      <c r="IY1" s="266"/>
      <c r="IZ1" s="266"/>
      <c r="JA1" s="266"/>
      <c r="JB1" s="266"/>
      <c r="JC1" s="266"/>
      <c r="JD1" s="266"/>
      <c r="JE1" s="266"/>
      <c r="JF1" s="266"/>
      <c r="JG1" s="266"/>
      <c r="JH1" s="266"/>
      <c r="JI1" s="266"/>
      <c r="JJ1" s="266"/>
      <c r="JK1" s="266"/>
      <c r="JL1" s="266"/>
      <c r="JM1" s="266"/>
      <c r="JN1" s="266"/>
      <c r="JO1" s="266"/>
      <c r="JP1" s="266"/>
      <c r="JQ1" s="266"/>
      <c r="JR1" s="266"/>
      <c r="JS1" s="266"/>
      <c r="JT1" s="266"/>
      <c r="JU1" s="266"/>
      <c r="JV1" s="266"/>
      <c r="JW1" s="266"/>
      <c r="JX1" s="266"/>
      <c r="JY1" s="266"/>
      <c r="JZ1" s="266"/>
      <c r="KA1" s="266"/>
      <c r="KB1" s="266"/>
      <c r="KC1" s="266"/>
      <c r="KD1" s="266"/>
      <c r="KE1" s="266"/>
      <c r="KF1" s="266"/>
      <c r="KG1" s="266"/>
      <c r="KH1" s="266"/>
      <c r="KI1" s="266"/>
      <c r="KJ1" s="266"/>
      <c r="KK1" s="266"/>
      <c r="KL1" s="266"/>
      <c r="KM1" s="266"/>
      <c r="KN1" s="266"/>
      <c r="KO1" s="266"/>
      <c r="KP1" s="266"/>
      <c r="KQ1" s="266"/>
      <c r="KR1" s="266"/>
      <c r="KS1" s="266"/>
      <c r="KT1" s="266"/>
      <c r="KU1" s="266"/>
      <c r="KV1" s="266"/>
      <c r="KW1" s="266"/>
      <c r="KX1" s="266"/>
      <c r="KY1" s="266"/>
      <c r="KZ1" s="266"/>
      <c r="LA1" s="266"/>
      <c r="LB1" s="266"/>
      <c r="LC1" s="266"/>
      <c r="LD1" s="266"/>
      <c r="LE1" s="266"/>
      <c r="LF1" s="266"/>
      <c r="LG1" s="266"/>
      <c r="LH1" s="266"/>
      <c r="LI1" s="266"/>
      <c r="LJ1" s="266"/>
      <c r="LK1" s="266"/>
      <c r="LL1" s="266"/>
      <c r="LM1" s="266"/>
      <c r="LN1" s="266"/>
      <c r="LO1" s="266"/>
      <c r="LP1" s="266"/>
      <c r="LQ1" s="266"/>
      <c r="LR1" s="266"/>
      <c r="LS1" s="266"/>
      <c r="LT1" s="266"/>
      <c r="LU1" s="266"/>
      <c r="LV1" s="266"/>
      <c r="LW1" s="266"/>
      <c r="LX1" s="266"/>
      <c r="LY1" s="266"/>
      <c r="LZ1" s="266"/>
      <c r="MA1" s="266"/>
      <c r="MB1" s="266"/>
      <c r="MC1" s="266"/>
      <c r="MD1" s="266"/>
      <c r="ME1" s="266"/>
      <c r="MF1" s="266"/>
      <c r="MG1" s="266"/>
      <c r="MH1" s="266"/>
      <c r="MI1" s="266"/>
      <c r="MJ1" s="266"/>
      <c r="MK1" s="266"/>
      <c r="ML1" s="266"/>
      <c r="MM1" s="266"/>
      <c r="MN1" s="266"/>
      <c r="MO1" s="266"/>
      <c r="MP1" s="266"/>
      <c r="MQ1" s="266"/>
      <c r="MR1" s="266"/>
      <c r="MS1" s="266"/>
      <c r="MT1" s="266"/>
      <c r="MU1" s="266"/>
      <c r="MV1" s="266"/>
      <c r="MW1" s="266"/>
      <c r="MX1" s="266"/>
      <c r="MY1" s="266"/>
      <c r="MZ1" s="266"/>
      <c r="NA1" s="266"/>
      <c r="NB1" s="266"/>
      <c r="NC1" s="266"/>
      <c r="ND1" s="266"/>
      <c r="NE1" s="266"/>
      <c r="NF1" s="266"/>
      <c r="NG1" s="266"/>
      <c r="NH1" s="266"/>
      <c r="NI1" s="266"/>
      <c r="NJ1" s="266"/>
      <c r="NK1" s="266"/>
      <c r="NL1" s="266"/>
      <c r="NM1" s="266"/>
      <c r="NN1" s="266"/>
      <c r="NO1" s="266"/>
      <c r="NP1" s="266"/>
      <c r="NQ1" s="266"/>
      <c r="NR1" s="266"/>
      <c r="NS1" s="266"/>
      <c r="NT1" s="266"/>
      <c r="NU1" s="266"/>
      <c r="NV1" s="266"/>
      <c r="NW1" s="266"/>
      <c r="NX1" s="266"/>
      <c r="NY1" s="266"/>
      <c r="NZ1" s="266"/>
      <c r="OA1" s="266"/>
      <c r="OB1" s="266"/>
      <c r="OC1" s="266"/>
      <c r="OD1" s="266"/>
      <c r="OE1" s="266"/>
      <c r="OF1" s="266"/>
      <c r="OG1" s="266"/>
      <c r="OH1" s="266"/>
      <c r="OI1" s="266"/>
      <c r="OJ1" s="266"/>
      <c r="OK1" s="266"/>
      <c r="OL1" s="266"/>
      <c r="OM1" s="266"/>
      <c r="ON1" s="266"/>
      <c r="OO1" s="266"/>
      <c r="OP1" s="266"/>
      <c r="OQ1" s="266"/>
      <c r="OR1" s="266"/>
      <c r="OS1" s="266"/>
      <c r="OT1" s="266"/>
      <c r="OU1" s="266"/>
      <c r="OV1" s="266"/>
      <c r="OW1" s="266"/>
      <c r="OX1" s="266"/>
      <c r="OY1" s="266"/>
      <c r="OZ1" s="266"/>
      <c r="PA1" s="266"/>
      <c r="PB1" s="266"/>
      <c r="PC1" s="266"/>
      <c r="PD1" s="266"/>
      <c r="PE1" s="266"/>
      <c r="PF1" s="266"/>
      <c r="PG1" s="266"/>
      <c r="PH1" s="266"/>
      <c r="PI1" s="266"/>
      <c r="PJ1" s="266"/>
      <c r="PK1" s="266"/>
      <c r="PL1" s="266"/>
      <c r="PM1" s="266"/>
      <c r="PN1" s="266"/>
      <c r="PO1" s="266"/>
      <c r="PP1" s="266"/>
      <c r="PQ1" s="266"/>
      <c r="PR1" s="266"/>
      <c r="PS1" s="266"/>
      <c r="PT1" s="266"/>
      <c r="PU1" s="266"/>
      <c r="PV1" s="266"/>
      <c r="PW1" s="266"/>
      <c r="PX1" s="266"/>
      <c r="PY1" s="266"/>
      <c r="PZ1" s="266"/>
      <c r="QA1" s="266"/>
      <c r="QB1" s="266"/>
      <c r="QC1" s="266"/>
      <c r="QD1" s="266"/>
      <c r="QE1" s="266"/>
      <c r="QF1" s="266"/>
      <c r="QG1" s="266"/>
      <c r="QH1" s="266"/>
      <c r="QI1" s="266"/>
      <c r="QJ1" s="266"/>
      <c r="QK1" s="266"/>
      <c r="QL1" s="266"/>
      <c r="QM1" s="266"/>
      <c r="QN1" s="266"/>
      <c r="QO1" s="266"/>
      <c r="QP1" s="266"/>
      <c r="QQ1" s="266"/>
      <c r="QR1" s="266"/>
      <c r="QS1" s="266"/>
      <c r="QT1" s="266"/>
      <c r="QU1" s="266"/>
      <c r="QV1" s="266"/>
      <c r="QW1" s="266"/>
      <c r="QX1" s="266"/>
      <c r="QY1" s="266"/>
      <c r="QZ1" s="266"/>
      <c r="RA1" s="266"/>
      <c r="RB1" s="266"/>
      <c r="RC1" s="266"/>
      <c r="RD1" s="266"/>
      <c r="RE1" s="266"/>
      <c r="RF1" s="266"/>
      <c r="RG1" s="266"/>
      <c r="RH1" s="266"/>
      <c r="RI1" s="266"/>
      <c r="RJ1" s="266"/>
      <c r="RK1" s="266"/>
      <c r="RL1" s="266"/>
      <c r="RM1" s="266"/>
      <c r="RN1" s="266"/>
      <c r="RO1" s="266"/>
      <c r="RP1" s="266"/>
      <c r="RQ1" s="266"/>
      <c r="RR1" s="266"/>
      <c r="RS1" s="266"/>
      <c r="RT1" s="266"/>
      <c r="RU1" s="266"/>
      <c r="RV1" s="266"/>
      <c r="RW1" s="266"/>
      <c r="RX1" s="266"/>
      <c r="RY1" s="266"/>
      <c r="RZ1" s="266"/>
      <c r="SA1" s="266"/>
      <c r="SB1" s="266"/>
      <c r="SC1" s="266"/>
      <c r="SD1" s="266"/>
      <c r="SE1" s="266"/>
      <c r="SF1" s="266"/>
      <c r="SG1" s="266"/>
      <c r="SH1" s="266"/>
      <c r="SI1" s="266"/>
      <c r="SJ1" s="266"/>
      <c r="SK1" s="266"/>
      <c r="SL1" s="266"/>
      <c r="SM1" s="266"/>
      <c r="SN1" s="266"/>
      <c r="SO1" s="266"/>
      <c r="SP1" s="266"/>
      <c r="SQ1" s="266"/>
      <c r="SR1" s="266"/>
      <c r="SS1" s="266"/>
      <c r="ST1" s="266"/>
      <c r="SU1" s="266"/>
      <c r="SV1" s="266"/>
      <c r="SW1" s="266"/>
      <c r="SX1" s="266"/>
      <c r="SY1" s="266"/>
      <c r="SZ1" s="266"/>
      <c r="TA1" s="266"/>
      <c r="TB1" s="266"/>
      <c r="TC1" s="266"/>
      <c r="TD1" s="266"/>
      <c r="TE1" s="266"/>
      <c r="TF1" s="266"/>
      <c r="TG1" s="266"/>
      <c r="TH1" s="266"/>
      <c r="TI1" s="266"/>
      <c r="TJ1" s="266"/>
      <c r="TK1" s="266"/>
      <c r="TL1" s="266"/>
      <c r="TM1" s="266"/>
      <c r="TN1" s="266"/>
      <c r="TO1" s="266"/>
      <c r="TP1" s="266"/>
      <c r="TQ1" s="266"/>
      <c r="TR1" s="266"/>
      <c r="TS1" s="266"/>
      <c r="TT1" s="266"/>
      <c r="TU1" s="266"/>
      <c r="TV1" s="266"/>
      <c r="TW1" s="266"/>
      <c r="TX1" s="266"/>
      <c r="TY1" s="266"/>
      <c r="TZ1" s="266"/>
      <c r="UA1" s="266"/>
      <c r="UB1" s="266"/>
      <c r="UC1" s="266"/>
      <c r="UD1" s="266"/>
      <c r="UE1" s="266"/>
      <c r="UF1" s="266"/>
      <c r="UG1" s="266"/>
      <c r="UH1" s="266"/>
      <c r="UI1" s="266"/>
      <c r="UJ1" s="266"/>
      <c r="UK1" s="266"/>
      <c r="UL1" s="266"/>
      <c r="UM1" s="266"/>
      <c r="UN1" s="266"/>
      <c r="UO1" s="266"/>
      <c r="UP1" s="266"/>
      <c r="UQ1" s="266"/>
      <c r="UR1" s="266"/>
      <c r="US1" s="266"/>
      <c r="UT1" s="266"/>
      <c r="UU1" s="266"/>
      <c r="UV1" s="266"/>
      <c r="UW1" s="266"/>
      <c r="UX1" s="266"/>
      <c r="UY1" s="266"/>
      <c r="UZ1" s="266"/>
      <c r="VA1" s="266"/>
      <c r="VB1" s="266"/>
      <c r="VC1" s="266"/>
      <c r="VD1" s="266"/>
      <c r="VE1" s="266"/>
      <c r="VF1" s="266"/>
      <c r="VG1" s="266"/>
      <c r="VH1" s="266"/>
      <c r="VI1" s="266"/>
      <c r="VJ1" s="266"/>
      <c r="VK1" s="266"/>
      <c r="VL1" s="266"/>
      <c r="VM1" s="266"/>
      <c r="VN1" s="266"/>
      <c r="VO1" s="266"/>
      <c r="VP1" s="266"/>
      <c r="VQ1" s="266"/>
      <c r="VR1" s="266"/>
      <c r="VS1" s="266"/>
      <c r="VT1" s="266"/>
      <c r="VU1" s="266"/>
      <c r="VV1" s="266"/>
      <c r="VW1" s="266"/>
      <c r="VX1" s="266"/>
      <c r="VY1" s="266"/>
      <c r="VZ1" s="266"/>
      <c r="WA1" s="266"/>
      <c r="WB1" s="266"/>
      <c r="WC1" s="266"/>
      <c r="WD1" s="266"/>
      <c r="WE1" s="266"/>
      <c r="WF1" s="266"/>
      <c r="WG1" s="266"/>
      <c r="WH1" s="266"/>
      <c r="WI1" s="266"/>
      <c r="WJ1" s="266"/>
      <c r="WK1" s="266"/>
      <c r="WL1" s="266"/>
      <c r="WM1" s="266"/>
      <c r="WN1" s="266"/>
      <c r="WO1" s="266"/>
      <c r="WP1" s="266"/>
      <c r="WQ1" s="266"/>
      <c r="WR1" s="266"/>
      <c r="WS1" s="266"/>
      <c r="WT1" s="266"/>
      <c r="WU1" s="266"/>
      <c r="WV1" s="266"/>
      <c r="WW1" s="266"/>
      <c r="WX1" s="266"/>
      <c r="WY1" s="266"/>
      <c r="WZ1" s="266"/>
      <c r="XA1" s="266"/>
      <c r="XB1" s="266"/>
      <c r="XC1" s="266"/>
      <c r="XD1" s="266"/>
      <c r="XE1" s="266"/>
      <c r="XF1" s="266"/>
      <c r="XG1" s="266"/>
      <c r="XH1" s="266"/>
      <c r="XI1" s="266"/>
      <c r="XJ1" s="266"/>
      <c r="XK1" s="266"/>
      <c r="XL1" s="266"/>
      <c r="XM1" s="266"/>
      <c r="XN1" s="266"/>
      <c r="XO1" s="266"/>
      <c r="XP1" s="266"/>
      <c r="XQ1" s="266"/>
      <c r="XR1" s="266"/>
      <c r="XS1" s="266"/>
      <c r="XT1" s="266"/>
      <c r="XU1" s="266"/>
      <c r="XV1" s="266"/>
      <c r="XW1" s="266"/>
      <c r="XX1" s="266"/>
      <c r="XY1" s="266"/>
      <c r="XZ1" s="266"/>
      <c r="YA1" s="266"/>
      <c r="YB1" s="266"/>
      <c r="YC1" s="266"/>
      <c r="YD1" s="266"/>
      <c r="YE1" s="266"/>
      <c r="YF1" s="266"/>
      <c r="YG1" s="266"/>
      <c r="YH1" s="266"/>
      <c r="YI1" s="266"/>
      <c r="YJ1" s="266"/>
      <c r="YK1" s="266"/>
      <c r="YL1" s="266"/>
      <c r="YM1" s="266"/>
      <c r="YN1" s="266"/>
      <c r="YO1" s="266"/>
      <c r="YP1" s="266"/>
      <c r="YQ1" s="266"/>
      <c r="YR1" s="266"/>
      <c r="YS1" s="266"/>
      <c r="YT1" s="266"/>
      <c r="YU1" s="266"/>
      <c r="YV1" s="266"/>
      <c r="YW1" s="266"/>
      <c r="YX1" s="266"/>
      <c r="YY1" s="266"/>
      <c r="YZ1" s="266"/>
      <c r="ZA1" s="266"/>
      <c r="ZB1" s="266"/>
      <c r="ZC1" s="266"/>
      <c r="ZD1" s="266"/>
      <c r="ZE1" s="266"/>
      <c r="ZF1" s="266"/>
      <c r="ZG1" s="266"/>
      <c r="ZH1" s="266"/>
      <c r="ZI1" s="266"/>
      <c r="ZJ1" s="266"/>
      <c r="ZK1" s="266"/>
      <c r="ZL1" s="266"/>
      <c r="ZM1" s="266"/>
      <c r="ZN1" s="266"/>
      <c r="ZO1" s="266"/>
      <c r="ZP1" s="266"/>
      <c r="ZQ1" s="266"/>
      <c r="ZR1" s="266"/>
      <c r="ZS1" s="266"/>
      <c r="ZT1" s="266"/>
      <c r="ZU1" s="266"/>
      <c r="ZV1" s="266"/>
      <c r="ZW1" s="266"/>
      <c r="ZX1" s="266"/>
      <c r="ZY1" s="266"/>
      <c r="ZZ1" s="266"/>
      <c r="AAA1" s="266"/>
      <c r="AAB1" s="266"/>
      <c r="AAC1" s="266"/>
      <c r="AAD1" s="266"/>
      <c r="AAE1" s="266"/>
      <c r="AAF1" s="266"/>
      <c r="AAG1" s="266"/>
      <c r="AAH1" s="266"/>
      <c r="AAI1" s="266"/>
      <c r="AAJ1" s="266"/>
      <c r="AAK1" s="266"/>
      <c r="AAL1" s="266"/>
      <c r="AAM1" s="266"/>
      <c r="AAN1" s="266"/>
      <c r="AAO1" s="266"/>
      <c r="AAP1" s="266"/>
      <c r="AAQ1" s="266"/>
      <c r="AAR1" s="266"/>
      <c r="AAS1" s="266"/>
      <c r="AAT1" s="266"/>
      <c r="AAU1" s="266"/>
      <c r="AAV1" s="266"/>
      <c r="AAW1" s="266"/>
      <c r="AAX1" s="266"/>
      <c r="AAY1" s="266"/>
      <c r="AAZ1" s="266"/>
      <c r="ABA1" s="266"/>
      <c r="ABB1" s="266"/>
      <c r="ABC1" s="266"/>
      <c r="ABD1" s="266"/>
      <c r="ABE1" s="266"/>
      <c r="ABF1" s="266"/>
      <c r="ABG1" s="266"/>
      <c r="ABH1" s="266"/>
      <c r="ABI1" s="266"/>
      <c r="ABJ1" s="266"/>
      <c r="ABK1" s="266"/>
      <c r="ABL1" s="266"/>
      <c r="ABM1" s="266"/>
      <c r="ABN1" s="266"/>
      <c r="ABO1" s="266"/>
      <c r="ABP1" s="266"/>
      <c r="ABQ1" s="266"/>
      <c r="ABR1" s="266"/>
      <c r="ABS1" s="266"/>
      <c r="ABT1" s="266"/>
      <c r="ABU1" s="266"/>
      <c r="ABV1" s="266"/>
      <c r="ABW1" s="266"/>
      <c r="ABX1" s="266"/>
      <c r="ABY1" s="266"/>
      <c r="ABZ1" s="266"/>
      <c r="ACA1" s="266"/>
      <c r="ACB1" s="266"/>
      <c r="ACC1" s="266"/>
      <c r="ACD1" s="266"/>
      <c r="ACE1" s="266"/>
      <c r="ACF1" s="266"/>
      <c r="ACG1" s="266"/>
      <c r="ACH1" s="266"/>
      <c r="ACI1" s="266"/>
      <c r="ACJ1" s="266"/>
      <c r="ACK1" s="266"/>
      <c r="ACL1" s="266"/>
      <c r="ACM1" s="266"/>
      <c r="ACN1" s="266"/>
      <c r="ACO1" s="266"/>
      <c r="ACP1" s="266"/>
      <c r="ACQ1" s="266"/>
      <c r="ACR1" s="266"/>
      <c r="ACS1" s="266"/>
      <c r="ACT1" s="266"/>
      <c r="ACU1" s="266"/>
      <c r="ACV1" s="266"/>
      <c r="ACW1" s="266"/>
      <c r="ACX1" s="266"/>
      <c r="ACY1" s="266"/>
      <c r="ACZ1" s="266"/>
      <c r="ADA1" s="266"/>
      <c r="ADB1" s="266"/>
      <c r="ADC1" s="266"/>
      <c r="ADD1" s="266"/>
      <c r="ADE1" s="266"/>
      <c r="ADF1" s="266"/>
      <c r="ADG1" s="266"/>
      <c r="ADH1" s="266"/>
      <c r="ADI1" s="266"/>
      <c r="ADJ1" s="266"/>
      <c r="ADK1" s="266"/>
      <c r="ADL1" s="266"/>
      <c r="ADM1" s="266"/>
      <c r="ADN1" s="266"/>
      <c r="ADO1" s="266"/>
      <c r="ADP1" s="266"/>
      <c r="ADQ1" s="266"/>
      <c r="ADR1" s="266"/>
      <c r="ADS1" s="266"/>
      <c r="ADT1" s="266"/>
      <c r="ADU1" s="266"/>
      <c r="ADV1" s="266"/>
      <c r="ADW1" s="266"/>
      <c r="ADX1" s="266"/>
      <c r="ADY1" s="266"/>
      <c r="ADZ1" s="266"/>
      <c r="AEA1" s="266"/>
      <c r="AEB1" s="266"/>
      <c r="AEC1" s="266"/>
      <c r="AED1" s="266"/>
      <c r="AEE1" s="266"/>
      <c r="AEF1" s="266"/>
      <c r="AEG1" s="266"/>
      <c r="AEH1" s="266"/>
      <c r="AEI1" s="266"/>
      <c r="AEJ1" s="266"/>
      <c r="AEK1" s="266"/>
      <c r="AEL1" s="266"/>
      <c r="AEM1" s="266"/>
      <c r="AEN1" s="266"/>
      <c r="AEO1" s="266"/>
      <c r="AEP1" s="266"/>
      <c r="AEQ1" s="266"/>
      <c r="AER1" s="266"/>
      <c r="AES1" s="266"/>
      <c r="AET1" s="266"/>
      <c r="AEU1" s="266"/>
      <c r="AEV1" s="266"/>
      <c r="AEW1" s="266"/>
      <c r="AEX1" s="266"/>
      <c r="AEY1" s="266"/>
      <c r="AEZ1" s="266"/>
      <c r="AFA1" s="266"/>
      <c r="AFB1" s="266"/>
      <c r="AFC1" s="266"/>
      <c r="AFD1" s="266"/>
      <c r="AFE1" s="266"/>
      <c r="AFF1" s="266"/>
      <c r="AFG1" s="266"/>
      <c r="AFH1" s="266"/>
      <c r="AFI1" s="266"/>
      <c r="AFJ1" s="266"/>
      <c r="AFK1" s="266"/>
      <c r="AFL1" s="266"/>
      <c r="AFM1" s="266"/>
      <c r="AFN1" s="266"/>
      <c r="AFO1" s="266"/>
      <c r="AFP1" s="266"/>
      <c r="AFQ1" s="266"/>
      <c r="AFR1" s="266"/>
      <c r="AFS1" s="266"/>
      <c r="AFT1" s="266"/>
      <c r="AFU1" s="266"/>
      <c r="AFV1" s="266"/>
      <c r="AFW1" s="266"/>
      <c r="AFX1" s="266"/>
      <c r="AFY1" s="266"/>
      <c r="AFZ1" s="266"/>
      <c r="AGA1" s="266"/>
      <c r="AGB1" s="266"/>
      <c r="AGC1" s="266"/>
      <c r="AGD1" s="266"/>
      <c r="AGE1" s="266"/>
      <c r="AGF1" s="266"/>
      <c r="AGG1" s="266"/>
      <c r="AGH1" s="266"/>
      <c r="AGI1" s="266"/>
      <c r="AGJ1" s="266"/>
      <c r="AGK1" s="266"/>
      <c r="AGL1" s="266"/>
      <c r="AGM1" s="266"/>
      <c r="AGN1" s="266"/>
      <c r="AGO1" s="266"/>
      <c r="AGP1" s="266"/>
      <c r="AGQ1" s="266"/>
      <c r="AGR1" s="266"/>
      <c r="AGS1" s="266"/>
      <c r="AGT1" s="266"/>
      <c r="AGU1" s="266"/>
      <c r="AGV1" s="266"/>
      <c r="AGW1" s="266"/>
      <c r="AGX1" s="266"/>
      <c r="AGY1" s="266"/>
      <c r="AGZ1" s="266"/>
      <c r="AHA1" s="266"/>
      <c r="AHB1" s="266"/>
      <c r="AHC1" s="266"/>
      <c r="AHD1" s="266"/>
      <c r="AHE1" s="266"/>
      <c r="AHF1" s="266"/>
      <c r="AHG1" s="266"/>
      <c r="AHH1" s="266"/>
      <c r="AHI1" s="266"/>
      <c r="AHJ1" s="266"/>
      <c r="AHK1" s="266"/>
      <c r="AHL1" s="266"/>
      <c r="AHM1" s="266"/>
      <c r="AHN1" s="266"/>
      <c r="AHO1" s="266"/>
      <c r="AHP1" s="266"/>
      <c r="AHQ1" s="266"/>
      <c r="AHR1" s="266"/>
      <c r="AHS1" s="266"/>
      <c r="AHT1" s="266"/>
      <c r="AHU1" s="266"/>
      <c r="AHV1" s="266"/>
      <c r="AHW1" s="266"/>
      <c r="AHX1" s="266"/>
      <c r="AHY1" s="266"/>
      <c r="AHZ1" s="266"/>
      <c r="AIA1" s="266"/>
      <c r="AIB1" s="266"/>
      <c r="AIC1" s="266"/>
      <c r="AID1" s="266"/>
      <c r="AIE1" s="266"/>
      <c r="AIF1" s="266"/>
      <c r="AIG1" s="266"/>
      <c r="AIH1" s="266"/>
      <c r="AII1" s="266"/>
      <c r="AIJ1" s="266"/>
      <c r="AIK1" s="266"/>
      <c r="AIL1" s="266"/>
      <c r="AIM1" s="266"/>
      <c r="AIN1" s="266"/>
      <c r="AIO1" s="266"/>
      <c r="AIP1" s="266"/>
      <c r="AIQ1" s="266"/>
      <c r="AIR1" s="266"/>
      <c r="AIS1" s="266"/>
      <c r="AIT1" s="266"/>
      <c r="AIU1" s="266"/>
      <c r="AIV1" s="266"/>
      <c r="AIW1" s="266"/>
      <c r="AIX1" s="266"/>
      <c r="AIY1" s="266"/>
      <c r="AIZ1" s="266"/>
      <c r="AJA1" s="266"/>
      <c r="AJB1" s="266"/>
      <c r="AJC1" s="266"/>
      <c r="AJD1" s="266"/>
      <c r="AJE1" s="266"/>
      <c r="AJF1" s="266"/>
      <c r="AJG1" s="266"/>
      <c r="AJH1" s="266"/>
      <c r="AJI1" s="266"/>
      <c r="AJJ1" s="266"/>
      <c r="AJK1" s="266"/>
      <c r="AJL1" s="266"/>
      <c r="AJM1" s="266"/>
      <c r="AJN1" s="266"/>
      <c r="AJO1" s="266"/>
      <c r="AJP1" s="266"/>
      <c r="AJQ1" s="266"/>
      <c r="AJR1" s="266"/>
      <c r="AJS1" s="266"/>
      <c r="AJT1" s="266"/>
      <c r="AJU1" s="266"/>
      <c r="AJV1" s="266"/>
      <c r="AJW1" s="266"/>
      <c r="AJX1" s="266"/>
      <c r="AJY1" s="266"/>
      <c r="AJZ1" s="266"/>
      <c r="AKA1" s="266"/>
      <c r="AKB1" s="266"/>
      <c r="AKC1" s="266"/>
      <c r="AKD1" s="266"/>
      <c r="AKE1" s="266"/>
      <c r="AKF1" s="266"/>
      <c r="AKG1" s="266"/>
      <c r="AKH1" s="266"/>
      <c r="AKI1" s="266"/>
      <c r="AKJ1" s="266"/>
      <c r="AKK1" s="266"/>
      <c r="AKL1" s="266"/>
      <c r="AKM1" s="266"/>
      <c r="AKN1" s="266"/>
      <c r="AKO1" s="266"/>
      <c r="AKP1" s="266"/>
      <c r="AKQ1" s="266"/>
      <c r="AKR1" s="266"/>
      <c r="AKS1" s="266"/>
      <c r="AKT1" s="266"/>
      <c r="AKU1" s="266"/>
      <c r="AKV1" s="266"/>
      <c r="AKW1" s="266"/>
      <c r="AKX1" s="266"/>
      <c r="AKY1" s="266"/>
      <c r="AKZ1" s="266"/>
      <c r="ALA1" s="266"/>
      <c r="ALB1" s="266"/>
      <c r="ALC1" s="266"/>
      <c r="ALD1" s="266"/>
      <c r="ALE1" s="266"/>
      <c r="ALF1" s="266"/>
      <c r="ALG1" s="266"/>
      <c r="ALH1" s="266"/>
      <c r="ALI1" s="266"/>
      <c r="ALJ1" s="266"/>
      <c r="ALK1" s="266"/>
      <c r="ALL1" s="266"/>
      <c r="ALM1" s="266"/>
      <c r="ALN1" s="266"/>
      <c r="ALO1" s="266"/>
      <c r="ALP1" s="266"/>
      <c r="ALQ1" s="266"/>
      <c r="ALR1" s="266"/>
      <c r="ALS1" s="266"/>
      <c r="ALT1" s="266"/>
      <c r="ALU1" s="266"/>
      <c r="ALV1" s="266"/>
      <c r="ALW1" s="266"/>
      <c r="ALX1" s="266"/>
      <c r="ALY1" s="266"/>
      <c r="ALZ1" s="266"/>
      <c r="AMA1" s="266"/>
      <c r="AMB1" s="266"/>
      <c r="AMC1" s="266"/>
      <c r="AMD1" s="266"/>
      <c r="AME1" s="266"/>
      <c r="AMF1" s="266"/>
      <c r="AMG1" s="266"/>
      <c r="AMH1" s="266"/>
      <c r="AMI1" s="266"/>
      <c r="AMJ1" s="266"/>
      <c r="AMK1" s="266"/>
      <c r="AML1" s="266"/>
      <c r="AMM1" s="266"/>
      <c r="AMN1" s="266"/>
      <c r="AMO1" s="266"/>
      <c r="AMP1" s="266"/>
      <c r="AMQ1" s="266"/>
      <c r="AMR1" s="266"/>
      <c r="AMS1" s="266"/>
      <c r="AMT1" s="266"/>
      <c r="AMU1" s="266"/>
      <c r="AMV1" s="266"/>
      <c r="AMW1" s="266"/>
      <c r="AMX1" s="266"/>
      <c r="AMY1" s="266"/>
      <c r="AMZ1" s="266"/>
      <c r="ANA1" s="266"/>
      <c r="ANB1" s="266"/>
      <c r="ANC1" s="266"/>
      <c r="AND1" s="266"/>
      <c r="ANE1" s="266"/>
      <c r="ANF1" s="266"/>
      <c r="ANG1" s="266"/>
      <c r="ANH1" s="266"/>
      <c r="ANI1" s="266"/>
      <c r="ANJ1" s="266"/>
      <c r="ANK1" s="266"/>
      <c r="ANL1" s="266"/>
      <c r="ANM1" s="266"/>
      <c r="ANN1" s="266"/>
      <c r="ANO1" s="266"/>
      <c r="ANP1" s="266"/>
      <c r="ANQ1" s="266"/>
      <c r="ANR1" s="266"/>
      <c r="ANS1" s="266"/>
      <c r="ANT1" s="266"/>
      <c r="ANU1" s="266"/>
      <c r="ANV1" s="266"/>
      <c r="ANW1" s="266"/>
      <c r="ANX1" s="266"/>
      <c r="ANY1" s="266"/>
      <c r="ANZ1" s="266"/>
      <c r="AOA1" s="266"/>
      <c r="AOB1" s="266"/>
      <c r="AOC1" s="266"/>
      <c r="AOD1" s="266"/>
      <c r="AOE1" s="266"/>
      <c r="AOF1" s="266"/>
      <c r="AOG1" s="266"/>
      <c r="AOH1" s="266"/>
      <c r="AOI1" s="266"/>
      <c r="AOJ1" s="266"/>
      <c r="AOK1" s="266"/>
      <c r="AOL1" s="266"/>
      <c r="AOM1" s="266"/>
      <c r="AON1" s="266"/>
      <c r="AOO1" s="266"/>
      <c r="AOP1" s="266"/>
      <c r="AOQ1" s="266"/>
      <c r="AOR1" s="266"/>
      <c r="AOS1" s="266"/>
      <c r="AOT1" s="266"/>
      <c r="AOU1" s="266"/>
      <c r="AOV1" s="266"/>
      <c r="AOW1" s="266"/>
      <c r="AOX1" s="266"/>
      <c r="AOY1" s="266"/>
      <c r="AOZ1" s="266"/>
      <c r="APA1" s="266"/>
      <c r="APB1" s="266"/>
      <c r="APC1" s="266"/>
      <c r="APD1" s="266"/>
      <c r="APE1" s="266"/>
      <c r="APF1" s="266"/>
      <c r="APG1" s="266"/>
      <c r="APH1" s="266"/>
      <c r="API1" s="266"/>
      <c r="APJ1" s="266"/>
      <c r="APK1" s="266"/>
      <c r="APL1" s="266"/>
      <c r="APM1" s="266"/>
      <c r="APN1" s="266"/>
      <c r="APO1" s="266"/>
      <c r="APP1" s="266"/>
      <c r="APQ1" s="266"/>
      <c r="APR1" s="266"/>
      <c r="APS1" s="266"/>
      <c r="APT1" s="266"/>
      <c r="APU1" s="266"/>
      <c r="APV1" s="266"/>
      <c r="APW1" s="266"/>
      <c r="APX1" s="266"/>
      <c r="APY1" s="266"/>
      <c r="APZ1" s="266"/>
      <c r="AQA1" s="266"/>
      <c r="AQB1" s="266"/>
      <c r="AQC1" s="266"/>
      <c r="AQD1" s="266"/>
      <c r="AQE1" s="266"/>
      <c r="AQF1" s="266"/>
      <c r="AQG1" s="266"/>
      <c r="AQH1" s="266"/>
      <c r="AQI1" s="266"/>
      <c r="AQJ1" s="266"/>
      <c r="AQK1" s="266"/>
      <c r="AQL1" s="266"/>
      <c r="AQM1" s="266"/>
      <c r="AQN1" s="266"/>
      <c r="AQO1" s="266"/>
      <c r="AQP1" s="266"/>
      <c r="AQQ1" s="266"/>
      <c r="AQR1" s="266"/>
      <c r="AQS1" s="266"/>
      <c r="AQT1" s="266"/>
      <c r="AQU1" s="266"/>
      <c r="AQV1" s="266"/>
      <c r="AQW1" s="266"/>
      <c r="AQX1" s="266"/>
      <c r="AQY1" s="266"/>
      <c r="AQZ1" s="266"/>
      <c r="ARA1" s="266"/>
      <c r="ARB1" s="266"/>
      <c r="ARC1" s="266"/>
      <c r="ARD1" s="266"/>
      <c r="ARE1" s="266"/>
      <c r="ARF1" s="266"/>
      <c r="ARG1" s="266"/>
      <c r="ARH1" s="266"/>
      <c r="ARI1" s="266"/>
      <c r="ARJ1" s="266"/>
      <c r="ARK1" s="266"/>
      <c r="ARL1" s="266"/>
      <c r="ARM1" s="266"/>
      <c r="ARN1" s="266"/>
      <c r="ARO1" s="266"/>
      <c r="ARP1" s="266"/>
      <c r="ARQ1" s="266"/>
      <c r="ARR1" s="266"/>
      <c r="ARS1" s="266"/>
      <c r="ART1" s="266"/>
      <c r="ARU1" s="266"/>
      <c r="ARV1" s="266"/>
      <c r="ARW1" s="266"/>
      <c r="ARX1" s="266"/>
      <c r="ARY1" s="266"/>
      <c r="ARZ1" s="266"/>
      <c r="ASA1" s="266"/>
      <c r="ASB1" s="266"/>
      <c r="ASC1" s="266"/>
      <c r="ASD1" s="266"/>
      <c r="ASE1" s="266"/>
      <c r="ASF1" s="266"/>
      <c r="ASG1" s="266"/>
      <c r="ASH1" s="266"/>
      <c r="ASI1" s="266"/>
      <c r="ASJ1" s="266"/>
      <c r="ASK1" s="266"/>
      <c r="ASL1" s="266"/>
      <c r="ASM1" s="266"/>
      <c r="ASN1" s="266"/>
      <c r="ASO1" s="266"/>
      <c r="ASP1" s="266"/>
      <c r="ASQ1" s="266"/>
      <c r="ASR1" s="266"/>
      <c r="ASS1" s="266"/>
      <c r="AST1" s="266"/>
      <c r="ASU1" s="266"/>
      <c r="ASV1" s="266"/>
      <c r="ASW1" s="266"/>
      <c r="ASX1" s="266"/>
      <c r="ASY1" s="266"/>
      <c r="ASZ1" s="266"/>
      <c r="ATA1" s="266"/>
      <c r="ATB1" s="266"/>
      <c r="ATC1" s="266"/>
      <c r="ATD1" s="266"/>
      <c r="ATE1" s="266"/>
      <c r="ATF1" s="266"/>
      <c r="ATG1" s="266"/>
      <c r="ATH1" s="266"/>
      <c r="ATI1" s="266"/>
      <c r="ATJ1" s="266"/>
      <c r="ATK1" s="266"/>
      <c r="ATL1" s="266"/>
      <c r="ATM1" s="266"/>
      <c r="ATN1" s="266"/>
      <c r="ATO1" s="266"/>
      <c r="ATP1" s="266"/>
      <c r="ATQ1" s="266"/>
      <c r="ATR1" s="266"/>
      <c r="ATS1" s="266"/>
      <c r="ATT1" s="266"/>
      <c r="ATU1" s="266"/>
      <c r="ATV1" s="266"/>
      <c r="ATW1" s="266"/>
      <c r="ATX1" s="266"/>
      <c r="ATY1" s="266"/>
      <c r="ATZ1" s="266"/>
      <c r="AUA1" s="266"/>
      <c r="AUB1" s="266"/>
      <c r="AUC1" s="266"/>
      <c r="AUD1" s="266"/>
      <c r="AUE1" s="266"/>
      <c r="AUF1" s="266"/>
      <c r="AUG1" s="266"/>
      <c r="AUH1" s="266"/>
      <c r="AUI1" s="266"/>
      <c r="AUJ1" s="266"/>
      <c r="AUK1" s="266"/>
      <c r="AUL1" s="266"/>
      <c r="AUM1" s="266"/>
      <c r="AUN1" s="266"/>
      <c r="AUO1" s="266"/>
      <c r="AUP1" s="266"/>
      <c r="AUQ1" s="266"/>
      <c r="AUR1" s="266"/>
      <c r="AUS1" s="266"/>
      <c r="AUT1" s="266"/>
      <c r="AUU1" s="266"/>
      <c r="AUV1" s="266"/>
      <c r="AUW1" s="266"/>
      <c r="AUX1" s="266"/>
      <c r="AUY1" s="266"/>
      <c r="AUZ1" s="266"/>
      <c r="AVA1" s="266"/>
      <c r="AVB1" s="266"/>
      <c r="AVC1" s="266"/>
      <c r="AVD1" s="266"/>
      <c r="AVE1" s="266"/>
      <c r="AVF1" s="266"/>
      <c r="AVG1" s="266"/>
      <c r="AVH1" s="266"/>
      <c r="AVI1" s="266"/>
      <c r="AVJ1" s="266"/>
      <c r="AVK1" s="266"/>
      <c r="AVL1" s="266"/>
      <c r="AVM1" s="266"/>
      <c r="AVN1" s="266"/>
      <c r="AVO1" s="266"/>
      <c r="AVP1" s="266"/>
      <c r="AVQ1" s="266"/>
      <c r="AVR1" s="266"/>
      <c r="AVS1" s="266"/>
      <c r="AVT1" s="266"/>
      <c r="AVU1" s="266"/>
      <c r="AVV1" s="266"/>
      <c r="AVW1" s="266"/>
      <c r="AVX1" s="266"/>
      <c r="AVY1" s="266"/>
      <c r="AVZ1" s="266"/>
      <c r="AWA1" s="266"/>
      <c r="AWB1" s="266"/>
      <c r="AWC1" s="266"/>
      <c r="AWD1" s="266"/>
      <c r="AWE1" s="266"/>
      <c r="AWF1" s="266"/>
      <c r="AWG1" s="266"/>
      <c r="AWH1" s="266"/>
      <c r="AWI1" s="266"/>
      <c r="AWJ1" s="266"/>
      <c r="AWK1" s="266"/>
      <c r="AWL1" s="266"/>
      <c r="AWM1" s="266"/>
      <c r="AWN1" s="266"/>
      <c r="AWO1" s="266"/>
      <c r="AWP1" s="266"/>
      <c r="AWQ1" s="266"/>
      <c r="AWR1" s="266"/>
      <c r="AWS1" s="266"/>
      <c r="AWT1" s="266"/>
      <c r="AWU1" s="266"/>
      <c r="AWV1" s="266"/>
      <c r="AWW1" s="266"/>
      <c r="AWX1" s="266"/>
      <c r="AWY1" s="266"/>
      <c r="AWZ1" s="266"/>
      <c r="AXA1" s="266"/>
      <c r="AXB1" s="266"/>
      <c r="AXC1" s="266"/>
      <c r="AXD1" s="266"/>
      <c r="AXE1" s="266"/>
      <c r="AXF1" s="266"/>
      <c r="AXG1" s="266"/>
      <c r="AXH1" s="266"/>
      <c r="AXI1" s="266"/>
      <c r="AXJ1" s="266"/>
      <c r="AXK1" s="266"/>
      <c r="AXL1" s="266"/>
      <c r="AXM1" s="266"/>
      <c r="AXN1" s="266"/>
      <c r="AXO1" s="266"/>
      <c r="AXP1" s="266"/>
      <c r="AXQ1" s="266"/>
      <c r="AXR1" s="266"/>
      <c r="AXS1" s="266"/>
      <c r="AXT1" s="266"/>
      <c r="AXU1" s="266"/>
      <c r="AXV1" s="266"/>
      <c r="AXW1" s="266"/>
      <c r="AXX1" s="266"/>
      <c r="AXY1" s="266"/>
      <c r="AXZ1" s="266"/>
      <c r="AYA1" s="266"/>
      <c r="AYB1" s="266"/>
      <c r="AYC1" s="266"/>
      <c r="AYD1" s="266"/>
      <c r="AYE1" s="266"/>
      <c r="AYF1" s="266"/>
      <c r="AYG1" s="266"/>
      <c r="AYH1" s="266"/>
      <c r="AYI1" s="266"/>
      <c r="AYJ1" s="266"/>
      <c r="AYK1" s="266"/>
      <c r="AYL1" s="266"/>
      <c r="AYM1" s="266"/>
      <c r="AYN1" s="266"/>
      <c r="AYO1" s="266"/>
      <c r="AYP1" s="266"/>
      <c r="AYQ1" s="266"/>
      <c r="AYR1" s="266"/>
      <c r="AYS1" s="266"/>
      <c r="AYT1" s="266"/>
      <c r="AYU1" s="266"/>
      <c r="AYV1" s="266"/>
      <c r="AYW1" s="266"/>
      <c r="AYX1" s="266"/>
      <c r="AYY1" s="266"/>
      <c r="AYZ1" s="266"/>
      <c r="AZA1" s="266"/>
      <c r="AZB1" s="266"/>
      <c r="AZC1" s="266"/>
      <c r="AZD1" s="266"/>
      <c r="AZE1" s="266"/>
      <c r="AZF1" s="266"/>
      <c r="AZG1" s="266"/>
      <c r="AZH1" s="266"/>
      <c r="AZI1" s="266"/>
      <c r="AZJ1" s="266"/>
      <c r="AZK1" s="266"/>
      <c r="AZL1" s="266"/>
      <c r="AZM1" s="266"/>
      <c r="AZN1" s="266"/>
      <c r="AZO1" s="266"/>
      <c r="AZP1" s="266"/>
      <c r="AZQ1" s="266"/>
      <c r="AZR1" s="266"/>
      <c r="AZS1" s="266"/>
      <c r="AZT1" s="266"/>
      <c r="AZU1" s="266"/>
      <c r="AZV1" s="266"/>
      <c r="AZW1" s="266"/>
      <c r="AZX1" s="266"/>
      <c r="AZY1" s="266"/>
      <c r="AZZ1" s="266"/>
      <c r="BAA1" s="266"/>
      <c r="BAB1" s="266"/>
      <c r="BAC1" s="266"/>
      <c r="BAD1" s="266"/>
      <c r="BAE1" s="266"/>
      <c r="BAF1" s="266"/>
      <c r="BAG1" s="266"/>
      <c r="BAH1" s="266"/>
      <c r="BAI1" s="266"/>
      <c r="BAJ1" s="266"/>
      <c r="BAK1" s="266"/>
      <c r="BAL1" s="266"/>
      <c r="BAM1" s="266"/>
      <c r="BAN1" s="266"/>
      <c r="BAO1" s="266"/>
      <c r="BAP1" s="266"/>
      <c r="BAQ1" s="266"/>
      <c r="BAR1" s="266"/>
      <c r="BAS1" s="266"/>
      <c r="BAT1" s="266"/>
      <c r="BAU1" s="266"/>
      <c r="BAV1" s="266"/>
      <c r="BAW1" s="266"/>
      <c r="BAX1" s="266"/>
      <c r="BAY1" s="266"/>
      <c r="BAZ1" s="266"/>
      <c r="BBA1" s="266"/>
      <c r="BBB1" s="266"/>
      <c r="BBC1" s="266"/>
      <c r="BBD1" s="266"/>
      <c r="BBE1" s="266"/>
      <c r="BBF1" s="266"/>
      <c r="BBG1" s="266"/>
      <c r="BBH1" s="266"/>
      <c r="BBI1" s="266"/>
      <c r="BBJ1" s="266"/>
      <c r="BBK1" s="266"/>
      <c r="BBL1" s="266"/>
      <c r="BBM1" s="266"/>
      <c r="BBN1" s="266"/>
      <c r="BBO1" s="266"/>
      <c r="BBP1" s="266"/>
      <c r="BBQ1" s="266"/>
      <c r="BBR1" s="266"/>
      <c r="BBS1" s="266"/>
      <c r="BBT1" s="266"/>
      <c r="BBU1" s="266"/>
      <c r="BBV1" s="266"/>
      <c r="BBW1" s="266"/>
      <c r="BBX1" s="266"/>
      <c r="BBY1" s="266"/>
      <c r="BBZ1" s="266"/>
      <c r="BCA1" s="266"/>
      <c r="BCB1" s="266"/>
      <c r="BCC1" s="266"/>
      <c r="BCD1" s="266"/>
      <c r="BCE1" s="266"/>
      <c r="BCF1" s="266"/>
      <c r="BCG1" s="266"/>
      <c r="BCH1" s="266"/>
      <c r="BCI1" s="266"/>
      <c r="BCJ1" s="266"/>
      <c r="BCK1" s="266"/>
      <c r="BCL1" s="266"/>
      <c r="BCM1" s="266"/>
      <c r="BCN1" s="266"/>
      <c r="BCO1" s="266"/>
      <c r="BCP1" s="266"/>
      <c r="BCQ1" s="266"/>
      <c r="BCR1" s="266"/>
      <c r="BCS1" s="266"/>
      <c r="BCT1" s="266"/>
      <c r="BCU1" s="266"/>
      <c r="BCV1" s="266"/>
      <c r="BCW1" s="266"/>
      <c r="BCX1" s="266"/>
      <c r="BCY1" s="266"/>
      <c r="BCZ1" s="266"/>
      <c r="BDA1" s="266"/>
      <c r="BDB1" s="266"/>
      <c r="BDC1" s="266"/>
      <c r="BDD1" s="266"/>
      <c r="BDE1" s="266"/>
      <c r="BDF1" s="266"/>
      <c r="BDG1" s="266"/>
      <c r="BDH1" s="266"/>
      <c r="BDI1" s="266"/>
      <c r="BDJ1" s="266"/>
      <c r="BDK1" s="266"/>
      <c r="BDL1" s="266"/>
      <c r="BDM1" s="266"/>
      <c r="BDN1" s="266"/>
      <c r="BDO1" s="266"/>
      <c r="BDP1" s="266"/>
      <c r="BDQ1" s="266"/>
      <c r="BDR1" s="266"/>
      <c r="BDS1" s="266"/>
      <c r="BDT1" s="266"/>
      <c r="BDU1" s="266"/>
      <c r="BDV1" s="266"/>
      <c r="BDW1" s="266"/>
      <c r="BDX1" s="266"/>
      <c r="BDY1" s="266"/>
      <c r="BDZ1" s="266"/>
      <c r="BEA1" s="266"/>
      <c r="BEB1" s="266"/>
      <c r="BEC1" s="266"/>
      <c r="BED1" s="266"/>
      <c r="BEE1" s="266"/>
      <c r="BEF1" s="266"/>
      <c r="BEG1" s="266"/>
      <c r="BEH1" s="266"/>
      <c r="BEI1" s="266"/>
      <c r="BEJ1" s="266"/>
      <c r="BEK1" s="266"/>
      <c r="BEL1" s="266"/>
      <c r="BEM1" s="266"/>
      <c r="BEN1" s="266"/>
      <c r="BEO1" s="266"/>
      <c r="BEP1" s="266"/>
      <c r="BEQ1" s="266"/>
      <c r="BER1" s="266"/>
      <c r="BES1" s="266"/>
      <c r="BET1" s="266"/>
      <c r="BEU1" s="266"/>
      <c r="BEV1" s="266"/>
      <c r="BEW1" s="266"/>
      <c r="BEX1" s="266"/>
      <c r="BEY1" s="266"/>
      <c r="BEZ1" s="266"/>
      <c r="BFA1" s="266"/>
      <c r="BFB1" s="266"/>
      <c r="BFC1" s="266"/>
      <c r="BFD1" s="266"/>
      <c r="BFE1" s="266"/>
      <c r="BFF1" s="266"/>
      <c r="BFG1" s="266"/>
      <c r="BFH1" s="266"/>
      <c r="BFI1" s="266"/>
      <c r="BFJ1" s="266"/>
      <c r="BFK1" s="266"/>
      <c r="BFL1" s="266"/>
      <c r="BFM1" s="266"/>
      <c r="BFN1" s="266"/>
      <c r="BFO1" s="266"/>
      <c r="BFP1" s="266"/>
      <c r="BFQ1" s="266"/>
      <c r="BFR1" s="266"/>
      <c r="BFS1" s="266"/>
      <c r="BFT1" s="266"/>
      <c r="BFU1" s="266"/>
      <c r="BFV1" s="266"/>
      <c r="BFW1" s="266"/>
      <c r="BFX1" s="266"/>
      <c r="BFY1" s="266"/>
      <c r="BFZ1" s="266"/>
      <c r="BGA1" s="266"/>
      <c r="BGB1" s="266"/>
      <c r="BGC1" s="266"/>
      <c r="BGD1" s="266"/>
      <c r="BGE1" s="266"/>
      <c r="BGF1" s="266"/>
      <c r="BGG1" s="266"/>
      <c r="BGH1" s="266"/>
      <c r="BGI1" s="266"/>
      <c r="BGJ1" s="266"/>
      <c r="BGK1" s="266"/>
      <c r="BGL1" s="266"/>
      <c r="BGM1" s="266"/>
      <c r="BGN1" s="266"/>
      <c r="BGO1" s="266"/>
      <c r="BGP1" s="266"/>
      <c r="BGQ1" s="266"/>
      <c r="BGR1" s="266"/>
      <c r="BGS1" s="266"/>
      <c r="BGT1" s="266"/>
      <c r="BGU1" s="266"/>
      <c r="BGV1" s="266"/>
      <c r="BGW1" s="266"/>
      <c r="BGX1" s="266"/>
      <c r="BGY1" s="266"/>
      <c r="BGZ1" s="266"/>
      <c r="BHA1" s="266"/>
      <c r="BHB1" s="266"/>
      <c r="BHC1" s="266"/>
      <c r="BHD1" s="266"/>
      <c r="BHE1" s="266"/>
      <c r="BHF1" s="266"/>
      <c r="BHG1" s="266"/>
      <c r="BHH1" s="266"/>
      <c r="BHI1" s="266"/>
      <c r="BHJ1" s="266"/>
      <c r="BHK1" s="266"/>
      <c r="BHL1" s="266"/>
      <c r="BHM1" s="266"/>
      <c r="BHN1" s="266"/>
      <c r="BHO1" s="266"/>
      <c r="BHP1" s="266"/>
      <c r="BHQ1" s="266"/>
      <c r="BHR1" s="266"/>
      <c r="BHS1" s="266"/>
      <c r="BHT1" s="266"/>
      <c r="BHU1" s="266"/>
      <c r="BHV1" s="266"/>
      <c r="BHW1" s="266"/>
      <c r="BHX1" s="266"/>
      <c r="BHY1" s="266"/>
      <c r="BHZ1" s="266"/>
      <c r="BIA1" s="266"/>
      <c r="BIB1" s="266"/>
      <c r="BIC1" s="266"/>
      <c r="BID1" s="266"/>
      <c r="BIE1" s="266"/>
      <c r="BIF1" s="266"/>
      <c r="BIG1" s="266"/>
      <c r="BIH1" s="266"/>
      <c r="BII1" s="266"/>
      <c r="BIJ1" s="266"/>
      <c r="BIK1" s="266"/>
      <c r="BIL1" s="266"/>
      <c r="BIM1" s="266"/>
      <c r="BIN1" s="266"/>
      <c r="BIO1" s="266"/>
      <c r="BIP1" s="266"/>
      <c r="BIQ1" s="266"/>
      <c r="BIR1" s="266"/>
      <c r="BIS1" s="266"/>
      <c r="BIT1" s="266"/>
      <c r="BIU1" s="266"/>
      <c r="BIV1" s="266"/>
      <c r="BIW1" s="266"/>
      <c r="BIX1" s="266"/>
      <c r="BIY1" s="266"/>
      <c r="BIZ1" s="266"/>
      <c r="BJA1" s="266"/>
      <c r="BJB1" s="266"/>
      <c r="BJC1" s="266"/>
      <c r="BJD1" s="266"/>
      <c r="BJE1" s="266"/>
      <c r="BJF1" s="266"/>
      <c r="BJG1" s="266"/>
      <c r="BJH1" s="266"/>
      <c r="BJI1" s="266"/>
      <c r="BJJ1" s="266"/>
      <c r="BJK1" s="266"/>
      <c r="BJL1" s="266"/>
      <c r="BJM1" s="266"/>
      <c r="BJN1" s="266"/>
      <c r="BJO1" s="266"/>
      <c r="BJP1" s="266"/>
      <c r="BJQ1" s="266"/>
      <c r="BJR1" s="266"/>
      <c r="BJS1" s="266"/>
      <c r="BJT1" s="266"/>
      <c r="BJU1" s="266"/>
      <c r="BJV1" s="266"/>
      <c r="BJW1" s="266"/>
      <c r="BJX1" s="266"/>
      <c r="BJY1" s="266"/>
      <c r="BJZ1" s="266"/>
      <c r="BKA1" s="266"/>
      <c r="BKB1" s="266"/>
      <c r="BKC1" s="266"/>
      <c r="BKD1" s="266"/>
      <c r="BKE1" s="266"/>
      <c r="BKF1" s="266"/>
      <c r="BKG1" s="266"/>
      <c r="BKH1" s="266"/>
      <c r="BKI1" s="266"/>
      <c r="BKJ1" s="266"/>
      <c r="BKK1" s="266"/>
      <c r="BKL1" s="266"/>
      <c r="BKM1" s="266"/>
      <c r="BKN1" s="266"/>
      <c r="BKO1" s="266"/>
      <c r="BKP1" s="266"/>
      <c r="BKQ1" s="266"/>
      <c r="BKR1" s="266"/>
      <c r="BKS1" s="266"/>
      <c r="BKT1" s="266"/>
      <c r="BKU1" s="266"/>
      <c r="BKV1" s="266"/>
      <c r="BKW1" s="266"/>
      <c r="BKX1" s="266"/>
      <c r="BKY1" s="266"/>
      <c r="BKZ1" s="266"/>
      <c r="BLA1" s="266"/>
      <c r="BLB1" s="266"/>
      <c r="BLC1" s="266"/>
      <c r="BLD1" s="266"/>
      <c r="BLE1" s="266"/>
      <c r="BLF1" s="266"/>
      <c r="BLG1" s="266"/>
      <c r="BLH1" s="266"/>
      <c r="BLI1" s="266"/>
      <c r="BLJ1" s="266"/>
      <c r="BLK1" s="266"/>
      <c r="BLL1" s="266"/>
      <c r="BLM1" s="266"/>
      <c r="BLN1" s="266"/>
      <c r="BLO1" s="266"/>
      <c r="BLP1" s="266"/>
      <c r="BLQ1" s="266"/>
      <c r="BLR1" s="266"/>
      <c r="BLS1" s="266"/>
      <c r="BLT1" s="266"/>
      <c r="BLU1" s="266"/>
      <c r="BLV1" s="266"/>
      <c r="BLW1" s="266"/>
      <c r="BLX1" s="266"/>
      <c r="BLY1" s="266"/>
      <c r="BLZ1" s="266"/>
      <c r="BMA1" s="266"/>
      <c r="BMB1" s="266"/>
      <c r="BMC1" s="266"/>
      <c r="BMD1" s="266"/>
      <c r="BME1" s="266"/>
      <c r="BMF1" s="266"/>
      <c r="BMG1" s="266"/>
      <c r="BMH1" s="266"/>
      <c r="BMI1" s="266"/>
      <c r="BMJ1" s="266"/>
      <c r="BMK1" s="266"/>
      <c r="BML1" s="266"/>
      <c r="BMM1" s="266"/>
      <c r="BMN1" s="266"/>
      <c r="BMO1" s="266"/>
      <c r="BMP1" s="266"/>
      <c r="BMQ1" s="266"/>
      <c r="BMR1" s="266"/>
      <c r="BMS1" s="266"/>
      <c r="BMT1" s="266"/>
      <c r="BMU1" s="266"/>
      <c r="BMV1" s="266"/>
      <c r="BMW1" s="266"/>
      <c r="BMX1" s="266"/>
      <c r="BMY1" s="266"/>
      <c r="BMZ1" s="266"/>
      <c r="BNA1" s="266"/>
      <c r="BNB1" s="266"/>
      <c r="BNC1" s="266"/>
      <c r="BND1" s="266"/>
      <c r="BNE1" s="266"/>
      <c r="BNF1" s="266"/>
      <c r="BNG1" s="266"/>
      <c r="BNH1" s="266"/>
      <c r="BNI1" s="266"/>
      <c r="BNJ1" s="266"/>
      <c r="BNK1" s="266"/>
      <c r="BNL1" s="266"/>
      <c r="BNM1" s="266"/>
      <c r="BNN1" s="266"/>
      <c r="BNO1" s="266"/>
      <c r="BNP1" s="266"/>
      <c r="BNQ1" s="266"/>
      <c r="BNR1" s="266"/>
      <c r="BNS1" s="266"/>
      <c r="BNT1" s="266"/>
      <c r="BNU1" s="266"/>
      <c r="BNV1" s="266"/>
      <c r="BNW1" s="266"/>
      <c r="BNX1" s="266"/>
      <c r="BNY1" s="266"/>
      <c r="BNZ1" s="266"/>
      <c r="BOA1" s="266"/>
      <c r="BOB1" s="266"/>
      <c r="BOC1" s="266"/>
      <c r="BOD1" s="266"/>
      <c r="BOE1" s="266"/>
      <c r="BOF1" s="266"/>
      <c r="BOG1" s="266"/>
      <c r="BOH1" s="266"/>
      <c r="BOI1" s="266"/>
      <c r="BOJ1" s="266"/>
      <c r="BOK1" s="266"/>
      <c r="BOL1" s="266"/>
      <c r="BOM1" s="266"/>
      <c r="BON1" s="266"/>
      <c r="BOO1" s="266"/>
      <c r="BOP1" s="266"/>
      <c r="BOQ1" s="266"/>
      <c r="BOR1" s="266"/>
      <c r="BOS1" s="266"/>
      <c r="BOT1" s="266"/>
      <c r="BOU1" s="266"/>
      <c r="BOV1" s="266"/>
      <c r="BOW1" s="266"/>
      <c r="BOX1" s="266"/>
      <c r="BOY1" s="266"/>
      <c r="BOZ1" s="266"/>
      <c r="BPA1" s="266"/>
      <c r="BPB1" s="266"/>
      <c r="BPC1" s="266"/>
      <c r="BPD1" s="266"/>
      <c r="BPE1" s="266"/>
      <c r="BPF1" s="266"/>
      <c r="BPG1" s="266"/>
      <c r="BPH1" s="266"/>
      <c r="BPI1" s="266"/>
      <c r="BPJ1" s="266"/>
      <c r="BPK1" s="266"/>
      <c r="BPL1" s="266"/>
      <c r="BPM1" s="266"/>
      <c r="BPN1" s="266"/>
      <c r="BPO1" s="266"/>
      <c r="BPP1" s="266"/>
      <c r="BPQ1" s="266"/>
      <c r="BPR1" s="266"/>
      <c r="BPS1" s="266"/>
      <c r="BPT1" s="266"/>
      <c r="BPU1" s="266"/>
      <c r="BPV1" s="266"/>
      <c r="BPW1" s="266"/>
      <c r="BPX1" s="266"/>
      <c r="BPY1" s="266"/>
      <c r="BPZ1" s="266"/>
      <c r="BQA1" s="266"/>
      <c r="BQB1" s="266"/>
      <c r="BQC1" s="266"/>
      <c r="BQD1" s="266"/>
      <c r="BQE1" s="266"/>
      <c r="BQF1" s="266"/>
      <c r="BQG1" s="266"/>
      <c r="BQH1" s="266"/>
      <c r="BQI1" s="266"/>
      <c r="BQJ1" s="266"/>
      <c r="BQK1" s="266"/>
      <c r="BQL1" s="266"/>
      <c r="BQM1" s="266"/>
      <c r="BQN1" s="266"/>
      <c r="BQO1" s="266"/>
      <c r="BQP1" s="266"/>
      <c r="BQQ1" s="266"/>
      <c r="BQR1" s="266"/>
      <c r="BQS1" s="266"/>
      <c r="BQT1" s="266"/>
      <c r="BQU1" s="266"/>
      <c r="BQV1" s="266"/>
      <c r="BQW1" s="266"/>
      <c r="BQX1" s="266"/>
      <c r="BQY1" s="266"/>
      <c r="BQZ1" s="266"/>
      <c r="BRA1" s="266"/>
      <c r="BRB1" s="266"/>
      <c r="BRC1" s="266"/>
      <c r="BRD1" s="266"/>
      <c r="BRE1" s="266"/>
      <c r="BRF1" s="266"/>
      <c r="BRG1" s="266"/>
      <c r="BRH1" s="266"/>
      <c r="BRI1" s="266"/>
      <c r="BRJ1" s="266"/>
      <c r="BRK1" s="266"/>
      <c r="BRL1" s="266"/>
      <c r="BRM1" s="266"/>
      <c r="BRN1" s="266"/>
      <c r="BRO1" s="266"/>
      <c r="BRP1" s="266"/>
      <c r="BRQ1" s="266"/>
      <c r="BRR1" s="266"/>
      <c r="BRS1" s="266"/>
      <c r="BRT1" s="266"/>
      <c r="BRU1" s="266"/>
      <c r="BRV1" s="266"/>
      <c r="BRW1" s="266"/>
      <c r="BRX1" s="266"/>
      <c r="BRY1" s="266"/>
      <c r="BRZ1" s="266"/>
      <c r="BSA1" s="266"/>
      <c r="BSB1" s="266"/>
      <c r="BSC1" s="266"/>
      <c r="BSD1" s="266"/>
      <c r="BSE1" s="266"/>
      <c r="BSF1" s="266"/>
      <c r="BSG1" s="266"/>
      <c r="BSH1" s="266"/>
      <c r="BSI1" s="266"/>
      <c r="BSJ1" s="266"/>
      <c r="BSK1" s="266"/>
      <c r="BSL1" s="266"/>
      <c r="BSM1" s="266"/>
      <c r="BSN1" s="266"/>
      <c r="BSO1" s="266"/>
      <c r="BSP1" s="266"/>
      <c r="BSQ1" s="266"/>
      <c r="BSR1" s="266"/>
      <c r="BSS1" s="266"/>
      <c r="BST1" s="266"/>
      <c r="BSU1" s="266"/>
      <c r="BSV1" s="266"/>
      <c r="BSW1" s="266"/>
      <c r="BSX1" s="266"/>
      <c r="BSY1" s="266"/>
      <c r="BSZ1" s="266"/>
      <c r="BTA1" s="266"/>
      <c r="BTB1" s="266"/>
      <c r="BTC1" s="266"/>
      <c r="BTD1" s="266"/>
      <c r="BTE1" s="266"/>
      <c r="BTF1" s="266"/>
      <c r="BTG1" s="266"/>
      <c r="BTH1" s="266"/>
      <c r="BTI1" s="266"/>
      <c r="BTJ1" s="266"/>
      <c r="BTK1" s="266"/>
      <c r="BTL1" s="266"/>
      <c r="BTM1" s="266"/>
      <c r="BTN1" s="266"/>
      <c r="BTO1" s="266"/>
      <c r="BTP1" s="266"/>
      <c r="BTQ1" s="266"/>
      <c r="BTR1" s="266"/>
      <c r="BTS1" s="266"/>
      <c r="BTT1" s="266"/>
      <c r="BTU1" s="266"/>
      <c r="BTV1" s="266"/>
      <c r="BTW1" s="266"/>
      <c r="BTX1" s="266"/>
      <c r="BTY1" s="266"/>
      <c r="BTZ1" s="266"/>
      <c r="BUA1" s="266"/>
      <c r="BUB1" s="266"/>
      <c r="BUC1" s="266"/>
      <c r="BUD1" s="266"/>
      <c r="BUE1" s="266"/>
      <c r="BUF1" s="266"/>
      <c r="BUG1" s="266"/>
      <c r="BUH1" s="266"/>
      <c r="BUI1" s="266"/>
      <c r="BUJ1" s="266"/>
      <c r="BUK1" s="266"/>
      <c r="BUL1" s="266"/>
      <c r="BUM1" s="266"/>
      <c r="BUN1" s="266"/>
      <c r="BUO1" s="266"/>
      <c r="BUP1" s="266"/>
      <c r="BUQ1" s="266"/>
      <c r="BUR1" s="266"/>
      <c r="BUS1" s="266"/>
      <c r="BUT1" s="266"/>
      <c r="BUU1" s="266"/>
      <c r="BUV1" s="266"/>
      <c r="BUW1" s="266"/>
      <c r="BUX1" s="266"/>
      <c r="BUY1" s="266"/>
      <c r="BUZ1" s="266"/>
      <c r="BVA1" s="266"/>
      <c r="BVB1" s="266"/>
      <c r="BVC1" s="266"/>
      <c r="BVD1" s="266"/>
      <c r="BVE1" s="266"/>
      <c r="BVF1" s="266"/>
      <c r="BVG1" s="266"/>
      <c r="BVH1" s="266"/>
      <c r="BVI1" s="266"/>
      <c r="BVJ1" s="266"/>
      <c r="BVK1" s="266"/>
      <c r="BVL1" s="266"/>
      <c r="BVM1" s="266"/>
      <c r="BVN1" s="266"/>
      <c r="BVO1" s="266"/>
      <c r="BVP1" s="266"/>
      <c r="BVQ1" s="266"/>
      <c r="BVR1" s="266"/>
      <c r="BVS1" s="266"/>
      <c r="BVT1" s="266"/>
      <c r="BVU1" s="266"/>
      <c r="BVV1" s="266"/>
      <c r="BVW1" s="266"/>
      <c r="BVX1" s="266"/>
      <c r="BVY1" s="266"/>
      <c r="BVZ1" s="266"/>
      <c r="BWA1" s="266"/>
      <c r="BWB1" s="266"/>
      <c r="BWC1" s="266"/>
      <c r="BWD1" s="266"/>
      <c r="BWE1" s="266"/>
      <c r="BWF1" s="266"/>
      <c r="BWG1" s="266"/>
      <c r="BWH1" s="266"/>
      <c r="BWI1" s="266"/>
      <c r="BWJ1" s="266"/>
      <c r="BWK1" s="266"/>
      <c r="BWL1" s="266"/>
      <c r="BWM1" s="266"/>
      <c r="BWN1" s="266"/>
      <c r="BWO1" s="266"/>
      <c r="BWP1" s="266"/>
      <c r="BWQ1" s="266"/>
      <c r="BWR1" s="266"/>
      <c r="BWS1" s="266"/>
      <c r="BWT1" s="266"/>
      <c r="BWU1" s="266"/>
      <c r="BWV1" s="266"/>
      <c r="BWW1" s="266"/>
      <c r="BWX1" s="266"/>
      <c r="BWY1" s="266"/>
      <c r="BWZ1" s="266"/>
      <c r="BXA1" s="266"/>
      <c r="BXB1" s="266"/>
      <c r="BXC1" s="266"/>
      <c r="BXD1" s="266"/>
      <c r="BXE1" s="266"/>
      <c r="BXF1" s="266"/>
      <c r="BXG1" s="266"/>
      <c r="BXH1" s="266"/>
      <c r="BXI1" s="266"/>
      <c r="BXJ1" s="266"/>
      <c r="BXK1" s="266"/>
      <c r="BXL1" s="266"/>
      <c r="BXM1" s="266"/>
      <c r="BXN1" s="266"/>
      <c r="BXO1" s="266"/>
      <c r="BXP1" s="266"/>
      <c r="BXQ1" s="266"/>
      <c r="BXR1" s="266"/>
      <c r="BXS1" s="266"/>
      <c r="BXT1" s="266"/>
      <c r="BXU1" s="266"/>
      <c r="BXV1" s="266"/>
      <c r="BXW1" s="266"/>
      <c r="BXX1" s="266"/>
      <c r="BXY1" s="266"/>
      <c r="BXZ1" s="266"/>
      <c r="BYA1" s="266"/>
      <c r="BYB1" s="266"/>
      <c r="BYC1" s="266"/>
      <c r="BYD1" s="266"/>
      <c r="BYE1" s="266"/>
      <c r="BYF1" s="266"/>
      <c r="BYG1" s="266"/>
      <c r="BYH1" s="266"/>
      <c r="BYI1" s="266"/>
      <c r="BYJ1" s="266"/>
      <c r="BYK1" s="266"/>
      <c r="BYL1" s="266"/>
      <c r="BYM1" s="266"/>
      <c r="BYN1" s="266"/>
      <c r="BYO1" s="266"/>
      <c r="BYP1" s="266"/>
      <c r="BYQ1" s="266"/>
      <c r="BYR1" s="266"/>
      <c r="BYS1" s="266"/>
      <c r="BYT1" s="266"/>
      <c r="BYU1" s="266"/>
      <c r="BYV1" s="266"/>
      <c r="BYW1" s="266"/>
      <c r="BYX1" s="266"/>
      <c r="BYY1" s="266"/>
      <c r="BYZ1" s="266"/>
      <c r="BZA1" s="266"/>
      <c r="BZB1" s="266"/>
      <c r="BZC1" s="266"/>
      <c r="BZD1" s="266"/>
      <c r="BZE1" s="266"/>
      <c r="BZF1" s="266"/>
      <c r="BZG1" s="266"/>
      <c r="BZH1" s="266"/>
      <c r="BZI1" s="266"/>
      <c r="BZJ1" s="266"/>
      <c r="BZK1" s="266"/>
      <c r="BZL1" s="266"/>
      <c r="BZM1" s="266"/>
      <c r="BZN1" s="266"/>
      <c r="BZO1" s="266"/>
      <c r="BZP1" s="266"/>
      <c r="BZQ1" s="266"/>
      <c r="BZR1" s="266"/>
      <c r="BZS1" s="266"/>
      <c r="BZT1" s="266"/>
      <c r="BZU1" s="266"/>
      <c r="BZV1" s="266"/>
      <c r="BZW1" s="266"/>
      <c r="BZX1" s="266"/>
      <c r="BZY1" s="266"/>
      <c r="BZZ1" s="266"/>
      <c r="CAA1" s="266"/>
      <c r="CAB1" s="266"/>
      <c r="CAC1" s="266"/>
      <c r="CAD1" s="266"/>
      <c r="CAE1" s="266"/>
      <c r="CAF1" s="266"/>
      <c r="CAG1" s="266"/>
      <c r="CAH1" s="266"/>
      <c r="CAI1" s="266"/>
      <c r="CAJ1" s="266"/>
      <c r="CAK1" s="266"/>
      <c r="CAL1" s="266"/>
      <c r="CAM1" s="266"/>
      <c r="CAN1" s="266"/>
      <c r="CAO1" s="266"/>
      <c r="CAP1" s="266"/>
      <c r="CAQ1" s="266"/>
      <c r="CAR1" s="266"/>
      <c r="CAS1" s="266"/>
      <c r="CAT1" s="266"/>
      <c r="CAU1" s="266"/>
      <c r="CAV1" s="266"/>
      <c r="CAW1" s="266"/>
      <c r="CAX1" s="266"/>
      <c r="CAY1" s="266"/>
      <c r="CAZ1" s="266"/>
      <c r="CBA1" s="266"/>
      <c r="CBB1" s="266"/>
      <c r="CBC1" s="266"/>
      <c r="CBD1" s="266"/>
      <c r="CBE1" s="266"/>
      <c r="CBF1" s="266"/>
      <c r="CBG1" s="266"/>
      <c r="CBH1" s="266"/>
      <c r="CBI1" s="266"/>
      <c r="CBJ1" s="266"/>
      <c r="CBK1" s="266"/>
      <c r="CBL1" s="266"/>
      <c r="CBM1" s="266"/>
      <c r="CBN1" s="266"/>
      <c r="CBO1" s="266"/>
      <c r="CBP1" s="266"/>
      <c r="CBQ1" s="266"/>
      <c r="CBR1" s="266"/>
      <c r="CBS1" s="266"/>
      <c r="CBT1" s="266"/>
      <c r="CBU1" s="266"/>
      <c r="CBV1" s="266"/>
      <c r="CBW1" s="266"/>
      <c r="CBX1" s="266"/>
      <c r="CBY1" s="266"/>
      <c r="CBZ1" s="266"/>
      <c r="CCA1" s="266"/>
      <c r="CCB1" s="266"/>
      <c r="CCC1" s="266"/>
      <c r="CCD1" s="266"/>
      <c r="CCE1" s="266"/>
      <c r="CCF1" s="266"/>
      <c r="CCG1" s="266"/>
      <c r="CCH1" s="266"/>
      <c r="CCI1" s="266"/>
      <c r="CCJ1" s="266"/>
      <c r="CCK1" s="266"/>
      <c r="CCL1" s="266"/>
      <c r="CCM1" s="266"/>
      <c r="CCN1" s="266"/>
      <c r="CCO1" s="266"/>
      <c r="CCP1" s="266"/>
      <c r="CCQ1" s="266"/>
      <c r="CCR1" s="266"/>
      <c r="CCS1" s="266"/>
      <c r="CCT1" s="266"/>
      <c r="CCU1" s="266"/>
      <c r="CCV1" s="266"/>
      <c r="CCW1" s="266"/>
      <c r="CCX1" s="266"/>
      <c r="CCY1" s="266"/>
      <c r="CCZ1" s="266"/>
      <c r="CDA1" s="266"/>
      <c r="CDB1" s="266"/>
      <c r="CDC1" s="266"/>
      <c r="CDD1" s="266"/>
      <c r="CDE1" s="266"/>
      <c r="CDF1" s="266"/>
      <c r="CDG1" s="266"/>
      <c r="CDH1" s="266"/>
      <c r="CDI1" s="266"/>
      <c r="CDJ1" s="266"/>
      <c r="CDK1" s="266"/>
      <c r="CDL1" s="266"/>
      <c r="CDM1" s="266"/>
      <c r="CDN1" s="266"/>
      <c r="CDO1" s="266"/>
      <c r="CDP1" s="266"/>
      <c r="CDQ1" s="266"/>
      <c r="CDR1" s="266"/>
      <c r="CDS1" s="266"/>
      <c r="CDT1" s="266"/>
      <c r="CDU1" s="266"/>
      <c r="CDV1" s="266"/>
      <c r="CDW1" s="266"/>
      <c r="CDX1" s="266"/>
      <c r="CDY1" s="266"/>
      <c r="CDZ1" s="266"/>
      <c r="CEA1" s="266"/>
      <c r="CEB1" s="266"/>
      <c r="CEC1" s="266"/>
      <c r="CED1" s="266"/>
      <c r="CEE1" s="266"/>
      <c r="CEF1" s="266"/>
      <c r="CEG1" s="266"/>
      <c r="CEH1" s="266"/>
      <c r="CEI1" s="266"/>
      <c r="CEJ1" s="266"/>
      <c r="CEK1" s="266"/>
      <c r="CEL1" s="266"/>
      <c r="CEM1" s="266"/>
      <c r="CEN1" s="266"/>
      <c r="CEO1" s="266"/>
      <c r="CEP1" s="266"/>
      <c r="CEQ1" s="266"/>
      <c r="CER1" s="266"/>
      <c r="CES1" s="266"/>
      <c r="CET1" s="266"/>
      <c r="CEU1" s="266"/>
      <c r="CEV1" s="266"/>
      <c r="CEW1" s="266"/>
      <c r="CEX1" s="266"/>
      <c r="CEY1" s="266"/>
      <c r="CEZ1" s="266"/>
      <c r="CFA1" s="266"/>
      <c r="CFB1" s="266"/>
      <c r="CFC1" s="266"/>
      <c r="CFD1" s="266"/>
      <c r="CFE1" s="266"/>
      <c r="CFF1" s="266"/>
      <c r="CFG1" s="266"/>
      <c r="CFH1" s="266"/>
      <c r="CFI1" s="266"/>
      <c r="CFJ1" s="266"/>
      <c r="CFK1" s="266"/>
      <c r="CFL1" s="266"/>
      <c r="CFM1" s="266"/>
      <c r="CFN1" s="266"/>
      <c r="CFO1" s="266"/>
      <c r="CFP1" s="266"/>
      <c r="CFQ1" s="266"/>
      <c r="CFR1" s="266"/>
      <c r="CFS1" s="266"/>
      <c r="CFT1" s="266"/>
      <c r="CFU1" s="266"/>
      <c r="CFV1" s="266"/>
      <c r="CFW1" s="266"/>
      <c r="CFX1" s="266"/>
      <c r="CFY1" s="266"/>
      <c r="CFZ1" s="266"/>
      <c r="CGA1" s="266"/>
      <c r="CGB1" s="266"/>
      <c r="CGC1" s="266"/>
      <c r="CGD1" s="266"/>
      <c r="CGE1" s="266"/>
      <c r="CGF1" s="266"/>
      <c r="CGG1" s="266"/>
      <c r="CGH1" s="266"/>
      <c r="CGI1" s="266"/>
      <c r="CGJ1" s="266"/>
      <c r="CGK1" s="266"/>
      <c r="CGL1" s="266"/>
      <c r="CGM1" s="266"/>
      <c r="CGN1" s="266"/>
      <c r="CGO1" s="266"/>
      <c r="CGP1" s="266"/>
      <c r="CGQ1" s="266"/>
      <c r="CGR1" s="266"/>
      <c r="CGS1" s="266"/>
      <c r="CGT1" s="266"/>
      <c r="CGU1" s="266"/>
      <c r="CGV1" s="266"/>
      <c r="CGW1" s="266"/>
      <c r="CGX1" s="266"/>
      <c r="CGY1" s="266"/>
      <c r="CGZ1" s="266"/>
      <c r="CHA1" s="266"/>
      <c r="CHB1" s="266"/>
      <c r="CHC1" s="266"/>
      <c r="CHD1" s="266"/>
      <c r="CHE1" s="266"/>
      <c r="CHF1" s="266"/>
      <c r="CHG1" s="266"/>
      <c r="CHH1" s="266"/>
      <c r="CHI1" s="266"/>
      <c r="CHJ1" s="266"/>
      <c r="CHK1" s="266"/>
      <c r="CHL1" s="266"/>
      <c r="CHM1" s="266"/>
      <c r="CHN1" s="266"/>
      <c r="CHO1" s="266"/>
      <c r="CHP1" s="266"/>
      <c r="CHQ1" s="266"/>
      <c r="CHR1" s="266"/>
      <c r="CHS1" s="266"/>
      <c r="CHT1" s="266"/>
      <c r="CHU1" s="266"/>
      <c r="CHV1" s="266"/>
      <c r="CHW1" s="266"/>
      <c r="CHX1" s="266"/>
      <c r="CHY1" s="266"/>
      <c r="CHZ1" s="266"/>
      <c r="CIA1" s="266"/>
      <c r="CIB1" s="266"/>
      <c r="CIC1" s="266"/>
      <c r="CID1" s="266"/>
      <c r="CIE1" s="266"/>
      <c r="CIF1" s="266"/>
      <c r="CIG1" s="266"/>
      <c r="CIH1" s="266"/>
      <c r="CII1" s="266"/>
      <c r="CIJ1" s="266"/>
      <c r="CIK1" s="266"/>
      <c r="CIL1" s="266"/>
      <c r="CIM1" s="266"/>
      <c r="CIN1" s="266"/>
      <c r="CIO1" s="266"/>
      <c r="CIP1" s="266"/>
      <c r="CIQ1" s="266"/>
      <c r="CIR1" s="266"/>
      <c r="CIS1" s="266"/>
      <c r="CIT1" s="266"/>
      <c r="CIU1" s="266"/>
      <c r="CIV1" s="266"/>
      <c r="CIW1" s="266"/>
      <c r="CIX1" s="266"/>
      <c r="CIY1" s="266"/>
      <c r="CIZ1" s="266"/>
      <c r="CJA1" s="266"/>
      <c r="CJB1" s="266"/>
      <c r="CJC1" s="266"/>
      <c r="CJD1" s="266"/>
      <c r="CJE1" s="266"/>
      <c r="CJF1" s="266"/>
      <c r="CJG1" s="266"/>
      <c r="CJH1" s="266"/>
      <c r="CJI1" s="266"/>
      <c r="CJJ1" s="266"/>
      <c r="CJK1" s="266"/>
      <c r="CJL1" s="266"/>
      <c r="CJM1" s="266"/>
      <c r="CJN1" s="266"/>
      <c r="CJO1" s="266"/>
      <c r="CJP1" s="266"/>
      <c r="CJQ1" s="266"/>
      <c r="CJR1" s="266"/>
      <c r="CJS1" s="266"/>
      <c r="CJT1" s="266"/>
      <c r="CJU1" s="266"/>
      <c r="CJV1" s="266"/>
      <c r="CJW1" s="266"/>
      <c r="CJX1" s="266"/>
      <c r="CJY1" s="266"/>
      <c r="CJZ1" s="266"/>
      <c r="CKA1" s="266"/>
      <c r="CKB1" s="266"/>
      <c r="CKC1" s="266"/>
      <c r="CKD1" s="266"/>
      <c r="CKE1" s="266"/>
      <c r="CKF1" s="266"/>
      <c r="CKG1" s="266"/>
      <c r="CKH1" s="266"/>
      <c r="CKI1" s="266"/>
      <c r="CKJ1" s="266"/>
      <c r="CKK1" s="266"/>
      <c r="CKL1" s="266"/>
      <c r="CKM1" s="266"/>
      <c r="CKN1" s="266"/>
      <c r="CKO1" s="266"/>
      <c r="CKP1" s="266"/>
      <c r="CKQ1" s="266"/>
      <c r="CKR1" s="266"/>
      <c r="CKS1" s="266"/>
      <c r="CKT1" s="266"/>
      <c r="CKU1" s="266"/>
      <c r="CKV1" s="266"/>
      <c r="CKW1" s="266"/>
      <c r="CKX1" s="266"/>
      <c r="CKY1" s="266"/>
      <c r="CKZ1" s="266"/>
      <c r="CLA1" s="266"/>
      <c r="CLB1" s="266"/>
      <c r="CLC1" s="266"/>
      <c r="CLD1" s="266"/>
      <c r="CLE1" s="266"/>
      <c r="CLF1" s="266"/>
      <c r="CLG1" s="266"/>
      <c r="CLH1" s="266"/>
      <c r="CLI1" s="266"/>
      <c r="CLJ1" s="266"/>
      <c r="CLK1" s="266"/>
      <c r="CLL1" s="266"/>
      <c r="CLM1" s="266"/>
      <c r="CLN1" s="266"/>
      <c r="CLO1" s="266"/>
      <c r="CLP1" s="266"/>
      <c r="CLQ1" s="266"/>
      <c r="CLR1" s="266"/>
      <c r="CLS1" s="266"/>
      <c r="CLT1" s="266"/>
      <c r="CLU1" s="266"/>
      <c r="CLV1" s="266"/>
      <c r="CLW1" s="266"/>
      <c r="CLX1" s="266"/>
      <c r="CLY1" s="266"/>
      <c r="CLZ1" s="266"/>
      <c r="CMA1" s="266"/>
      <c r="CMB1" s="266"/>
      <c r="CMC1" s="266"/>
      <c r="CMD1" s="266"/>
      <c r="CME1" s="266"/>
      <c r="CMF1" s="266"/>
      <c r="CMG1" s="266"/>
      <c r="CMH1" s="266"/>
      <c r="CMI1" s="266"/>
      <c r="CMJ1" s="266"/>
      <c r="CMK1" s="266"/>
      <c r="CML1" s="266"/>
      <c r="CMM1" s="266"/>
      <c r="CMN1" s="266"/>
      <c r="CMO1" s="266"/>
      <c r="CMP1" s="266"/>
      <c r="CMQ1" s="266"/>
      <c r="CMR1" s="266"/>
      <c r="CMS1" s="266"/>
      <c r="CMT1" s="266"/>
      <c r="CMU1" s="266"/>
      <c r="CMV1" s="266"/>
      <c r="CMW1" s="266"/>
      <c r="CMX1" s="266"/>
      <c r="CMY1" s="266"/>
      <c r="CMZ1" s="266"/>
      <c r="CNA1" s="266"/>
      <c r="CNB1" s="266"/>
      <c r="CNC1" s="266"/>
      <c r="CND1" s="266"/>
      <c r="CNE1" s="266"/>
      <c r="CNF1" s="266"/>
      <c r="CNG1" s="266"/>
      <c r="CNH1" s="266"/>
      <c r="CNI1" s="266"/>
      <c r="CNJ1" s="266"/>
      <c r="CNK1" s="266"/>
      <c r="CNL1" s="266"/>
      <c r="CNM1" s="266"/>
      <c r="CNN1" s="266"/>
      <c r="CNO1" s="266"/>
      <c r="CNP1" s="266"/>
      <c r="CNQ1" s="266"/>
      <c r="CNR1" s="266"/>
      <c r="CNS1" s="266"/>
      <c r="CNT1" s="266"/>
      <c r="CNU1" s="266"/>
      <c r="CNV1" s="266"/>
      <c r="CNW1" s="266"/>
      <c r="CNX1" s="266"/>
      <c r="CNY1" s="266"/>
      <c r="CNZ1" s="266"/>
      <c r="COA1" s="266"/>
      <c r="COB1" s="266"/>
      <c r="COC1" s="266"/>
      <c r="COD1" s="266"/>
      <c r="COE1" s="266"/>
      <c r="COF1" s="266"/>
      <c r="COG1" s="266"/>
      <c r="COH1" s="266"/>
      <c r="COI1" s="266"/>
      <c r="COJ1" s="266"/>
      <c r="COK1" s="266"/>
      <c r="COL1" s="266"/>
      <c r="COM1" s="266"/>
      <c r="CON1" s="266"/>
      <c r="COO1" s="266"/>
      <c r="COP1" s="266"/>
      <c r="COQ1" s="266"/>
      <c r="COR1" s="266"/>
      <c r="COS1" s="266"/>
      <c r="COT1" s="266"/>
      <c r="COU1" s="266"/>
      <c r="COV1" s="266"/>
      <c r="COW1" s="266"/>
      <c r="COX1" s="266"/>
      <c r="COY1" s="266"/>
      <c r="COZ1" s="266"/>
      <c r="CPA1" s="266"/>
      <c r="CPB1" s="266"/>
      <c r="CPC1" s="266"/>
      <c r="CPD1" s="266"/>
      <c r="CPE1" s="266"/>
      <c r="CPF1" s="266"/>
      <c r="CPG1" s="266"/>
      <c r="CPH1" s="266"/>
      <c r="CPI1" s="266"/>
      <c r="CPJ1" s="266"/>
      <c r="CPK1" s="266"/>
      <c r="CPL1" s="266"/>
      <c r="CPM1" s="266"/>
      <c r="CPN1" s="266"/>
      <c r="CPO1" s="266"/>
      <c r="CPP1" s="266"/>
      <c r="CPQ1" s="266"/>
      <c r="CPR1" s="266"/>
      <c r="CPS1" s="266"/>
      <c r="CPT1" s="266"/>
      <c r="CPU1" s="266"/>
      <c r="CPV1" s="266"/>
      <c r="CPW1" s="266"/>
      <c r="CPX1" s="266"/>
      <c r="CPY1" s="266"/>
      <c r="CPZ1" s="266"/>
      <c r="CQA1" s="266"/>
      <c r="CQB1" s="266"/>
      <c r="CQC1" s="266"/>
      <c r="CQD1" s="266"/>
      <c r="CQE1" s="266"/>
      <c r="CQF1" s="266"/>
      <c r="CQG1" s="266"/>
      <c r="CQH1" s="266"/>
      <c r="CQI1" s="266"/>
      <c r="CQJ1" s="266"/>
      <c r="CQK1" s="266"/>
      <c r="CQL1" s="266"/>
      <c r="CQM1" s="266"/>
      <c r="CQN1" s="266"/>
      <c r="CQO1" s="266"/>
      <c r="CQP1" s="266"/>
      <c r="CQQ1" s="266"/>
      <c r="CQR1" s="266"/>
      <c r="CQS1" s="266"/>
      <c r="CQT1" s="266"/>
      <c r="CQU1" s="266"/>
      <c r="CQV1" s="266"/>
      <c r="CQW1" s="266"/>
      <c r="CQX1" s="266"/>
      <c r="CQY1" s="266"/>
      <c r="CQZ1" s="266"/>
      <c r="CRA1" s="266"/>
      <c r="CRB1" s="266"/>
      <c r="CRC1" s="266"/>
      <c r="CRD1" s="266"/>
      <c r="CRE1" s="266"/>
      <c r="CRF1" s="266"/>
      <c r="CRG1" s="266"/>
      <c r="CRH1" s="266"/>
      <c r="CRI1" s="266"/>
      <c r="CRJ1" s="266"/>
      <c r="CRK1" s="266"/>
      <c r="CRL1" s="266"/>
      <c r="CRM1" s="266"/>
      <c r="CRN1" s="266"/>
      <c r="CRO1" s="266"/>
      <c r="CRP1" s="266"/>
      <c r="CRQ1" s="266"/>
      <c r="CRR1" s="266"/>
      <c r="CRS1" s="266"/>
      <c r="CRT1" s="266"/>
      <c r="CRU1" s="266"/>
      <c r="CRV1" s="266"/>
      <c r="CRW1" s="266"/>
      <c r="CRX1" s="266"/>
      <c r="CRY1" s="266"/>
      <c r="CRZ1" s="266"/>
      <c r="CSA1" s="266"/>
      <c r="CSB1" s="266"/>
      <c r="CSC1" s="266"/>
      <c r="CSD1" s="266"/>
      <c r="CSE1" s="266"/>
      <c r="CSF1" s="266"/>
      <c r="CSG1" s="266"/>
      <c r="CSH1" s="266"/>
      <c r="CSI1" s="266"/>
      <c r="CSJ1" s="266"/>
      <c r="CSK1" s="266"/>
      <c r="CSL1" s="266"/>
      <c r="CSM1" s="266"/>
      <c r="CSN1" s="266"/>
      <c r="CSO1" s="266"/>
      <c r="CSP1" s="266"/>
      <c r="CSQ1" s="266"/>
      <c r="CSR1" s="266"/>
      <c r="CSS1" s="266"/>
      <c r="CST1" s="266"/>
      <c r="CSU1" s="266"/>
      <c r="CSV1" s="266"/>
      <c r="CSW1" s="266"/>
      <c r="CSX1" s="266"/>
      <c r="CSY1" s="266"/>
      <c r="CSZ1" s="266"/>
      <c r="CTA1" s="266"/>
      <c r="CTB1" s="266"/>
      <c r="CTC1" s="266"/>
      <c r="CTD1" s="266"/>
      <c r="CTE1" s="266"/>
      <c r="CTF1" s="266"/>
      <c r="CTG1" s="266"/>
      <c r="CTH1" s="266"/>
      <c r="CTI1" s="266"/>
      <c r="CTJ1" s="266"/>
      <c r="CTK1" s="266"/>
      <c r="CTL1" s="266"/>
      <c r="CTM1" s="266"/>
      <c r="CTN1" s="266"/>
      <c r="CTO1" s="266"/>
      <c r="CTP1" s="266"/>
      <c r="CTQ1" s="266"/>
      <c r="CTR1" s="266"/>
      <c r="CTS1" s="266"/>
      <c r="CTT1" s="266"/>
      <c r="CTU1" s="266"/>
      <c r="CTV1" s="266"/>
      <c r="CTW1" s="266"/>
      <c r="CTX1" s="266"/>
      <c r="CTY1" s="266"/>
      <c r="CTZ1" s="266"/>
      <c r="CUA1" s="266"/>
      <c r="CUB1" s="266"/>
      <c r="CUC1" s="266"/>
      <c r="CUD1" s="266"/>
      <c r="CUE1" s="266"/>
      <c r="CUF1" s="266"/>
      <c r="CUG1" s="266"/>
      <c r="CUH1" s="266"/>
      <c r="CUI1" s="266"/>
      <c r="CUJ1" s="266"/>
      <c r="CUK1" s="266"/>
      <c r="CUL1" s="266"/>
      <c r="CUM1" s="266"/>
      <c r="CUN1" s="266"/>
      <c r="CUO1" s="266"/>
      <c r="CUP1" s="266"/>
      <c r="CUQ1" s="266"/>
      <c r="CUR1" s="266"/>
      <c r="CUS1" s="266"/>
      <c r="CUT1" s="266"/>
      <c r="CUU1" s="266"/>
      <c r="CUV1" s="266"/>
      <c r="CUW1" s="266"/>
      <c r="CUX1" s="266"/>
      <c r="CUY1" s="266"/>
      <c r="CUZ1" s="266"/>
      <c r="CVA1" s="266"/>
      <c r="CVB1" s="266"/>
      <c r="CVC1" s="266"/>
      <c r="CVD1" s="266"/>
      <c r="CVE1" s="266"/>
      <c r="CVF1" s="266"/>
      <c r="CVG1" s="266"/>
      <c r="CVH1" s="266"/>
      <c r="CVI1" s="266"/>
      <c r="CVJ1" s="266"/>
      <c r="CVK1" s="266"/>
      <c r="CVL1" s="266"/>
      <c r="CVM1" s="266"/>
      <c r="CVN1" s="266"/>
      <c r="CVO1" s="266"/>
      <c r="CVP1" s="266"/>
      <c r="CVQ1" s="266"/>
      <c r="CVR1" s="266"/>
      <c r="CVS1" s="266"/>
      <c r="CVT1" s="266"/>
      <c r="CVU1" s="266"/>
      <c r="CVV1" s="266"/>
      <c r="CVW1" s="266"/>
      <c r="CVX1" s="266"/>
      <c r="CVY1" s="266"/>
      <c r="CVZ1" s="266"/>
      <c r="CWA1" s="266"/>
      <c r="CWB1" s="266"/>
      <c r="CWC1" s="266"/>
      <c r="CWD1" s="266"/>
      <c r="CWE1" s="266"/>
      <c r="CWF1" s="266"/>
      <c r="CWG1" s="266"/>
      <c r="CWH1" s="266"/>
      <c r="CWI1" s="266"/>
      <c r="CWJ1" s="266"/>
      <c r="CWK1" s="266"/>
      <c r="CWL1" s="266"/>
      <c r="CWM1" s="266"/>
      <c r="CWN1" s="266"/>
      <c r="CWO1" s="266"/>
      <c r="CWP1" s="266"/>
      <c r="CWQ1" s="266"/>
      <c r="CWR1" s="266"/>
      <c r="CWS1" s="266"/>
      <c r="CWT1" s="266"/>
      <c r="CWU1" s="266"/>
      <c r="CWV1" s="266"/>
      <c r="CWW1" s="266"/>
      <c r="CWX1" s="266"/>
      <c r="CWY1" s="266"/>
      <c r="CWZ1" s="266"/>
      <c r="CXA1" s="266"/>
      <c r="CXB1" s="266"/>
      <c r="CXC1" s="266"/>
      <c r="CXD1" s="266"/>
      <c r="CXE1" s="266"/>
      <c r="CXF1" s="266"/>
      <c r="CXG1" s="266"/>
      <c r="CXH1" s="266"/>
      <c r="CXI1" s="266"/>
      <c r="CXJ1" s="266"/>
      <c r="CXK1" s="266"/>
      <c r="CXL1" s="266"/>
      <c r="CXM1" s="266"/>
      <c r="CXN1" s="266"/>
      <c r="CXO1" s="266"/>
      <c r="CXP1" s="266"/>
      <c r="CXQ1" s="266"/>
      <c r="CXR1" s="266"/>
      <c r="CXS1" s="266"/>
      <c r="CXT1" s="266"/>
      <c r="CXU1" s="266"/>
      <c r="CXV1" s="266"/>
      <c r="CXW1" s="266"/>
      <c r="CXX1" s="266"/>
      <c r="CXY1" s="266"/>
      <c r="CXZ1" s="266"/>
      <c r="CYA1" s="266"/>
      <c r="CYB1" s="266"/>
      <c r="CYC1" s="266"/>
      <c r="CYD1" s="266"/>
      <c r="CYE1" s="266"/>
      <c r="CYF1" s="266"/>
      <c r="CYG1" s="266"/>
      <c r="CYH1" s="266"/>
      <c r="CYI1" s="266"/>
      <c r="CYJ1" s="266"/>
      <c r="CYK1" s="266"/>
      <c r="CYL1" s="266"/>
      <c r="CYM1" s="266"/>
      <c r="CYN1" s="266"/>
      <c r="CYO1" s="266"/>
      <c r="CYP1" s="266"/>
      <c r="CYQ1" s="266"/>
      <c r="CYR1" s="266"/>
      <c r="CYS1" s="266"/>
      <c r="CYT1" s="266"/>
      <c r="CYU1" s="266"/>
      <c r="CYV1" s="266"/>
      <c r="CYW1" s="266"/>
      <c r="CYX1" s="266"/>
      <c r="CYY1" s="266"/>
      <c r="CYZ1" s="266"/>
      <c r="CZA1" s="266"/>
      <c r="CZB1" s="266"/>
      <c r="CZC1" s="266"/>
      <c r="CZD1" s="266"/>
      <c r="CZE1" s="266"/>
      <c r="CZF1" s="266"/>
      <c r="CZG1" s="266"/>
      <c r="CZH1" s="266"/>
      <c r="CZI1" s="266"/>
      <c r="CZJ1" s="266"/>
      <c r="CZK1" s="266"/>
      <c r="CZL1" s="266"/>
      <c r="CZM1" s="266"/>
      <c r="CZN1" s="266"/>
      <c r="CZO1" s="266"/>
      <c r="CZP1" s="266"/>
      <c r="CZQ1" s="266"/>
      <c r="CZR1" s="266"/>
      <c r="CZS1" s="266"/>
      <c r="CZT1" s="266"/>
      <c r="CZU1" s="266"/>
      <c r="CZV1" s="266"/>
      <c r="CZW1" s="266"/>
      <c r="CZX1" s="266"/>
      <c r="CZY1" s="266"/>
      <c r="CZZ1" s="266"/>
      <c r="DAA1" s="266"/>
      <c r="DAB1" s="266"/>
      <c r="DAC1" s="266"/>
      <c r="DAD1" s="266"/>
      <c r="DAE1" s="266"/>
      <c r="DAF1" s="266"/>
      <c r="DAG1" s="266"/>
      <c r="DAH1" s="266"/>
      <c r="DAI1" s="266"/>
      <c r="DAJ1" s="266"/>
      <c r="DAK1" s="266"/>
      <c r="DAL1" s="266"/>
      <c r="DAM1" s="266"/>
      <c r="DAN1" s="266"/>
      <c r="DAO1" s="266"/>
      <c r="DAP1" s="266"/>
      <c r="DAQ1" s="266"/>
      <c r="DAR1" s="266"/>
      <c r="DAS1" s="266"/>
      <c r="DAT1" s="266"/>
      <c r="DAU1" s="266"/>
      <c r="DAV1" s="266"/>
      <c r="DAW1" s="266"/>
      <c r="DAX1" s="266"/>
      <c r="DAY1" s="266"/>
      <c r="DAZ1" s="266"/>
      <c r="DBA1" s="266"/>
      <c r="DBB1" s="266"/>
      <c r="DBC1" s="266"/>
      <c r="DBD1" s="266"/>
      <c r="DBE1" s="266"/>
      <c r="DBF1" s="266"/>
      <c r="DBG1" s="266"/>
      <c r="DBH1" s="266"/>
      <c r="DBI1" s="266"/>
      <c r="DBJ1" s="266"/>
      <c r="DBK1" s="266"/>
      <c r="DBL1" s="266"/>
      <c r="DBM1" s="266"/>
      <c r="DBN1" s="266"/>
      <c r="DBO1" s="266"/>
      <c r="DBP1" s="266"/>
      <c r="DBQ1" s="266"/>
      <c r="DBR1" s="266"/>
      <c r="DBS1" s="266"/>
      <c r="DBT1" s="266"/>
      <c r="DBU1" s="266"/>
      <c r="DBV1" s="266"/>
      <c r="DBW1" s="266"/>
      <c r="DBX1" s="266"/>
      <c r="DBY1" s="266"/>
      <c r="DBZ1" s="266"/>
      <c r="DCA1" s="266"/>
      <c r="DCB1" s="266"/>
      <c r="DCC1" s="266"/>
      <c r="DCD1" s="266"/>
      <c r="DCE1" s="266"/>
      <c r="DCF1" s="266"/>
      <c r="DCG1" s="266"/>
      <c r="DCH1" s="266"/>
      <c r="DCI1" s="266"/>
      <c r="DCJ1" s="266"/>
      <c r="DCK1" s="266"/>
      <c r="DCL1" s="266"/>
      <c r="DCM1" s="266"/>
      <c r="DCN1" s="266"/>
      <c r="DCO1" s="266"/>
      <c r="DCP1" s="266"/>
      <c r="DCQ1" s="266"/>
      <c r="DCR1" s="266"/>
      <c r="DCS1" s="266"/>
      <c r="DCT1" s="266"/>
      <c r="DCU1" s="266"/>
      <c r="DCV1" s="266"/>
      <c r="DCW1" s="266"/>
      <c r="DCX1" s="266"/>
      <c r="DCY1" s="266"/>
      <c r="DCZ1" s="266"/>
      <c r="DDA1" s="266"/>
      <c r="DDB1" s="266"/>
      <c r="DDC1" s="266"/>
      <c r="DDD1" s="266"/>
      <c r="DDE1" s="266"/>
      <c r="DDF1" s="266"/>
      <c r="DDG1" s="266"/>
      <c r="DDH1" s="266"/>
      <c r="DDI1" s="266"/>
      <c r="DDJ1" s="266"/>
      <c r="DDK1" s="266"/>
      <c r="DDL1" s="266"/>
      <c r="DDM1" s="266"/>
      <c r="DDN1" s="266"/>
      <c r="DDO1" s="266"/>
      <c r="DDP1" s="266"/>
      <c r="DDQ1" s="266"/>
      <c r="DDR1" s="266"/>
      <c r="DDS1" s="266"/>
      <c r="DDT1" s="266"/>
      <c r="DDU1" s="266"/>
      <c r="DDV1" s="266"/>
      <c r="DDW1" s="266"/>
      <c r="DDX1" s="266"/>
      <c r="DDY1" s="266"/>
      <c r="DDZ1" s="266"/>
      <c r="DEA1" s="266"/>
      <c r="DEB1" s="266"/>
      <c r="DEC1" s="266"/>
      <c r="DED1" s="266"/>
      <c r="DEE1" s="266"/>
      <c r="DEF1" s="266"/>
      <c r="DEG1" s="266"/>
      <c r="DEH1" s="266"/>
      <c r="DEI1" s="266"/>
      <c r="DEJ1" s="266"/>
      <c r="DEK1" s="266"/>
      <c r="DEL1" s="266"/>
      <c r="DEM1" s="266"/>
      <c r="DEN1" s="266"/>
      <c r="DEO1" s="266"/>
      <c r="DEP1" s="266"/>
      <c r="DEQ1" s="266"/>
      <c r="DER1" s="266"/>
      <c r="DES1" s="266"/>
      <c r="DET1" s="266"/>
      <c r="DEU1" s="266"/>
      <c r="DEV1" s="266"/>
      <c r="DEW1" s="266"/>
      <c r="DEX1" s="266"/>
      <c r="DEY1" s="266"/>
      <c r="DEZ1" s="266"/>
      <c r="DFA1" s="266"/>
      <c r="DFB1" s="266"/>
      <c r="DFC1" s="266"/>
      <c r="DFD1" s="266"/>
      <c r="DFE1" s="266"/>
      <c r="DFF1" s="266"/>
      <c r="DFG1" s="266"/>
      <c r="DFH1" s="266"/>
      <c r="DFI1" s="266"/>
      <c r="DFJ1" s="266"/>
      <c r="DFK1" s="266"/>
      <c r="DFL1" s="266"/>
      <c r="DFM1" s="266"/>
      <c r="DFN1" s="266"/>
      <c r="DFO1" s="266"/>
      <c r="DFP1" s="266"/>
      <c r="DFQ1" s="266"/>
      <c r="DFR1" s="266"/>
      <c r="DFS1" s="266"/>
      <c r="DFT1" s="266"/>
      <c r="DFU1" s="266"/>
      <c r="DFV1" s="266"/>
      <c r="DFW1" s="266"/>
      <c r="DFX1" s="266"/>
      <c r="DFY1" s="266"/>
      <c r="DFZ1" s="266"/>
      <c r="DGA1" s="266"/>
      <c r="DGB1" s="266"/>
      <c r="DGC1" s="266"/>
      <c r="DGD1" s="266"/>
      <c r="DGE1" s="266"/>
      <c r="DGF1" s="266"/>
      <c r="DGG1" s="266"/>
      <c r="DGH1" s="266"/>
      <c r="DGI1" s="266"/>
      <c r="DGJ1" s="266"/>
      <c r="DGK1" s="266"/>
      <c r="DGL1" s="266"/>
      <c r="DGM1" s="266"/>
      <c r="DGN1" s="266"/>
      <c r="DGO1" s="266"/>
      <c r="DGP1" s="266"/>
      <c r="DGQ1" s="266"/>
      <c r="DGR1" s="266"/>
      <c r="DGS1" s="266"/>
      <c r="DGT1" s="266"/>
      <c r="DGU1" s="266"/>
      <c r="DGV1" s="266"/>
      <c r="DGW1" s="266"/>
      <c r="DGX1" s="266"/>
      <c r="DGY1" s="266"/>
      <c r="DGZ1" s="266"/>
      <c r="DHA1" s="266"/>
      <c r="DHB1" s="266"/>
      <c r="DHC1" s="266"/>
      <c r="DHD1" s="266"/>
      <c r="DHE1" s="266"/>
      <c r="DHF1" s="266"/>
      <c r="DHG1" s="266"/>
      <c r="DHH1" s="266"/>
      <c r="DHI1" s="266"/>
      <c r="DHJ1" s="266"/>
      <c r="DHK1" s="266"/>
      <c r="DHL1" s="266"/>
      <c r="DHM1" s="266"/>
      <c r="DHN1" s="266"/>
      <c r="DHO1" s="266"/>
      <c r="DHP1" s="266"/>
      <c r="DHQ1" s="266"/>
      <c r="DHR1" s="266"/>
      <c r="DHS1" s="266"/>
      <c r="DHT1" s="266"/>
      <c r="DHU1" s="266"/>
      <c r="DHV1" s="266"/>
      <c r="DHW1" s="266"/>
      <c r="DHX1" s="266"/>
      <c r="DHY1" s="266"/>
      <c r="DHZ1" s="266"/>
      <c r="DIA1" s="266"/>
      <c r="DIB1" s="266"/>
      <c r="DIC1" s="266"/>
      <c r="DID1" s="266"/>
      <c r="DIE1" s="266"/>
      <c r="DIF1" s="266"/>
      <c r="DIG1" s="266"/>
      <c r="DIH1" s="266"/>
      <c r="DII1" s="266"/>
      <c r="DIJ1" s="266"/>
      <c r="DIK1" s="266"/>
      <c r="DIL1" s="266"/>
      <c r="DIM1" s="266"/>
      <c r="DIN1" s="266"/>
      <c r="DIO1" s="266"/>
      <c r="DIP1" s="266"/>
      <c r="DIQ1" s="266"/>
      <c r="DIR1" s="266"/>
      <c r="DIS1" s="266"/>
      <c r="DIT1" s="266"/>
      <c r="DIU1" s="266"/>
      <c r="DIV1" s="266"/>
      <c r="DIW1" s="266"/>
      <c r="DIX1" s="266"/>
      <c r="DIY1" s="266"/>
      <c r="DIZ1" s="266"/>
      <c r="DJA1" s="266"/>
      <c r="DJB1" s="266"/>
      <c r="DJC1" s="266"/>
      <c r="DJD1" s="266"/>
      <c r="DJE1" s="266"/>
      <c r="DJF1" s="266"/>
      <c r="DJG1" s="266"/>
      <c r="DJH1" s="266"/>
      <c r="DJI1" s="266"/>
      <c r="DJJ1" s="266"/>
      <c r="DJK1" s="266"/>
      <c r="DJL1" s="266"/>
      <c r="DJM1" s="266"/>
      <c r="DJN1" s="266"/>
      <c r="DJO1" s="266"/>
      <c r="DJP1" s="266"/>
      <c r="DJQ1" s="266"/>
      <c r="DJR1" s="266"/>
      <c r="DJS1" s="266"/>
      <c r="DJT1" s="266"/>
      <c r="DJU1" s="266"/>
      <c r="DJV1" s="266"/>
      <c r="DJW1" s="266"/>
      <c r="DJX1" s="266"/>
      <c r="DJY1" s="266"/>
      <c r="DJZ1" s="266"/>
      <c r="DKA1" s="266"/>
      <c r="DKB1" s="266"/>
      <c r="DKC1" s="266"/>
      <c r="DKD1" s="266"/>
      <c r="DKE1" s="266"/>
      <c r="DKF1" s="266"/>
      <c r="DKG1" s="266"/>
      <c r="DKH1" s="266"/>
      <c r="DKI1" s="266"/>
      <c r="DKJ1" s="266"/>
      <c r="DKK1" s="266"/>
      <c r="DKL1" s="266"/>
      <c r="DKM1" s="266"/>
      <c r="DKN1" s="266"/>
      <c r="DKO1" s="266"/>
      <c r="DKP1" s="266"/>
      <c r="DKQ1" s="266"/>
      <c r="DKR1" s="266"/>
      <c r="DKS1" s="266"/>
      <c r="DKT1" s="266"/>
      <c r="DKU1" s="266"/>
      <c r="DKV1" s="266"/>
      <c r="DKW1" s="266"/>
      <c r="DKX1" s="266"/>
      <c r="DKY1" s="266"/>
      <c r="DKZ1" s="266"/>
      <c r="DLA1" s="266"/>
      <c r="DLB1" s="266"/>
      <c r="DLC1" s="266"/>
      <c r="DLD1" s="266"/>
      <c r="DLE1" s="266"/>
      <c r="DLF1" s="266"/>
      <c r="DLG1" s="266"/>
      <c r="DLH1" s="266"/>
      <c r="DLI1" s="266"/>
      <c r="DLJ1" s="266"/>
      <c r="DLK1" s="266"/>
      <c r="DLL1" s="266"/>
      <c r="DLM1" s="266"/>
      <c r="DLN1" s="266"/>
      <c r="DLO1" s="266"/>
      <c r="DLP1" s="266"/>
      <c r="DLQ1" s="266"/>
      <c r="DLR1" s="266"/>
      <c r="DLS1" s="266"/>
      <c r="DLT1" s="266"/>
      <c r="DLU1" s="266"/>
      <c r="DLV1" s="266"/>
      <c r="DLW1" s="266"/>
      <c r="DLX1" s="266"/>
      <c r="DLY1" s="266"/>
      <c r="DLZ1" s="266"/>
      <c r="DMA1" s="266"/>
      <c r="DMB1" s="266"/>
      <c r="DMC1" s="266"/>
      <c r="DMD1" s="266"/>
      <c r="DME1" s="266"/>
      <c r="DMF1" s="266"/>
      <c r="DMG1" s="266"/>
      <c r="DMH1" s="266"/>
      <c r="DMI1" s="266"/>
      <c r="DMJ1" s="266"/>
      <c r="DMK1" s="266"/>
      <c r="DML1" s="266"/>
      <c r="DMM1" s="266"/>
      <c r="DMN1" s="266"/>
      <c r="DMO1" s="266"/>
      <c r="DMP1" s="266"/>
      <c r="DMQ1" s="266"/>
      <c r="DMR1" s="266"/>
      <c r="DMS1" s="266"/>
      <c r="DMT1" s="266"/>
      <c r="DMU1" s="266"/>
      <c r="DMV1" s="266"/>
      <c r="DMW1" s="266"/>
      <c r="DMX1" s="266"/>
      <c r="DMY1" s="266"/>
      <c r="DMZ1" s="266"/>
      <c r="DNA1" s="266"/>
      <c r="DNB1" s="266"/>
      <c r="DNC1" s="266"/>
      <c r="DND1" s="266"/>
      <c r="DNE1" s="266"/>
      <c r="DNF1" s="266"/>
      <c r="DNG1" s="266"/>
      <c r="DNH1" s="266"/>
      <c r="DNI1" s="266"/>
      <c r="DNJ1" s="266"/>
      <c r="DNK1" s="266"/>
      <c r="DNL1" s="266"/>
      <c r="DNM1" s="266"/>
      <c r="DNN1" s="266"/>
      <c r="DNO1" s="266"/>
      <c r="DNP1" s="266"/>
      <c r="DNQ1" s="266"/>
      <c r="DNR1" s="266"/>
      <c r="DNS1" s="266"/>
      <c r="DNT1" s="266"/>
      <c r="DNU1" s="266"/>
      <c r="DNV1" s="266"/>
      <c r="DNW1" s="266"/>
      <c r="DNX1" s="266"/>
      <c r="DNY1" s="266"/>
      <c r="DNZ1" s="266"/>
      <c r="DOA1" s="266"/>
      <c r="DOB1" s="266"/>
      <c r="DOC1" s="266"/>
      <c r="DOD1" s="266"/>
      <c r="DOE1" s="266"/>
      <c r="DOF1" s="266"/>
      <c r="DOG1" s="266"/>
      <c r="DOH1" s="266"/>
      <c r="DOI1" s="266"/>
      <c r="DOJ1" s="266"/>
      <c r="DOK1" s="266"/>
      <c r="DOL1" s="266"/>
      <c r="DOM1" s="266"/>
      <c r="DON1" s="266"/>
      <c r="DOO1" s="266"/>
      <c r="DOP1" s="266"/>
      <c r="DOQ1" s="266"/>
      <c r="DOR1" s="266"/>
      <c r="DOS1" s="266"/>
      <c r="DOT1" s="266"/>
      <c r="DOU1" s="266"/>
      <c r="DOV1" s="266"/>
      <c r="DOW1" s="266"/>
      <c r="DOX1" s="266"/>
      <c r="DOY1" s="266"/>
      <c r="DOZ1" s="266"/>
      <c r="DPA1" s="266"/>
      <c r="DPB1" s="266"/>
      <c r="DPC1" s="266"/>
      <c r="DPD1" s="266"/>
      <c r="DPE1" s="266"/>
      <c r="DPF1" s="266"/>
      <c r="DPG1" s="266"/>
      <c r="DPH1" s="266"/>
      <c r="DPI1" s="266"/>
      <c r="DPJ1" s="266"/>
      <c r="DPK1" s="266"/>
      <c r="DPL1" s="266"/>
      <c r="DPM1" s="266"/>
      <c r="DPN1" s="266"/>
      <c r="DPO1" s="266"/>
      <c r="DPP1" s="266"/>
      <c r="DPQ1" s="266"/>
      <c r="DPR1" s="266"/>
      <c r="DPS1" s="266"/>
      <c r="DPT1" s="266"/>
      <c r="DPU1" s="266"/>
      <c r="DPV1" s="266"/>
      <c r="DPW1" s="266"/>
      <c r="DPX1" s="266"/>
      <c r="DPY1" s="266"/>
      <c r="DPZ1" s="266"/>
      <c r="DQA1" s="266"/>
      <c r="DQB1" s="266"/>
      <c r="DQC1" s="266"/>
      <c r="DQD1" s="266"/>
      <c r="DQE1" s="266"/>
      <c r="DQF1" s="266"/>
      <c r="DQG1" s="266"/>
      <c r="DQH1" s="266"/>
      <c r="DQI1" s="266"/>
      <c r="DQJ1" s="266"/>
      <c r="DQK1" s="266"/>
      <c r="DQL1" s="266"/>
      <c r="DQM1" s="266"/>
      <c r="DQN1" s="266"/>
      <c r="DQO1" s="266"/>
      <c r="DQP1" s="266"/>
      <c r="DQQ1" s="266"/>
      <c r="DQR1" s="266"/>
      <c r="DQS1" s="266"/>
      <c r="DQT1" s="266"/>
      <c r="DQU1" s="266"/>
      <c r="DQV1" s="266"/>
      <c r="DQW1" s="266"/>
      <c r="DQX1" s="266"/>
      <c r="DQY1" s="266"/>
      <c r="DQZ1" s="266"/>
      <c r="DRA1" s="266"/>
      <c r="DRB1" s="266"/>
      <c r="DRC1" s="266"/>
      <c r="DRD1" s="266"/>
      <c r="DRE1" s="266"/>
      <c r="DRF1" s="266"/>
      <c r="DRG1" s="266"/>
      <c r="DRH1" s="266"/>
      <c r="DRI1" s="266"/>
      <c r="DRJ1" s="266"/>
      <c r="DRK1" s="266"/>
      <c r="DRL1" s="266"/>
      <c r="DRM1" s="266"/>
      <c r="DRN1" s="266"/>
      <c r="DRO1" s="266"/>
      <c r="DRP1" s="266"/>
      <c r="DRQ1" s="266"/>
      <c r="DRR1" s="266"/>
      <c r="DRS1" s="266"/>
      <c r="DRT1" s="266"/>
      <c r="DRU1" s="266"/>
      <c r="DRV1" s="266"/>
      <c r="DRW1" s="266"/>
      <c r="DRX1" s="266"/>
      <c r="DRY1" s="266"/>
      <c r="DRZ1" s="266"/>
      <c r="DSA1" s="266"/>
      <c r="DSB1" s="266"/>
      <c r="DSC1" s="266"/>
      <c r="DSD1" s="266"/>
      <c r="DSE1" s="266"/>
      <c r="DSF1" s="266"/>
      <c r="DSG1" s="266"/>
      <c r="DSH1" s="266"/>
      <c r="DSI1" s="266"/>
      <c r="DSJ1" s="266"/>
      <c r="DSK1" s="266"/>
      <c r="DSL1" s="266"/>
      <c r="DSM1" s="266"/>
      <c r="DSN1" s="266"/>
      <c r="DSO1" s="266"/>
      <c r="DSP1" s="266"/>
      <c r="DSQ1" s="266"/>
      <c r="DSR1" s="266"/>
      <c r="DSS1" s="266"/>
      <c r="DST1" s="266"/>
      <c r="DSU1" s="266"/>
      <c r="DSV1" s="266"/>
      <c r="DSW1" s="266"/>
      <c r="DSX1" s="266"/>
      <c r="DSY1" s="266"/>
      <c r="DSZ1" s="266"/>
      <c r="DTA1" s="266"/>
      <c r="DTB1" s="266"/>
      <c r="DTC1" s="266"/>
      <c r="DTD1" s="266"/>
      <c r="DTE1" s="266"/>
      <c r="DTF1" s="266"/>
      <c r="DTG1" s="266"/>
      <c r="DTH1" s="266"/>
      <c r="DTI1" s="266"/>
      <c r="DTJ1" s="266"/>
      <c r="DTK1" s="266"/>
      <c r="DTL1" s="266"/>
      <c r="DTM1" s="266"/>
      <c r="DTN1" s="266"/>
      <c r="DTO1" s="266"/>
      <c r="DTP1" s="266"/>
      <c r="DTQ1" s="266"/>
      <c r="DTR1" s="266"/>
      <c r="DTS1" s="266"/>
      <c r="DTT1" s="266"/>
      <c r="DTU1" s="266"/>
      <c r="DTV1" s="266"/>
      <c r="DTW1" s="266"/>
      <c r="DTX1" s="266"/>
      <c r="DTY1" s="266"/>
      <c r="DTZ1" s="266"/>
      <c r="DUA1" s="266"/>
      <c r="DUB1" s="266"/>
      <c r="DUC1" s="266"/>
      <c r="DUD1" s="266"/>
      <c r="DUE1" s="266"/>
      <c r="DUF1" s="266"/>
      <c r="DUG1" s="266"/>
      <c r="DUH1" s="266"/>
      <c r="DUI1" s="266"/>
      <c r="DUJ1" s="266"/>
      <c r="DUK1" s="266"/>
      <c r="DUL1" s="266"/>
      <c r="DUM1" s="266"/>
      <c r="DUN1" s="266"/>
      <c r="DUO1" s="266"/>
      <c r="DUP1" s="266"/>
      <c r="DUQ1" s="266"/>
      <c r="DUR1" s="266"/>
      <c r="DUS1" s="266"/>
      <c r="DUT1" s="266"/>
      <c r="DUU1" s="266"/>
      <c r="DUV1" s="266"/>
      <c r="DUW1" s="266"/>
      <c r="DUX1" s="266"/>
      <c r="DUY1" s="266"/>
      <c r="DUZ1" s="266"/>
      <c r="DVA1" s="266"/>
      <c r="DVB1" s="266"/>
      <c r="DVC1" s="266"/>
      <c r="DVD1" s="266"/>
      <c r="DVE1" s="266"/>
      <c r="DVF1" s="266"/>
      <c r="DVG1" s="266"/>
      <c r="DVH1" s="266"/>
      <c r="DVI1" s="266"/>
      <c r="DVJ1" s="266"/>
      <c r="DVK1" s="266"/>
      <c r="DVL1" s="266"/>
      <c r="DVM1" s="266"/>
      <c r="DVN1" s="266"/>
      <c r="DVO1" s="266"/>
      <c r="DVP1" s="266"/>
      <c r="DVQ1" s="266"/>
      <c r="DVR1" s="266"/>
      <c r="DVS1" s="266"/>
      <c r="DVT1" s="266"/>
      <c r="DVU1" s="266"/>
      <c r="DVV1" s="266"/>
      <c r="DVW1" s="266"/>
      <c r="DVX1" s="266"/>
      <c r="DVY1" s="266"/>
      <c r="DVZ1" s="266"/>
      <c r="DWA1" s="266"/>
      <c r="DWB1" s="266"/>
      <c r="DWC1" s="266"/>
      <c r="DWD1" s="266"/>
      <c r="DWE1" s="266"/>
      <c r="DWF1" s="266"/>
      <c r="DWG1" s="266"/>
      <c r="DWH1" s="266"/>
      <c r="DWI1" s="266"/>
      <c r="DWJ1" s="266"/>
      <c r="DWK1" s="266"/>
      <c r="DWL1" s="266"/>
      <c r="DWM1" s="266"/>
      <c r="DWN1" s="266"/>
      <c r="DWO1" s="266"/>
      <c r="DWP1" s="266"/>
      <c r="DWQ1" s="266"/>
      <c r="DWR1" s="266"/>
      <c r="DWS1" s="266"/>
      <c r="DWT1" s="266"/>
      <c r="DWU1" s="266"/>
      <c r="DWV1" s="266"/>
      <c r="DWW1" s="266"/>
      <c r="DWX1" s="266"/>
      <c r="DWY1" s="266"/>
      <c r="DWZ1" s="266"/>
      <c r="DXA1" s="266"/>
      <c r="DXB1" s="266"/>
      <c r="DXC1" s="266"/>
      <c r="DXD1" s="266"/>
      <c r="DXE1" s="266"/>
      <c r="DXF1" s="266"/>
      <c r="DXG1" s="266"/>
      <c r="DXH1" s="266"/>
      <c r="DXI1" s="266"/>
      <c r="DXJ1" s="266"/>
      <c r="DXK1" s="266"/>
      <c r="DXL1" s="266"/>
      <c r="DXM1" s="266"/>
      <c r="DXN1" s="266"/>
      <c r="DXO1" s="266"/>
      <c r="DXP1" s="266"/>
      <c r="DXQ1" s="266"/>
      <c r="DXR1" s="266"/>
      <c r="DXS1" s="266"/>
      <c r="DXT1" s="266"/>
      <c r="DXU1" s="266"/>
      <c r="DXV1" s="266"/>
      <c r="DXW1" s="266"/>
      <c r="DXX1" s="266"/>
      <c r="DXY1" s="266"/>
      <c r="DXZ1" s="266"/>
      <c r="DYA1" s="266"/>
      <c r="DYB1" s="266"/>
      <c r="DYC1" s="266"/>
      <c r="DYD1" s="266"/>
      <c r="DYE1" s="266"/>
      <c r="DYF1" s="266"/>
      <c r="DYG1" s="266"/>
      <c r="DYH1" s="266"/>
      <c r="DYI1" s="266"/>
      <c r="DYJ1" s="266"/>
      <c r="DYK1" s="266"/>
      <c r="DYL1" s="266"/>
      <c r="DYM1" s="266"/>
      <c r="DYN1" s="266"/>
      <c r="DYO1" s="266"/>
      <c r="DYP1" s="266"/>
      <c r="DYQ1" s="266"/>
      <c r="DYR1" s="266"/>
      <c r="DYS1" s="266"/>
      <c r="DYT1" s="266"/>
      <c r="DYU1" s="266"/>
      <c r="DYV1" s="266"/>
      <c r="DYW1" s="266"/>
      <c r="DYX1" s="266"/>
      <c r="DYY1" s="266"/>
      <c r="DYZ1" s="266"/>
      <c r="DZA1" s="266"/>
      <c r="DZB1" s="266"/>
      <c r="DZC1" s="266"/>
      <c r="DZD1" s="266"/>
      <c r="DZE1" s="266"/>
      <c r="DZF1" s="266"/>
      <c r="DZG1" s="266"/>
      <c r="DZH1" s="266"/>
      <c r="DZI1" s="266"/>
      <c r="DZJ1" s="266"/>
      <c r="DZK1" s="266"/>
      <c r="DZL1" s="266"/>
      <c r="DZM1" s="266"/>
      <c r="DZN1" s="266"/>
      <c r="DZO1" s="266"/>
      <c r="DZP1" s="266"/>
      <c r="DZQ1" s="266"/>
      <c r="DZR1" s="266"/>
      <c r="DZS1" s="266"/>
      <c r="DZT1" s="266"/>
      <c r="DZU1" s="266"/>
      <c r="DZV1" s="266"/>
      <c r="DZW1" s="266"/>
      <c r="DZX1" s="266"/>
      <c r="DZY1" s="266"/>
      <c r="DZZ1" s="266"/>
      <c r="EAA1" s="266"/>
      <c r="EAB1" s="266"/>
      <c r="EAC1" s="266"/>
      <c r="EAD1" s="266"/>
      <c r="EAE1" s="266"/>
      <c r="EAF1" s="266"/>
      <c r="EAG1" s="266"/>
      <c r="EAH1" s="266"/>
      <c r="EAI1" s="266"/>
      <c r="EAJ1" s="266"/>
      <c r="EAK1" s="266"/>
      <c r="EAL1" s="266"/>
      <c r="EAM1" s="266"/>
      <c r="EAN1" s="266"/>
      <c r="EAO1" s="266"/>
      <c r="EAP1" s="266"/>
      <c r="EAQ1" s="266"/>
      <c r="EAR1" s="266"/>
      <c r="EAS1" s="266"/>
      <c r="EAT1" s="266"/>
      <c r="EAU1" s="266"/>
      <c r="EAV1" s="266"/>
      <c r="EAW1" s="266"/>
      <c r="EAX1" s="266"/>
      <c r="EAY1" s="266"/>
      <c r="EAZ1" s="266"/>
      <c r="EBA1" s="266"/>
      <c r="EBB1" s="266"/>
      <c r="EBC1" s="266"/>
      <c r="EBD1" s="266"/>
      <c r="EBE1" s="266"/>
      <c r="EBF1" s="266"/>
      <c r="EBG1" s="266"/>
      <c r="EBH1" s="266"/>
      <c r="EBI1" s="266"/>
      <c r="EBJ1" s="266"/>
      <c r="EBK1" s="266"/>
      <c r="EBL1" s="266"/>
      <c r="EBM1" s="266"/>
      <c r="EBN1" s="266"/>
      <c r="EBO1" s="266"/>
      <c r="EBP1" s="266"/>
      <c r="EBQ1" s="266"/>
      <c r="EBR1" s="266"/>
      <c r="EBS1" s="266"/>
      <c r="EBT1" s="266"/>
      <c r="EBU1" s="266"/>
      <c r="EBV1" s="266"/>
      <c r="EBW1" s="266"/>
      <c r="EBX1" s="266"/>
      <c r="EBY1" s="266"/>
      <c r="EBZ1" s="266"/>
      <c r="ECA1" s="266"/>
      <c r="ECB1" s="266"/>
      <c r="ECC1" s="266"/>
      <c r="ECD1" s="266"/>
      <c r="ECE1" s="266"/>
      <c r="ECF1" s="266"/>
      <c r="ECG1" s="266"/>
      <c r="ECH1" s="266"/>
      <c r="ECI1" s="266"/>
      <c r="ECJ1" s="266"/>
      <c r="ECK1" s="266"/>
      <c r="ECL1" s="266"/>
      <c r="ECM1" s="266"/>
      <c r="ECN1" s="266"/>
      <c r="ECO1" s="266"/>
      <c r="ECP1" s="266"/>
      <c r="ECQ1" s="266"/>
      <c r="ECR1" s="266"/>
      <c r="ECS1" s="266"/>
      <c r="ECT1" s="266"/>
      <c r="ECU1" s="266"/>
      <c r="ECV1" s="266"/>
      <c r="ECW1" s="266"/>
      <c r="ECX1" s="266"/>
      <c r="ECY1" s="266"/>
      <c r="ECZ1" s="266"/>
      <c r="EDA1" s="266"/>
      <c r="EDB1" s="266"/>
      <c r="EDC1" s="266"/>
      <c r="EDD1" s="266"/>
      <c r="EDE1" s="266"/>
      <c r="EDF1" s="266"/>
      <c r="EDG1" s="266"/>
      <c r="EDH1" s="266"/>
      <c r="EDI1" s="266"/>
      <c r="EDJ1" s="266"/>
      <c r="EDK1" s="266"/>
      <c r="EDL1" s="266"/>
      <c r="EDM1" s="266"/>
      <c r="EDN1" s="266"/>
      <c r="EDO1" s="266"/>
      <c r="EDP1" s="266"/>
      <c r="EDQ1" s="266"/>
      <c r="EDR1" s="266"/>
      <c r="EDS1" s="266"/>
      <c r="EDT1" s="266"/>
      <c r="EDU1" s="266"/>
      <c r="EDV1" s="266"/>
      <c r="EDW1" s="266"/>
      <c r="EDX1" s="266"/>
      <c r="EDY1" s="266"/>
      <c r="EDZ1" s="266"/>
      <c r="EEA1" s="266"/>
      <c r="EEB1" s="266"/>
      <c r="EEC1" s="266"/>
      <c r="EED1" s="266"/>
      <c r="EEE1" s="266"/>
      <c r="EEF1" s="266"/>
      <c r="EEG1" s="266"/>
      <c r="EEH1" s="266"/>
      <c r="EEI1" s="266"/>
      <c r="EEJ1" s="266"/>
      <c r="EEK1" s="266"/>
      <c r="EEL1" s="266"/>
      <c r="EEM1" s="266"/>
      <c r="EEN1" s="266"/>
      <c r="EEO1" s="266"/>
      <c r="EEP1" s="266"/>
      <c r="EEQ1" s="266"/>
      <c r="EER1" s="266"/>
      <c r="EES1" s="266"/>
      <c r="EET1" s="266"/>
      <c r="EEU1" s="266"/>
      <c r="EEV1" s="266"/>
      <c r="EEW1" s="266"/>
      <c r="EEX1" s="266"/>
      <c r="EEY1" s="266"/>
      <c r="EEZ1" s="266"/>
      <c r="EFA1" s="266"/>
      <c r="EFB1" s="266"/>
      <c r="EFC1" s="266"/>
      <c r="EFD1" s="266"/>
      <c r="EFE1" s="266"/>
      <c r="EFF1" s="266"/>
      <c r="EFG1" s="266"/>
      <c r="EFH1" s="266"/>
      <c r="EFI1" s="266"/>
      <c r="EFJ1" s="266"/>
      <c r="EFK1" s="266"/>
      <c r="EFL1" s="266"/>
      <c r="EFM1" s="266"/>
      <c r="EFN1" s="266"/>
      <c r="EFO1" s="266"/>
      <c r="EFP1" s="266"/>
      <c r="EFQ1" s="266"/>
      <c r="EFR1" s="266"/>
      <c r="EFS1" s="266"/>
      <c r="EFT1" s="266"/>
      <c r="EFU1" s="266"/>
      <c r="EFV1" s="266"/>
      <c r="EFW1" s="266"/>
      <c r="EFX1" s="266"/>
      <c r="EFY1" s="266"/>
      <c r="EFZ1" s="266"/>
      <c r="EGA1" s="266"/>
      <c r="EGB1" s="266"/>
      <c r="EGC1" s="266"/>
      <c r="EGD1" s="266"/>
      <c r="EGE1" s="266"/>
      <c r="EGF1" s="266"/>
      <c r="EGG1" s="266"/>
      <c r="EGH1" s="266"/>
      <c r="EGI1" s="266"/>
      <c r="EGJ1" s="266"/>
      <c r="EGK1" s="266"/>
      <c r="EGL1" s="266"/>
      <c r="EGM1" s="266"/>
      <c r="EGN1" s="266"/>
      <c r="EGO1" s="266"/>
      <c r="EGP1" s="266"/>
      <c r="EGQ1" s="266"/>
      <c r="EGR1" s="266"/>
      <c r="EGS1" s="266"/>
      <c r="EGT1" s="266"/>
      <c r="EGU1" s="266"/>
      <c r="EGV1" s="266"/>
      <c r="EGW1" s="266"/>
      <c r="EGX1" s="266"/>
      <c r="EGY1" s="266"/>
      <c r="EGZ1" s="266"/>
      <c r="EHA1" s="266"/>
      <c r="EHB1" s="266"/>
      <c r="EHC1" s="266"/>
      <c r="EHD1" s="266"/>
      <c r="EHE1" s="266"/>
      <c r="EHF1" s="266"/>
      <c r="EHG1" s="266"/>
      <c r="EHH1" s="266"/>
      <c r="EHI1" s="266"/>
      <c r="EHJ1" s="266"/>
      <c r="EHK1" s="266"/>
      <c r="EHL1" s="266"/>
      <c r="EHM1" s="266"/>
      <c r="EHN1" s="266"/>
      <c r="EHO1" s="266"/>
      <c r="EHP1" s="266"/>
      <c r="EHQ1" s="266"/>
      <c r="EHR1" s="266"/>
      <c r="EHS1" s="266"/>
      <c r="EHT1" s="266"/>
      <c r="EHU1" s="266"/>
      <c r="EHV1" s="266"/>
      <c r="EHW1" s="266"/>
      <c r="EHX1" s="266"/>
      <c r="EHY1" s="266"/>
      <c r="EHZ1" s="266"/>
      <c r="EIA1" s="266"/>
      <c r="EIB1" s="266"/>
      <c r="EIC1" s="266"/>
      <c r="EID1" s="266"/>
      <c r="EIE1" s="266"/>
      <c r="EIF1" s="266"/>
      <c r="EIG1" s="266"/>
      <c r="EIH1" s="266"/>
      <c r="EII1" s="266"/>
      <c r="EIJ1" s="266"/>
      <c r="EIK1" s="266"/>
      <c r="EIL1" s="266"/>
      <c r="EIM1" s="266"/>
      <c r="EIN1" s="266"/>
      <c r="EIO1" s="266"/>
      <c r="EIP1" s="266"/>
      <c r="EIQ1" s="266"/>
      <c r="EIR1" s="266"/>
      <c r="EIS1" s="266"/>
      <c r="EIT1" s="266"/>
      <c r="EIU1" s="266"/>
      <c r="EIV1" s="266"/>
      <c r="EIW1" s="266"/>
      <c r="EIX1" s="266"/>
      <c r="EIY1" s="266"/>
      <c r="EIZ1" s="266"/>
      <c r="EJA1" s="266"/>
      <c r="EJB1" s="266"/>
      <c r="EJC1" s="266"/>
      <c r="EJD1" s="266"/>
      <c r="EJE1" s="266"/>
      <c r="EJF1" s="266"/>
      <c r="EJG1" s="266"/>
      <c r="EJH1" s="266"/>
      <c r="EJI1" s="266"/>
      <c r="EJJ1" s="266"/>
      <c r="EJK1" s="266"/>
      <c r="EJL1" s="266"/>
      <c r="EJM1" s="266"/>
      <c r="EJN1" s="266"/>
      <c r="EJO1" s="266"/>
      <c r="EJP1" s="266"/>
      <c r="EJQ1" s="266"/>
      <c r="EJR1" s="266"/>
      <c r="EJS1" s="266"/>
      <c r="EJT1" s="266"/>
      <c r="EJU1" s="266"/>
      <c r="EJV1" s="266"/>
      <c r="EJW1" s="266"/>
      <c r="EJX1" s="266"/>
      <c r="EJY1" s="266"/>
      <c r="EJZ1" s="266"/>
      <c r="EKA1" s="266"/>
      <c r="EKB1" s="266"/>
      <c r="EKC1" s="266"/>
      <c r="EKD1" s="266"/>
      <c r="EKE1" s="266"/>
      <c r="EKF1" s="266"/>
      <c r="EKG1" s="266"/>
      <c r="EKH1" s="266"/>
      <c r="EKI1" s="266"/>
      <c r="EKJ1" s="266"/>
      <c r="EKK1" s="266"/>
      <c r="EKL1" s="266"/>
      <c r="EKM1" s="266"/>
      <c r="EKN1" s="266"/>
      <c r="EKO1" s="266"/>
      <c r="EKP1" s="266"/>
      <c r="EKQ1" s="266"/>
      <c r="EKR1" s="266"/>
      <c r="EKS1" s="266"/>
      <c r="EKT1" s="266"/>
      <c r="EKU1" s="266"/>
      <c r="EKV1" s="266"/>
      <c r="EKW1" s="266"/>
      <c r="EKX1" s="266"/>
      <c r="EKY1" s="266"/>
      <c r="EKZ1" s="266"/>
      <c r="ELA1" s="266"/>
      <c r="ELB1" s="266"/>
      <c r="ELC1" s="266"/>
      <c r="ELD1" s="266"/>
      <c r="ELE1" s="266"/>
      <c r="ELF1" s="266"/>
      <c r="ELG1" s="266"/>
      <c r="ELH1" s="266"/>
      <c r="ELI1" s="266"/>
      <c r="ELJ1" s="266"/>
      <c r="ELK1" s="266"/>
      <c r="ELL1" s="266"/>
      <c r="ELM1" s="266"/>
      <c r="ELN1" s="266"/>
      <c r="ELO1" s="266"/>
      <c r="ELP1" s="266"/>
      <c r="ELQ1" s="266"/>
      <c r="ELR1" s="266"/>
      <c r="ELS1" s="266"/>
      <c r="ELT1" s="266"/>
      <c r="ELU1" s="266"/>
      <c r="ELV1" s="266"/>
      <c r="ELW1" s="266"/>
      <c r="ELX1" s="266"/>
      <c r="ELY1" s="266"/>
      <c r="ELZ1" s="266"/>
      <c r="EMA1" s="266"/>
      <c r="EMB1" s="266"/>
      <c r="EMC1" s="266"/>
      <c r="EMD1" s="266"/>
      <c r="EME1" s="266"/>
      <c r="EMF1" s="266"/>
      <c r="EMG1" s="266"/>
      <c r="EMH1" s="266"/>
      <c r="EMI1" s="266"/>
      <c r="EMJ1" s="266"/>
      <c r="EMK1" s="266"/>
      <c r="EML1" s="266"/>
      <c r="EMM1" s="266"/>
      <c r="EMN1" s="266"/>
      <c r="EMO1" s="266"/>
      <c r="EMP1" s="266"/>
      <c r="EMQ1" s="266"/>
      <c r="EMR1" s="266"/>
      <c r="EMS1" s="266"/>
      <c r="EMT1" s="266"/>
      <c r="EMU1" s="266"/>
      <c r="EMV1" s="266"/>
      <c r="EMW1" s="266"/>
      <c r="EMX1" s="266"/>
      <c r="EMY1" s="266"/>
      <c r="EMZ1" s="266"/>
      <c r="ENA1" s="266"/>
      <c r="ENB1" s="266"/>
      <c r="ENC1" s="266"/>
      <c r="END1" s="266"/>
      <c r="ENE1" s="266"/>
      <c r="ENF1" s="266"/>
      <c r="ENG1" s="266"/>
      <c r="ENH1" s="266"/>
      <c r="ENI1" s="266"/>
      <c r="ENJ1" s="266"/>
      <c r="ENK1" s="266"/>
      <c r="ENL1" s="266"/>
      <c r="ENM1" s="266"/>
      <c r="ENN1" s="266"/>
      <c r="ENO1" s="266"/>
      <c r="ENP1" s="266"/>
      <c r="ENQ1" s="266"/>
      <c r="ENR1" s="266"/>
      <c r="ENS1" s="266"/>
      <c r="ENT1" s="266"/>
      <c r="ENU1" s="266"/>
      <c r="ENV1" s="266"/>
      <c r="ENW1" s="266"/>
      <c r="ENX1" s="266"/>
      <c r="ENY1" s="266"/>
      <c r="ENZ1" s="266"/>
      <c r="EOA1" s="266"/>
      <c r="EOB1" s="266"/>
      <c r="EOC1" s="266"/>
      <c r="EOD1" s="266"/>
      <c r="EOE1" s="266"/>
      <c r="EOF1" s="266"/>
      <c r="EOG1" s="266"/>
      <c r="EOH1" s="266"/>
      <c r="EOI1" s="266"/>
      <c r="EOJ1" s="266"/>
      <c r="EOK1" s="266"/>
      <c r="EOL1" s="266"/>
      <c r="EOM1" s="266"/>
      <c r="EON1" s="266"/>
      <c r="EOO1" s="266"/>
      <c r="EOP1" s="266"/>
      <c r="EOQ1" s="266"/>
      <c r="EOR1" s="266"/>
      <c r="EOS1" s="266"/>
      <c r="EOT1" s="266"/>
      <c r="EOU1" s="266"/>
      <c r="EOV1" s="266"/>
      <c r="EOW1" s="266"/>
      <c r="EOX1" s="266"/>
      <c r="EOY1" s="266"/>
      <c r="EOZ1" s="266"/>
      <c r="EPA1" s="266"/>
      <c r="EPB1" s="266"/>
      <c r="EPC1" s="266"/>
      <c r="EPD1" s="266"/>
      <c r="EPE1" s="266"/>
      <c r="EPF1" s="266"/>
      <c r="EPG1" s="266"/>
      <c r="EPH1" s="266"/>
      <c r="EPI1" s="266"/>
      <c r="EPJ1" s="266"/>
      <c r="EPK1" s="266"/>
      <c r="EPL1" s="266"/>
      <c r="EPM1" s="266"/>
      <c r="EPN1" s="266"/>
      <c r="EPO1" s="266"/>
      <c r="EPP1" s="266"/>
      <c r="EPQ1" s="266"/>
      <c r="EPR1" s="266"/>
      <c r="EPS1" s="266"/>
      <c r="EPT1" s="266"/>
      <c r="EPU1" s="266"/>
      <c r="EPV1" s="266"/>
      <c r="EPW1" s="266"/>
      <c r="EPX1" s="266"/>
      <c r="EPY1" s="266"/>
      <c r="EPZ1" s="266"/>
      <c r="EQA1" s="266"/>
      <c r="EQB1" s="266"/>
      <c r="EQC1" s="266"/>
      <c r="EQD1" s="266"/>
      <c r="EQE1" s="266"/>
      <c r="EQF1" s="266"/>
      <c r="EQG1" s="266"/>
      <c r="EQH1" s="266"/>
      <c r="EQI1" s="266"/>
      <c r="EQJ1" s="266"/>
      <c r="EQK1" s="266"/>
      <c r="EQL1" s="266"/>
      <c r="EQM1" s="266"/>
      <c r="EQN1" s="266"/>
      <c r="EQO1" s="266"/>
      <c r="EQP1" s="266"/>
      <c r="EQQ1" s="266"/>
      <c r="EQR1" s="266"/>
      <c r="EQS1" s="266"/>
      <c r="EQT1" s="266"/>
      <c r="EQU1" s="266"/>
      <c r="EQV1" s="266"/>
      <c r="EQW1" s="266"/>
      <c r="EQX1" s="266"/>
      <c r="EQY1" s="266"/>
      <c r="EQZ1" s="266"/>
      <c r="ERA1" s="266"/>
      <c r="ERB1" s="266"/>
      <c r="ERC1" s="266"/>
      <c r="ERD1" s="266"/>
      <c r="ERE1" s="266"/>
      <c r="ERF1" s="266"/>
      <c r="ERG1" s="266"/>
      <c r="ERH1" s="266"/>
      <c r="ERI1" s="266"/>
      <c r="ERJ1" s="266"/>
      <c r="ERK1" s="266"/>
      <c r="ERL1" s="266"/>
      <c r="ERM1" s="266"/>
      <c r="ERN1" s="266"/>
      <c r="ERO1" s="266"/>
      <c r="ERP1" s="266"/>
      <c r="ERQ1" s="266"/>
      <c r="ERR1" s="266"/>
      <c r="ERS1" s="266"/>
      <c r="ERT1" s="266"/>
      <c r="ERU1" s="266"/>
      <c r="ERV1" s="266"/>
      <c r="ERW1" s="266"/>
      <c r="ERX1" s="266"/>
      <c r="ERY1" s="266"/>
      <c r="ERZ1" s="266"/>
      <c r="ESA1" s="266"/>
      <c r="ESB1" s="266"/>
      <c r="ESC1" s="266"/>
      <c r="ESD1" s="266"/>
      <c r="ESE1" s="266"/>
      <c r="ESF1" s="266"/>
      <c r="ESG1" s="266"/>
      <c r="ESH1" s="266"/>
      <c r="ESI1" s="266"/>
      <c r="ESJ1" s="266"/>
      <c r="ESK1" s="266"/>
      <c r="ESL1" s="266"/>
      <c r="ESM1" s="266"/>
      <c r="ESN1" s="266"/>
      <c r="ESO1" s="266"/>
      <c r="ESP1" s="266"/>
      <c r="ESQ1" s="266"/>
      <c r="ESR1" s="266"/>
      <c r="ESS1" s="266"/>
      <c r="EST1" s="266"/>
      <c r="ESU1" s="266"/>
      <c r="ESV1" s="266"/>
      <c r="ESW1" s="266"/>
      <c r="ESX1" s="266"/>
      <c r="ESY1" s="266"/>
      <c r="ESZ1" s="266"/>
      <c r="ETA1" s="266"/>
      <c r="ETB1" s="266"/>
      <c r="ETC1" s="266"/>
      <c r="ETD1" s="266"/>
      <c r="ETE1" s="266"/>
      <c r="ETF1" s="266"/>
      <c r="ETG1" s="266"/>
      <c r="ETH1" s="266"/>
      <c r="ETI1" s="266"/>
      <c r="ETJ1" s="266"/>
      <c r="ETK1" s="266"/>
      <c r="ETL1" s="266"/>
      <c r="ETM1" s="266"/>
      <c r="ETN1" s="266"/>
      <c r="ETO1" s="266"/>
      <c r="ETP1" s="266"/>
      <c r="ETQ1" s="266"/>
      <c r="ETR1" s="266"/>
      <c r="ETS1" s="266"/>
      <c r="ETT1" s="266"/>
      <c r="ETU1" s="266"/>
      <c r="ETV1" s="266"/>
      <c r="ETW1" s="266"/>
      <c r="ETX1" s="266"/>
      <c r="ETY1" s="266"/>
      <c r="ETZ1" s="266"/>
      <c r="EUA1" s="266"/>
      <c r="EUB1" s="266"/>
      <c r="EUC1" s="266"/>
      <c r="EUD1" s="266"/>
      <c r="EUE1" s="266"/>
      <c r="EUF1" s="266"/>
      <c r="EUG1" s="266"/>
      <c r="EUH1" s="266"/>
      <c r="EUI1" s="266"/>
      <c r="EUJ1" s="266"/>
      <c r="EUK1" s="266"/>
      <c r="EUL1" s="266"/>
      <c r="EUM1" s="266"/>
      <c r="EUN1" s="266"/>
      <c r="EUO1" s="266"/>
      <c r="EUP1" s="266"/>
      <c r="EUQ1" s="266"/>
      <c r="EUR1" s="266"/>
      <c r="EUS1" s="266"/>
      <c r="EUT1" s="266"/>
      <c r="EUU1" s="266"/>
      <c r="EUV1" s="266"/>
      <c r="EUW1" s="266"/>
      <c r="EUX1" s="266"/>
      <c r="EUY1" s="266"/>
      <c r="EUZ1" s="266"/>
      <c r="EVA1" s="266"/>
      <c r="EVB1" s="266"/>
      <c r="EVC1" s="266"/>
      <c r="EVD1" s="266"/>
      <c r="EVE1" s="266"/>
      <c r="EVF1" s="266"/>
      <c r="EVG1" s="266"/>
      <c r="EVH1" s="266"/>
      <c r="EVI1" s="266"/>
      <c r="EVJ1" s="266"/>
      <c r="EVK1" s="266"/>
      <c r="EVL1" s="266"/>
      <c r="EVM1" s="266"/>
      <c r="EVN1" s="266"/>
      <c r="EVO1" s="266"/>
      <c r="EVP1" s="266"/>
      <c r="EVQ1" s="266"/>
      <c r="EVR1" s="266"/>
      <c r="EVS1" s="266"/>
      <c r="EVT1" s="266"/>
      <c r="EVU1" s="266"/>
      <c r="EVV1" s="266"/>
      <c r="EVW1" s="266"/>
      <c r="EVX1" s="266"/>
      <c r="EVY1" s="266"/>
      <c r="EVZ1" s="266"/>
      <c r="EWA1" s="266"/>
      <c r="EWB1" s="266"/>
      <c r="EWC1" s="266"/>
      <c r="EWD1" s="266"/>
      <c r="EWE1" s="266"/>
      <c r="EWF1" s="266"/>
      <c r="EWG1" s="266"/>
      <c r="EWH1" s="266"/>
      <c r="EWI1" s="266"/>
      <c r="EWJ1" s="266"/>
      <c r="EWK1" s="266"/>
      <c r="EWL1" s="266"/>
      <c r="EWM1" s="266"/>
      <c r="EWN1" s="266"/>
      <c r="EWO1" s="266"/>
      <c r="EWP1" s="266"/>
      <c r="EWQ1" s="266"/>
      <c r="EWR1" s="266"/>
      <c r="EWS1" s="266"/>
      <c r="EWT1" s="266"/>
      <c r="EWU1" s="266"/>
      <c r="EWV1" s="266"/>
      <c r="EWW1" s="266"/>
      <c r="EWX1" s="266"/>
      <c r="EWY1" s="266"/>
      <c r="EWZ1" s="266"/>
      <c r="EXA1" s="266"/>
      <c r="EXB1" s="266"/>
      <c r="EXC1" s="266"/>
      <c r="EXD1" s="266"/>
      <c r="EXE1" s="266"/>
      <c r="EXF1" s="266"/>
      <c r="EXG1" s="266"/>
      <c r="EXH1" s="266"/>
      <c r="EXI1" s="266"/>
      <c r="EXJ1" s="266"/>
      <c r="EXK1" s="266"/>
      <c r="EXL1" s="266"/>
      <c r="EXM1" s="266"/>
      <c r="EXN1" s="266"/>
      <c r="EXO1" s="266"/>
      <c r="EXP1" s="266"/>
      <c r="EXQ1" s="266"/>
      <c r="EXR1" s="266"/>
      <c r="EXS1" s="266"/>
      <c r="EXT1" s="266"/>
      <c r="EXU1" s="266"/>
      <c r="EXV1" s="266"/>
      <c r="EXW1" s="266"/>
      <c r="EXX1" s="266"/>
      <c r="EXY1" s="266"/>
      <c r="EXZ1" s="266"/>
      <c r="EYA1" s="266"/>
      <c r="EYB1" s="266"/>
      <c r="EYC1" s="266"/>
      <c r="EYD1" s="266"/>
      <c r="EYE1" s="266"/>
      <c r="EYF1" s="266"/>
      <c r="EYG1" s="266"/>
      <c r="EYH1" s="266"/>
      <c r="EYI1" s="266"/>
      <c r="EYJ1" s="266"/>
      <c r="EYK1" s="266"/>
      <c r="EYL1" s="266"/>
      <c r="EYM1" s="266"/>
      <c r="EYN1" s="266"/>
      <c r="EYO1" s="266"/>
      <c r="EYP1" s="266"/>
      <c r="EYQ1" s="266"/>
      <c r="EYR1" s="266"/>
      <c r="EYS1" s="266"/>
      <c r="EYT1" s="266"/>
      <c r="EYU1" s="266"/>
      <c r="EYV1" s="266"/>
      <c r="EYW1" s="266"/>
      <c r="EYX1" s="266"/>
      <c r="EYY1" s="266"/>
      <c r="EYZ1" s="266"/>
      <c r="EZA1" s="266"/>
      <c r="EZB1" s="266"/>
      <c r="EZC1" s="266"/>
      <c r="EZD1" s="266"/>
      <c r="EZE1" s="266"/>
      <c r="EZF1" s="266"/>
      <c r="EZG1" s="266"/>
      <c r="EZH1" s="266"/>
      <c r="EZI1" s="266"/>
      <c r="EZJ1" s="266"/>
      <c r="EZK1" s="266"/>
      <c r="EZL1" s="266"/>
      <c r="EZM1" s="266"/>
      <c r="EZN1" s="266"/>
      <c r="EZO1" s="266"/>
      <c r="EZP1" s="266"/>
      <c r="EZQ1" s="266"/>
      <c r="EZR1" s="266"/>
      <c r="EZS1" s="266"/>
      <c r="EZT1" s="266"/>
      <c r="EZU1" s="266"/>
      <c r="EZV1" s="266"/>
      <c r="EZW1" s="266"/>
      <c r="EZX1" s="266"/>
      <c r="EZY1" s="266"/>
      <c r="EZZ1" s="266"/>
      <c r="FAA1" s="266"/>
      <c r="FAB1" s="266"/>
      <c r="FAC1" s="266"/>
      <c r="FAD1" s="266"/>
      <c r="FAE1" s="266"/>
      <c r="FAF1" s="266"/>
      <c r="FAG1" s="266"/>
      <c r="FAH1" s="266"/>
      <c r="FAI1" s="266"/>
      <c r="FAJ1" s="266"/>
      <c r="FAK1" s="266"/>
      <c r="FAL1" s="266"/>
      <c r="FAM1" s="266"/>
      <c r="FAN1" s="266"/>
      <c r="FAO1" s="266"/>
      <c r="FAP1" s="266"/>
      <c r="FAQ1" s="266"/>
      <c r="FAR1" s="266"/>
      <c r="FAS1" s="266"/>
      <c r="FAT1" s="266"/>
      <c r="FAU1" s="266"/>
      <c r="FAV1" s="266"/>
      <c r="FAW1" s="266"/>
      <c r="FAX1" s="266"/>
      <c r="FAY1" s="266"/>
      <c r="FAZ1" s="266"/>
      <c r="FBA1" s="266"/>
      <c r="FBB1" s="266"/>
      <c r="FBC1" s="266"/>
      <c r="FBD1" s="266"/>
      <c r="FBE1" s="266"/>
      <c r="FBF1" s="266"/>
      <c r="FBG1" s="266"/>
      <c r="FBH1" s="266"/>
      <c r="FBI1" s="266"/>
      <c r="FBJ1" s="266"/>
      <c r="FBK1" s="266"/>
      <c r="FBL1" s="266"/>
      <c r="FBM1" s="266"/>
      <c r="FBN1" s="266"/>
      <c r="FBO1" s="266"/>
      <c r="FBP1" s="266"/>
      <c r="FBQ1" s="266"/>
      <c r="FBR1" s="266"/>
      <c r="FBS1" s="266"/>
      <c r="FBT1" s="266"/>
      <c r="FBU1" s="266"/>
      <c r="FBV1" s="266"/>
      <c r="FBW1" s="266"/>
      <c r="FBX1" s="266"/>
      <c r="FBY1" s="266"/>
      <c r="FBZ1" s="266"/>
      <c r="FCA1" s="266"/>
      <c r="FCB1" s="266"/>
      <c r="FCC1" s="266"/>
      <c r="FCD1" s="266"/>
      <c r="FCE1" s="266"/>
      <c r="FCF1" s="266"/>
      <c r="FCG1" s="266"/>
      <c r="FCH1" s="266"/>
      <c r="FCI1" s="266"/>
      <c r="FCJ1" s="266"/>
      <c r="FCK1" s="266"/>
      <c r="FCL1" s="266"/>
      <c r="FCM1" s="266"/>
      <c r="FCN1" s="266"/>
      <c r="FCO1" s="266"/>
      <c r="FCP1" s="266"/>
      <c r="FCQ1" s="266"/>
      <c r="FCR1" s="266"/>
      <c r="FCS1" s="266"/>
      <c r="FCT1" s="266"/>
      <c r="FCU1" s="266"/>
      <c r="FCV1" s="266"/>
      <c r="FCW1" s="266"/>
      <c r="FCX1" s="266"/>
      <c r="FCY1" s="266"/>
      <c r="FCZ1" s="266"/>
      <c r="FDA1" s="266"/>
      <c r="FDB1" s="266"/>
      <c r="FDC1" s="266"/>
      <c r="FDD1" s="266"/>
      <c r="FDE1" s="266"/>
      <c r="FDF1" s="266"/>
      <c r="FDG1" s="266"/>
      <c r="FDH1" s="266"/>
      <c r="FDI1" s="266"/>
      <c r="FDJ1" s="266"/>
      <c r="FDK1" s="266"/>
      <c r="FDL1" s="266"/>
      <c r="FDM1" s="266"/>
      <c r="FDN1" s="266"/>
      <c r="FDO1" s="266"/>
      <c r="FDP1" s="266"/>
      <c r="FDQ1" s="266"/>
      <c r="FDR1" s="266"/>
      <c r="FDS1" s="266"/>
      <c r="FDT1" s="266"/>
      <c r="FDU1" s="266"/>
      <c r="FDV1" s="266"/>
      <c r="FDW1" s="266"/>
      <c r="FDX1" s="266"/>
      <c r="FDY1" s="266"/>
      <c r="FDZ1" s="266"/>
      <c r="FEA1" s="266"/>
      <c r="FEB1" s="266"/>
      <c r="FEC1" s="266"/>
      <c r="FED1" s="266"/>
      <c r="FEE1" s="266"/>
      <c r="FEF1" s="266"/>
      <c r="FEG1" s="266"/>
      <c r="FEH1" s="266"/>
      <c r="FEI1" s="266"/>
      <c r="FEJ1" s="266"/>
      <c r="FEK1" s="266"/>
      <c r="FEL1" s="266"/>
      <c r="FEM1" s="266"/>
      <c r="FEN1" s="266"/>
      <c r="FEO1" s="266"/>
      <c r="FEP1" s="266"/>
      <c r="FEQ1" s="266"/>
      <c r="FER1" s="266"/>
      <c r="FES1" s="266"/>
      <c r="FET1" s="266"/>
      <c r="FEU1" s="266"/>
      <c r="FEV1" s="266"/>
      <c r="FEW1" s="266"/>
      <c r="FEX1" s="266"/>
      <c r="FEY1" s="266"/>
      <c r="FEZ1" s="266"/>
      <c r="FFA1" s="266"/>
      <c r="FFB1" s="266"/>
      <c r="FFC1" s="266"/>
      <c r="FFD1" s="266"/>
      <c r="FFE1" s="266"/>
      <c r="FFF1" s="266"/>
      <c r="FFG1" s="266"/>
      <c r="FFH1" s="266"/>
      <c r="FFI1" s="266"/>
      <c r="FFJ1" s="266"/>
      <c r="FFK1" s="266"/>
      <c r="FFL1" s="266"/>
      <c r="FFM1" s="266"/>
      <c r="FFN1" s="266"/>
      <c r="FFO1" s="266"/>
      <c r="FFP1" s="266"/>
      <c r="FFQ1" s="266"/>
      <c r="FFR1" s="266"/>
      <c r="FFS1" s="266"/>
      <c r="FFT1" s="266"/>
      <c r="FFU1" s="266"/>
      <c r="FFV1" s="266"/>
      <c r="FFW1" s="266"/>
      <c r="FFX1" s="266"/>
      <c r="FFY1" s="266"/>
      <c r="FFZ1" s="266"/>
      <c r="FGA1" s="266"/>
      <c r="FGB1" s="266"/>
      <c r="FGC1" s="266"/>
      <c r="FGD1" s="266"/>
      <c r="FGE1" s="266"/>
      <c r="FGF1" s="266"/>
      <c r="FGG1" s="266"/>
      <c r="FGH1" s="266"/>
      <c r="FGI1" s="266"/>
      <c r="FGJ1" s="266"/>
      <c r="FGK1" s="266"/>
      <c r="FGL1" s="266"/>
      <c r="FGM1" s="266"/>
      <c r="FGN1" s="266"/>
      <c r="FGO1" s="266"/>
      <c r="FGP1" s="266"/>
      <c r="FGQ1" s="266"/>
      <c r="FGR1" s="266"/>
      <c r="FGS1" s="266"/>
      <c r="FGT1" s="266"/>
      <c r="FGU1" s="266"/>
      <c r="FGV1" s="266"/>
      <c r="FGW1" s="266"/>
      <c r="FGX1" s="266"/>
      <c r="FGY1" s="266"/>
      <c r="FGZ1" s="266"/>
      <c r="FHA1" s="266"/>
      <c r="FHB1" s="266"/>
      <c r="FHC1" s="266"/>
      <c r="FHD1" s="266"/>
      <c r="FHE1" s="266"/>
      <c r="FHF1" s="266"/>
      <c r="FHG1" s="266"/>
      <c r="FHH1" s="266"/>
      <c r="FHI1" s="266"/>
      <c r="FHJ1" s="266"/>
      <c r="FHK1" s="266"/>
      <c r="FHL1" s="266"/>
      <c r="FHM1" s="266"/>
      <c r="FHN1" s="266"/>
      <c r="FHO1" s="266"/>
      <c r="FHP1" s="266"/>
      <c r="FHQ1" s="266"/>
      <c r="FHR1" s="266"/>
      <c r="FHS1" s="266"/>
      <c r="FHT1" s="266"/>
      <c r="FHU1" s="266"/>
      <c r="FHV1" s="266"/>
      <c r="FHW1" s="266"/>
      <c r="FHX1" s="266"/>
      <c r="FHY1" s="266"/>
      <c r="FHZ1" s="266"/>
      <c r="FIA1" s="266"/>
      <c r="FIB1" s="266"/>
      <c r="FIC1" s="266"/>
      <c r="FID1" s="266"/>
      <c r="FIE1" s="266"/>
      <c r="FIF1" s="266"/>
      <c r="FIG1" s="266"/>
      <c r="FIH1" s="266"/>
      <c r="FII1" s="266"/>
      <c r="FIJ1" s="266"/>
      <c r="FIK1" s="266"/>
      <c r="FIL1" s="266"/>
      <c r="FIM1" s="266"/>
      <c r="FIN1" s="266"/>
      <c r="FIO1" s="266"/>
      <c r="FIP1" s="266"/>
      <c r="FIQ1" s="266"/>
      <c r="FIR1" s="266"/>
      <c r="FIS1" s="266"/>
      <c r="FIT1" s="266"/>
      <c r="FIU1" s="266"/>
      <c r="FIV1" s="266"/>
      <c r="FIW1" s="266"/>
      <c r="FIX1" s="266"/>
      <c r="FIY1" s="266"/>
      <c r="FIZ1" s="266"/>
      <c r="FJA1" s="266"/>
      <c r="FJB1" s="266"/>
      <c r="FJC1" s="266"/>
      <c r="FJD1" s="266"/>
      <c r="FJE1" s="266"/>
      <c r="FJF1" s="266"/>
      <c r="FJG1" s="266"/>
      <c r="FJH1" s="266"/>
      <c r="FJI1" s="266"/>
      <c r="FJJ1" s="266"/>
      <c r="FJK1" s="266"/>
      <c r="FJL1" s="266"/>
      <c r="FJM1" s="266"/>
      <c r="FJN1" s="266"/>
      <c r="FJO1" s="266"/>
      <c r="FJP1" s="266"/>
      <c r="FJQ1" s="266"/>
      <c r="FJR1" s="266"/>
      <c r="FJS1" s="266"/>
      <c r="FJT1" s="266"/>
      <c r="FJU1" s="266"/>
      <c r="FJV1" s="266"/>
      <c r="FJW1" s="266"/>
      <c r="FJX1" s="266"/>
      <c r="FJY1" s="266"/>
      <c r="FJZ1" s="266"/>
      <c r="FKA1" s="266"/>
      <c r="FKB1" s="266"/>
      <c r="FKC1" s="266"/>
      <c r="FKD1" s="266"/>
      <c r="FKE1" s="266"/>
      <c r="FKF1" s="266"/>
      <c r="FKG1" s="266"/>
      <c r="FKH1" s="266"/>
      <c r="FKI1" s="266"/>
      <c r="FKJ1" s="266"/>
      <c r="FKK1" s="266"/>
      <c r="FKL1" s="266"/>
      <c r="FKM1" s="266"/>
      <c r="FKN1" s="266"/>
      <c r="FKO1" s="266"/>
      <c r="FKP1" s="266"/>
      <c r="FKQ1" s="266"/>
      <c r="FKR1" s="266"/>
      <c r="FKS1" s="266"/>
      <c r="FKT1" s="266"/>
      <c r="FKU1" s="266"/>
      <c r="FKV1" s="266"/>
      <c r="FKW1" s="266"/>
      <c r="FKX1" s="266"/>
      <c r="FKY1" s="266"/>
      <c r="FKZ1" s="266"/>
      <c r="FLA1" s="266"/>
      <c r="FLB1" s="266"/>
      <c r="FLC1" s="266"/>
      <c r="FLD1" s="266"/>
      <c r="FLE1" s="266"/>
      <c r="FLF1" s="266"/>
      <c r="FLG1" s="266"/>
      <c r="FLH1" s="266"/>
      <c r="FLI1" s="266"/>
      <c r="FLJ1" s="266"/>
      <c r="FLK1" s="266"/>
      <c r="FLL1" s="266"/>
      <c r="FLM1" s="266"/>
      <c r="FLN1" s="266"/>
      <c r="FLO1" s="266"/>
      <c r="FLP1" s="266"/>
      <c r="FLQ1" s="266"/>
      <c r="FLR1" s="266"/>
      <c r="FLS1" s="266"/>
      <c r="FLT1" s="266"/>
      <c r="FLU1" s="266"/>
      <c r="FLV1" s="266"/>
      <c r="FLW1" s="266"/>
      <c r="FLX1" s="266"/>
      <c r="FLY1" s="266"/>
      <c r="FLZ1" s="266"/>
      <c r="FMA1" s="266"/>
      <c r="FMB1" s="266"/>
      <c r="FMC1" s="266"/>
      <c r="FMD1" s="266"/>
      <c r="FME1" s="266"/>
      <c r="FMF1" s="266"/>
      <c r="FMG1" s="266"/>
      <c r="FMH1" s="266"/>
      <c r="FMI1" s="266"/>
      <c r="FMJ1" s="266"/>
      <c r="FMK1" s="266"/>
      <c r="FML1" s="266"/>
      <c r="FMM1" s="266"/>
      <c r="FMN1" s="266"/>
      <c r="FMO1" s="266"/>
      <c r="FMP1" s="266"/>
      <c r="FMQ1" s="266"/>
      <c r="FMR1" s="266"/>
      <c r="FMS1" s="266"/>
      <c r="FMT1" s="266"/>
      <c r="FMU1" s="266"/>
      <c r="FMV1" s="266"/>
      <c r="FMW1" s="266"/>
      <c r="FMX1" s="266"/>
      <c r="FMY1" s="266"/>
      <c r="FMZ1" s="266"/>
      <c r="FNA1" s="266"/>
      <c r="FNB1" s="266"/>
      <c r="FNC1" s="266"/>
      <c r="FND1" s="266"/>
      <c r="FNE1" s="266"/>
      <c r="FNF1" s="266"/>
      <c r="FNG1" s="266"/>
      <c r="FNH1" s="266"/>
      <c r="FNI1" s="266"/>
      <c r="FNJ1" s="266"/>
      <c r="FNK1" s="266"/>
      <c r="FNL1" s="266"/>
      <c r="FNM1" s="266"/>
      <c r="FNN1" s="266"/>
      <c r="FNO1" s="266"/>
      <c r="FNP1" s="266"/>
      <c r="FNQ1" s="266"/>
      <c r="FNR1" s="266"/>
      <c r="FNS1" s="266"/>
      <c r="FNT1" s="266"/>
      <c r="FNU1" s="266"/>
      <c r="FNV1" s="266"/>
      <c r="FNW1" s="266"/>
      <c r="FNX1" s="266"/>
      <c r="FNY1" s="266"/>
      <c r="FNZ1" s="266"/>
      <c r="FOA1" s="266"/>
      <c r="FOB1" s="266"/>
      <c r="FOC1" s="266"/>
      <c r="FOD1" s="266"/>
      <c r="FOE1" s="266"/>
      <c r="FOF1" s="266"/>
      <c r="FOG1" s="266"/>
      <c r="FOH1" s="266"/>
      <c r="FOI1" s="266"/>
      <c r="FOJ1" s="266"/>
      <c r="FOK1" s="266"/>
      <c r="FOL1" s="266"/>
      <c r="FOM1" s="266"/>
      <c r="FON1" s="266"/>
      <c r="FOO1" s="266"/>
      <c r="FOP1" s="266"/>
      <c r="FOQ1" s="266"/>
      <c r="FOR1" s="266"/>
      <c r="FOS1" s="266"/>
      <c r="FOT1" s="266"/>
      <c r="FOU1" s="266"/>
      <c r="FOV1" s="266"/>
      <c r="FOW1" s="266"/>
      <c r="FOX1" s="266"/>
      <c r="FOY1" s="266"/>
      <c r="FOZ1" s="266"/>
      <c r="FPA1" s="266"/>
      <c r="FPB1" s="266"/>
      <c r="FPC1" s="266"/>
      <c r="FPD1" s="266"/>
      <c r="FPE1" s="266"/>
      <c r="FPF1" s="266"/>
      <c r="FPG1" s="266"/>
      <c r="FPH1" s="266"/>
      <c r="FPI1" s="266"/>
      <c r="FPJ1" s="266"/>
      <c r="FPK1" s="266"/>
      <c r="FPL1" s="266"/>
      <c r="FPM1" s="266"/>
      <c r="FPN1" s="266"/>
      <c r="FPO1" s="266"/>
      <c r="FPP1" s="266"/>
      <c r="FPQ1" s="266"/>
      <c r="FPR1" s="266"/>
      <c r="FPS1" s="266"/>
      <c r="FPT1" s="266"/>
      <c r="FPU1" s="266"/>
      <c r="FPV1" s="266"/>
      <c r="FPW1" s="266"/>
      <c r="FPX1" s="266"/>
      <c r="FPY1" s="266"/>
      <c r="FPZ1" s="266"/>
      <c r="FQA1" s="266"/>
      <c r="FQB1" s="266"/>
      <c r="FQC1" s="266"/>
      <c r="FQD1" s="266"/>
      <c r="FQE1" s="266"/>
      <c r="FQF1" s="266"/>
      <c r="FQG1" s="266"/>
      <c r="FQH1" s="266"/>
      <c r="FQI1" s="266"/>
      <c r="FQJ1" s="266"/>
      <c r="FQK1" s="266"/>
      <c r="FQL1" s="266"/>
      <c r="FQM1" s="266"/>
      <c r="FQN1" s="266"/>
      <c r="FQO1" s="266"/>
      <c r="FQP1" s="266"/>
      <c r="FQQ1" s="266"/>
      <c r="FQR1" s="266"/>
      <c r="FQS1" s="266"/>
      <c r="FQT1" s="266"/>
      <c r="FQU1" s="266"/>
      <c r="FQV1" s="266"/>
      <c r="FQW1" s="266"/>
      <c r="FQX1" s="266"/>
      <c r="FQY1" s="266"/>
      <c r="FQZ1" s="266"/>
      <c r="FRA1" s="266"/>
      <c r="FRB1" s="266"/>
      <c r="FRC1" s="266"/>
      <c r="FRD1" s="266"/>
      <c r="FRE1" s="266"/>
      <c r="FRF1" s="266"/>
      <c r="FRG1" s="266"/>
      <c r="FRH1" s="266"/>
      <c r="FRI1" s="266"/>
      <c r="FRJ1" s="266"/>
      <c r="FRK1" s="266"/>
      <c r="FRL1" s="266"/>
      <c r="FRM1" s="266"/>
      <c r="FRN1" s="266"/>
      <c r="FRO1" s="266"/>
      <c r="FRP1" s="266"/>
      <c r="FRQ1" s="266"/>
      <c r="FRR1" s="266"/>
      <c r="FRS1" s="266"/>
      <c r="FRT1" s="266"/>
      <c r="FRU1" s="266"/>
      <c r="FRV1" s="266"/>
      <c r="FRW1" s="266"/>
      <c r="FRX1" s="266"/>
      <c r="FRY1" s="266"/>
      <c r="FRZ1" s="266"/>
      <c r="FSA1" s="266"/>
      <c r="FSB1" s="266"/>
      <c r="FSC1" s="266"/>
      <c r="FSD1" s="266"/>
      <c r="FSE1" s="266"/>
      <c r="FSF1" s="266"/>
      <c r="FSG1" s="266"/>
      <c r="FSH1" s="266"/>
      <c r="FSI1" s="266"/>
      <c r="FSJ1" s="266"/>
      <c r="FSK1" s="266"/>
      <c r="FSL1" s="266"/>
      <c r="FSM1" s="266"/>
      <c r="FSN1" s="266"/>
      <c r="FSO1" s="266"/>
      <c r="FSP1" s="266"/>
      <c r="FSQ1" s="266"/>
      <c r="FSR1" s="266"/>
      <c r="FSS1" s="266"/>
      <c r="FST1" s="266"/>
      <c r="FSU1" s="266"/>
      <c r="FSV1" s="266"/>
      <c r="FSW1" s="266"/>
      <c r="FSX1" s="266"/>
      <c r="FSY1" s="266"/>
      <c r="FSZ1" s="266"/>
      <c r="FTA1" s="266"/>
      <c r="FTB1" s="266"/>
      <c r="FTC1" s="266"/>
      <c r="FTD1" s="266"/>
      <c r="FTE1" s="266"/>
      <c r="FTF1" s="266"/>
      <c r="FTG1" s="266"/>
      <c r="FTH1" s="266"/>
      <c r="FTI1" s="266"/>
      <c r="FTJ1" s="266"/>
      <c r="FTK1" s="266"/>
      <c r="FTL1" s="266"/>
      <c r="FTM1" s="266"/>
      <c r="FTN1" s="266"/>
      <c r="FTO1" s="266"/>
      <c r="FTP1" s="266"/>
      <c r="FTQ1" s="266"/>
      <c r="FTR1" s="266"/>
      <c r="FTS1" s="266"/>
      <c r="FTT1" s="266"/>
      <c r="FTU1" s="266"/>
      <c r="FTV1" s="266"/>
      <c r="FTW1" s="266"/>
      <c r="FTX1" s="266"/>
      <c r="FTY1" s="266"/>
      <c r="FTZ1" s="266"/>
      <c r="FUA1" s="266"/>
      <c r="FUB1" s="266"/>
      <c r="FUC1" s="266"/>
      <c r="FUD1" s="266"/>
      <c r="FUE1" s="266"/>
      <c r="FUF1" s="266"/>
      <c r="FUG1" s="266"/>
      <c r="FUH1" s="266"/>
      <c r="FUI1" s="266"/>
      <c r="FUJ1" s="266"/>
      <c r="FUK1" s="266"/>
      <c r="FUL1" s="266"/>
      <c r="FUM1" s="266"/>
      <c r="FUN1" s="266"/>
      <c r="FUO1" s="266"/>
      <c r="FUP1" s="266"/>
      <c r="FUQ1" s="266"/>
      <c r="FUR1" s="266"/>
      <c r="FUS1" s="266"/>
      <c r="FUT1" s="266"/>
      <c r="FUU1" s="266"/>
      <c r="FUV1" s="266"/>
      <c r="FUW1" s="266"/>
      <c r="FUX1" s="266"/>
      <c r="FUY1" s="266"/>
      <c r="FUZ1" s="266"/>
      <c r="FVA1" s="266"/>
      <c r="FVB1" s="266"/>
      <c r="FVC1" s="266"/>
      <c r="FVD1" s="266"/>
      <c r="FVE1" s="266"/>
      <c r="FVF1" s="266"/>
      <c r="FVG1" s="266"/>
      <c r="FVH1" s="266"/>
      <c r="FVI1" s="266"/>
      <c r="FVJ1" s="266"/>
      <c r="FVK1" s="266"/>
      <c r="FVL1" s="266"/>
      <c r="FVM1" s="266"/>
      <c r="FVN1" s="266"/>
      <c r="FVO1" s="266"/>
      <c r="FVP1" s="266"/>
      <c r="FVQ1" s="266"/>
      <c r="FVR1" s="266"/>
      <c r="FVS1" s="266"/>
      <c r="FVT1" s="266"/>
      <c r="FVU1" s="266"/>
      <c r="FVV1" s="266"/>
      <c r="FVW1" s="266"/>
      <c r="FVX1" s="266"/>
      <c r="FVY1" s="266"/>
      <c r="FVZ1" s="266"/>
      <c r="FWA1" s="266"/>
      <c r="FWB1" s="266"/>
      <c r="FWC1" s="266"/>
      <c r="FWD1" s="266"/>
      <c r="FWE1" s="266"/>
      <c r="FWF1" s="266"/>
      <c r="FWG1" s="266"/>
      <c r="FWH1" s="266"/>
      <c r="FWI1" s="266"/>
      <c r="FWJ1" s="266"/>
      <c r="FWK1" s="266"/>
      <c r="FWL1" s="266"/>
      <c r="FWM1" s="266"/>
      <c r="FWN1" s="266"/>
      <c r="FWO1" s="266"/>
      <c r="FWP1" s="266"/>
      <c r="FWQ1" s="266"/>
      <c r="FWR1" s="266"/>
      <c r="FWS1" s="266"/>
      <c r="FWT1" s="266"/>
      <c r="FWU1" s="266"/>
      <c r="FWV1" s="266"/>
      <c r="FWW1" s="266"/>
      <c r="FWX1" s="266"/>
      <c r="FWY1" s="266"/>
      <c r="FWZ1" s="266"/>
      <c r="FXA1" s="266"/>
      <c r="FXB1" s="266"/>
      <c r="FXC1" s="266"/>
      <c r="FXD1" s="266"/>
      <c r="FXE1" s="266"/>
      <c r="FXF1" s="266"/>
      <c r="FXG1" s="266"/>
      <c r="FXH1" s="266"/>
      <c r="FXI1" s="266"/>
      <c r="FXJ1" s="266"/>
      <c r="FXK1" s="266"/>
      <c r="FXL1" s="266"/>
      <c r="FXM1" s="266"/>
      <c r="FXN1" s="266"/>
      <c r="FXO1" s="266"/>
      <c r="FXP1" s="266"/>
      <c r="FXQ1" s="266"/>
      <c r="FXR1" s="266"/>
      <c r="FXS1" s="266"/>
      <c r="FXT1" s="266"/>
      <c r="FXU1" s="266"/>
      <c r="FXV1" s="266"/>
      <c r="FXW1" s="266"/>
      <c r="FXX1" s="266"/>
      <c r="FXY1" s="266"/>
      <c r="FXZ1" s="266"/>
      <c r="FYA1" s="266"/>
      <c r="FYB1" s="266"/>
      <c r="FYC1" s="266"/>
      <c r="FYD1" s="266"/>
      <c r="FYE1" s="266"/>
      <c r="FYF1" s="266"/>
      <c r="FYG1" s="266"/>
      <c r="FYH1" s="266"/>
      <c r="FYI1" s="266"/>
      <c r="FYJ1" s="266"/>
      <c r="FYK1" s="266"/>
      <c r="FYL1" s="266"/>
      <c r="FYM1" s="266"/>
      <c r="FYN1" s="266"/>
      <c r="FYO1" s="266"/>
      <c r="FYP1" s="266"/>
      <c r="FYQ1" s="266"/>
      <c r="FYR1" s="266"/>
      <c r="FYS1" s="266"/>
      <c r="FYT1" s="266"/>
      <c r="FYU1" s="266"/>
      <c r="FYV1" s="266"/>
      <c r="FYW1" s="266"/>
      <c r="FYX1" s="266"/>
      <c r="FYY1" s="266"/>
      <c r="FYZ1" s="266"/>
      <c r="FZA1" s="266"/>
      <c r="FZB1" s="266"/>
      <c r="FZC1" s="266"/>
      <c r="FZD1" s="266"/>
      <c r="FZE1" s="266"/>
      <c r="FZF1" s="266"/>
      <c r="FZG1" s="266"/>
      <c r="FZH1" s="266"/>
      <c r="FZI1" s="266"/>
      <c r="FZJ1" s="266"/>
      <c r="FZK1" s="266"/>
      <c r="FZL1" s="266"/>
      <c r="FZM1" s="266"/>
      <c r="FZN1" s="266"/>
      <c r="FZO1" s="266"/>
      <c r="FZP1" s="266"/>
      <c r="FZQ1" s="266"/>
      <c r="FZR1" s="266"/>
      <c r="FZS1" s="266"/>
      <c r="FZT1" s="266"/>
      <c r="FZU1" s="266"/>
      <c r="FZV1" s="266"/>
      <c r="FZW1" s="266"/>
      <c r="FZX1" s="266"/>
      <c r="FZY1" s="266"/>
      <c r="FZZ1" s="266"/>
      <c r="GAA1" s="266"/>
      <c r="GAB1" s="266"/>
      <c r="GAC1" s="266"/>
      <c r="GAD1" s="266"/>
      <c r="GAE1" s="266"/>
      <c r="GAF1" s="266"/>
      <c r="GAG1" s="266"/>
      <c r="GAH1" s="266"/>
      <c r="GAI1" s="266"/>
      <c r="GAJ1" s="266"/>
      <c r="GAK1" s="266"/>
      <c r="GAL1" s="266"/>
      <c r="GAM1" s="266"/>
      <c r="GAN1" s="266"/>
      <c r="GAO1" s="266"/>
      <c r="GAP1" s="266"/>
      <c r="GAQ1" s="266"/>
      <c r="GAR1" s="266"/>
      <c r="GAS1" s="266"/>
      <c r="GAT1" s="266"/>
      <c r="GAU1" s="266"/>
      <c r="GAV1" s="266"/>
      <c r="GAW1" s="266"/>
      <c r="GAX1" s="266"/>
      <c r="GAY1" s="266"/>
      <c r="GAZ1" s="266"/>
      <c r="GBA1" s="266"/>
      <c r="GBB1" s="266"/>
      <c r="GBC1" s="266"/>
      <c r="GBD1" s="266"/>
      <c r="GBE1" s="266"/>
      <c r="GBF1" s="266"/>
      <c r="GBG1" s="266"/>
      <c r="GBH1" s="266"/>
      <c r="GBI1" s="266"/>
      <c r="GBJ1" s="266"/>
      <c r="GBK1" s="266"/>
      <c r="GBL1" s="266"/>
      <c r="GBM1" s="266"/>
      <c r="GBN1" s="266"/>
      <c r="GBO1" s="266"/>
      <c r="GBP1" s="266"/>
      <c r="GBQ1" s="266"/>
      <c r="GBR1" s="266"/>
      <c r="GBS1" s="266"/>
      <c r="GBT1" s="266"/>
      <c r="GBU1" s="266"/>
      <c r="GBV1" s="266"/>
      <c r="GBW1" s="266"/>
      <c r="GBX1" s="266"/>
      <c r="GBY1" s="266"/>
      <c r="GBZ1" s="266"/>
      <c r="GCA1" s="266"/>
      <c r="GCB1" s="266"/>
      <c r="GCC1" s="266"/>
      <c r="GCD1" s="266"/>
      <c r="GCE1" s="266"/>
      <c r="GCF1" s="266"/>
      <c r="GCG1" s="266"/>
      <c r="GCH1" s="266"/>
      <c r="GCI1" s="266"/>
      <c r="GCJ1" s="266"/>
      <c r="GCK1" s="266"/>
      <c r="GCL1" s="266"/>
      <c r="GCM1" s="266"/>
      <c r="GCN1" s="266"/>
      <c r="GCO1" s="266"/>
      <c r="GCP1" s="266"/>
      <c r="GCQ1" s="266"/>
      <c r="GCR1" s="266"/>
      <c r="GCS1" s="266"/>
      <c r="GCT1" s="266"/>
      <c r="GCU1" s="266"/>
      <c r="GCV1" s="266"/>
      <c r="GCW1" s="266"/>
      <c r="GCX1" s="266"/>
      <c r="GCY1" s="266"/>
      <c r="GCZ1" s="266"/>
      <c r="GDA1" s="266"/>
      <c r="GDB1" s="266"/>
      <c r="GDC1" s="266"/>
      <c r="GDD1" s="266"/>
      <c r="GDE1" s="266"/>
      <c r="GDF1" s="266"/>
      <c r="GDG1" s="266"/>
      <c r="GDH1" s="266"/>
      <c r="GDI1" s="266"/>
      <c r="GDJ1" s="266"/>
      <c r="GDK1" s="266"/>
      <c r="GDL1" s="266"/>
      <c r="GDM1" s="266"/>
      <c r="GDN1" s="266"/>
      <c r="GDO1" s="266"/>
      <c r="GDP1" s="266"/>
      <c r="GDQ1" s="266"/>
      <c r="GDR1" s="266"/>
      <c r="GDS1" s="266"/>
      <c r="GDT1" s="266"/>
      <c r="GDU1" s="266"/>
      <c r="GDV1" s="266"/>
      <c r="GDW1" s="266"/>
      <c r="GDX1" s="266"/>
      <c r="GDY1" s="266"/>
      <c r="GDZ1" s="266"/>
      <c r="GEA1" s="266"/>
      <c r="GEB1" s="266"/>
      <c r="GEC1" s="266"/>
      <c r="GED1" s="266"/>
      <c r="GEE1" s="266"/>
      <c r="GEF1" s="266"/>
      <c r="GEG1" s="266"/>
      <c r="GEH1" s="266"/>
      <c r="GEI1" s="266"/>
      <c r="GEJ1" s="266"/>
      <c r="GEK1" s="266"/>
      <c r="GEL1" s="266"/>
      <c r="GEM1" s="266"/>
      <c r="GEN1" s="266"/>
      <c r="GEO1" s="266"/>
      <c r="GEP1" s="266"/>
      <c r="GEQ1" s="266"/>
      <c r="GER1" s="266"/>
      <c r="GES1" s="266"/>
      <c r="GET1" s="266"/>
      <c r="GEU1" s="266"/>
      <c r="GEV1" s="266"/>
      <c r="GEW1" s="266"/>
      <c r="GEX1" s="266"/>
      <c r="GEY1" s="266"/>
      <c r="GEZ1" s="266"/>
      <c r="GFA1" s="266"/>
      <c r="GFB1" s="266"/>
      <c r="GFC1" s="266"/>
      <c r="GFD1" s="266"/>
      <c r="GFE1" s="266"/>
      <c r="GFF1" s="266"/>
      <c r="GFG1" s="266"/>
      <c r="GFH1" s="266"/>
      <c r="GFI1" s="266"/>
      <c r="GFJ1" s="266"/>
      <c r="GFK1" s="266"/>
      <c r="GFL1" s="266"/>
      <c r="GFM1" s="266"/>
      <c r="GFN1" s="266"/>
      <c r="GFO1" s="266"/>
      <c r="GFP1" s="266"/>
      <c r="GFQ1" s="266"/>
      <c r="GFR1" s="266"/>
      <c r="GFS1" s="266"/>
      <c r="GFT1" s="266"/>
      <c r="GFU1" s="266"/>
      <c r="GFV1" s="266"/>
      <c r="GFW1" s="266"/>
      <c r="GFX1" s="266"/>
      <c r="GFY1" s="266"/>
      <c r="GFZ1" s="266"/>
      <c r="GGA1" s="266"/>
      <c r="GGB1" s="266"/>
      <c r="GGC1" s="266"/>
      <c r="GGD1" s="266"/>
      <c r="GGE1" s="266"/>
      <c r="GGF1" s="266"/>
      <c r="GGG1" s="266"/>
      <c r="GGH1" s="266"/>
      <c r="GGI1" s="266"/>
      <c r="GGJ1" s="266"/>
      <c r="GGK1" s="266"/>
      <c r="GGL1" s="266"/>
      <c r="GGM1" s="266"/>
      <c r="GGN1" s="266"/>
      <c r="GGO1" s="266"/>
      <c r="GGP1" s="266"/>
      <c r="GGQ1" s="266"/>
      <c r="GGR1" s="266"/>
      <c r="GGS1" s="266"/>
      <c r="GGT1" s="266"/>
      <c r="GGU1" s="266"/>
      <c r="GGV1" s="266"/>
      <c r="GGW1" s="266"/>
      <c r="GGX1" s="266"/>
      <c r="GGY1" s="266"/>
      <c r="GGZ1" s="266"/>
      <c r="GHA1" s="266"/>
      <c r="GHB1" s="266"/>
      <c r="GHC1" s="266"/>
      <c r="GHD1" s="266"/>
      <c r="GHE1" s="266"/>
      <c r="GHF1" s="266"/>
      <c r="GHG1" s="266"/>
      <c r="GHH1" s="266"/>
      <c r="GHI1" s="266"/>
      <c r="GHJ1" s="266"/>
      <c r="GHK1" s="266"/>
      <c r="GHL1" s="266"/>
      <c r="GHM1" s="266"/>
      <c r="GHN1" s="266"/>
      <c r="GHO1" s="266"/>
      <c r="GHP1" s="266"/>
      <c r="GHQ1" s="266"/>
      <c r="GHR1" s="266"/>
      <c r="GHS1" s="266"/>
      <c r="GHT1" s="266"/>
      <c r="GHU1" s="266"/>
      <c r="GHV1" s="266"/>
      <c r="GHW1" s="266"/>
      <c r="GHX1" s="266"/>
      <c r="GHY1" s="266"/>
      <c r="GHZ1" s="266"/>
      <c r="GIA1" s="266"/>
      <c r="GIB1" s="266"/>
      <c r="GIC1" s="266"/>
      <c r="GID1" s="266"/>
      <c r="GIE1" s="266"/>
      <c r="GIF1" s="266"/>
      <c r="GIG1" s="266"/>
      <c r="GIH1" s="266"/>
      <c r="GII1" s="266"/>
      <c r="GIJ1" s="266"/>
      <c r="GIK1" s="266"/>
      <c r="GIL1" s="266"/>
      <c r="GIM1" s="266"/>
      <c r="GIN1" s="266"/>
      <c r="GIO1" s="266"/>
      <c r="GIP1" s="266"/>
      <c r="GIQ1" s="266"/>
      <c r="GIR1" s="266"/>
      <c r="GIS1" s="266"/>
      <c r="GIT1" s="266"/>
      <c r="GIU1" s="266"/>
      <c r="GIV1" s="266"/>
      <c r="GIW1" s="266"/>
      <c r="GIX1" s="266"/>
      <c r="GIY1" s="266"/>
      <c r="GIZ1" s="266"/>
      <c r="GJA1" s="266"/>
      <c r="GJB1" s="266"/>
      <c r="GJC1" s="266"/>
      <c r="GJD1" s="266"/>
      <c r="GJE1" s="266"/>
      <c r="GJF1" s="266"/>
      <c r="GJG1" s="266"/>
      <c r="GJH1" s="266"/>
      <c r="GJI1" s="266"/>
      <c r="GJJ1" s="266"/>
      <c r="GJK1" s="266"/>
      <c r="GJL1" s="266"/>
      <c r="GJM1" s="266"/>
      <c r="GJN1" s="266"/>
      <c r="GJO1" s="266"/>
      <c r="GJP1" s="266"/>
      <c r="GJQ1" s="266"/>
      <c r="GJR1" s="266"/>
      <c r="GJS1" s="266"/>
      <c r="GJT1" s="266"/>
      <c r="GJU1" s="266"/>
      <c r="GJV1" s="266"/>
      <c r="GJW1" s="266"/>
      <c r="GJX1" s="266"/>
      <c r="GJY1" s="266"/>
      <c r="GJZ1" s="266"/>
      <c r="GKA1" s="266"/>
      <c r="GKB1" s="266"/>
      <c r="GKC1" s="266"/>
      <c r="GKD1" s="266"/>
      <c r="GKE1" s="266"/>
      <c r="GKF1" s="266"/>
      <c r="GKG1" s="266"/>
      <c r="GKH1" s="266"/>
      <c r="GKI1" s="266"/>
      <c r="GKJ1" s="266"/>
      <c r="GKK1" s="266"/>
      <c r="GKL1" s="266"/>
      <c r="GKM1" s="266"/>
      <c r="GKN1" s="266"/>
      <c r="GKO1" s="266"/>
      <c r="GKP1" s="266"/>
      <c r="GKQ1" s="266"/>
      <c r="GKR1" s="266"/>
      <c r="GKS1" s="266"/>
      <c r="GKT1" s="266"/>
      <c r="GKU1" s="266"/>
      <c r="GKV1" s="266"/>
      <c r="GKW1" s="266"/>
      <c r="GKX1" s="266"/>
      <c r="GKY1" s="266"/>
      <c r="GKZ1" s="266"/>
      <c r="GLA1" s="266"/>
      <c r="GLB1" s="266"/>
      <c r="GLC1" s="266"/>
      <c r="GLD1" s="266"/>
      <c r="GLE1" s="266"/>
      <c r="GLF1" s="266"/>
      <c r="GLG1" s="266"/>
      <c r="GLH1" s="266"/>
      <c r="GLI1" s="266"/>
      <c r="GLJ1" s="266"/>
      <c r="GLK1" s="266"/>
      <c r="GLL1" s="266"/>
      <c r="GLM1" s="266"/>
      <c r="GLN1" s="266"/>
      <c r="GLO1" s="266"/>
      <c r="GLP1" s="266"/>
      <c r="GLQ1" s="266"/>
      <c r="GLR1" s="266"/>
      <c r="GLS1" s="266"/>
      <c r="GLT1" s="266"/>
      <c r="GLU1" s="266"/>
      <c r="GLV1" s="266"/>
      <c r="GLW1" s="266"/>
      <c r="GLX1" s="266"/>
      <c r="GLY1" s="266"/>
      <c r="GLZ1" s="266"/>
      <c r="GMA1" s="266"/>
      <c r="GMB1" s="266"/>
      <c r="GMC1" s="266"/>
      <c r="GMD1" s="266"/>
      <c r="GME1" s="266"/>
      <c r="GMF1" s="266"/>
      <c r="GMG1" s="266"/>
      <c r="GMH1" s="266"/>
      <c r="GMI1" s="266"/>
      <c r="GMJ1" s="266"/>
      <c r="GMK1" s="266"/>
      <c r="GML1" s="266"/>
      <c r="GMM1" s="266"/>
      <c r="GMN1" s="266"/>
      <c r="GMO1" s="266"/>
      <c r="GMP1" s="266"/>
      <c r="GMQ1" s="266"/>
      <c r="GMR1" s="266"/>
      <c r="GMS1" s="266"/>
      <c r="GMT1" s="266"/>
      <c r="GMU1" s="266"/>
      <c r="GMV1" s="266"/>
      <c r="GMW1" s="266"/>
      <c r="GMX1" s="266"/>
      <c r="GMY1" s="266"/>
      <c r="GMZ1" s="266"/>
      <c r="GNA1" s="266"/>
      <c r="GNB1" s="266"/>
      <c r="GNC1" s="266"/>
      <c r="GND1" s="266"/>
      <c r="GNE1" s="266"/>
      <c r="GNF1" s="266"/>
      <c r="GNG1" s="266"/>
      <c r="GNH1" s="266"/>
      <c r="GNI1" s="266"/>
      <c r="GNJ1" s="266"/>
      <c r="GNK1" s="266"/>
      <c r="GNL1" s="266"/>
      <c r="GNM1" s="266"/>
      <c r="GNN1" s="266"/>
      <c r="GNO1" s="266"/>
      <c r="GNP1" s="266"/>
      <c r="GNQ1" s="266"/>
      <c r="GNR1" s="266"/>
      <c r="GNS1" s="266"/>
      <c r="GNT1" s="266"/>
      <c r="GNU1" s="266"/>
      <c r="GNV1" s="266"/>
      <c r="GNW1" s="266"/>
      <c r="GNX1" s="266"/>
      <c r="GNY1" s="266"/>
      <c r="GNZ1" s="266"/>
      <c r="GOA1" s="266"/>
      <c r="GOB1" s="266"/>
      <c r="GOC1" s="266"/>
      <c r="GOD1" s="266"/>
      <c r="GOE1" s="266"/>
      <c r="GOF1" s="266"/>
      <c r="GOG1" s="266"/>
      <c r="GOH1" s="266"/>
      <c r="GOI1" s="266"/>
      <c r="GOJ1" s="266"/>
      <c r="GOK1" s="266"/>
      <c r="GOL1" s="266"/>
      <c r="GOM1" s="266"/>
      <c r="GON1" s="266"/>
      <c r="GOO1" s="266"/>
      <c r="GOP1" s="266"/>
      <c r="GOQ1" s="266"/>
      <c r="GOR1" s="266"/>
      <c r="GOS1" s="266"/>
      <c r="GOT1" s="266"/>
      <c r="GOU1" s="266"/>
      <c r="GOV1" s="266"/>
      <c r="GOW1" s="266"/>
      <c r="GOX1" s="266"/>
      <c r="GOY1" s="266"/>
      <c r="GOZ1" s="266"/>
      <c r="GPA1" s="266"/>
      <c r="GPB1" s="266"/>
      <c r="GPC1" s="266"/>
      <c r="GPD1" s="266"/>
      <c r="GPE1" s="266"/>
      <c r="GPF1" s="266"/>
      <c r="GPG1" s="266"/>
      <c r="GPH1" s="266"/>
      <c r="GPI1" s="266"/>
      <c r="GPJ1" s="266"/>
      <c r="GPK1" s="266"/>
      <c r="GPL1" s="266"/>
      <c r="GPM1" s="266"/>
      <c r="GPN1" s="266"/>
      <c r="GPO1" s="266"/>
      <c r="GPP1" s="266"/>
      <c r="GPQ1" s="266"/>
      <c r="GPR1" s="266"/>
      <c r="GPS1" s="266"/>
      <c r="GPT1" s="266"/>
      <c r="GPU1" s="266"/>
      <c r="GPV1" s="266"/>
      <c r="GPW1" s="266"/>
      <c r="GPX1" s="266"/>
      <c r="GPY1" s="266"/>
      <c r="GPZ1" s="266"/>
      <c r="GQA1" s="266"/>
      <c r="GQB1" s="266"/>
      <c r="GQC1" s="266"/>
      <c r="GQD1" s="266"/>
      <c r="GQE1" s="266"/>
      <c r="GQF1" s="266"/>
      <c r="GQG1" s="266"/>
      <c r="GQH1" s="266"/>
      <c r="GQI1" s="266"/>
      <c r="GQJ1" s="266"/>
      <c r="GQK1" s="266"/>
      <c r="GQL1" s="266"/>
      <c r="GQM1" s="266"/>
      <c r="GQN1" s="266"/>
      <c r="GQO1" s="266"/>
      <c r="GQP1" s="266"/>
      <c r="GQQ1" s="266"/>
      <c r="GQR1" s="266"/>
      <c r="GQS1" s="266"/>
      <c r="GQT1" s="266"/>
      <c r="GQU1" s="266"/>
      <c r="GQV1" s="266"/>
      <c r="GQW1" s="266"/>
      <c r="GQX1" s="266"/>
      <c r="GQY1" s="266"/>
      <c r="GQZ1" s="266"/>
      <c r="GRA1" s="266"/>
      <c r="GRB1" s="266"/>
      <c r="GRC1" s="266"/>
      <c r="GRD1" s="266"/>
      <c r="GRE1" s="266"/>
      <c r="GRF1" s="266"/>
      <c r="GRG1" s="266"/>
      <c r="GRH1" s="266"/>
      <c r="GRI1" s="266"/>
      <c r="GRJ1" s="266"/>
      <c r="GRK1" s="266"/>
      <c r="GRL1" s="266"/>
      <c r="GRM1" s="266"/>
      <c r="GRN1" s="266"/>
      <c r="GRO1" s="266"/>
      <c r="GRP1" s="266"/>
      <c r="GRQ1" s="266"/>
      <c r="GRR1" s="266"/>
      <c r="GRS1" s="266"/>
      <c r="GRT1" s="266"/>
      <c r="GRU1" s="266"/>
      <c r="GRV1" s="266"/>
      <c r="GRW1" s="266"/>
      <c r="GRX1" s="266"/>
      <c r="GRY1" s="266"/>
      <c r="GRZ1" s="266"/>
      <c r="GSA1" s="266"/>
      <c r="GSB1" s="266"/>
      <c r="GSC1" s="266"/>
      <c r="GSD1" s="266"/>
      <c r="GSE1" s="266"/>
      <c r="GSF1" s="266"/>
      <c r="GSG1" s="266"/>
      <c r="GSH1" s="266"/>
      <c r="GSI1" s="266"/>
      <c r="GSJ1" s="266"/>
      <c r="GSK1" s="266"/>
      <c r="GSL1" s="266"/>
      <c r="GSM1" s="266"/>
      <c r="GSN1" s="266"/>
      <c r="GSO1" s="266"/>
      <c r="GSP1" s="266"/>
      <c r="GSQ1" s="266"/>
      <c r="GSR1" s="266"/>
      <c r="GSS1" s="266"/>
      <c r="GST1" s="266"/>
      <c r="GSU1" s="266"/>
      <c r="GSV1" s="266"/>
      <c r="GSW1" s="266"/>
      <c r="GSX1" s="266"/>
      <c r="GSY1" s="266"/>
      <c r="GSZ1" s="266"/>
      <c r="GTA1" s="266"/>
      <c r="GTB1" s="266"/>
      <c r="GTC1" s="266"/>
      <c r="GTD1" s="266"/>
      <c r="GTE1" s="266"/>
      <c r="GTF1" s="266"/>
      <c r="GTG1" s="266"/>
      <c r="GTH1" s="266"/>
      <c r="GTI1" s="266"/>
      <c r="GTJ1" s="266"/>
      <c r="GTK1" s="266"/>
      <c r="GTL1" s="266"/>
      <c r="GTM1" s="266"/>
      <c r="GTN1" s="266"/>
      <c r="GTO1" s="266"/>
      <c r="GTP1" s="266"/>
      <c r="GTQ1" s="266"/>
      <c r="GTR1" s="266"/>
      <c r="GTS1" s="266"/>
      <c r="GTT1" s="266"/>
      <c r="GTU1" s="266"/>
      <c r="GTV1" s="266"/>
      <c r="GTW1" s="266"/>
      <c r="GTX1" s="266"/>
      <c r="GTY1" s="266"/>
      <c r="GTZ1" s="266"/>
      <c r="GUA1" s="266"/>
      <c r="GUB1" s="266"/>
      <c r="GUC1" s="266"/>
      <c r="GUD1" s="266"/>
      <c r="GUE1" s="266"/>
      <c r="GUF1" s="266"/>
      <c r="GUG1" s="266"/>
      <c r="GUH1" s="266"/>
      <c r="GUI1" s="266"/>
      <c r="GUJ1" s="266"/>
      <c r="GUK1" s="266"/>
      <c r="GUL1" s="266"/>
      <c r="GUM1" s="266"/>
      <c r="GUN1" s="266"/>
      <c r="GUO1" s="266"/>
      <c r="GUP1" s="266"/>
      <c r="GUQ1" s="266"/>
      <c r="GUR1" s="266"/>
      <c r="GUS1" s="266"/>
      <c r="GUT1" s="266"/>
      <c r="GUU1" s="266"/>
      <c r="GUV1" s="266"/>
      <c r="GUW1" s="266"/>
      <c r="GUX1" s="266"/>
      <c r="GUY1" s="266"/>
      <c r="GUZ1" s="266"/>
      <c r="GVA1" s="266"/>
      <c r="GVB1" s="266"/>
      <c r="GVC1" s="266"/>
      <c r="GVD1" s="266"/>
      <c r="GVE1" s="266"/>
      <c r="GVF1" s="266"/>
      <c r="GVG1" s="266"/>
      <c r="GVH1" s="266"/>
      <c r="GVI1" s="266"/>
      <c r="GVJ1" s="266"/>
      <c r="GVK1" s="266"/>
      <c r="GVL1" s="266"/>
      <c r="GVM1" s="266"/>
      <c r="GVN1" s="266"/>
      <c r="GVO1" s="266"/>
      <c r="GVP1" s="266"/>
      <c r="GVQ1" s="266"/>
      <c r="GVR1" s="266"/>
      <c r="GVS1" s="266"/>
      <c r="GVT1" s="266"/>
      <c r="GVU1" s="266"/>
      <c r="GVV1" s="266"/>
      <c r="GVW1" s="266"/>
      <c r="GVX1" s="266"/>
      <c r="GVY1" s="266"/>
      <c r="GVZ1" s="266"/>
      <c r="GWA1" s="266"/>
      <c r="GWB1" s="266"/>
      <c r="GWC1" s="266"/>
      <c r="GWD1" s="266"/>
      <c r="GWE1" s="266"/>
      <c r="GWF1" s="266"/>
      <c r="GWG1" s="266"/>
      <c r="GWH1" s="266"/>
      <c r="GWI1" s="266"/>
      <c r="GWJ1" s="266"/>
      <c r="GWK1" s="266"/>
      <c r="GWL1" s="266"/>
      <c r="GWM1" s="266"/>
      <c r="GWN1" s="266"/>
      <c r="GWO1" s="266"/>
      <c r="GWP1" s="266"/>
      <c r="GWQ1" s="266"/>
      <c r="GWR1" s="266"/>
      <c r="GWS1" s="266"/>
      <c r="GWT1" s="266"/>
      <c r="GWU1" s="266"/>
      <c r="GWV1" s="266"/>
      <c r="GWW1" s="266"/>
      <c r="GWX1" s="266"/>
      <c r="GWY1" s="266"/>
      <c r="GWZ1" s="266"/>
      <c r="GXA1" s="266"/>
      <c r="GXB1" s="266"/>
      <c r="GXC1" s="266"/>
      <c r="GXD1" s="266"/>
      <c r="GXE1" s="266"/>
      <c r="GXF1" s="266"/>
      <c r="GXG1" s="266"/>
      <c r="GXH1" s="266"/>
      <c r="GXI1" s="266"/>
      <c r="GXJ1" s="266"/>
      <c r="GXK1" s="266"/>
      <c r="GXL1" s="266"/>
      <c r="GXM1" s="266"/>
      <c r="GXN1" s="266"/>
      <c r="GXO1" s="266"/>
      <c r="GXP1" s="266"/>
      <c r="GXQ1" s="266"/>
      <c r="GXR1" s="266"/>
      <c r="GXS1" s="266"/>
      <c r="GXT1" s="266"/>
      <c r="GXU1" s="266"/>
      <c r="GXV1" s="266"/>
      <c r="GXW1" s="266"/>
      <c r="GXX1" s="266"/>
      <c r="GXY1" s="266"/>
      <c r="GXZ1" s="266"/>
      <c r="GYA1" s="266"/>
      <c r="GYB1" s="266"/>
      <c r="GYC1" s="266"/>
      <c r="GYD1" s="266"/>
      <c r="GYE1" s="266"/>
      <c r="GYF1" s="266"/>
      <c r="GYG1" s="266"/>
      <c r="GYH1" s="266"/>
      <c r="GYI1" s="266"/>
      <c r="GYJ1" s="266"/>
      <c r="GYK1" s="266"/>
      <c r="GYL1" s="266"/>
      <c r="GYM1" s="266"/>
      <c r="GYN1" s="266"/>
      <c r="GYO1" s="266"/>
      <c r="GYP1" s="266"/>
      <c r="GYQ1" s="266"/>
      <c r="GYR1" s="266"/>
      <c r="GYS1" s="266"/>
      <c r="GYT1" s="266"/>
      <c r="GYU1" s="266"/>
      <c r="GYV1" s="266"/>
      <c r="GYW1" s="266"/>
      <c r="GYX1" s="266"/>
      <c r="GYY1" s="266"/>
      <c r="GYZ1" s="266"/>
      <c r="GZA1" s="266"/>
      <c r="GZB1" s="266"/>
      <c r="GZC1" s="266"/>
      <c r="GZD1" s="266"/>
      <c r="GZE1" s="266"/>
      <c r="GZF1" s="266"/>
      <c r="GZG1" s="266"/>
      <c r="GZH1" s="266"/>
      <c r="GZI1" s="266"/>
      <c r="GZJ1" s="266"/>
      <c r="GZK1" s="266"/>
      <c r="GZL1" s="266"/>
      <c r="GZM1" s="266"/>
      <c r="GZN1" s="266"/>
      <c r="GZO1" s="266"/>
      <c r="GZP1" s="266"/>
      <c r="GZQ1" s="266"/>
      <c r="GZR1" s="266"/>
      <c r="GZS1" s="266"/>
      <c r="GZT1" s="266"/>
      <c r="GZU1" s="266"/>
      <c r="GZV1" s="266"/>
      <c r="GZW1" s="266"/>
      <c r="GZX1" s="266"/>
      <c r="GZY1" s="266"/>
      <c r="GZZ1" s="266"/>
      <c r="HAA1" s="266"/>
      <c r="HAB1" s="266"/>
      <c r="HAC1" s="266"/>
      <c r="HAD1" s="266"/>
      <c r="HAE1" s="266"/>
      <c r="HAF1" s="266"/>
      <c r="HAG1" s="266"/>
      <c r="HAH1" s="266"/>
      <c r="HAI1" s="266"/>
      <c r="HAJ1" s="266"/>
      <c r="HAK1" s="266"/>
      <c r="HAL1" s="266"/>
      <c r="HAM1" s="266"/>
      <c r="HAN1" s="266"/>
      <c r="HAO1" s="266"/>
      <c r="HAP1" s="266"/>
      <c r="HAQ1" s="266"/>
      <c r="HAR1" s="266"/>
      <c r="HAS1" s="266"/>
      <c r="HAT1" s="266"/>
      <c r="HAU1" s="266"/>
      <c r="HAV1" s="266"/>
      <c r="HAW1" s="266"/>
      <c r="HAX1" s="266"/>
      <c r="HAY1" s="266"/>
      <c r="HAZ1" s="266"/>
      <c r="HBA1" s="266"/>
      <c r="HBB1" s="266"/>
      <c r="HBC1" s="266"/>
      <c r="HBD1" s="266"/>
      <c r="HBE1" s="266"/>
      <c r="HBF1" s="266"/>
      <c r="HBG1" s="266"/>
      <c r="HBH1" s="266"/>
      <c r="HBI1" s="266"/>
      <c r="HBJ1" s="266"/>
      <c r="HBK1" s="266"/>
      <c r="HBL1" s="266"/>
      <c r="HBM1" s="266"/>
      <c r="HBN1" s="266"/>
      <c r="HBO1" s="266"/>
      <c r="HBP1" s="266"/>
      <c r="HBQ1" s="266"/>
      <c r="HBR1" s="266"/>
      <c r="HBS1" s="266"/>
      <c r="HBT1" s="266"/>
      <c r="HBU1" s="266"/>
      <c r="HBV1" s="266"/>
      <c r="HBW1" s="266"/>
      <c r="HBX1" s="266"/>
      <c r="HBY1" s="266"/>
      <c r="HBZ1" s="266"/>
      <c r="HCA1" s="266"/>
      <c r="HCB1" s="266"/>
      <c r="HCC1" s="266"/>
      <c r="HCD1" s="266"/>
      <c r="HCE1" s="266"/>
      <c r="HCF1" s="266"/>
      <c r="HCG1" s="266"/>
      <c r="HCH1" s="266"/>
      <c r="HCI1" s="266"/>
      <c r="HCJ1" s="266"/>
      <c r="HCK1" s="266"/>
      <c r="HCL1" s="266"/>
      <c r="HCM1" s="266"/>
      <c r="HCN1" s="266"/>
      <c r="HCO1" s="266"/>
      <c r="HCP1" s="266"/>
      <c r="HCQ1" s="266"/>
      <c r="HCR1" s="266"/>
      <c r="HCS1" s="266"/>
      <c r="HCT1" s="266"/>
      <c r="HCU1" s="266"/>
      <c r="HCV1" s="266"/>
      <c r="HCW1" s="266"/>
      <c r="HCX1" s="266"/>
      <c r="HCY1" s="266"/>
      <c r="HCZ1" s="266"/>
      <c r="HDA1" s="266"/>
      <c r="HDB1" s="266"/>
      <c r="HDC1" s="266"/>
      <c r="HDD1" s="266"/>
      <c r="HDE1" s="266"/>
      <c r="HDF1" s="266"/>
      <c r="HDG1" s="266"/>
      <c r="HDH1" s="266"/>
      <c r="HDI1" s="266"/>
      <c r="HDJ1" s="266"/>
      <c r="HDK1" s="266"/>
      <c r="HDL1" s="266"/>
      <c r="HDM1" s="266"/>
      <c r="HDN1" s="266"/>
      <c r="HDO1" s="266"/>
      <c r="HDP1" s="266"/>
      <c r="HDQ1" s="266"/>
      <c r="HDR1" s="266"/>
      <c r="HDS1" s="266"/>
      <c r="HDT1" s="266"/>
      <c r="HDU1" s="266"/>
      <c r="HDV1" s="266"/>
      <c r="HDW1" s="266"/>
      <c r="HDX1" s="266"/>
      <c r="HDY1" s="266"/>
      <c r="HDZ1" s="266"/>
      <c r="HEA1" s="266"/>
      <c r="HEB1" s="266"/>
      <c r="HEC1" s="266"/>
      <c r="HED1" s="266"/>
      <c r="HEE1" s="266"/>
      <c r="HEF1" s="266"/>
      <c r="HEG1" s="266"/>
      <c r="HEH1" s="266"/>
      <c r="HEI1" s="266"/>
      <c r="HEJ1" s="266"/>
      <c r="HEK1" s="266"/>
      <c r="HEL1" s="266"/>
      <c r="HEM1" s="266"/>
      <c r="HEN1" s="266"/>
      <c r="HEO1" s="266"/>
      <c r="HEP1" s="266"/>
      <c r="HEQ1" s="266"/>
      <c r="HER1" s="266"/>
      <c r="HES1" s="266"/>
      <c r="HET1" s="266"/>
      <c r="HEU1" s="266"/>
      <c r="HEV1" s="266"/>
      <c r="HEW1" s="266"/>
      <c r="HEX1" s="266"/>
      <c r="HEY1" s="266"/>
      <c r="HEZ1" s="266"/>
      <c r="HFA1" s="266"/>
      <c r="HFB1" s="266"/>
      <c r="HFC1" s="266"/>
      <c r="HFD1" s="266"/>
      <c r="HFE1" s="266"/>
      <c r="HFF1" s="266"/>
      <c r="HFG1" s="266"/>
      <c r="HFH1" s="266"/>
      <c r="HFI1" s="266"/>
      <c r="HFJ1" s="266"/>
      <c r="HFK1" s="266"/>
      <c r="HFL1" s="266"/>
      <c r="HFM1" s="266"/>
      <c r="HFN1" s="266"/>
      <c r="HFO1" s="266"/>
      <c r="HFP1" s="266"/>
      <c r="HFQ1" s="266"/>
      <c r="HFR1" s="266"/>
      <c r="HFS1" s="266"/>
      <c r="HFT1" s="266"/>
      <c r="HFU1" s="266"/>
      <c r="HFV1" s="266"/>
      <c r="HFW1" s="266"/>
      <c r="HFX1" s="266"/>
      <c r="HFY1" s="266"/>
      <c r="HFZ1" s="266"/>
      <c r="HGA1" s="266"/>
      <c r="HGB1" s="266"/>
      <c r="HGC1" s="266"/>
      <c r="HGD1" s="266"/>
      <c r="HGE1" s="266"/>
      <c r="HGF1" s="266"/>
      <c r="HGG1" s="266"/>
      <c r="HGH1" s="266"/>
      <c r="HGI1" s="266"/>
      <c r="HGJ1" s="266"/>
      <c r="HGK1" s="266"/>
      <c r="HGL1" s="266"/>
      <c r="HGM1" s="266"/>
      <c r="HGN1" s="266"/>
      <c r="HGO1" s="266"/>
      <c r="HGP1" s="266"/>
      <c r="HGQ1" s="266"/>
      <c r="HGR1" s="266"/>
      <c r="HGS1" s="266"/>
      <c r="HGT1" s="266"/>
      <c r="HGU1" s="266"/>
      <c r="HGV1" s="266"/>
      <c r="HGW1" s="266"/>
      <c r="HGX1" s="266"/>
      <c r="HGY1" s="266"/>
      <c r="HGZ1" s="266"/>
      <c r="HHA1" s="266"/>
      <c r="HHB1" s="266"/>
      <c r="HHC1" s="266"/>
      <c r="HHD1" s="266"/>
      <c r="HHE1" s="266"/>
      <c r="HHF1" s="266"/>
      <c r="HHG1" s="266"/>
      <c r="HHH1" s="266"/>
      <c r="HHI1" s="266"/>
      <c r="HHJ1" s="266"/>
      <c r="HHK1" s="266"/>
      <c r="HHL1" s="266"/>
      <c r="HHM1" s="266"/>
      <c r="HHN1" s="266"/>
      <c r="HHO1" s="266"/>
      <c r="HHP1" s="266"/>
      <c r="HHQ1" s="266"/>
      <c r="HHR1" s="266"/>
      <c r="HHS1" s="266"/>
      <c r="HHT1" s="266"/>
      <c r="HHU1" s="266"/>
      <c r="HHV1" s="266"/>
      <c r="HHW1" s="266"/>
      <c r="HHX1" s="266"/>
      <c r="HHY1" s="266"/>
      <c r="HHZ1" s="266"/>
      <c r="HIA1" s="266"/>
      <c r="HIB1" s="266"/>
      <c r="HIC1" s="266"/>
      <c r="HID1" s="266"/>
      <c r="HIE1" s="266"/>
      <c r="HIF1" s="266"/>
      <c r="HIG1" s="266"/>
      <c r="HIH1" s="266"/>
      <c r="HII1" s="266"/>
      <c r="HIJ1" s="266"/>
      <c r="HIK1" s="266"/>
      <c r="HIL1" s="266"/>
      <c r="HIM1" s="266"/>
      <c r="HIN1" s="266"/>
      <c r="HIO1" s="266"/>
      <c r="HIP1" s="266"/>
      <c r="HIQ1" s="266"/>
      <c r="HIR1" s="266"/>
      <c r="HIS1" s="266"/>
      <c r="HIT1" s="266"/>
      <c r="HIU1" s="266"/>
      <c r="HIV1" s="266"/>
      <c r="HIW1" s="266"/>
      <c r="HIX1" s="266"/>
      <c r="HIY1" s="266"/>
      <c r="HIZ1" s="266"/>
      <c r="HJA1" s="266"/>
      <c r="HJB1" s="266"/>
      <c r="HJC1" s="266"/>
      <c r="HJD1" s="266"/>
      <c r="HJE1" s="266"/>
      <c r="HJF1" s="266"/>
      <c r="HJG1" s="266"/>
      <c r="HJH1" s="266"/>
      <c r="HJI1" s="266"/>
      <c r="HJJ1" s="266"/>
      <c r="HJK1" s="266"/>
      <c r="HJL1" s="266"/>
      <c r="HJM1" s="266"/>
      <c r="HJN1" s="266"/>
      <c r="HJO1" s="266"/>
      <c r="HJP1" s="266"/>
      <c r="HJQ1" s="266"/>
      <c r="HJR1" s="266"/>
      <c r="HJS1" s="266"/>
      <c r="HJT1" s="266"/>
      <c r="HJU1" s="266"/>
      <c r="HJV1" s="266"/>
      <c r="HJW1" s="266"/>
      <c r="HJX1" s="266"/>
      <c r="HJY1" s="266"/>
      <c r="HJZ1" s="266"/>
      <c r="HKA1" s="266"/>
      <c r="HKB1" s="266"/>
      <c r="HKC1" s="266"/>
      <c r="HKD1" s="266"/>
      <c r="HKE1" s="266"/>
      <c r="HKF1" s="266"/>
      <c r="HKG1" s="266"/>
      <c r="HKH1" s="266"/>
      <c r="HKI1" s="266"/>
      <c r="HKJ1" s="266"/>
      <c r="HKK1" s="266"/>
      <c r="HKL1" s="266"/>
      <c r="HKM1" s="266"/>
      <c r="HKN1" s="266"/>
      <c r="HKO1" s="266"/>
      <c r="HKP1" s="266"/>
      <c r="HKQ1" s="266"/>
      <c r="HKR1" s="266"/>
      <c r="HKS1" s="266"/>
      <c r="HKT1" s="266"/>
      <c r="HKU1" s="266"/>
      <c r="HKV1" s="266"/>
      <c r="HKW1" s="266"/>
      <c r="HKX1" s="266"/>
      <c r="HKY1" s="266"/>
      <c r="HKZ1" s="266"/>
      <c r="HLA1" s="266"/>
      <c r="HLB1" s="266"/>
      <c r="HLC1" s="266"/>
      <c r="HLD1" s="266"/>
      <c r="HLE1" s="266"/>
      <c r="HLF1" s="266"/>
      <c r="HLG1" s="266"/>
      <c r="HLH1" s="266"/>
      <c r="HLI1" s="266"/>
      <c r="HLJ1" s="266"/>
      <c r="HLK1" s="266"/>
      <c r="HLL1" s="266"/>
      <c r="HLM1" s="266"/>
      <c r="HLN1" s="266"/>
      <c r="HLO1" s="266"/>
      <c r="HLP1" s="266"/>
      <c r="HLQ1" s="266"/>
      <c r="HLR1" s="266"/>
      <c r="HLS1" s="266"/>
      <c r="HLT1" s="266"/>
      <c r="HLU1" s="266"/>
      <c r="HLV1" s="266"/>
      <c r="HLW1" s="266"/>
      <c r="HLX1" s="266"/>
      <c r="HLY1" s="266"/>
      <c r="HLZ1" s="266"/>
      <c r="HMA1" s="266"/>
      <c r="HMB1" s="266"/>
      <c r="HMC1" s="266"/>
      <c r="HMD1" s="266"/>
      <c r="HME1" s="266"/>
      <c r="HMF1" s="266"/>
      <c r="HMG1" s="266"/>
      <c r="HMH1" s="266"/>
      <c r="HMI1" s="266"/>
      <c r="HMJ1" s="266"/>
      <c r="HMK1" s="266"/>
      <c r="HML1" s="266"/>
      <c r="HMM1" s="266"/>
      <c r="HMN1" s="266"/>
      <c r="HMO1" s="266"/>
      <c r="HMP1" s="266"/>
      <c r="HMQ1" s="266"/>
      <c r="HMR1" s="266"/>
      <c r="HMS1" s="266"/>
      <c r="HMT1" s="266"/>
      <c r="HMU1" s="266"/>
      <c r="HMV1" s="266"/>
      <c r="HMW1" s="266"/>
      <c r="HMX1" s="266"/>
      <c r="HMY1" s="266"/>
      <c r="HMZ1" s="266"/>
      <c r="HNA1" s="266"/>
      <c r="HNB1" s="266"/>
      <c r="HNC1" s="266"/>
      <c r="HND1" s="266"/>
      <c r="HNE1" s="266"/>
      <c r="HNF1" s="266"/>
      <c r="HNG1" s="266"/>
      <c r="HNH1" s="266"/>
      <c r="HNI1" s="266"/>
      <c r="HNJ1" s="266"/>
      <c r="HNK1" s="266"/>
      <c r="HNL1" s="266"/>
      <c r="HNM1" s="266"/>
      <c r="HNN1" s="266"/>
      <c r="HNO1" s="266"/>
      <c r="HNP1" s="266"/>
      <c r="HNQ1" s="266"/>
      <c r="HNR1" s="266"/>
      <c r="HNS1" s="266"/>
      <c r="HNT1" s="266"/>
      <c r="HNU1" s="266"/>
      <c r="HNV1" s="266"/>
      <c r="HNW1" s="266"/>
      <c r="HNX1" s="266"/>
      <c r="HNY1" s="266"/>
      <c r="HNZ1" s="266"/>
      <c r="HOA1" s="266"/>
      <c r="HOB1" s="266"/>
      <c r="HOC1" s="266"/>
      <c r="HOD1" s="266"/>
      <c r="HOE1" s="266"/>
      <c r="HOF1" s="266"/>
      <c r="HOG1" s="266"/>
      <c r="HOH1" s="266"/>
      <c r="HOI1" s="266"/>
      <c r="HOJ1" s="266"/>
      <c r="HOK1" s="266"/>
      <c r="HOL1" s="266"/>
      <c r="HOM1" s="266"/>
      <c r="HON1" s="266"/>
      <c r="HOO1" s="266"/>
      <c r="HOP1" s="266"/>
      <c r="HOQ1" s="266"/>
      <c r="HOR1" s="266"/>
      <c r="HOS1" s="266"/>
      <c r="HOT1" s="266"/>
      <c r="HOU1" s="266"/>
      <c r="HOV1" s="266"/>
      <c r="HOW1" s="266"/>
      <c r="HOX1" s="266"/>
      <c r="HOY1" s="266"/>
      <c r="HOZ1" s="266"/>
      <c r="HPA1" s="266"/>
      <c r="HPB1" s="266"/>
      <c r="HPC1" s="266"/>
      <c r="HPD1" s="266"/>
      <c r="HPE1" s="266"/>
      <c r="HPF1" s="266"/>
      <c r="HPG1" s="266"/>
      <c r="HPH1" s="266"/>
      <c r="HPI1" s="266"/>
      <c r="HPJ1" s="266"/>
      <c r="HPK1" s="266"/>
      <c r="HPL1" s="266"/>
      <c r="HPM1" s="266"/>
      <c r="HPN1" s="266"/>
      <c r="HPO1" s="266"/>
      <c r="HPP1" s="266"/>
      <c r="HPQ1" s="266"/>
      <c r="HPR1" s="266"/>
      <c r="HPS1" s="266"/>
      <c r="HPT1" s="266"/>
      <c r="HPU1" s="266"/>
      <c r="HPV1" s="266"/>
      <c r="HPW1" s="266"/>
      <c r="HPX1" s="266"/>
      <c r="HPY1" s="266"/>
      <c r="HPZ1" s="266"/>
      <c r="HQA1" s="266"/>
      <c r="HQB1" s="266"/>
      <c r="HQC1" s="266"/>
      <c r="HQD1" s="266"/>
      <c r="HQE1" s="266"/>
      <c r="HQF1" s="266"/>
      <c r="HQG1" s="266"/>
      <c r="HQH1" s="266"/>
      <c r="HQI1" s="266"/>
      <c r="HQJ1" s="266"/>
      <c r="HQK1" s="266"/>
      <c r="HQL1" s="266"/>
      <c r="HQM1" s="266"/>
      <c r="HQN1" s="266"/>
      <c r="HQO1" s="266"/>
      <c r="HQP1" s="266"/>
      <c r="HQQ1" s="266"/>
      <c r="HQR1" s="266"/>
      <c r="HQS1" s="266"/>
      <c r="HQT1" s="266"/>
      <c r="HQU1" s="266"/>
      <c r="HQV1" s="266"/>
      <c r="HQW1" s="266"/>
      <c r="HQX1" s="266"/>
      <c r="HQY1" s="266"/>
      <c r="HQZ1" s="266"/>
      <c r="HRA1" s="266"/>
      <c r="HRB1" s="266"/>
      <c r="HRC1" s="266"/>
      <c r="HRD1" s="266"/>
      <c r="HRE1" s="266"/>
      <c r="HRF1" s="266"/>
      <c r="HRG1" s="266"/>
      <c r="HRH1" s="266"/>
      <c r="HRI1" s="266"/>
      <c r="HRJ1" s="266"/>
      <c r="HRK1" s="266"/>
      <c r="HRL1" s="266"/>
      <c r="HRM1" s="266"/>
      <c r="HRN1" s="266"/>
      <c r="HRO1" s="266"/>
      <c r="HRP1" s="266"/>
      <c r="HRQ1" s="266"/>
      <c r="HRR1" s="266"/>
      <c r="HRS1" s="266"/>
      <c r="HRT1" s="266"/>
      <c r="HRU1" s="266"/>
      <c r="HRV1" s="266"/>
      <c r="HRW1" s="266"/>
      <c r="HRX1" s="266"/>
      <c r="HRY1" s="266"/>
      <c r="HRZ1" s="266"/>
      <c r="HSA1" s="266"/>
      <c r="HSB1" s="266"/>
      <c r="HSC1" s="266"/>
      <c r="HSD1" s="266"/>
      <c r="HSE1" s="266"/>
      <c r="HSF1" s="266"/>
      <c r="HSG1" s="266"/>
      <c r="HSH1" s="266"/>
      <c r="HSI1" s="266"/>
      <c r="HSJ1" s="266"/>
      <c r="HSK1" s="266"/>
      <c r="HSL1" s="266"/>
      <c r="HSM1" s="266"/>
      <c r="HSN1" s="266"/>
      <c r="HSO1" s="266"/>
      <c r="HSP1" s="266"/>
      <c r="HSQ1" s="266"/>
      <c r="HSR1" s="266"/>
      <c r="HSS1" s="266"/>
      <c r="HST1" s="266"/>
      <c r="HSU1" s="266"/>
      <c r="HSV1" s="266"/>
      <c r="HSW1" s="266"/>
      <c r="HSX1" s="266"/>
      <c r="HSY1" s="266"/>
      <c r="HSZ1" s="266"/>
      <c r="HTA1" s="266"/>
      <c r="HTB1" s="266"/>
      <c r="HTC1" s="266"/>
      <c r="HTD1" s="266"/>
      <c r="HTE1" s="266"/>
      <c r="HTF1" s="266"/>
      <c r="HTG1" s="266"/>
      <c r="HTH1" s="266"/>
      <c r="HTI1" s="266"/>
      <c r="HTJ1" s="266"/>
      <c r="HTK1" s="266"/>
      <c r="HTL1" s="266"/>
      <c r="HTM1" s="266"/>
      <c r="HTN1" s="266"/>
      <c r="HTO1" s="266"/>
      <c r="HTP1" s="266"/>
      <c r="HTQ1" s="266"/>
      <c r="HTR1" s="266"/>
      <c r="HTS1" s="266"/>
      <c r="HTT1" s="266"/>
      <c r="HTU1" s="266"/>
      <c r="HTV1" s="266"/>
      <c r="HTW1" s="266"/>
      <c r="HTX1" s="266"/>
      <c r="HTY1" s="266"/>
      <c r="HTZ1" s="266"/>
      <c r="HUA1" s="266"/>
      <c r="HUB1" s="266"/>
      <c r="HUC1" s="266"/>
      <c r="HUD1" s="266"/>
      <c r="HUE1" s="266"/>
      <c r="HUF1" s="266"/>
      <c r="HUG1" s="266"/>
      <c r="HUH1" s="266"/>
      <c r="HUI1" s="266"/>
      <c r="HUJ1" s="266"/>
      <c r="HUK1" s="266"/>
      <c r="HUL1" s="266"/>
      <c r="HUM1" s="266"/>
      <c r="HUN1" s="266"/>
      <c r="HUO1" s="266"/>
      <c r="HUP1" s="266"/>
      <c r="HUQ1" s="266"/>
      <c r="HUR1" s="266"/>
      <c r="HUS1" s="266"/>
      <c r="HUT1" s="266"/>
      <c r="HUU1" s="266"/>
      <c r="HUV1" s="266"/>
      <c r="HUW1" s="266"/>
      <c r="HUX1" s="266"/>
      <c r="HUY1" s="266"/>
      <c r="HUZ1" s="266"/>
      <c r="HVA1" s="266"/>
      <c r="HVB1" s="266"/>
      <c r="HVC1" s="266"/>
      <c r="HVD1" s="266"/>
      <c r="HVE1" s="266"/>
      <c r="HVF1" s="266"/>
      <c r="HVG1" s="266"/>
      <c r="HVH1" s="266"/>
      <c r="HVI1" s="266"/>
      <c r="HVJ1" s="266"/>
      <c r="HVK1" s="266"/>
      <c r="HVL1" s="266"/>
      <c r="HVM1" s="266"/>
      <c r="HVN1" s="266"/>
      <c r="HVO1" s="266"/>
      <c r="HVP1" s="266"/>
      <c r="HVQ1" s="266"/>
      <c r="HVR1" s="266"/>
      <c r="HVS1" s="266"/>
      <c r="HVT1" s="266"/>
      <c r="HVU1" s="266"/>
      <c r="HVV1" s="266"/>
      <c r="HVW1" s="266"/>
      <c r="HVX1" s="266"/>
      <c r="HVY1" s="266"/>
      <c r="HVZ1" s="266"/>
      <c r="HWA1" s="266"/>
      <c r="HWB1" s="266"/>
      <c r="HWC1" s="266"/>
      <c r="HWD1" s="266"/>
      <c r="HWE1" s="266"/>
      <c r="HWF1" s="266"/>
      <c r="HWG1" s="266"/>
      <c r="HWH1" s="266"/>
      <c r="HWI1" s="266"/>
      <c r="HWJ1" s="266"/>
      <c r="HWK1" s="266"/>
      <c r="HWL1" s="266"/>
      <c r="HWM1" s="266"/>
      <c r="HWN1" s="266"/>
      <c r="HWO1" s="266"/>
      <c r="HWP1" s="266"/>
      <c r="HWQ1" s="266"/>
      <c r="HWR1" s="266"/>
      <c r="HWS1" s="266"/>
      <c r="HWT1" s="266"/>
      <c r="HWU1" s="266"/>
      <c r="HWV1" s="266"/>
      <c r="HWW1" s="266"/>
      <c r="HWX1" s="266"/>
      <c r="HWY1" s="266"/>
      <c r="HWZ1" s="266"/>
      <c r="HXA1" s="266"/>
      <c r="HXB1" s="266"/>
      <c r="HXC1" s="266"/>
      <c r="HXD1" s="266"/>
      <c r="HXE1" s="266"/>
      <c r="HXF1" s="266"/>
      <c r="HXG1" s="266"/>
      <c r="HXH1" s="266"/>
      <c r="HXI1" s="266"/>
      <c r="HXJ1" s="266"/>
      <c r="HXK1" s="266"/>
      <c r="HXL1" s="266"/>
      <c r="HXM1" s="266"/>
      <c r="HXN1" s="266"/>
      <c r="HXO1" s="266"/>
      <c r="HXP1" s="266"/>
      <c r="HXQ1" s="266"/>
      <c r="HXR1" s="266"/>
      <c r="HXS1" s="266"/>
      <c r="HXT1" s="266"/>
      <c r="HXU1" s="266"/>
      <c r="HXV1" s="266"/>
      <c r="HXW1" s="266"/>
      <c r="HXX1" s="266"/>
      <c r="HXY1" s="266"/>
      <c r="HXZ1" s="266"/>
      <c r="HYA1" s="266"/>
      <c r="HYB1" s="266"/>
      <c r="HYC1" s="266"/>
      <c r="HYD1" s="266"/>
      <c r="HYE1" s="266"/>
      <c r="HYF1" s="266"/>
      <c r="HYG1" s="266"/>
      <c r="HYH1" s="266"/>
      <c r="HYI1" s="266"/>
      <c r="HYJ1" s="266"/>
      <c r="HYK1" s="266"/>
      <c r="HYL1" s="266"/>
      <c r="HYM1" s="266"/>
      <c r="HYN1" s="266"/>
      <c r="HYO1" s="266"/>
      <c r="HYP1" s="266"/>
      <c r="HYQ1" s="266"/>
      <c r="HYR1" s="266"/>
      <c r="HYS1" s="266"/>
      <c r="HYT1" s="266"/>
      <c r="HYU1" s="266"/>
      <c r="HYV1" s="266"/>
      <c r="HYW1" s="266"/>
      <c r="HYX1" s="266"/>
      <c r="HYY1" s="266"/>
      <c r="HYZ1" s="266"/>
      <c r="HZA1" s="266"/>
      <c r="HZB1" s="266"/>
      <c r="HZC1" s="266"/>
      <c r="HZD1" s="266"/>
      <c r="HZE1" s="266"/>
      <c r="HZF1" s="266"/>
      <c r="HZG1" s="266"/>
      <c r="HZH1" s="266"/>
      <c r="HZI1" s="266"/>
      <c r="HZJ1" s="266"/>
      <c r="HZK1" s="266"/>
      <c r="HZL1" s="266"/>
      <c r="HZM1" s="266"/>
      <c r="HZN1" s="266"/>
      <c r="HZO1" s="266"/>
      <c r="HZP1" s="266"/>
      <c r="HZQ1" s="266"/>
      <c r="HZR1" s="266"/>
      <c r="HZS1" s="266"/>
      <c r="HZT1" s="266"/>
      <c r="HZU1" s="266"/>
      <c r="HZV1" s="266"/>
      <c r="HZW1" s="266"/>
      <c r="HZX1" s="266"/>
      <c r="HZY1" s="266"/>
      <c r="HZZ1" s="266"/>
      <c r="IAA1" s="266"/>
      <c r="IAB1" s="266"/>
      <c r="IAC1" s="266"/>
      <c r="IAD1" s="266"/>
      <c r="IAE1" s="266"/>
      <c r="IAF1" s="266"/>
      <c r="IAG1" s="266"/>
      <c r="IAH1" s="266"/>
      <c r="IAI1" s="266"/>
      <c r="IAJ1" s="266"/>
      <c r="IAK1" s="266"/>
      <c r="IAL1" s="266"/>
      <c r="IAM1" s="266"/>
      <c r="IAN1" s="266"/>
      <c r="IAO1" s="266"/>
      <c r="IAP1" s="266"/>
      <c r="IAQ1" s="266"/>
      <c r="IAR1" s="266"/>
      <c r="IAS1" s="266"/>
      <c r="IAT1" s="266"/>
      <c r="IAU1" s="266"/>
      <c r="IAV1" s="266"/>
      <c r="IAW1" s="266"/>
      <c r="IAX1" s="266"/>
      <c r="IAY1" s="266"/>
      <c r="IAZ1" s="266"/>
      <c r="IBA1" s="266"/>
      <c r="IBB1" s="266"/>
      <c r="IBC1" s="266"/>
      <c r="IBD1" s="266"/>
      <c r="IBE1" s="266"/>
      <c r="IBF1" s="266"/>
      <c r="IBG1" s="266"/>
      <c r="IBH1" s="266"/>
      <c r="IBI1" s="266"/>
      <c r="IBJ1" s="266"/>
      <c r="IBK1" s="266"/>
      <c r="IBL1" s="266"/>
      <c r="IBM1" s="266"/>
      <c r="IBN1" s="266"/>
      <c r="IBO1" s="266"/>
      <c r="IBP1" s="266"/>
      <c r="IBQ1" s="266"/>
      <c r="IBR1" s="266"/>
      <c r="IBS1" s="266"/>
      <c r="IBT1" s="266"/>
      <c r="IBU1" s="266"/>
      <c r="IBV1" s="266"/>
      <c r="IBW1" s="266"/>
      <c r="IBX1" s="266"/>
      <c r="IBY1" s="266"/>
      <c r="IBZ1" s="266"/>
      <c r="ICA1" s="266"/>
      <c r="ICB1" s="266"/>
      <c r="ICC1" s="266"/>
      <c r="ICD1" s="266"/>
      <c r="ICE1" s="266"/>
      <c r="ICF1" s="266"/>
      <c r="ICG1" s="266"/>
      <c r="ICH1" s="266"/>
      <c r="ICI1" s="266"/>
      <c r="ICJ1" s="266"/>
      <c r="ICK1" s="266"/>
      <c r="ICL1" s="266"/>
      <c r="ICM1" s="266"/>
      <c r="ICN1" s="266"/>
      <c r="ICO1" s="266"/>
      <c r="ICP1" s="266"/>
      <c r="ICQ1" s="266"/>
      <c r="ICR1" s="266"/>
      <c r="ICS1" s="266"/>
      <c r="ICT1" s="266"/>
      <c r="ICU1" s="266"/>
      <c r="ICV1" s="266"/>
      <c r="ICW1" s="266"/>
      <c r="ICX1" s="266"/>
      <c r="ICY1" s="266"/>
      <c r="ICZ1" s="266"/>
      <c r="IDA1" s="266"/>
      <c r="IDB1" s="266"/>
      <c r="IDC1" s="266"/>
      <c r="IDD1" s="266"/>
      <c r="IDE1" s="266"/>
      <c r="IDF1" s="266"/>
      <c r="IDG1" s="266"/>
      <c r="IDH1" s="266"/>
      <c r="IDI1" s="266"/>
      <c r="IDJ1" s="266"/>
      <c r="IDK1" s="266"/>
      <c r="IDL1" s="266"/>
      <c r="IDM1" s="266"/>
      <c r="IDN1" s="266"/>
      <c r="IDO1" s="266"/>
      <c r="IDP1" s="266"/>
      <c r="IDQ1" s="266"/>
      <c r="IDR1" s="266"/>
      <c r="IDS1" s="266"/>
      <c r="IDT1" s="266"/>
      <c r="IDU1" s="266"/>
      <c r="IDV1" s="266"/>
      <c r="IDW1" s="266"/>
      <c r="IDX1" s="266"/>
      <c r="IDY1" s="266"/>
      <c r="IDZ1" s="266"/>
      <c r="IEA1" s="266"/>
      <c r="IEB1" s="266"/>
      <c r="IEC1" s="266"/>
      <c r="IED1" s="266"/>
      <c r="IEE1" s="266"/>
      <c r="IEF1" s="266"/>
      <c r="IEG1" s="266"/>
      <c r="IEH1" s="266"/>
      <c r="IEI1" s="266"/>
      <c r="IEJ1" s="266"/>
      <c r="IEK1" s="266"/>
      <c r="IEL1" s="266"/>
      <c r="IEM1" s="266"/>
      <c r="IEN1" s="266"/>
      <c r="IEO1" s="266"/>
      <c r="IEP1" s="266"/>
      <c r="IEQ1" s="266"/>
      <c r="IER1" s="266"/>
      <c r="IES1" s="266"/>
      <c r="IET1" s="266"/>
      <c r="IEU1" s="266"/>
      <c r="IEV1" s="266"/>
      <c r="IEW1" s="266"/>
      <c r="IEX1" s="266"/>
      <c r="IEY1" s="266"/>
      <c r="IEZ1" s="266"/>
      <c r="IFA1" s="266"/>
      <c r="IFB1" s="266"/>
      <c r="IFC1" s="266"/>
      <c r="IFD1" s="266"/>
      <c r="IFE1" s="266"/>
      <c r="IFF1" s="266"/>
      <c r="IFG1" s="266"/>
      <c r="IFH1" s="266"/>
      <c r="IFI1" s="266"/>
      <c r="IFJ1" s="266"/>
      <c r="IFK1" s="266"/>
      <c r="IFL1" s="266"/>
      <c r="IFM1" s="266"/>
      <c r="IFN1" s="266"/>
      <c r="IFO1" s="266"/>
      <c r="IFP1" s="266"/>
      <c r="IFQ1" s="266"/>
      <c r="IFR1" s="266"/>
      <c r="IFS1" s="266"/>
      <c r="IFT1" s="266"/>
      <c r="IFU1" s="266"/>
      <c r="IFV1" s="266"/>
      <c r="IFW1" s="266"/>
      <c r="IFX1" s="266"/>
      <c r="IFY1" s="266"/>
      <c r="IFZ1" s="266"/>
      <c r="IGA1" s="266"/>
      <c r="IGB1" s="266"/>
      <c r="IGC1" s="266"/>
      <c r="IGD1" s="266"/>
      <c r="IGE1" s="266"/>
      <c r="IGF1" s="266"/>
      <c r="IGG1" s="266"/>
      <c r="IGH1" s="266"/>
      <c r="IGI1" s="266"/>
      <c r="IGJ1" s="266"/>
      <c r="IGK1" s="266"/>
      <c r="IGL1" s="266"/>
      <c r="IGM1" s="266"/>
      <c r="IGN1" s="266"/>
      <c r="IGO1" s="266"/>
      <c r="IGP1" s="266"/>
      <c r="IGQ1" s="266"/>
      <c r="IGR1" s="266"/>
      <c r="IGS1" s="266"/>
      <c r="IGT1" s="266"/>
      <c r="IGU1" s="266"/>
      <c r="IGV1" s="266"/>
      <c r="IGW1" s="266"/>
      <c r="IGX1" s="266"/>
      <c r="IGY1" s="266"/>
      <c r="IGZ1" s="266"/>
      <c r="IHA1" s="266"/>
      <c r="IHB1" s="266"/>
      <c r="IHC1" s="266"/>
      <c r="IHD1" s="266"/>
      <c r="IHE1" s="266"/>
      <c r="IHF1" s="266"/>
      <c r="IHG1" s="266"/>
      <c r="IHH1" s="266"/>
      <c r="IHI1" s="266"/>
      <c r="IHJ1" s="266"/>
      <c r="IHK1" s="266"/>
      <c r="IHL1" s="266"/>
      <c r="IHM1" s="266"/>
      <c r="IHN1" s="266"/>
      <c r="IHO1" s="266"/>
      <c r="IHP1" s="266"/>
      <c r="IHQ1" s="266"/>
      <c r="IHR1" s="266"/>
      <c r="IHS1" s="266"/>
      <c r="IHT1" s="266"/>
      <c r="IHU1" s="266"/>
      <c r="IHV1" s="266"/>
      <c r="IHW1" s="266"/>
      <c r="IHX1" s="266"/>
      <c r="IHY1" s="266"/>
      <c r="IHZ1" s="266"/>
      <c r="IIA1" s="266"/>
      <c r="IIB1" s="266"/>
      <c r="IIC1" s="266"/>
      <c r="IID1" s="266"/>
      <c r="IIE1" s="266"/>
      <c r="IIF1" s="266"/>
      <c r="IIG1" s="266"/>
      <c r="IIH1" s="266"/>
      <c r="III1" s="266"/>
      <c r="IIJ1" s="266"/>
      <c r="IIK1" s="266"/>
      <c r="IIL1" s="266"/>
      <c r="IIM1" s="266"/>
      <c r="IIN1" s="266"/>
      <c r="IIO1" s="266"/>
      <c r="IIP1" s="266"/>
      <c r="IIQ1" s="266"/>
      <c r="IIR1" s="266"/>
      <c r="IIS1" s="266"/>
      <c r="IIT1" s="266"/>
      <c r="IIU1" s="266"/>
      <c r="IIV1" s="266"/>
      <c r="IIW1" s="266"/>
      <c r="IIX1" s="266"/>
      <c r="IIY1" s="266"/>
      <c r="IIZ1" s="266"/>
      <c r="IJA1" s="266"/>
      <c r="IJB1" s="266"/>
      <c r="IJC1" s="266"/>
      <c r="IJD1" s="266"/>
      <c r="IJE1" s="266"/>
      <c r="IJF1" s="266"/>
      <c r="IJG1" s="266"/>
      <c r="IJH1" s="266"/>
      <c r="IJI1" s="266"/>
      <c r="IJJ1" s="266"/>
      <c r="IJK1" s="266"/>
      <c r="IJL1" s="266"/>
      <c r="IJM1" s="266"/>
      <c r="IJN1" s="266"/>
      <c r="IJO1" s="266"/>
      <c r="IJP1" s="266"/>
      <c r="IJQ1" s="266"/>
      <c r="IJR1" s="266"/>
      <c r="IJS1" s="266"/>
      <c r="IJT1" s="266"/>
      <c r="IJU1" s="266"/>
      <c r="IJV1" s="266"/>
      <c r="IJW1" s="266"/>
      <c r="IJX1" s="266"/>
      <c r="IJY1" s="266"/>
      <c r="IJZ1" s="266"/>
      <c r="IKA1" s="266"/>
      <c r="IKB1" s="266"/>
      <c r="IKC1" s="266"/>
      <c r="IKD1" s="266"/>
      <c r="IKE1" s="266"/>
      <c r="IKF1" s="266"/>
      <c r="IKG1" s="266"/>
      <c r="IKH1" s="266"/>
      <c r="IKI1" s="266"/>
      <c r="IKJ1" s="266"/>
      <c r="IKK1" s="266"/>
      <c r="IKL1" s="266"/>
      <c r="IKM1" s="266"/>
      <c r="IKN1" s="266"/>
      <c r="IKO1" s="266"/>
      <c r="IKP1" s="266"/>
      <c r="IKQ1" s="266"/>
      <c r="IKR1" s="266"/>
      <c r="IKS1" s="266"/>
      <c r="IKT1" s="266"/>
      <c r="IKU1" s="266"/>
      <c r="IKV1" s="266"/>
      <c r="IKW1" s="266"/>
      <c r="IKX1" s="266"/>
      <c r="IKY1" s="266"/>
      <c r="IKZ1" s="266"/>
      <c r="ILA1" s="266"/>
      <c r="ILB1" s="266"/>
      <c r="ILC1" s="266"/>
      <c r="ILD1" s="266"/>
      <c r="ILE1" s="266"/>
      <c r="ILF1" s="266"/>
      <c r="ILG1" s="266"/>
      <c r="ILH1" s="266"/>
      <c r="ILI1" s="266"/>
      <c r="ILJ1" s="266"/>
      <c r="ILK1" s="266"/>
      <c r="ILL1" s="266"/>
      <c r="ILM1" s="266"/>
      <c r="ILN1" s="266"/>
      <c r="ILO1" s="266"/>
      <c r="ILP1" s="266"/>
      <c r="ILQ1" s="266"/>
      <c r="ILR1" s="266"/>
      <c r="ILS1" s="266"/>
      <c r="ILT1" s="266"/>
      <c r="ILU1" s="266"/>
      <c r="ILV1" s="266"/>
      <c r="ILW1" s="266"/>
      <c r="ILX1" s="266"/>
      <c r="ILY1" s="266"/>
      <c r="ILZ1" s="266"/>
      <c r="IMA1" s="266"/>
      <c r="IMB1" s="266"/>
      <c r="IMC1" s="266"/>
      <c r="IMD1" s="266"/>
      <c r="IME1" s="266"/>
      <c r="IMF1" s="266"/>
      <c r="IMG1" s="266"/>
      <c r="IMH1" s="266"/>
      <c r="IMI1" s="266"/>
      <c r="IMJ1" s="266"/>
      <c r="IMK1" s="266"/>
      <c r="IML1" s="266"/>
      <c r="IMM1" s="266"/>
      <c r="IMN1" s="266"/>
      <c r="IMO1" s="266"/>
      <c r="IMP1" s="266"/>
      <c r="IMQ1" s="266"/>
      <c r="IMR1" s="266"/>
      <c r="IMS1" s="266"/>
      <c r="IMT1" s="266"/>
      <c r="IMU1" s="266"/>
      <c r="IMV1" s="266"/>
      <c r="IMW1" s="266"/>
      <c r="IMX1" s="266"/>
      <c r="IMY1" s="266"/>
      <c r="IMZ1" s="266"/>
      <c r="INA1" s="266"/>
      <c r="INB1" s="266"/>
      <c r="INC1" s="266"/>
      <c r="IND1" s="266"/>
      <c r="INE1" s="266"/>
      <c r="INF1" s="266"/>
      <c r="ING1" s="266"/>
      <c r="INH1" s="266"/>
      <c r="INI1" s="266"/>
      <c r="INJ1" s="266"/>
      <c r="INK1" s="266"/>
      <c r="INL1" s="266"/>
      <c r="INM1" s="266"/>
      <c r="INN1" s="266"/>
      <c r="INO1" s="266"/>
      <c r="INP1" s="266"/>
      <c r="INQ1" s="266"/>
      <c r="INR1" s="266"/>
      <c r="INS1" s="266"/>
      <c r="INT1" s="266"/>
      <c r="INU1" s="266"/>
      <c r="INV1" s="266"/>
      <c r="INW1" s="266"/>
      <c r="INX1" s="266"/>
      <c r="INY1" s="266"/>
      <c r="INZ1" s="266"/>
      <c r="IOA1" s="266"/>
      <c r="IOB1" s="266"/>
      <c r="IOC1" s="266"/>
      <c r="IOD1" s="266"/>
      <c r="IOE1" s="266"/>
      <c r="IOF1" s="266"/>
      <c r="IOG1" s="266"/>
      <c r="IOH1" s="266"/>
      <c r="IOI1" s="266"/>
      <c r="IOJ1" s="266"/>
      <c r="IOK1" s="266"/>
      <c r="IOL1" s="266"/>
      <c r="IOM1" s="266"/>
      <c r="ION1" s="266"/>
      <c r="IOO1" s="266"/>
      <c r="IOP1" s="266"/>
      <c r="IOQ1" s="266"/>
      <c r="IOR1" s="266"/>
      <c r="IOS1" s="266"/>
      <c r="IOT1" s="266"/>
      <c r="IOU1" s="266"/>
      <c r="IOV1" s="266"/>
      <c r="IOW1" s="266"/>
      <c r="IOX1" s="266"/>
      <c r="IOY1" s="266"/>
      <c r="IOZ1" s="266"/>
      <c r="IPA1" s="266"/>
      <c r="IPB1" s="266"/>
      <c r="IPC1" s="266"/>
      <c r="IPD1" s="266"/>
      <c r="IPE1" s="266"/>
      <c r="IPF1" s="266"/>
      <c r="IPG1" s="266"/>
      <c r="IPH1" s="266"/>
      <c r="IPI1" s="266"/>
      <c r="IPJ1" s="266"/>
      <c r="IPK1" s="266"/>
      <c r="IPL1" s="266"/>
      <c r="IPM1" s="266"/>
      <c r="IPN1" s="266"/>
      <c r="IPO1" s="266"/>
      <c r="IPP1" s="266"/>
      <c r="IPQ1" s="266"/>
      <c r="IPR1" s="266"/>
      <c r="IPS1" s="266"/>
      <c r="IPT1" s="266"/>
      <c r="IPU1" s="266"/>
      <c r="IPV1" s="266"/>
      <c r="IPW1" s="266"/>
      <c r="IPX1" s="266"/>
      <c r="IPY1" s="266"/>
      <c r="IPZ1" s="266"/>
      <c r="IQA1" s="266"/>
      <c r="IQB1" s="266"/>
      <c r="IQC1" s="266"/>
      <c r="IQD1" s="266"/>
      <c r="IQE1" s="266"/>
      <c r="IQF1" s="266"/>
      <c r="IQG1" s="266"/>
      <c r="IQH1" s="266"/>
      <c r="IQI1" s="266"/>
      <c r="IQJ1" s="266"/>
      <c r="IQK1" s="266"/>
      <c r="IQL1" s="266"/>
      <c r="IQM1" s="266"/>
      <c r="IQN1" s="266"/>
      <c r="IQO1" s="266"/>
      <c r="IQP1" s="266"/>
      <c r="IQQ1" s="266"/>
      <c r="IQR1" s="266"/>
      <c r="IQS1" s="266"/>
      <c r="IQT1" s="266"/>
      <c r="IQU1" s="266"/>
      <c r="IQV1" s="266"/>
      <c r="IQW1" s="266"/>
      <c r="IQX1" s="266"/>
      <c r="IQY1" s="266"/>
      <c r="IQZ1" s="266"/>
      <c r="IRA1" s="266"/>
      <c r="IRB1" s="266"/>
      <c r="IRC1" s="266"/>
      <c r="IRD1" s="266"/>
      <c r="IRE1" s="266"/>
      <c r="IRF1" s="266"/>
      <c r="IRG1" s="266"/>
      <c r="IRH1" s="266"/>
      <c r="IRI1" s="266"/>
      <c r="IRJ1" s="266"/>
      <c r="IRK1" s="266"/>
      <c r="IRL1" s="266"/>
      <c r="IRM1" s="266"/>
      <c r="IRN1" s="266"/>
      <c r="IRO1" s="266"/>
      <c r="IRP1" s="266"/>
      <c r="IRQ1" s="266"/>
      <c r="IRR1" s="266"/>
      <c r="IRS1" s="266"/>
      <c r="IRT1" s="266"/>
      <c r="IRU1" s="266"/>
      <c r="IRV1" s="266"/>
      <c r="IRW1" s="266"/>
      <c r="IRX1" s="266"/>
      <c r="IRY1" s="266"/>
      <c r="IRZ1" s="266"/>
      <c r="ISA1" s="266"/>
      <c r="ISB1" s="266"/>
      <c r="ISC1" s="266"/>
      <c r="ISD1" s="266"/>
      <c r="ISE1" s="266"/>
      <c r="ISF1" s="266"/>
      <c r="ISG1" s="266"/>
      <c r="ISH1" s="266"/>
      <c r="ISI1" s="266"/>
      <c r="ISJ1" s="266"/>
      <c r="ISK1" s="266"/>
      <c r="ISL1" s="266"/>
      <c r="ISM1" s="266"/>
      <c r="ISN1" s="266"/>
      <c r="ISO1" s="266"/>
      <c r="ISP1" s="266"/>
      <c r="ISQ1" s="266"/>
      <c r="ISR1" s="266"/>
      <c r="ISS1" s="266"/>
      <c r="IST1" s="266"/>
      <c r="ISU1" s="266"/>
      <c r="ISV1" s="266"/>
      <c r="ISW1" s="266"/>
      <c r="ISX1" s="266"/>
      <c r="ISY1" s="266"/>
      <c r="ISZ1" s="266"/>
      <c r="ITA1" s="266"/>
      <c r="ITB1" s="266"/>
      <c r="ITC1" s="266"/>
      <c r="ITD1" s="266"/>
      <c r="ITE1" s="266"/>
      <c r="ITF1" s="266"/>
      <c r="ITG1" s="266"/>
      <c r="ITH1" s="266"/>
      <c r="ITI1" s="266"/>
      <c r="ITJ1" s="266"/>
      <c r="ITK1" s="266"/>
      <c r="ITL1" s="266"/>
      <c r="ITM1" s="266"/>
      <c r="ITN1" s="266"/>
      <c r="ITO1" s="266"/>
      <c r="ITP1" s="266"/>
      <c r="ITQ1" s="266"/>
      <c r="ITR1" s="266"/>
      <c r="ITS1" s="266"/>
      <c r="ITT1" s="266"/>
      <c r="ITU1" s="266"/>
      <c r="ITV1" s="266"/>
      <c r="ITW1" s="266"/>
      <c r="ITX1" s="266"/>
      <c r="ITY1" s="266"/>
      <c r="ITZ1" s="266"/>
      <c r="IUA1" s="266"/>
      <c r="IUB1" s="266"/>
      <c r="IUC1" s="266"/>
      <c r="IUD1" s="266"/>
      <c r="IUE1" s="266"/>
      <c r="IUF1" s="266"/>
      <c r="IUG1" s="266"/>
      <c r="IUH1" s="266"/>
      <c r="IUI1" s="266"/>
      <c r="IUJ1" s="266"/>
      <c r="IUK1" s="266"/>
      <c r="IUL1" s="266"/>
      <c r="IUM1" s="266"/>
      <c r="IUN1" s="266"/>
      <c r="IUO1" s="266"/>
      <c r="IUP1" s="266"/>
      <c r="IUQ1" s="266"/>
      <c r="IUR1" s="266"/>
      <c r="IUS1" s="266"/>
      <c r="IUT1" s="266"/>
      <c r="IUU1" s="266"/>
      <c r="IUV1" s="266"/>
      <c r="IUW1" s="266"/>
      <c r="IUX1" s="266"/>
      <c r="IUY1" s="266"/>
      <c r="IUZ1" s="266"/>
      <c r="IVA1" s="266"/>
      <c r="IVB1" s="266"/>
      <c r="IVC1" s="266"/>
      <c r="IVD1" s="266"/>
      <c r="IVE1" s="266"/>
      <c r="IVF1" s="266"/>
      <c r="IVG1" s="266"/>
      <c r="IVH1" s="266"/>
      <c r="IVI1" s="266"/>
      <c r="IVJ1" s="266"/>
      <c r="IVK1" s="266"/>
      <c r="IVL1" s="266"/>
      <c r="IVM1" s="266"/>
      <c r="IVN1" s="266"/>
      <c r="IVO1" s="266"/>
      <c r="IVP1" s="266"/>
      <c r="IVQ1" s="266"/>
      <c r="IVR1" s="266"/>
      <c r="IVS1" s="266"/>
      <c r="IVT1" s="266"/>
      <c r="IVU1" s="266"/>
      <c r="IVV1" s="266"/>
      <c r="IVW1" s="266"/>
      <c r="IVX1" s="266"/>
      <c r="IVY1" s="266"/>
      <c r="IVZ1" s="266"/>
      <c r="IWA1" s="266"/>
      <c r="IWB1" s="266"/>
      <c r="IWC1" s="266"/>
      <c r="IWD1" s="266"/>
      <c r="IWE1" s="266"/>
      <c r="IWF1" s="266"/>
      <c r="IWG1" s="266"/>
      <c r="IWH1" s="266"/>
      <c r="IWI1" s="266"/>
      <c r="IWJ1" s="266"/>
      <c r="IWK1" s="266"/>
      <c r="IWL1" s="266"/>
      <c r="IWM1" s="266"/>
      <c r="IWN1" s="266"/>
      <c r="IWO1" s="266"/>
      <c r="IWP1" s="266"/>
      <c r="IWQ1" s="266"/>
      <c r="IWR1" s="266"/>
      <c r="IWS1" s="266"/>
      <c r="IWT1" s="266"/>
      <c r="IWU1" s="266"/>
      <c r="IWV1" s="266"/>
      <c r="IWW1" s="266"/>
      <c r="IWX1" s="266"/>
      <c r="IWY1" s="266"/>
      <c r="IWZ1" s="266"/>
      <c r="IXA1" s="266"/>
      <c r="IXB1" s="266"/>
      <c r="IXC1" s="266"/>
      <c r="IXD1" s="266"/>
      <c r="IXE1" s="266"/>
      <c r="IXF1" s="266"/>
      <c r="IXG1" s="266"/>
      <c r="IXH1" s="266"/>
      <c r="IXI1" s="266"/>
      <c r="IXJ1" s="266"/>
      <c r="IXK1" s="266"/>
      <c r="IXL1" s="266"/>
      <c r="IXM1" s="266"/>
      <c r="IXN1" s="266"/>
      <c r="IXO1" s="266"/>
      <c r="IXP1" s="266"/>
      <c r="IXQ1" s="266"/>
      <c r="IXR1" s="266"/>
      <c r="IXS1" s="266"/>
      <c r="IXT1" s="266"/>
      <c r="IXU1" s="266"/>
      <c r="IXV1" s="266"/>
      <c r="IXW1" s="266"/>
      <c r="IXX1" s="266"/>
      <c r="IXY1" s="266"/>
      <c r="IXZ1" s="266"/>
      <c r="IYA1" s="266"/>
      <c r="IYB1" s="266"/>
      <c r="IYC1" s="266"/>
      <c r="IYD1" s="266"/>
      <c r="IYE1" s="266"/>
      <c r="IYF1" s="266"/>
      <c r="IYG1" s="266"/>
      <c r="IYH1" s="266"/>
      <c r="IYI1" s="266"/>
      <c r="IYJ1" s="266"/>
      <c r="IYK1" s="266"/>
      <c r="IYL1" s="266"/>
      <c r="IYM1" s="266"/>
      <c r="IYN1" s="266"/>
      <c r="IYO1" s="266"/>
      <c r="IYP1" s="266"/>
      <c r="IYQ1" s="266"/>
      <c r="IYR1" s="266"/>
      <c r="IYS1" s="266"/>
      <c r="IYT1" s="266"/>
      <c r="IYU1" s="266"/>
      <c r="IYV1" s="266"/>
      <c r="IYW1" s="266"/>
      <c r="IYX1" s="266"/>
      <c r="IYY1" s="266"/>
      <c r="IYZ1" s="266"/>
      <c r="IZA1" s="266"/>
      <c r="IZB1" s="266"/>
      <c r="IZC1" s="266"/>
      <c r="IZD1" s="266"/>
      <c r="IZE1" s="266"/>
      <c r="IZF1" s="266"/>
      <c r="IZG1" s="266"/>
      <c r="IZH1" s="266"/>
      <c r="IZI1" s="266"/>
      <c r="IZJ1" s="266"/>
      <c r="IZK1" s="266"/>
      <c r="IZL1" s="266"/>
      <c r="IZM1" s="266"/>
      <c r="IZN1" s="266"/>
      <c r="IZO1" s="266"/>
      <c r="IZP1" s="266"/>
      <c r="IZQ1" s="266"/>
      <c r="IZR1" s="266"/>
      <c r="IZS1" s="266"/>
      <c r="IZT1" s="266"/>
      <c r="IZU1" s="266"/>
      <c r="IZV1" s="266"/>
      <c r="IZW1" s="266"/>
      <c r="IZX1" s="266"/>
      <c r="IZY1" s="266"/>
      <c r="IZZ1" s="266"/>
      <c r="JAA1" s="266"/>
      <c r="JAB1" s="266"/>
      <c r="JAC1" s="266"/>
      <c r="JAD1" s="266"/>
      <c r="JAE1" s="266"/>
      <c r="JAF1" s="266"/>
      <c r="JAG1" s="266"/>
      <c r="JAH1" s="266"/>
      <c r="JAI1" s="266"/>
      <c r="JAJ1" s="266"/>
      <c r="JAK1" s="266"/>
      <c r="JAL1" s="266"/>
      <c r="JAM1" s="266"/>
      <c r="JAN1" s="266"/>
      <c r="JAO1" s="266"/>
      <c r="JAP1" s="266"/>
      <c r="JAQ1" s="266"/>
      <c r="JAR1" s="266"/>
      <c r="JAS1" s="266"/>
      <c r="JAT1" s="266"/>
      <c r="JAU1" s="266"/>
      <c r="JAV1" s="266"/>
      <c r="JAW1" s="266"/>
      <c r="JAX1" s="266"/>
      <c r="JAY1" s="266"/>
      <c r="JAZ1" s="266"/>
      <c r="JBA1" s="266"/>
      <c r="JBB1" s="266"/>
      <c r="JBC1" s="266"/>
      <c r="JBD1" s="266"/>
      <c r="JBE1" s="266"/>
      <c r="JBF1" s="266"/>
      <c r="JBG1" s="266"/>
      <c r="JBH1" s="266"/>
      <c r="JBI1" s="266"/>
      <c r="JBJ1" s="266"/>
      <c r="JBK1" s="266"/>
      <c r="JBL1" s="266"/>
      <c r="JBM1" s="266"/>
      <c r="JBN1" s="266"/>
      <c r="JBO1" s="266"/>
      <c r="JBP1" s="266"/>
      <c r="JBQ1" s="266"/>
      <c r="JBR1" s="266"/>
      <c r="JBS1" s="266"/>
      <c r="JBT1" s="266"/>
      <c r="JBU1" s="266"/>
      <c r="JBV1" s="266"/>
      <c r="JBW1" s="266"/>
      <c r="JBX1" s="266"/>
      <c r="JBY1" s="266"/>
      <c r="JBZ1" s="266"/>
      <c r="JCA1" s="266"/>
      <c r="JCB1" s="266"/>
      <c r="JCC1" s="266"/>
      <c r="JCD1" s="266"/>
      <c r="JCE1" s="266"/>
      <c r="JCF1" s="266"/>
      <c r="JCG1" s="266"/>
      <c r="JCH1" s="266"/>
      <c r="JCI1" s="266"/>
      <c r="JCJ1" s="266"/>
      <c r="JCK1" s="266"/>
      <c r="JCL1" s="266"/>
      <c r="JCM1" s="266"/>
      <c r="JCN1" s="266"/>
      <c r="JCO1" s="266"/>
      <c r="JCP1" s="266"/>
      <c r="JCQ1" s="266"/>
      <c r="JCR1" s="266"/>
      <c r="JCS1" s="266"/>
      <c r="JCT1" s="266"/>
      <c r="JCU1" s="266"/>
      <c r="JCV1" s="266"/>
      <c r="JCW1" s="266"/>
      <c r="JCX1" s="266"/>
      <c r="JCY1" s="266"/>
      <c r="JCZ1" s="266"/>
      <c r="JDA1" s="266"/>
      <c r="JDB1" s="266"/>
      <c r="JDC1" s="266"/>
      <c r="JDD1" s="266"/>
      <c r="JDE1" s="266"/>
      <c r="JDF1" s="266"/>
      <c r="JDG1" s="266"/>
      <c r="JDH1" s="266"/>
      <c r="JDI1" s="266"/>
      <c r="JDJ1" s="266"/>
      <c r="JDK1" s="266"/>
      <c r="JDL1" s="266"/>
      <c r="JDM1" s="266"/>
      <c r="JDN1" s="266"/>
      <c r="JDO1" s="266"/>
      <c r="JDP1" s="266"/>
      <c r="JDQ1" s="266"/>
      <c r="JDR1" s="266"/>
      <c r="JDS1" s="266"/>
      <c r="JDT1" s="266"/>
      <c r="JDU1" s="266"/>
      <c r="JDV1" s="266"/>
      <c r="JDW1" s="266"/>
      <c r="JDX1" s="266"/>
      <c r="JDY1" s="266"/>
      <c r="JDZ1" s="266"/>
      <c r="JEA1" s="266"/>
      <c r="JEB1" s="266"/>
      <c r="JEC1" s="266"/>
      <c r="JED1" s="266"/>
      <c r="JEE1" s="266"/>
      <c r="JEF1" s="266"/>
      <c r="JEG1" s="266"/>
      <c r="JEH1" s="266"/>
      <c r="JEI1" s="266"/>
      <c r="JEJ1" s="266"/>
      <c r="JEK1" s="266"/>
      <c r="JEL1" s="266"/>
      <c r="JEM1" s="266"/>
      <c r="JEN1" s="266"/>
      <c r="JEO1" s="266"/>
      <c r="JEP1" s="266"/>
      <c r="JEQ1" s="266"/>
      <c r="JER1" s="266"/>
      <c r="JES1" s="266"/>
      <c r="JET1" s="266"/>
      <c r="JEU1" s="266"/>
      <c r="JEV1" s="266"/>
      <c r="JEW1" s="266"/>
      <c r="JEX1" s="266"/>
      <c r="JEY1" s="266"/>
      <c r="JEZ1" s="266"/>
      <c r="JFA1" s="266"/>
      <c r="JFB1" s="266"/>
      <c r="JFC1" s="266"/>
      <c r="JFD1" s="266"/>
      <c r="JFE1" s="266"/>
      <c r="JFF1" s="266"/>
      <c r="JFG1" s="266"/>
      <c r="JFH1" s="266"/>
      <c r="JFI1" s="266"/>
      <c r="JFJ1" s="266"/>
      <c r="JFK1" s="266"/>
      <c r="JFL1" s="266"/>
      <c r="JFM1" s="266"/>
      <c r="JFN1" s="266"/>
      <c r="JFO1" s="266"/>
      <c r="JFP1" s="266"/>
      <c r="JFQ1" s="266"/>
      <c r="JFR1" s="266"/>
      <c r="JFS1" s="266"/>
      <c r="JFT1" s="266"/>
      <c r="JFU1" s="266"/>
      <c r="JFV1" s="266"/>
      <c r="JFW1" s="266"/>
      <c r="JFX1" s="266"/>
      <c r="JFY1" s="266"/>
      <c r="JFZ1" s="266"/>
      <c r="JGA1" s="266"/>
      <c r="JGB1" s="266"/>
      <c r="JGC1" s="266"/>
      <c r="JGD1" s="266"/>
      <c r="JGE1" s="266"/>
      <c r="JGF1" s="266"/>
      <c r="JGG1" s="266"/>
      <c r="JGH1" s="266"/>
      <c r="JGI1" s="266"/>
      <c r="JGJ1" s="266"/>
      <c r="JGK1" s="266"/>
      <c r="JGL1" s="266"/>
      <c r="JGM1" s="266"/>
      <c r="JGN1" s="266"/>
      <c r="JGO1" s="266"/>
      <c r="JGP1" s="266"/>
      <c r="JGQ1" s="266"/>
      <c r="JGR1" s="266"/>
      <c r="JGS1" s="266"/>
      <c r="JGT1" s="266"/>
      <c r="JGU1" s="266"/>
      <c r="JGV1" s="266"/>
      <c r="JGW1" s="266"/>
      <c r="JGX1" s="266"/>
      <c r="JGY1" s="266"/>
      <c r="JGZ1" s="266"/>
      <c r="JHA1" s="266"/>
      <c r="JHB1" s="266"/>
      <c r="JHC1" s="266"/>
      <c r="JHD1" s="266"/>
      <c r="JHE1" s="266"/>
      <c r="JHF1" s="266"/>
      <c r="JHG1" s="266"/>
      <c r="JHH1" s="266"/>
      <c r="JHI1" s="266"/>
      <c r="JHJ1" s="266"/>
      <c r="JHK1" s="266"/>
      <c r="JHL1" s="266"/>
      <c r="JHM1" s="266"/>
      <c r="JHN1" s="266"/>
      <c r="JHO1" s="266"/>
      <c r="JHP1" s="266"/>
      <c r="JHQ1" s="266"/>
      <c r="JHR1" s="266"/>
      <c r="JHS1" s="266"/>
      <c r="JHT1" s="266"/>
      <c r="JHU1" s="266"/>
      <c r="JHV1" s="266"/>
      <c r="JHW1" s="266"/>
      <c r="JHX1" s="266"/>
      <c r="JHY1" s="266"/>
      <c r="JHZ1" s="266"/>
      <c r="JIA1" s="266"/>
      <c r="JIB1" s="266"/>
      <c r="JIC1" s="266"/>
      <c r="JID1" s="266"/>
      <c r="JIE1" s="266"/>
      <c r="JIF1" s="266"/>
      <c r="JIG1" s="266"/>
      <c r="JIH1" s="266"/>
      <c r="JII1" s="266"/>
      <c r="JIJ1" s="266"/>
      <c r="JIK1" s="266"/>
      <c r="JIL1" s="266"/>
      <c r="JIM1" s="266"/>
      <c r="JIN1" s="266"/>
      <c r="JIO1" s="266"/>
      <c r="JIP1" s="266"/>
      <c r="JIQ1" s="266"/>
      <c r="JIR1" s="266"/>
      <c r="JIS1" s="266"/>
      <c r="JIT1" s="266"/>
      <c r="JIU1" s="266"/>
      <c r="JIV1" s="266"/>
      <c r="JIW1" s="266"/>
      <c r="JIX1" s="266"/>
      <c r="JIY1" s="266"/>
      <c r="JIZ1" s="266"/>
      <c r="JJA1" s="266"/>
      <c r="JJB1" s="266"/>
      <c r="JJC1" s="266"/>
      <c r="JJD1" s="266"/>
      <c r="JJE1" s="266"/>
      <c r="JJF1" s="266"/>
      <c r="JJG1" s="266"/>
      <c r="JJH1" s="266"/>
      <c r="JJI1" s="266"/>
      <c r="JJJ1" s="266"/>
      <c r="JJK1" s="266"/>
      <c r="JJL1" s="266"/>
      <c r="JJM1" s="266"/>
      <c r="JJN1" s="266"/>
      <c r="JJO1" s="266"/>
      <c r="JJP1" s="266"/>
      <c r="JJQ1" s="266"/>
      <c r="JJR1" s="266"/>
      <c r="JJS1" s="266"/>
      <c r="JJT1" s="266"/>
      <c r="JJU1" s="266"/>
      <c r="JJV1" s="266"/>
      <c r="JJW1" s="266"/>
      <c r="JJX1" s="266"/>
      <c r="JJY1" s="266"/>
      <c r="JJZ1" s="266"/>
      <c r="JKA1" s="266"/>
      <c r="JKB1" s="266"/>
      <c r="JKC1" s="266"/>
      <c r="JKD1" s="266"/>
      <c r="JKE1" s="266"/>
      <c r="JKF1" s="266"/>
      <c r="JKG1" s="266"/>
      <c r="JKH1" s="266"/>
      <c r="JKI1" s="266"/>
      <c r="JKJ1" s="266"/>
      <c r="JKK1" s="266"/>
      <c r="JKL1" s="266"/>
      <c r="JKM1" s="266"/>
      <c r="JKN1" s="266"/>
      <c r="JKO1" s="266"/>
      <c r="JKP1" s="266"/>
      <c r="JKQ1" s="266"/>
      <c r="JKR1" s="266"/>
      <c r="JKS1" s="266"/>
      <c r="JKT1" s="266"/>
      <c r="JKU1" s="266"/>
      <c r="JKV1" s="266"/>
      <c r="JKW1" s="266"/>
      <c r="JKX1" s="266"/>
      <c r="JKY1" s="266"/>
      <c r="JKZ1" s="266"/>
      <c r="JLA1" s="266"/>
      <c r="JLB1" s="266"/>
      <c r="JLC1" s="266"/>
      <c r="JLD1" s="266"/>
      <c r="JLE1" s="266"/>
      <c r="JLF1" s="266"/>
      <c r="JLG1" s="266"/>
      <c r="JLH1" s="266"/>
      <c r="JLI1" s="266"/>
      <c r="JLJ1" s="266"/>
      <c r="JLK1" s="266"/>
      <c r="JLL1" s="266"/>
      <c r="JLM1" s="266"/>
      <c r="JLN1" s="266"/>
      <c r="JLO1" s="266"/>
      <c r="JLP1" s="266"/>
      <c r="JLQ1" s="266"/>
      <c r="JLR1" s="266"/>
      <c r="JLS1" s="266"/>
      <c r="JLT1" s="266"/>
      <c r="JLU1" s="266"/>
      <c r="JLV1" s="266"/>
      <c r="JLW1" s="266"/>
      <c r="JLX1" s="266"/>
      <c r="JLY1" s="266"/>
      <c r="JLZ1" s="266"/>
      <c r="JMA1" s="266"/>
      <c r="JMB1" s="266"/>
      <c r="JMC1" s="266"/>
      <c r="JMD1" s="266"/>
      <c r="JME1" s="266"/>
      <c r="JMF1" s="266"/>
      <c r="JMG1" s="266"/>
      <c r="JMH1" s="266"/>
      <c r="JMI1" s="266"/>
      <c r="JMJ1" s="266"/>
      <c r="JMK1" s="266"/>
      <c r="JML1" s="266"/>
      <c r="JMM1" s="266"/>
      <c r="JMN1" s="266"/>
      <c r="JMO1" s="266"/>
      <c r="JMP1" s="266"/>
      <c r="JMQ1" s="266"/>
      <c r="JMR1" s="266"/>
      <c r="JMS1" s="266"/>
      <c r="JMT1" s="266"/>
      <c r="JMU1" s="266"/>
      <c r="JMV1" s="266"/>
      <c r="JMW1" s="266"/>
      <c r="JMX1" s="266"/>
      <c r="JMY1" s="266"/>
      <c r="JMZ1" s="266"/>
      <c r="JNA1" s="266"/>
      <c r="JNB1" s="266"/>
      <c r="JNC1" s="266"/>
      <c r="JND1" s="266"/>
      <c r="JNE1" s="266"/>
      <c r="JNF1" s="266"/>
      <c r="JNG1" s="266"/>
      <c r="JNH1" s="266"/>
      <c r="JNI1" s="266"/>
      <c r="JNJ1" s="266"/>
      <c r="JNK1" s="266"/>
      <c r="JNL1" s="266"/>
      <c r="JNM1" s="266"/>
      <c r="JNN1" s="266"/>
      <c r="JNO1" s="266"/>
      <c r="JNP1" s="266"/>
      <c r="JNQ1" s="266"/>
      <c r="JNR1" s="266"/>
      <c r="JNS1" s="266"/>
      <c r="JNT1" s="266"/>
      <c r="JNU1" s="266"/>
      <c r="JNV1" s="266"/>
      <c r="JNW1" s="266"/>
      <c r="JNX1" s="266"/>
      <c r="JNY1" s="266"/>
      <c r="JNZ1" s="266"/>
      <c r="JOA1" s="266"/>
      <c r="JOB1" s="266"/>
      <c r="JOC1" s="266"/>
      <c r="JOD1" s="266"/>
      <c r="JOE1" s="266"/>
      <c r="JOF1" s="266"/>
      <c r="JOG1" s="266"/>
      <c r="JOH1" s="266"/>
      <c r="JOI1" s="266"/>
      <c r="JOJ1" s="266"/>
      <c r="JOK1" s="266"/>
      <c r="JOL1" s="266"/>
      <c r="JOM1" s="266"/>
      <c r="JON1" s="266"/>
      <c r="JOO1" s="266"/>
      <c r="JOP1" s="266"/>
      <c r="JOQ1" s="266"/>
      <c r="JOR1" s="266"/>
      <c r="JOS1" s="266"/>
      <c r="JOT1" s="266"/>
      <c r="JOU1" s="266"/>
      <c r="JOV1" s="266"/>
      <c r="JOW1" s="266"/>
      <c r="JOX1" s="266"/>
      <c r="JOY1" s="266"/>
      <c r="JOZ1" s="266"/>
      <c r="JPA1" s="266"/>
      <c r="JPB1" s="266"/>
      <c r="JPC1" s="266"/>
      <c r="JPD1" s="266"/>
      <c r="JPE1" s="266"/>
      <c r="JPF1" s="266"/>
      <c r="JPG1" s="266"/>
      <c r="JPH1" s="266"/>
      <c r="JPI1" s="266"/>
      <c r="JPJ1" s="266"/>
      <c r="JPK1" s="266"/>
      <c r="JPL1" s="266"/>
      <c r="JPM1" s="266"/>
      <c r="JPN1" s="266"/>
      <c r="JPO1" s="266"/>
      <c r="JPP1" s="266"/>
      <c r="JPQ1" s="266"/>
      <c r="JPR1" s="266"/>
      <c r="JPS1" s="266"/>
      <c r="JPT1" s="266"/>
      <c r="JPU1" s="266"/>
      <c r="JPV1" s="266"/>
      <c r="JPW1" s="266"/>
      <c r="JPX1" s="266"/>
      <c r="JPY1" s="266"/>
      <c r="JPZ1" s="266"/>
      <c r="JQA1" s="266"/>
      <c r="JQB1" s="266"/>
      <c r="JQC1" s="266"/>
      <c r="JQD1" s="266"/>
      <c r="JQE1" s="266"/>
      <c r="JQF1" s="266"/>
      <c r="JQG1" s="266"/>
      <c r="JQH1" s="266"/>
      <c r="JQI1" s="266"/>
      <c r="JQJ1" s="266"/>
      <c r="JQK1" s="266"/>
      <c r="JQL1" s="266"/>
      <c r="JQM1" s="266"/>
      <c r="JQN1" s="266"/>
      <c r="JQO1" s="266"/>
      <c r="JQP1" s="266"/>
      <c r="JQQ1" s="266"/>
      <c r="JQR1" s="266"/>
      <c r="JQS1" s="266"/>
      <c r="JQT1" s="266"/>
      <c r="JQU1" s="266"/>
      <c r="JQV1" s="266"/>
      <c r="JQW1" s="266"/>
      <c r="JQX1" s="266"/>
      <c r="JQY1" s="266"/>
      <c r="JQZ1" s="266"/>
      <c r="JRA1" s="266"/>
      <c r="JRB1" s="266"/>
      <c r="JRC1" s="266"/>
      <c r="JRD1" s="266"/>
      <c r="JRE1" s="266"/>
      <c r="JRF1" s="266"/>
      <c r="JRG1" s="266"/>
      <c r="JRH1" s="266"/>
      <c r="JRI1" s="266"/>
      <c r="JRJ1" s="266"/>
      <c r="JRK1" s="266"/>
      <c r="JRL1" s="266"/>
      <c r="JRM1" s="266"/>
      <c r="JRN1" s="266"/>
      <c r="JRO1" s="266"/>
      <c r="JRP1" s="266"/>
      <c r="JRQ1" s="266"/>
      <c r="JRR1" s="266"/>
      <c r="JRS1" s="266"/>
      <c r="JRT1" s="266"/>
      <c r="JRU1" s="266"/>
      <c r="JRV1" s="266"/>
      <c r="JRW1" s="266"/>
      <c r="JRX1" s="266"/>
      <c r="JRY1" s="266"/>
      <c r="JRZ1" s="266"/>
      <c r="JSA1" s="266"/>
      <c r="JSB1" s="266"/>
      <c r="JSC1" s="266"/>
      <c r="JSD1" s="266"/>
      <c r="JSE1" s="266"/>
      <c r="JSF1" s="266"/>
      <c r="JSG1" s="266"/>
      <c r="JSH1" s="266"/>
      <c r="JSI1" s="266"/>
      <c r="JSJ1" s="266"/>
      <c r="JSK1" s="266"/>
      <c r="JSL1" s="266"/>
      <c r="JSM1" s="266"/>
      <c r="JSN1" s="266"/>
      <c r="JSO1" s="266"/>
      <c r="JSP1" s="266"/>
      <c r="JSQ1" s="266"/>
      <c r="JSR1" s="266"/>
      <c r="JSS1" s="266"/>
      <c r="JST1" s="266"/>
      <c r="JSU1" s="266"/>
      <c r="JSV1" s="266"/>
      <c r="JSW1" s="266"/>
      <c r="JSX1" s="266"/>
      <c r="JSY1" s="266"/>
      <c r="JSZ1" s="266"/>
      <c r="JTA1" s="266"/>
      <c r="JTB1" s="266"/>
      <c r="JTC1" s="266"/>
      <c r="JTD1" s="266"/>
      <c r="JTE1" s="266"/>
      <c r="JTF1" s="266"/>
      <c r="JTG1" s="266"/>
      <c r="JTH1" s="266"/>
      <c r="JTI1" s="266"/>
      <c r="JTJ1" s="266"/>
      <c r="JTK1" s="266"/>
      <c r="JTL1" s="266"/>
      <c r="JTM1" s="266"/>
      <c r="JTN1" s="266"/>
      <c r="JTO1" s="266"/>
      <c r="JTP1" s="266"/>
      <c r="JTQ1" s="266"/>
      <c r="JTR1" s="266"/>
      <c r="JTS1" s="266"/>
      <c r="JTT1" s="266"/>
      <c r="JTU1" s="266"/>
      <c r="JTV1" s="266"/>
      <c r="JTW1" s="266"/>
      <c r="JTX1" s="266"/>
      <c r="JTY1" s="266"/>
      <c r="JTZ1" s="266"/>
      <c r="JUA1" s="266"/>
      <c r="JUB1" s="266"/>
      <c r="JUC1" s="266"/>
      <c r="JUD1" s="266"/>
      <c r="JUE1" s="266"/>
      <c r="JUF1" s="266"/>
      <c r="JUG1" s="266"/>
      <c r="JUH1" s="266"/>
      <c r="JUI1" s="266"/>
      <c r="JUJ1" s="266"/>
      <c r="JUK1" s="266"/>
      <c r="JUL1" s="266"/>
      <c r="JUM1" s="266"/>
      <c r="JUN1" s="266"/>
      <c r="JUO1" s="266"/>
      <c r="JUP1" s="266"/>
      <c r="JUQ1" s="266"/>
      <c r="JUR1" s="266"/>
      <c r="JUS1" s="266"/>
      <c r="JUT1" s="266"/>
      <c r="JUU1" s="266"/>
      <c r="JUV1" s="266"/>
      <c r="JUW1" s="266"/>
      <c r="JUX1" s="266"/>
      <c r="JUY1" s="266"/>
      <c r="JUZ1" s="266"/>
      <c r="JVA1" s="266"/>
      <c r="JVB1" s="266"/>
      <c r="JVC1" s="266"/>
      <c r="JVD1" s="266"/>
      <c r="JVE1" s="266"/>
      <c r="JVF1" s="266"/>
      <c r="JVG1" s="266"/>
      <c r="JVH1" s="266"/>
      <c r="JVI1" s="266"/>
      <c r="JVJ1" s="266"/>
      <c r="JVK1" s="266"/>
      <c r="JVL1" s="266"/>
      <c r="JVM1" s="266"/>
      <c r="JVN1" s="266"/>
      <c r="JVO1" s="266"/>
      <c r="JVP1" s="266"/>
      <c r="JVQ1" s="266"/>
      <c r="JVR1" s="266"/>
      <c r="JVS1" s="266"/>
      <c r="JVT1" s="266"/>
      <c r="JVU1" s="266"/>
      <c r="JVV1" s="266"/>
      <c r="JVW1" s="266"/>
      <c r="JVX1" s="266"/>
      <c r="JVY1" s="266"/>
      <c r="JVZ1" s="266"/>
      <c r="JWA1" s="266"/>
      <c r="JWB1" s="266"/>
      <c r="JWC1" s="266"/>
      <c r="JWD1" s="266"/>
      <c r="JWE1" s="266"/>
      <c r="JWF1" s="266"/>
      <c r="JWG1" s="266"/>
      <c r="JWH1" s="266"/>
      <c r="JWI1" s="266"/>
      <c r="JWJ1" s="266"/>
      <c r="JWK1" s="266"/>
      <c r="JWL1" s="266"/>
      <c r="JWM1" s="266"/>
      <c r="JWN1" s="266"/>
      <c r="JWO1" s="266"/>
      <c r="JWP1" s="266"/>
      <c r="JWQ1" s="266"/>
      <c r="JWR1" s="266"/>
      <c r="JWS1" s="266"/>
      <c r="JWT1" s="266"/>
      <c r="JWU1" s="266"/>
      <c r="JWV1" s="266"/>
      <c r="JWW1" s="266"/>
      <c r="JWX1" s="266"/>
      <c r="JWY1" s="266"/>
      <c r="JWZ1" s="266"/>
      <c r="JXA1" s="266"/>
      <c r="JXB1" s="266"/>
      <c r="JXC1" s="266"/>
      <c r="JXD1" s="266"/>
      <c r="JXE1" s="266"/>
      <c r="JXF1" s="266"/>
      <c r="JXG1" s="266"/>
      <c r="JXH1" s="266"/>
      <c r="JXI1" s="266"/>
      <c r="JXJ1" s="266"/>
      <c r="JXK1" s="266"/>
      <c r="JXL1" s="266"/>
      <c r="JXM1" s="266"/>
      <c r="JXN1" s="266"/>
      <c r="JXO1" s="266"/>
      <c r="JXP1" s="266"/>
      <c r="JXQ1" s="266"/>
      <c r="JXR1" s="266"/>
      <c r="JXS1" s="266"/>
      <c r="JXT1" s="266"/>
      <c r="JXU1" s="266"/>
      <c r="JXV1" s="266"/>
      <c r="JXW1" s="266"/>
      <c r="JXX1" s="266"/>
      <c r="JXY1" s="266"/>
      <c r="JXZ1" s="266"/>
      <c r="JYA1" s="266"/>
      <c r="JYB1" s="266"/>
      <c r="JYC1" s="266"/>
      <c r="JYD1" s="266"/>
      <c r="JYE1" s="266"/>
      <c r="JYF1" s="266"/>
      <c r="JYG1" s="266"/>
      <c r="JYH1" s="266"/>
      <c r="JYI1" s="266"/>
      <c r="JYJ1" s="266"/>
      <c r="JYK1" s="266"/>
      <c r="JYL1" s="266"/>
      <c r="JYM1" s="266"/>
      <c r="JYN1" s="266"/>
      <c r="JYO1" s="266"/>
      <c r="JYP1" s="266"/>
      <c r="JYQ1" s="266"/>
      <c r="JYR1" s="266"/>
      <c r="JYS1" s="266"/>
      <c r="JYT1" s="266"/>
      <c r="JYU1" s="266"/>
      <c r="JYV1" s="266"/>
      <c r="JYW1" s="266"/>
      <c r="JYX1" s="266"/>
      <c r="JYY1" s="266"/>
      <c r="JYZ1" s="266"/>
      <c r="JZA1" s="266"/>
      <c r="JZB1" s="266"/>
      <c r="JZC1" s="266"/>
      <c r="JZD1" s="266"/>
      <c r="JZE1" s="266"/>
      <c r="JZF1" s="266"/>
      <c r="JZG1" s="266"/>
      <c r="JZH1" s="266"/>
      <c r="JZI1" s="266"/>
      <c r="JZJ1" s="266"/>
      <c r="JZK1" s="266"/>
      <c r="JZL1" s="266"/>
      <c r="JZM1" s="266"/>
      <c r="JZN1" s="266"/>
      <c r="JZO1" s="266"/>
      <c r="JZP1" s="266"/>
      <c r="JZQ1" s="266"/>
      <c r="JZR1" s="266"/>
      <c r="JZS1" s="266"/>
      <c r="JZT1" s="266"/>
      <c r="JZU1" s="266"/>
      <c r="JZV1" s="266"/>
      <c r="JZW1" s="266"/>
      <c r="JZX1" s="266"/>
      <c r="JZY1" s="266"/>
      <c r="JZZ1" s="266"/>
      <c r="KAA1" s="266"/>
      <c r="KAB1" s="266"/>
      <c r="KAC1" s="266"/>
      <c r="KAD1" s="266"/>
      <c r="KAE1" s="266"/>
      <c r="KAF1" s="266"/>
      <c r="KAG1" s="266"/>
      <c r="KAH1" s="266"/>
      <c r="KAI1" s="266"/>
      <c r="KAJ1" s="266"/>
      <c r="KAK1" s="266"/>
      <c r="KAL1" s="266"/>
      <c r="KAM1" s="266"/>
      <c r="KAN1" s="266"/>
      <c r="KAO1" s="266"/>
      <c r="KAP1" s="266"/>
      <c r="KAQ1" s="266"/>
      <c r="KAR1" s="266"/>
      <c r="KAS1" s="266"/>
      <c r="KAT1" s="266"/>
      <c r="KAU1" s="266"/>
      <c r="KAV1" s="266"/>
      <c r="KAW1" s="266"/>
      <c r="KAX1" s="266"/>
      <c r="KAY1" s="266"/>
      <c r="KAZ1" s="266"/>
      <c r="KBA1" s="266"/>
      <c r="KBB1" s="266"/>
      <c r="KBC1" s="266"/>
      <c r="KBD1" s="266"/>
      <c r="KBE1" s="266"/>
      <c r="KBF1" s="266"/>
      <c r="KBG1" s="266"/>
      <c r="KBH1" s="266"/>
      <c r="KBI1" s="266"/>
      <c r="KBJ1" s="266"/>
      <c r="KBK1" s="266"/>
      <c r="KBL1" s="266"/>
      <c r="KBM1" s="266"/>
      <c r="KBN1" s="266"/>
      <c r="KBO1" s="266"/>
      <c r="KBP1" s="266"/>
      <c r="KBQ1" s="266"/>
      <c r="KBR1" s="266"/>
      <c r="KBS1" s="266"/>
      <c r="KBT1" s="266"/>
      <c r="KBU1" s="266"/>
      <c r="KBV1" s="266"/>
      <c r="KBW1" s="266"/>
      <c r="KBX1" s="266"/>
      <c r="KBY1" s="266"/>
      <c r="KBZ1" s="266"/>
      <c r="KCA1" s="266"/>
      <c r="KCB1" s="266"/>
      <c r="KCC1" s="266"/>
      <c r="KCD1" s="266"/>
      <c r="KCE1" s="266"/>
      <c r="KCF1" s="266"/>
      <c r="KCG1" s="266"/>
      <c r="KCH1" s="266"/>
      <c r="KCI1" s="266"/>
      <c r="KCJ1" s="266"/>
      <c r="KCK1" s="266"/>
      <c r="KCL1" s="266"/>
      <c r="KCM1" s="266"/>
      <c r="KCN1" s="266"/>
      <c r="KCO1" s="266"/>
      <c r="KCP1" s="266"/>
      <c r="KCQ1" s="266"/>
      <c r="KCR1" s="266"/>
      <c r="KCS1" s="266"/>
      <c r="KCT1" s="266"/>
      <c r="KCU1" s="266"/>
      <c r="KCV1" s="266"/>
      <c r="KCW1" s="266"/>
      <c r="KCX1" s="266"/>
      <c r="KCY1" s="266"/>
      <c r="KCZ1" s="266"/>
      <c r="KDA1" s="266"/>
      <c r="KDB1" s="266"/>
      <c r="KDC1" s="266"/>
      <c r="KDD1" s="266"/>
      <c r="KDE1" s="266"/>
      <c r="KDF1" s="266"/>
      <c r="KDG1" s="266"/>
      <c r="KDH1" s="266"/>
      <c r="KDI1" s="266"/>
      <c r="KDJ1" s="266"/>
      <c r="KDK1" s="266"/>
      <c r="KDL1" s="266"/>
      <c r="KDM1" s="266"/>
      <c r="KDN1" s="266"/>
      <c r="KDO1" s="266"/>
      <c r="KDP1" s="266"/>
      <c r="KDQ1" s="266"/>
      <c r="KDR1" s="266"/>
      <c r="KDS1" s="266"/>
      <c r="KDT1" s="266"/>
      <c r="KDU1" s="266"/>
      <c r="KDV1" s="266"/>
      <c r="KDW1" s="266"/>
      <c r="KDX1" s="266"/>
      <c r="KDY1" s="266"/>
      <c r="KDZ1" s="266"/>
      <c r="KEA1" s="266"/>
      <c r="KEB1" s="266"/>
      <c r="KEC1" s="266"/>
      <c r="KED1" s="266"/>
      <c r="KEE1" s="266"/>
      <c r="KEF1" s="266"/>
      <c r="KEG1" s="266"/>
      <c r="KEH1" s="266"/>
      <c r="KEI1" s="266"/>
      <c r="KEJ1" s="266"/>
      <c r="KEK1" s="266"/>
      <c r="KEL1" s="266"/>
      <c r="KEM1" s="266"/>
      <c r="KEN1" s="266"/>
      <c r="KEO1" s="266"/>
      <c r="KEP1" s="266"/>
      <c r="KEQ1" s="266"/>
      <c r="KER1" s="266"/>
      <c r="KES1" s="266"/>
      <c r="KET1" s="266"/>
      <c r="KEU1" s="266"/>
      <c r="KEV1" s="266"/>
      <c r="KEW1" s="266"/>
      <c r="KEX1" s="266"/>
      <c r="KEY1" s="266"/>
      <c r="KEZ1" s="266"/>
      <c r="KFA1" s="266"/>
      <c r="KFB1" s="266"/>
      <c r="KFC1" s="266"/>
      <c r="KFD1" s="266"/>
      <c r="KFE1" s="266"/>
      <c r="KFF1" s="266"/>
      <c r="KFG1" s="266"/>
      <c r="KFH1" s="266"/>
      <c r="KFI1" s="266"/>
      <c r="KFJ1" s="266"/>
      <c r="KFK1" s="266"/>
      <c r="KFL1" s="266"/>
      <c r="KFM1" s="266"/>
      <c r="KFN1" s="266"/>
      <c r="KFO1" s="266"/>
      <c r="KFP1" s="266"/>
      <c r="KFQ1" s="266"/>
      <c r="KFR1" s="266"/>
      <c r="KFS1" s="266"/>
      <c r="KFT1" s="266"/>
      <c r="KFU1" s="266"/>
      <c r="KFV1" s="266"/>
      <c r="KFW1" s="266"/>
      <c r="KFX1" s="266"/>
      <c r="KFY1" s="266"/>
      <c r="KFZ1" s="266"/>
      <c r="KGA1" s="266"/>
      <c r="KGB1" s="266"/>
      <c r="KGC1" s="266"/>
      <c r="KGD1" s="266"/>
      <c r="KGE1" s="266"/>
      <c r="KGF1" s="266"/>
      <c r="KGG1" s="266"/>
      <c r="KGH1" s="266"/>
      <c r="KGI1" s="266"/>
      <c r="KGJ1" s="266"/>
      <c r="KGK1" s="266"/>
      <c r="KGL1" s="266"/>
      <c r="KGM1" s="266"/>
      <c r="KGN1" s="266"/>
      <c r="KGO1" s="266"/>
      <c r="KGP1" s="266"/>
      <c r="KGQ1" s="266"/>
      <c r="KGR1" s="266"/>
      <c r="KGS1" s="266"/>
      <c r="KGT1" s="266"/>
      <c r="KGU1" s="266"/>
      <c r="KGV1" s="266"/>
      <c r="KGW1" s="266"/>
      <c r="KGX1" s="266"/>
      <c r="KGY1" s="266"/>
      <c r="KGZ1" s="266"/>
      <c r="KHA1" s="266"/>
      <c r="KHB1" s="266"/>
      <c r="KHC1" s="266"/>
      <c r="KHD1" s="266"/>
      <c r="KHE1" s="266"/>
      <c r="KHF1" s="266"/>
      <c r="KHG1" s="266"/>
      <c r="KHH1" s="266"/>
      <c r="KHI1" s="266"/>
      <c r="KHJ1" s="266"/>
      <c r="KHK1" s="266"/>
      <c r="KHL1" s="266"/>
      <c r="KHM1" s="266"/>
      <c r="KHN1" s="266"/>
      <c r="KHO1" s="266"/>
      <c r="KHP1" s="266"/>
      <c r="KHQ1" s="266"/>
      <c r="KHR1" s="266"/>
      <c r="KHS1" s="266"/>
      <c r="KHT1" s="266"/>
      <c r="KHU1" s="266"/>
      <c r="KHV1" s="266"/>
      <c r="KHW1" s="266"/>
      <c r="KHX1" s="266"/>
      <c r="KHY1" s="266"/>
      <c r="KHZ1" s="266"/>
      <c r="KIA1" s="266"/>
      <c r="KIB1" s="266"/>
      <c r="KIC1" s="266"/>
      <c r="KID1" s="266"/>
      <c r="KIE1" s="266"/>
      <c r="KIF1" s="266"/>
      <c r="KIG1" s="266"/>
      <c r="KIH1" s="266"/>
      <c r="KII1" s="266"/>
      <c r="KIJ1" s="266"/>
      <c r="KIK1" s="266"/>
      <c r="KIL1" s="266"/>
      <c r="KIM1" s="266"/>
      <c r="KIN1" s="266"/>
      <c r="KIO1" s="266"/>
      <c r="KIP1" s="266"/>
      <c r="KIQ1" s="266"/>
      <c r="KIR1" s="266"/>
      <c r="KIS1" s="266"/>
      <c r="KIT1" s="266"/>
      <c r="KIU1" s="266"/>
      <c r="KIV1" s="266"/>
      <c r="KIW1" s="266"/>
      <c r="KIX1" s="266"/>
      <c r="KIY1" s="266"/>
      <c r="KIZ1" s="266"/>
      <c r="KJA1" s="266"/>
      <c r="KJB1" s="266"/>
      <c r="KJC1" s="266"/>
      <c r="KJD1" s="266"/>
      <c r="KJE1" s="266"/>
      <c r="KJF1" s="266"/>
      <c r="KJG1" s="266"/>
      <c r="KJH1" s="266"/>
      <c r="KJI1" s="266"/>
      <c r="KJJ1" s="266"/>
      <c r="KJK1" s="266"/>
      <c r="KJL1" s="266"/>
      <c r="KJM1" s="266"/>
      <c r="KJN1" s="266"/>
      <c r="KJO1" s="266"/>
      <c r="KJP1" s="266"/>
      <c r="KJQ1" s="266"/>
      <c r="KJR1" s="266"/>
      <c r="KJS1" s="266"/>
      <c r="KJT1" s="266"/>
      <c r="KJU1" s="266"/>
      <c r="KJV1" s="266"/>
      <c r="KJW1" s="266"/>
      <c r="KJX1" s="266"/>
      <c r="KJY1" s="266"/>
      <c r="KJZ1" s="266"/>
      <c r="KKA1" s="266"/>
      <c r="KKB1" s="266"/>
      <c r="KKC1" s="266"/>
      <c r="KKD1" s="266"/>
      <c r="KKE1" s="266"/>
      <c r="KKF1" s="266"/>
      <c r="KKG1" s="266"/>
      <c r="KKH1" s="266"/>
      <c r="KKI1" s="266"/>
      <c r="KKJ1" s="266"/>
      <c r="KKK1" s="266"/>
      <c r="KKL1" s="266"/>
      <c r="KKM1" s="266"/>
      <c r="KKN1" s="266"/>
      <c r="KKO1" s="266"/>
      <c r="KKP1" s="266"/>
      <c r="KKQ1" s="266"/>
      <c r="KKR1" s="266"/>
      <c r="KKS1" s="266"/>
      <c r="KKT1" s="266"/>
      <c r="KKU1" s="266"/>
      <c r="KKV1" s="266"/>
      <c r="KKW1" s="266"/>
      <c r="KKX1" s="266"/>
      <c r="KKY1" s="266"/>
      <c r="KKZ1" s="266"/>
      <c r="KLA1" s="266"/>
      <c r="KLB1" s="266"/>
      <c r="KLC1" s="266"/>
      <c r="KLD1" s="266"/>
      <c r="KLE1" s="266"/>
      <c r="KLF1" s="266"/>
      <c r="KLG1" s="266"/>
      <c r="KLH1" s="266"/>
      <c r="KLI1" s="266"/>
      <c r="KLJ1" s="266"/>
      <c r="KLK1" s="266"/>
      <c r="KLL1" s="266"/>
      <c r="KLM1" s="266"/>
      <c r="KLN1" s="266"/>
      <c r="KLO1" s="266"/>
      <c r="KLP1" s="266"/>
      <c r="KLQ1" s="266"/>
      <c r="KLR1" s="266"/>
      <c r="KLS1" s="266"/>
      <c r="KLT1" s="266"/>
      <c r="KLU1" s="266"/>
      <c r="KLV1" s="266"/>
      <c r="KLW1" s="266"/>
      <c r="KLX1" s="266"/>
      <c r="KLY1" s="266"/>
      <c r="KLZ1" s="266"/>
      <c r="KMA1" s="266"/>
      <c r="KMB1" s="266"/>
      <c r="KMC1" s="266"/>
      <c r="KMD1" s="266"/>
      <c r="KME1" s="266"/>
      <c r="KMF1" s="266"/>
      <c r="KMG1" s="266"/>
      <c r="KMH1" s="266"/>
      <c r="KMI1" s="266"/>
      <c r="KMJ1" s="266"/>
      <c r="KMK1" s="266"/>
      <c r="KML1" s="266"/>
      <c r="KMM1" s="266"/>
      <c r="KMN1" s="266"/>
      <c r="KMO1" s="266"/>
      <c r="KMP1" s="266"/>
      <c r="KMQ1" s="266"/>
      <c r="KMR1" s="266"/>
      <c r="KMS1" s="266"/>
      <c r="KMT1" s="266"/>
      <c r="KMU1" s="266"/>
      <c r="KMV1" s="266"/>
      <c r="KMW1" s="266"/>
      <c r="KMX1" s="266"/>
      <c r="KMY1" s="266"/>
      <c r="KMZ1" s="266"/>
      <c r="KNA1" s="266"/>
      <c r="KNB1" s="266"/>
      <c r="KNC1" s="266"/>
      <c r="KND1" s="266"/>
      <c r="KNE1" s="266"/>
      <c r="KNF1" s="266"/>
      <c r="KNG1" s="266"/>
      <c r="KNH1" s="266"/>
      <c r="KNI1" s="266"/>
      <c r="KNJ1" s="266"/>
      <c r="KNK1" s="266"/>
      <c r="KNL1" s="266"/>
      <c r="KNM1" s="266"/>
      <c r="KNN1" s="266"/>
      <c r="KNO1" s="266"/>
      <c r="KNP1" s="266"/>
      <c r="KNQ1" s="266"/>
      <c r="KNR1" s="266"/>
      <c r="KNS1" s="266"/>
      <c r="KNT1" s="266"/>
      <c r="KNU1" s="266"/>
      <c r="KNV1" s="266"/>
      <c r="KNW1" s="266"/>
      <c r="KNX1" s="266"/>
      <c r="KNY1" s="266"/>
      <c r="KNZ1" s="266"/>
      <c r="KOA1" s="266"/>
      <c r="KOB1" s="266"/>
      <c r="KOC1" s="266"/>
      <c r="KOD1" s="266"/>
      <c r="KOE1" s="266"/>
      <c r="KOF1" s="266"/>
      <c r="KOG1" s="266"/>
      <c r="KOH1" s="266"/>
      <c r="KOI1" s="266"/>
      <c r="KOJ1" s="266"/>
      <c r="KOK1" s="266"/>
      <c r="KOL1" s="266"/>
      <c r="KOM1" s="266"/>
      <c r="KON1" s="266"/>
      <c r="KOO1" s="266"/>
      <c r="KOP1" s="266"/>
      <c r="KOQ1" s="266"/>
      <c r="KOR1" s="266"/>
      <c r="KOS1" s="266"/>
      <c r="KOT1" s="266"/>
      <c r="KOU1" s="266"/>
      <c r="KOV1" s="266"/>
      <c r="KOW1" s="266"/>
      <c r="KOX1" s="266"/>
      <c r="KOY1" s="266"/>
      <c r="KOZ1" s="266"/>
      <c r="KPA1" s="266"/>
      <c r="KPB1" s="266"/>
      <c r="KPC1" s="266"/>
      <c r="KPD1" s="266"/>
      <c r="KPE1" s="266"/>
      <c r="KPF1" s="266"/>
      <c r="KPG1" s="266"/>
      <c r="KPH1" s="266"/>
      <c r="KPI1" s="266"/>
      <c r="KPJ1" s="266"/>
      <c r="KPK1" s="266"/>
      <c r="KPL1" s="266"/>
      <c r="KPM1" s="266"/>
      <c r="KPN1" s="266"/>
      <c r="KPO1" s="266"/>
      <c r="KPP1" s="266"/>
      <c r="KPQ1" s="266"/>
      <c r="KPR1" s="266"/>
      <c r="KPS1" s="266"/>
      <c r="KPT1" s="266"/>
      <c r="KPU1" s="266"/>
      <c r="KPV1" s="266"/>
      <c r="KPW1" s="266"/>
      <c r="KPX1" s="266"/>
      <c r="KPY1" s="266"/>
      <c r="KPZ1" s="266"/>
      <c r="KQA1" s="266"/>
      <c r="KQB1" s="266"/>
      <c r="KQC1" s="266"/>
      <c r="KQD1" s="266"/>
      <c r="KQE1" s="266"/>
      <c r="KQF1" s="266"/>
      <c r="KQG1" s="266"/>
      <c r="KQH1" s="266"/>
      <c r="KQI1" s="266"/>
      <c r="KQJ1" s="266"/>
      <c r="KQK1" s="266"/>
      <c r="KQL1" s="266"/>
      <c r="KQM1" s="266"/>
      <c r="KQN1" s="266"/>
      <c r="KQO1" s="266"/>
      <c r="KQP1" s="266"/>
      <c r="KQQ1" s="266"/>
      <c r="KQR1" s="266"/>
      <c r="KQS1" s="266"/>
      <c r="KQT1" s="266"/>
      <c r="KQU1" s="266"/>
      <c r="KQV1" s="266"/>
      <c r="KQW1" s="266"/>
      <c r="KQX1" s="266"/>
      <c r="KQY1" s="266"/>
      <c r="KQZ1" s="266"/>
      <c r="KRA1" s="266"/>
      <c r="KRB1" s="266"/>
      <c r="KRC1" s="266"/>
      <c r="KRD1" s="266"/>
      <c r="KRE1" s="266"/>
      <c r="KRF1" s="266"/>
      <c r="KRG1" s="266"/>
      <c r="KRH1" s="266"/>
      <c r="KRI1" s="266"/>
      <c r="KRJ1" s="266"/>
      <c r="KRK1" s="266"/>
      <c r="KRL1" s="266"/>
      <c r="KRM1" s="266"/>
      <c r="KRN1" s="266"/>
      <c r="KRO1" s="266"/>
      <c r="KRP1" s="266"/>
      <c r="KRQ1" s="266"/>
      <c r="KRR1" s="266"/>
      <c r="KRS1" s="266"/>
      <c r="KRT1" s="266"/>
      <c r="KRU1" s="266"/>
      <c r="KRV1" s="266"/>
      <c r="KRW1" s="266"/>
      <c r="KRX1" s="266"/>
      <c r="KRY1" s="266"/>
      <c r="KRZ1" s="266"/>
      <c r="KSA1" s="266"/>
      <c r="KSB1" s="266"/>
      <c r="KSC1" s="266"/>
      <c r="KSD1" s="266"/>
      <c r="KSE1" s="266"/>
      <c r="KSF1" s="266"/>
      <c r="KSG1" s="266"/>
      <c r="KSH1" s="266"/>
      <c r="KSI1" s="266"/>
      <c r="KSJ1" s="266"/>
      <c r="KSK1" s="266"/>
      <c r="KSL1" s="266"/>
      <c r="KSM1" s="266"/>
      <c r="KSN1" s="266"/>
      <c r="KSO1" s="266"/>
      <c r="KSP1" s="266"/>
      <c r="KSQ1" s="266"/>
      <c r="KSR1" s="266"/>
      <c r="KSS1" s="266"/>
      <c r="KST1" s="266"/>
      <c r="KSU1" s="266"/>
      <c r="KSV1" s="266"/>
      <c r="KSW1" s="266"/>
      <c r="KSX1" s="266"/>
      <c r="KSY1" s="266"/>
      <c r="KSZ1" s="266"/>
      <c r="KTA1" s="266"/>
      <c r="KTB1" s="266"/>
      <c r="KTC1" s="266"/>
      <c r="KTD1" s="266"/>
      <c r="KTE1" s="266"/>
      <c r="KTF1" s="266"/>
      <c r="KTG1" s="266"/>
      <c r="KTH1" s="266"/>
      <c r="KTI1" s="266"/>
      <c r="KTJ1" s="266"/>
      <c r="KTK1" s="266"/>
      <c r="KTL1" s="266"/>
      <c r="KTM1" s="266"/>
      <c r="KTN1" s="266"/>
      <c r="KTO1" s="266"/>
      <c r="KTP1" s="266"/>
      <c r="KTQ1" s="266"/>
      <c r="KTR1" s="266"/>
      <c r="KTS1" s="266"/>
      <c r="KTT1" s="266"/>
      <c r="KTU1" s="266"/>
      <c r="KTV1" s="266"/>
      <c r="KTW1" s="266"/>
      <c r="KTX1" s="266"/>
      <c r="KTY1" s="266"/>
      <c r="KTZ1" s="266"/>
      <c r="KUA1" s="266"/>
      <c r="KUB1" s="266"/>
      <c r="KUC1" s="266"/>
      <c r="KUD1" s="266"/>
      <c r="KUE1" s="266"/>
      <c r="KUF1" s="266"/>
      <c r="KUG1" s="266"/>
      <c r="KUH1" s="266"/>
      <c r="KUI1" s="266"/>
      <c r="KUJ1" s="266"/>
      <c r="KUK1" s="266"/>
      <c r="KUL1" s="266"/>
      <c r="KUM1" s="266"/>
      <c r="KUN1" s="266"/>
      <c r="KUO1" s="266"/>
      <c r="KUP1" s="266"/>
      <c r="KUQ1" s="266"/>
      <c r="KUR1" s="266"/>
      <c r="KUS1" s="266"/>
      <c r="KUT1" s="266"/>
      <c r="KUU1" s="266"/>
      <c r="KUV1" s="266"/>
      <c r="KUW1" s="266"/>
      <c r="KUX1" s="266"/>
      <c r="KUY1" s="266"/>
      <c r="KUZ1" s="266"/>
      <c r="KVA1" s="266"/>
      <c r="KVB1" s="266"/>
      <c r="KVC1" s="266"/>
      <c r="KVD1" s="266"/>
      <c r="KVE1" s="266"/>
      <c r="KVF1" s="266"/>
      <c r="KVG1" s="266"/>
      <c r="KVH1" s="266"/>
      <c r="KVI1" s="266"/>
      <c r="KVJ1" s="266"/>
      <c r="KVK1" s="266"/>
      <c r="KVL1" s="266"/>
      <c r="KVM1" s="266"/>
      <c r="KVN1" s="266"/>
      <c r="KVO1" s="266"/>
      <c r="KVP1" s="266"/>
      <c r="KVQ1" s="266"/>
      <c r="KVR1" s="266"/>
      <c r="KVS1" s="266"/>
      <c r="KVT1" s="266"/>
      <c r="KVU1" s="266"/>
      <c r="KVV1" s="266"/>
      <c r="KVW1" s="266"/>
      <c r="KVX1" s="266"/>
      <c r="KVY1" s="266"/>
      <c r="KVZ1" s="266"/>
      <c r="KWA1" s="266"/>
      <c r="KWB1" s="266"/>
      <c r="KWC1" s="266"/>
      <c r="KWD1" s="266"/>
      <c r="KWE1" s="266"/>
      <c r="KWF1" s="266"/>
      <c r="KWG1" s="266"/>
      <c r="KWH1" s="266"/>
      <c r="KWI1" s="266"/>
      <c r="KWJ1" s="266"/>
      <c r="KWK1" s="266"/>
      <c r="KWL1" s="266"/>
      <c r="KWM1" s="266"/>
      <c r="KWN1" s="266"/>
      <c r="KWO1" s="266"/>
      <c r="KWP1" s="266"/>
      <c r="KWQ1" s="266"/>
      <c r="KWR1" s="266"/>
      <c r="KWS1" s="266"/>
      <c r="KWT1" s="266"/>
      <c r="KWU1" s="266"/>
      <c r="KWV1" s="266"/>
      <c r="KWW1" s="266"/>
      <c r="KWX1" s="266"/>
      <c r="KWY1" s="266"/>
      <c r="KWZ1" s="266"/>
      <c r="KXA1" s="266"/>
      <c r="KXB1" s="266"/>
      <c r="KXC1" s="266"/>
      <c r="KXD1" s="266"/>
      <c r="KXE1" s="266"/>
      <c r="KXF1" s="266"/>
      <c r="KXG1" s="266"/>
      <c r="KXH1" s="266"/>
      <c r="KXI1" s="266"/>
      <c r="KXJ1" s="266"/>
      <c r="KXK1" s="266"/>
      <c r="KXL1" s="266"/>
      <c r="KXM1" s="266"/>
      <c r="KXN1" s="266"/>
      <c r="KXO1" s="266"/>
      <c r="KXP1" s="266"/>
      <c r="KXQ1" s="266"/>
      <c r="KXR1" s="266"/>
      <c r="KXS1" s="266"/>
      <c r="KXT1" s="266"/>
      <c r="KXU1" s="266"/>
      <c r="KXV1" s="266"/>
      <c r="KXW1" s="266"/>
      <c r="KXX1" s="266"/>
      <c r="KXY1" s="266"/>
      <c r="KXZ1" s="266"/>
      <c r="KYA1" s="266"/>
      <c r="KYB1" s="266"/>
      <c r="KYC1" s="266"/>
      <c r="KYD1" s="266"/>
      <c r="KYE1" s="266"/>
      <c r="KYF1" s="266"/>
      <c r="KYG1" s="266"/>
      <c r="KYH1" s="266"/>
      <c r="KYI1" s="266"/>
      <c r="KYJ1" s="266"/>
      <c r="KYK1" s="266"/>
      <c r="KYL1" s="266"/>
      <c r="KYM1" s="266"/>
      <c r="KYN1" s="266"/>
      <c r="KYO1" s="266"/>
      <c r="KYP1" s="266"/>
      <c r="KYQ1" s="266"/>
      <c r="KYR1" s="266"/>
      <c r="KYS1" s="266"/>
      <c r="KYT1" s="266"/>
      <c r="KYU1" s="266"/>
      <c r="KYV1" s="266"/>
      <c r="KYW1" s="266"/>
      <c r="KYX1" s="266"/>
      <c r="KYY1" s="266"/>
      <c r="KYZ1" s="266"/>
      <c r="KZA1" s="266"/>
      <c r="KZB1" s="266"/>
      <c r="KZC1" s="266"/>
      <c r="KZD1" s="266"/>
      <c r="KZE1" s="266"/>
      <c r="KZF1" s="266"/>
      <c r="KZG1" s="266"/>
      <c r="KZH1" s="266"/>
      <c r="KZI1" s="266"/>
      <c r="KZJ1" s="266"/>
      <c r="KZK1" s="266"/>
      <c r="KZL1" s="266"/>
      <c r="KZM1" s="266"/>
      <c r="KZN1" s="266"/>
      <c r="KZO1" s="266"/>
      <c r="KZP1" s="266"/>
      <c r="KZQ1" s="266"/>
      <c r="KZR1" s="266"/>
      <c r="KZS1" s="266"/>
      <c r="KZT1" s="266"/>
      <c r="KZU1" s="266"/>
      <c r="KZV1" s="266"/>
      <c r="KZW1" s="266"/>
      <c r="KZX1" s="266"/>
      <c r="KZY1" s="266"/>
      <c r="KZZ1" s="266"/>
      <c r="LAA1" s="266"/>
      <c r="LAB1" s="266"/>
      <c r="LAC1" s="266"/>
      <c r="LAD1" s="266"/>
      <c r="LAE1" s="266"/>
      <c r="LAF1" s="266"/>
      <c r="LAG1" s="266"/>
      <c r="LAH1" s="266"/>
      <c r="LAI1" s="266"/>
      <c r="LAJ1" s="266"/>
      <c r="LAK1" s="266"/>
      <c r="LAL1" s="266"/>
      <c r="LAM1" s="266"/>
      <c r="LAN1" s="266"/>
      <c r="LAO1" s="266"/>
      <c r="LAP1" s="266"/>
      <c r="LAQ1" s="266"/>
      <c r="LAR1" s="266"/>
      <c r="LAS1" s="266"/>
      <c r="LAT1" s="266"/>
      <c r="LAU1" s="266"/>
      <c r="LAV1" s="266"/>
      <c r="LAW1" s="266"/>
      <c r="LAX1" s="266"/>
      <c r="LAY1" s="266"/>
      <c r="LAZ1" s="266"/>
      <c r="LBA1" s="266"/>
      <c r="LBB1" s="266"/>
      <c r="LBC1" s="266"/>
      <c r="LBD1" s="266"/>
      <c r="LBE1" s="266"/>
      <c r="LBF1" s="266"/>
      <c r="LBG1" s="266"/>
      <c r="LBH1" s="266"/>
      <c r="LBI1" s="266"/>
      <c r="LBJ1" s="266"/>
      <c r="LBK1" s="266"/>
      <c r="LBL1" s="266"/>
      <c r="LBM1" s="266"/>
      <c r="LBN1" s="266"/>
      <c r="LBO1" s="266"/>
      <c r="LBP1" s="266"/>
      <c r="LBQ1" s="266"/>
      <c r="LBR1" s="266"/>
      <c r="LBS1" s="266"/>
      <c r="LBT1" s="266"/>
      <c r="LBU1" s="266"/>
      <c r="LBV1" s="266"/>
      <c r="LBW1" s="266"/>
      <c r="LBX1" s="266"/>
      <c r="LBY1" s="266"/>
      <c r="LBZ1" s="266"/>
      <c r="LCA1" s="266"/>
      <c r="LCB1" s="266"/>
      <c r="LCC1" s="266"/>
      <c r="LCD1" s="266"/>
      <c r="LCE1" s="266"/>
      <c r="LCF1" s="266"/>
      <c r="LCG1" s="266"/>
      <c r="LCH1" s="266"/>
      <c r="LCI1" s="266"/>
      <c r="LCJ1" s="266"/>
      <c r="LCK1" s="266"/>
      <c r="LCL1" s="266"/>
      <c r="LCM1" s="266"/>
      <c r="LCN1" s="266"/>
      <c r="LCO1" s="266"/>
      <c r="LCP1" s="266"/>
      <c r="LCQ1" s="266"/>
      <c r="LCR1" s="266"/>
      <c r="LCS1" s="266"/>
      <c r="LCT1" s="266"/>
      <c r="LCU1" s="266"/>
      <c r="LCV1" s="266"/>
      <c r="LCW1" s="266"/>
      <c r="LCX1" s="266"/>
      <c r="LCY1" s="266"/>
      <c r="LCZ1" s="266"/>
      <c r="LDA1" s="266"/>
      <c r="LDB1" s="266"/>
      <c r="LDC1" s="266"/>
      <c r="LDD1" s="266"/>
      <c r="LDE1" s="266"/>
      <c r="LDF1" s="266"/>
      <c r="LDG1" s="266"/>
      <c r="LDH1" s="266"/>
      <c r="LDI1" s="266"/>
      <c r="LDJ1" s="266"/>
      <c r="LDK1" s="266"/>
      <c r="LDL1" s="266"/>
      <c r="LDM1" s="266"/>
      <c r="LDN1" s="266"/>
      <c r="LDO1" s="266"/>
      <c r="LDP1" s="266"/>
      <c r="LDQ1" s="266"/>
      <c r="LDR1" s="266"/>
      <c r="LDS1" s="266"/>
      <c r="LDT1" s="266"/>
      <c r="LDU1" s="266"/>
      <c r="LDV1" s="266"/>
      <c r="LDW1" s="266"/>
      <c r="LDX1" s="266"/>
      <c r="LDY1" s="266"/>
      <c r="LDZ1" s="266"/>
      <c r="LEA1" s="266"/>
      <c r="LEB1" s="266"/>
      <c r="LEC1" s="266"/>
      <c r="LED1" s="266"/>
      <c r="LEE1" s="266"/>
      <c r="LEF1" s="266"/>
      <c r="LEG1" s="266"/>
      <c r="LEH1" s="266"/>
      <c r="LEI1" s="266"/>
      <c r="LEJ1" s="266"/>
      <c r="LEK1" s="266"/>
      <c r="LEL1" s="266"/>
      <c r="LEM1" s="266"/>
      <c r="LEN1" s="266"/>
      <c r="LEO1" s="266"/>
      <c r="LEP1" s="266"/>
      <c r="LEQ1" s="266"/>
      <c r="LER1" s="266"/>
      <c r="LES1" s="266"/>
      <c r="LET1" s="266"/>
      <c r="LEU1" s="266"/>
      <c r="LEV1" s="266"/>
      <c r="LEW1" s="266"/>
      <c r="LEX1" s="266"/>
      <c r="LEY1" s="266"/>
      <c r="LEZ1" s="266"/>
      <c r="LFA1" s="266"/>
      <c r="LFB1" s="266"/>
      <c r="LFC1" s="266"/>
      <c r="LFD1" s="266"/>
      <c r="LFE1" s="266"/>
      <c r="LFF1" s="266"/>
      <c r="LFG1" s="266"/>
      <c r="LFH1" s="266"/>
      <c r="LFI1" s="266"/>
      <c r="LFJ1" s="266"/>
      <c r="LFK1" s="266"/>
      <c r="LFL1" s="266"/>
      <c r="LFM1" s="266"/>
      <c r="LFN1" s="266"/>
      <c r="LFO1" s="266"/>
      <c r="LFP1" s="266"/>
      <c r="LFQ1" s="266"/>
      <c r="LFR1" s="266"/>
      <c r="LFS1" s="266"/>
      <c r="LFT1" s="266"/>
      <c r="LFU1" s="266"/>
      <c r="LFV1" s="266"/>
      <c r="LFW1" s="266"/>
      <c r="LFX1" s="266"/>
      <c r="LFY1" s="266"/>
      <c r="LFZ1" s="266"/>
      <c r="LGA1" s="266"/>
      <c r="LGB1" s="266"/>
      <c r="LGC1" s="266"/>
      <c r="LGD1" s="266"/>
      <c r="LGE1" s="266"/>
      <c r="LGF1" s="266"/>
      <c r="LGG1" s="266"/>
      <c r="LGH1" s="266"/>
      <c r="LGI1" s="266"/>
      <c r="LGJ1" s="266"/>
      <c r="LGK1" s="266"/>
      <c r="LGL1" s="266"/>
      <c r="LGM1" s="266"/>
      <c r="LGN1" s="266"/>
      <c r="LGO1" s="266"/>
      <c r="LGP1" s="266"/>
      <c r="LGQ1" s="266"/>
      <c r="LGR1" s="266"/>
      <c r="LGS1" s="266"/>
      <c r="LGT1" s="266"/>
      <c r="LGU1" s="266"/>
      <c r="LGV1" s="266"/>
      <c r="LGW1" s="266"/>
      <c r="LGX1" s="266"/>
      <c r="LGY1" s="266"/>
      <c r="LGZ1" s="266"/>
      <c r="LHA1" s="266"/>
      <c r="LHB1" s="266"/>
      <c r="LHC1" s="266"/>
      <c r="LHD1" s="266"/>
      <c r="LHE1" s="266"/>
      <c r="LHF1" s="266"/>
      <c r="LHG1" s="266"/>
      <c r="LHH1" s="266"/>
      <c r="LHI1" s="266"/>
      <c r="LHJ1" s="266"/>
      <c r="LHK1" s="266"/>
      <c r="LHL1" s="266"/>
      <c r="LHM1" s="266"/>
      <c r="LHN1" s="266"/>
      <c r="LHO1" s="266"/>
      <c r="LHP1" s="266"/>
      <c r="LHQ1" s="266"/>
      <c r="LHR1" s="266"/>
      <c r="LHS1" s="266"/>
      <c r="LHT1" s="266"/>
      <c r="LHU1" s="266"/>
      <c r="LHV1" s="266"/>
      <c r="LHW1" s="266"/>
      <c r="LHX1" s="266"/>
      <c r="LHY1" s="266"/>
      <c r="LHZ1" s="266"/>
      <c r="LIA1" s="266"/>
      <c r="LIB1" s="266"/>
      <c r="LIC1" s="266"/>
      <c r="LID1" s="266"/>
      <c r="LIE1" s="266"/>
      <c r="LIF1" s="266"/>
      <c r="LIG1" s="266"/>
      <c r="LIH1" s="266"/>
      <c r="LII1" s="266"/>
      <c r="LIJ1" s="266"/>
      <c r="LIK1" s="266"/>
      <c r="LIL1" s="266"/>
      <c r="LIM1" s="266"/>
      <c r="LIN1" s="266"/>
      <c r="LIO1" s="266"/>
      <c r="LIP1" s="266"/>
      <c r="LIQ1" s="266"/>
      <c r="LIR1" s="266"/>
      <c r="LIS1" s="266"/>
      <c r="LIT1" s="266"/>
      <c r="LIU1" s="266"/>
      <c r="LIV1" s="266"/>
      <c r="LIW1" s="266"/>
      <c r="LIX1" s="266"/>
      <c r="LIY1" s="266"/>
      <c r="LIZ1" s="266"/>
      <c r="LJA1" s="266"/>
      <c r="LJB1" s="266"/>
      <c r="LJC1" s="266"/>
      <c r="LJD1" s="266"/>
      <c r="LJE1" s="266"/>
      <c r="LJF1" s="266"/>
      <c r="LJG1" s="266"/>
      <c r="LJH1" s="266"/>
      <c r="LJI1" s="266"/>
      <c r="LJJ1" s="266"/>
      <c r="LJK1" s="266"/>
      <c r="LJL1" s="266"/>
      <c r="LJM1" s="266"/>
      <c r="LJN1" s="266"/>
      <c r="LJO1" s="266"/>
      <c r="LJP1" s="266"/>
      <c r="LJQ1" s="266"/>
      <c r="LJR1" s="266"/>
      <c r="LJS1" s="266"/>
      <c r="LJT1" s="266"/>
      <c r="LJU1" s="266"/>
      <c r="LJV1" s="266"/>
      <c r="LJW1" s="266"/>
      <c r="LJX1" s="266"/>
      <c r="LJY1" s="266"/>
      <c r="LJZ1" s="266"/>
      <c r="LKA1" s="266"/>
      <c r="LKB1" s="266"/>
      <c r="LKC1" s="266"/>
      <c r="LKD1" s="266"/>
      <c r="LKE1" s="266"/>
      <c r="LKF1" s="266"/>
      <c r="LKG1" s="266"/>
      <c r="LKH1" s="266"/>
      <c r="LKI1" s="266"/>
      <c r="LKJ1" s="266"/>
      <c r="LKK1" s="266"/>
      <c r="LKL1" s="266"/>
      <c r="LKM1" s="266"/>
      <c r="LKN1" s="266"/>
      <c r="LKO1" s="266"/>
      <c r="LKP1" s="266"/>
      <c r="LKQ1" s="266"/>
      <c r="LKR1" s="266"/>
      <c r="LKS1" s="266"/>
      <c r="LKT1" s="266"/>
      <c r="LKU1" s="266"/>
      <c r="LKV1" s="266"/>
      <c r="LKW1" s="266"/>
      <c r="LKX1" s="266"/>
      <c r="LKY1" s="266"/>
      <c r="LKZ1" s="266"/>
      <c r="LLA1" s="266"/>
      <c r="LLB1" s="266"/>
      <c r="LLC1" s="266"/>
      <c r="LLD1" s="266"/>
      <c r="LLE1" s="266"/>
      <c r="LLF1" s="266"/>
      <c r="LLG1" s="266"/>
      <c r="LLH1" s="266"/>
      <c r="LLI1" s="266"/>
      <c r="LLJ1" s="266"/>
      <c r="LLK1" s="266"/>
      <c r="LLL1" s="266"/>
      <c r="LLM1" s="266"/>
      <c r="LLN1" s="266"/>
      <c r="LLO1" s="266"/>
      <c r="LLP1" s="266"/>
      <c r="LLQ1" s="266"/>
      <c r="LLR1" s="266"/>
      <c r="LLS1" s="266"/>
      <c r="LLT1" s="266"/>
      <c r="LLU1" s="266"/>
      <c r="LLV1" s="266"/>
      <c r="LLW1" s="266"/>
      <c r="LLX1" s="266"/>
      <c r="LLY1" s="266"/>
      <c r="LLZ1" s="266"/>
      <c r="LMA1" s="266"/>
      <c r="LMB1" s="266"/>
      <c r="LMC1" s="266"/>
      <c r="LMD1" s="266"/>
      <c r="LME1" s="266"/>
      <c r="LMF1" s="266"/>
      <c r="LMG1" s="266"/>
      <c r="LMH1" s="266"/>
      <c r="LMI1" s="266"/>
      <c r="LMJ1" s="266"/>
      <c r="LMK1" s="266"/>
      <c r="LML1" s="266"/>
      <c r="LMM1" s="266"/>
      <c r="LMN1" s="266"/>
      <c r="LMO1" s="266"/>
      <c r="LMP1" s="266"/>
      <c r="LMQ1" s="266"/>
      <c r="LMR1" s="266"/>
      <c r="LMS1" s="266"/>
      <c r="LMT1" s="266"/>
      <c r="LMU1" s="266"/>
      <c r="LMV1" s="266"/>
      <c r="LMW1" s="266"/>
      <c r="LMX1" s="266"/>
      <c r="LMY1" s="266"/>
      <c r="LMZ1" s="266"/>
      <c r="LNA1" s="266"/>
      <c r="LNB1" s="266"/>
      <c r="LNC1" s="266"/>
      <c r="LND1" s="266"/>
      <c r="LNE1" s="266"/>
      <c r="LNF1" s="266"/>
      <c r="LNG1" s="266"/>
      <c r="LNH1" s="266"/>
      <c r="LNI1" s="266"/>
      <c r="LNJ1" s="266"/>
      <c r="LNK1" s="266"/>
      <c r="LNL1" s="266"/>
      <c r="LNM1" s="266"/>
      <c r="LNN1" s="266"/>
      <c r="LNO1" s="266"/>
      <c r="LNP1" s="266"/>
      <c r="LNQ1" s="266"/>
      <c r="LNR1" s="266"/>
      <c r="LNS1" s="266"/>
      <c r="LNT1" s="266"/>
      <c r="LNU1" s="266"/>
      <c r="LNV1" s="266"/>
      <c r="LNW1" s="266"/>
      <c r="LNX1" s="266"/>
      <c r="LNY1" s="266"/>
      <c r="LNZ1" s="266"/>
      <c r="LOA1" s="266"/>
      <c r="LOB1" s="266"/>
      <c r="LOC1" s="266"/>
      <c r="LOD1" s="266"/>
      <c r="LOE1" s="266"/>
      <c r="LOF1" s="266"/>
      <c r="LOG1" s="266"/>
      <c r="LOH1" s="266"/>
      <c r="LOI1" s="266"/>
      <c r="LOJ1" s="266"/>
      <c r="LOK1" s="266"/>
      <c r="LOL1" s="266"/>
      <c r="LOM1" s="266"/>
      <c r="LON1" s="266"/>
      <c r="LOO1" s="266"/>
      <c r="LOP1" s="266"/>
      <c r="LOQ1" s="266"/>
      <c r="LOR1" s="266"/>
      <c r="LOS1" s="266"/>
      <c r="LOT1" s="266"/>
      <c r="LOU1" s="266"/>
      <c r="LOV1" s="266"/>
      <c r="LOW1" s="266"/>
      <c r="LOX1" s="266"/>
      <c r="LOY1" s="266"/>
      <c r="LOZ1" s="266"/>
      <c r="LPA1" s="266"/>
      <c r="LPB1" s="266"/>
      <c r="LPC1" s="266"/>
      <c r="LPD1" s="266"/>
      <c r="LPE1" s="266"/>
      <c r="LPF1" s="266"/>
      <c r="LPG1" s="266"/>
      <c r="LPH1" s="266"/>
      <c r="LPI1" s="266"/>
      <c r="LPJ1" s="266"/>
      <c r="LPK1" s="266"/>
      <c r="LPL1" s="266"/>
      <c r="LPM1" s="266"/>
      <c r="LPN1" s="266"/>
      <c r="LPO1" s="266"/>
      <c r="LPP1" s="266"/>
      <c r="LPQ1" s="266"/>
      <c r="LPR1" s="266"/>
      <c r="LPS1" s="266"/>
      <c r="LPT1" s="266"/>
      <c r="LPU1" s="266"/>
      <c r="LPV1" s="266"/>
      <c r="LPW1" s="266"/>
      <c r="LPX1" s="266"/>
      <c r="LPY1" s="266"/>
      <c r="LPZ1" s="266"/>
      <c r="LQA1" s="266"/>
      <c r="LQB1" s="266"/>
      <c r="LQC1" s="266"/>
      <c r="LQD1" s="266"/>
      <c r="LQE1" s="266"/>
      <c r="LQF1" s="266"/>
      <c r="LQG1" s="266"/>
      <c r="LQH1" s="266"/>
      <c r="LQI1" s="266"/>
      <c r="LQJ1" s="266"/>
      <c r="LQK1" s="266"/>
      <c r="LQL1" s="266"/>
      <c r="LQM1" s="266"/>
      <c r="LQN1" s="266"/>
      <c r="LQO1" s="266"/>
      <c r="LQP1" s="266"/>
      <c r="LQQ1" s="266"/>
      <c r="LQR1" s="266"/>
      <c r="LQS1" s="266"/>
      <c r="LQT1" s="266"/>
      <c r="LQU1" s="266"/>
      <c r="LQV1" s="266"/>
      <c r="LQW1" s="266"/>
      <c r="LQX1" s="266"/>
      <c r="LQY1" s="266"/>
      <c r="LQZ1" s="266"/>
      <c r="LRA1" s="266"/>
      <c r="LRB1" s="266"/>
      <c r="LRC1" s="266"/>
      <c r="LRD1" s="266"/>
      <c r="LRE1" s="266"/>
      <c r="LRF1" s="266"/>
      <c r="LRG1" s="266"/>
      <c r="LRH1" s="266"/>
      <c r="LRI1" s="266"/>
      <c r="LRJ1" s="266"/>
      <c r="LRK1" s="266"/>
      <c r="LRL1" s="266"/>
      <c r="LRM1" s="266"/>
      <c r="LRN1" s="266"/>
      <c r="LRO1" s="266"/>
      <c r="LRP1" s="266"/>
      <c r="LRQ1" s="266"/>
      <c r="LRR1" s="266"/>
      <c r="LRS1" s="266"/>
      <c r="LRT1" s="266"/>
      <c r="LRU1" s="266"/>
      <c r="LRV1" s="266"/>
      <c r="LRW1" s="266"/>
      <c r="LRX1" s="266"/>
      <c r="LRY1" s="266"/>
      <c r="LRZ1" s="266"/>
      <c r="LSA1" s="266"/>
      <c r="LSB1" s="266"/>
      <c r="LSC1" s="266"/>
      <c r="LSD1" s="266"/>
      <c r="LSE1" s="266"/>
      <c r="LSF1" s="266"/>
      <c r="LSG1" s="266"/>
      <c r="LSH1" s="266"/>
      <c r="LSI1" s="266"/>
      <c r="LSJ1" s="266"/>
      <c r="LSK1" s="266"/>
      <c r="LSL1" s="266"/>
      <c r="LSM1" s="266"/>
      <c r="LSN1" s="266"/>
      <c r="LSO1" s="266"/>
      <c r="LSP1" s="266"/>
      <c r="LSQ1" s="266"/>
      <c r="LSR1" s="266"/>
      <c r="LSS1" s="266"/>
      <c r="LST1" s="266"/>
      <c r="LSU1" s="266"/>
      <c r="LSV1" s="266"/>
      <c r="LSW1" s="266"/>
      <c r="LSX1" s="266"/>
      <c r="LSY1" s="266"/>
      <c r="LSZ1" s="266"/>
      <c r="LTA1" s="266"/>
      <c r="LTB1" s="266"/>
      <c r="LTC1" s="266"/>
      <c r="LTD1" s="266"/>
      <c r="LTE1" s="266"/>
      <c r="LTF1" s="266"/>
      <c r="LTG1" s="266"/>
      <c r="LTH1" s="266"/>
      <c r="LTI1" s="266"/>
      <c r="LTJ1" s="266"/>
      <c r="LTK1" s="266"/>
      <c r="LTL1" s="266"/>
      <c r="LTM1" s="266"/>
      <c r="LTN1" s="266"/>
      <c r="LTO1" s="266"/>
      <c r="LTP1" s="266"/>
      <c r="LTQ1" s="266"/>
      <c r="LTR1" s="266"/>
      <c r="LTS1" s="266"/>
      <c r="LTT1" s="266"/>
      <c r="LTU1" s="266"/>
      <c r="LTV1" s="266"/>
      <c r="LTW1" s="266"/>
      <c r="LTX1" s="266"/>
      <c r="LTY1" s="266"/>
      <c r="LTZ1" s="266"/>
      <c r="LUA1" s="266"/>
      <c r="LUB1" s="266"/>
      <c r="LUC1" s="266"/>
      <c r="LUD1" s="266"/>
      <c r="LUE1" s="266"/>
      <c r="LUF1" s="266"/>
      <c r="LUG1" s="266"/>
      <c r="LUH1" s="266"/>
      <c r="LUI1" s="266"/>
      <c r="LUJ1" s="266"/>
      <c r="LUK1" s="266"/>
      <c r="LUL1" s="266"/>
      <c r="LUM1" s="266"/>
      <c r="LUN1" s="266"/>
      <c r="LUO1" s="266"/>
      <c r="LUP1" s="266"/>
      <c r="LUQ1" s="266"/>
      <c r="LUR1" s="266"/>
      <c r="LUS1" s="266"/>
      <c r="LUT1" s="266"/>
      <c r="LUU1" s="266"/>
      <c r="LUV1" s="266"/>
      <c r="LUW1" s="266"/>
      <c r="LUX1" s="266"/>
      <c r="LUY1" s="266"/>
      <c r="LUZ1" s="266"/>
      <c r="LVA1" s="266"/>
      <c r="LVB1" s="266"/>
      <c r="LVC1" s="266"/>
      <c r="LVD1" s="266"/>
      <c r="LVE1" s="266"/>
      <c r="LVF1" s="266"/>
      <c r="LVG1" s="266"/>
      <c r="LVH1" s="266"/>
      <c r="LVI1" s="266"/>
      <c r="LVJ1" s="266"/>
      <c r="LVK1" s="266"/>
      <c r="LVL1" s="266"/>
      <c r="LVM1" s="266"/>
      <c r="LVN1" s="266"/>
      <c r="LVO1" s="266"/>
      <c r="LVP1" s="266"/>
      <c r="LVQ1" s="266"/>
      <c r="LVR1" s="266"/>
      <c r="LVS1" s="266"/>
      <c r="LVT1" s="266"/>
      <c r="LVU1" s="266"/>
      <c r="LVV1" s="266"/>
      <c r="LVW1" s="266"/>
      <c r="LVX1" s="266"/>
      <c r="LVY1" s="266"/>
      <c r="LVZ1" s="266"/>
      <c r="LWA1" s="266"/>
      <c r="LWB1" s="266"/>
      <c r="LWC1" s="266"/>
      <c r="LWD1" s="266"/>
      <c r="LWE1" s="266"/>
      <c r="LWF1" s="266"/>
      <c r="LWG1" s="266"/>
      <c r="LWH1" s="266"/>
      <c r="LWI1" s="266"/>
      <c r="LWJ1" s="266"/>
      <c r="LWK1" s="266"/>
      <c r="LWL1" s="266"/>
      <c r="LWM1" s="266"/>
      <c r="LWN1" s="266"/>
      <c r="LWO1" s="266"/>
      <c r="LWP1" s="266"/>
      <c r="LWQ1" s="266"/>
      <c r="LWR1" s="266"/>
      <c r="LWS1" s="266"/>
      <c r="LWT1" s="266"/>
      <c r="LWU1" s="266"/>
      <c r="LWV1" s="266"/>
      <c r="LWW1" s="266"/>
      <c r="LWX1" s="266"/>
      <c r="LWY1" s="266"/>
      <c r="LWZ1" s="266"/>
      <c r="LXA1" s="266"/>
      <c r="LXB1" s="266"/>
      <c r="LXC1" s="266"/>
      <c r="LXD1" s="266"/>
      <c r="LXE1" s="266"/>
      <c r="LXF1" s="266"/>
      <c r="LXG1" s="266"/>
      <c r="LXH1" s="266"/>
      <c r="LXI1" s="266"/>
      <c r="LXJ1" s="266"/>
      <c r="LXK1" s="266"/>
      <c r="LXL1" s="266"/>
      <c r="LXM1" s="266"/>
      <c r="LXN1" s="266"/>
      <c r="LXO1" s="266"/>
      <c r="LXP1" s="266"/>
      <c r="LXQ1" s="266"/>
      <c r="LXR1" s="266"/>
      <c r="LXS1" s="266"/>
      <c r="LXT1" s="266"/>
      <c r="LXU1" s="266"/>
      <c r="LXV1" s="266"/>
      <c r="LXW1" s="266"/>
      <c r="LXX1" s="266"/>
      <c r="LXY1" s="266"/>
      <c r="LXZ1" s="266"/>
      <c r="LYA1" s="266"/>
      <c r="LYB1" s="266"/>
      <c r="LYC1" s="266"/>
      <c r="LYD1" s="266"/>
      <c r="LYE1" s="266"/>
      <c r="LYF1" s="266"/>
      <c r="LYG1" s="266"/>
      <c r="LYH1" s="266"/>
      <c r="LYI1" s="266"/>
      <c r="LYJ1" s="266"/>
      <c r="LYK1" s="266"/>
      <c r="LYL1" s="266"/>
      <c r="LYM1" s="266"/>
      <c r="LYN1" s="266"/>
      <c r="LYO1" s="266"/>
      <c r="LYP1" s="266"/>
      <c r="LYQ1" s="266"/>
      <c r="LYR1" s="266"/>
      <c r="LYS1" s="266"/>
      <c r="LYT1" s="266"/>
      <c r="LYU1" s="266"/>
      <c r="LYV1" s="266"/>
      <c r="LYW1" s="266"/>
      <c r="LYX1" s="266"/>
      <c r="LYY1" s="266"/>
      <c r="LYZ1" s="266"/>
      <c r="LZA1" s="266"/>
      <c r="LZB1" s="266"/>
      <c r="LZC1" s="266"/>
      <c r="LZD1" s="266"/>
      <c r="LZE1" s="266"/>
      <c r="LZF1" s="266"/>
      <c r="LZG1" s="266"/>
      <c r="LZH1" s="266"/>
      <c r="LZI1" s="266"/>
      <c r="LZJ1" s="266"/>
      <c r="LZK1" s="266"/>
      <c r="LZL1" s="266"/>
      <c r="LZM1" s="266"/>
      <c r="LZN1" s="266"/>
      <c r="LZO1" s="266"/>
      <c r="LZP1" s="266"/>
      <c r="LZQ1" s="266"/>
      <c r="LZR1" s="266"/>
      <c r="LZS1" s="266"/>
      <c r="LZT1" s="266"/>
      <c r="LZU1" s="266"/>
      <c r="LZV1" s="266"/>
      <c r="LZW1" s="266"/>
      <c r="LZX1" s="266"/>
      <c r="LZY1" s="266"/>
      <c r="LZZ1" s="266"/>
      <c r="MAA1" s="266"/>
      <c r="MAB1" s="266"/>
      <c r="MAC1" s="266"/>
      <c r="MAD1" s="266"/>
      <c r="MAE1" s="266"/>
      <c r="MAF1" s="266"/>
      <c r="MAG1" s="266"/>
      <c r="MAH1" s="266"/>
      <c r="MAI1" s="266"/>
      <c r="MAJ1" s="266"/>
      <c r="MAK1" s="266"/>
      <c r="MAL1" s="266"/>
      <c r="MAM1" s="266"/>
      <c r="MAN1" s="266"/>
      <c r="MAO1" s="266"/>
      <c r="MAP1" s="266"/>
      <c r="MAQ1" s="266"/>
      <c r="MAR1" s="266"/>
      <c r="MAS1" s="266"/>
      <c r="MAT1" s="266"/>
      <c r="MAU1" s="266"/>
      <c r="MAV1" s="266"/>
      <c r="MAW1" s="266"/>
      <c r="MAX1" s="266"/>
      <c r="MAY1" s="266"/>
      <c r="MAZ1" s="266"/>
      <c r="MBA1" s="266"/>
      <c r="MBB1" s="266"/>
      <c r="MBC1" s="266"/>
      <c r="MBD1" s="266"/>
      <c r="MBE1" s="266"/>
      <c r="MBF1" s="266"/>
      <c r="MBG1" s="266"/>
      <c r="MBH1" s="266"/>
      <c r="MBI1" s="266"/>
      <c r="MBJ1" s="266"/>
      <c r="MBK1" s="266"/>
      <c r="MBL1" s="266"/>
      <c r="MBM1" s="266"/>
      <c r="MBN1" s="266"/>
      <c r="MBO1" s="266"/>
      <c r="MBP1" s="266"/>
      <c r="MBQ1" s="266"/>
      <c r="MBR1" s="266"/>
      <c r="MBS1" s="266"/>
      <c r="MBT1" s="266"/>
      <c r="MBU1" s="266"/>
      <c r="MBV1" s="266"/>
      <c r="MBW1" s="266"/>
      <c r="MBX1" s="266"/>
      <c r="MBY1" s="266"/>
      <c r="MBZ1" s="266"/>
      <c r="MCA1" s="266"/>
      <c r="MCB1" s="266"/>
      <c r="MCC1" s="266"/>
      <c r="MCD1" s="266"/>
      <c r="MCE1" s="266"/>
      <c r="MCF1" s="266"/>
      <c r="MCG1" s="266"/>
      <c r="MCH1" s="266"/>
      <c r="MCI1" s="266"/>
      <c r="MCJ1" s="266"/>
      <c r="MCK1" s="266"/>
      <c r="MCL1" s="266"/>
      <c r="MCM1" s="266"/>
      <c r="MCN1" s="266"/>
      <c r="MCO1" s="266"/>
      <c r="MCP1" s="266"/>
      <c r="MCQ1" s="266"/>
      <c r="MCR1" s="266"/>
      <c r="MCS1" s="266"/>
      <c r="MCT1" s="266"/>
      <c r="MCU1" s="266"/>
      <c r="MCV1" s="266"/>
      <c r="MCW1" s="266"/>
      <c r="MCX1" s="266"/>
      <c r="MCY1" s="266"/>
      <c r="MCZ1" s="266"/>
      <c r="MDA1" s="266"/>
      <c r="MDB1" s="266"/>
      <c r="MDC1" s="266"/>
      <c r="MDD1" s="266"/>
      <c r="MDE1" s="266"/>
      <c r="MDF1" s="266"/>
      <c r="MDG1" s="266"/>
      <c r="MDH1" s="266"/>
      <c r="MDI1" s="266"/>
      <c r="MDJ1" s="266"/>
      <c r="MDK1" s="266"/>
      <c r="MDL1" s="266"/>
      <c r="MDM1" s="266"/>
      <c r="MDN1" s="266"/>
      <c r="MDO1" s="266"/>
      <c r="MDP1" s="266"/>
      <c r="MDQ1" s="266"/>
      <c r="MDR1" s="266"/>
      <c r="MDS1" s="266"/>
      <c r="MDT1" s="266"/>
      <c r="MDU1" s="266"/>
      <c r="MDV1" s="266"/>
      <c r="MDW1" s="266"/>
      <c r="MDX1" s="266"/>
      <c r="MDY1" s="266"/>
      <c r="MDZ1" s="266"/>
      <c r="MEA1" s="266"/>
      <c r="MEB1" s="266"/>
      <c r="MEC1" s="266"/>
      <c r="MED1" s="266"/>
      <c r="MEE1" s="266"/>
      <c r="MEF1" s="266"/>
      <c r="MEG1" s="266"/>
      <c r="MEH1" s="266"/>
      <c r="MEI1" s="266"/>
      <c r="MEJ1" s="266"/>
      <c r="MEK1" s="266"/>
      <c r="MEL1" s="266"/>
      <c r="MEM1" s="266"/>
      <c r="MEN1" s="266"/>
      <c r="MEO1" s="266"/>
      <c r="MEP1" s="266"/>
      <c r="MEQ1" s="266"/>
      <c r="MER1" s="266"/>
      <c r="MES1" s="266"/>
      <c r="MET1" s="266"/>
      <c r="MEU1" s="266"/>
      <c r="MEV1" s="266"/>
      <c r="MEW1" s="266"/>
      <c r="MEX1" s="266"/>
      <c r="MEY1" s="266"/>
      <c r="MEZ1" s="266"/>
      <c r="MFA1" s="266"/>
      <c r="MFB1" s="266"/>
      <c r="MFC1" s="266"/>
      <c r="MFD1" s="266"/>
      <c r="MFE1" s="266"/>
      <c r="MFF1" s="266"/>
      <c r="MFG1" s="266"/>
      <c r="MFH1" s="266"/>
      <c r="MFI1" s="266"/>
      <c r="MFJ1" s="266"/>
      <c r="MFK1" s="266"/>
      <c r="MFL1" s="266"/>
      <c r="MFM1" s="266"/>
      <c r="MFN1" s="266"/>
      <c r="MFO1" s="266"/>
      <c r="MFP1" s="266"/>
      <c r="MFQ1" s="266"/>
      <c r="MFR1" s="266"/>
      <c r="MFS1" s="266"/>
      <c r="MFT1" s="266"/>
      <c r="MFU1" s="266"/>
      <c r="MFV1" s="266"/>
      <c r="MFW1" s="266"/>
      <c r="MFX1" s="266"/>
      <c r="MFY1" s="266"/>
      <c r="MFZ1" s="266"/>
      <c r="MGA1" s="266"/>
      <c r="MGB1" s="266"/>
      <c r="MGC1" s="266"/>
      <c r="MGD1" s="266"/>
      <c r="MGE1" s="266"/>
      <c r="MGF1" s="266"/>
      <c r="MGG1" s="266"/>
      <c r="MGH1" s="266"/>
      <c r="MGI1" s="266"/>
      <c r="MGJ1" s="266"/>
      <c r="MGK1" s="266"/>
      <c r="MGL1" s="266"/>
      <c r="MGM1" s="266"/>
      <c r="MGN1" s="266"/>
      <c r="MGO1" s="266"/>
      <c r="MGP1" s="266"/>
      <c r="MGQ1" s="266"/>
      <c r="MGR1" s="266"/>
      <c r="MGS1" s="266"/>
      <c r="MGT1" s="266"/>
      <c r="MGU1" s="266"/>
      <c r="MGV1" s="266"/>
      <c r="MGW1" s="266"/>
      <c r="MGX1" s="266"/>
      <c r="MGY1" s="266"/>
      <c r="MGZ1" s="266"/>
      <c r="MHA1" s="266"/>
      <c r="MHB1" s="266"/>
      <c r="MHC1" s="266"/>
      <c r="MHD1" s="266"/>
      <c r="MHE1" s="266"/>
      <c r="MHF1" s="266"/>
      <c r="MHG1" s="266"/>
      <c r="MHH1" s="266"/>
      <c r="MHI1" s="266"/>
      <c r="MHJ1" s="266"/>
      <c r="MHK1" s="266"/>
      <c r="MHL1" s="266"/>
      <c r="MHM1" s="266"/>
      <c r="MHN1" s="266"/>
      <c r="MHO1" s="266"/>
      <c r="MHP1" s="266"/>
      <c r="MHQ1" s="266"/>
      <c r="MHR1" s="266"/>
      <c r="MHS1" s="266"/>
      <c r="MHT1" s="266"/>
      <c r="MHU1" s="266"/>
      <c r="MHV1" s="266"/>
      <c r="MHW1" s="266"/>
      <c r="MHX1" s="266"/>
      <c r="MHY1" s="266"/>
      <c r="MHZ1" s="266"/>
      <c r="MIA1" s="266"/>
      <c r="MIB1" s="266"/>
      <c r="MIC1" s="266"/>
      <c r="MID1" s="266"/>
      <c r="MIE1" s="266"/>
      <c r="MIF1" s="266"/>
      <c r="MIG1" s="266"/>
      <c r="MIH1" s="266"/>
      <c r="MII1" s="266"/>
      <c r="MIJ1" s="266"/>
      <c r="MIK1" s="266"/>
      <c r="MIL1" s="266"/>
      <c r="MIM1" s="266"/>
      <c r="MIN1" s="266"/>
      <c r="MIO1" s="266"/>
      <c r="MIP1" s="266"/>
      <c r="MIQ1" s="266"/>
      <c r="MIR1" s="266"/>
      <c r="MIS1" s="266"/>
      <c r="MIT1" s="266"/>
      <c r="MIU1" s="266"/>
      <c r="MIV1" s="266"/>
      <c r="MIW1" s="266"/>
      <c r="MIX1" s="266"/>
      <c r="MIY1" s="266"/>
      <c r="MIZ1" s="266"/>
      <c r="MJA1" s="266"/>
      <c r="MJB1" s="266"/>
      <c r="MJC1" s="266"/>
      <c r="MJD1" s="266"/>
      <c r="MJE1" s="266"/>
      <c r="MJF1" s="266"/>
      <c r="MJG1" s="266"/>
      <c r="MJH1" s="266"/>
      <c r="MJI1" s="266"/>
      <c r="MJJ1" s="266"/>
      <c r="MJK1" s="266"/>
      <c r="MJL1" s="266"/>
      <c r="MJM1" s="266"/>
      <c r="MJN1" s="266"/>
      <c r="MJO1" s="266"/>
      <c r="MJP1" s="266"/>
      <c r="MJQ1" s="266"/>
      <c r="MJR1" s="266"/>
      <c r="MJS1" s="266"/>
      <c r="MJT1" s="266"/>
      <c r="MJU1" s="266"/>
      <c r="MJV1" s="266"/>
      <c r="MJW1" s="266"/>
      <c r="MJX1" s="266"/>
      <c r="MJY1" s="266"/>
      <c r="MJZ1" s="266"/>
      <c r="MKA1" s="266"/>
      <c r="MKB1" s="266"/>
      <c r="MKC1" s="266"/>
      <c r="MKD1" s="266"/>
      <c r="MKE1" s="266"/>
      <c r="MKF1" s="266"/>
      <c r="MKG1" s="266"/>
      <c r="MKH1" s="266"/>
      <c r="MKI1" s="266"/>
      <c r="MKJ1" s="266"/>
      <c r="MKK1" s="266"/>
      <c r="MKL1" s="266"/>
      <c r="MKM1" s="266"/>
      <c r="MKN1" s="266"/>
      <c r="MKO1" s="266"/>
      <c r="MKP1" s="266"/>
      <c r="MKQ1" s="266"/>
      <c r="MKR1" s="266"/>
      <c r="MKS1" s="266"/>
      <c r="MKT1" s="266"/>
      <c r="MKU1" s="266"/>
      <c r="MKV1" s="266"/>
      <c r="MKW1" s="266"/>
      <c r="MKX1" s="266"/>
      <c r="MKY1" s="266"/>
      <c r="MKZ1" s="266"/>
      <c r="MLA1" s="266"/>
      <c r="MLB1" s="266"/>
      <c r="MLC1" s="266"/>
      <c r="MLD1" s="266"/>
      <c r="MLE1" s="266"/>
      <c r="MLF1" s="266"/>
      <c r="MLG1" s="266"/>
      <c r="MLH1" s="266"/>
      <c r="MLI1" s="266"/>
      <c r="MLJ1" s="266"/>
      <c r="MLK1" s="266"/>
      <c r="MLL1" s="266"/>
      <c r="MLM1" s="266"/>
      <c r="MLN1" s="266"/>
      <c r="MLO1" s="266"/>
      <c r="MLP1" s="266"/>
      <c r="MLQ1" s="266"/>
      <c r="MLR1" s="266"/>
      <c r="MLS1" s="266"/>
      <c r="MLT1" s="266"/>
      <c r="MLU1" s="266"/>
      <c r="MLV1" s="266"/>
      <c r="MLW1" s="266"/>
      <c r="MLX1" s="266"/>
      <c r="MLY1" s="266"/>
      <c r="MLZ1" s="266"/>
      <c r="MMA1" s="266"/>
      <c r="MMB1" s="266"/>
      <c r="MMC1" s="266"/>
      <c r="MMD1" s="266"/>
      <c r="MME1" s="266"/>
      <c r="MMF1" s="266"/>
      <c r="MMG1" s="266"/>
      <c r="MMH1" s="266"/>
      <c r="MMI1" s="266"/>
      <c r="MMJ1" s="266"/>
      <c r="MMK1" s="266"/>
      <c r="MML1" s="266"/>
      <c r="MMM1" s="266"/>
      <c r="MMN1" s="266"/>
      <c r="MMO1" s="266"/>
      <c r="MMP1" s="266"/>
      <c r="MMQ1" s="266"/>
      <c r="MMR1" s="266"/>
      <c r="MMS1" s="266"/>
      <c r="MMT1" s="266"/>
      <c r="MMU1" s="266"/>
      <c r="MMV1" s="266"/>
      <c r="MMW1" s="266"/>
      <c r="MMX1" s="266"/>
      <c r="MMY1" s="266"/>
      <c r="MMZ1" s="266"/>
      <c r="MNA1" s="266"/>
      <c r="MNB1" s="266"/>
      <c r="MNC1" s="266"/>
      <c r="MND1" s="266"/>
      <c r="MNE1" s="266"/>
      <c r="MNF1" s="266"/>
      <c r="MNG1" s="266"/>
      <c r="MNH1" s="266"/>
      <c r="MNI1" s="266"/>
      <c r="MNJ1" s="266"/>
      <c r="MNK1" s="266"/>
      <c r="MNL1" s="266"/>
      <c r="MNM1" s="266"/>
      <c r="MNN1" s="266"/>
      <c r="MNO1" s="266"/>
      <c r="MNP1" s="266"/>
      <c r="MNQ1" s="266"/>
      <c r="MNR1" s="266"/>
      <c r="MNS1" s="266"/>
      <c r="MNT1" s="266"/>
      <c r="MNU1" s="266"/>
      <c r="MNV1" s="266"/>
      <c r="MNW1" s="266"/>
      <c r="MNX1" s="266"/>
      <c r="MNY1" s="266"/>
      <c r="MNZ1" s="266"/>
      <c r="MOA1" s="266"/>
      <c r="MOB1" s="266"/>
      <c r="MOC1" s="266"/>
      <c r="MOD1" s="266"/>
      <c r="MOE1" s="266"/>
      <c r="MOF1" s="266"/>
      <c r="MOG1" s="266"/>
      <c r="MOH1" s="266"/>
      <c r="MOI1" s="266"/>
      <c r="MOJ1" s="266"/>
      <c r="MOK1" s="266"/>
      <c r="MOL1" s="266"/>
      <c r="MOM1" s="266"/>
      <c r="MON1" s="266"/>
      <c r="MOO1" s="266"/>
      <c r="MOP1" s="266"/>
      <c r="MOQ1" s="266"/>
      <c r="MOR1" s="266"/>
      <c r="MOS1" s="266"/>
      <c r="MOT1" s="266"/>
      <c r="MOU1" s="266"/>
      <c r="MOV1" s="266"/>
      <c r="MOW1" s="266"/>
      <c r="MOX1" s="266"/>
      <c r="MOY1" s="266"/>
      <c r="MOZ1" s="266"/>
      <c r="MPA1" s="266"/>
      <c r="MPB1" s="266"/>
      <c r="MPC1" s="266"/>
      <c r="MPD1" s="266"/>
      <c r="MPE1" s="266"/>
      <c r="MPF1" s="266"/>
      <c r="MPG1" s="266"/>
      <c r="MPH1" s="266"/>
      <c r="MPI1" s="266"/>
      <c r="MPJ1" s="266"/>
      <c r="MPK1" s="266"/>
      <c r="MPL1" s="266"/>
      <c r="MPM1" s="266"/>
      <c r="MPN1" s="266"/>
      <c r="MPO1" s="266"/>
      <c r="MPP1" s="266"/>
      <c r="MPQ1" s="266"/>
      <c r="MPR1" s="266"/>
      <c r="MPS1" s="266"/>
      <c r="MPT1" s="266"/>
      <c r="MPU1" s="266"/>
      <c r="MPV1" s="266"/>
      <c r="MPW1" s="266"/>
      <c r="MPX1" s="266"/>
      <c r="MPY1" s="266"/>
      <c r="MPZ1" s="266"/>
      <c r="MQA1" s="266"/>
      <c r="MQB1" s="266"/>
      <c r="MQC1" s="266"/>
      <c r="MQD1" s="266"/>
      <c r="MQE1" s="266"/>
      <c r="MQF1" s="266"/>
      <c r="MQG1" s="266"/>
      <c r="MQH1" s="266"/>
      <c r="MQI1" s="266"/>
      <c r="MQJ1" s="266"/>
      <c r="MQK1" s="266"/>
      <c r="MQL1" s="266"/>
      <c r="MQM1" s="266"/>
      <c r="MQN1" s="266"/>
      <c r="MQO1" s="266"/>
      <c r="MQP1" s="266"/>
      <c r="MQQ1" s="266"/>
      <c r="MQR1" s="266"/>
      <c r="MQS1" s="266"/>
      <c r="MQT1" s="266"/>
      <c r="MQU1" s="266"/>
      <c r="MQV1" s="266"/>
      <c r="MQW1" s="266"/>
      <c r="MQX1" s="266"/>
      <c r="MQY1" s="266"/>
      <c r="MQZ1" s="266"/>
      <c r="MRA1" s="266"/>
      <c r="MRB1" s="266"/>
      <c r="MRC1" s="266"/>
      <c r="MRD1" s="266"/>
      <c r="MRE1" s="266"/>
      <c r="MRF1" s="266"/>
      <c r="MRG1" s="266"/>
      <c r="MRH1" s="266"/>
      <c r="MRI1" s="266"/>
      <c r="MRJ1" s="266"/>
      <c r="MRK1" s="266"/>
      <c r="MRL1" s="266"/>
      <c r="MRM1" s="266"/>
      <c r="MRN1" s="266"/>
      <c r="MRO1" s="266"/>
      <c r="MRP1" s="266"/>
      <c r="MRQ1" s="266"/>
      <c r="MRR1" s="266"/>
      <c r="MRS1" s="266"/>
      <c r="MRT1" s="266"/>
      <c r="MRU1" s="266"/>
      <c r="MRV1" s="266"/>
      <c r="MRW1" s="266"/>
      <c r="MRX1" s="266"/>
      <c r="MRY1" s="266"/>
      <c r="MRZ1" s="266"/>
      <c r="MSA1" s="266"/>
      <c r="MSB1" s="266"/>
      <c r="MSC1" s="266"/>
      <c r="MSD1" s="266"/>
      <c r="MSE1" s="266"/>
      <c r="MSF1" s="266"/>
      <c r="MSG1" s="266"/>
      <c r="MSH1" s="266"/>
      <c r="MSI1" s="266"/>
      <c r="MSJ1" s="266"/>
      <c r="MSK1" s="266"/>
      <c r="MSL1" s="266"/>
      <c r="MSM1" s="266"/>
      <c r="MSN1" s="266"/>
      <c r="MSO1" s="266"/>
      <c r="MSP1" s="266"/>
      <c r="MSQ1" s="266"/>
      <c r="MSR1" s="266"/>
      <c r="MSS1" s="266"/>
      <c r="MST1" s="266"/>
      <c r="MSU1" s="266"/>
      <c r="MSV1" s="266"/>
      <c r="MSW1" s="266"/>
      <c r="MSX1" s="266"/>
      <c r="MSY1" s="266"/>
      <c r="MSZ1" s="266"/>
      <c r="MTA1" s="266"/>
      <c r="MTB1" s="266"/>
      <c r="MTC1" s="266"/>
      <c r="MTD1" s="266"/>
      <c r="MTE1" s="266"/>
      <c r="MTF1" s="266"/>
      <c r="MTG1" s="266"/>
      <c r="MTH1" s="266"/>
      <c r="MTI1" s="266"/>
      <c r="MTJ1" s="266"/>
      <c r="MTK1" s="266"/>
      <c r="MTL1" s="266"/>
      <c r="MTM1" s="266"/>
      <c r="MTN1" s="266"/>
      <c r="MTO1" s="266"/>
      <c r="MTP1" s="266"/>
      <c r="MTQ1" s="266"/>
      <c r="MTR1" s="266"/>
      <c r="MTS1" s="266"/>
      <c r="MTT1" s="266"/>
      <c r="MTU1" s="266"/>
      <c r="MTV1" s="266"/>
      <c r="MTW1" s="266"/>
      <c r="MTX1" s="266"/>
      <c r="MTY1" s="266"/>
      <c r="MTZ1" s="266"/>
      <c r="MUA1" s="266"/>
      <c r="MUB1" s="266"/>
      <c r="MUC1" s="266"/>
      <c r="MUD1" s="266"/>
      <c r="MUE1" s="266"/>
      <c r="MUF1" s="266"/>
      <c r="MUG1" s="266"/>
      <c r="MUH1" s="266"/>
      <c r="MUI1" s="266"/>
      <c r="MUJ1" s="266"/>
      <c r="MUK1" s="266"/>
      <c r="MUL1" s="266"/>
      <c r="MUM1" s="266"/>
      <c r="MUN1" s="266"/>
      <c r="MUO1" s="266"/>
      <c r="MUP1" s="266"/>
      <c r="MUQ1" s="266"/>
      <c r="MUR1" s="266"/>
      <c r="MUS1" s="266"/>
      <c r="MUT1" s="266"/>
      <c r="MUU1" s="266"/>
      <c r="MUV1" s="266"/>
      <c r="MUW1" s="266"/>
      <c r="MUX1" s="266"/>
      <c r="MUY1" s="266"/>
      <c r="MUZ1" s="266"/>
      <c r="MVA1" s="266"/>
      <c r="MVB1" s="266"/>
      <c r="MVC1" s="266"/>
      <c r="MVD1" s="266"/>
      <c r="MVE1" s="266"/>
      <c r="MVF1" s="266"/>
      <c r="MVG1" s="266"/>
      <c r="MVH1" s="266"/>
      <c r="MVI1" s="266"/>
      <c r="MVJ1" s="266"/>
      <c r="MVK1" s="266"/>
      <c r="MVL1" s="266"/>
      <c r="MVM1" s="266"/>
      <c r="MVN1" s="266"/>
      <c r="MVO1" s="266"/>
      <c r="MVP1" s="266"/>
      <c r="MVQ1" s="266"/>
      <c r="MVR1" s="266"/>
      <c r="MVS1" s="266"/>
      <c r="MVT1" s="266"/>
      <c r="MVU1" s="266"/>
      <c r="MVV1" s="266"/>
      <c r="MVW1" s="266"/>
      <c r="MVX1" s="266"/>
      <c r="MVY1" s="266"/>
      <c r="MVZ1" s="266"/>
      <c r="MWA1" s="266"/>
      <c r="MWB1" s="266"/>
      <c r="MWC1" s="266"/>
      <c r="MWD1" s="266"/>
      <c r="MWE1" s="266"/>
      <c r="MWF1" s="266"/>
      <c r="MWG1" s="266"/>
      <c r="MWH1" s="266"/>
      <c r="MWI1" s="266"/>
      <c r="MWJ1" s="266"/>
      <c r="MWK1" s="266"/>
      <c r="MWL1" s="266"/>
      <c r="MWM1" s="266"/>
      <c r="MWN1" s="266"/>
      <c r="MWO1" s="266"/>
      <c r="MWP1" s="266"/>
      <c r="MWQ1" s="266"/>
      <c r="MWR1" s="266"/>
      <c r="MWS1" s="266"/>
      <c r="MWT1" s="266"/>
      <c r="MWU1" s="266"/>
      <c r="MWV1" s="266"/>
      <c r="MWW1" s="266"/>
      <c r="MWX1" s="266"/>
      <c r="MWY1" s="266"/>
      <c r="MWZ1" s="266"/>
      <c r="MXA1" s="266"/>
      <c r="MXB1" s="266"/>
      <c r="MXC1" s="266"/>
      <c r="MXD1" s="266"/>
      <c r="MXE1" s="266"/>
      <c r="MXF1" s="266"/>
      <c r="MXG1" s="266"/>
      <c r="MXH1" s="266"/>
      <c r="MXI1" s="266"/>
      <c r="MXJ1" s="266"/>
      <c r="MXK1" s="266"/>
      <c r="MXL1" s="266"/>
      <c r="MXM1" s="266"/>
      <c r="MXN1" s="266"/>
      <c r="MXO1" s="266"/>
      <c r="MXP1" s="266"/>
      <c r="MXQ1" s="266"/>
      <c r="MXR1" s="266"/>
      <c r="MXS1" s="266"/>
      <c r="MXT1" s="266"/>
      <c r="MXU1" s="266"/>
      <c r="MXV1" s="266"/>
      <c r="MXW1" s="266"/>
      <c r="MXX1" s="266"/>
      <c r="MXY1" s="266"/>
      <c r="MXZ1" s="266"/>
      <c r="MYA1" s="266"/>
      <c r="MYB1" s="266"/>
      <c r="MYC1" s="266"/>
      <c r="MYD1" s="266"/>
      <c r="MYE1" s="266"/>
      <c r="MYF1" s="266"/>
      <c r="MYG1" s="266"/>
      <c r="MYH1" s="266"/>
      <c r="MYI1" s="266"/>
      <c r="MYJ1" s="266"/>
      <c r="MYK1" s="266"/>
      <c r="MYL1" s="266"/>
      <c r="MYM1" s="266"/>
      <c r="MYN1" s="266"/>
      <c r="MYO1" s="266"/>
      <c r="MYP1" s="266"/>
      <c r="MYQ1" s="266"/>
      <c r="MYR1" s="266"/>
      <c r="MYS1" s="266"/>
      <c r="MYT1" s="266"/>
      <c r="MYU1" s="266"/>
      <c r="MYV1" s="266"/>
      <c r="MYW1" s="266"/>
      <c r="MYX1" s="266"/>
      <c r="MYY1" s="266"/>
      <c r="MYZ1" s="266"/>
      <c r="MZA1" s="266"/>
      <c r="MZB1" s="266"/>
      <c r="MZC1" s="266"/>
      <c r="MZD1" s="266"/>
      <c r="MZE1" s="266"/>
      <c r="MZF1" s="266"/>
      <c r="MZG1" s="266"/>
      <c r="MZH1" s="266"/>
      <c r="MZI1" s="266"/>
      <c r="MZJ1" s="266"/>
      <c r="MZK1" s="266"/>
      <c r="MZL1" s="266"/>
      <c r="MZM1" s="266"/>
      <c r="MZN1" s="266"/>
      <c r="MZO1" s="266"/>
      <c r="MZP1" s="266"/>
      <c r="MZQ1" s="266"/>
      <c r="MZR1" s="266"/>
      <c r="MZS1" s="266"/>
      <c r="MZT1" s="266"/>
      <c r="MZU1" s="266"/>
      <c r="MZV1" s="266"/>
      <c r="MZW1" s="266"/>
      <c r="MZX1" s="266"/>
      <c r="MZY1" s="266"/>
      <c r="MZZ1" s="266"/>
      <c r="NAA1" s="266"/>
      <c r="NAB1" s="266"/>
      <c r="NAC1" s="266"/>
      <c r="NAD1" s="266"/>
      <c r="NAE1" s="266"/>
      <c r="NAF1" s="266"/>
      <c r="NAG1" s="266"/>
      <c r="NAH1" s="266"/>
      <c r="NAI1" s="266"/>
      <c r="NAJ1" s="266"/>
      <c r="NAK1" s="266"/>
      <c r="NAL1" s="266"/>
      <c r="NAM1" s="266"/>
      <c r="NAN1" s="266"/>
      <c r="NAO1" s="266"/>
      <c r="NAP1" s="266"/>
      <c r="NAQ1" s="266"/>
      <c r="NAR1" s="266"/>
      <c r="NAS1" s="266"/>
      <c r="NAT1" s="266"/>
      <c r="NAU1" s="266"/>
      <c r="NAV1" s="266"/>
      <c r="NAW1" s="266"/>
      <c r="NAX1" s="266"/>
      <c r="NAY1" s="266"/>
      <c r="NAZ1" s="266"/>
      <c r="NBA1" s="266"/>
      <c r="NBB1" s="266"/>
      <c r="NBC1" s="266"/>
      <c r="NBD1" s="266"/>
      <c r="NBE1" s="266"/>
      <c r="NBF1" s="266"/>
      <c r="NBG1" s="266"/>
      <c r="NBH1" s="266"/>
      <c r="NBI1" s="266"/>
      <c r="NBJ1" s="266"/>
      <c r="NBK1" s="266"/>
      <c r="NBL1" s="266"/>
      <c r="NBM1" s="266"/>
      <c r="NBN1" s="266"/>
      <c r="NBO1" s="266"/>
      <c r="NBP1" s="266"/>
      <c r="NBQ1" s="266"/>
      <c r="NBR1" s="266"/>
      <c r="NBS1" s="266"/>
      <c r="NBT1" s="266"/>
      <c r="NBU1" s="266"/>
      <c r="NBV1" s="266"/>
      <c r="NBW1" s="266"/>
      <c r="NBX1" s="266"/>
      <c r="NBY1" s="266"/>
      <c r="NBZ1" s="266"/>
      <c r="NCA1" s="266"/>
      <c r="NCB1" s="266"/>
      <c r="NCC1" s="266"/>
      <c r="NCD1" s="266"/>
      <c r="NCE1" s="266"/>
      <c r="NCF1" s="266"/>
      <c r="NCG1" s="266"/>
      <c r="NCH1" s="266"/>
      <c r="NCI1" s="266"/>
      <c r="NCJ1" s="266"/>
      <c r="NCK1" s="266"/>
      <c r="NCL1" s="266"/>
      <c r="NCM1" s="266"/>
      <c r="NCN1" s="266"/>
      <c r="NCO1" s="266"/>
      <c r="NCP1" s="266"/>
      <c r="NCQ1" s="266"/>
      <c r="NCR1" s="266"/>
      <c r="NCS1" s="266"/>
      <c r="NCT1" s="266"/>
      <c r="NCU1" s="266"/>
      <c r="NCV1" s="266"/>
      <c r="NCW1" s="266"/>
      <c r="NCX1" s="266"/>
      <c r="NCY1" s="266"/>
      <c r="NCZ1" s="266"/>
      <c r="NDA1" s="266"/>
      <c r="NDB1" s="266"/>
      <c r="NDC1" s="266"/>
      <c r="NDD1" s="266"/>
      <c r="NDE1" s="266"/>
      <c r="NDF1" s="266"/>
      <c r="NDG1" s="266"/>
      <c r="NDH1" s="266"/>
      <c r="NDI1" s="266"/>
      <c r="NDJ1" s="266"/>
      <c r="NDK1" s="266"/>
      <c r="NDL1" s="266"/>
      <c r="NDM1" s="266"/>
      <c r="NDN1" s="266"/>
      <c r="NDO1" s="266"/>
      <c r="NDP1" s="266"/>
      <c r="NDQ1" s="266"/>
      <c r="NDR1" s="266"/>
      <c r="NDS1" s="266"/>
      <c r="NDT1" s="266"/>
      <c r="NDU1" s="266"/>
      <c r="NDV1" s="266"/>
      <c r="NDW1" s="266"/>
      <c r="NDX1" s="266"/>
      <c r="NDY1" s="266"/>
      <c r="NDZ1" s="266"/>
      <c r="NEA1" s="266"/>
      <c r="NEB1" s="266"/>
      <c r="NEC1" s="266"/>
      <c r="NED1" s="266"/>
      <c r="NEE1" s="266"/>
      <c r="NEF1" s="266"/>
      <c r="NEG1" s="266"/>
      <c r="NEH1" s="266"/>
      <c r="NEI1" s="266"/>
      <c r="NEJ1" s="266"/>
      <c r="NEK1" s="266"/>
      <c r="NEL1" s="266"/>
      <c r="NEM1" s="266"/>
      <c r="NEN1" s="266"/>
      <c r="NEO1" s="266"/>
      <c r="NEP1" s="266"/>
      <c r="NEQ1" s="266"/>
      <c r="NER1" s="266"/>
      <c r="NES1" s="266"/>
      <c r="NET1" s="266"/>
      <c r="NEU1" s="266"/>
      <c r="NEV1" s="266"/>
      <c r="NEW1" s="266"/>
      <c r="NEX1" s="266"/>
      <c r="NEY1" s="266"/>
      <c r="NEZ1" s="266"/>
      <c r="NFA1" s="266"/>
      <c r="NFB1" s="266"/>
      <c r="NFC1" s="266"/>
      <c r="NFD1" s="266"/>
      <c r="NFE1" s="266"/>
      <c r="NFF1" s="266"/>
      <c r="NFG1" s="266"/>
      <c r="NFH1" s="266"/>
      <c r="NFI1" s="266"/>
      <c r="NFJ1" s="266"/>
      <c r="NFK1" s="266"/>
      <c r="NFL1" s="266"/>
      <c r="NFM1" s="266"/>
      <c r="NFN1" s="266"/>
      <c r="NFO1" s="266"/>
      <c r="NFP1" s="266"/>
      <c r="NFQ1" s="266"/>
      <c r="NFR1" s="266"/>
      <c r="NFS1" s="266"/>
      <c r="NFT1" s="266"/>
      <c r="NFU1" s="266"/>
      <c r="NFV1" s="266"/>
      <c r="NFW1" s="266"/>
      <c r="NFX1" s="266"/>
      <c r="NFY1" s="266"/>
      <c r="NFZ1" s="266"/>
      <c r="NGA1" s="266"/>
      <c r="NGB1" s="266"/>
      <c r="NGC1" s="266"/>
      <c r="NGD1" s="266"/>
      <c r="NGE1" s="266"/>
      <c r="NGF1" s="266"/>
      <c r="NGG1" s="266"/>
      <c r="NGH1" s="266"/>
      <c r="NGI1" s="266"/>
      <c r="NGJ1" s="266"/>
      <c r="NGK1" s="266"/>
      <c r="NGL1" s="266"/>
      <c r="NGM1" s="266"/>
      <c r="NGN1" s="266"/>
      <c r="NGO1" s="266"/>
      <c r="NGP1" s="266"/>
      <c r="NGQ1" s="266"/>
      <c r="NGR1" s="266"/>
      <c r="NGS1" s="266"/>
      <c r="NGT1" s="266"/>
      <c r="NGU1" s="266"/>
      <c r="NGV1" s="266"/>
      <c r="NGW1" s="266"/>
      <c r="NGX1" s="266"/>
      <c r="NGY1" s="266"/>
      <c r="NGZ1" s="266"/>
      <c r="NHA1" s="266"/>
      <c r="NHB1" s="266"/>
      <c r="NHC1" s="266"/>
      <c r="NHD1" s="266"/>
      <c r="NHE1" s="266"/>
      <c r="NHF1" s="266"/>
      <c r="NHG1" s="266"/>
      <c r="NHH1" s="266"/>
      <c r="NHI1" s="266"/>
      <c r="NHJ1" s="266"/>
      <c r="NHK1" s="266"/>
      <c r="NHL1" s="266"/>
      <c r="NHM1" s="266"/>
      <c r="NHN1" s="266"/>
      <c r="NHO1" s="266"/>
      <c r="NHP1" s="266"/>
      <c r="NHQ1" s="266"/>
      <c r="NHR1" s="266"/>
      <c r="NHS1" s="266"/>
      <c r="NHT1" s="266"/>
      <c r="NHU1" s="266"/>
      <c r="NHV1" s="266"/>
      <c r="NHW1" s="266"/>
      <c r="NHX1" s="266"/>
      <c r="NHY1" s="266"/>
      <c r="NHZ1" s="266"/>
      <c r="NIA1" s="266"/>
      <c r="NIB1" s="266"/>
      <c r="NIC1" s="266"/>
      <c r="NID1" s="266"/>
      <c r="NIE1" s="266"/>
      <c r="NIF1" s="266"/>
      <c r="NIG1" s="266"/>
      <c r="NIH1" s="266"/>
      <c r="NII1" s="266"/>
      <c r="NIJ1" s="266"/>
      <c r="NIK1" s="266"/>
      <c r="NIL1" s="266"/>
      <c r="NIM1" s="266"/>
      <c r="NIN1" s="266"/>
      <c r="NIO1" s="266"/>
      <c r="NIP1" s="266"/>
      <c r="NIQ1" s="266"/>
      <c r="NIR1" s="266"/>
      <c r="NIS1" s="266"/>
      <c r="NIT1" s="266"/>
      <c r="NIU1" s="266"/>
      <c r="NIV1" s="266"/>
      <c r="NIW1" s="266"/>
      <c r="NIX1" s="266"/>
      <c r="NIY1" s="266"/>
      <c r="NIZ1" s="266"/>
      <c r="NJA1" s="266"/>
      <c r="NJB1" s="266"/>
      <c r="NJC1" s="266"/>
      <c r="NJD1" s="266"/>
      <c r="NJE1" s="266"/>
      <c r="NJF1" s="266"/>
      <c r="NJG1" s="266"/>
      <c r="NJH1" s="266"/>
      <c r="NJI1" s="266"/>
      <c r="NJJ1" s="266"/>
      <c r="NJK1" s="266"/>
      <c r="NJL1" s="266"/>
      <c r="NJM1" s="266"/>
      <c r="NJN1" s="266"/>
      <c r="NJO1" s="266"/>
      <c r="NJP1" s="266"/>
      <c r="NJQ1" s="266"/>
      <c r="NJR1" s="266"/>
      <c r="NJS1" s="266"/>
      <c r="NJT1" s="266"/>
      <c r="NJU1" s="266"/>
      <c r="NJV1" s="266"/>
      <c r="NJW1" s="266"/>
      <c r="NJX1" s="266"/>
      <c r="NJY1" s="266"/>
      <c r="NJZ1" s="266"/>
      <c r="NKA1" s="266"/>
      <c r="NKB1" s="266"/>
      <c r="NKC1" s="266"/>
      <c r="NKD1" s="266"/>
      <c r="NKE1" s="266"/>
      <c r="NKF1" s="266"/>
      <c r="NKG1" s="266"/>
      <c r="NKH1" s="266"/>
      <c r="NKI1" s="266"/>
      <c r="NKJ1" s="266"/>
      <c r="NKK1" s="266"/>
      <c r="NKL1" s="266"/>
      <c r="NKM1" s="266"/>
      <c r="NKN1" s="266"/>
      <c r="NKO1" s="266"/>
      <c r="NKP1" s="266"/>
      <c r="NKQ1" s="266"/>
      <c r="NKR1" s="266"/>
      <c r="NKS1" s="266"/>
      <c r="NKT1" s="266"/>
      <c r="NKU1" s="266"/>
      <c r="NKV1" s="266"/>
      <c r="NKW1" s="266"/>
      <c r="NKX1" s="266"/>
      <c r="NKY1" s="266"/>
      <c r="NKZ1" s="266"/>
      <c r="NLA1" s="266"/>
      <c r="NLB1" s="266"/>
      <c r="NLC1" s="266"/>
      <c r="NLD1" s="266"/>
      <c r="NLE1" s="266"/>
      <c r="NLF1" s="266"/>
      <c r="NLG1" s="266"/>
      <c r="NLH1" s="266"/>
      <c r="NLI1" s="266"/>
      <c r="NLJ1" s="266"/>
      <c r="NLK1" s="266"/>
      <c r="NLL1" s="266"/>
      <c r="NLM1" s="266"/>
      <c r="NLN1" s="266"/>
      <c r="NLO1" s="266"/>
      <c r="NLP1" s="266"/>
      <c r="NLQ1" s="266"/>
      <c r="NLR1" s="266"/>
      <c r="NLS1" s="266"/>
      <c r="NLT1" s="266"/>
      <c r="NLU1" s="266"/>
      <c r="NLV1" s="266"/>
      <c r="NLW1" s="266"/>
      <c r="NLX1" s="266"/>
      <c r="NLY1" s="266"/>
      <c r="NLZ1" s="266"/>
      <c r="NMA1" s="266"/>
      <c r="NMB1" s="266"/>
      <c r="NMC1" s="266"/>
      <c r="NMD1" s="266"/>
      <c r="NME1" s="266"/>
      <c r="NMF1" s="266"/>
      <c r="NMG1" s="266"/>
      <c r="NMH1" s="266"/>
      <c r="NMI1" s="266"/>
      <c r="NMJ1" s="266"/>
      <c r="NMK1" s="266"/>
      <c r="NML1" s="266"/>
      <c r="NMM1" s="266"/>
      <c r="NMN1" s="266"/>
      <c r="NMO1" s="266"/>
      <c r="NMP1" s="266"/>
      <c r="NMQ1" s="266"/>
      <c r="NMR1" s="266"/>
      <c r="NMS1" s="266"/>
      <c r="NMT1" s="266"/>
      <c r="NMU1" s="266"/>
      <c r="NMV1" s="266"/>
      <c r="NMW1" s="266"/>
      <c r="NMX1" s="266"/>
      <c r="NMY1" s="266"/>
      <c r="NMZ1" s="266"/>
      <c r="NNA1" s="266"/>
      <c r="NNB1" s="266"/>
      <c r="NNC1" s="266"/>
      <c r="NND1" s="266"/>
      <c r="NNE1" s="266"/>
      <c r="NNF1" s="266"/>
      <c r="NNG1" s="266"/>
      <c r="NNH1" s="266"/>
      <c r="NNI1" s="266"/>
      <c r="NNJ1" s="266"/>
      <c r="NNK1" s="266"/>
      <c r="NNL1" s="266"/>
      <c r="NNM1" s="266"/>
      <c r="NNN1" s="266"/>
      <c r="NNO1" s="266"/>
      <c r="NNP1" s="266"/>
      <c r="NNQ1" s="266"/>
      <c r="NNR1" s="266"/>
      <c r="NNS1" s="266"/>
      <c r="NNT1" s="266"/>
      <c r="NNU1" s="266"/>
      <c r="NNV1" s="266"/>
      <c r="NNW1" s="266"/>
      <c r="NNX1" s="266"/>
      <c r="NNY1" s="266"/>
      <c r="NNZ1" s="266"/>
      <c r="NOA1" s="266"/>
      <c r="NOB1" s="266"/>
      <c r="NOC1" s="266"/>
      <c r="NOD1" s="266"/>
      <c r="NOE1" s="266"/>
      <c r="NOF1" s="266"/>
      <c r="NOG1" s="266"/>
      <c r="NOH1" s="266"/>
      <c r="NOI1" s="266"/>
      <c r="NOJ1" s="266"/>
      <c r="NOK1" s="266"/>
      <c r="NOL1" s="266"/>
      <c r="NOM1" s="266"/>
      <c r="NON1" s="266"/>
      <c r="NOO1" s="266"/>
      <c r="NOP1" s="266"/>
      <c r="NOQ1" s="266"/>
      <c r="NOR1" s="266"/>
      <c r="NOS1" s="266"/>
      <c r="NOT1" s="266"/>
      <c r="NOU1" s="266"/>
      <c r="NOV1" s="266"/>
      <c r="NOW1" s="266"/>
      <c r="NOX1" s="266"/>
      <c r="NOY1" s="266"/>
      <c r="NOZ1" s="266"/>
      <c r="NPA1" s="266"/>
      <c r="NPB1" s="266"/>
      <c r="NPC1" s="266"/>
      <c r="NPD1" s="266"/>
      <c r="NPE1" s="266"/>
      <c r="NPF1" s="266"/>
      <c r="NPG1" s="266"/>
      <c r="NPH1" s="266"/>
      <c r="NPI1" s="266"/>
      <c r="NPJ1" s="266"/>
      <c r="NPK1" s="266"/>
      <c r="NPL1" s="266"/>
      <c r="NPM1" s="266"/>
      <c r="NPN1" s="266"/>
      <c r="NPO1" s="266"/>
      <c r="NPP1" s="266"/>
      <c r="NPQ1" s="266"/>
      <c r="NPR1" s="266"/>
      <c r="NPS1" s="266"/>
      <c r="NPT1" s="266"/>
      <c r="NPU1" s="266"/>
      <c r="NPV1" s="266"/>
      <c r="NPW1" s="266"/>
      <c r="NPX1" s="266"/>
      <c r="NPY1" s="266"/>
      <c r="NPZ1" s="266"/>
      <c r="NQA1" s="266"/>
      <c r="NQB1" s="266"/>
      <c r="NQC1" s="266"/>
      <c r="NQD1" s="266"/>
      <c r="NQE1" s="266"/>
      <c r="NQF1" s="266"/>
      <c r="NQG1" s="266"/>
      <c r="NQH1" s="266"/>
      <c r="NQI1" s="266"/>
      <c r="NQJ1" s="266"/>
      <c r="NQK1" s="266"/>
      <c r="NQL1" s="266"/>
      <c r="NQM1" s="266"/>
      <c r="NQN1" s="266"/>
      <c r="NQO1" s="266"/>
      <c r="NQP1" s="266"/>
      <c r="NQQ1" s="266"/>
      <c r="NQR1" s="266"/>
      <c r="NQS1" s="266"/>
      <c r="NQT1" s="266"/>
      <c r="NQU1" s="266"/>
      <c r="NQV1" s="266"/>
      <c r="NQW1" s="266"/>
      <c r="NQX1" s="266"/>
      <c r="NQY1" s="266"/>
      <c r="NQZ1" s="266"/>
      <c r="NRA1" s="266"/>
      <c r="NRB1" s="266"/>
      <c r="NRC1" s="266"/>
      <c r="NRD1" s="266"/>
      <c r="NRE1" s="266"/>
      <c r="NRF1" s="266"/>
      <c r="NRG1" s="266"/>
      <c r="NRH1" s="266"/>
      <c r="NRI1" s="266"/>
      <c r="NRJ1" s="266"/>
      <c r="NRK1" s="266"/>
      <c r="NRL1" s="266"/>
      <c r="NRM1" s="266"/>
      <c r="NRN1" s="266"/>
      <c r="NRO1" s="266"/>
      <c r="NRP1" s="266"/>
      <c r="NRQ1" s="266"/>
      <c r="NRR1" s="266"/>
      <c r="NRS1" s="266"/>
      <c r="NRT1" s="266"/>
      <c r="NRU1" s="266"/>
      <c r="NRV1" s="266"/>
      <c r="NRW1" s="266"/>
      <c r="NRX1" s="266"/>
      <c r="NRY1" s="266"/>
      <c r="NRZ1" s="266"/>
      <c r="NSA1" s="266"/>
      <c r="NSB1" s="266"/>
      <c r="NSC1" s="266"/>
      <c r="NSD1" s="266"/>
      <c r="NSE1" s="266"/>
      <c r="NSF1" s="266"/>
      <c r="NSG1" s="266"/>
      <c r="NSH1" s="266"/>
      <c r="NSI1" s="266"/>
      <c r="NSJ1" s="266"/>
      <c r="NSK1" s="266"/>
      <c r="NSL1" s="266"/>
      <c r="NSM1" s="266"/>
      <c r="NSN1" s="266"/>
      <c r="NSO1" s="266"/>
      <c r="NSP1" s="266"/>
      <c r="NSQ1" s="266"/>
      <c r="NSR1" s="266"/>
      <c r="NSS1" s="266"/>
      <c r="NST1" s="266"/>
      <c r="NSU1" s="266"/>
      <c r="NSV1" s="266"/>
      <c r="NSW1" s="266"/>
      <c r="NSX1" s="266"/>
      <c r="NSY1" s="266"/>
      <c r="NSZ1" s="266"/>
      <c r="NTA1" s="266"/>
      <c r="NTB1" s="266"/>
      <c r="NTC1" s="266"/>
      <c r="NTD1" s="266"/>
      <c r="NTE1" s="266"/>
      <c r="NTF1" s="266"/>
      <c r="NTG1" s="266"/>
      <c r="NTH1" s="266"/>
      <c r="NTI1" s="266"/>
      <c r="NTJ1" s="266"/>
      <c r="NTK1" s="266"/>
      <c r="NTL1" s="266"/>
      <c r="NTM1" s="266"/>
      <c r="NTN1" s="266"/>
      <c r="NTO1" s="266"/>
      <c r="NTP1" s="266"/>
      <c r="NTQ1" s="266"/>
      <c r="NTR1" s="266"/>
      <c r="NTS1" s="266"/>
      <c r="NTT1" s="266"/>
      <c r="NTU1" s="266"/>
      <c r="NTV1" s="266"/>
      <c r="NTW1" s="266"/>
      <c r="NTX1" s="266"/>
      <c r="NTY1" s="266"/>
      <c r="NTZ1" s="266"/>
      <c r="NUA1" s="266"/>
      <c r="NUB1" s="266"/>
      <c r="NUC1" s="266"/>
      <c r="NUD1" s="266"/>
      <c r="NUE1" s="266"/>
      <c r="NUF1" s="266"/>
      <c r="NUG1" s="266"/>
      <c r="NUH1" s="266"/>
      <c r="NUI1" s="266"/>
      <c r="NUJ1" s="266"/>
      <c r="NUK1" s="266"/>
      <c r="NUL1" s="266"/>
      <c r="NUM1" s="266"/>
      <c r="NUN1" s="266"/>
      <c r="NUO1" s="266"/>
      <c r="NUP1" s="266"/>
      <c r="NUQ1" s="266"/>
      <c r="NUR1" s="266"/>
      <c r="NUS1" s="266"/>
      <c r="NUT1" s="266"/>
      <c r="NUU1" s="266"/>
      <c r="NUV1" s="266"/>
      <c r="NUW1" s="266"/>
      <c r="NUX1" s="266"/>
      <c r="NUY1" s="266"/>
      <c r="NUZ1" s="266"/>
      <c r="NVA1" s="266"/>
      <c r="NVB1" s="266"/>
      <c r="NVC1" s="266"/>
      <c r="NVD1" s="266"/>
      <c r="NVE1" s="266"/>
      <c r="NVF1" s="266"/>
      <c r="NVG1" s="266"/>
      <c r="NVH1" s="266"/>
      <c r="NVI1" s="266"/>
      <c r="NVJ1" s="266"/>
      <c r="NVK1" s="266"/>
      <c r="NVL1" s="266"/>
      <c r="NVM1" s="266"/>
      <c r="NVN1" s="266"/>
      <c r="NVO1" s="266"/>
      <c r="NVP1" s="266"/>
      <c r="NVQ1" s="266"/>
      <c r="NVR1" s="266"/>
      <c r="NVS1" s="266"/>
      <c r="NVT1" s="266"/>
      <c r="NVU1" s="266"/>
      <c r="NVV1" s="266"/>
      <c r="NVW1" s="266"/>
      <c r="NVX1" s="266"/>
      <c r="NVY1" s="266"/>
      <c r="NVZ1" s="266"/>
      <c r="NWA1" s="266"/>
      <c r="NWB1" s="266"/>
      <c r="NWC1" s="266"/>
      <c r="NWD1" s="266"/>
      <c r="NWE1" s="266"/>
      <c r="NWF1" s="266"/>
      <c r="NWG1" s="266"/>
      <c r="NWH1" s="266"/>
      <c r="NWI1" s="266"/>
      <c r="NWJ1" s="266"/>
      <c r="NWK1" s="266"/>
      <c r="NWL1" s="266"/>
      <c r="NWM1" s="266"/>
      <c r="NWN1" s="266"/>
      <c r="NWO1" s="266"/>
      <c r="NWP1" s="266"/>
      <c r="NWQ1" s="266"/>
      <c r="NWR1" s="266"/>
      <c r="NWS1" s="266"/>
      <c r="NWT1" s="266"/>
      <c r="NWU1" s="266"/>
      <c r="NWV1" s="266"/>
      <c r="NWW1" s="266"/>
      <c r="NWX1" s="266"/>
      <c r="NWY1" s="266"/>
      <c r="NWZ1" s="266"/>
      <c r="NXA1" s="266"/>
      <c r="NXB1" s="266"/>
      <c r="NXC1" s="266"/>
      <c r="NXD1" s="266"/>
      <c r="NXE1" s="266"/>
      <c r="NXF1" s="266"/>
      <c r="NXG1" s="266"/>
      <c r="NXH1" s="266"/>
      <c r="NXI1" s="266"/>
      <c r="NXJ1" s="266"/>
      <c r="NXK1" s="266"/>
      <c r="NXL1" s="266"/>
      <c r="NXM1" s="266"/>
      <c r="NXN1" s="266"/>
      <c r="NXO1" s="266"/>
      <c r="NXP1" s="266"/>
      <c r="NXQ1" s="266"/>
      <c r="NXR1" s="266"/>
      <c r="NXS1" s="266"/>
      <c r="NXT1" s="266"/>
      <c r="NXU1" s="266"/>
      <c r="NXV1" s="266"/>
      <c r="NXW1" s="266"/>
      <c r="NXX1" s="266"/>
      <c r="NXY1" s="266"/>
      <c r="NXZ1" s="266"/>
      <c r="NYA1" s="266"/>
      <c r="NYB1" s="266"/>
      <c r="NYC1" s="266"/>
      <c r="NYD1" s="266"/>
      <c r="NYE1" s="266"/>
      <c r="NYF1" s="266"/>
      <c r="NYG1" s="266"/>
      <c r="NYH1" s="266"/>
      <c r="NYI1" s="266"/>
      <c r="NYJ1" s="266"/>
      <c r="NYK1" s="266"/>
      <c r="NYL1" s="266"/>
      <c r="NYM1" s="266"/>
      <c r="NYN1" s="266"/>
      <c r="NYO1" s="266"/>
      <c r="NYP1" s="266"/>
      <c r="NYQ1" s="266"/>
      <c r="NYR1" s="266"/>
      <c r="NYS1" s="266"/>
      <c r="NYT1" s="266"/>
      <c r="NYU1" s="266"/>
      <c r="NYV1" s="266"/>
      <c r="NYW1" s="266"/>
      <c r="NYX1" s="266"/>
      <c r="NYY1" s="266"/>
      <c r="NYZ1" s="266"/>
      <c r="NZA1" s="266"/>
      <c r="NZB1" s="266"/>
      <c r="NZC1" s="266"/>
      <c r="NZD1" s="266"/>
      <c r="NZE1" s="266"/>
      <c r="NZF1" s="266"/>
      <c r="NZG1" s="266"/>
      <c r="NZH1" s="266"/>
      <c r="NZI1" s="266"/>
      <c r="NZJ1" s="266"/>
      <c r="NZK1" s="266"/>
      <c r="NZL1" s="266"/>
      <c r="NZM1" s="266"/>
      <c r="NZN1" s="266"/>
      <c r="NZO1" s="266"/>
      <c r="NZP1" s="266"/>
      <c r="NZQ1" s="266"/>
      <c r="NZR1" s="266"/>
      <c r="NZS1" s="266"/>
      <c r="NZT1" s="266"/>
      <c r="NZU1" s="266"/>
      <c r="NZV1" s="266"/>
      <c r="NZW1" s="266"/>
      <c r="NZX1" s="266"/>
      <c r="NZY1" s="266"/>
      <c r="NZZ1" s="266"/>
      <c r="OAA1" s="266"/>
      <c r="OAB1" s="266"/>
      <c r="OAC1" s="266"/>
      <c r="OAD1" s="266"/>
      <c r="OAE1" s="266"/>
      <c r="OAF1" s="266"/>
      <c r="OAG1" s="266"/>
      <c r="OAH1" s="266"/>
      <c r="OAI1" s="266"/>
      <c r="OAJ1" s="266"/>
      <c r="OAK1" s="266"/>
      <c r="OAL1" s="266"/>
      <c r="OAM1" s="266"/>
      <c r="OAN1" s="266"/>
      <c r="OAO1" s="266"/>
      <c r="OAP1" s="266"/>
      <c r="OAQ1" s="266"/>
      <c r="OAR1" s="266"/>
      <c r="OAS1" s="266"/>
      <c r="OAT1" s="266"/>
      <c r="OAU1" s="266"/>
      <c r="OAV1" s="266"/>
      <c r="OAW1" s="266"/>
      <c r="OAX1" s="266"/>
      <c r="OAY1" s="266"/>
      <c r="OAZ1" s="266"/>
      <c r="OBA1" s="266"/>
      <c r="OBB1" s="266"/>
      <c r="OBC1" s="266"/>
      <c r="OBD1" s="266"/>
      <c r="OBE1" s="266"/>
      <c r="OBF1" s="266"/>
      <c r="OBG1" s="266"/>
      <c r="OBH1" s="266"/>
      <c r="OBI1" s="266"/>
      <c r="OBJ1" s="266"/>
      <c r="OBK1" s="266"/>
      <c r="OBL1" s="266"/>
      <c r="OBM1" s="266"/>
      <c r="OBN1" s="266"/>
      <c r="OBO1" s="266"/>
      <c r="OBP1" s="266"/>
      <c r="OBQ1" s="266"/>
      <c r="OBR1" s="266"/>
      <c r="OBS1" s="266"/>
      <c r="OBT1" s="266"/>
      <c r="OBU1" s="266"/>
      <c r="OBV1" s="266"/>
      <c r="OBW1" s="266"/>
      <c r="OBX1" s="266"/>
      <c r="OBY1" s="266"/>
      <c r="OBZ1" s="266"/>
      <c r="OCA1" s="266"/>
      <c r="OCB1" s="266"/>
      <c r="OCC1" s="266"/>
      <c r="OCD1" s="266"/>
      <c r="OCE1" s="266"/>
      <c r="OCF1" s="266"/>
      <c r="OCG1" s="266"/>
      <c r="OCH1" s="266"/>
      <c r="OCI1" s="266"/>
      <c r="OCJ1" s="266"/>
      <c r="OCK1" s="266"/>
      <c r="OCL1" s="266"/>
      <c r="OCM1" s="266"/>
      <c r="OCN1" s="266"/>
      <c r="OCO1" s="266"/>
      <c r="OCP1" s="266"/>
      <c r="OCQ1" s="266"/>
      <c r="OCR1" s="266"/>
      <c r="OCS1" s="266"/>
      <c r="OCT1" s="266"/>
      <c r="OCU1" s="266"/>
      <c r="OCV1" s="266"/>
      <c r="OCW1" s="266"/>
      <c r="OCX1" s="266"/>
      <c r="OCY1" s="266"/>
      <c r="OCZ1" s="266"/>
      <c r="ODA1" s="266"/>
      <c r="ODB1" s="266"/>
      <c r="ODC1" s="266"/>
      <c r="ODD1" s="266"/>
      <c r="ODE1" s="266"/>
      <c r="ODF1" s="266"/>
      <c r="ODG1" s="266"/>
      <c r="ODH1" s="266"/>
      <c r="ODI1" s="266"/>
      <c r="ODJ1" s="266"/>
      <c r="ODK1" s="266"/>
      <c r="ODL1" s="266"/>
      <c r="ODM1" s="266"/>
      <c r="ODN1" s="266"/>
      <c r="ODO1" s="266"/>
      <c r="ODP1" s="266"/>
      <c r="ODQ1" s="266"/>
      <c r="ODR1" s="266"/>
      <c r="ODS1" s="266"/>
      <c r="ODT1" s="266"/>
      <c r="ODU1" s="266"/>
      <c r="ODV1" s="266"/>
      <c r="ODW1" s="266"/>
      <c r="ODX1" s="266"/>
      <c r="ODY1" s="266"/>
      <c r="ODZ1" s="266"/>
      <c r="OEA1" s="266"/>
      <c r="OEB1" s="266"/>
      <c r="OEC1" s="266"/>
      <c r="OED1" s="266"/>
      <c r="OEE1" s="266"/>
      <c r="OEF1" s="266"/>
      <c r="OEG1" s="266"/>
      <c r="OEH1" s="266"/>
      <c r="OEI1" s="266"/>
      <c r="OEJ1" s="266"/>
      <c r="OEK1" s="266"/>
      <c r="OEL1" s="266"/>
      <c r="OEM1" s="266"/>
      <c r="OEN1" s="266"/>
      <c r="OEO1" s="266"/>
      <c r="OEP1" s="266"/>
      <c r="OEQ1" s="266"/>
      <c r="OER1" s="266"/>
      <c r="OES1" s="266"/>
      <c r="OET1" s="266"/>
      <c r="OEU1" s="266"/>
      <c r="OEV1" s="266"/>
      <c r="OEW1" s="266"/>
      <c r="OEX1" s="266"/>
      <c r="OEY1" s="266"/>
      <c r="OEZ1" s="266"/>
      <c r="OFA1" s="266"/>
      <c r="OFB1" s="266"/>
      <c r="OFC1" s="266"/>
      <c r="OFD1" s="266"/>
      <c r="OFE1" s="266"/>
      <c r="OFF1" s="266"/>
      <c r="OFG1" s="266"/>
      <c r="OFH1" s="266"/>
      <c r="OFI1" s="266"/>
      <c r="OFJ1" s="266"/>
      <c r="OFK1" s="266"/>
      <c r="OFL1" s="266"/>
      <c r="OFM1" s="266"/>
      <c r="OFN1" s="266"/>
      <c r="OFO1" s="266"/>
      <c r="OFP1" s="266"/>
      <c r="OFQ1" s="266"/>
      <c r="OFR1" s="266"/>
      <c r="OFS1" s="266"/>
      <c r="OFT1" s="266"/>
      <c r="OFU1" s="266"/>
      <c r="OFV1" s="266"/>
      <c r="OFW1" s="266"/>
      <c r="OFX1" s="266"/>
      <c r="OFY1" s="266"/>
      <c r="OFZ1" s="266"/>
      <c r="OGA1" s="266"/>
      <c r="OGB1" s="266"/>
      <c r="OGC1" s="266"/>
      <c r="OGD1" s="266"/>
      <c r="OGE1" s="266"/>
      <c r="OGF1" s="266"/>
      <c r="OGG1" s="266"/>
      <c r="OGH1" s="266"/>
      <c r="OGI1" s="266"/>
      <c r="OGJ1" s="266"/>
      <c r="OGK1" s="266"/>
      <c r="OGL1" s="266"/>
      <c r="OGM1" s="266"/>
      <c r="OGN1" s="266"/>
      <c r="OGO1" s="266"/>
      <c r="OGP1" s="266"/>
      <c r="OGQ1" s="266"/>
      <c r="OGR1" s="266"/>
      <c r="OGS1" s="266"/>
      <c r="OGT1" s="266"/>
      <c r="OGU1" s="266"/>
      <c r="OGV1" s="266"/>
      <c r="OGW1" s="266"/>
      <c r="OGX1" s="266"/>
      <c r="OGY1" s="266"/>
      <c r="OGZ1" s="266"/>
      <c r="OHA1" s="266"/>
      <c r="OHB1" s="266"/>
      <c r="OHC1" s="266"/>
      <c r="OHD1" s="266"/>
      <c r="OHE1" s="266"/>
      <c r="OHF1" s="266"/>
      <c r="OHG1" s="266"/>
      <c r="OHH1" s="266"/>
      <c r="OHI1" s="266"/>
      <c r="OHJ1" s="266"/>
      <c r="OHK1" s="266"/>
      <c r="OHL1" s="266"/>
      <c r="OHM1" s="266"/>
      <c r="OHN1" s="266"/>
      <c r="OHO1" s="266"/>
      <c r="OHP1" s="266"/>
      <c r="OHQ1" s="266"/>
      <c r="OHR1" s="266"/>
      <c r="OHS1" s="266"/>
      <c r="OHT1" s="266"/>
      <c r="OHU1" s="266"/>
      <c r="OHV1" s="266"/>
      <c r="OHW1" s="266"/>
      <c r="OHX1" s="266"/>
      <c r="OHY1" s="266"/>
      <c r="OHZ1" s="266"/>
      <c r="OIA1" s="266"/>
      <c r="OIB1" s="266"/>
      <c r="OIC1" s="266"/>
      <c r="OID1" s="266"/>
      <c r="OIE1" s="266"/>
      <c r="OIF1" s="266"/>
      <c r="OIG1" s="266"/>
      <c r="OIH1" s="266"/>
      <c r="OII1" s="266"/>
      <c r="OIJ1" s="266"/>
      <c r="OIK1" s="266"/>
      <c r="OIL1" s="266"/>
      <c r="OIM1" s="266"/>
      <c r="OIN1" s="266"/>
      <c r="OIO1" s="266"/>
      <c r="OIP1" s="266"/>
      <c r="OIQ1" s="266"/>
      <c r="OIR1" s="266"/>
      <c r="OIS1" s="266"/>
      <c r="OIT1" s="266"/>
      <c r="OIU1" s="266"/>
      <c r="OIV1" s="266"/>
      <c r="OIW1" s="266"/>
      <c r="OIX1" s="266"/>
      <c r="OIY1" s="266"/>
      <c r="OIZ1" s="266"/>
      <c r="OJA1" s="266"/>
      <c r="OJB1" s="266"/>
      <c r="OJC1" s="266"/>
      <c r="OJD1" s="266"/>
      <c r="OJE1" s="266"/>
      <c r="OJF1" s="266"/>
      <c r="OJG1" s="266"/>
      <c r="OJH1" s="266"/>
      <c r="OJI1" s="266"/>
      <c r="OJJ1" s="266"/>
      <c r="OJK1" s="266"/>
      <c r="OJL1" s="266"/>
      <c r="OJM1" s="266"/>
      <c r="OJN1" s="266"/>
      <c r="OJO1" s="266"/>
      <c r="OJP1" s="266"/>
      <c r="OJQ1" s="266"/>
      <c r="OJR1" s="266"/>
      <c r="OJS1" s="266"/>
      <c r="OJT1" s="266"/>
      <c r="OJU1" s="266"/>
      <c r="OJV1" s="266"/>
      <c r="OJW1" s="266"/>
      <c r="OJX1" s="266"/>
      <c r="OJY1" s="266"/>
      <c r="OJZ1" s="266"/>
      <c r="OKA1" s="266"/>
      <c r="OKB1" s="266"/>
      <c r="OKC1" s="266"/>
      <c r="OKD1" s="266"/>
      <c r="OKE1" s="266"/>
      <c r="OKF1" s="266"/>
      <c r="OKG1" s="266"/>
      <c r="OKH1" s="266"/>
      <c r="OKI1" s="266"/>
      <c r="OKJ1" s="266"/>
      <c r="OKK1" s="266"/>
      <c r="OKL1" s="266"/>
      <c r="OKM1" s="266"/>
      <c r="OKN1" s="266"/>
      <c r="OKO1" s="266"/>
      <c r="OKP1" s="266"/>
      <c r="OKQ1" s="266"/>
      <c r="OKR1" s="266"/>
      <c r="OKS1" s="266"/>
      <c r="OKT1" s="266"/>
      <c r="OKU1" s="266"/>
      <c r="OKV1" s="266"/>
      <c r="OKW1" s="266"/>
      <c r="OKX1" s="266"/>
      <c r="OKY1" s="266"/>
      <c r="OKZ1" s="266"/>
      <c r="OLA1" s="266"/>
      <c r="OLB1" s="266"/>
      <c r="OLC1" s="266"/>
      <c r="OLD1" s="266"/>
      <c r="OLE1" s="266"/>
      <c r="OLF1" s="266"/>
      <c r="OLG1" s="266"/>
      <c r="OLH1" s="266"/>
      <c r="OLI1" s="266"/>
      <c r="OLJ1" s="266"/>
      <c r="OLK1" s="266"/>
      <c r="OLL1" s="266"/>
      <c r="OLM1" s="266"/>
      <c r="OLN1" s="266"/>
      <c r="OLO1" s="266"/>
      <c r="OLP1" s="266"/>
      <c r="OLQ1" s="266"/>
      <c r="OLR1" s="266"/>
      <c r="OLS1" s="266"/>
      <c r="OLT1" s="266"/>
      <c r="OLU1" s="266"/>
      <c r="OLV1" s="266"/>
      <c r="OLW1" s="266"/>
      <c r="OLX1" s="266"/>
      <c r="OLY1" s="266"/>
      <c r="OLZ1" s="266"/>
      <c r="OMA1" s="266"/>
      <c r="OMB1" s="266"/>
      <c r="OMC1" s="266"/>
      <c r="OMD1" s="266"/>
      <c r="OME1" s="266"/>
      <c r="OMF1" s="266"/>
      <c r="OMG1" s="266"/>
      <c r="OMH1" s="266"/>
      <c r="OMI1" s="266"/>
      <c r="OMJ1" s="266"/>
      <c r="OMK1" s="266"/>
      <c r="OML1" s="266"/>
      <c r="OMM1" s="266"/>
      <c r="OMN1" s="266"/>
      <c r="OMO1" s="266"/>
      <c r="OMP1" s="266"/>
      <c r="OMQ1" s="266"/>
      <c r="OMR1" s="266"/>
      <c r="OMS1" s="266"/>
      <c r="OMT1" s="266"/>
      <c r="OMU1" s="266"/>
      <c r="OMV1" s="266"/>
      <c r="OMW1" s="266"/>
      <c r="OMX1" s="266"/>
      <c r="OMY1" s="266"/>
      <c r="OMZ1" s="266"/>
      <c r="ONA1" s="266"/>
      <c r="ONB1" s="266"/>
      <c r="ONC1" s="266"/>
      <c r="OND1" s="266"/>
      <c r="ONE1" s="266"/>
      <c r="ONF1" s="266"/>
      <c r="ONG1" s="266"/>
      <c r="ONH1" s="266"/>
      <c r="ONI1" s="266"/>
      <c r="ONJ1" s="266"/>
      <c r="ONK1" s="266"/>
      <c r="ONL1" s="266"/>
      <c r="ONM1" s="266"/>
      <c r="ONN1" s="266"/>
      <c r="ONO1" s="266"/>
      <c r="ONP1" s="266"/>
      <c r="ONQ1" s="266"/>
      <c r="ONR1" s="266"/>
      <c r="ONS1" s="266"/>
      <c r="ONT1" s="266"/>
      <c r="ONU1" s="266"/>
      <c r="ONV1" s="266"/>
      <c r="ONW1" s="266"/>
      <c r="ONX1" s="266"/>
      <c r="ONY1" s="266"/>
      <c r="ONZ1" s="266"/>
      <c r="OOA1" s="266"/>
      <c r="OOB1" s="266"/>
      <c r="OOC1" s="266"/>
      <c r="OOD1" s="266"/>
      <c r="OOE1" s="266"/>
      <c r="OOF1" s="266"/>
      <c r="OOG1" s="266"/>
      <c r="OOH1" s="266"/>
      <c r="OOI1" s="266"/>
      <c r="OOJ1" s="266"/>
      <c r="OOK1" s="266"/>
      <c r="OOL1" s="266"/>
      <c r="OOM1" s="266"/>
      <c r="OON1" s="266"/>
      <c r="OOO1" s="266"/>
      <c r="OOP1" s="266"/>
      <c r="OOQ1" s="266"/>
      <c r="OOR1" s="266"/>
      <c r="OOS1" s="266"/>
      <c r="OOT1" s="266"/>
      <c r="OOU1" s="266"/>
      <c r="OOV1" s="266"/>
      <c r="OOW1" s="266"/>
      <c r="OOX1" s="266"/>
      <c r="OOY1" s="266"/>
      <c r="OOZ1" s="266"/>
      <c r="OPA1" s="266"/>
      <c r="OPB1" s="266"/>
      <c r="OPC1" s="266"/>
      <c r="OPD1" s="266"/>
      <c r="OPE1" s="266"/>
      <c r="OPF1" s="266"/>
      <c r="OPG1" s="266"/>
      <c r="OPH1" s="266"/>
      <c r="OPI1" s="266"/>
      <c r="OPJ1" s="266"/>
      <c r="OPK1" s="266"/>
      <c r="OPL1" s="266"/>
      <c r="OPM1" s="266"/>
      <c r="OPN1" s="266"/>
      <c r="OPO1" s="266"/>
      <c r="OPP1" s="266"/>
      <c r="OPQ1" s="266"/>
      <c r="OPR1" s="266"/>
      <c r="OPS1" s="266"/>
      <c r="OPT1" s="266"/>
      <c r="OPU1" s="266"/>
      <c r="OPV1" s="266"/>
      <c r="OPW1" s="266"/>
      <c r="OPX1" s="266"/>
      <c r="OPY1" s="266"/>
      <c r="OPZ1" s="266"/>
      <c r="OQA1" s="266"/>
      <c r="OQB1" s="266"/>
      <c r="OQC1" s="266"/>
      <c r="OQD1" s="266"/>
      <c r="OQE1" s="266"/>
      <c r="OQF1" s="266"/>
      <c r="OQG1" s="266"/>
      <c r="OQH1" s="266"/>
      <c r="OQI1" s="266"/>
      <c r="OQJ1" s="266"/>
      <c r="OQK1" s="266"/>
      <c r="OQL1" s="266"/>
      <c r="OQM1" s="266"/>
      <c r="OQN1" s="266"/>
      <c r="OQO1" s="266"/>
      <c r="OQP1" s="266"/>
      <c r="OQQ1" s="266"/>
      <c r="OQR1" s="266"/>
      <c r="OQS1" s="266"/>
      <c r="OQT1" s="266"/>
      <c r="OQU1" s="266"/>
      <c r="OQV1" s="266"/>
      <c r="OQW1" s="266"/>
      <c r="OQX1" s="266"/>
      <c r="OQY1" s="266"/>
      <c r="OQZ1" s="266"/>
      <c r="ORA1" s="266"/>
      <c r="ORB1" s="266"/>
      <c r="ORC1" s="266"/>
      <c r="ORD1" s="266"/>
      <c r="ORE1" s="266"/>
      <c r="ORF1" s="266"/>
      <c r="ORG1" s="266"/>
      <c r="ORH1" s="266"/>
      <c r="ORI1" s="266"/>
      <c r="ORJ1" s="266"/>
      <c r="ORK1" s="266"/>
      <c r="ORL1" s="266"/>
      <c r="ORM1" s="266"/>
      <c r="ORN1" s="266"/>
      <c r="ORO1" s="266"/>
      <c r="ORP1" s="266"/>
      <c r="ORQ1" s="266"/>
      <c r="ORR1" s="266"/>
      <c r="ORS1" s="266"/>
      <c r="ORT1" s="266"/>
      <c r="ORU1" s="266"/>
      <c r="ORV1" s="266"/>
      <c r="ORW1" s="266"/>
      <c r="ORX1" s="266"/>
      <c r="ORY1" s="266"/>
      <c r="ORZ1" s="266"/>
      <c r="OSA1" s="266"/>
      <c r="OSB1" s="266"/>
      <c r="OSC1" s="266"/>
      <c r="OSD1" s="266"/>
      <c r="OSE1" s="266"/>
      <c r="OSF1" s="266"/>
      <c r="OSG1" s="266"/>
      <c r="OSH1" s="266"/>
      <c r="OSI1" s="266"/>
      <c r="OSJ1" s="266"/>
      <c r="OSK1" s="266"/>
      <c r="OSL1" s="266"/>
      <c r="OSM1" s="266"/>
      <c r="OSN1" s="266"/>
      <c r="OSO1" s="266"/>
      <c r="OSP1" s="266"/>
      <c r="OSQ1" s="266"/>
      <c r="OSR1" s="266"/>
      <c r="OSS1" s="266"/>
      <c r="OST1" s="266"/>
      <c r="OSU1" s="266"/>
      <c r="OSV1" s="266"/>
      <c r="OSW1" s="266"/>
      <c r="OSX1" s="266"/>
      <c r="OSY1" s="266"/>
      <c r="OSZ1" s="266"/>
      <c r="OTA1" s="266"/>
      <c r="OTB1" s="266"/>
      <c r="OTC1" s="266"/>
      <c r="OTD1" s="266"/>
      <c r="OTE1" s="266"/>
      <c r="OTF1" s="266"/>
      <c r="OTG1" s="266"/>
      <c r="OTH1" s="266"/>
      <c r="OTI1" s="266"/>
      <c r="OTJ1" s="266"/>
      <c r="OTK1" s="266"/>
      <c r="OTL1" s="266"/>
      <c r="OTM1" s="266"/>
      <c r="OTN1" s="266"/>
      <c r="OTO1" s="266"/>
      <c r="OTP1" s="266"/>
      <c r="OTQ1" s="266"/>
      <c r="OTR1" s="266"/>
      <c r="OTS1" s="266"/>
      <c r="OTT1" s="266"/>
      <c r="OTU1" s="266"/>
      <c r="OTV1" s="266"/>
      <c r="OTW1" s="266"/>
      <c r="OTX1" s="266"/>
      <c r="OTY1" s="266"/>
      <c r="OTZ1" s="266"/>
      <c r="OUA1" s="266"/>
      <c r="OUB1" s="266"/>
      <c r="OUC1" s="266"/>
      <c r="OUD1" s="266"/>
      <c r="OUE1" s="266"/>
      <c r="OUF1" s="266"/>
      <c r="OUG1" s="266"/>
      <c r="OUH1" s="266"/>
      <c r="OUI1" s="266"/>
      <c r="OUJ1" s="266"/>
      <c r="OUK1" s="266"/>
      <c r="OUL1" s="266"/>
      <c r="OUM1" s="266"/>
      <c r="OUN1" s="266"/>
      <c r="OUO1" s="266"/>
      <c r="OUP1" s="266"/>
      <c r="OUQ1" s="266"/>
      <c r="OUR1" s="266"/>
      <c r="OUS1" s="266"/>
      <c r="OUT1" s="266"/>
      <c r="OUU1" s="266"/>
      <c r="OUV1" s="266"/>
      <c r="OUW1" s="266"/>
      <c r="OUX1" s="266"/>
      <c r="OUY1" s="266"/>
      <c r="OUZ1" s="266"/>
      <c r="OVA1" s="266"/>
      <c r="OVB1" s="266"/>
      <c r="OVC1" s="266"/>
      <c r="OVD1" s="266"/>
      <c r="OVE1" s="266"/>
      <c r="OVF1" s="266"/>
      <c r="OVG1" s="266"/>
      <c r="OVH1" s="266"/>
      <c r="OVI1" s="266"/>
      <c r="OVJ1" s="266"/>
      <c r="OVK1" s="266"/>
      <c r="OVL1" s="266"/>
      <c r="OVM1" s="266"/>
      <c r="OVN1" s="266"/>
      <c r="OVO1" s="266"/>
      <c r="OVP1" s="266"/>
      <c r="OVQ1" s="266"/>
      <c r="OVR1" s="266"/>
      <c r="OVS1" s="266"/>
      <c r="OVT1" s="266"/>
      <c r="OVU1" s="266"/>
      <c r="OVV1" s="266"/>
      <c r="OVW1" s="266"/>
      <c r="OVX1" s="266"/>
      <c r="OVY1" s="266"/>
      <c r="OVZ1" s="266"/>
      <c r="OWA1" s="266"/>
      <c r="OWB1" s="266"/>
      <c r="OWC1" s="266"/>
      <c r="OWD1" s="266"/>
      <c r="OWE1" s="266"/>
      <c r="OWF1" s="266"/>
      <c r="OWG1" s="266"/>
      <c r="OWH1" s="266"/>
      <c r="OWI1" s="266"/>
      <c r="OWJ1" s="266"/>
      <c r="OWK1" s="266"/>
      <c r="OWL1" s="266"/>
      <c r="OWM1" s="266"/>
      <c r="OWN1" s="266"/>
      <c r="OWO1" s="266"/>
      <c r="OWP1" s="266"/>
      <c r="OWQ1" s="266"/>
      <c r="OWR1" s="266"/>
      <c r="OWS1" s="266"/>
      <c r="OWT1" s="266"/>
      <c r="OWU1" s="266"/>
      <c r="OWV1" s="266"/>
      <c r="OWW1" s="266"/>
      <c r="OWX1" s="266"/>
      <c r="OWY1" s="266"/>
      <c r="OWZ1" s="266"/>
      <c r="OXA1" s="266"/>
      <c r="OXB1" s="266"/>
      <c r="OXC1" s="266"/>
      <c r="OXD1" s="266"/>
      <c r="OXE1" s="266"/>
      <c r="OXF1" s="266"/>
      <c r="OXG1" s="266"/>
      <c r="OXH1" s="266"/>
      <c r="OXI1" s="266"/>
      <c r="OXJ1" s="266"/>
      <c r="OXK1" s="266"/>
      <c r="OXL1" s="266"/>
      <c r="OXM1" s="266"/>
      <c r="OXN1" s="266"/>
      <c r="OXO1" s="266"/>
      <c r="OXP1" s="266"/>
      <c r="OXQ1" s="266"/>
      <c r="OXR1" s="266"/>
      <c r="OXS1" s="266"/>
      <c r="OXT1" s="266"/>
      <c r="OXU1" s="266"/>
      <c r="OXV1" s="266"/>
      <c r="OXW1" s="266"/>
      <c r="OXX1" s="266"/>
      <c r="OXY1" s="266"/>
      <c r="OXZ1" s="266"/>
      <c r="OYA1" s="266"/>
      <c r="OYB1" s="266"/>
      <c r="OYC1" s="266"/>
      <c r="OYD1" s="266"/>
      <c r="OYE1" s="266"/>
      <c r="OYF1" s="266"/>
      <c r="OYG1" s="266"/>
      <c r="OYH1" s="266"/>
      <c r="OYI1" s="266"/>
      <c r="OYJ1" s="266"/>
      <c r="OYK1" s="266"/>
      <c r="OYL1" s="266"/>
      <c r="OYM1" s="266"/>
      <c r="OYN1" s="266"/>
      <c r="OYO1" s="266"/>
      <c r="OYP1" s="266"/>
      <c r="OYQ1" s="266"/>
      <c r="OYR1" s="266"/>
      <c r="OYS1" s="266"/>
      <c r="OYT1" s="266"/>
      <c r="OYU1" s="266"/>
      <c r="OYV1" s="266"/>
      <c r="OYW1" s="266"/>
      <c r="OYX1" s="266"/>
      <c r="OYY1" s="266"/>
      <c r="OYZ1" s="266"/>
      <c r="OZA1" s="266"/>
      <c r="OZB1" s="266"/>
      <c r="OZC1" s="266"/>
      <c r="OZD1" s="266"/>
      <c r="OZE1" s="266"/>
      <c r="OZF1" s="266"/>
      <c r="OZG1" s="266"/>
      <c r="OZH1" s="266"/>
      <c r="OZI1" s="266"/>
      <c r="OZJ1" s="266"/>
      <c r="OZK1" s="266"/>
      <c r="OZL1" s="266"/>
      <c r="OZM1" s="266"/>
      <c r="OZN1" s="266"/>
      <c r="OZO1" s="266"/>
      <c r="OZP1" s="266"/>
      <c r="OZQ1" s="266"/>
      <c r="OZR1" s="266"/>
      <c r="OZS1" s="266"/>
      <c r="OZT1" s="266"/>
      <c r="OZU1" s="266"/>
      <c r="OZV1" s="266"/>
      <c r="OZW1" s="266"/>
      <c r="OZX1" s="266"/>
      <c r="OZY1" s="266"/>
      <c r="OZZ1" s="266"/>
      <c r="PAA1" s="266"/>
      <c r="PAB1" s="266"/>
      <c r="PAC1" s="266"/>
      <c r="PAD1" s="266"/>
      <c r="PAE1" s="266"/>
      <c r="PAF1" s="266"/>
      <c r="PAG1" s="266"/>
      <c r="PAH1" s="266"/>
      <c r="PAI1" s="266"/>
      <c r="PAJ1" s="266"/>
      <c r="PAK1" s="266"/>
      <c r="PAL1" s="266"/>
      <c r="PAM1" s="266"/>
      <c r="PAN1" s="266"/>
      <c r="PAO1" s="266"/>
      <c r="PAP1" s="266"/>
      <c r="PAQ1" s="266"/>
      <c r="PAR1" s="266"/>
      <c r="PAS1" s="266"/>
      <c r="PAT1" s="266"/>
      <c r="PAU1" s="266"/>
      <c r="PAV1" s="266"/>
      <c r="PAW1" s="266"/>
      <c r="PAX1" s="266"/>
      <c r="PAY1" s="266"/>
      <c r="PAZ1" s="266"/>
      <c r="PBA1" s="266"/>
      <c r="PBB1" s="266"/>
      <c r="PBC1" s="266"/>
      <c r="PBD1" s="266"/>
      <c r="PBE1" s="266"/>
      <c r="PBF1" s="266"/>
      <c r="PBG1" s="266"/>
      <c r="PBH1" s="266"/>
      <c r="PBI1" s="266"/>
      <c r="PBJ1" s="266"/>
      <c r="PBK1" s="266"/>
      <c r="PBL1" s="266"/>
      <c r="PBM1" s="266"/>
      <c r="PBN1" s="266"/>
      <c r="PBO1" s="266"/>
      <c r="PBP1" s="266"/>
      <c r="PBQ1" s="266"/>
      <c r="PBR1" s="266"/>
      <c r="PBS1" s="266"/>
      <c r="PBT1" s="266"/>
      <c r="PBU1" s="266"/>
      <c r="PBV1" s="266"/>
      <c r="PBW1" s="266"/>
      <c r="PBX1" s="266"/>
      <c r="PBY1" s="266"/>
      <c r="PBZ1" s="266"/>
      <c r="PCA1" s="266"/>
      <c r="PCB1" s="266"/>
      <c r="PCC1" s="266"/>
      <c r="PCD1" s="266"/>
      <c r="PCE1" s="266"/>
      <c r="PCF1" s="266"/>
      <c r="PCG1" s="266"/>
      <c r="PCH1" s="266"/>
      <c r="PCI1" s="266"/>
      <c r="PCJ1" s="266"/>
      <c r="PCK1" s="266"/>
      <c r="PCL1" s="266"/>
      <c r="PCM1" s="266"/>
      <c r="PCN1" s="266"/>
      <c r="PCO1" s="266"/>
      <c r="PCP1" s="266"/>
      <c r="PCQ1" s="266"/>
      <c r="PCR1" s="266"/>
      <c r="PCS1" s="266"/>
      <c r="PCT1" s="266"/>
      <c r="PCU1" s="266"/>
      <c r="PCV1" s="266"/>
      <c r="PCW1" s="266"/>
      <c r="PCX1" s="266"/>
      <c r="PCY1" s="266"/>
      <c r="PCZ1" s="266"/>
      <c r="PDA1" s="266"/>
      <c r="PDB1" s="266"/>
      <c r="PDC1" s="266"/>
      <c r="PDD1" s="266"/>
      <c r="PDE1" s="266"/>
      <c r="PDF1" s="266"/>
      <c r="PDG1" s="266"/>
      <c r="PDH1" s="266"/>
      <c r="PDI1" s="266"/>
      <c r="PDJ1" s="266"/>
      <c r="PDK1" s="266"/>
      <c r="PDL1" s="266"/>
      <c r="PDM1" s="266"/>
      <c r="PDN1" s="266"/>
      <c r="PDO1" s="266"/>
      <c r="PDP1" s="266"/>
      <c r="PDQ1" s="266"/>
      <c r="PDR1" s="266"/>
      <c r="PDS1" s="266"/>
      <c r="PDT1" s="266"/>
      <c r="PDU1" s="266"/>
      <c r="PDV1" s="266"/>
      <c r="PDW1" s="266"/>
      <c r="PDX1" s="266"/>
      <c r="PDY1" s="266"/>
      <c r="PDZ1" s="266"/>
      <c r="PEA1" s="266"/>
      <c r="PEB1" s="266"/>
      <c r="PEC1" s="266"/>
      <c r="PED1" s="266"/>
      <c r="PEE1" s="266"/>
      <c r="PEF1" s="266"/>
      <c r="PEG1" s="266"/>
      <c r="PEH1" s="266"/>
      <c r="PEI1" s="266"/>
      <c r="PEJ1" s="266"/>
      <c r="PEK1" s="266"/>
      <c r="PEL1" s="266"/>
      <c r="PEM1" s="266"/>
      <c r="PEN1" s="266"/>
      <c r="PEO1" s="266"/>
      <c r="PEP1" s="266"/>
      <c r="PEQ1" s="266"/>
      <c r="PER1" s="266"/>
      <c r="PES1" s="266"/>
      <c r="PET1" s="266"/>
      <c r="PEU1" s="266"/>
      <c r="PEV1" s="266"/>
      <c r="PEW1" s="266"/>
      <c r="PEX1" s="266"/>
      <c r="PEY1" s="266"/>
      <c r="PEZ1" s="266"/>
      <c r="PFA1" s="266"/>
      <c r="PFB1" s="266"/>
      <c r="PFC1" s="266"/>
      <c r="PFD1" s="266"/>
      <c r="PFE1" s="266"/>
      <c r="PFF1" s="266"/>
      <c r="PFG1" s="266"/>
      <c r="PFH1" s="266"/>
      <c r="PFI1" s="266"/>
      <c r="PFJ1" s="266"/>
      <c r="PFK1" s="266"/>
      <c r="PFL1" s="266"/>
      <c r="PFM1" s="266"/>
      <c r="PFN1" s="266"/>
      <c r="PFO1" s="266"/>
      <c r="PFP1" s="266"/>
      <c r="PFQ1" s="266"/>
      <c r="PFR1" s="266"/>
      <c r="PFS1" s="266"/>
      <c r="PFT1" s="266"/>
      <c r="PFU1" s="266"/>
      <c r="PFV1" s="266"/>
      <c r="PFW1" s="266"/>
      <c r="PFX1" s="266"/>
      <c r="PFY1" s="266"/>
      <c r="PFZ1" s="266"/>
      <c r="PGA1" s="266"/>
      <c r="PGB1" s="266"/>
      <c r="PGC1" s="266"/>
      <c r="PGD1" s="266"/>
      <c r="PGE1" s="266"/>
      <c r="PGF1" s="266"/>
      <c r="PGG1" s="266"/>
      <c r="PGH1" s="266"/>
      <c r="PGI1" s="266"/>
      <c r="PGJ1" s="266"/>
      <c r="PGK1" s="266"/>
      <c r="PGL1" s="266"/>
      <c r="PGM1" s="266"/>
      <c r="PGN1" s="266"/>
      <c r="PGO1" s="266"/>
      <c r="PGP1" s="266"/>
      <c r="PGQ1" s="266"/>
      <c r="PGR1" s="266"/>
      <c r="PGS1" s="266"/>
      <c r="PGT1" s="266"/>
      <c r="PGU1" s="266"/>
      <c r="PGV1" s="266"/>
      <c r="PGW1" s="266"/>
      <c r="PGX1" s="266"/>
      <c r="PGY1" s="266"/>
      <c r="PGZ1" s="266"/>
      <c r="PHA1" s="266"/>
      <c r="PHB1" s="266"/>
      <c r="PHC1" s="266"/>
      <c r="PHD1" s="266"/>
      <c r="PHE1" s="266"/>
      <c r="PHF1" s="266"/>
      <c r="PHG1" s="266"/>
      <c r="PHH1" s="266"/>
      <c r="PHI1" s="266"/>
      <c r="PHJ1" s="266"/>
      <c r="PHK1" s="266"/>
      <c r="PHL1" s="266"/>
      <c r="PHM1" s="266"/>
      <c r="PHN1" s="266"/>
      <c r="PHO1" s="266"/>
      <c r="PHP1" s="266"/>
      <c r="PHQ1" s="266"/>
      <c r="PHR1" s="266"/>
      <c r="PHS1" s="266"/>
      <c r="PHT1" s="266"/>
      <c r="PHU1" s="266"/>
      <c r="PHV1" s="266"/>
      <c r="PHW1" s="266"/>
      <c r="PHX1" s="266"/>
      <c r="PHY1" s="266"/>
      <c r="PHZ1" s="266"/>
      <c r="PIA1" s="266"/>
      <c r="PIB1" s="266"/>
      <c r="PIC1" s="266"/>
      <c r="PID1" s="266"/>
      <c r="PIE1" s="266"/>
      <c r="PIF1" s="266"/>
      <c r="PIG1" s="266"/>
      <c r="PIH1" s="266"/>
      <c r="PII1" s="266"/>
      <c r="PIJ1" s="266"/>
      <c r="PIK1" s="266"/>
      <c r="PIL1" s="266"/>
      <c r="PIM1" s="266"/>
      <c r="PIN1" s="266"/>
      <c r="PIO1" s="266"/>
      <c r="PIP1" s="266"/>
      <c r="PIQ1" s="266"/>
      <c r="PIR1" s="266"/>
      <c r="PIS1" s="266"/>
      <c r="PIT1" s="266"/>
      <c r="PIU1" s="266"/>
      <c r="PIV1" s="266"/>
      <c r="PIW1" s="266"/>
      <c r="PIX1" s="266"/>
      <c r="PIY1" s="266"/>
      <c r="PIZ1" s="266"/>
      <c r="PJA1" s="266"/>
      <c r="PJB1" s="266"/>
      <c r="PJC1" s="266"/>
      <c r="PJD1" s="266"/>
      <c r="PJE1" s="266"/>
      <c r="PJF1" s="266"/>
      <c r="PJG1" s="266"/>
      <c r="PJH1" s="266"/>
      <c r="PJI1" s="266"/>
      <c r="PJJ1" s="266"/>
      <c r="PJK1" s="266"/>
      <c r="PJL1" s="266"/>
      <c r="PJM1" s="266"/>
      <c r="PJN1" s="266"/>
      <c r="PJO1" s="266"/>
      <c r="PJP1" s="266"/>
      <c r="PJQ1" s="266"/>
      <c r="PJR1" s="266"/>
      <c r="PJS1" s="266"/>
      <c r="PJT1" s="266"/>
      <c r="PJU1" s="266"/>
      <c r="PJV1" s="266"/>
      <c r="PJW1" s="266"/>
      <c r="PJX1" s="266"/>
      <c r="PJY1" s="266"/>
      <c r="PJZ1" s="266"/>
      <c r="PKA1" s="266"/>
      <c r="PKB1" s="266"/>
      <c r="PKC1" s="266"/>
      <c r="PKD1" s="266"/>
      <c r="PKE1" s="266"/>
      <c r="PKF1" s="266"/>
      <c r="PKG1" s="266"/>
      <c r="PKH1" s="266"/>
      <c r="PKI1" s="266"/>
      <c r="PKJ1" s="266"/>
      <c r="PKK1" s="266"/>
      <c r="PKL1" s="266"/>
      <c r="PKM1" s="266"/>
      <c r="PKN1" s="266"/>
      <c r="PKO1" s="266"/>
      <c r="PKP1" s="266"/>
      <c r="PKQ1" s="266"/>
      <c r="PKR1" s="266"/>
      <c r="PKS1" s="266"/>
      <c r="PKT1" s="266"/>
      <c r="PKU1" s="266"/>
      <c r="PKV1" s="266"/>
      <c r="PKW1" s="266"/>
      <c r="PKX1" s="266"/>
      <c r="PKY1" s="266"/>
      <c r="PKZ1" s="266"/>
      <c r="PLA1" s="266"/>
      <c r="PLB1" s="266"/>
      <c r="PLC1" s="266"/>
      <c r="PLD1" s="266"/>
      <c r="PLE1" s="266"/>
      <c r="PLF1" s="266"/>
      <c r="PLG1" s="266"/>
      <c r="PLH1" s="266"/>
      <c r="PLI1" s="266"/>
      <c r="PLJ1" s="266"/>
      <c r="PLK1" s="266"/>
      <c r="PLL1" s="266"/>
      <c r="PLM1" s="266"/>
      <c r="PLN1" s="266"/>
      <c r="PLO1" s="266"/>
      <c r="PLP1" s="266"/>
      <c r="PLQ1" s="266"/>
      <c r="PLR1" s="266"/>
      <c r="PLS1" s="266"/>
      <c r="PLT1" s="266"/>
      <c r="PLU1" s="266"/>
      <c r="PLV1" s="266"/>
      <c r="PLW1" s="266"/>
      <c r="PLX1" s="266"/>
      <c r="PLY1" s="266"/>
      <c r="PLZ1" s="266"/>
      <c r="PMA1" s="266"/>
      <c r="PMB1" s="266"/>
      <c r="PMC1" s="266"/>
      <c r="PMD1" s="266"/>
      <c r="PME1" s="266"/>
      <c r="PMF1" s="266"/>
      <c r="PMG1" s="266"/>
      <c r="PMH1" s="266"/>
      <c r="PMI1" s="266"/>
      <c r="PMJ1" s="266"/>
      <c r="PMK1" s="266"/>
      <c r="PML1" s="266"/>
      <c r="PMM1" s="266"/>
      <c r="PMN1" s="266"/>
      <c r="PMO1" s="266"/>
      <c r="PMP1" s="266"/>
      <c r="PMQ1" s="266"/>
      <c r="PMR1" s="266"/>
      <c r="PMS1" s="266"/>
      <c r="PMT1" s="266"/>
      <c r="PMU1" s="266"/>
      <c r="PMV1" s="266"/>
      <c r="PMW1" s="266"/>
      <c r="PMX1" s="266"/>
      <c r="PMY1" s="266"/>
      <c r="PMZ1" s="266"/>
      <c r="PNA1" s="266"/>
      <c r="PNB1" s="266"/>
      <c r="PNC1" s="266"/>
      <c r="PND1" s="266"/>
      <c r="PNE1" s="266"/>
      <c r="PNF1" s="266"/>
      <c r="PNG1" s="266"/>
      <c r="PNH1" s="266"/>
      <c r="PNI1" s="266"/>
      <c r="PNJ1" s="266"/>
      <c r="PNK1" s="266"/>
      <c r="PNL1" s="266"/>
      <c r="PNM1" s="266"/>
      <c r="PNN1" s="266"/>
      <c r="PNO1" s="266"/>
      <c r="PNP1" s="266"/>
      <c r="PNQ1" s="266"/>
      <c r="PNR1" s="266"/>
      <c r="PNS1" s="266"/>
      <c r="PNT1" s="266"/>
      <c r="PNU1" s="266"/>
      <c r="PNV1" s="266"/>
      <c r="PNW1" s="266"/>
      <c r="PNX1" s="266"/>
      <c r="PNY1" s="266"/>
      <c r="PNZ1" s="266"/>
      <c r="POA1" s="266"/>
      <c r="POB1" s="266"/>
      <c r="POC1" s="266"/>
      <c r="POD1" s="266"/>
      <c r="POE1" s="266"/>
      <c r="POF1" s="266"/>
      <c r="POG1" s="266"/>
      <c r="POH1" s="266"/>
      <c r="POI1" s="266"/>
      <c r="POJ1" s="266"/>
      <c r="POK1" s="266"/>
      <c r="POL1" s="266"/>
      <c r="POM1" s="266"/>
      <c r="PON1" s="266"/>
      <c r="POO1" s="266"/>
      <c r="POP1" s="266"/>
      <c r="POQ1" s="266"/>
      <c r="POR1" s="266"/>
      <c r="POS1" s="266"/>
      <c r="POT1" s="266"/>
      <c r="POU1" s="266"/>
      <c r="POV1" s="266"/>
      <c r="POW1" s="266"/>
      <c r="POX1" s="266"/>
      <c r="POY1" s="266"/>
      <c r="POZ1" s="266"/>
      <c r="PPA1" s="266"/>
      <c r="PPB1" s="266"/>
      <c r="PPC1" s="266"/>
      <c r="PPD1" s="266"/>
      <c r="PPE1" s="266"/>
      <c r="PPF1" s="266"/>
      <c r="PPG1" s="266"/>
      <c r="PPH1" s="266"/>
      <c r="PPI1" s="266"/>
      <c r="PPJ1" s="266"/>
      <c r="PPK1" s="266"/>
      <c r="PPL1" s="266"/>
      <c r="PPM1" s="266"/>
      <c r="PPN1" s="266"/>
      <c r="PPO1" s="266"/>
      <c r="PPP1" s="266"/>
      <c r="PPQ1" s="266"/>
      <c r="PPR1" s="266"/>
      <c r="PPS1" s="266"/>
      <c r="PPT1" s="266"/>
      <c r="PPU1" s="266"/>
      <c r="PPV1" s="266"/>
      <c r="PPW1" s="266"/>
      <c r="PPX1" s="266"/>
      <c r="PPY1" s="266"/>
      <c r="PPZ1" s="266"/>
      <c r="PQA1" s="266"/>
      <c r="PQB1" s="266"/>
      <c r="PQC1" s="266"/>
      <c r="PQD1" s="266"/>
      <c r="PQE1" s="266"/>
      <c r="PQF1" s="266"/>
      <c r="PQG1" s="266"/>
      <c r="PQH1" s="266"/>
      <c r="PQI1" s="266"/>
      <c r="PQJ1" s="266"/>
      <c r="PQK1" s="266"/>
      <c r="PQL1" s="266"/>
      <c r="PQM1" s="266"/>
      <c r="PQN1" s="266"/>
      <c r="PQO1" s="266"/>
      <c r="PQP1" s="266"/>
      <c r="PQQ1" s="266"/>
      <c r="PQR1" s="266"/>
      <c r="PQS1" s="266"/>
      <c r="PQT1" s="266"/>
      <c r="PQU1" s="266"/>
      <c r="PQV1" s="266"/>
      <c r="PQW1" s="266"/>
      <c r="PQX1" s="266"/>
      <c r="PQY1" s="266"/>
      <c r="PQZ1" s="266"/>
      <c r="PRA1" s="266"/>
      <c r="PRB1" s="266"/>
      <c r="PRC1" s="266"/>
      <c r="PRD1" s="266"/>
      <c r="PRE1" s="266"/>
      <c r="PRF1" s="266"/>
      <c r="PRG1" s="266"/>
      <c r="PRH1" s="266"/>
      <c r="PRI1" s="266"/>
      <c r="PRJ1" s="266"/>
      <c r="PRK1" s="266"/>
      <c r="PRL1" s="266"/>
      <c r="PRM1" s="266"/>
      <c r="PRN1" s="266"/>
      <c r="PRO1" s="266"/>
      <c r="PRP1" s="266"/>
      <c r="PRQ1" s="266"/>
      <c r="PRR1" s="266"/>
      <c r="PRS1" s="266"/>
      <c r="PRT1" s="266"/>
      <c r="PRU1" s="266"/>
      <c r="PRV1" s="266"/>
      <c r="PRW1" s="266"/>
      <c r="PRX1" s="266"/>
      <c r="PRY1" s="266"/>
      <c r="PRZ1" s="266"/>
      <c r="PSA1" s="266"/>
      <c r="PSB1" s="266"/>
      <c r="PSC1" s="266"/>
      <c r="PSD1" s="266"/>
      <c r="PSE1" s="266"/>
      <c r="PSF1" s="266"/>
      <c r="PSG1" s="266"/>
      <c r="PSH1" s="266"/>
      <c r="PSI1" s="266"/>
      <c r="PSJ1" s="266"/>
      <c r="PSK1" s="266"/>
      <c r="PSL1" s="266"/>
      <c r="PSM1" s="266"/>
      <c r="PSN1" s="266"/>
      <c r="PSO1" s="266"/>
      <c r="PSP1" s="266"/>
      <c r="PSQ1" s="266"/>
      <c r="PSR1" s="266"/>
      <c r="PSS1" s="266"/>
      <c r="PST1" s="266"/>
      <c r="PSU1" s="266"/>
      <c r="PSV1" s="266"/>
      <c r="PSW1" s="266"/>
      <c r="PSX1" s="266"/>
      <c r="PSY1" s="266"/>
      <c r="PSZ1" s="266"/>
      <c r="PTA1" s="266"/>
      <c r="PTB1" s="266"/>
      <c r="PTC1" s="266"/>
      <c r="PTD1" s="266"/>
      <c r="PTE1" s="266"/>
      <c r="PTF1" s="266"/>
      <c r="PTG1" s="266"/>
      <c r="PTH1" s="266"/>
      <c r="PTI1" s="266"/>
      <c r="PTJ1" s="266"/>
      <c r="PTK1" s="266"/>
      <c r="PTL1" s="266"/>
      <c r="PTM1" s="266"/>
      <c r="PTN1" s="266"/>
      <c r="PTO1" s="266"/>
      <c r="PTP1" s="266"/>
      <c r="PTQ1" s="266"/>
      <c r="PTR1" s="266"/>
      <c r="PTS1" s="266"/>
      <c r="PTT1" s="266"/>
      <c r="PTU1" s="266"/>
      <c r="PTV1" s="266"/>
      <c r="PTW1" s="266"/>
      <c r="PTX1" s="266"/>
      <c r="PTY1" s="266"/>
      <c r="PTZ1" s="266"/>
      <c r="PUA1" s="266"/>
      <c r="PUB1" s="266"/>
      <c r="PUC1" s="266"/>
      <c r="PUD1" s="266"/>
      <c r="PUE1" s="266"/>
      <c r="PUF1" s="266"/>
      <c r="PUG1" s="266"/>
      <c r="PUH1" s="266"/>
      <c r="PUI1" s="266"/>
      <c r="PUJ1" s="266"/>
      <c r="PUK1" s="266"/>
      <c r="PUL1" s="266"/>
      <c r="PUM1" s="266"/>
      <c r="PUN1" s="266"/>
      <c r="PUO1" s="266"/>
      <c r="PUP1" s="266"/>
      <c r="PUQ1" s="266"/>
      <c r="PUR1" s="266"/>
      <c r="PUS1" s="266"/>
      <c r="PUT1" s="266"/>
      <c r="PUU1" s="266"/>
      <c r="PUV1" s="266"/>
      <c r="PUW1" s="266"/>
      <c r="PUX1" s="266"/>
      <c r="PUY1" s="266"/>
      <c r="PUZ1" s="266"/>
      <c r="PVA1" s="266"/>
      <c r="PVB1" s="266"/>
      <c r="PVC1" s="266"/>
      <c r="PVD1" s="266"/>
      <c r="PVE1" s="266"/>
      <c r="PVF1" s="266"/>
      <c r="PVG1" s="266"/>
      <c r="PVH1" s="266"/>
      <c r="PVI1" s="266"/>
      <c r="PVJ1" s="266"/>
      <c r="PVK1" s="266"/>
      <c r="PVL1" s="266"/>
      <c r="PVM1" s="266"/>
      <c r="PVN1" s="266"/>
      <c r="PVO1" s="266"/>
      <c r="PVP1" s="266"/>
      <c r="PVQ1" s="266"/>
      <c r="PVR1" s="266"/>
      <c r="PVS1" s="266"/>
      <c r="PVT1" s="266"/>
      <c r="PVU1" s="266"/>
      <c r="PVV1" s="266"/>
      <c r="PVW1" s="266"/>
      <c r="PVX1" s="266"/>
      <c r="PVY1" s="266"/>
      <c r="PVZ1" s="266"/>
      <c r="PWA1" s="266"/>
      <c r="PWB1" s="266"/>
      <c r="PWC1" s="266"/>
      <c r="PWD1" s="266"/>
      <c r="PWE1" s="266"/>
      <c r="PWF1" s="266"/>
      <c r="PWG1" s="266"/>
      <c r="PWH1" s="266"/>
      <c r="PWI1" s="266"/>
      <c r="PWJ1" s="266"/>
      <c r="PWK1" s="266"/>
      <c r="PWL1" s="266"/>
      <c r="PWM1" s="266"/>
      <c r="PWN1" s="266"/>
      <c r="PWO1" s="266"/>
      <c r="PWP1" s="266"/>
      <c r="PWQ1" s="266"/>
      <c r="PWR1" s="266"/>
      <c r="PWS1" s="266"/>
      <c r="PWT1" s="266"/>
      <c r="PWU1" s="266"/>
      <c r="PWV1" s="266"/>
      <c r="PWW1" s="266"/>
      <c r="PWX1" s="266"/>
      <c r="PWY1" s="266"/>
      <c r="PWZ1" s="266"/>
      <c r="PXA1" s="266"/>
      <c r="PXB1" s="266"/>
      <c r="PXC1" s="266"/>
      <c r="PXD1" s="266"/>
      <c r="PXE1" s="266"/>
      <c r="PXF1" s="266"/>
      <c r="PXG1" s="266"/>
      <c r="PXH1" s="266"/>
      <c r="PXI1" s="266"/>
      <c r="PXJ1" s="266"/>
      <c r="PXK1" s="266"/>
      <c r="PXL1" s="266"/>
      <c r="PXM1" s="266"/>
      <c r="PXN1" s="266"/>
      <c r="PXO1" s="266"/>
      <c r="PXP1" s="266"/>
      <c r="PXQ1" s="266"/>
      <c r="PXR1" s="266"/>
      <c r="PXS1" s="266"/>
      <c r="PXT1" s="266"/>
      <c r="PXU1" s="266"/>
      <c r="PXV1" s="266"/>
      <c r="PXW1" s="266"/>
      <c r="PXX1" s="266"/>
      <c r="PXY1" s="266"/>
      <c r="PXZ1" s="266"/>
      <c r="PYA1" s="266"/>
      <c r="PYB1" s="266"/>
      <c r="PYC1" s="266"/>
      <c r="PYD1" s="266"/>
      <c r="PYE1" s="266"/>
      <c r="PYF1" s="266"/>
      <c r="PYG1" s="266"/>
      <c r="PYH1" s="266"/>
      <c r="PYI1" s="266"/>
      <c r="PYJ1" s="266"/>
      <c r="PYK1" s="266"/>
      <c r="PYL1" s="266"/>
      <c r="PYM1" s="266"/>
      <c r="PYN1" s="266"/>
      <c r="PYO1" s="266"/>
      <c r="PYP1" s="266"/>
      <c r="PYQ1" s="266"/>
      <c r="PYR1" s="266"/>
      <c r="PYS1" s="266"/>
      <c r="PYT1" s="266"/>
      <c r="PYU1" s="266"/>
      <c r="PYV1" s="266"/>
      <c r="PYW1" s="266"/>
      <c r="PYX1" s="266"/>
      <c r="PYY1" s="266"/>
      <c r="PYZ1" s="266"/>
      <c r="PZA1" s="266"/>
      <c r="PZB1" s="266"/>
      <c r="PZC1" s="266"/>
      <c r="PZD1" s="266"/>
      <c r="PZE1" s="266"/>
      <c r="PZF1" s="266"/>
      <c r="PZG1" s="266"/>
      <c r="PZH1" s="266"/>
      <c r="PZI1" s="266"/>
      <c r="PZJ1" s="266"/>
      <c r="PZK1" s="266"/>
      <c r="PZL1" s="266"/>
      <c r="PZM1" s="266"/>
      <c r="PZN1" s="266"/>
      <c r="PZO1" s="266"/>
      <c r="PZP1" s="266"/>
      <c r="PZQ1" s="266"/>
      <c r="PZR1" s="266"/>
      <c r="PZS1" s="266"/>
      <c r="PZT1" s="266"/>
      <c r="PZU1" s="266"/>
      <c r="PZV1" s="266"/>
      <c r="PZW1" s="266"/>
      <c r="PZX1" s="266"/>
      <c r="PZY1" s="266"/>
      <c r="PZZ1" s="266"/>
      <c r="QAA1" s="266"/>
      <c r="QAB1" s="266"/>
      <c r="QAC1" s="266"/>
      <c r="QAD1" s="266"/>
      <c r="QAE1" s="266"/>
      <c r="QAF1" s="266"/>
      <c r="QAG1" s="266"/>
      <c r="QAH1" s="266"/>
      <c r="QAI1" s="266"/>
      <c r="QAJ1" s="266"/>
      <c r="QAK1" s="266"/>
      <c r="QAL1" s="266"/>
      <c r="QAM1" s="266"/>
      <c r="QAN1" s="266"/>
      <c r="QAO1" s="266"/>
      <c r="QAP1" s="266"/>
      <c r="QAQ1" s="266"/>
      <c r="QAR1" s="266"/>
      <c r="QAS1" s="266"/>
      <c r="QAT1" s="266"/>
      <c r="QAU1" s="266"/>
      <c r="QAV1" s="266"/>
      <c r="QAW1" s="266"/>
      <c r="QAX1" s="266"/>
      <c r="QAY1" s="266"/>
      <c r="QAZ1" s="266"/>
      <c r="QBA1" s="266"/>
      <c r="QBB1" s="266"/>
      <c r="QBC1" s="266"/>
      <c r="QBD1" s="266"/>
      <c r="QBE1" s="266"/>
      <c r="QBF1" s="266"/>
      <c r="QBG1" s="266"/>
      <c r="QBH1" s="266"/>
      <c r="QBI1" s="266"/>
      <c r="QBJ1" s="266"/>
      <c r="QBK1" s="266"/>
      <c r="QBL1" s="266"/>
      <c r="QBM1" s="266"/>
      <c r="QBN1" s="266"/>
      <c r="QBO1" s="266"/>
      <c r="QBP1" s="266"/>
      <c r="QBQ1" s="266"/>
      <c r="QBR1" s="266"/>
      <c r="QBS1" s="266"/>
      <c r="QBT1" s="266"/>
      <c r="QBU1" s="266"/>
      <c r="QBV1" s="266"/>
      <c r="QBW1" s="266"/>
      <c r="QBX1" s="266"/>
      <c r="QBY1" s="266"/>
      <c r="QBZ1" s="266"/>
      <c r="QCA1" s="266"/>
      <c r="QCB1" s="266"/>
      <c r="QCC1" s="266"/>
      <c r="QCD1" s="266"/>
      <c r="QCE1" s="266"/>
      <c r="QCF1" s="266"/>
      <c r="QCG1" s="266"/>
      <c r="QCH1" s="266"/>
      <c r="QCI1" s="266"/>
      <c r="QCJ1" s="266"/>
      <c r="QCK1" s="266"/>
      <c r="QCL1" s="266"/>
      <c r="QCM1" s="266"/>
      <c r="QCN1" s="266"/>
      <c r="QCO1" s="266"/>
      <c r="QCP1" s="266"/>
      <c r="QCQ1" s="266"/>
      <c r="QCR1" s="266"/>
      <c r="QCS1" s="266"/>
      <c r="QCT1" s="266"/>
      <c r="QCU1" s="266"/>
      <c r="QCV1" s="266"/>
      <c r="QCW1" s="266"/>
      <c r="QCX1" s="266"/>
      <c r="QCY1" s="266"/>
      <c r="QCZ1" s="266"/>
      <c r="QDA1" s="266"/>
      <c r="QDB1" s="266"/>
      <c r="QDC1" s="266"/>
      <c r="QDD1" s="266"/>
      <c r="QDE1" s="266"/>
      <c r="QDF1" s="266"/>
      <c r="QDG1" s="266"/>
      <c r="QDH1" s="266"/>
      <c r="QDI1" s="266"/>
      <c r="QDJ1" s="266"/>
      <c r="QDK1" s="266"/>
      <c r="QDL1" s="266"/>
      <c r="QDM1" s="266"/>
      <c r="QDN1" s="266"/>
      <c r="QDO1" s="266"/>
      <c r="QDP1" s="266"/>
      <c r="QDQ1" s="266"/>
      <c r="QDR1" s="266"/>
      <c r="QDS1" s="266"/>
      <c r="QDT1" s="266"/>
      <c r="QDU1" s="266"/>
      <c r="QDV1" s="266"/>
      <c r="QDW1" s="266"/>
      <c r="QDX1" s="266"/>
      <c r="QDY1" s="266"/>
      <c r="QDZ1" s="266"/>
      <c r="QEA1" s="266"/>
      <c r="QEB1" s="266"/>
      <c r="QEC1" s="266"/>
      <c r="QED1" s="266"/>
      <c r="QEE1" s="266"/>
      <c r="QEF1" s="266"/>
      <c r="QEG1" s="266"/>
      <c r="QEH1" s="266"/>
      <c r="QEI1" s="266"/>
      <c r="QEJ1" s="266"/>
      <c r="QEK1" s="266"/>
      <c r="QEL1" s="266"/>
      <c r="QEM1" s="266"/>
      <c r="QEN1" s="266"/>
      <c r="QEO1" s="266"/>
      <c r="QEP1" s="266"/>
      <c r="QEQ1" s="266"/>
      <c r="QER1" s="266"/>
      <c r="QES1" s="266"/>
      <c r="QET1" s="266"/>
      <c r="QEU1" s="266"/>
      <c r="QEV1" s="266"/>
      <c r="QEW1" s="266"/>
      <c r="QEX1" s="266"/>
      <c r="QEY1" s="266"/>
      <c r="QEZ1" s="266"/>
      <c r="QFA1" s="266"/>
      <c r="QFB1" s="266"/>
      <c r="QFC1" s="266"/>
      <c r="QFD1" s="266"/>
      <c r="QFE1" s="266"/>
      <c r="QFF1" s="266"/>
      <c r="QFG1" s="266"/>
      <c r="QFH1" s="266"/>
      <c r="QFI1" s="266"/>
      <c r="QFJ1" s="266"/>
      <c r="QFK1" s="266"/>
      <c r="QFL1" s="266"/>
      <c r="QFM1" s="266"/>
      <c r="QFN1" s="266"/>
      <c r="QFO1" s="266"/>
      <c r="QFP1" s="266"/>
      <c r="QFQ1" s="266"/>
      <c r="QFR1" s="266"/>
      <c r="QFS1" s="266"/>
      <c r="QFT1" s="266"/>
      <c r="QFU1" s="266"/>
      <c r="QFV1" s="266"/>
      <c r="QFW1" s="266"/>
      <c r="QFX1" s="266"/>
      <c r="QFY1" s="266"/>
      <c r="QFZ1" s="266"/>
      <c r="QGA1" s="266"/>
      <c r="QGB1" s="266"/>
      <c r="QGC1" s="266"/>
      <c r="QGD1" s="266"/>
      <c r="QGE1" s="266"/>
      <c r="QGF1" s="266"/>
      <c r="QGG1" s="266"/>
      <c r="QGH1" s="266"/>
      <c r="QGI1" s="266"/>
      <c r="QGJ1" s="266"/>
      <c r="QGK1" s="266"/>
      <c r="QGL1" s="266"/>
      <c r="QGM1" s="266"/>
      <c r="QGN1" s="266"/>
      <c r="QGO1" s="266"/>
      <c r="QGP1" s="266"/>
      <c r="QGQ1" s="266"/>
      <c r="QGR1" s="266"/>
      <c r="QGS1" s="266"/>
      <c r="QGT1" s="266"/>
      <c r="QGU1" s="266"/>
      <c r="QGV1" s="266"/>
      <c r="QGW1" s="266"/>
      <c r="QGX1" s="266"/>
      <c r="QGY1" s="266"/>
      <c r="QGZ1" s="266"/>
      <c r="QHA1" s="266"/>
      <c r="QHB1" s="266"/>
      <c r="QHC1" s="266"/>
      <c r="QHD1" s="266"/>
      <c r="QHE1" s="266"/>
      <c r="QHF1" s="266"/>
      <c r="QHG1" s="266"/>
      <c r="QHH1" s="266"/>
      <c r="QHI1" s="266"/>
      <c r="QHJ1" s="266"/>
      <c r="QHK1" s="266"/>
      <c r="QHL1" s="266"/>
      <c r="QHM1" s="266"/>
      <c r="QHN1" s="266"/>
      <c r="QHO1" s="266"/>
      <c r="QHP1" s="266"/>
      <c r="QHQ1" s="266"/>
      <c r="QHR1" s="266"/>
      <c r="QHS1" s="266"/>
      <c r="QHT1" s="266"/>
      <c r="QHU1" s="266"/>
      <c r="QHV1" s="266"/>
      <c r="QHW1" s="266"/>
      <c r="QHX1" s="266"/>
      <c r="QHY1" s="266"/>
      <c r="QHZ1" s="266"/>
      <c r="QIA1" s="266"/>
      <c r="QIB1" s="266"/>
      <c r="QIC1" s="266"/>
      <c r="QID1" s="266"/>
      <c r="QIE1" s="266"/>
      <c r="QIF1" s="266"/>
      <c r="QIG1" s="266"/>
      <c r="QIH1" s="266"/>
      <c r="QII1" s="266"/>
      <c r="QIJ1" s="266"/>
      <c r="QIK1" s="266"/>
      <c r="QIL1" s="266"/>
      <c r="QIM1" s="266"/>
      <c r="QIN1" s="266"/>
      <c r="QIO1" s="266"/>
      <c r="QIP1" s="266"/>
      <c r="QIQ1" s="266"/>
      <c r="QIR1" s="266"/>
      <c r="QIS1" s="266"/>
      <c r="QIT1" s="266"/>
      <c r="QIU1" s="266"/>
      <c r="QIV1" s="266"/>
      <c r="QIW1" s="266"/>
      <c r="QIX1" s="266"/>
      <c r="QIY1" s="266"/>
      <c r="QIZ1" s="266"/>
      <c r="QJA1" s="266"/>
      <c r="QJB1" s="266"/>
      <c r="QJC1" s="266"/>
      <c r="QJD1" s="266"/>
      <c r="QJE1" s="266"/>
      <c r="QJF1" s="266"/>
      <c r="QJG1" s="266"/>
      <c r="QJH1" s="266"/>
      <c r="QJI1" s="266"/>
      <c r="QJJ1" s="266"/>
      <c r="QJK1" s="266"/>
      <c r="QJL1" s="266"/>
      <c r="QJM1" s="266"/>
      <c r="QJN1" s="266"/>
      <c r="QJO1" s="266"/>
      <c r="QJP1" s="266"/>
      <c r="QJQ1" s="266"/>
      <c r="QJR1" s="266"/>
      <c r="QJS1" s="266"/>
      <c r="QJT1" s="266"/>
      <c r="QJU1" s="266"/>
      <c r="QJV1" s="266"/>
      <c r="QJW1" s="266"/>
      <c r="QJX1" s="266"/>
      <c r="QJY1" s="266"/>
      <c r="QJZ1" s="266"/>
      <c r="QKA1" s="266"/>
      <c r="QKB1" s="266"/>
      <c r="QKC1" s="266"/>
      <c r="QKD1" s="266"/>
      <c r="QKE1" s="266"/>
      <c r="QKF1" s="266"/>
      <c r="QKG1" s="266"/>
      <c r="QKH1" s="266"/>
      <c r="QKI1" s="266"/>
      <c r="QKJ1" s="266"/>
      <c r="QKK1" s="266"/>
      <c r="QKL1" s="266"/>
      <c r="QKM1" s="266"/>
      <c r="QKN1" s="266"/>
      <c r="QKO1" s="266"/>
      <c r="QKP1" s="266"/>
      <c r="QKQ1" s="266"/>
      <c r="QKR1" s="266"/>
      <c r="QKS1" s="266"/>
      <c r="QKT1" s="266"/>
      <c r="QKU1" s="266"/>
      <c r="QKV1" s="266"/>
      <c r="QKW1" s="266"/>
      <c r="QKX1" s="266"/>
      <c r="QKY1" s="266"/>
      <c r="QKZ1" s="266"/>
      <c r="QLA1" s="266"/>
      <c r="QLB1" s="266"/>
      <c r="QLC1" s="266"/>
      <c r="QLD1" s="266"/>
      <c r="QLE1" s="266"/>
      <c r="QLF1" s="266"/>
      <c r="QLG1" s="266"/>
      <c r="QLH1" s="266"/>
      <c r="QLI1" s="266"/>
      <c r="QLJ1" s="266"/>
      <c r="QLK1" s="266"/>
      <c r="QLL1" s="266"/>
      <c r="QLM1" s="266"/>
      <c r="QLN1" s="266"/>
      <c r="QLO1" s="266"/>
      <c r="QLP1" s="266"/>
      <c r="QLQ1" s="266"/>
      <c r="QLR1" s="266"/>
      <c r="QLS1" s="266"/>
      <c r="QLT1" s="266"/>
      <c r="QLU1" s="266"/>
      <c r="QLV1" s="266"/>
      <c r="QLW1" s="266"/>
      <c r="QLX1" s="266"/>
      <c r="QLY1" s="266"/>
      <c r="QLZ1" s="266"/>
      <c r="QMA1" s="266"/>
      <c r="QMB1" s="266"/>
      <c r="QMC1" s="266"/>
      <c r="QMD1" s="266"/>
      <c r="QME1" s="266"/>
      <c r="QMF1" s="266"/>
      <c r="QMG1" s="266"/>
      <c r="QMH1" s="266"/>
      <c r="QMI1" s="266"/>
      <c r="QMJ1" s="266"/>
      <c r="QMK1" s="266"/>
      <c r="QML1" s="266"/>
      <c r="QMM1" s="266"/>
      <c r="QMN1" s="266"/>
      <c r="QMO1" s="266"/>
      <c r="QMP1" s="266"/>
      <c r="QMQ1" s="266"/>
      <c r="QMR1" s="266"/>
      <c r="QMS1" s="266"/>
      <c r="QMT1" s="266"/>
      <c r="QMU1" s="266"/>
      <c r="QMV1" s="266"/>
      <c r="QMW1" s="266"/>
      <c r="QMX1" s="266"/>
      <c r="QMY1" s="266"/>
      <c r="QMZ1" s="266"/>
      <c r="QNA1" s="266"/>
      <c r="QNB1" s="266"/>
      <c r="QNC1" s="266"/>
      <c r="QND1" s="266"/>
      <c r="QNE1" s="266"/>
      <c r="QNF1" s="266"/>
      <c r="QNG1" s="266"/>
      <c r="QNH1" s="266"/>
      <c r="QNI1" s="266"/>
      <c r="QNJ1" s="266"/>
      <c r="QNK1" s="266"/>
      <c r="QNL1" s="266"/>
      <c r="QNM1" s="266"/>
      <c r="QNN1" s="266"/>
      <c r="QNO1" s="266"/>
      <c r="QNP1" s="266"/>
      <c r="QNQ1" s="266"/>
      <c r="QNR1" s="266"/>
      <c r="QNS1" s="266"/>
      <c r="QNT1" s="266"/>
      <c r="QNU1" s="266"/>
      <c r="QNV1" s="266"/>
      <c r="QNW1" s="266"/>
      <c r="QNX1" s="266"/>
      <c r="QNY1" s="266"/>
      <c r="QNZ1" s="266"/>
      <c r="QOA1" s="266"/>
      <c r="QOB1" s="266"/>
      <c r="QOC1" s="266"/>
      <c r="QOD1" s="266"/>
      <c r="QOE1" s="266"/>
      <c r="QOF1" s="266"/>
      <c r="QOG1" s="266"/>
      <c r="QOH1" s="266"/>
      <c r="QOI1" s="266"/>
      <c r="QOJ1" s="266"/>
      <c r="QOK1" s="266"/>
      <c r="QOL1" s="266"/>
      <c r="QOM1" s="266"/>
      <c r="QON1" s="266"/>
      <c r="QOO1" s="266"/>
      <c r="QOP1" s="266"/>
      <c r="QOQ1" s="266"/>
      <c r="QOR1" s="266"/>
      <c r="QOS1" s="266"/>
      <c r="QOT1" s="266"/>
      <c r="QOU1" s="266"/>
      <c r="QOV1" s="266"/>
      <c r="QOW1" s="266"/>
      <c r="QOX1" s="266"/>
      <c r="QOY1" s="266"/>
      <c r="QOZ1" s="266"/>
      <c r="QPA1" s="266"/>
      <c r="QPB1" s="266"/>
      <c r="QPC1" s="266"/>
      <c r="QPD1" s="266"/>
      <c r="QPE1" s="266"/>
      <c r="QPF1" s="266"/>
      <c r="QPG1" s="266"/>
      <c r="QPH1" s="266"/>
      <c r="QPI1" s="266"/>
      <c r="QPJ1" s="266"/>
      <c r="QPK1" s="266"/>
      <c r="QPL1" s="266"/>
      <c r="QPM1" s="266"/>
      <c r="QPN1" s="266"/>
      <c r="QPO1" s="266"/>
      <c r="QPP1" s="266"/>
      <c r="QPQ1" s="266"/>
      <c r="QPR1" s="266"/>
      <c r="QPS1" s="266"/>
      <c r="QPT1" s="266"/>
      <c r="QPU1" s="266"/>
      <c r="QPV1" s="266"/>
      <c r="QPW1" s="266"/>
      <c r="QPX1" s="266"/>
      <c r="QPY1" s="266"/>
      <c r="QPZ1" s="266"/>
      <c r="QQA1" s="266"/>
      <c r="QQB1" s="266"/>
      <c r="QQC1" s="266"/>
      <c r="QQD1" s="266"/>
      <c r="QQE1" s="266"/>
      <c r="QQF1" s="266"/>
      <c r="QQG1" s="266"/>
      <c r="QQH1" s="266"/>
      <c r="QQI1" s="266"/>
      <c r="QQJ1" s="266"/>
      <c r="QQK1" s="266"/>
      <c r="QQL1" s="266"/>
      <c r="QQM1" s="266"/>
      <c r="QQN1" s="266"/>
      <c r="QQO1" s="266"/>
      <c r="QQP1" s="266"/>
      <c r="QQQ1" s="266"/>
      <c r="QQR1" s="266"/>
      <c r="QQS1" s="266"/>
      <c r="QQT1" s="266"/>
      <c r="QQU1" s="266"/>
      <c r="QQV1" s="266"/>
      <c r="QQW1" s="266"/>
      <c r="QQX1" s="266"/>
      <c r="QQY1" s="266"/>
      <c r="QQZ1" s="266"/>
      <c r="QRA1" s="266"/>
      <c r="QRB1" s="266"/>
      <c r="QRC1" s="266"/>
      <c r="QRD1" s="266"/>
      <c r="QRE1" s="266"/>
      <c r="QRF1" s="266"/>
      <c r="QRG1" s="266"/>
      <c r="QRH1" s="266"/>
      <c r="QRI1" s="266"/>
      <c r="QRJ1" s="266"/>
      <c r="QRK1" s="266"/>
      <c r="QRL1" s="266"/>
      <c r="QRM1" s="266"/>
      <c r="QRN1" s="266"/>
      <c r="QRO1" s="266"/>
      <c r="QRP1" s="266"/>
      <c r="QRQ1" s="266"/>
      <c r="QRR1" s="266"/>
      <c r="QRS1" s="266"/>
      <c r="QRT1" s="266"/>
      <c r="QRU1" s="266"/>
      <c r="QRV1" s="266"/>
      <c r="QRW1" s="266"/>
      <c r="QRX1" s="266"/>
      <c r="QRY1" s="266"/>
      <c r="QRZ1" s="266"/>
      <c r="QSA1" s="266"/>
      <c r="QSB1" s="266"/>
      <c r="QSC1" s="266"/>
      <c r="QSD1" s="266"/>
      <c r="QSE1" s="266"/>
      <c r="QSF1" s="266"/>
      <c r="QSG1" s="266"/>
      <c r="QSH1" s="266"/>
      <c r="QSI1" s="266"/>
      <c r="QSJ1" s="266"/>
      <c r="QSK1" s="266"/>
      <c r="QSL1" s="266"/>
      <c r="QSM1" s="266"/>
      <c r="QSN1" s="266"/>
      <c r="QSO1" s="266"/>
      <c r="QSP1" s="266"/>
      <c r="QSQ1" s="266"/>
      <c r="QSR1" s="266"/>
      <c r="QSS1" s="266"/>
      <c r="QST1" s="266"/>
      <c r="QSU1" s="266"/>
      <c r="QSV1" s="266"/>
      <c r="QSW1" s="266"/>
      <c r="QSX1" s="266"/>
      <c r="QSY1" s="266"/>
      <c r="QSZ1" s="266"/>
      <c r="QTA1" s="266"/>
      <c r="QTB1" s="266"/>
      <c r="QTC1" s="266"/>
      <c r="QTD1" s="266"/>
      <c r="QTE1" s="266"/>
      <c r="QTF1" s="266"/>
      <c r="QTG1" s="266"/>
      <c r="QTH1" s="266"/>
      <c r="QTI1" s="266"/>
      <c r="QTJ1" s="266"/>
      <c r="QTK1" s="266"/>
      <c r="QTL1" s="266"/>
      <c r="QTM1" s="266"/>
      <c r="QTN1" s="266"/>
      <c r="QTO1" s="266"/>
      <c r="QTP1" s="266"/>
      <c r="QTQ1" s="266"/>
      <c r="QTR1" s="266"/>
      <c r="QTS1" s="266"/>
      <c r="QTT1" s="266"/>
      <c r="QTU1" s="266"/>
      <c r="QTV1" s="266"/>
      <c r="QTW1" s="266"/>
      <c r="QTX1" s="266"/>
      <c r="QTY1" s="266"/>
      <c r="QTZ1" s="266"/>
      <c r="QUA1" s="266"/>
      <c r="QUB1" s="266"/>
      <c r="QUC1" s="266"/>
      <c r="QUD1" s="266"/>
      <c r="QUE1" s="266"/>
      <c r="QUF1" s="266"/>
      <c r="QUG1" s="266"/>
      <c r="QUH1" s="266"/>
      <c r="QUI1" s="266"/>
      <c r="QUJ1" s="266"/>
      <c r="QUK1" s="266"/>
      <c r="QUL1" s="266"/>
      <c r="QUM1" s="266"/>
      <c r="QUN1" s="266"/>
      <c r="QUO1" s="266"/>
      <c r="QUP1" s="266"/>
      <c r="QUQ1" s="266"/>
      <c r="QUR1" s="266"/>
      <c r="QUS1" s="266"/>
      <c r="QUT1" s="266"/>
      <c r="QUU1" s="266"/>
      <c r="QUV1" s="266"/>
      <c r="QUW1" s="266"/>
      <c r="QUX1" s="266"/>
      <c r="QUY1" s="266"/>
      <c r="QUZ1" s="266"/>
      <c r="QVA1" s="266"/>
      <c r="QVB1" s="266"/>
      <c r="QVC1" s="266"/>
      <c r="QVD1" s="266"/>
      <c r="QVE1" s="266"/>
      <c r="QVF1" s="266"/>
      <c r="QVG1" s="266"/>
      <c r="QVH1" s="266"/>
      <c r="QVI1" s="266"/>
      <c r="QVJ1" s="266"/>
      <c r="QVK1" s="266"/>
      <c r="QVL1" s="266"/>
      <c r="QVM1" s="266"/>
      <c r="QVN1" s="266"/>
      <c r="QVO1" s="266"/>
      <c r="QVP1" s="266"/>
      <c r="QVQ1" s="266"/>
      <c r="QVR1" s="266"/>
      <c r="QVS1" s="266"/>
      <c r="QVT1" s="266"/>
      <c r="QVU1" s="266"/>
      <c r="QVV1" s="266"/>
      <c r="QVW1" s="266"/>
      <c r="QVX1" s="266"/>
      <c r="QVY1" s="266"/>
      <c r="QVZ1" s="266"/>
      <c r="QWA1" s="266"/>
      <c r="QWB1" s="266"/>
      <c r="QWC1" s="266"/>
      <c r="QWD1" s="266"/>
      <c r="QWE1" s="266"/>
      <c r="QWF1" s="266"/>
      <c r="QWG1" s="266"/>
      <c r="QWH1" s="266"/>
      <c r="QWI1" s="266"/>
      <c r="QWJ1" s="266"/>
      <c r="QWK1" s="266"/>
      <c r="QWL1" s="266"/>
      <c r="QWM1" s="266"/>
      <c r="QWN1" s="266"/>
      <c r="QWO1" s="266"/>
      <c r="QWP1" s="266"/>
      <c r="QWQ1" s="266"/>
      <c r="QWR1" s="266"/>
      <c r="QWS1" s="266"/>
      <c r="QWT1" s="266"/>
      <c r="QWU1" s="266"/>
      <c r="QWV1" s="266"/>
      <c r="QWW1" s="266"/>
      <c r="QWX1" s="266"/>
      <c r="QWY1" s="266"/>
      <c r="QWZ1" s="266"/>
      <c r="QXA1" s="266"/>
      <c r="QXB1" s="266"/>
      <c r="QXC1" s="266"/>
      <c r="QXD1" s="266"/>
      <c r="QXE1" s="266"/>
      <c r="QXF1" s="266"/>
      <c r="QXG1" s="266"/>
      <c r="QXH1" s="266"/>
      <c r="QXI1" s="266"/>
      <c r="QXJ1" s="266"/>
      <c r="QXK1" s="266"/>
      <c r="QXL1" s="266"/>
      <c r="QXM1" s="266"/>
      <c r="QXN1" s="266"/>
      <c r="QXO1" s="266"/>
      <c r="QXP1" s="266"/>
      <c r="QXQ1" s="266"/>
      <c r="QXR1" s="266"/>
      <c r="QXS1" s="266"/>
      <c r="QXT1" s="266"/>
      <c r="QXU1" s="266"/>
      <c r="QXV1" s="266"/>
      <c r="QXW1" s="266"/>
      <c r="QXX1" s="266"/>
      <c r="QXY1" s="266"/>
      <c r="QXZ1" s="266"/>
      <c r="QYA1" s="266"/>
      <c r="QYB1" s="266"/>
      <c r="QYC1" s="266"/>
      <c r="QYD1" s="266"/>
      <c r="QYE1" s="266"/>
      <c r="QYF1" s="266"/>
      <c r="QYG1" s="266"/>
      <c r="QYH1" s="266"/>
      <c r="QYI1" s="266"/>
      <c r="QYJ1" s="266"/>
      <c r="QYK1" s="266"/>
      <c r="QYL1" s="266"/>
      <c r="QYM1" s="266"/>
      <c r="QYN1" s="266"/>
      <c r="QYO1" s="266"/>
      <c r="QYP1" s="266"/>
      <c r="QYQ1" s="266"/>
      <c r="QYR1" s="266"/>
      <c r="QYS1" s="266"/>
      <c r="QYT1" s="266"/>
      <c r="QYU1" s="266"/>
      <c r="QYV1" s="266"/>
      <c r="QYW1" s="266"/>
      <c r="QYX1" s="266"/>
      <c r="QYY1" s="266"/>
      <c r="QYZ1" s="266"/>
      <c r="QZA1" s="266"/>
      <c r="QZB1" s="266"/>
      <c r="QZC1" s="266"/>
      <c r="QZD1" s="266"/>
      <c r="QZE1" s="266"/>
      <c r="QZF1" s="266"/>
      <c r="QZG1" s="266"/>
      <c r="QZH1" s="266"/>
      <c r="QZI1" s="266"/>
      <c r="QZJ1" s="266"/>
      <c r="QZK1" s="266"/>
      <c r="QZL1" s="266"/>
      <c r="QZM1" s="266"/>
      <c r="QZN1" s="266"/>
      <c r="QZO1" s="266"/>
      <c r="QZP1" s="266"/>
      <c r="QZQ1" s="266"/>
      <c r="QZR1" s="266"/>
      <c r="QZS1" s="266"/>
      <c r="QZT1" s="266"/>
      <c r="QZU1" s="266"/>
      <c r="QZV1" s="266"/>
      <c r="QZW1" s="266"/>
      <c r="QZX1" s="266"/>
      <c r="QZY1" s="266"/>
      <c r="QZZ1" s="266"/>
      <c r="RAA1" s="266"/>
      <c r="RAB1" s="266"/>
      <c r="RAC1" s="266"/>
      <c r="RAD1" s="266"/>
      <c r="RAE1" s="266"/>
      <c r="RAF1" s="266"/>
      <c r="RAG1" s="266"/>
      <c r="RAH1" s="266"/>
      <c r="RAI1" s="266"/>
      <c r="RAJ1" s="266"/>
      <c r="RAK1" s="266"/>
      <c r="RAL1" s="266"/>
      <c r="RAM1" s="266"/>
      <c r="RAN1" s="266"/>
      <c r="RAO1" s="266"/>
      <c r="RAP1" s="266"/>
      <c r="RAQ1" s="266"/>
      <c r="RAR1" s="266"/>
      <c r="RAS1" s="266"/>
      <c r="RAT1" s="266"/>
      <c r="RAU1" s="266"/>
      <c r="RAV1" s="266"/>
      <c r="RAW1" s="266"/>
      <c r="RAX1" s="266"/>
      <c r="RAY1" s="266"/>
      <c r="RAZ1" s="266"/>
      <c r="RBA1" s="266"/>
      <c r="RBB1" s="266"/>
      <c r="RBC1" s="266"/>
      <c r="RBD1" s="266"/>
      <c r="RBE1" s="266"/>
      <c r="RBF1" s="266"/>
      <c r="RBG1" s="266"/>
      <c r="RBH1" s="266"/>
      <c r="RBI1" s="266"/>
      <c r="RBJ1" s="266"/>
      <c r="RBK1" s="266"/>
      <c r="RBL1" s="266"/>
      <c r="RBM1" s="266"/>
      <c r="RBN1" s="266"/>
      <c r="RBO1" s="266"/>
      <c r="RBP1" s="266"/>
      <c r="RBQ1" s="266"/>
      <c r="RBR1" s="266"/>
      <c r="RBS1" s="266"/>
      <c r="RBT1" s="266"/>
      <c r="RBU1" s="266"/>
      <c r="RBV1" s="266"/>
      <c r="RBW1" s="266"/>
      <c r="RBX1" s="266"/>
      <c r="RBY1" s="266"/>
      <c r="RBZ1" s="266"/>
      <c r="RCA1" s="266"/>
      <c r="RCB1" s="266"/>
      <c r="RCC1" s="266"/>
      <c r="RCD1" s="266"/>
      <c r="RCE1" s="266"/>
      <c r="RCF1" s="266"/>
      <c r="RCG1" s="266"/>
      <c r="RCH1" s="266"/>
      <c r="RCI1" s="266"/>
      <c r="RCJ1" s="266"/>
      <c r="RCK1" s="266"/>
      <c r="RCL1" s="266"/>
      <c r="RCM1" s="266"/>
      <c r="RCN1" s="266"/>
      <c r="RCO1" s="266"/>
      <c r="RCP1" s="266"/>
      <c r="RCQ1" s="266"/>
      <c r="RCR1" s="266"/>
      <c r="RCS1" s="266"/>
      <c r="RCT1" s="266"/>
      <c r="RCU1" s="266"/>
      <c r="RCV1" s="266"/>
      <c r="RCW1" s="266"/>
      <c r="RCX1" s="266"/>
      <c r="RCY1" s="266"/>
      <c r="RCZ1" s="266"/>
      <c r="RDA1" s="266"/>
      <c r="RDB1" s="266"/>
      <c r="RDC1" s="266"/>
      <c r="RDD1" s="266"/>
      <c r="RDE1" s="266"/>
      <c r="RDF1" s="266"/>
      <c r="RDG1" s="266"/>
      <c r="RDH1" s="266"/>
      <c r="RDI1" s="266"/>
      <c r="RDJ1" s="266"/>
      <c r="RDK1" s="266"/>
      <c r="RDL1" s="266"/>
      <c r="RDM1" s="266"/>
      <c r="RDN1" s="266"/>
      <c r="RDO1" s="266"/>
      <c r="RDP1" s="266"/>
      <c r="RDQ1" s="266"/>
      <c r="RDR1" s="266"/>
      <c r="RDS1" s="266"/>
      <c r="RDT1" s="266"/>
      <c r="RDU1" s="266"/>
      <c r="RDV1" s="266"/>
      <c r="RDW1" s="266"/>
      <c r="RDX1" s="266"/>
      <c r="RDY1" s="266"/>
      <c r="RDZ1" s="266"/>
      <c r="REA1" s="266"/>
      <c r="REB1" s="266"/>
      <c r="REC1" s="266"/>
      <c r="RED1" s="266"/>
      <c r="REE1" s="266"/>
      <c r="REF1" s="266"/>
      <c r="REG1" s="266"/>
      <c r="REH1" s="266"/>
      <c r="REI1" s="266"/>
      <c r="REJ1" s="266"/>
      <c r="REK1" s="266"/>
      <c r="REL1" s="266"/>
      <c r="REM1" s="266"/>
      <c r="REN1" s="266"/>
      <c r="REO1" s="266"/>
      <c r="REP1" s="266"/>
      <c r="REQ1" s="266"/>
      <c r="RER1" s="266"/>
      <c r="RES1" s="266"/>
      <c r="RET1" s="266"/>
      <c r="REU1" s="266"/>
      <c r="REV1" s="266"/>
      <c r="REW1" s="266"/>
      <c r="REX1" s="266"/>
      <c r="REY1" s="266"/>
      <c r="REZ1" s="266"/>
      <c r="RFA1" s="266"/>
      <c r="RFB1" s="266"/>
      <c r="RFC1" s="266"/>
      <c r="RFD1" s="266"/>
      <c r="RFE1" s="266"/>
      <c r="RFF1" s="266"/>
      <c r="RFG1" s="266"/>
      <c r="RFH1" s="266"/>
      <c r="RFI1" s="266"/>
      <c r="RFJ1" s="266"/>
      <c r="RFK1" s="266"/>
      <c r="RFL1" s="266"/>
      <c r="RFM1" s="266"/>
      <c r="RFN1" s="266"/>
      <c r="RFO1" s="266"/>
      <c r="RFP1" s="266"/>
      <c r="RFQ1" s="266"/>
      <c r="RFR1" s="266"/>
      <c r="RFS1" s="266"/>
      <c r="RFT1" s="266"/>
      <c r="RFU1" s="266"/>
      <c r="RFV1" s="266"/>
      <c r="RFW1" s="266"/>
      <c r="RFX1" s="266"/>
      <c r="RFY1" s="266"/>
      <c r="RFZ1" s="266"/>
      <c r="RGA1" s="266"/>
      <c r="RGB1" s="266"/>
      <c r="RGC1" s="266"/>
      <c r="RGD1" s="266"/>
      <c r="RGE1" s="266"/>
      <c r="RGF1" s="266"/>
      <c r="RGG1" s="266"/>
      <c r="RGH1" s="266"/>
      <c r="RGI1" s="266"/>
      <c r="RGJ1" s="266"/>
      <c r="RGK1" s="266"/>
      <c r="RGL1" s="266"/>
      <c r="RGM1" s="266"/>
      <c r="RGN1" s="266"/>
      <c r="RGO1" s="266"/>
      <c r="RGP1" s="266"/>
      <c r="RGQ1" s="266"/>
      <c r="RGR1" s="266"/>
      <c r="RGS1" s="266"/>
      <c r="RGT1" s="266"/>
      <c r="RGU1" s="266"/>
      <c r="RGV1" s="266"/>
      <c r="RGW1" s="266"/>
      <c r="RGX1" s="266"/>
      <c r="RGY1" s="266"/>
      <c r="RGZ1" s="266"/>
      <c r="RHA1" s="266"/>
      <c r="RHB1" s="266"/>
      <c r="RHC1" s="266"/>
      <c r="RHD1" s="266"/>
      <c r="RHE1" s="266"/>
      <c r="RHF1" s="266"/>
      <c r="RHG1" s="266"/>
      <c r="RHH1" s="266"/>
      <c r="RHI1" s="266"/>
      <c r="RHJ1" s="266"/>
      <c r="RHK1" s="266"/>
      <c r="RHL1" s="266"/>
      <c r="RHM1" s="266"/>
      <c r="RHN1" s="266"/>
      <c r="RHO1" s="266"/>
      <c r="RHP1" s="266"/>
      <c r="RHQ1" s="266"/>
      <c r="RHR1" s="266"/>
      <c r="RHS1" s="266"/>
      <c r="RHT1" s="266"/>
      <c r="RHU1" s="266"/>
      <c r="RHV1" s="266"/>
      <c r="RHW1" s="266"/>
      <c r="RHX1" s="266"/>
      <c r="RHY1" s="266"/>
      <c r="RHZ1" s="266"/>
      <c r="RIA1" s="266"/>
      <c r="RIB1" s="266"/>
      <c r="RIC1" s="266"/>
      <c r="RID1" s="266"/>
      <c r="RIE1" s="266"/>
      <c r="RIF1" s="266"/>
      <c r="RIG1" s="266"/>
      <c r="RIH1" s="266"/>
      <c r="RII1" s="266"/>
      <c r="RIJ1" s="266"/>
      <c r="RIK1" s="266"/>
      <c r="RIL1" s="266"/>
      <c r="RIM1" s="266"/>
      <c r="RIN1" s="266"/>
      <c r="RIO1" s="266"/>
      <c r="RIP1" s="266"/>
      <c r="RIQ1" s="266"/>
      <c r="RIR1" s="266"/>
      <c r="RIS1" s="266"/>
      <c r="RIT1" s="266"/>
      <c r="RIU1" s="266"/>
      <c r="RIV1" s="266"/>
      <c r="RIW1" s="266"/>
      <c r="RIX1" s="266"/>
      <c r="RIY1" s="266"/>
      <c r="RIZ1" s="266"/>
      <c r="RJA1" s="266"/>
      <c r="RJB1" s="266"/>
      <c r="RJC1" s="266"/>
      <c r="RJD1" s="266"/>
      <c r="RJE1" s="266"/>
      <c r="RJF1" s="266"/>
      <c r="RJG1" s="266"/>
      <c r="RJH1" s="266"/>
      <c r="RJI1" s="266"/>
      <c r="RJJ1" s="266"/>
      <c r="RJK1" s="266"/>
      <c r="RJL1" s="266"/>
      <c r="RJM1" s="266"/>
      <c r="RJN1" s="266"/>
      <c r="RJO1" s="266"/>
      <c r="RJP1" s="266"/>
      <c r="RJQ1" s="266"/>
      <c r="RJR1" s="266"/>
      <c r="RJS1" s="266"/>
      <c r="RJT1" s="266"/>
      <c r="RJU1" s="266"/>
      <c r="RJV1" s="266"/>
      <c r="RJW1" s="266"/>
      <c r="RJX1" s="266"/>
      <c r="RJY1" s="266"/>
      <c r="RJZ1" s="266"/>
      <c r="RKA1" s="266"/>
      <c r="RKB1" s="266"/>
      <c r="RKC1" s="266"/>
      <c r="RKD1" s="266"/>
      <c r="RKE1" s="266"/>
      <c r="RKF1" s="266"/>
      <c r="RKG1" s="266"/>
      <c r="RKH1" s="266"/>
      <c r="RKI1" s="266"/>
      <c r="RKJ1" s="266"/>
      <c r="RKK1" s="266"/>
      <c r="RKL1" s="266"/>
      <c r="RKM1" s="266"/>
      <c r="RKN1" s="266"/>
      <c r="RKO1" s="266"/>
      <c r="RKP1" s="266"/>
      <c r="RKQ1" s="266"/>
      <c r="RKR1" s="266"/>
      <c r="RKS1" s="266"/>
      <c r="RKT1" s="266"/>
      <c r="RKU1" s="266"/>
      <c r="RKV1" s="266"/>
      <c r="RKW1" s="266"/>
      <c r="RKX1" s="266"/>
      <c r="RKY1" s="266"/>
      <c r="RKZ1" s="266"/>
      <c r="RLA1" s="266"/>
      <c r="RLB1" s="266"/>
      <c r="RLC1" s="266"/>
      <c r="RLD1" s="266"/>
      <c r="RLE1" s="266"/>
      <c r="RLF1" s="266"/>
      <c r="RLG1" s="266"/>
      <c r="RLH1" s="266"/>
      <c r="RLI1" s="266"/>
      <c r="RLJ1" s="266"/>
      <c r="RLK1" s="266"/>
      <c r="RLL1" s="266"/>
      <c r="RLM1" s="266"/>
      <c r="RLN1" s="266"/>
      <c r="RLO1" s="266"/>
      <c r="RLP1" s="266"/>
      <c r="RLQ1" s="266"/>
      <c r="RLR1" s="266"/>
      <c r="RLS1" s="266"/>
      <c r="RLT1" s="266"/>
      <c r="RLU1" s="266"/>
      <c r="RLV1" s="266"/>
      <c r="RLW1" s="266"/>
      <c r="RLX1" s="266"/>
      <c r="RLY1" s="266"/>
      <c r="RLZ1" s="266"/>
      <c r="RMA1" s="266"/>
      <c r="RMB1" s="266"/>
      <c r="RMC1" s="266"/>
      <c r="RMD1" s="266"/>
      <c r="RME1" s="266"/>
      <c r="RMF1" s="266"/>
      <c r="RMG1" s="266"/>
      <c r="RMH1" s="266"/>
      <c r="RMI1" s="266"/>
      <c r="RMJ1" s="266"/>
      <c r="RMK1" s="266"/>
      <c r="RML1" s="266"/>
      <c r="RMM1" s="266"/>
      <c r="RMN1" s="266"/>
      <c r="RMO1" s="266"/>
      <c r="RMP1" s="266"/>
      <c r="RMQ1" s="266"/>
      <c r="RMR1" s="266"/>
      <c r="RMS1" s="266"/>
      <c r="RMT1" s="266"/>
      <c r="RMU1" s="266"/>
      <c r="RMV1" s="266"/>
      <c r="RMW1" s="266"/>
      <c r="RMX1" s="266"/>
      <c r="RMY1" s="266"/>
      <c r="RMZ1" s="266"/>
      <c r="RNA1" s="266"/>
      <c r="RNB1" s="266"/>
      <c r="RNC1" s="266"/>
      <c r="RND1" s="266"/>
      <c r="RNE1" s="266"/>
      <c r="RNF1" s="266"/>
      <c r="RNG1" s="266"/>
      <c r="RNH1" s="266"/>
      <c r="RNI1" s="266"/>
      <c r="RNJ1" s="266"/>
      <c r="RNK1" s="266"/>
      <c r="RNL1" s="266"/>
      <c r="RNM1" s="266"/>
      <c r="RNN1" s="266"/>
      <c r="RNO1" s="266"/>
      <c r="RNP1" s="266"/>
      <c r="RNQ1" s="266"/>
      <c r="RNR1" s="266"/>
      <c r="RNS1" s="266"/>
      <c r="RNT1" s="266"/>
      <c r="RNU1" s="266"/>
      <c r="RNV1" s="266"/>
      <c r="RNW1" s="266"/>
      <c r="RNX1" s="266"/>
      <c r="RNY1" s="266"/>
      <c r="RNZ1" s="266"/>
      <c r="ROA1" s="266"/>
      <c r="ROB1" s="266"/>
      <c r="ROC1" s="266"/>
      <c r="ROD1" s="266"/>
      <c r="ROE1" s="266"/>
      <c r="ROF1" s="266"/>
      <c r="ROG1" s="266"/>
      <c r="ROH1" s="266"/>
      <c r="ROI1" s="266"/>
      <c r="ROJ1" s="266"/>
      <c r="ROK1" s="266"/>
      <c r="ROL1" s="266"/>
      <c r="ROM1" s="266"/>
      <c r="RON1" s="266"/>
      <c r="ROO1" s="266"/>
      <c r="ROP1" s="266"/>
      <c r="ROQ1" s="266"/>
      <c r="ROR1" s="266"/>
      <c r="ROS1" s="266"/>
      <c r="ROT1" s="266"/>
      <c r="ROU1" s="266"/>
      <c r="ROV1" s="266"/>
      <c r="ROW1" s="266"/>
      <c r="ROX1" s="266"/>
      <c r="ROY1" s="266"/>
      <c r="ROZ1" s="266"/>
      <c r="RPA1" s="266"/>
      <c r="RPB1" s="266"/>
      <c r="RPC1" s="266"/>
      <c r="RPD1" s="266"/>
      <c r="RPE1" s="266"/>
      <c r="RPF1" s="266"/>
      <c r="RPG1" s="266"/>
      <c r="RPH1" s="266"/>
      <c r="RPI1" s="266"/>
      <c r="RPJ1" s="266"/>
      <c r="RPK1" s="266"/>
      <c r="RPL1" s="266"/>
      <c r="RPM1" s="266"/>
      <c r="RPN1" s="266"/>
      <c r="RPO1" s="266"/>
      <c r="RPP1" s="266"/>
      <c r="RPQ1" s="266"/>
      <c r="RPR1" s="266"/>
      <c r="RPS1" s="266"/>
      <c r="RPT1" s="266"/>
      <c r="RPU1" s="266"/>
      <c r="RPV1" s="266"/>
      <c r="RPW1" s="266"/>
      <c r="RPX1" s="266"/>
      <c r="RPY1" s="266"/>
      <c r="RPZ1" s="266"/>
      <c r="RQA1" s="266"/>
      <c r="RQB1" s="266"/>
      <c r="RQC1" s="266"/>
      <c r="RQD1" s="266"/>
      <c r="RQE1" s="266"/>
      <c r="RQF1" s="266"/>
      <c r="RQG1" s="266"/>
      <c r="RQH1" s="266"/>
      <c r="RQI1" s="266"/>
      <c r="RQJ1" s="266"/>
      <c r="RQK1" s="266"/>
      <c r="RQL1" s="266"/>
      <c r="RQM1" s="266"/>
      <c r="RQN1" s="266"/>
      <c r="RQO1" s="266"/>
      <c r="RQP1" s="266"/>
      <c r="RQQ1" s="266"/>
      <c r="RQR1" s="266"/>
      <c r="RQS1" s="266"/>
      <c r="RQT1" s="266"/>
      <c r="RQU1" s="266"/>
      <c r="RQV1" s="266"/>
      <c r="RQW1" s="266"/>
      <c r="RQX1" s="266"/>
      <c r="RQY1" s="266"/>
      <c r="RQZ1" s="266"/>
      <c r="RRA1" s="266"/>
      <c r="RRB1" s="266"/>
      <c r="RRC1" s="266"/>
      <c r="RRD1" s="266"/>
      <c r="RRE1" s="266"/>
      <c r="RRF1" s="266"/>
      <c r="RRG1" s="266"/>
      <c r="RRH1" s="266"/>
      <c r="RRI1" s="266"/>
      <c r="RRJ1" s="266"/>
      <c r="RRK1" s="266"/>
      <c r="RRL1" s="266"/>
      <c r="RRM1" s="266"/>
      <c r="RRN1" s="266"/>
      <c r="RRO1" s="266"/>
      <c r="RRP1" s="266"/>
      <c r="RRQ1" s="266"/>
      <c r="RRR1" s="266"/>
      <c r="RRS1" s="266"/>
      <c r="RRT1" s="266"/>
      <c r="RRU1" s="266"/>
      <c r="RRV1" s="266"/>
      <c r="RRW1" s="266"/>
      <c r="RRX1" s="266"/>
      <c r="RRY1" s="266"/>
      <c r="RRZ1" s="266"/>
      <c r="RSA1" s="266"/>
      <c r="RSB1" s="266"/>
      <c r="RSC1" s="266"/>
      <c r="RSD1" s="266"/>
      <c r="RSE1" s="266"/>
      <c r="RSF1" s="266"/>
      <c r="RSG1" s="266"/>
      <c r="RSH1" s="266"/>
      <c r="RSI1" s="266"/>
      <c r="RSJ1" s="266"/>
      <c r="RSK1" s="266"/>
      <c r="RSL1" s="266"/>
      <c r="RSM1" s="266"/>
      <c r="RSN1" s="266"/>
      <c r="RSO1" s="266"/>
      <c r="RSP1" s="266"/>
      <c r="RSQ1" s="266"/>
      <c r="RSR1" s="266"/>
      <c r="RSS1" s="266"/>
      <c r="RST1" s="266"/>
      <c r="RSU1" s="266"/>
      <c r="RSV1" s="266"/>
      <c r="RSW1" s="266"/>
      <c r="RSX1" s="266"/>
      <c r="RSY1" s="266"/>
      <c r="RSZ1" s="266"/>
      <c r="RTA1" s="266"/>
      <c r="RTB1" s="266"/>
      <c r="RTC1" s="266"/>
      <c r="RTD1" s="266"/>
      <c r="RTE1" s="266"/>
      <c r="RTF1" s="266"/>
      <c r="RTG1" s="266"/>
      <c r="RTH1" s="266"/>
      <c r="RTI1" s="266"/>
      <c r="RTJ1" s="266"/>
      <c r="RTK1" s="266"/>
      <c r="RTL1" s="266"/>
      <c r="RTM1" s="266"/>
      <c r="RTN1" s="266"/>
      <c r="RTO1" s="266"/>
      <c r="RTP1" s="266"/>
      <c r="RTQ1" s="266"/>
      <c r="RTR1" s="266"/>
      <c r="RTS1" s="266"/>
      <c r="RTT1" s="266"/>
      <c r="RTU1" s="266"/>
      <c r="RTV1" s="266"/>
      <c r="RTW1" s="266"/>
      <c r="RTX1" s="266"/>
      <c r="RTY1" s="266"/>
      <c r="RTZ1" s="266"/>
      <c r="RUA1" s="266"/>
      <c r="RUB1" s="266"/>
      <c r="RUC1" s="266"/>
      <c r="RUD1" s="266"/>
      <c r="RUE1" s="266"/>
      <c r="RUF1" s="266"/>
      <c r="RUG1" s="266"/>
      <c r="RUH1" s="266"/>
      <c r="RUI1" s="266"/>
      <c r="RUJ1" s="266"/>
      <c r="RUK1" s="266"/>
      <c r="RUL1" s="266"/>
      <c r="RUM1" s="266"/>
      <c r="RUN1" s="266"/>
      <c r="RUO1" s="266"/>
      <c r="RUP1" s="266"/>
      <c r="RUQ1" s="266"/>
      <c r="RUR1" s="266"/>
      <c r="RUS1" s="266"/>
      <c r="RUT1" s="266"/>
      <c r="RUU1" s="266"/>
      <c r="RUV1" s="266"/>
      <c r="RUW1" s="266"/>
      <c r="RUX1" s="266"/>
      <c r="RUY1" s="266"/>
      <c r="RUZ1" s="266"/>
      <c r="RVA1" s="266"/>
      <c r="RVB1" s="266"/>
      <c r="RVC1" s="266"/>
      <c r="RVD1" s="266"/>
      <c r="RVE1" s="266"/>
      <c r="RVF1" s="266"/>
      <c r="RVG1" s="266"/>
      <c r="RVH1" s="266"/>
      <c r="RVI1" s="266"/>
      <c r="RVJ1" s="266"/>
      <c r="RVK1" s="266"/>
      <c r="RVL1" s="266"/>
      <c r="RVM1" s="266"/>
      <c r="RVN1" s="266"/>
      <c r="RVO1" s="266"/>
      <c r="RVP1" s="266"/>
      <c r="RVQ1" s="266"/>
      <c r="RVR1" s="266"/>
      <c r="RVS1" s="266"/>
      <c r="RVT1" s="266"/>
      <c r="RVU1" s="266"/>
      <c r="RVV1" s="266"/>
      <c r="RVW1" s="266"/>
      <c r="RVX1" s="266"/>
      <c r="RVY1" s="266"/>
      <c r="RVZ1" s="266"/>
      <c r="RWA1" s="266"/>
      <c r="RWB1" s="266"/>
      <c r="RWC1" s="266"/>
      <c r="RWD1" s="266"/>
      <c r="RWE1" s="266"/>
      <c r="RWF1" s="266"/>
      <c r="RWG1" s="266"/>
      <c r="RWH1" s="266"/>
      <c r="RWI1" s="266"/>
      <c r="RWJ1" s="266"/>
      <c r="RWK1" s="266"/>
      <c r="RWL1" s="266"/>
      <c r="RWM1" s="266"/>
      <c r="RWN1" s="266"/>
      <c r="RWO1" s="266"/>
      <c r="RWP1" s="266"/>
      <c r="RWQ1" s="266"/>
      <c r="RWR1" s="266"/>
      <c r="RWS1" s="266"/>
      <c r="RWT1" s="266"/>
      <c r="RWU1" s="266"/>
      <c r="RWV1" s="266"/>
      <c r="RWW1" s="266"/>
      <c r="RWX1" s="266"/>
      <c r="RWY1" s="266"/>
      <c r="RWZ1" s="266"/>
      <c r="RXA1" s="266"/>
      <c r="RXB1" s="266"/>
      <c r="RXC1" s="266"/>
      <c r="RXD1" s="266"/>
      <c r="RXE1" s="266"/>
      <c r="RXF1" s="266"/>
      <c r="RXG1" s="266"/>
      <c r="RXH1" s="266"/>
      <c r="RXI1" s="266"/>
      <c r="RXJ1" s="266"/>
      <c r="RXK1" s="266"/>
      <c r="RXL1" s="266"/>
      <c r="RXM1" s="266"/>
      <c r="RXN1" s="266"/>
      <c r="RXO1" s="266"/>
      <c r="RXP1" s="266"/>
      <c r="RXQ1" s="266"/>
      <c r="RXR1" s="266"/>
      <c r="RXS1" s="266"/>
      <c r="RXT1" s="266"/>
      <c r="RXU1" s="266"/>
      <c r="RXV1" s="266"/>
      <c r="RXW1" s="266"/>
      <c r="RXX1" s="266"/>
      <c r="RXY1" s="266"/>
      <c r="RXZ1" s="266"/>
      <c r="RYA1" s="266"/>
      <c r="RYB1" s="266"/>
      <c r="RYC1" s="266"/>
      <c r="RYD1" s="266"/>
      <c r="RYE1" s="266"/>
      <c r="RYF1" s="266"/>
      <c r="RYG1" s="266"/>
      <c r="RYH1" s="266"/>
      <c r="RYI1" s="266"/>
      <c r="RYJ1" s="266"/>
      <c r="RYK1" s="266"/>
      <c r="RYL1" s="266"/>
      <c r="RYM1" s="266"/>
      <c r="RYN1" s="266"/>
      <c r="RYO1" s="266"/>
      <c r="RYP1" s="266"/>
      <c r="RYQ1" s="266"/>
      <c r="RYR1" s="266"/>
      <c r="RYS1" s="266"/>
      <c r="RYT1" s="266"/>
      <c r="RYU1" s="266"/>
      <c r="RYV1" s="266"/>
      <c r="RYW1" s="266"/>
      <c r="RYX1" s="266"/>
      <c r="RYY1" s="266"/>
      <c r="RYZ1" s="266"/>
      <c r="RZA1" s="266"/>
      <c r="RZB1" s="266"/>
      <c r="RZC1" s="266"/>
      <c r="RZD1" s="266"/>
      <c r="RZE1" s="266"/>
      <c r="RZF1" s="266"/>
      <c r="RZG1" s="266"/>
      <c r="RZH1" s="266"/>
      <c r="RZI1" s="266"/>
      <c r="RZJ1" s="266"/>
      <c r="RZK1" s="266"/>
      <c r="RZL1" s="266"/>
      <c r="RZM1" s="266"/>
      <c r="RZN1" s="266"/>
      <c r="RZO1" s="266"/>
      <c r="RZP1" s="266"/>
      <c r="RZQ1" s="266"/>
      <c r="RZR1" s="266"/>
      <c r="RZS1" s="266"/>
      <c r="RZT1" s="266"/>
      <c r="RZU1" s="266"/>
      <c r="RZV1" s="266"/>
      <c r="RZW1" s="266"/>
      <c r="RZX1" s="266"/>
      <c r="RZY1" s="266"/>
      <c r="RZZ1" s="266"/>
      <c r="SAA1" s="266"/>
      <c r="SAB1" s="266"/>
      <c r="SAC1" s="266"/>
      <c r="SAD1" s="266"/>
      <c r="SAE1" s="266"/>
      <c r="SAF1" s="266"/>
      <c r="SAG1" s="266"/>
      <c r="SAH1" s="266"/>
      <c r="SAI1" s="266"/>
      <c r="SAJ1" s="266"/>
      <c r="SAK1" s="266"/>
      <c r="SAL1" s="266"/>
      <c r="SAM1" s="266"/>
      <c r="SAN1" s="266"/>
      <c r="SAO1" s="266"/>
      <c r="SAP1" s="266"/>
      <c r="SAQ1" s="266"/>
      <c r="SAR1" s="266"/>
      <c r="SAS1" s="266"/>
      <c r="SAT1" s="266"/>
      <c r="SAU1" s="266"/>
      <c r="SAV1" s="266"/>
      <c r="SAW1" s="266"/>
      <c r="SAX1" s="266"/>
      <c r="SAY1" s="266"/>
      <c r="SAZ1" s="266"/>
      <c r="SBA1" s="266"/>
      <c r="SBB1" s="266"/>
      <c r="SBC1" s="266"/>
      <c r="SBD1" s="266"/>
      <c r="SBE1" s="266"/>
      <c r="SBF1" s="266"/>
      <c r="SBG1" s="266"/>
      <c r="SBH1" s="266"/>
      <c r="SBI1" s="266"/>
      <c r="SBJ1" s="266"/>
      <c r="SBK1" s="266"/>
      <c r="SBL1" s="266"/>
      <c r="SBM1" s="266"/>
      <c r="SBN1" s="266"/>
      <c r="SBO1" s="266"/>
      <c r="SBP1" s="266"/>
      <c r="SBQ1" s="266"/>
      <c r="SBR1" s="266"/>
      <c r="SBS1" s="266"/>
      <c r="SBT1" s="266"/>
      <c r="SBU1" s="266"/>
      <c r="SBV1" s="266"/>
      <c r="SBW1" s="266"/>
      <c r="SBX1" s="266"/>
      <c r="SBY1" s="266"/>
      <c r="SBZ1" s="266"/>
      <c r="SCA1" s="266"/>
      <c r="SCB1" s="266"/>
      <c r="SCC1" s="266"/>
      <c r="SCD1" s="266"/>
      <c r="SCE1" s="266"/>
      <c r="SCF1" s="266"/>
      <c r="SCG1" s="266"/>
      <c r="SCH1" s="266"/>
      <c r="SCI1" s="266"/>
      <c r="SCJ1" s="266"/>
      <c r="SCK1" s="266"/>
      <c r="SCL1" s="266"/>
      <c r="SCM1" s="266"/>
      <c r="SCN1" s="266"/>
      <c r="SCO1" s="266"/>
      <c r="SCP1" s="266"/>
      <c r="SCQ1" s="266"/>
      <c r="SCR1" s="266"/>
      <c r="SCS1" s="266"/>
      <c r="SCT1" s="266"/>
      <c r="SCU1" s="266"/>
      <c r="SCV1" s="266"/>
      <c r="SCW1" s="266"/>
      <c r="SCX1" s="266"/>
      <c r="SCY1" s="266"/>
      <c r="SCZ1" s="266"/>
      <c r="SDA1" s="266"/>
      <c r="SDB1" s="266"/>
      <c r="SDC1" s="266"/>
      <c r="SDD1" s="266"/>
      <c r="SDE1" s="266"/>
      <c r="SDF1" s="266"/>
      <c r="SDG1" s="266"/>
      <c r="SDH1" s="266"/>
      <c r="SDI1" s="266"/>
      <c r="SDJ1" s="266"/>
      <c r="SDK1" s="266"/>
      <c r="SDL1" s="266"/>
      <c r="SDM1" s="266"/>
      <c r="SDN1" s="266"/>
      <c r="SDO1" s="266"/>
      <c r="SDP1" s="266"/>
      <c r="SDQ1" s="266"/>
      <c r="SDR1" s="266"/>
      <c r="SDS1" s="266"/>
      <c r="SDT1" s="266"/>
      <c r="SDU1" s="266"/>
      <c r="SDV1" s="266"/>
      <c r="SDW1" s="266"/>
      <c r="SDX1" s="266"/>
      <c r="SDY1" s="266"/>
      <c r="SDZ1" s="266"/>
      <c r="SEA1" s="266"/>
      <c r="SEB1" s="266"/>
      <c r="SEC1" s="266"/>
      <c r="SED1" s="266"/>
      <c r="SEE1" s="266"/>
      <c r="SEF1" s="266"/>
      <c r="SEG1" s="266"/>
      <c r="SEH1" s="266"/>
      <c r="SEI1" s="266"/>
      <c r="SEJ1" s="266"/>
      <c r="SEK1" s="266"/>
      <c r="SEL1" s="266"/>
      <c r="SEM1" s="266"/>
      <c r="SEN1" s="266"/>
      <c r="SEO1" s="266"/>
      <c r="SEP1" s="266"/>
      <c r="SEQ1" s="266"/>
      <c r="SER1" s="266"/>
      <c r="SES1" s="266"/>
      <c r="SET1" s="266"/>
      <c r="SEU1" s="266"/>
      <c r="SEV1" s="266"/>
      <c r="SEW1" s="266"/>
      <c r="SEX1" s="266"/>
      <c r="SEY1" s="266"/>
      <c r="SEZ1" s="266"/>
      <c r="SFA1" s="266"/>
      <c r="SFB1" s="266"/>
      <c r="SFC1" s="266"/>
      <c r="SFD1" s="266"/>
      <c r="SFE1" s="266"/>
      <c r="SFF1" s="266"/>
      <c r="SFG1" s="266"/>
      <c r="SFH1" s="266"/>
      <c r="SFI1" s="266"/>
      <c r="SFJ1" s="266"/>
      <c r="SFK1" s="266"/>
      <c r="SFL1" s="266"/>
      <c r="SFM1" s="266"/>
      <c r="SFN1" s="266"/>
      <c r="SFO1" s="266"/>
      <c r="SFP1" s="266"/>
      <c r="SFQ1" s="266"/>
      <c r="SFR1" s="266"/>
      <c r="SFS1" s="266"/>
      <c r="SFT1" s="266"/>
      <c r="SFU1" s="266"/>
      <c r="SFV1" s="266"/>
      <c r="SFW1" s="266"/>
      <c r="SFX1" s="266"/>
      <c r="SFY1" s="266"/>
      <c r="SFZ1" s="266"/>
      <c r="SGA1" s="266"/>
      <c r="SGB1" s="266"/>
      <c r="SGC1" s="266"/>
      <c r="SGD1" s="266"/>
      <c r="SGE1" s="266"/>
      <c r="SGF1" s="266"/>
      <c r="SGG1" s="266"/>
      <c r="SGH1" s="266"/>
      <c r="SGI1" s="266"/>
      <c r="SGJ1" s="266"/>
      <c r="SGK1" s="266"/>
      <c r="SGL1" s="266"/>
      <c r="SGM1" s="266"/>
      <c r="SGN1" s="266"/>
      <c r="SGO1" s="266"/>
      <c r="SGP1" s="266"/>
      <c r="SGQ1" s="266"/>
      <c r="SGR1" s="266"/>
      <c r="SGS1" s="266"/>
      <c r="SGT1" s="266"/>
      <c r="SGU1" s="266"/>
      <c r="SGV1" s="266"/>
      <c r="SGW1" s="266"/>
      <c r="SGX1" s="266"/>
      <c r="SGY1" s="266"/>
      <c r="SGZ1" s="266"/>
      <c r="SHA1" s="266"/>
      <c r="SHB1" s="266"/>
      <c r="SHC1" s="266"/>
      <c r="SHD1" s="266"/>
      <c r="SHE1" s="266"/>
      <c r="SHF1" s="266"/>
      <c r="SHG1" s="266"/>
      <c r="SHH1" s="266"/>
      <c r="SHI1" s="266"/>
      <c r="SHJ1" s="266"/>
      <c r="SHK1" s="266"/>
      <c r="SHL1" s="266"/>
      <c r="SHM1" s="266"/>
      <c r="SHN1" s="266"/>
      <c r="SHO1" s="266"/>
      <c r="SHP1" s="266"/>
      <c r="SHQ1" s="266"/>
      <c r="SHR1" s="266"/>
      <c r="SHS1" s="266"/>
      <c r="SHT1" s="266"/>
      <c r="SHU1" s="266"/>
      <c r="SHV1" s="266"/>
      <c r="SHW1" s="266"/>
      <c r="SHX1" s="266"/>
      <c r="SHY1" s="266"/>
      <c r="SHZ1" s="266"/>
      <c r="SIA1" s="266"/>
      <c r="SIB1" s="266"/>
      <c r="SIC1" s="266"/>
      <c r="SID1" s="266"/>
      <c r="SIE1" s="266"/>
      <c r="SIF1" s="266"/>
      <c r="SIG1" s="266"/>
      <c r="SIH1" s="266"/>
      <c r="SII1" s="266"/>
      <c r="SIJ1" s="266"/>
      <c r="SIK1" s="266"/>
      <c r="SIL1" s="266"/>
      <c r="SIM1" s="266"/>
      <c r="SIN1" s="266"/>
      <c r="SIO1" s="266"/>
      <c r="SIP1" s="266"/>
      <c r="SIQ1" s="266"/>
      <c r="SIR1" s="266"/>
      <c r="SIS1" s="266"/>
      <c r="SIT1" s="266"/>
      <c r="SIU1" s="266"/>
      <c r="SIV1" s="266"/>
      <c r="SIW1" s="266"/>
      <c r="SIX1" s="266"/>
      <c r="SIY1" s="266"/>
      <c r="SIZ1" s="266"/>
      <c r="SJA1" s="266"/>
      <c r="SJB1" s="266"/>
      <c r="SJC1" s="266"/>
      <c r="SJD1" s="266"/>
      <c r="SJE1" s="266"/>
      <c r="SJF1" s="266"/>
      <c r="SJG1" s="266"/>
      <c r="SJH1" s="266"/>
      <c r="SJI1" s="266"/>
      <c r="SJJ1" s="266"/>
      <c r="SJK1" s="266"/>
      <c r="SJL1" s="266"/>
      <c r="SJM1" s="266"/>
      <c r="SJN1" s="266"/>
      <c r="SJO1" s="266"/>
      <c r="SJP1" s="266"/>
      <c r="SJQ1" s="266"/>
      <c r="SJR1" s="266"/>
      <c r="SJS1" s="266"/>
      <c r="SJT1" s="266"/>
      <c r="SJU1" s="266"/>
      <c r="SJV1" s="266"/>
      <c r="SJW1" s="266"/>
      <c r="SJX1" s="266"/>
      <c r="SJY1" s="266"/>
      <c r="SJZ1" s="266"/>
      <c r="SKA1" s="266"/>
      <c r="SKB1" s="266"/>
      <c r="SKC1" s="266"/>
      <c r="SKD1" s="266"/>
      <c r="SKE1" s="266"/>
      <c r="SKF1" s="266"/>
      <c r="SKG1" s="266"/>
      <c r="SKH1" s="266"/>
      <c r="SKI1" s="266"/>
      <c r="SKJ1" s="266"/>
      <c r="SKK1" s="266"/>
      <c r="SKL1" s="266"/>
      <c r="SKM1" s="266"/>
      <c r="SKN1" s="266"/>
      <c r="SKO1" s="266"/>
      <c r="SKP1" s="266"/>
      <c r="SKQ1" s="266"/>
      <c r="SKR1" s="266"/>
      <c r="SKS1" s="266"/>
      <c r="SKT1" s="266"/>
      <c r="SKU1" s="266"/>
      <c r="SKV1" s="266"/>
      <c r="SKW1" s="266"/>
      <c r="SKX1" s="266"/>
      <c r="SKY1" s="266"/>
      <c r="SKZ1" s="266"/>
      <c r="SLA1" s="266"/>
      <c r="SLB1" s="266"/>
      <c r="SLC1" s="266"/>
      <c r="SLD1" s="266"/>
      <c r="SLE1" s="266"/>
      <c r="SLF1" s="266"/>
      <c r="SLG1" s="266"/>
      <c r="SLH1" s="266"/>
      <c r="SLI1" s="266"/>
      <c r="SLJ1" s="266"/>
      <c r="SLK1" s="266"/>
      <c r="SLL1" s="266"/>
      <c r="SLM1" s="266"/>
      <c r="SLN1" s="266"/>
      <c r="SLO1" s="266"/>
      <c r="SLP1" s="266"/>
      <c r="SLQ1" s="266"/>
      <c r="SLR1" s="266"/>
      <c r="SLS1" s="266"/>
      <c r="SLT1" s="266"/>
      <c r="SLU1" s="266"/>
      <c r="SLV1" s="266"/>
      <c r="SLW1" s="266"/>
      <c r="SLX1" s="266"/>
      <c r="SLY1" s="266"/>
      <c r="SLZ1" s="266"/>
      <c r="SMA1" s="266"/>
      <c r="SMB1" s="266"/>
      <c r="SMC1" s="266"/>
      <c r="SMD1" s="266"/>
      <c r="SME1" s="266"/>
      <c r="SMF1" s="266"/>
      <c r="SMG1" s="266"/>
      <c r="SMH1" s="266"/>
      <c r="SMI1" s="266"/>
      <c r="SMJ1" s="266"/>
      <c r="SMK1" s="266"/>
      <c r="SML1" s="266"/>
      <c r="SMM1" s="266"/>
      <c r="SMN1" s="266"/>
      <c r="SMO1" s="266"/>
      <c r="SMP1" s="266"/>
      <c r="SMQ1" s="266"/>
      <c r="SMR1" s="266"/>
      <c r="SMS1" s="266"/>
      <c r="SMT1" s="266"/>
      <c r="SMU1" s="266"/>
      <c r="SMV1" s="266"/>
      <c r="SMW1" s="266"/>
      <c r="SMX1" s="266"/>
      <c r="SMY1" s="266"/>
      <c r="SMZ1" s="266"/>
      <c r="SNA1" s="266"/>
      <c r="SNB1" s="266"/>
      <c r="SNC1" s="266"/>
      <c r="SND1" s="266"/>
      <c r="SNE1" s="266"/>
      <c r="SNF1" s="266"/>
      <c r="SNG1" s="266"/>
      <c r="SNH1" s="266"/>
      <c r="SNI1" s="266"/>
      <c r="SNJ1" s="266"/>
      <c r="SNK1" s="266"/>
      <c r="SNL1" s="266"/>
      <c r="SNM1" s="266"/>
      <c r="SNN1" s="266"/>
      <c r="SNO1" s="266"/>
      <c r="SNP1" s="266"/>
      <c r="SNQ1" s="266"/>
      <c r="SNR1" s="266"/>
      <c r="SNS1" s="266"/>
      <c r="SNT1" s="266"/>
      <c r="SNU1" s="266"/>
      <c r="SNV1" s="266"/>
      <c r="SNW1" s="266"/>
      <c r="SNX1" s="266"/>
      <c r="SNY1" s="266"/>
      <c r="SNZ1" s="266"/>
      <c r="SOA1" s="266"/>
      <c r="SOB1" s="266"/>
      <c r="SOC1" s="266"/>
      <c r="SOD1" s="266"/>
      <c r="SOE1" s="266"/>
      <c r="SOF1" s="266"/>
      <c r="SOG1" s="266"/>
      <c r="SOH1" s="266"/>
      <c r="SOI1" s="266"/>
      <c r="SOJ1" s="266"/>
      <c r="SOK1" s="266"/>
      <c r="SOL1" s="266"/>
      <c r="SOM1" s="266"/>
      <c r="SON1" s="266"/>
      <c r="SOO1" s="266"/>
      <c r="SOP1" s="266"/>
      <c r="SOQ1" s="266"/>
      <c r="SOR1" s="266"/>
      <c r="SOS1" s="266"/>
      <c r="SOT1" s="266"/>
      <c r="SOU1" s="266"/>
      <c r="SOV1" s="266"/>
      <c r="SOW1" s="266"/>
      <c r="SOX1" s="266"/>
      <c r="SOY1" s="266"/>
      <c r="SOZ1" s="266"/>
      <c r="SPA1" s="266"/>
      <c r="SPB1" s="266"/>
      <c r="SPC1" s="266"/>
      <c r="SPD1" s="266"/>
      <c r="SPE1" s="266"/>
      <c r="SPF1" s="266"/>
      <c r="SPG1" s="266"/>
      <c r="SPH1" s="266"/>
      <c r="SPI1" s="266"/>
      <c r="SPJ1" s="266"/>
      <c r="SPK1" s="266"/>
      <c r="SPL1" s="266"/>
      <c r="SPM1" s="266"/>
      <c r="SPN1" s="266"/>
      <c r="SPO1" s="266"/>
      <c r="SPP1" s="266"/>
      <c r="SPQ1" s="266"/>
      <c r="SPR1" s="266"/>
      <c r="SPS1" s="266"/>
      <c r="SPT1" s="266"/>
      <c r="SPU1" s="266"/>
      <c r="SPV1" s="266"/>
      <c r="SPW1" s="266"/>
      <c r="SPX1" s="266"/>
      <c r="SPY1" s="266"/>
      <c r="SPZ1" s="266"/>
      <c r="SQA1" s="266"/>
      <c r="SQB1" s="266"/>
      <c r="SQC1" s="266"/>
      <c r="SQD1" s="266"/>
      <c r="SQE1" s="266"/>
      <c r="SQF1" s="266"/>
      <c r="SQG1" s="266"/>
      <c r="SQH1" s="266"/>
      <c r="SQI1" s="266"/>
      <c r="SQJ1" s="266"/>
      <c r="SQK1" s="266"/>
      <c r="SQL1" s="266"/>
      <c r="SQM1" s="266"/>
      <c r="SQN1" s="266"/>
      <c r="SQO1" s="266"/>
      <c r="SQP1" s="266"/>
      <c r="SQQ1" s="266"/>
      <c r="SQR1" s="266"/>
      <c r="SQS1" s="266"/>
      <c r="SQT1" s="266"/>
      <c r="SQU1" s="266"/>
      <c r="SQV1" s="266"/>
      <c r="SQW1" s="266"/>
      <c r="SQX1" s="266"/>
      <c r="SQY1" s="266"/>
      <c r="SQZ1" s="266"/>
      <c r="SRA1" s="266"/>
      <c r="SRB1" s="266"/>
      <c r="SRC1" s="266"/>
      <c r="SRD1" s="266"/>
      <c r="SRE1" s="266"/>
      <c r="SRF1" s="266"/>
      <c r="SRG1" s="266"/>
      <c r="SRH1" s="266"/>
      <c r="SRI1" s="266"/>
      <c r="SRJ1" s="266"/>
      <c r="SRK1" s="266"/>
      <c r="SRL1" s="266"/>
      <c r="SRM1" s="266"/>
      <c r="SRN1" s="266"/>
      <c r="SRO1" s="266"/>
      <c r="SRP1" s="266"/>
      <c r="SRQ1" s="266"/>
      <c r="SRR1" s="266"/>
      <c r="SRS1" s="266"/>
      <c r="SRT1" s="266"/>
      <c r="SRU1" s="266"/>
      <c r="SRV1" s="266"/>
      <c r="SRW1" s="266"/>
      <c r="SRX1" s="266"/>
      <c r="SRY1" s="266"/>
      <c r="SRZ1" s="266"/>
      <c r="SSA1" s="266"/>
      <c r="SSB1" s="266"/>
      <c r="SSC1" s="266"/>
      <c r="SSD1" s="266"/>
      <c r="SSE1" s="266"/>
      <c r="SSF1" s="266"/>
      <c r="SSG1" s="266"/>
      <c r="SSH1" s="266"/>
      <c r="SSI1" s="266"/>
      <c r="SSJ1" s="266"/>
      <c r="SSK1" s="266"/>
      <c r="SSL1" s="266"/>
      <c r="SSM1" s="266"/>
      <c r="SSN1" s="266"/>
      <c r="SSO1" s="266"/>
      <c r="SSP1" s="266"/>
      <c r="SSQ1" s="266"/>
      <c r="SSR1" s="266"/>
      <c r="SSS1" s="266"/>
      <c r="SST1" s="266"/>
      <c r="SSU1" s="266"/>
      <c r="SSV1" s="266"/>
      <c r="SSW1" s="266"/>
      <c r="SSX1" s="266"/>
      <c r="SSY1" s="266"/>
      <c r="SSZ1" s="266"/>
      <c r="STA1" s="266"/>
      <c r="STB1" s="266"/>
      <c r="STC1" s="266"/>
      <c r="STD1" s="266"/>
      <c r="STE1" s="266"/>
      <c r="STF1" s="266"/>
      <c r="STG1" s="266"/>
      <c r="STH1" s="266"/>
      <c r="STI1" s="266"/>
      <c r="STJ1" s="266"/>
      <c r="STK1" s="266"/>
      <c r="STL1" s="266"/>
      <c r="STM1" s="266"/>
      <c r="STN1" s="266"/>
      <c r="STO1" s="266"/>
      <c r="STP1" s="266"/>
      <c r="STQ1" s="266"/>
      <c r="STR1" s="266"/>
      <c r="STS1" s="266"/>
      <c r="STT1" s="266"/>
      <c r="STU1" s="266"/>
      <c r="STV1" s="266"/>
      <c r="STW1" s="266"/>
      <c r="STX1" s="266"/>
      <c r="STY1" s="266"/>
      <c r="STZ1" s="266"/>
      <c r="SUA1" s="266"/>
      <c r="SUB1" s="266"/>
      <c r="SUC1" s="266"/>
      <c r="SUD1" s="266"/>
      <c r="SUE1" s="266"/>
      <c r="SUF1" s="266"/>
      <c r="SUG1" s="266"/>
      <c r="SUH1" s="266"/>
      <c r="SUI1" s="266"/>
      <c r="SUJ1" s="266"/>
      <c r="SUK1" s="266"/>
      <c r="SUL1" s="266"/>
      <c r="SUM1" s="266"/>
      <c r="SUN1" s="266"/>
      <c r="SUO1" s="266"/>
      <c r="SUP1" s="266"/>
      <c r="SUQ1" s="266"/>
      <c r="SUR1" s="266"/>
      <c r="SUS1" s="266"/>
      <c r="SUT1" s="266"/>
      <c r="SUU1" s="266"/>
      <c r="SUV1" s="266"/>
      <c r="SUW1" s="266"/>
      <c r="SUX1" s="266"/>
      <c r="SUY1" s="266"/>
      <c r="SUZ1" s="266"/>
      <c r="SVA1" s="266"/>
      <c r="SVB1" s="266"/>
      <c r="SVC1" s="266"/>
      <c r="SVD1" s="266"/>
      <c r="SVE1" s="266"/>
      <c r="SVF1" s="266"/>
      <c r="SVG1" s="266"/>
      <c r="SVH1" s="266"/>
      <c r="SVI1" s="266"/>
      <c r="SVJ1" s="266"/>
      <c r="SVK1" s="266"/>
      <c r="SVL1" s="266"/>
      <c r="SVM1" s="266"/>
      <c r="SVN1" s="266"/>
      <c r="SVO1" s="266"/>
      <c r="SVP1" s="266"/>
      <c r="SVQ1" s="266"/>
      <c r="SVR1" s="266"/>
      <c r="SVS1" s="266"/>
      <c r="SVT1" s="266"/>
      <c r="SVU1" s="266"/>
      <c r="SVV1" s="266"/>
      <c r="SVW1" s="266"/>
      <c r="SVX1" s="266"/>
      <c r="SVY1" s="266"/>
      <c r="SVZ1" s="266"/>
      <c r="SWA1" s="266"/>
      <c r="SWB1" s="266"/>
      <c r="SWC1" s="266"/>
      <c r="SWD1" s="266"/>
      <c r="SWE1" s="266"/>
      <c r="SWF1" s="266"/>
      <c r="SWG1" s="266"/>
      <c r="SWH1" s="266"/>
      <c r="SWI1" s="266"/>
      <c r="SWJ1" s="266"/>
      <c r="SWK1" s="266"/>
      <c r="SWL1" s="266"/>
      <c r="SWM1" s="266"/>
      <c r="SWN1" s="266"/>
      <c r="SWO1" s="266"/>
      <c r="SWP1" s="266"/>
      <c r="SWQ1" s="266"/>
      <c r="SWR1" s="266"/>
      <c r="SWS1" s="266"/>
      <c r="SWT1" s="266"/>
      <c r="SWU1" s="266"/>
      <c r="SWV1" s="266"/>
      <c r="SWW1" s="266"/>
      <c r="SWX1" s="266"/>
      <c r="SWY1" s="266"/>
      <c r="SWZ1" s="266"/>
      <c r="SXA1" s="266"/>
      <c r="SXB1" s="266"/>
      <c r="SXC1" s="266"/>
      <c r="SXD1" s="266"/>
      <c r="SXE1" s="266"/>
      <c r="SXF1" s="266"/>
      <c r="SXG1" s="266"/>
      <c r="SXH1" s="266"/>
      <c r="SXI1" s="266"/>
      <c r="SXJ1" s="266"/>
      <c r="SXK1" s="266"/>
      <c r="SXL1" s="266"/>
      <c r="SXM1" s="266"/>
      <c r="SXN1" s="266"/>
      <c r="SXO1" s="266"/>
      <c r="SXP1" s="266"/>
      <c r="SXQ1" s="266"/>
      <c r="SXR1" s="266"/>
      <c r="SXS1" s="266"/>
      <c r="SXT1" s="266"/>
      <c r="SXU1" s="266"/>
      <c r="SXV1" s="266"/>
      <c r="SXW1" s="266"/>
      <c r="SXX1" s="266"/>
      <c r="SXY1" s="266"/>
      <c r="SXZ1" s="266"/>
      <c r="SYA1" s="266"/>
      <c r="SYB1" s="266"/>
      <c r="SYC1" s="266"/>
      <c r="SYD1" s="266"/>
      <c r="SYE1" s="266"/>
      <c r="SYF1" s="266"/>
      <c r="SYG1" s="266"/>
      <c r="SYH1" s="266"/>
      <c r="SYI1" s="266"/>
      <c r="SYJ1" s="266"/>
      <c r="SYK1" s="266"/>
      <c r="SYL1" s="266"/>
      <c r="SYM1" s="266"/>
      <c r="SYN1" s="266"/>
      <c r="SYO1" s="266"/>
      <c r="SYP1" s="266"/>
      <c r="SYQ1" s="266"/>
      <c r="SYR1" s="266"/>
      <c r="SYS1" s="266"/>
      <c r="SYT1" s="266"/>
      <c r="SYU1" s="266"/>
      <c r="SYV1" s="266"/>
      <c r="SYW1" s="266"/>
      <c r="SYX1" s="266"/>
      <c r="SYY1" s="266"/>
      <c r="SYZ1" s="266"/>
      <c r="SZA1" s="266"/>
      <c r="SZB1" s="266"/>
      <c r="SZC1" s="266"/>
      <c r="SZD1" s="266"/>
      <c r="SZE1" s="266"/>
      <c r="SZF1" s="266"/>
      <c r="SZG1" s="266"/>
      <c r="SZH1" s="266"/>
      <c r="SZI1" s="266"/>
      <c r="SZJ1" s="266"/>
      <c r="SZK1" s="266"/>
      <c r="SZL1" s="266"/>
      <c r="SZM1" s="266"/>
      <c r="SZN1" s="266"/>
      <c r="SZO1" s="266"/>
      <c r="SZP1" s="266"/>
      <c r="SZQ1" s="266"/>
      <c r="SZR1" s="266"/>
      <c r="SZS1" s="266"/>
      <c r="SZT1" s="266"/>
      <c r="SZU1" s="266"/>
      <c r="SZV1" s="266"/>
      <c r="SZW1" s="266"/>
      <c r="SZX1" s="266"/>
      <c r="SZY1" s="266"/>
      <c r="SZZ1" s="266"/>
      <c r="TAA1" s="266"/>
      <c r="TAB1" s="266"/>
      <c r="TAC1" s="266"/>
      <c r="TAD1" s="266"/>
      <c r="TAE1" s="266"/>
      <c r="TAF1" s="266"/>
      <c r="TAG1" s="266"/>
      <c r="TAH1" s="266"/>
      <c r="TAI1" s="266"/>
      <c r="TAJ1" s="266"/>
      <c r="TAK1" s="266"/>
      <c r="TAL1" s="266"/>
      <c r="TAM1" s="266"/>
      <c r="TAN1" s="266"/>
      <c r="TAO1" s="266"/>
      <c r="TAP1" s="266"/>
      <c r="TAQ1" s="266"/>
      <c r="TAR1" s="266"/>
      <c r="TAS1" s="266"/>
      <c r="TAT1" s="266"/>
      <c r="TAU1" s="266"/>
      <c r="TAV1" s="266"/>
      <c r="TAW1" s="266"/>
      <c r="TAX1" s="266"/>
      <c r="TAY1" s="266"/>
      <c r="TAZ1" s="266"/>
      <c r="TBA1" s="266"/>
      <c r="TBB1" s="266"/>
      <c r="TBC1" s="266"/>
      <c r="TBD1" s="266"/>
      <c r="TBE1" s="266"/>
      <c r="TBF1" s="266"/>
      <c r="TBG1" s="266"/>
      <c r="TBH1" s="266"/>
      <c r="TBI1" s="266"/>
      <c r="TBJ1" s="266"/>
      <c r="TBK1" s="266"/>
      <c r="TBL1" s="266"/>
      <c r="TBM1" s="266"/>
      <c r="TBN1" s="266"/>
      <c r="TBO1" s="266"/>
      <c r="TBP1" s="266"/>
      <c r="TBQ1" s="266"/>
      <c r="TBR1" s="266"/>
      <c r="TBS1" s="266"/>
      <c r="TBT1" s="266"/>
      <c r="TBU1" s="266"/>
      <c r="TBV1" s="266"/>
      <c r="TBW1" s="266"/>
      <c r="TBX1" s="266"/>
      <c r="TBY1" s="266"/>
      <c r="TBZ1" s="266"/>
      <c r="TCA1" s="266"/>
      <c r="TCB1" s="266"/>
      <c r="TCC1" s="266"/>
      <c r="TCD1" s="266"/>
      <c r="TCE1" s="266"/>
      <c r="TCF1" s="266"/>
      <c r="TCG1" s="266"/>
      <c r="TCH1" s="266"/>
      <c r="TCI1" s="266"/>
      <c r="TCJ1" s="266"/>
      <c r="TCK1" s="266"/>
      <c r="TCL1" s="266"/>
      <c r="TCM1" s="266"/>
      <c r="TCN1" s="266"/>
      <c r="TCO1" s="266"/>
      <c r="TCP1" s="266"/>
      <c r="TCQ1" s="266"/>
      <c r="TCR1" s="266"/>
      <c r="TCS1" s="266"/>
      <c r="TCT1" s="266"/>
      <c r="TCU1" s="266"/>
      <c r="TCV1" s="266"/>
      <c r="TCW1" s="266"/>
      <c r="TCX1" s="266"/>
      <c r="TCY1" s="266"/>
      <c r="TCZ1" s="266"/>
      <c r="TDA1" s="266"/>
      <c r="TDB1" s="266"/>
      <c r="TDC1" s="266"/>
      <c r="TDD1" s="266"/>
      <c r="TDE1" s="266"/>
      <c r="TDF1" s="266"/>
      <c r="TDG1" s="266"/>
      <c r="TDH1" s="266"/>
      <c r="TDI1" s="266"/>
      <c r="TDJ1" s="266"/>
      <c r="TDK1" s="266"/>
      <c r="TDL1" s="266"/>
      <c r="TDM1" s="266"/>
      <c r="TDN1" s="266"/>
      <c r="TDO1" s="266"/>
      <c r="TDP1" s="266"/>
      <c r="TDQ1" s="266"/>
      <c r="TDR1" s="266"/>
      <c r="TDS1" s="266"/>
      <c r="TDT1" s="266"/>
      <c r="TDU1" s="266"/>
      <c r="TDV1" s="266"/>
      <c r="TDW1" s="266"/>
      <c r="TDX1" s="266"/>
      <c r="TDY1" s="266"/>
      <c r="TDZ1" s="266"/>
      <c r="TEA1" s="266"/>
      <c r="TEB1" s="266"/>
      <c r="TEC1" s="266"/>
      <c r="TED1" s="266"/>
      <c r="TEE1" s="266"/>
      <c r="TEF1" s="266"/>
      <c r="TEG1" s="266"/>
      <c r="TEH1" s="266"/>
      <c r="TEI1" s="266"/>
      <c r="TEJ1" s="266"/>
      <c r="TEK1" s="266"/>
      <c r="TEL1" s="266"/>
      <c r="TEM1" s="266"/>
      <c r="TEN1" s="266"/>
      <c r="TEO1" s="266"/>
      <c r="TEP1" s="266"/>
      <c r="TEQ1" s="266"/>
      <c r="TER1" s="266"/>
      <c r="TES1" s="266"/>
      <c r="TET1" s="266"/>
      <c r="TEU1" s="266"/>
      <c r="TEV1" s="266"/>
      <c r="TEW1" s="266"/>
      <c r="TEX1" s="266"/>
      <c r="TEY1" s="266"/>
      <c r="TEZ1" s="266"/>
      <c r="TFA1" s="266"/>
      <c r="TFB1" s="266"/>
      <c r="TFC1" s="266"/>
      <c r="TFD1" s="266"/>
      <c r="TFE1" s="266"/>
      <c r="TFF1" s="266"/>
      <c r="TFG1" s="266"/>
      <c r="TFH1" s="266"/>
      <c r="TFI1" s="266"/>
      <c r="TFJ1" s="266"/>
      <c r="TFK1" s="266"/>
      <c r="TFL1" s="266"/>
      <c r="TFM1" s="266"/>
      <c r="TFN1" s="266"/>
      <c r="TFO1" s="266"/>
      <c r="TFP1" s="266"/>
      <c r="TFQ1" s="266"/>
      <c r="TFR1" s="266"/>
      <c r="TFS1" s="266"/>
      <c r="TFT1" s="266"/>
      <c r="TFU1" s="266"/>
      <c r="TFV1" s="266"/>
      <c r="TFW1" s="266"/>
      <c r="TFX1" s="266"/>
      <c r="TFY1" s="266"/>
      <c r="TFZ1" s="266"/>
      <c r="TGA1" s="266"/>
      <c r="TGB1" s="266"/>
      <c r="TGC1" s="266"/>
      <c r="TGD1" s="266"/>
      <c r="TGE1" s="266"/>
      <c r="TGF1" s="266"/>
      <c r="TGG1" s="266"/>
      <c r="TGH1" s="266"/>
      <c r="TGI1" s="266"/>
      <c r="TGJ1" s="266"/>
      <c r="TGK1" s="266"/>
      <c r="TGL1" s="266"/>
      <c r="TGM1" s="266"/>
      <c r="TGN1" s="266"/>
      <c r="TGO1" s="266"/>
      <c r="TGP1" s="266"/>
      <c r="TGQ1" s="266"/>
      <c r="TGR1" s="266"/>
      <c r="TGS1" s="266"/>
      <c r="TGT1" s="266"/>
      <c r="TGU1" s="266"/>
      <c r="TGV1" s="266"/>
      <c r="TGW1" s="266"/>
      <c r="TGX1" s="266"/>
      <c r="TGY1" s="266"/>
      <c r="TGZ1" s="266"/>
      <c r="THA1" s="266"/>
      <c r="THB1" s="266"/>
      <c r="THC1" s="266"/>
      <c r="THD1" s="266"/>
      <c r="THE1" s="266"/>
      <c r="THF1" s="266"/>
      <c r="THG1" s="266"/>
      <c r="THH1" s="266"/>
      <c r="THI1" s="266"/>
      <c r="THJ1" s="266"/>
      <c r="THK1" s="266"/>
      <c r="THL1" s="266"/>
      <c r="THM1" s="266"/>
      <c r="THN1" s="266"/>
      <c r="THO1" s="266"/>
      <c r="THP1" s="266"/>
      <c r="THQ1" s="266"/>
      <c r="THR1" s="266"/>
      <c r="THS1" s="266"/>
      <c r="THT1" s="266"/>
      <c r="THU1" s="266"/>
      <c r="THV1" s="266"/>
      <c r="THW1" s="266"/>
      <c r="THX1" s="266"/>
      <c r="THY1" s="266"/>
      <c r="THZ1" s="266"/>
      <c r="TIA1" s="266"/>
      <c r="TIB1" s="266"/>
      <c r="TIC1" s="266"/>
      <c r="TID1" s="266"/>
      <c r="TIE1" s="266"/>
      <c r="TIF1" s="266"/>
      <c r="TIG1" s="266"/>
      <c r="TIH1" s="266"/>
      <c r="TII1" s="266"/>
      <c r="TIJ1" s="266"/>
      <c r="TIK1" s="266"/>
      <c r="TIL1" s="266"/>
      <c r="TIM1" s="266"/>
      <c r="TIN1" s="266"/>
      <c r="TIO1" s="266"/>
      <c r="TIP1" s="266"/>
      <c r="TIQ1" s="266"/>
      <c r="TIR1" s="266"/>
      <c r="TIS1" s="266"/>
      <c r="TIT1" s="266"/>
      <c r="TIU1" s="266"/>
      <c r="TIV1" s="266"/>
      <c r="TIW1" s="266"/>
      <c r="TIX1" s="266"/>
      <c r="TIY1" s="266"/>
      <c r="TIZ1" s="266"/>
      <c r="TJA1" s="266"/>
      <c r="TJB1" s="266"/>
      <c r="TJC1" s="266"/>
      <c r="TJD1" s="266"/>
      <c r="TJE1" s="266"/>
      <c r="TJF1" s="266"/>
      <c r="TJG1" s="266"/>
      <c r="TJH1" s="266"/>
      <c r="TJI1" s="266"/>
      <c r="TJJ1" s="266"/>
      <c r="TJK1" s="266"/>
      <c r="TJL1" s="266"/>
      <c r="TJM1" s="266"/>
      <c r="TJN1" s="266"/>
      <c r="TJO1" s="266"/>
      <c r="TJP1" s="266"/>
      <c r="TJQ1" s="266"/>
      <c r="TJR1" s="266"/>
      <c r="TJS1" s="266"/>
      <c r="TJT1" s="266"/>
      <c r="TJU1" s="266"/>
      <c r="TJV1" s="266"/>
      <c r="TJW1" s="266"/>
      <c r="TJX1" s="266"/>
      <c r="TJY1" s="266"/>
      <c r="TJZ1" s="266"/>
      <c r="TKA1" s="266"/>
      <c r="TKB1" s="266"/>
      <c r="TKC1" s="266"/>
      <c r="TKD1" s="266"/>
      <c r="TKE1" s="266"/>
      <c r="TKF1" s="266"/>
      <c r="TKG1" s="266"/>
      <c r="TKH1" s="266"/>
      <c r="TKI1" s="266"/>
      <c r="TKJ1" s="266"/>
      <c r="TKK1" s="266"/>
      <c r="TKL1" s="266"/>
      <c r="TKM1" s="266"/>
      <c r="TKN1" s="266"/>
      <c r="TKO1" s="266"/>
      <c r="TKP1" s="266"/>
      <c r="TKQ1" s="266"/>
      <c r="TKR1" s="266"/>
      <c r="TKS1" s="266"/>
      <c r="TKT1" s="266"/>
      <c r="TKU1" s="266"/>
      <c r="TKV1" s="266"/>
      <c r="TKW1" s="266"/>
      <c r="TKX1" s="266"/>
      <c r="TKY1" s="266"/>
      <c r="TKZ1" s="266"/>
      <c r="TLA1" s="266"/>
      <c r="TLB1" s="266"/>
      <c r="TLC1" s="266"/>
      <c r="TLD1" s="266"/>
      <c r="TLE1" s="266"/>
      <c r="TLF1" s="266"/>
      <c r="TLG1" s="266"/>
      <c r="TLH1" s="266"/>
      <c r="TLI1" s="266"/>
      <c r="TLJ1" s="266"/>
      <c r="TLK1" s="266"/>
      <c r="TLL1" s="266"/>
      <c r="TLM1" s="266"/>
      <c r="TLN1" s="266"/>
      <c r="TLO1" s="266"/>
      <c r="TLP1" s="266"/>
      <c r="TLQ1" s="266"/>
      <c r="TLR1" s="266"/>
      <c r="TLS1" s="266"/>
      <c r="TLT1" s="266"/>
      <c r="TLU1" s="266"/>
      <c r="TLV1" s="266"/>
      <c r="TLW1" s="266"/>
      <c r="TLX1" s="266"/>
      <c r="TLY1" s="266"/>
      <c r="TLZ1" s="266"/>
      <c r="TMA1" s="266"/>
      <c r="TMB1" s="266"/>
      <c r="TMC1" s="266"/>
      <c r="TMD1" s="266"/>
      <c r="TME1" s="266"/>
      <c r="TMF1" s="266"/>
      <c r="TMG1" s="266"/>
      <c r="TMH1" s="266"/>
      <c r="TMI1" s="266"/>
      <c r="TMJ1" s="266"/>
      <c r="TMK1" s="266"/>
      <c r="TML1" s="266"/>
      <c r="TMM1" s="266"/>
      <c r="TMN1" s="266"/>
      <c r="TMO1" s="266"/>
      <c r="TMP1" s="266"/>
      <c r="TMQ1" s="266"/>
      <c r="TMR1" s="266"/>
      <c r="TMS1" s="266"/>
      <c r="TMT1" s="266"/>
      <c r="TMU1" s="266"/>
      <c r="TMV1" s="266"/>
      <c r="TMW1" s="266"/>
      <c r="TMX1" s="266"/>
      <c r="TMY1" s="266"/>
      <c r="TMZ1" s="266"/>
      <c r="TNA1" s="266"/>
      <c r="TNB1" s="266"/>
      <c r="TNC1" s="266"/>
      <c r="TND1" s="266"/>
      <c r="TNE1" s="266"/>
      <c r="TNF1" s="266"/>
      <c r="TNG1" s="266"/>
      <c r="TNH1" s="266"/>
      <c r="TNI1" s="266"/>
      <c r="TNJ1" s="266"/>
      <c r="TNK1" s="266"/>
      <c r="TNL1" s="266"/>
      <c r="TNM1" s="266"/>
      <c r="TNN1" s="266"/>
      <c r="TNO1" s="266"/>
      <c r="TNP1" s="266"/>
      <c r="TNQ1" s="266"/>
      <c r="TNR1" s="266"/>
      <c r="TNS1" s="266"/>
      <c r="TNT1" s="266"/>
      <c r="TNU1" s="266"/>
      <c r="TNV1" s="266"/>
      <c r="TNW1" s="266"/>
      <c r="TNX1" s="266"/>
      <c r="TNY1" s="266"/>
      <c r="TNZ1" s="266"/>
      <c r="TOA1" s="266"/>
      <c r="TOB1" s="266"/>
      <c r="TOC1" s="266"/>
      <c r="TOD1" s="266"/>
      <c r="TOE1" s="266"/>
      <c r="TOF1" s="266"/>
      <c r="TOG1" s="266"/>
      <c r="TOH1" s="266"/>
      <c r="TOI1" s="266"/>
      <c r="TOJ1" s="266"/>
      <c r="TOK1" s="266"/>
      <c r="TOL1" s="266"/>
      <c r="TOM1" s="266"/>
      <c r="TON1" s="266"/>
      <c r="TOO1" s="266"/>
      <c r="TOP1" s="266"/>
      <c r="TOQ1" s="266"/>
      <c r="TOR1" s="266"/>
      <c r="TOS1" s="266"/>
      <c r="TOT1" s="266"/>
      <c r="TOU1" s="266"/>
      <c r="TOV1" s="266"/>
      <c r="TOW1" s="266"/>
      <c r="TOX1" s="266"/>
      <c r="TOY1" s="266"/>
      <c r="TOZ1" s="266"/>
      <c r="TPA1" s="266"/>
      <c r="TPB1" s="266"/>
      <c r="TPC1" s="266"/>
      <c r="TPD1" s="266"/>
      <c r="TPE1" s="266"/>
      <c r="TPF1" s="266"/>
      <c r="TPG1" s="266"/>
      <c r="TPH1" s="266"/>
      <c r="TPI1" s="266"/>
      <c r="TPJ1" s="266"/>
      <c r="TPK1" s="266"/>
      <c r="TPL1" s="266"/>
      <c r="TPM1" s="266"/>
      <c r="TPN1" s="266"/>
      <c r="TPO1" s="266"/>
      <c r="TPP1" s="266"/>
      <c r="TPQ1" s="266"/>
      <c r="TPR1" s="266"/>
      <c r="TPS1" s="266"/>
      <c r="TPT1" s="266"/>
      <c r="TPU1" s="266"/>
      <c r="TPV1" s="266"/>
      <c r="TPW1" s="266"/>
      <c r="TPX1" s="266"/>
      <c r="TPY1" s="266"/>
      <c r="TPZ1" s="266"/>
      <c r="TQA1" s="266"/>
      <c r="TQB1" s="266"/>
      <c r="TQC1" s="266"/>
      <c r="TQD1" s="266"/>
      <c r="TQE1" s="266"/>
      <c r="TQF1" s="266"/>
      <c r="TQG1" s="266"/>
      <c r="TQH1" s="266"/>
      <c r="TQI1" s="266"/>
      <c r="TQJ1" s="266"/>
      <c r="TQK1" s="266"/>
      <c r="TQL1" s="266"/>
      <c r="TQM1" s="266"/>
      <c r="TQN1" s="266"/>
      <c r="TQO1" s="266"/>
      <c r="TQP1" s="266"/>
      <c r="TQQ1" s="266"/>
      <c r="TQR1" s="266"/>
      <c r="TQS1" s="266"/>
      <c r="TQT1" s="266"/>
      <c r="TQU1" s="266"/>
      <c r="TQV1" s="266"/>
      <c r="TQW1" s="266"/>
      <c r="TQX1" s="266"/>
      <c r="TQY1" s="266"/>
      <c r="TQZ1" s="266"/>
      <c r="TRA1" s="266"/>
      <c r="TRB1" s="266"/>
      <c r="TRC1" s="266"/>
      <c r="TRD1" s="266"/>
      <c r="TRE1" s="266"/>
      <c r="TRF1" s="266"/>
      <c r="TRG1" s="266"/>
      <c r="TRH1" s="266"/>
      <c r="TRI1" s="266"/>
      <c r="TRJ1" s="266"/>
      <c r="TRK1" s="266"/>
      <c r="TRL1" s="266"/>
      <c r="TRM1" s="266"/>
      <c r="TRN1" s="266"/>
      <c r="TRO1" s="266"/>
      <c r="TRP1" s="266"/>
      <c r="TRQ1" s="266"/>
      <c r="TRR1" s="266"/>
      <c r="TRS1" s="266"/>
      <c r="TRT1" s="266"/>
      <c r="TRU1" s="266"/>
      <c r="TRV1" s="266"/>
      <c r="TRW1" s="266"/>
      <c r="TRX1" s="266"/>
      <c r="TRY1" s="266"/>
      <c r="TRZ1" s="266"/>
      <c r="TSA1" s="266"/>
      <c r="TSB1" s="266"/>
      <c r="TSC1" s="266"/>
      <c r="TSD1" s="266"/>
      <c r="TSE1" s="266"/>
      <c r="TSF1" s="266"/>
      <c r="TSG1" s="266"/>
      <c r="TSH1" s="266"/>
      <c r="TSI1" s="266"/>
      <c r="TSJ1" s="266"/>
      <c r="TSK1" s="266"/>
      <c r="TSL1" s="266"/>
      <c r="TSM1" s="266"/>
      <c r="TSN1" s="266"/>
      <c r="TSO1" s="266"/>
      <c r="TSP1" s="266"/>
      <c r="TSQ1" s="266"/>
      <c r="TSR1" s="266"/>
      <c r="TSS1" s="266"/>
      <c r="TST1" s="266"/>
      <c r="TSU1" s="266"/>
      <c r="TSV1" s="266"/>
      <c r="TSW1" s="266"/>
      <c r="TSX1" s="266"/>
      <c r="TSY1" s="266"/>
      <c r="TSZ1" s="266"/>
      <c r="TTA1" s="266"/>
      <c r="TTB1" s="266"/>
      <c r="TTC1" s="266"/>
      <c r="TTD1" s="266"/>
      <c r="TTE1" s="266"/>
      <c r="TTF1" s="266"/>
      <c r="TTG1" s="266"/>
      <c r="TTH1" s="266"/>
      <c r="TTI1" s="266"/>
      <c r="TTJ1" s="266"/>
      <c r="TTK1" s="266"/>
      <c r="TTL1" s="266"/>
      <c r="TTM1" s="266"/>
      <c r="TTN1" s="266"/>
      <c r="TTO1" s="266"/>
      <c r="TTP1" s="266"/>
      <c r="TTQ1" s="266"/>
      <c r="TTR1" s="266"/>
      <c r="TTS1" s="266"/>
      <c r="TTT1" s="266"/>
      <c r="TTU1" s="266"/>
      <c r="TTV1" s="266"/>
      <c r="TTW1" s="266"/>
      <c r="TTX1" s="266"/>
      <c r="TTY1" s="266"/>
      <c r="TTZ1" s="266"/>
      <c r="TUA1" s="266"/>
      <c r="TUB1" s="266"/>
      <c r="TUC1" s="266"/>
      <c r="TUD1" s="266"/>
      <c r="TUE1" s="266"/>
      <c r="TUF1" s="266"/>
      <c r="TUG1" s="266"/>
      <c r="TUH1" s="266"/>
      <c r="TUI1" s="266"/>
      <c r="TUJ1" s="266"/>
      <c r="TUK1" s="266"/>
      <c r="TUL1" s="266"/>
      <c r="TUM1" s="266"/>
      <c r="TUN1" s="266"/>
      <c r="TUO1" s="266"/>
      <c r="TUP1" s="266"/>
      <c r="TUQ1" s="266"/>
      <c r="TUR1" s="266"/>
      <c r="TUS1" s="266"/>
      <c r="TUT1" s="266"/>
      <c r="TUU1" s="266"/>
      <c r="TUV1" s="266"/>
      <c r="TUW1" s="266"/>
      <c r="TUX1" s="266"/>
      <c r="TUY1" s="266"/>
      <c r="TUZ1" s="266"/>
      <c r="TVA1" s="266"/>
      <c r="TVB1" s="266"/>
      <c r="TVC1" s="266"/>
      <c r="TVD1" s="266"/>
      <c r="TVE1" s="266"/>
      <c r="TVF1" s="266"/>
      <c r="TVG1" s="266"/>
      <c r="TVH1" s="266"/>
      <c r="TVI1" s="266"/>
      <c r="TVJ1" s="266"/>
      <c r="TVK1" s="266"/>
      <c r="TVL1" s="266"/>
      <c r="TVM1" s="266"/>
      <c r="TVN1" s="266"/>
      <c r="TVO1" s="266"/>
      <c r="TVP1" s="266"/>
      <c r="TVQ1" s="266"/>
      <c r="TVR1" s="266"/>
      <c r="TVS1" s="266"/>
      <c r="TVT1" s="266"/>
      <c r="TVU1" s="266"/>
      <c r="TVV1" s="266"/>
      <c r="TVW1" s="266"/>
      <c r="TVX1" s="266"/>
      <c r="TVY1" s="266"/>
      <c r="TVZ1" s="266"/>
      <c r="TWA1" s="266"/>
      <c r="TWB1" s="266"/>
      <c r="TWC1" s="266"/>
      <c r="TWD1" s="266"/>
      <c r="TWE1" s="266"/>
      <c r="TWF1" s="266"/>
      <c r="TWG1" s="266"/>
      <c r="TWH1" s="266"/>
      <c r="TWI1" s="266"/>
      <c r="TWJ1" s="266"/>
      <c r="TWK1" s="266"/>
      <c r="TWL1" s="266"/>
      <c r="TWM1" s="266"/>
      <c r="TWN1" s="266"/>
      <c r="TWO1" s="266"/>
      <c r="TWP1" s="266"/>
      <c r="TWQ1" s="266"/>
      <c r="TWR1" s="266"/>
      <c r="TWS1" s="266"/>
      <c r="TWT1" s="266"/>
      <c r="TWU1" s="266"/>
      <c r="TWV1" s="266"/>
      <c r="TWW1" s="266"/>
      <c r="TWX1" s="266"/>
      <c r="TWY1" s="266"/>
      <c r="TWZ1" s="266"/>
      <c r="TXA1" s="266"/>
      <c r="TXB1" s="266"/>
      <c r="TXC1" s="266"/>
      <c r="TXD1" s="266"/>
      <c r="TXE1" s="266"/>
      <c r="TXF1" s="266"/>
      <c r="TXG1" s="266"/>
      <c r="TXH1" s="266"/>
      <c r="TXI1" s="266"/>
      <c r="TXJ1" s="266"/>
      <c r="TXK1" s="266"/>
      <c r="TXL1" s="266"/>
      <c r="TXM1" s="266"/>
      <c r="TXN1" s="266"/>
      <c r="TXO1" s="266"/>
      <c r="TXP1" s="266"/>
      <c r="TXQ1" s="266"/>
      <c r="TXR1" s="266"/>
      <c r="TXS1" s="266"/>
      <c r="TXT1" s="266"/>
      <c r="TXU1" s="266"/>
      <c r="TXV1" s="266"/>
      <c r="TXW1" s="266"/>
      <c r="TXX1" s="266"/>
      <c r="TXY1" s="266"/>
      <c r="TXZ1" s="266"/>
      <c r="TYA1" s="266"/>
      <c r="TYB1" s="266"/>
      <c r="TYC1" s="266"/>
      <c r="TYD1" s="266"/>
      <c r="TYE1" s="266"/>
      <c r="TYF1" s="266"/>
      <c r="TYG1" s="266"/>
      <c r="TYH1" s="266"/>
      <c r="TYI1" s="266"/>
      <c r="TYJ1" s="266"/>
      <c r="TYK1" s="266"/>
      <c r="TYL1" s="266"/>
      <c r="TYM1" s="266"/>
      <c r="TYN1" s="266"/>
      <c r="TYO1" s="266"/>
      <c r="TYP1" s="266"/>
      <c r="TYQ1" s="266"/>
      <c r="TYR1" s="266"/>
      <c r="TYS1" s="266"/>
      <c r="TYT1" s="266"/>
      <c r="TYU1" s="266"/>
      <c r="TYV1" s="266"/>
      <c r="TYW1" s="266"/>
      <c r="TYX1" s="266"/>
      <c r="TYY1" s="266"/>
      <c r="TYZ1" s="266"/>
      <c r="TZA1" s="266"/>
      <c r="TZB1" s="266"/>
      <c r="TZC1" s="266"/>
      <c r="TZD1" s="266"/>
      <c r="TZE1" s="266"/>
      <c r="TZF1" s="266"/>
      <c r="TZG1" s="266"/>
      <c r="TZH1" s="266"/>
      <c r="TZI1" s="266"/>
      <c r="TZJ1" s="266"/>
      <c r="TZK1" s="266"/>
      <c r="TZL1" s="266"/>
      <c r="TZM1" s="266"/>
      <c r="TZN1" s="266"/>
      <c r="TZO1" s="266"/>
      <c r="TZP1" s="266"/>
      <c r="TZQ1" s="266"/>
      <c r="TZR1" s="266"/>
      <c r="TZS1" s="266"/>
      <c r="TZT1" s="266"/>
      <c r="TZU1" s="266"/>
      <c r="TZV1" s="266"/>
      <c r="TZW1" s="266"/>
      <c r="TZX1" s="266"/>
      <c r="TZY1" s="266"/>
      <c r="TZZ1" s="266"/>
      <c r="UAA1" s="266"/>
      <c r="UAB1" s="266"/>
      <c r="UAC1" s="266"/>
      <c r="UAD1" s="266"/>
      <c r="UAE1" s="266"/>
      <c r="UAF1" s="266"/>
      <c r="UAG1" s="266"/>
      <c r="UAH1" s="266"/>
      <c r="UAI1" s="266"/>
      <c r="UAJ1" s="266"/>
      <c r="UAK1" s="266"/>
      <c r="UAL1" s="266"/>
      <c r="UAM1" s="266"/>
      <c r="UAN1" s="266"/>
      <c r="UAO1" s="266"/>
      <c r="UAP1" s="266"/>
      <c r="UAQ1" s="266"/>
      <c r="UAR1" s="266"/>
      <c r="UAS1" s="266"/>
      <c r="UAT1" s="266"/>
      <c r="UAU1" s="266"/>
      <c r="UAV1" s="266"/>
      <c r="UAW1" s="266"/>
      <c r="UAX1" s="266"/>
      <c r="UAY1" s="266"/>
      <c r="UAZ1" s="266"/>
      <c r="UBA1" s="266"/>
      <c r="UBB1" s="266"/>
      <c r="UBC1" s="266"/>
      <c r="UBD1" s="266"/>
      <c r="UBE1" s="266"/>
      <c r="UBF1" s="266"/>
      <c r="UBG1" s="266"/>
      <c r="UBH1" s="266"/>
      <c r="UBI1" s="266"/>
      <c r="UBJ1" s="266"/>
      <c r="UBK1" s="266"/>
      <c r="UBL1" s="266"/>
      <c r="UBM1" s="266"/>
      <c r="UBN1" s="266"/>
      <c r="UBO1" s="266"/>
      <c r="UBP1" s="266"/>
      <c r="UBQ1" s="266"/>
      <c r="UBR1" s="266"/>
      <c r="UBS1" s="266"/>
      <c r="UBT1" s="266"/>
      <c r="UBU1" s="266"/>
      <c r="UBV1" s="266"/>
      <c r="UBW1" s="266"/>
      <c r="UBX1" s="266"/>
      <c r="UBY1" s="266"/>
      <c r="UBZ1" s="266"/>
      <c r="UCA1" s="266"/>
      <c r="UCB1" s="266"/>
      <c r="UCC1" s="266"/>
      <c r="UCD1" s="266"/>
      <c r="UCE1" s="266"/>
      <c r="UCF1" s="266"/>
      <c r="UCG1" s="266"/>
      <c r="UCH1" s="266"/>
      <c r="UCI1" s="266"/>
      <c r="UCJ1" s="266"/>
      <c r="UCK1" s="266"/>
      <c r="UCL1" s="266"/>
      <c r="UCM1" s="266"/>
      <c r="UCN1" s="266"/>
      <c r="UCO1" s="266"/>
      <c r="UCP1" s="266"/>
      <c r="UCQ1" s="266"/>
      <c r="UCR1" s="266"/>
      <c r="UCS1" s="266"/>
      <c r="UCT1" s="266"/>
      <c r="UCU1" s="266"/>
      <c r="UCV1" s="266"/>
      <c r="UCW1" s="266"/>
      <c r="UCX1" s="266"/>
      <c r="UCY1" s="266"/>
      <c r="UCZ1" s="266"/>
      <c r="UDA1" s="266"/>
      <c r="UDB1" s="266"/>
      <c r="UDC1" s="266"/>
      <c r="UDD1" s="266"/>
      <c r="UDE1" s="266"/>
      <c r="UDF1" s="266"/>
      <c r="UDG1" s="266"/>
      <c r="UDH1" s="266"/>
      <c r="UDI1" s="266"/>
      <c r="UDJ1" s="266"/>
      <c r="UDK1" s="266"/>
      <c r="UDL1" s="266"/>
      <c r="UDM1" s="266"/>
      <c r="UDN1" s="266"/>
      <c r="UDO1" s="266"/>
      <c r="UDP1" s="266"/>
      <c r="UDQ1" s="266"/>
      <c r="UDR1" s="266"/>
      <c r="UDS1" s="266"/>
      <c r="UDT1" s="266"/>
      <c r="UDU1" s="266"/>
      <c r="UDV1" s="266"/>
      <c r="UDW1" s="266"/>
      <c r="UDX1" s="266"/>
      <c r="UDY1" s="266"/>
      <c r="UDZ1" s="266"/>
      <c r="UEA1" s="266"/>
      <c r="UEB1" s="266"/>
      <c r="UEC1" s="266"/>
      <c r="UED1" s="266"/>
      <c r="UEE1" s="266"/>
      <c r="UEF1" s="266"/>
      <c r="UEG1" s="266"/>
      <c r="UEH1" s="266"/>
      <c r="UEI1" s="266"/>
      <c r="UEJ1" s="266"/>
      <c r="UEK1" s="266"/>
      <c r="UEL1" s="266"/>
      <c r="UEM1" s="266"/>
      <c r="UEN1" s="266"/>
      <c r="UEO1" s="266"/>
      <c r="UEP1" s="266"/>
      <c r="UEQ1" s="266"/>
      <c r="UER1" s="266"/>
      <c r="UES1" s="266"/>
      <c r="UET1" s="266"/>
      <c r="UEU1" s="266"/>
      <c r="UEV1" s="266"/>
      <c r="UEW1" s="266"/>
      <c r="UEX1" s="266"/>
      <c r="UEY1" s="266"/>
      <c r="UEZ1" s="266"/>
      <c r="UFA1" s="266"/>
      <c r="UFB1" s="266"/>
      <c r="UFC1" s="266"/>
      <c r="UFD1" s="266"/>
      <c r="UFE1" s="266"/>
      <c r="UFF1" s="266"/>
      <c r="UFG1" s="266"/>
      <c r="UFH1" s="266"/>
      <c r="UFI1" s="266"/>
      <c r="UFJ1" s="266"/>
      <c r="UFK1" s="266"/>
      <c r="UFL1" s="266"/>
      <c r="UFM1" s="266"/>
      <c r="UFN1" s="266"/>
      <c r="UFO1" s="266"/>
      <c r="UFP1" s="266"/>
      <c r="UFQ1" s="266"/>
      <c r="UFR1" s="266"/>
      <c r="UFS1" s="266"/>
      <c r="UFT1" s="266"/>
      <c r="UFU1" s="266"/>
      <c r="UFV1" s="266"/>
      <c r="UFW1" s="266"/>
      <c r="UFX1" s="266"/>
      <c r="UFY1" s="266"/>
      <c r="UFZ1" s="266"/>
      <c r="UGA1" s="266"/>
      <c r="UGB1" s="266"/>
      <c r="UGC1" s="266"/>
      <c r="UGD1" s="266"/>
      <c r="UGE1" s="266"/>
      <c r="UGF1" s="266"/>
      <c r="UGG1" s="266"/>
      <c r="UGH1" s="266"/>
      <c r="UGI1" s="266"/>
      <c r="UGJ1" s="266"/>
      <c r="UGK1" s="266"/>
      <c r="UGL1" s="266"/>
      <c r="UGM1" s="266"/>
      <c r="UGN1" s="266"/>
      <c r="UGO1" s="266"/>
      <c r="UGP1" s="266"/>
      <c r="UGQ1" s="266"/>
      <c r="UGR1" s="266"/>
      <c r="UGS1" s="266"/>
      <c r="UGT1" s="266"/>
      <c r="UGU1" s="266"/>
      <c r="UGV1" s="266"/>
      <c r="UGW1" s="266"/>
      <c r="UGX1" s="266"/>
      <c r="UGY1" s="266"/>
      <c r="UGZ1" s="266"/>
      <c r="UHA1" s="266"/>
      <c r="UHB1" s="266"/>
      <c r="UHC1" s="266"/>
      <c r="UHD1" s="266"/>
      <c r="UHE1" s="266"/>
      <c r="UHF1" s="266"/>
      <c r="UHG1" s="266"/>
      <c r="UHH1" s="266"/>
      <c r="UHI1" s="266"/>
      <c r="UHJ1" s="266"/>
      <c r="UHK1" s="266"/>
      <c r="UHL1" s="266"/>
      <c r="UHM1" s="266"/>
      <c r="UHN1" s="266"/>
      <c r="UHO1" s="266"/>
      <c r="UHP1" s="266"/>
      <c r="UHQ1" s="266"/>
      <c r="UHR1" s="266"/>
      <c r="UHS1" s="266"/>
      <c r="UHT1" s="266"/>
      <c r="UHU1" s="266"/>
      <c r="UHV1" s="266"/>
      <c r="UHW1" s="266"/>
      <c r="UHX1" s="266"/>
      <c r="UHY1" s="266"/>
      <c r="UHZ1" s="266"/>
      <c r="UIA1" s="266"/>
      <c r="UIB1" s="266"/>
      <c r="UIC1" s="266"/>
      <c r="UID1" s="266"/>
      <c r="UIE1" s="266"/>
      <c r="UIF1" s="266"/>
      <c r="UIG1" s="266"/>
      <c r="UIH1" s="266"/>
      <c r="UII1" s="266"/>
      <c r="UIJ1" s="266"/>
      <c r="UIK1" s="266"/>
      <c r="UIL1" s="266"/>
      <c r="UIM1" s="266"/>
      <c r="UIN1" s="266"/>
      <c r="UIO1" s="266"/>
      <c r="UIP1" s="266"/>
      <c r="UIQ1" s="266"/>
      <c r="UIR1" s="266"/>
      <c r="UIS1" s="266"/>
      <c r="UIT1" s="266"/>
      <c r="UIU1" s="266"/>
      <c r="UIV1" s="266"/>
      <c r="UIW1" s="266"/>
      <c r="UIX1" s="266"/>
      <c r="UIY1" s="266"/>
      <c r="UIZ1" s="266"/>
      <c r="UJA1" s="266"/>
      <c r="UJB1" s="266"/>
      <c r="UJC1" s="266"/>
      <c r="UJD1" s="266"/>
      <c r="UJE1" s="266"/>
      <c r="UJF1" s="266"/>
      <c r="UJG1" s="266"/>
      <c r="UJH1" s="266"/>
      <c r="UJI1" s="266"/>
      <c r="UJJ1" s="266"/>
      <c r="UJK1" s="266"/>
      <c r="UJL1" s="266"/>
      <c r="UJM1" s="266"/>
      <c r="UJN1" s="266"/>
      <c r="UJO1" s="266"/>
      <c r="UJP1" s="266"/>
      <c r="UJQ1" s="266"/>
      <c r="UJR1" s="266"/>
      <c r="UJS1" s="266"/>
      <c r="UJT1" s="266"/>
      <c r="UJU1" s="266"/>
      <c r="UJV1" s="266"/>
      <c r="UJW1" s="266"/>
      <c r="UJX1" s="266"/>
      <c r="UJY1" s="266"/>
      <c r="UJZ1" s="266"/>
      <c r="UKA1" s="266"/>
      <c r="UKB1" s="266"/>
      <c r="UKC1" s="266"/>
      <c r="UKD1" s="266"/>
      <c r="UKE1" s="266"/>
      <c r="UKF1" s="266"/>
      <c r="UKG1" s="266"/>
      <c r="UKH1" s="266"/>
      <c r="UKI1" s="266"/>
      <c r="UKJ1" s="266"/>
      <c r="UKK1" s="266"/>
      <c r="UKL1" s="266"/>
      <c r="UKM1" s="266"/>
      <c r="UKN1" s="266"/>
      <c r="UKO1" s="266"/>
      <c r="UKP1" s="266"/>
      <c r="UKQ1" s="266"/>
      <c r="UKR1" s="266"/>
      <c r="UKS1" s="266"/>
      <c r="UKT1" s="266"/>
      <c r="UKU1" s="266"/>
      <c r="UKV1" s="266"/>
      <c r="UKW1" s="266"/>
      <c r="UKX1" s="266"/>
      <c r="UKY1" s="266"/>
      <c r="UKZ1" s="266"/>
      <c r="ULA1" s="266"/>
      <c r="ULB1" s="266"/>
      <c r="ULC1" s="266"/>
      <c r="ULD1" s="266"/>
      <c r="ULE1" s="266"/>
      <c r="ULF1" s="266"/>
      <c r="ULG1" s="266"/>
      <c r="ULH1" s="266"/>
      <c r="ULI1" s="266"/>
      <c r="ULJ1" s="266"/>
      <c r="ULK1" s="266"/>
      <c r="ULL1" s="266"/>
      <c r="ULM1" s="266"/>
      <c r="ULN1" s="266"/>
      <c r="ULO1" s="266"/>
      <c r="ULP1" s="266"/>
      <c r="ULQ1" s="266"/>
      <c r="ULR1" s="266"/>
      <c r="ULS1" s="266"/>
      <c r="ULT1" s="266"/>
      <c r="ULU1" s="266"/>
      <c r="ULV1" s="266"/>
      <c r="ULW1" s="266"/>
      <c r="ULX1" s="266"/>
      <c r="ULY1" s="266"/>
      <c r="ULZ1" s="266"/>
      <c r="UMA1" s="266"/>
      <c r="UMB1" s="266"/>
      <c r="UMC1" s="266"/>
      <c r="UMD1" s="266"/>
      <c r="UME1" s="266"/>
      <c r="UMF1" s="266"/>
      <c r="UMG1" s="266"/>
      <c r="UMH1" s="266"/>
      <c r="UMI1" s="266"/>
      <c r="UMJ1" s="266"/>
      <c r="UMK1" s="266"/>
      <c r="UML1" s="266"/>
      <c r="UMM1" s="266"/>
      <c r="UMN1" s="266"/>
      <c r="UMO1" s="266"/>
      <c r="UMP1" s="266"/>
      <c r="UMQ1" s="266"/>
      <c r="UMR1" s="266"/>
      <c r="UMS1" s="266"/>
      <c r="UMT1" s="266"/>
      <c r="UMU1" s="266"/>
      <c r="UMV1" s="266"/>
      <c r="UMW1" s="266"/>
      <c r="UMX1" s="266"/>
      <c r="UMY1" s="266"/>
      <c r="UMZ1" s="266"/>
      <c r="UNA1" s="266"/>
      <c r="UNB1" s="266"/>
      <c r="UNC1" s="266"/>
      <c r="UND1" s="266"/>
      <c r="UNE1" s="266"/>
      <c r="UNF1" s="266"/>
      <c r="UNG1" s="266"/>
      <c r="UNH1" s="266"/>
      <c r="UNI1" s="266"/>
      <c r="UNJ1" s="266"/>
      <c r="UNK1" s="266"/>
      <c r="UNL1" s="266"/>
      <c r="UNM1" s="266"/>
      <c r="UNN1" s="266"/>
      <c r="UNO1" s="266"/>
      <c r="UNP1" s="266"/>
      <c r="UNQ1" s="266"/>
      <c r="UNR1" s="266"/>
      <c r="UNS1" s="266"/>
      <c r="UNT1" s="266"/>
      <c r="UNU1" s="266"/>
      <c r="UNV1" s="266"/>
      <c r="UNW1" s="266"/>
      <c r="UNX1" s="266"/>
      <c r="UNY1" s="266"/>
      <c r="UNZ1" s="266"/>
      <c r="UOA1" s="266"/>
      <c r="UOB1" s="266"/>
      <c r="UOC1" s="266"/>
      <c r="UOD1" s="266"/>
      <c r="UOE1" s="266"/>
      <c r="UOF1" s="266"/>
      <c r="UOG1" s="266"/>
      <c r="UOH1" s="266"/>
      <c r="UOI1" s="266"/>
      <c r="UOJ1" s="266"/>
      <c r="UOK1" s="266"/>
      <c r="UOL1" s="266"/>
      <c r="UOM1" s="266"/>
      <c r="UON1" s="266"/>
      <c r="UOO1" s="266"/>
      <c r="UOP1" s="266"/>
      <c r="UOQ1" s="266"/>
      <c r="UOR1" s="266"/>
      <c r="UOS1" s="266"/>
      <c r="UOT1" s="266"/>
      <c r="UOU1" s="266"/>
      <c r="UOV1" s="266"/>
      <c r="UOW1" s="266"/>
      <c r="UOX1" s="266"/>
      <c r="UOY1" s="266"/>
      <c r="UOZ1" s="266"/>
      <c r="UPA1" s="266"/>
      <c r="UPB1" s="266"/>
      <c r="UPC1" s="266"/>
      <c r="UPD1" s="266"/>
      <c r="UPE1" s="266"/>
      <c r="UPF1" s="266"/>
      <c r="UPG1" s="266"/>
      <c r="UPH1" s="266"/>
      <c r="UPI1" s="266"/>
      <c r="UPJ1" s="266"/>
      <c r="UPK1" s="266"/>
      <c r="UPL1" s="266"/>
      <c r="UPM1" s="266"/>
      <c r="UPN1" s="266"/>
      <c r="UPO1" s="266"/>
      <c r="UPP1" s="266"/>
      <c r="UPQ1" s="266"/>
      <c r="UPR1" s="266"/>
      <c r="UPS1" s="266"/>
      <c r="UPT1" s="266"/>
      <c r="UPU1" s="266"/>
      <c r="UPV1" s="266"/>
      <c r="UPW1" s="266"/>
      <c r="UPX1" s="266"/>
      <c r="UPY1" s="266"/>
      <c r="UPZ1" s="266"/>
      <c r="UQA1" s="266"/>
      <c r="UQB1" s="266"/>
      <c r="UQC1" s="266"/>
      <c r="UQD1" s="266"/>
      <c r="UQE1" s="266"/>
      <c r="UQF1" s="266"/>
      <c r="UQG1" s="266"/>
      <c r="UQH1" s="266"/>
      <c r="UQI1" s="266"/>
      <c r="UQJ1" s="266"/>
      <c r="UQK1" s="266"/>
      <c r="UQL1" s="266"/>
      <c r="UQM1" s="266"/>
      <c r="UQN1" s="266"/>
      <c r="UQO1" s="266"/>
      <c r="UQP1" s="266"/>
      <c r="UQQ1" s="266"/>
      <c r="UQR1" s="266"/>
      <c r="UQS1" s="266"/>
      <c r="UQT1" s="266"/>
      <c r="UQU1" s="266"/>
      <c r="UQV1" s="266"/>
      <c r="UQW1" s="266"/>
      <c r="UQX1" s="266"/>
      <c r="UQY1" s="266"/>
      <c r="UQZ1" s="266"/>
      <c r="URA1" s="266"/>
      <c r="URB1" s="266"/>
      <c r="URC1" s="266"/>
      <c r="URD1" s="266"/>
      <c r="URE1" s="266"/>
      <c r="URF1" s="266"/>
      <c r="URG1" s="266"/>
      <c r="URH1" s="266"/>
      <c r="URI1" s="266"/>
      <c r="URJ1" s="266"/>
      <c r="URK1" s="266"/>
      <c r="URL1" s="266"/>
      <c r="URM1" s="266"/>
      <c r="URN1" s="266"/>
      <c r="URO1" s="266"/>
      <c r="URP1" s="266"/>
      <c r="URQ1" s="266"/>
      <c r="URR1" s="266"/>
      <c r="URS1" s="266"/>
      <c r="URT1" s="266"/>
      <c r="URU1" s="266"/>
      <c r="URV1" s="266"/>
      <c r="URW1" s="266"/>
      <c r="URX1" s="266"/>
      <c r="URY1" s="266"/>
      <c r="URZ1" s="266"/>
      <c r="USA1" s="266"/>
      <c r="USB1" s="266"/>
      <c r="USC1" s="266"/>
      <c r="USD1" s="266"/>
      <c r="USE1" s="266"/>
      <c r="USF1" s="266"/>
      <c r="USG1" s="266"/>
      <c r="USH1" s="266"/>
      <c r="USI1" s="266"/>
      <c r="USJ1" s="266"/>
      <c r="USK1" s="266"/>
      <c r="USL1" s="266"/>
      <c r="USM1" s="266"/>
      <c r="USN1" s="266"/>
      <c r="USO1" s="266"/>
      <c r="USP1" s="266"/>
      <c r="USQ1" s="266"/>
      <c r="USR1" s="266"/>
      <c r="USS1" s="266"/>
      <c r="UST1" s="266"/>
      <c r="USU1" s="266"/>
      <c r="USV1" s="266"/>
      <c r="USW1" s="266"/>
      <c r="USX1" s="266"/>
      <c r="USY1" s="266"/>
      <c r="USZ1" s="266"/>
      <c r="UTA1" s="266"/>
      <c r="UTB1" s="266"/>
      <c r="UTC1" s="266"/>
      <c r="UTD1" s="266"/>
      <c r="UTE1" s="266"/>
      <c r="UTF1" s="266"/>
      <c r="UTG1" s="266"/>
      <c r="UTH1" s="266"/>
      <c r="UTI1" s="266"/>
      <c r="UTJ1" s="266"/>
      <c r="UTK1" s="266"/>
      <c r="UTL1" s="266"/>
      <c r="UTM1" s="266"/>
      <c r="UTN1" s="266"/>
      <c r="UTO1" s="266"/>
      <c r="UTP1" s="266"/>
      <c r="UTQ1" s="266"/>
      <c r="UTR1" s="266"/>
      <c r="UTS1" s="266"/>
      <c r="UTT1" s="266"/>
      <c r="UTU1" s="266"/>
      <c r="UTV1" s="266"/>
      <c r="UTW1" s="266"/>
      <c r="UTX1" s="266"/>
      <c r="UTY1" s="266"/>
      <c r="UTZ1" s="266"/>
      <c r="UUA1" s="266"/>
      <c r="UUB1" s="266"/>
      <c r="UUC1" s="266"/>
      <c r="UUD1" s="266"/>
      <c r="UUE1" s="266"/>
      <c r="UUF1" s="266"/>
      <c r="UUG1" s="266"/>
      <c r="UUH1" s="266"/>
      <c r="UUI1" s="266"/>
      <c r="UUJ1" s="266"/>
      <c r="UUK1" s="266"/>
      <c r="UUL1" s="266"/>
      <c r="UUM1" s="266"/>
      <c r="UUN1" s="266"/>
      <c r="UUO1" s="266"/>
      <c r="UUP1" s="266"/>
      <c r="UUQ1" s="266"/>
      <c r="UUR1" s="266"/>
      <c r="UUS1" s="266"/>
      <c r="UUT1" s="266"/>
      <c r="UUU1" s="266"/>
      <c r="UUV1" s="266"/>
      <c r="UUW1" s="266"/>
      <c r="UUX1" s="266"/>
      <c r="UUY1" s="266"/>
      <c r="UUZ1" s="266"/>
      <c r="UVA1" s="266"/>
      <c r="UVB1" s="266"/>
      <c r="UVC1" s="266"/>
      <c r="UVD1" s="266"/>
      <c r="UVE1" s="266"/>
      <c r="UVF1" s="266"/>
      <c r="UVG1" s="266"/>
      <c r="UVH1" s="266"/>
      <c r="UVI1" s="266"/>
      <c r="UVJ1" s="266"/>
      <c r="UVK1" s="266"/>
      <c r="UVL1" s="266"/>
      <c r="UVM1" s="266"/>
      <c r="UVN1" s="266"/>
      <c r="UVO1" s="266"/>
      <c r="UVP1" s="266"/>
      <c r="UVQ1" s="266"/>
      <c r="UVR1" s="266"/>
      <c r="UVS1" s="266"/>
      <c r="UVT1" s="266"/>
      <c r="UVU1" s="266"/>
      <c r="UVV1" s="266"/>
      <c r="UVW1" s="266"/>
      <c r="UVX1" s="266"/>
      <c r="UVY1" s="266"/>
      <c r="UVZ1" s="266"/>
      <c r="UWA1" s="266"/>
      <c r="UWB1" s="266"/>
      <c r="UWC1" s="266"/>
      <c r="UWD1" s="266"/>
      <c r="UWE1" s="266"/>
      <c r="UWF1" s="266"/>
      <c r="UWG1" s="266"/>
      <c r="UWH1" s="266"/>
      <c r="UWI1" s="266"/>
      <c r="UWJ1" s="266"/>
      <c r="UWK1" s="266"/>
      <c r="UWL1" s="266"/>
      <c r="UWM1" s="266"/>
      <c r="UWN1" s="266"/>
      <c r="UWO1" s="266"/>
      <c r="UWP1" s="266"/>
      <c r="UWQ1" s="266"/>
      <c r="UWR1" s="266"/>
      <c r="UWS1" s="266"/>
      <c r="UWT1" s="266"/>
      <c r="UWU1" s="266"/>
      <c r="UWV1" s="266"/>
      <c r="UWW1" s="266"/>
      <c r="UWX1" s="266"/>
      <c r="UWY1" s="266"/>
      <c r="UWZ1" s="266"/>
      <c r="UXA1" s="266"/>
      <c r="UXB1" s="266"/>
      <c r="UXC1" s="266"/>
      <c r="UXD1" s="266"/>
      <c r="UXE1" s="266"/>
      <c r="UXF1" s="266"/>
      <c r="UXG1" s="266"/>
      <c r="UXH1" s="266"/>
      <c r="UXI1" s="266"/>
      <c r="UXJ1" s="266"/>
      <c r="UXK1" s="266"/>
      <c r="UXL1" s="266"/>
      <c r="UXM1" s="266"/>
      <c r="UXN1" s="266"/>
      <c r="UXO1" s="266"/>
      <c r="UXP1" s="266"/>
      <c r="UXQ1" s="266"/>
      <c r="UXR1" s="266"/>
      <c r="UXS1" s="266"/>
      <c r="UXT1" s="266"/>
      <c r="UXU1" s="266"/>
      <c r="UXV1" s="266"/>
      <c r="UXW1" s="266"/>
      <c r="UXX1" s="266"/>
      <c r="UXY1" s="266"/>
      <c r="UXZ1" s="266"/>
      <c r="UYA1" s="266"/>
      <c r="UYB1" s="266"/>
      <c r="UYC1" s="266"/>
      <c r="UYD1" s="266"/>
      <c r="UYE1" s="266"/>
      <c r="UYF1" s="266"/>
      <c r="UYG1" s="266"/>
      <c r="UYH1" s="266"/>
      <c r="UYI1" s="266"/>
      <c r="UYJ1" s="266"/>
      <c r="UYK1" s="266"/>
      <c r="UYL1" s="266"/>
      <c r="UYM1" s="266"/>
      <c r="UYN1" s="266"/>
      <c r="UYO1" s="266"/>
      <c r="UYP1" s="266"/>
      <c r="UYQ1" s="266"/>
      <c r="UYR1" s="266"/>
      <c r="UYS1" s="266"/>
      <c r="UYT1" s="266"/>
      <c r="UYU1" s="266"/>
      <c r="UYV1" s="266"/>
      <c r="UYW1" s="266"/>
      <c r="UYX1" s="266"/>
      <c r="UYY1" s="266"/>
      <c r="UYZ1" s="266"/>
      <c r="UZA1" s="266"/>
      <c r="UZB1" s="266"/>
      <c r="UZC1" s="266"/>
      <c r="UZD1" s="266"/>
      <c r="UZE1" s="266"/>
      <c r="UZF1" s="266"/>
      <c r="UZG1" s="266"/>
      <c r="UZH1" s="266"/>
      <c r="UZI1" s="266"/>
      <c r="UZJ1" s="266"/>
      <c r="UZK1" s="266"/>
      <c r="UZL1" s="266"/>
      <c r="UZM1" s="266"/>
      <c r="UZN1" s="266"/>
      <c r="UZO1" s="266"/>
      <c r="UZP1" s="266"/>
      <c r="UZQ1" s="266"/>
      <c r="UZR1" s="266"/>
      <c r="UZS1" s="266"/>
      <c r="UZT1" s="266"/>
      <c r="UZU1" s="266"/>
      <c r="UZV1" s="266"/>
      <c r="UZW1" s="266"/>
      <c r="UZX1" s="266"/>
      <c r="UZY1" s="266"/>
      <c r="UZZ1" s="266"/>
      <c r="VAA1" s="266"/>
      <c r="VAB1" s="266"/>
      <c r="VAC1" s="266"/>
      <c r="VAD1" s="266"/>
      <c r="VAE1" s="266"/>
      <c r="VAF1" s="266"/>
      <c r="VAG1" s="266"/>
      <c r="VAH1" s="266"/>
      <c r="VAI1" s="266"/>
      <c r="VAJ1" s="266"/>
      <c r="VAK1" s="266"/>
      <c r="VAL1" s="266"/>
      <c r="VAM1" s="266"/>
      <c r="VAN1" s="266"/>
      <c r="VAO1" s="266"/>
      <c r="VAP1" s="266"/>
      <c r="VAQ1" s="266"/>
      <c r="VAR1" s="266"/>
      <c r="VAS1" s="266"/>
      <c r="VAT1" s="266"/>
      <c r="VAU1" s="266"/>
      <c r="VAV1" s="266"/>
      <c r="VAW1" s="266"/>
      <c r="VAX1" s="266"/>
      <c r="VAY1" s="266"/>
      <c r="VAZ1" s="266"/>
      <c r="VBA1" s="266"/>
      <c r="VBB1" s="266"/>
      <c r="VBC1" s="266"/>
      <c r="VBD1" s="266"/>
      <c r="VBE1" s="266"/>
      <c r="VBF1" s="266"/>
      <c r="VBG1" s="266"/>
      <c r="VBH1" s="266"/>
      <c r="VBI1" s="266"/>
      <c r="VBJ1" s="266"/>
      <c r="VBK1" s="266"/>
      <c r="VBL1" s="266"/>
      <c r="VBM1" s="266"/>
      <c r="VBN1" s="266"/>
      <c r="VBO1" s="266"/>
      <c r="VBP1" s="266"/>
      <c r="VBQ1" s="266"/>
      <c r="VBR1" s="266"/>
      <c r="VBS1" s="266"/>
      <c r="VBT1" s="266"/>
      <c r="VBU1" s="266"/>
      <c r="VBV1" s="266"/>
      <c r="VBW1" s="266"/>
      <c r="VBX1" s="266"/>
      <c r="VBY1" s="266"/>
      <c r="VBZ1" s="266"/>
      <c r="VCA1" s="266"/>
      <c r="VCB1" s="266"/>
      <c r="VCC1" s="266"/>
      <c r="VCD1" s="266"/>
      <c r="VCE1" s="266"/>
      <c r="VCF1" s="266"/>
      <c r="VCG1" s="266"/>
      <c r="VCH1" s="266"/>
      <c r="VCI1" s="266"/>
      <c r="VCJ1" s="266"/>
      <c r="VCK1" s="266"/>
      <c r="VCL1" s="266"/>
      <c r="VCM1" s="266"/>
      <c r="VCN1" s="266"/>
      <c r="VCO1" s="266"/>
      <c r="VCP1" s="266"/>
      <c r="VCQ1" s="266"/>
      <c r="VCR1" s="266"/>
      <c r="VCS1" s="266"/>
      <c r="VCT1" s="266"/>
      <c r="VCU1" s="266"/>
      <c r="VCV1" s="266"/>
      <c r="VCW1" s="266"/>
      <c r="VCX1" s="266"/>
      <c r="VCY1" s="266"/>
      <c r="VCZ1" s="266"/>
      <c r="VDA1" s="266"/>
      <c r="VDB1" s="266"/>
      <c r="VDC1" s="266"/>
      <c r="VDD1" s="266"/>
      <c r="VDE1" s="266"/>
      <c r="VDF1" s="266"/>
      <c r="VDG1" s="266"/>
      <c r="VDH1" s="266"/>
      <c r="VDI1" s="266"/>
      <c r="VDJ1" s="266"/>
      <c r="VDK1" s="266"/>
      <c r="VDL1" s="266"/>
      <c r="VDM1" s="266"/>
      <c r="VDN1" s="266"/>
      <c r="VDO1" s="266"/>
      <c r="VDP1" s="266"/>
      <c r="VDQ1" s="266"/>
      <c r="VDR1" s="266"/>
      <c r="VDS1" s="266"/>
      <c r="VDT1" s="266"/>
      <c r="VDU1" s="266"/>
      <c r="VDV1" s="266"/>
      <c r="VDW1" s="266"/>
      <c r="VDX1" s="266"/>
      <c r="VDY1" s="266"/>
      <c r="VDZ1" s="266"/>
      <c r="VEA1" s="266"/>
      <c r="VEB1" s="266"/>
      <c r="VEC1" s="266"/>
      <c r="VED1" s="266"/>
      <c r="VEE1" s="266"/>
      <c r="VEF1" s="266"/>
      <c r="VEG1" s="266"/>
      <c r="VEH1" s="266"/>
      <c r="VEI1" s="266"/>
      <c r="VEJ1" s="266"/>
      <c r="VEK1" s="266"/>
      <c r="VEL1" s="266"/>
      <c r="VEM1" s="266"/>
      <c r="VEN1" s="266"/>
      <c r="VEO1" s="266"/>
      <c r="VEP1" s="266"/>
      <c r="VEQ1" s="266"/>
      <c r="VER1" s="266"/>
      <c r="VES1" s="266"/>
      <c r="VET1" s="266"/>
      <c r="VEU1" s="266"/>
      <c r="VEV1" s="266"/>
      <c r="VEW1" s="266"/>
      <c r="VEX1" s="266"/>
      <c r="VEY1" s="266"/>
      <c r="VEZ1" s="266"/>
      <c r="VFA1" s="266"/>
      <c r="VFB1" s="266"/>
      <c r="VFC1" s="266"/>
      <c r="VFD1" s="266"/>
      <c r="VFE1" s="266"/>
      <c r="VFF1" s="266"/>
      <c r="VFG1" s="266"/>
      <c r="VFH1" s="266"/>
      <c r="VFI1" s="266"/>
      <c r="VFJ1" s="266"/>
      <c r="VFK1" s="266"/>
      <c r="VFL1" s="266"/>
      <c r="VFM1" s="266"/>
      <c r="VFN1" s="266"/>
      <c r="VFO1" s="266"/>
      <c r="VFP1" s="266"/>
      <c r="VFQ1" s="266"/>
      <c r="VFR1" s="266"/>
      <c r="VFS1" s="266"/>
      <c r="VFT1" s="266"/>
      <c r="VFU1" s="266"/>
      <c r="VFV1" s="266"/>
      <c r="VFW1" s="266"/>
      <c r="VFX1" s="266"/>
      <c r="VFY1" s="266"/>
      <c r="VFZ1" s="266"/>
      <c r="VGA1" s="266"/>
      <c r="VGB1" s="266"/>
      <c r="VGC1" s="266"/>
      <c r="VGD1" s="266"/>
      <c r="VGE1" s="266"/>
      <c r="VGF1" s="266"/>
      <c r="VGG1" s="266"/>
      <c r="VGH1" s="266"/>
      <c r="VGI1" s="266"/>
      <c r="VGJ1" s="266"/>
      <c r="VGK1" s="266"/>
      <c r="VGL1" s="266"/>
      <c r="VGM1" s="266"/>
      <c r="VGN1" s="266"/>
      <c r="VGO1" s="266"/>
      <c r="VGP1" s="266"/>
      <c r="VGQ1" s="266"/>
      <c r="VGR1" s="266"/>
      <c r="VGS1" s="266"/>
      <c r="VGT1" s="266"/>
      <c r="VGU1" s="266"/>
      <c r="VGV1" s="266"/>
      <c r="VGW1" s="266"/>
      <c r="VGX1" s="266"/>
      <c r="VGY1" s="266"/>
      <c r="VGZ1" s="266"/>
      <c r="VHA1" s="266"/>
      <c r="VHB1" s="266"/>
      <c r="VHC1" s="266"/>
      <c r="VHD1" s="266"/>
      <c r="VHE1" s="266"/>
      <c r="VHF1" s="266"/>
      <c r="VHG1" s="266"/>
      <c r="VHH1" s="266"/>
      <c r="VHI1" s="266"/>
      <c r="VHJ1" s="266"/>
      <c r="VHK1" s="266"/>
      <c r="VHL1" s="266"/>
      <c r="VHM1" s="266"/>
      <c r="VHN1" s="266"/>
      <c r="VHO1" s="266"/>
      <c r="VHP1" s="266"/>
      <c r="VHQ1" s="266"/>
      <c r="VHR1" s="266"/>
      <c r="VHS1" s="266"/>
      <c r="VHT1" s="266"/>
      <c r="VHU1" s="266"/>
      <c r="VHV1" s="266"/>
      <c r="VHW1" s="266"/>
      <c r="VHX1" s="266"/>
      <c r="VHY1" s="266"/>
      <c r="VHZ1" s="266"/>
      <c r="VIA1" s="266"/>
      <c r="VIB1" s="266"/>
      <c r="VIC1" s="266"/>
      <c r="VID1" s="266"/>
      <c r="VIE1" s="266"/>
      <c r="VIF1" s="266"/>
      <c r="VIG1" s="266"/>
      <c r="VIH1" s="266"/>
      <c r="VII1" s="266"/>
      <c r="VIJ1" s="266"/>
      <c r="VIK1" s="266"/>
      <c r="VIL1" s="266"/>
      <c r="VIM1" s="266"/>
      <c r="VIN1" s="266"/>
      <c r="VIO1" s="266"/>
      <c r="VIP1" s="266"/>
      <c r="VIQ1" s="266"/>
      <c r="VIR1" s="266"/>
      <c r="VIS1" s="266"/>
      <c r="VIT1" s="266"/>
      <c r="VIU1" s="266"/>
      <c r="VIV1" s="266"/>
      <c r="VIW1" s="266"/>
      <c r="VIX1" s="266"/>
      <c r="VIY1" s="266"/>
      <c r="VIZ1" s="266"/>
      <c r="VJA1" s="266"/>
      <c r="VJB1" s="266"/>
      <c r="VJC1" s="266"/>
      <c r="VJD1" s="266"/>
      <c r="VJE1" s="266"/>
      <c r="VJF1" s="266"/>
      <c r="VJG1" s="266"/>
      <c r="VJH1" s="266"/>
      <c r="VJI1" s="266"/>
      <c r="VJJ1" s="266"/>
      <c r="VJK1" s="266"/>
      <c r="VJL1" s="266"/>
      <c r="VJM1" s="266"/>
      <c r="VJN1" s="266"/>
      <c r="VJO1" s="266"/>
      <c r="VJP1" s="266"/>
      <c r="VJQ1" s="266"/>
      <c r="VJR1" s="266"/>
      <c r="VJS1" s="266"/>
      <c r="VJT1" s="266"/>
      <c r="VJU1" s="266"/>
      <c r="VJV1" s="266"/>
      <c r="VJW1" s="266"/>
      <c r="VJX1" s="266"/>
      <c r="VJY1" s="266"/>
      <c r="VJZ1" s="266"/>
      <c r="VKA1" s="266"/>
      <c r="VKB1" s="266"/>
      <c r="VKC1" s="266"/>
      <c r="VKD1" s="266"/>
      <c r="VKE1" s="266"/>
      <c r="VKF1" s="266"/>
      <c r="VKG1" s="266"/>
      <c r="VKH1" s="266"/>
      <c r="VKI1" s="266"/>
      <c r="VKJ1" s="266"/>
      <c r="VKK1" s="266"/>
      <c r="VKL1" s="266"/>
      <c r="VKM1" s="266"/>
      <c r="VKN1" s="266"/>
      <c r="VKO1" s="266"/>
      <c r="VKP1" s="266"/>
      <c r="VKQ1" s="266"/>
      <c r="VKR1" s="266"/>
      <c r="VKS1" s="266"/>
      <c r="VKT1" s="266"/>
      <c r="VKU1" s="266"/>
      <c r="VKV1" s="266"/>
      <c r="VKW1" s="266"/>
      <c r="VKX1" s="266"/>
      <c r="VKY1" s="266"/>
      <c r="VKZ1" s="266"/>
      <c r="VLA1" s="266"/>
      <c r="VLB1" s="266"/>
      <c r="VLC1" s="266"/>
      <c r="VLD1" s="266"/>
      <c r="VLE1" s="266"/>
      <c r="VLF1" s="266"/>
      <c r="VLG1" s="266"/>
      <c r="VLH1" s="266"/>
      <c r="VLI1" s="266"/>
      <c r="VLJ1" s="266"/>
      <c r="VLK1" s="266"/>
      <c r="VLL1" s="266"/>
      <c r="VLM1" s="266"/>
      <c r="VLN1" s="266"/>
      <c r="VLO1" s="266"/>
      <c r="VLP1" s="266"/>
      <c r="VLQ1" s="266"/>
      <c r="VLR1" s="266"/>
      <c r="VLS1" s="266"/>
      <c r="VLT1" s="266"/>
      <c r="VLU1" s="266"/>
      <c r="VLV1" s="266"/>
      <c r="VLW1" s="266"/>
      <c r="VLX1" s="266"/>
      <c r="VLY1" s="266"/>
      <c r="VLZ1" s="266"/>
      <c r="VMA1" s="266"/>
      <c r="VMB1" s="266"/>
      <c r="VMC1" s="266"/>
      <c r="VMD1" s="266"/>
      <c r="VME1" s="266"/>
      <c r="VMF1" s="266"/>
      <c r="VMG1" s="266"/>
      <c r="VMH1" s="266"/>
      <c r="VMI1" s="266"/>
      <c r="VMJ1" s="266"/>
      <c r="VMK1" s="266"/>
      <c r="VML1" s="266"/>
      <c r="VMM1" s="266"/>
      <c r="VMN1" s="266"/>
      <c r="VMO1" s="266"/>
      <c r="VMP1" s="266"/>
      <c r="VMQ1" s="266"/>
      <c r="VMR1" s="266"/>
      <c r="VMS1" s="266"/>
      <c r="VMT1" s="266"/>
      <c r="VMU1" s="266"/>
      <c r="VMV1" s="266"/>
      <c r="VMW1" s="266"/>
      <c r="VMX1" s="266"/>
      <c r="VMY1" s="266"/>
      <c r="VMZ1" s="266"/>
      <c r="VNA1" s="266"/>
      <c r="VNB1" s="266"/>
      <c r="VNC1" s="266"/>
      <c r="VND1" s="266"/>
      <c r="VNE1" s="266"/>
      <c r="VNF1" s="266"/>
      <c r="VNG1" s="266"/>
      <c r="VNH1" s="266"/>
      <c r="VNI1" s="266"/>
      <c r="VNJ1" s="266"/>
      <c r="VNK1" s="266"/>
      <c r="VNL1" s="266"/>
      <c r="VNM1" s="266"/>
      <c r="VNN1" s="266"/>
      <c r="VNO1" s="266"/>
      <c r="VNP1" s="266"/>
      <c r="VNQ1" s="266"/>
      <c r="VNR1" s="266"/>
      <c r="VNS1" s="266"/>
      <c r="VNT1" s="266"/>
      <c r="VNU1" s="266"/>
      <c r="VNV1" s="266"/>
      <c r="VNW1" s="266"/>
      <c r="VNX1" s="266"/>
      <c r="VNY1" s="266"/>
      <c r="VNZ1" s="266"/>
      <c r="VOA1" s="266"/>
      <c r="VOB1" s="266"/>
      <c r="VOC1" s="266"/>
      <c r="VOD1" s="266"/>
      <c r="VOE1" s="266"/>
      <c r="VOF1" s="266"/>
      <c r="VOG1" s="266"/>
      <c r="VOH1" s="266"/>
      <c r="VOI1" s="266"/>
      <c r="VOJ1" s="266"/>
      <c r="VOK1" s="266"/>
      <c r="VOL1" s="266"/>
      <c r="VOM1" s="266"/>
      <c r="VON1" s="266"/>
      <c r="VOO1" s="266"/>
      <c r="VOP1" s="266"/>
      <c r="VOQ1" s="266"/>
      <c r="VOR1" s="266"/>
      <c r="VOS1" s="266"/>
      <c r="VOT1" s="266"/>
      <c r="VOU1" s="266"/>
      <c r="VOV1" s="266"/>
      <c r="VOW1" s="266"/>
      <c r="VOX1" s="266"/>
      <c r="VOY1" s="266"/>
      <c r="VOZ1" s="266"/>
      <c r="VPA1" s="266"/>
      <c r="VPB1" s="266"/>
      <c r="VPC1" s="266"/>
      <c r="VPD1" s="266"/>
      <c r="VPE1" s="266"/>
      <c r="VPF1" s="266"/>
      <c r="VPG1" s="266"/>
      <c r="VPH1" s="266"/>
      <c r="VPI1" s="266"/>
      <c r="VPJ1" s="266"/>
      <c r="VPK1" s="266"/>
      <c r="VPL1" s="266"/>
      <c r="VPM1" s="266"/>
      <c r="VPN1" s="266"/>
      <c r="VPO1" s="266"/>
      <c r="VPP1" s="266"/>
      <c r="VPQ1" s="266"/>
      <c r="VPR1" s="266"/>
      <c r="VPS1" s="266"/>
      <c r="VPT1" s="266"/>
      <c r="VPU1" s="266"/>
      <c r="VPV1" s="266"/>
      <c r="VPW1" s="266"/>
      <c r="VPX1" s="266"/>
      <c r="VPY1" s="266"/>
      <c r="VPZ1" s="266"/>
      <c r="VQA1" s="266"/>
      <c r="VQB1" s="266"/>
      <c r="VQC1" s="266"/>
      <c r="VQD1" s="266"/>
      <c r="VQE1" s="266"/>
      <c r="VQF1" s="266"/>
      <c r="VQG1" s="266"/>
      <c r="VQH1" s="266"/>
      <c r="VQI1" s="266"/>
      <c r="VQJ1" s="266"/>
      <c r="VQK1" s="266"/>
      <c r="VQL1" s="266"/>
      <c r="VQM1" s="266"/>
      <c r="VQN1" s="266"/>
      <c r="VQO1" s="266"/>
      <c r="VQP1" s="266"/>
      <c r="VQQ1" s="266"/>
      <c r="VQR1" s="266"/>
      <c r="VQS1" s="266"/>
      <c r="VQT1" s="266"/>
      <c r="VQU1" s="266"/>
      <c r="VQV1" s="266"/>
      <c r="VQW1" s="266"/>
      <c r="VQX1" s="266"/>
      <c r="VQY1" s="266"/>
      <c r="VQZ1" s="266"/>
      <c r="VRA1" s="266"/>
      <c r="VRB1" s="266"/>
      <c r="VRC1" s="266"/>
      <c r="VRD1" s="266"/>
      <c r="VRE1" s="266"/>
      <c r="VRF1" s="266"/>
      <c r="VRG1" s="266"/>
      <c r="VRH1" s="266"/>
      <c r="VRI1" s="266"/>
      <c r="VRJ1" s="266"/>
      <c r="VRK1" s="266"/>
      <c r="VRL1" s="266"/>
      <c r="VRM1" s="266"/>
      <c r="VRN1" s="266"/>
      <c r="VRO1" s="266"/>
      <c r="VRP1" s="266"/>
      <c r="VRQ1" s="266"/>
      <c r="VRR1" s="266"/>
      <c r="VRS1" s="266"/>
      <c r="VRT1" s="266"/>
      <c r="VRU1" s="266"/>
      <c r="VRV1" s="266"/>
      <c r="VRW1" s="266"/>
      <c r="VRX1" s="266"/>
      <c r="VRY1" s="266"/>
      <c r="VRZ1" s="266"/>
      <c r="VSA1" s="266"/>
      <c r="VSB1" s="266"/>
      <c r="VSC1" s="266"/>
      <c r="VSD1" s="266"/>
      <c r="VSE1" s="266"/>
      <c r="VSF1" s="266"/>
      <c r="VSG1" s="266"/>
      <c r="VSH1" s="266"/>
      <c r="VSI1" s="266"/>
      <c r="VSJ1" s="266"/>
      <c r="VSK1" s="266"/>
      <c r="VSL1" s="266"/>
      <c r="VSM1" s="266"/>
      <c r="VSN1" s="266"/>
      <c r="VSO1" s="266"/>
      <c r="VSP1" s="266"/>
      <c r="VSQ1" s="266"/>
      <c r="VSR1" s="266"/>
      <c r="VSS1" s="266"/>
      <c r="VST1" s="266"/>
      <c r="VSU1" s="266"/>
      <c r="VSV1" s="266"/>
      <c r="VSW1" s="266"/>
      <c r="VSX1" s="266"/>
      <c r="VSY1" s="266"/>
      <c r="VSZ1" s="266"/>
      <c r="VTA1" s="266"/>
      <c r="VTB1" s="266"/>
      <c r="VTC1" s="266"/>
      <c r="VTD1" s="266"/>
      <c r="VTE1" s="266"/>
      <c r="VTF1" s="266"/>
      <c r="VTG1" s="266"/>
      <c r="VTH1" s="266"/>
      <c r="VTI1" s="266"/>
      <c r="VTJ1" s="266"/>
      <c r="VTK1" s="266"/>
      <c r="VTL1" s="266"/>
      <c r="VTM1" s="266"/>
      <c r="VTN1" s="266"/>
      <c r="VTO1" s="266"/>
      <c r="VTP1" s="266"/>
      <c r="VTQ1" s="266"/>
      <c r="VTR1" s="266"/>
      <c r="VTS1" s="266"/>
      <c r="VTT1" s="266"/>
      <c r="VTU1" s="266"/>
      <c r="VTV1" s="266"/>
      <c r="VTW1" s="266"/>
      <c r="VTX1" s="266"/>
      <c r="VTY1" s="266"/>
      <c r="VTZ1" s="266"/>
      <c r="VUA1" s="266"/>
      <c r="VUB1" s="266"/>
      <c r="VUC1" s="266"/>
      <c r="VUD1" s="266"/>
      <c r="VUE1" s="266"/>
      <c r="VUF1" s="266"/>
      <c r="VUG1" s="266"/>
      <c r="VUH1" s="266"/>
      <c r="VUI1" s="266"/>
      <c r="VUJ1" s="266"/>
      <c r="VUK1" s="266"/>
      <c r="VUL1" s="266"/>
      <c r="VUM1" s="266"/>
      <c r="VUN1" s="266"/>
      <c r="VUO1" s="266"/>
      <c r="VUP1" s="266"/>
      <c r="VUQ1" s="266"/>
      <c r="VUR1" s="266"/>
      <c r="VUS1" s="266"/>
      <c r="VUT1" s="266"/>
      <c r="VUU1" s="266"/>
      <c r="VUV1" s="266"/>
      <c r="VUW1" s="266"/>
      <c r="VUX1" s="266"/>
      <c r="VUY1" s="266"/>
      <c r="VUZ1" s="266"/>
      <c r="VVA1" s="266"/>
      <c r="VVB1" s="266"/>
      <c r="VVC1" s="266"/>
      <c r="VVD1" s="266"/>
      <c r="VVE1" s="266"/>
      <c r="VVF1" s="266"/>
      <c r="VVG1" s="266"/>
      <c r="VVH1" s="266"/>
      <c r="VVI1" s="266"/>
      <c r="VVJ1" s="266"/>
      <c r="VVK1" s="266"/>
      <c r="VVL1" s="266"/>
      <c r="VVM1" s="266"/>
      <c r="VVN1" s="266"/>
      <c r="VVO1" s="266"/>
      <c r="VVP1" s="266"/>
      <c r="VVQ1" s="266"/>
      <c r="VVR1" s="266"/>
      <c r="VVS1" s="266"/>
      <c r="VVT1" s="266"/>
      <c r="VVU1" s="266"/>
      <c r="VVV1" s="266"/>
      <c r="VVW1" s="266"/>
      <c r="VVX1" s="266"/>
      <c r="VVY1" s="266"/>
      <c r="VVZ1" s="266"/>
      <c r="VWA1" s="266"/>
      <c r="VWB1" s="266"/>
      <c r="VWC1" s="266"/>
      <c r="VWD1" s="266"/>
      <c r="VWE1" s="266"/>
      <c r="VWF1" s="266"/>
      <c r="VWG1" s="266"/>
      <c r="VWH1" s="266"/>
      <c r="VWI1" s="266"/>
      <c r="VWJ1" s="266"/>
      <c r="VWK1" s="266"/>
      <c r="VWL1" s="266"/>
      <c r="VWM1" s="266"/>
      <c r="VWN1" s="266"/>
      <c r="VWO1" s="266"/>
      <c r="VWP1" s="266"/>
      <c r="VWQ1" s="266"/>
      <c r="VWR1" s="266"/>
      <c r="VWS1" s="266"/>
      <c r="VWT1" s="266"/>
      <c r="VWU1" s="266"/>
      <c r="VWV1" s="266"/>
      <c r="VWW1" s="266"/>
      <c r="VWX1" s="266"/>
      <c r="VWY1" s="266"/>
      <c r="VWZ1" s="266"/>
      <c r="VXA1" s="266"/>
      <c r="VXB1" s="266"/>
      <c r="VXC1" s="266"/>
      <c r="VXD1" s="266"/>
      <c r="VXE1" s="266"/>
      <c r="VXF1" s="266"/>
      <c r="VXG1" s="266"/>
      <c r="VXH1" s="266"/>
      <c r="VXI1" s="266"/>
      <c r="VXJ1" s="266"/>
      <c r="VXK1" s="266"/>
      <c r="VXL1" s="266"/>
      <c r="VXM1" s="266"/>
      <c r="VXN1" s="266"/>
      <c r="VXO1" s="266"/>
      <c r="VXP1" s="266"/>
      <c r="VXQ1" s="266"/>
      <c r="VXR1" s="266"/>
      <c r="VXS1" s="266"/>
      <c r="VXT1" s="266"/>
      <c r="VXU1" s="266"/>
      <c r="VXV1" s="266"/>
      <c r="VXW1" s="266"/>
      <c r="VXX1" s="266"/>
      <c r="VXY1" s="266"/>
      <c r="VXZ1" s="266"/>
      <c r="VYA1" s="266"/>
      <c r="VYB1" s="266"/>
      <c r="VYC1" s="266"/>
      <c r="VYD1" s="266"/>
      <c r="VYE1" s="266"/>
      <c r="VYF1" s="266"/>
      <c r="VYG1" s="266"/>
      <c r="VYH1" s="266"/>
      <c r="VYI1" s="266"/>
      <c r="VYJ1" s="266"/>
      <c r="VYK1" s="266"/>
      <c r="VYL1" s="266"/>
      <c r="VYM1" s="266"/>
      <c r="VYN1" s="266"/>
      <c r="VYO1" s="266"/>
      <c r="VYP1" s="266"/>
      <c r="VYQ1" s="266"/>
      <c r="VYR1" s="266"/>
      <c r="VYS1" s="266"/>
      <c r="VYT1" s="266"/>
      <c r="VYU1" s="266"/>
      <c r="VYV1" s="266"/>
      <c r="VYW1" s="266"/>
      <c r="VYX1" s="266"/>
      <c r="VYY1" s="266"/>
      <c r="VYZ1" s="266"/>
      <c r="VZA1" s="266"/>
      <c r="VZB1" s="266"/>
      <c r="VZC1" s="266"/>
      <c r="VZD1" s="266"/>
      <c r="VZE1" s="266"/>
      <c r="VZF1" s="266"/>
      <c r="VZG1" s="266"/>
      <c r="VZH1" s="266"/>
      <c r="VZI1" s="266"/>
      <c r="VZJ1" s="266"/>
      <c r="VZK1" s="266"/>
      <c r="VZL1" s="266"/>
      <c r="VZM1" s="266"/>
      <c r="VZN1" s="266"/>
      <c r="VZO1" s="266"/>
      <c r="VZP1" s="266"/>
      <c r="VZQ1" s="266"/>
      <c r="VZR1" s="266"/>
      <c r="VZS1" s="266"/>
      <c r="VZT1" s="266"/>
      <c r="VZU1" s="266"/>
      <c r="VZV1" s="266"/>
      <c r="VZW1" s="266"/>
      <c r="VZX1" s="266"/>
      <c r="VZY1" s="266"/>
      <c r="VZZ1" s="266"/>
      <c r="WAA1" s="266"/>
      <c r="WAB1" s="266"/>
      <c r="WAC1" s="266"/>
      <c r="WAD1" s="266"/>
      <c r="WAE1" s="266"/>
      <c r="WAF1" s="266"/>
      <c r="WAG1" s="266"/>
      <c r="WAH1" s="266"/>
      <c r="WAI1" s="266"/>
      <c r="WAJ1" s="266"/>
      <c r="WAK1" s="266"/>
      <c r="WAL1" s="266"/>
      <c r="WAM1" s="266"/>
      <c r="WAN1" s="266"/>
      <c r="WAO1" s="266"/>
      <c r="WAP1" s="266"/>
      <c r="WAQ1" s="266"/>
      <c r="WAR1" s="266"/>
      <c r="WAS1" s="266"/>
      <c r="WAT1" s="266"/>
      <c r="WAU1" s="266"/>
      <c r="WAV1" s="266"/>
      <c r="WAW1" s="266"/>
      <c r="WAX1" s="266"/>
      <c r="WAY1" s="266"/>
      <c r="WAZ1" s="266"/>
      <c r="WBA1" s="266"/>
      <c r="WBB1" s="266"/>
      <c r="WBC1" s="266"/>
      <c r="WBD1" s="266"/>
      <c r="WBE1" s="266"/>
      <c r="WBF1" s="266"/>
      <c r="WBG1" s="266"/>
      <c r="WBH1" s="266"/>
      <c r="WBI1" s="266"/>
      <c r="WBJ1" s="266"/>
      <c r="WBK1" s="266"/>
      <c r="WBL1" s="266"/>
      <c r="WBM1" s="266"/>
      <c r="WBN1" s="266"/>
      <c r="WBO1" s="266"/>
      <c r="WBP1" s="266"/>
      <c r="WBQ1" s="266"/>
      <c r="WBR1" s="266"/>
      <c r="WBS1" s="266"/>
      <c r="WBT1" s="266"/>
      <c r="WBU1" s="266"/>
      <c r="WBV1" s="266"/>
      <c r="WBW1" s="266"/>
      <c r="WBX1" s="266"/>
      <c r="WBY1" s="266"/>
      <c r="WBZ1" s="266"/>
      <c r="WCA1" s="266"/>
      <c r="WCB1" s="266"/>
      <c r="WCC1" s="266"/>
      <c r="WCD1" s="266"/>
      <c r="WCE1" s="266"/>
      <c r="WCF1" s="266"/>
      <c r="WCG1" s="266"/>
      <c r="WCH1" s="266"/>
      <c r="WCI1" s="266"/>
      <c r="WCJ1" s="266"/>
      <c r="WCK1" s="266"/>
      <c r="WCL1" s="266"/>
      <c r="WCM1" s="266"/>
      <c r="WCN1" s="266"/>
      <c r="WCO1" s="266"/>
      <c r="WCP1" s="266"/>
      <c r="WCQ1" s="266"/>
      <c r="WCR1" s="266"/>
      <c r="WCS1" s="266"/>
      <c r="WCT1" s="266"/>
      <c r="WCU1" s="266"/>
      <c r="WCV1" s="266"/>
      <c r="WCW1" s="266"/>
      <c r="WCX1" s="266"/>
      <c r="WCY1" s="266"/>
      <c r="WCZ1" s="266"/>
      <c r="WDA1" s="266"/>
      <c r="WDB1" s="266"/>
      <c r="WDC1" s="266"/>
      <c r="WDD1" s="266"/>
      <c r="WDE1" s="266"/>
      <c r="WDF1" s="266"/>
      <c r="WDG1" s="266"/>
      <c r="WDH1" s="266"/>
      <c r="WDI1" s="266"/>
      <c r="WDJ1" s="266"/>
      <c r="WDK1" s="266"/>
      <c r="WDL1" s="266"/>
      <c r="WDM1" s="266"/>
      <c r="WDN1" s="266"/>
      <c r="WDO1" s="266"/>
      <c r="WDP1" s="266"/>
      <c r="WDQ1" s="266"/>
      <c r="WDR1" s="266"/>
      <c r="WDS1" s="266"/>
      <c r="WDT1" s="266"/>
      <c r="WDU1" s="266"/>
      <c r="WDV1" s="266"/>
      <c r="WDW1" s="266"/>
      <c r="WDX1" s="266"/>
      <c r="WDY1" s="266"/>
      <c r="WDZ1" s="266"/>
      <c r="WEA1" s="266"/>
      <c r="WEB1" s="266"/>
      <c r="WEC1" s="266"/>
      <c r="WED1" s="266"/>
      <c r="WEE1" s="266"/>
      <c r="WEF1" s="266"/>
      <c r="WEG1" s="266"/>
      <c r="WEH1" s="266"/>
      <c r="WEI1" s="266"/>
      <c r="WEJ1" s="266"/>
      <c r="WEK1" s="266"/>
      <c r="WEL1" s="266"/>
      <c r="WEM1" s="266"/>
      <c r="WEN1" s="266"/>
      <c r="WEO1" s="266"/>
      <c r="WEP1" s="266"/>
      <c r="WEQ1" s="266"/>
      <c r="WER1" s="266"/>
      <c r="WES1" s="266"/>
      <c r="WET1" s="266"/>
      <c r="WEU1" s="266"/>
      <c r="WEV1" s="266"/>
      <c r="WEW1" s="266"/>
      <c r="WEX1" s="266"/>
      <c r="WEY1" s="266"/>
      <c r="WEZ1" s="266"/>
      <c r="WFA1" s="266"/>
      <c r="WFB1" s="266"/>
      <c r="WFC1" s="266"/>
      <c r="WFD1" s="266"/>
      <c r="WFE1" s="266"/>
      <c r="WFF1" s="266"/>
      <c r="WFG1" s="266"/>
      <c r="WFH1" s="266"/>
      <c r="WFI1" s="266"/>
      <c r="WFJ1" s="266"/>
      <c r="WFK1" s="266"/>
      <c r="WFL1" s="266"/>
      <c r="WFM1" s="266"/>
      <c r="WFN1" s="266"/>
      <c r="WFO1" s="266"/>
      <c r="WFP1" s="266"/>
      <c r="WFQ1" s="266"/>
      <c r="WFR1" s="266"/>
      <c r="WFS1" s="266"/>
      <c r="WFT1" s="266"/>
      <c r="WFU1" s="266"/>
      <c r="WFV1" s="266"/>
      <c r="WFW1" s="266"/>
      <c r="WFX1" s="266"/>
      <c r="WFY1" s="266"/>
      <c r="WFZ1" s="266"/>
      <c r="WGA1" s="266"/>
      <c r="WGB1" s="266"/>
      <c r="WGC1" s="266"/>
      <c r="WGD1" s="266"/>
      <c r="WGE1" s="266"/>
      <c r="WGF1" s="266"/>
      <c r="WGG1" s="266"/>
      <c r="WGH1" s="266"/>
      <c r="WGI1" s="266"/>
      <c r="WGJ1" s="266"/>
      <c r="WGK1" s="266"/>
      <c r="WGL1" s="266"/>
      <c r="WGM1" s="266"/>
      <c r="WGN1" s="266"/>
      <c r="WGO1" s="266"/>
      <c r="WGP1" s="266"/>
      <c r="WGQ1" s="266"/>
      <c r="WGR1" s="266"/>
      <c r="WGS1" s="266"/>
      <c r="WGT1" s="266"/>
      <c r="WGU1" s="266"/>
      <c r="WGV1" s="266"/>
      <c r="WGW1" s="266"/>
      <c r="WGX1" s="266"/>
      <c r="WGY1" s="266"/>
      <c r="WGZ1" s="266"/>
      <c r="WHA1" s="266"/>
      <c r="WHB1" s="266"/>
      <c r="WHC1" s="266"/>
      <c r="WHD1" s="266"/>
      <c r="WHE1" s="266"/>
      <c r="WHF1" s="266"/>
      <c r="WHG1" s="266"/>
      <c r="WHH1" s="266"/>
      <c r="WHI1" s="266"/>
      <c r="WHJ1" s="266"/>
      <c r="WHK1" s="266"/>
      <c r="WHL1" s="266"/>
      <c r="WHM1" s="266"/>
      <c r="WHN1" s="266"/>
      <c r="WHO1" s="266"/>
      <c r="WHP1" s="266"/>
      <c r="WHQ1" s="266"/>
      <c r="WHR1" s="266"/>
      <c r="WHS1" s="266"/>
      <c r="WHT1" s="266"/>
      <c r="WHU1" s="266"/>
      <c r="WHV1" s="266"/>
      <c r="WHW1" s="266"/>
      <c r="WHX1" s="266"/>
      <c r="WHY1" s="266"/>
      <c r="WHZ1" s="266"/>
      <c r="WIA1" s="266"/>
      <c r="WIB1" s="266"/>
      <c r="WIC1" s="266"/>
      <c r="WID1" s="266"/>
      <c r="WIE1" s="266"/>
      <c r="WIF1" s="266"/>
      <c r="WIG1" s="266"/>
      <c r="WIH1" s="266"/>
      <c r="WII1" s="266"/>
      <c r="WIJ1" s="266"/>
      <c r="WIK1" s="266"/>
      <c r="WIL1" s="266"/>
      <c r="WIM1" s="266"/>
      <c r="WIN1" s="266"/>
      <c r="WIO1" s="266"/>
      <c r="WIP1" s="266"/>
      <c r="WIQ1" s="266"/>
      <c r="WIR1" s="266"/>
      <c r="WIS1" s="266"/>
      <c r="WIT1" s="266"/>
      <c r="WIU1" s="266"/>
      <c r="WIV1" s="266"/>
      <c r="WIW1" s="266"/>
      <c r="WIX1" s="266"/>
      <c r="WIY1" s="266"/>
      <c r="WIZ1" s="266"/>
      <c r="WJA1" s="266"/>
      <c r="WJB1" s="266"/>
      <c r="WJC1" s="266"/>
      <c r="WJD1" s="266"/>
      <c r="WJE1" s="266"/>
      <c r="WJF1" s="266"/>
      <c r="WJG1" s="266"/>
      <c r="WJH1" s="266"/>
      <c r="WJI1" s="266"/>
      <c r="WJJ1" s="266"/>
      <c r="WJK1" s="266"/>
      <c r="WJL1" s="266"/>
      <c r="WJM1" s="266"/>
      <c r="WJN1" s="266"/>
      <c r="WJO1" s="266"/>
      <c r="WJP1" s="266"/>
      <c r="WJQ1" s="266"/>
      <c r="WJR1" s="266"/>
      <c r="WJS1" s="266"/>
      <c r="WJT1" s="266"/>
      <c r="WJU1" s="266"/>
      <c r="WJV1" s="266"/>
      <c r="WJW1" s="266"/>
      <c r="WJX1" s="266"/>
      <c r="WJY1" s="266"/>
      <c r="WJZ1" s="266"/>
      <c r="WKA1" s="266"/>
      <c r="WKB1" s="266"/>
      <c r="WKC1" s="266"/>
      <c r="WKD1" s="266"/>
      <c r="WKE1" s="266"/>
      <c r="WKF1" s="266"/>
      <c r="WKG1" s="266"/>
      <c r="WKH1" s="266"/>
      <c r="WKI1" s="266"/>
      <c r="WKJ1" s="266"/>
      <c r="WKK1" s="266"/>
      <c r="WKL1" s="266"/>
      <c r="WKM1" s="266"/>
      <c r="WKN1" s="266"/>
      <c r="WKO1" s="266"/>
      <c r="WKP1" s="266"/>
      <c r="WKQ1" s="266"/>
      <c r="WKR1" s="266"/>
      <c r="WKS1" s="266"/>
      <c r="WKT1" s="266"/>
      <c r="WKU1" s="266"/>
      <c r="WKV1" s="266"/>
      <c r="WKW1" s="266"/>
      <c r="WKX1" s="266"/>
      <c r="WKY1" s="266"/>
      <c r="WKZ1" s="266"/>
      <c r="WLA1" s="266"/>
      <c r="WLB1" s="266"/>
      <c r="WLC1" s="266"/>
      <c r="WLD1" s="266"/>
      <c r="WLE1" s="266"/>
      <c r="WLF1" s="266"/>
      <c r="WLG1" s="266"/>
      <c r="WLH1" s="266"/>
      <c r="WLI1" s="266"/>
      <c r="WLJ1" s="266"/>
      <c r="WLK1" s="266"/>
      <c r="WLL1" s="266"/>
      <c r="WLM1" s="266"/>
      <c r="WLN1" s="266"/>
      <c r="WLO1" s="266"/>
      <c r="WLP1" s="266"/>
      <c r="WLQ1" s="266"/>
      <c r="WLR1" s="266"/>
      <c r="WLS1" s="266"/>
      <c r="WLT1" s="266"/>
      <c r="WLU1" s="266"/>
      <c r="WLV1" s="266"/>
      <c r="WLW1" s="266"/>
      <c r="WLX1" s="266"/>
      <c r="WLY1" s="266"/>
      <c r="WLZ1" s="266"/>
      <c r="WMA1" s="266"/>
      <c r="WMB1" s="266"/>
      <c r="WMC1" s="266"/>
      <c r="WMD1" s="266"/>
      <c r="WME1" s="266"/>
      <c r="WMF1" s="266"/>
      <c r="WMG1" s="266"/>
      <c r="WMH1" s="266"/>
      <c r="WMI1" s="266"/>
      <c r="WMJ1" s="266"/>
      <c r="WMK1" s="266"/>
      <c r="WML1" s="266"/>
      <c r="WMM1" s="266"/>
      <c r="WMN1" s="266"/>
      <c r="WMO1" s="266"/>
      <c r="WMP1" s="266"/>
      <c r="WMQ1" s="266"/>
      <c r="WMR1" s="266"/>
      <c r="WMS1" s="266"/>
      <c r="WMT1" s="266"/>
      <c r="WMU1" s="266"/>
      <c r="WMV1" s="266"/>
      <c r="WMW1" s="266"/>
      <c r="WMX1" s="266"/>
      <c r="WMY1" s="266"/>
      <c r="WMZ1" s="266"/>
      <c r="WNA1" s="266"/>
      <c r="WNB1" s="266"/>
      <c r="WNC1" s="266"/>
      <c r="WND1" s="266"/>
      <c r="WNE1" s="266"/>
      <c r="WNF1" s="266"/>
      <c r="WNG1" s="266"/>
      <c r="WNH1" s="266"/>
      <c r="WNI1" s="266"/>
      <c r="WNJ1" s="266"/>
      <c r="WNK1" s="266"/>
      <c r="WNL1" s="266"/>
      <c r="WNM1" s="266"/>
      <c r="WNN1" s="266"/>
      <c r="WNO1" s="266"/>
      <c r="WNP1" s="266"/>
      <c r="WNQ1" s="266"/>
      <c r="WNR1" s="266"/>
      <c r="WNS1" s="266"/>
      <c r="WNT1" s="266"/>
      <c r="WNU1" s="266"/>
      <c r="WNV1" s="266"/>
      <c r="WNW1" s="266"/>
      <c r="WNX1" s="266"/>
      <c r="WNY1" s="266"/>
      <c r="WNZ1" s="266"/>
      <c r="WOA1" s="266"/>
      <c r="WOB1" s="266"/>
      <c r="WOC1" s="266"/>
      <c r="WOD1" s="266"/>
      <c r="WOE1" s="266"/>
      <c r="WOF1" s="266"/>
      <c r="WOG1" s="266"/>
      <c r="WOH1" s="266"/>
      <c r="WOI1" s="266"/>
      <c r="WOJ1" s="266"/>
      <c r="WOK1" s="266"/>
      <c r="WOL1" s="266"/>
      <c r="WOM1" s="266"/>
      <c r="WON1" s="266"/>
      <c r="WOO1" s="266"/>
      <c r="WOP1" s="266"/>
      <c r="WOQ1" s="266"/>
      <c r="WOR1" s="266"/>
      <c r="WOS1" s="266"/>
      <c r="WOT1" s="266"/>
      <c r="WOU1" s="266"/>
      <c r="WOV1" s="266"/>
      <c r="WOW1" s="266"/>
      <c r="WOX1" s="266"/>
      <c r="WOY1" s="266"/>
      <c r="WOZ1" s="266"/>
      <c r="WPA1" s="266"/>
      <c r="WPB1" s="266"/>
      <c r="WPC1" s="266"/>
      <c r="WPD1" s="266"/>
      <c r="WPE1" s="266"/>
      <c r="WPF1" s="266"/>
      <c r="WPG1" s="266"/>
      <c r="WPH1" s="266"/>
      <c r="WPI1" s="266"/>
      <c r="WPJ1" s="266"/>
      <c r="WPK1" s="266"/>
      <c r="WPL1" s="266"/>
      <c r="WPM1" s="266"/>
      <c r="WPN1" s="266"/>
      <c r="WPO1" s="266"/>
      <c r="WPP1" s="266"/>
      <c r="WPQ1" s="266"/>
      <c r="WPR1" s="266"/>
      <c r="WPS1" s="266"/>
      <c r="WPT1" s="266"/>
      <c r="WPU1" s="266"/>
      <c r="WPV1" s="266"/>
      <c r="WPW1" s="266"/>
      <c r="WPX1" s="266"/>
      <c r="WPY1" s="266"/>
      <c r="WPZ1" s="266"/>
      <c r="WQA1" s="266"/>
      <c r="WQB1" s="266"/>
      <c r="WQC1" s="266"/>
      <c r="WQD1" s="266"/>
      <c r="WQE1" s="266"/>
      <c r="WQF1" s="266"/>
      <c r="WQG1" s="266"/>
      <c r="WQH1" s="266"/>
      <c r="WQI1" s="266"/>
      <c r="WQJ1" s="266"/>
      <c r="WQK1" s="266"/>
      <c r="WQL1" s="266"/>
      <c r="WQM1" s="266"/>
      <c r="WQN1" s="266"/>
      <c r="WQO1" s="266"/>
      <c r="WQP1" s="266"/>
      <c r="WQQ1" s="266"/>
      <c r="WQR1" s="266"/>
      <c r="WQS1" s="266"/>
      <c r="WQT1" s="266"/>
      <c r="WQU1" s="266"/>
      <c r="WQV1" s="266"/>
      <c r="WQW1" s="266"/>
      <c r="WQX1" s="266"/>
      <c r="WQY1" s="266"/>
      <c r="WQZ1" s="266"/>
      <c r="WRA1" s="266"/>
      <c r="WRB1" s="266"/>
      <c r="WRC1" s="266"/>
      <c r="WRD1" s="266"/>
      <c r="WRE1" s="266"/>
      <c r="WRF1" s="266"/>
      <c r="WRG1" s="266"/>
      <c r="WRH1" s="266"/>
      <c r="WRI1" s="266"/>
      <c r="WRJ1" s="266"/>
      <c r="WRK1" s="266"/>
      <c r="WRL1" s="266"/>
      <c r="WRM1" s="266"/>
      <c r="WRN1" s="266"/>
      <c r="WRO1" s="266"/>
      <c r="WRP1" s="266"/>
      <c r="WRQ1" s="266"/>
      <c r="WRR1" s="266"/>
      <c r="WRS1" s="266"/>
      <c r="WRT1" s="266"/>
      <c r="WRU1" s="266"/>
      <c r="WRV1" s="266"/>
      <c r="WRW1" s="266"/>
      <c r="WRX1" s="266"/>
      <c r="WRY1" s="266"/>
      <c r="WRZ1" s="266"/>
      <c r="WSA1" s="266"/>
      <c r="WSB1" s="266"/>
      <c r="WSC1" s="266"/>
      <c r="WSD1" s="266"/>
      <c r="WSE1" s="266"/>
      <c r="WSF1" s="266"/>
      <c r="WSG1" s="266"/>
      <c r="WSH1" s="266"/>
      <c r="WSI1" s="266"/>
      <c r="WSJ1" s="266"/>
      <c r="WSK1" s="266"/>
      <c r="WSL1" s="266"/>
      <c r="WSM1" s="266"/>
      <c r="WSN1" s="266"/>
      <c r="WSO1" s="266"/>
      <c r="WSP1" s="266"/>
      <c r="WSQ1" s="266"/>
      <c r="WSR1" s="266"/>
      <c r="WSS1" s="266"/>
      <c r="WST1" s="266"/>
      <c r="WSU1" s="266"/>
      <c r="WSV1" s="266"/>
      <c r="WSW1" s="266"/>
      <c r="WSX1" s="266"/>
      <c r="WSY1" s="266"/>
      <c r="WSZ1" s="266"/>
      <c r="WTA1" s="266"/>
      <c r="WTB1" s="266"/>
      <c r="WTC1" s="266"/>
      <c r="WTD1" s="266"/>
      <c r="WTE1" s="266"/>
      <c r="WTF1" s="266"/>
      <c r="WTG1" s="266"/>
      <c r="WTH1" s="266"/>
      <c r="WTI1" s="266"/>
      <c r="WTJ1" s="266"/>
      <c r="WTK1" s="266"/>
      <c r="WTL1" s="266"/>
      <c r="WTM1" s="266"/>
      <c r="WTN1" s="266"/>
      <c r="WTO1" s="266"/>
      <c r="WTP1" s="266"/>
      <c r="WTQ1" s="266"/>
      <c r="WTR1" s="266"/>
      <c r="WTS1" s="266"/>
      <c r="WTT1" s="266"/>
      <c r="WTU1" s="266"/>
      <c r="WTV1" s="266"/>
      <c r="WTW1" s="266"/>
      <c r="WTX1" s="266"/>
      <c r="WTY1" s="266"/>
      <c r="WTZ1" s="266"/>
      <c r="WUA1" s="266"/>
      <c r="WUB1" s="266"/>
      <c r="WUC1" s="266"/>
      <c r="WUD1" s="266"/>
      <c r="WUE1" s="266"/>
      <c r="WUF1" s="266"/>
      <c r="WUG1" s="266"/>
      <c r="WUH1" s="266"/>
      <c r="WUI1" s="266"/>
      <c r="WUJ1" s="266"/>
      <c r="WUK1" s="266"/>
      <c r="WUL1" s="266"/>
      <c r="WUM1" s="266"/>
      <c r="WUN1" s="266"/>
      <c r="WUO1" s="266"/>
      <c r="WUP1" s="266"/>
      <c r="WUQ1" s="266"/>
      <c r="WUR1" s="266"/>
      <c r="WUS1" s="266"/>
      <c r="WUT1" s="266"/>
      <c r="WUU1" s="266"/>
      <c r="WUV1" s="266"/>
      <c r="WUW1" s="266"/>
      <c r="WUX1" s="266"/>
      <c r="WUY1" s="266"/>
      <c r="WUZ1" s="266"/>
      <c r="WVA1" s="266"/>
      <c r="WVB1" s="266"/>
      <c r="WVC1" s="266"/>
      <c r="WVD1" s="266"/>
      <c r="WVE1" s="266"/>
      <c r="WVF1" s="266"/>
      <c r="WVG1" s="266"/>
      <c r="WVH1" s="266"/>
      <c r="WVI1" s="266"/>
      <c r="WVJ1" s="266"/>
      <c r="WVK1" s="266"/>
      <c r="WVL1" s="266"/>
      <c r="WVM1" s="266"/>
      <c r="WVN1" s="266"/>
      <c r="WVO1" s="266"/>
      <c r="WVP1" s="266"/>
      <c r="WVQ1" s="266"/>
      <c r="WVR1" s="266"/>
      <c r="WVS1" s="266"/>
      <c r="WVT1" s="266"/>
      <c r="WVU1" s="266"/>
      <c r="WVV1" s="266"/>
      <c r="WVW1" s="266"/>
      <c r="WVX1" s="266"/>
      <c r="WVY1" s="266"/>
      <c r="WVZ1" s="266"/>
      <c r="WWA1" s="266"/>
      <c r="WWB1" s="266"/>
      <c r="WWC1" s="266"/>
      <c r="WWD1" s="266"/>
      <c r="WWE1" s="266"/>
      <c r="WWF1" s="266"/>
      <c r="WWG1" s="266"/>
      <c r="WWH1" s="266"/>
      <c r="WWI1" s="266"/>
      <c r="WWJ1" s="266"/>
      <c r="WWK1" s="266"/>
      <c r="WWL1" s="266"/>
      <c r="WWM1" s="266"/>
      <c r="WWN1" s="266"/>
      <c r="WWO1" s="266"/>
      <c r="WWP1" s="266"/>
      <c r="WWQ1" s="266"/>
      <c r="WWR1" s="266"/>
      <c r="WWS1" s="266"/>
      <c r="WWT1" s="266"/>
      <c r="WWU1" s="266"/>
      <c r="WWV1" s="266"/>
      <c r="WWW1" s="266"/>
      <c r="WWX1" s="266"/>
      <c r="WWY1" s="266"/>
      <c r="WWZ1" s="266"/>
      <c r="WXA1" s="266"/>
      <c r="WXB1" s="266"/>
      <c r="WXC1" s="266"/>
      <c r="WXD1" s="266"/>
      <c r="WXE1" s="266"/>
      <c r="WXF1" s="266"/>
      <c r="WXG1" s="266"/>
      <c r="WXH1" s="266"/>
      <c r="WXI1" s="266"/>
      <c r="WXJ1" s="266"/>
      <c r="WXK1" s="266"/>
      <c r="WXL1" s="266"/>
      <c r="WXM1" s="266"/>
      <c r="WXN1" s="266"/>
      <c r="WXO1" s="266"/>
      <c r="WXP1" s="266"/>
      <c r="WXQ1" s="266"/>
      <c r="WXR1" s="266"/>
      <c r="WXS1" s="266"/>
      <c r="WXT1" s="266"/>
      <c r="WXU1" s="266"/>
      <c r="WXV1" s="266"/>
      <c r="WXW1" s="266"/>
      <c r="WXX1" s="266"/>
      <c r="WXY1" s="266"/>
      <c r="WXZ1" s="266"/>
      <c r="WYA1" s="266"/>
      <c r="WYB1" s="266"/>
      <c r="WYC1" s="266"/>
      <c r="WYD1" s="266"/>
      <c r="WYE1" s="266"/>
      <c r="WYF1" s="266"/>
      <c r="WYG1" s="266"/>
      <c r="WYH1" s="266"/>
      <c r="WYI1" s="266"/>
      <c r="WYJ1" s="266"/>
      <c r="WYK1" s="266"/>
      <c r="WYL1" s="266"/>
      <c r="WYM1" s="266"/>
      <c r="WYN1" s="266"/>
      <c r="WYO1" s="266"/>
      <c r="WYP1" s="266"/>
      <c r="WYQ1" s="266"/>
      <c r="WYR1" s="266"/>
      <c r="WYS1" s="266"/>
      <c r="WYT1" s="266"/>
      <c r="WYU1" s="266"/>
      <c r="WYV1" s="266"/>
      <c r="WYW1" s="266"/>
      <c r="WYX1" s="266"/>
      <c r="WYY1" s="266"/>
      <c r="WYZ1" s="266"/>
      <c r="WZA1" s="266"/>
      <c r="WZB1" s="266"/>
      <c r="WZC1" s="266"/>
      <c r="WZD1" s="266"/>
      <c r="WZE1" s="266"/>
      <c r="WZF1" s="266"/>
      <c r="WZG1" s="266"/>
      <c r="WZH1" s="266"/>
      <c r="WZI1" s="266"/>
      <c r="WZJ1" s="266"/>
      <c r="WZK1" s="266"/>
      <c r="WZL1" s="266"/>
      <c r="WZM1" s="266"/>
      <c r="WZN1" s="266"/>
      <c r="WZO1" s="266"/>
      <c r="WZP1" s="266"/>
      <c r="WZQ1" s="266"/>
      <c r="WZR1" s="266"/>
      <c r="WZS1" s="266"/>
      <c r="WZT1" s="266"/>
      <c r="WZU1" s="266"/>
      <c r="WZV1" s="266"/>
      <c r="WZW1" s="266"/>
      <c r="WZX1" s="266"/>
      <c r="WZY1" s="266"/>
      <c r="WZZ1" s="266"/>
      <c r="XAA1" s="266"/>
      <c r="XAB1" s="266"/>
      <c r="XAC1" s="266"/>
      <c r="XAD1" s="266"/>
      <c r="XAE1" s="266"/>
      <c r="XAF1" s="266"/>
      <c r="XAG1" s="266"/>
      <c r="XAH1" s="266"/>
      <c r="XAI1" s="266"/>
      <c r="XAJ1" s="266"/>
      <c r="XAK1" s="266"/>
      <c r="XAL1" s="266"/>
      <c r="XAM1" s="266"/>
      <c r="XAN1" s="266"/>
      <c r="XAO1" s="266"/>
      <c r="XAP1" s="266"/>
      <c r="XAQ1" s="266"/>
      <c r="XAR1" s="266"/>
      <c r="XAS1" s="266"/>
      <c r="XAT1" s="266"/>
      <c r="XAU1" s="266"/>
      <c r="XAV1" s="266"/>
      <c r="XAW1" s="266"/>
      <c r="XAX1" s="266"/>
      <c r="XAY1" s="266"/>
      <c r="XAZ1" s="266"/>
      <c r="XBA1" s="266"/>
      <c r="XBB1" s="266"/>
      <c r="XBC1" s="266"/>
      <c r="XBD1" s="266"/>
      <c r="XBE1" s="266"/>
      <c r="XBF1" s="266"/>
      <c r="XBG1" s="266"/>
      <c r="XBH1" s="266"/>
      <c r="XBI1" s="266"/>
      <c r="XBJ1" s="266"/>
      <c r="XBK1" s="266"/>
      <c r="XBL1" s="266"/>
      <c r="XBM1" s="266"/>
      <c r="XBN1" s="266"/>
      <c r="XBO1" s="266"/>
      <c r="XBP1" s="266"/>
      <c r="XBQ1" s="266"/>
      <c r="XBR1" s="266"/>
      <c r="XBS1" s="266"/>
      <c r="XBT1" s="266"/>
      <c r="XBU1" s="266"/>
      <c r="XBV1" s="266"/>
      <c r="XBW1" s="266"/>
      <c r="XBX1" s="266"/>
      <c r="XBY1" s="266"/>
      <c r="XBZ1" s="266"/>
      <c r="XCA1" s="266"/>
      <c r="XCB1" s="266"/>
      <c r="XCC1" s="266"/>
      <c r="XCD1" s="266"/>
      <c r="XCE1" s="266"/>
      <c r="XCF1" s="266"/>
      <c r="XCG1" s="266"/>
      <c r="XCH1" s="266"/>
      <c r="XCI1" s="266"/>
    </row>
    <row r="2" spans="1:16311" s="280" customFormat="1">
      <c r="D2" s="96">
        <f ca="1">CHECKS!$F$9</f>
        <v>0</v>
      </c>
      <c r="E2" s="128">
        <f ca="1">CHECKS!$F$15</f>
        <v>0</v>
      </c>
      <c r="F2" s="889">
        <f ca="1">Project_IRR</f>
        <v>0.10790613293647766</v>
      </c>
      <c r="G2" s="890">
        <f ca="1">Project_NPV</f>
        <v>0.44602648716568183</v>
      </c>
      <c r="H2" s="129">
        <f ca="1">Master_Check</f>
        <v>0</v>
      </c>
      <c r="AP2" s="266"/>
      <c r="AQ2" s="266"/>
      <c r="AR2" s="266"/>
      <c r="AS2" s="266"/>
      <c r="AT2" s="266"/>
      <c r="AU2" s="266"/>
      <c r="AV2" s="266"/>
      <c r="AW2" s="266"/>
      <c r="AX2" s="266"/>
      <c r="AY2" s="266"/>
      <c r="AZ2" s="266"/>
      <c r="BA2" s="266"/>
      <c r="BB2" s="266"/>
      <c r="BC2" s="266"/>
      <c r="BD2" s="266"/>
      <c r="BE2" s="266"/>
      <c r="BF2" s="266"/>
      <c r="BG2" s="266"/>
      <c r="BH2" s="266"/>
      <c r="BI2" s="266"/>
      <c r="BJ2" s="266"/>
      <c r="BK2" s="266"/>
      <c r="BL2" s="266"/>
      <c r="BM2" s="266"/>
      <c r="BN2" s="266"/>
      <c r="BO2" s="266"/>
      <c r="BP2" s="266"/>
      <c r="BQ2" s="266"/>
      <c r="BR2" s="266"/>
      <c r="BS2" s="266"/>
      <c r="BT2" s="266"/>
      <c r="BU2" s="266"/>
      <c r="BV2" s="266"/>
      <c r="BW2" s="266"/>
      <c r="BX2" s="266"/>
      <c r="BY2" s="266"/>
      <c r="BZ2" s="266"/>
      <c r="CA2" s="266"/>
      <c r="CB2" s="266"/>
      <c r="CC2" s="266"/>
      <c r="CD2" s="266"/>
      <c r="CE2" s="266"/>
      <c r="CF2" s="266"/>
      <c r="CG2" s="266"/>
      <c r="CH2" s="266"/>
      <c r="CI2" s="266"/>
      <c r="CJ2" s="266"/>
      <c r="CK2" s="266"/>
      <c r="CL2" s="266"/>
      <c r="CM2" s="266"/>
      <c r="CN2" s="266"/>
      <c r="CO2" s="266"/>
      <c r="CP2" s="266"/>
      <c r="CQ2" s="266"/>
      <c r="CR2" s="266"/>
      <c r="CS2" s="266"/>
      <c r="CT2" s="266"/>
      <c r="CU2" s="266"/>
      <c r="CV2" s="266"/>
      <c r="CW2" s="266"/>
      <c r="CX2" s="266"/>
      <c r="CY2" s="266"/>
      <c r="CZ2" s="266"/>
      <c r="DA2" s="266"/>
      <c r="DB2" s="266"/>
      <c r="DC2" s="266"/>
      <c r="DD2" s="266"/>
      <c r="DE2" s="266"/>
      <c r="DF2" s="266"/>
      <c r="DG2" s="266"/>
      <c r="DH2" s="266"/>
      <c r="DI2" s="266"/>
      <c r="DJ2" s="266"/>
      <c r="DK2" s="266"/>
      <c r="DL2" s="266"/>
      <c r="DM2" s="266"/>
      <c r="DN2" s="266"/>
      <c r="DO2" s="266"/>
      <c r="DP2" s="266"/>
      <c r="DQ2" s="266"/>
      <c r="DR2" s="266"/>
      <c r="DS2" s="266"/>
      <c r="DT2" s="266"/>
      <c r="DU2" s="266"/>
      <c r="DV2" s="266"/>
      <c r="DW2" s="266"/>
      <c r="DX2" s="266"/>
      <c r="DY2" s="266"/>
      <c r="DZ2" s="266"/>
      <c r="EA2" s="266"/>
      <c r="EB2" s="266"/>
      <c r="EC2" s="266"/>
      <c r="ED2" s="266"/>
      <c r="EE2" s="266"/>
      <c r="EF2" s="266"/>
      <c r="EG2" s="266"/>
      <c r="EH2" s="266"/>
      <c r="EI2" s="266"/>
      <c r="EJ2" s="266"/>
      <c r="EK2" s="266"/>
      <c r="EL2" s="266"/>
      <c r="EM2" s="266"/>
      <c r="EN2" s="266"/>
      <c r="EO2" s="266"/>
      <c r="EP2" s="266"/>
      <c r="EQ2" s="266"/>
      <c r="ER2" s="266"/>
      <c r="ES2" s="266"/>
      <c r="ET2" s="266"/>
      <c r="EU2" s="266"/>
      <c r="EV2" s="266"/>
      <c r="EW2" s="266"/>
      <c r="EX2" s="266"/>
      <c r="EY2" s="266"/>
      <c r="EZ2" s="266"/>
      <c r="FA2" s="266"/>
      <c r="FB2" s="266"/>
      <c r="FC2" s="266"/>
      <c r="FD2" s="266"/>
      <c r="FE2" s="266"/>
      <c r="FF2" s="266"/>
      <c r="FG2" s="266"/>
      <c r="FH2" s="266"/>
      <c r="FI2" s="266"/>
      <c r="FJ2" s="266"/>
      <c r="FK2" s="266"/>
      <c r="FL2" s="266"/>
      <c r="FM2" s="266"/>
      <c r="FN2" s="266"/>
      <c r="FO2" s="266"/>
      <c r="FP2" s="266"/>
      <c r="FQ2" s="266"/>
      <c r="FR2" s="266"/>
      <c r="FS2" s="266"/>
      <c r="FT2" s="266"/>
      <c r="FU2" s="266"/>
      <c r="FV2" s="266"/>
      <c r="FW2" s="266"/>
      <c r="FX2" s="266"/>
      <c r="FY2" s="266"/>
      <c r="FZ2" s="266"/>
      <c r="GA2" s="266"/>
      <c r="GB2" s="266"/>
      <c r="GC2" s="266"/>
      <c r="GD2" s="266"/>
      <c r="GE2" s="266"/>
      <c r="GF2" s="266"/>
      <c r="GG2" s="266"/>
      <c r="GH2" s="266"/>
      <c r="GI2" s="266"/>
      <c r="GJ2" s="266"/>
      <c r="GK2" s="266"/>
      <c r="GL2" s="266"/>
      <c r="GM2" s="266"/>
      <c r="GN2" s="266"/>
      <c r="GO2" s="266"/>
      <c r="GP2" s="266"/>
      <c r="GQ2" s="266"/>
      <c r="GR2" s="266"/>
      <c r="GS2" s="266"/>
      <c r="GT2" s="266"/>
      <c r="GU2" s="266"/>
      <c r="GV2" s="266"/>
      <c r="GW2" s="266"/>
      <c r="GX2" s="266"/>
      <c r="GY2" s="266"/>
      <c r="GZ2" s="266"/>
      <c r="HA2" s="266"/>
      <c r="HB2" s="266"/>
      <c r="HC2" s="266"/>
      <c r="HD2" s="266"/>
      <c r="HE2" s="266"/>
      <c r="HF2" s="266"/>
      <c r="HG2" s="266"/>
      <c r="HH2" s="266"/>
      <c r="HI2" s="266"/>
      <c r="HJ2" s="266"/>
      <c r="HK2" s="266"/>
      <c r="HL2" s="266"/>
      <c r="HM2" s="266"/>
      <c r="HN2" s="266"/>
      <c r="HO2" s="266"/>
      <c r="HP2" s="266"/>
      <c r="HQ2" s="266"/>
      <c r="HR2" s="266"/>
      <c r="HS2" s="266"/>
      <c r="HT2" s="266"/>
      <c r="HU2" s="266"/>
      <c r="HV2" s="266"/>
      <c r="HW2" s="266"/>
      <c r="HX2" s="266"/>
      <c r="HY2" s="266"/>
      <c r="HZ2" s="266"/>
      <c r="IA2" s="266"/>
      <c r="IB2" s="266"/>
      <c r="IC2" s="266"/>
      <c r="ID2" s="266"/>
      <c r="IE2" s="266"/>
      <c r="IF2" s="266"/>
      <c r="IG2" s="266"/>
      <c r="IH2" s="266"/>
      <c r="II2" s="266"/>
      <c r="IJ2" s="266"/>
      <c r="IK2" s="266"/>
      <c r="IL2" s="266"/>
      <c r="IM2" s="266"/>
      <c r="IN2" s="266"/>
      <c r="IO2" s="266"/>
      <c r="IP2" s="266"/>
      <c r="IQ2" s="266"/>
      <c r="IR2" s="266"/>
      <c r="IS2" s="266"/>
      <c r="IT2" s="266"/>
      <c r="IU2" s="266"/>
      <c r="IV2" s="266"/>
      <c r="IW2" s="266"/>
      <c r="IX2" s="266"/>
      <c r="IY2" s="266"/>
      <c r="IZ2" s="266"/>
      <c r="JA2" s="266"/>
      <c r="JB2" s="266"/>
      <c r="JC2" s="266"/>
      <c r="JD2" s="266"/>
      <c r="JE2" s="266"/>
      <c r="JF2" s="266"/>
      <c r="JG2" s="266"/>
      <c r="JH2" s="266"/>
      <c r="JI2" s="266"/>
      <c r="JJ2" s="266"/>
      <c r="JK2" s="266"/>
      <c r="JL2" s="266"/>
      <c r="JM2" s="266"/>
      <c r="JN2" s="266"/>
      <c r="JO2" s="266"/>
      <c r="JP2" s="266"/>
      <c r="JQ2" s="266"/>
      <c r="JR2" s="266"/>
      <c r="JS2" s="266"/>
      <c r="JT2" s="266"/>
      <c r="JU2" s="266"/>
      <c r="JV2" s="266"/>
      <c r="JW2" s="266"/>
      <c r="JX2" s="266"/>
      <c r="JY2" s="266"/>
      <c r="JZ2" s="266"/>
      <c r="KA2" s="266"/>
      <c r="KB2" s="266"/>
      <c r="KC2" s="266"/>
      <c r="KD2" s="266"/>
      <c r="KE2" s="266"/>
      <c r="KF2" s="266"/>
      <c r="KG2" s="266"/>
      <c r="KH2" s="266"/>
      <c r="KI2" s="266"/>
      <c r="KJ2" s="266"/>
      <c r="KK2" s="266"/>
      <c r="KL2" s="266"/>
      <c r="KM2" s="266"/>
      <c r="KN2" s="266"/>
      <c r="KO2" s="266"/>
      <c r="KP2" s="266"/>
      <c r="KQ2" s="266"/>
      <c r="KR2" s="266"/>
      <c r="KS2" s="266"/>
      <c r="KT2" s="266"/>
      <c r="KU2" s="266"/>
      <c r="KV2" s="266"/>
      <c r="KW2" s="266"/>
      <c r="KX2" s="266"/>
      <c r="KY2" s="266"/>
      <c r="KZ2" s="266"/>
      <c r="LA2" s="266"/>
      <c r="LB2" s="266"/>
      <c r="LC2" s="266"/>
      <c r="LD2" s="266"/>
      <c r="LE2" s="266"/>
      <c r="LF2" s="266"/>
      <c r="LG2" s="266"/>
      <c r="LH2" s="266"/>
      <c r="LI2" s="266"/>
      <c r="LJ2" s="266"/>
      <c r="LK2" s="266"/>
      <c r="LL2" s="266"/>
      <c r="LM2" s="266"/>
      <c r="LN2" s="266"/>
      <c r="LO2" s="266"/>
      <c r="LP2" s="266"/>
      <c r="LQ2" s="266"/>
      <c r="LR2" s="266"/>
      <c r="LS2" s="266"/>
      <c r="LT2" s="266"/>
      <c r="LU2" s="266"/>
      <c r="LV2" s="266"/>
      <c r="LW2" s="266"/>
      <c r="LX2" s="266"/>
      <c r="LY2" s="266"/>
      <c r="LZ2" s="266"/>
      <c r="MA2" s="266"/>
      <c r="MB2" s="266"/>
      <c r="MC2" s="266"/>
      <c r="MD2" s="266"/>
      <c r="ME2" s="266"/>
      <c r="MF2" s="266"/>
      <c r="MG2" s="266"/>
      <c r="MH2" s="266"/>
      <c r="MI2" s="266"/>
      <c r="MJ2" s="266"/>
      <c r="MK2" s="266"/>
      <c r="ML2" s="266"/>
      <c r="MM2" s="266"/>
      <c r="MN2" s="266"/>
      <c r="MO2" s="266"/>
      <c r="MP2" s="266"/>
      <c r="MQ2" s="266"/>
      <c r="MR2" s="266"/>
      <c r="MS2" s="266"/>
      <c r="MT2" s="266"/>
      <c r="MU2" s="266"/>
      <c r="MV2" s="266"/>
      <c r="MW2" s="266"/>
      <c r="MX2" s="266"/>
      <c r="MY2" s="266"/>
      <c r="MZ2" s="266"/>
      <c r="NA2" s="266"/>
      <c r="NB2" s="266"/>
      <c r="NC2" s="266"/>
      <c r="ND2" s="266"/>
      <c r="NE2" s="266"/>
      <c r="NF2" s="266"/>
      <c r="NG2" s="266"/>
      <c r="NH2" s="266"/>
      <c r="NI2" s="266"/>
      <c r="NJ2" s="266"/>
      <c r="NK2" s="266"/>
      <c r="NL2" s="266"/>
      <c r="NM2" s="266"/>
      <c r="NN2" s="266"/>
      <c r="NO2" s="266"/>
      <c r="NP2" s="266"/>
      <c r="NQ2" s="266"/>
      <c r="NR2" s="266"/>
      <c r="NS2" s="266"/>
      <c r="NT2" s="266"/>
      <c r="NU2" s="266"/>
      <c r="NV2" s="266"/>
      <c r="NW2" s="266"/>
      <c r="NX2" s="266"/>
      <c r="NY2" s="266"/>
      <c r="NZ2" s="266"/>
      <c r="OA2" s="266"/>
      <c r="OB2" s="266"/>
      <c r="OC2" s="266"/>
      <c r="OD2" s="266"/>
      <c r="OE2" s="266"/>
      <c r="OF2" s="266"/>
      <c r="OG2" s="266"/>
      <c r="OH2" s="266"/>
      <c r="OI2" s="266"/>
      <c r="OJ2" s="266"/>
      <c r="OK2" s="266"/>
      <c r="OL2" s="266"/>
      <c r="OM2" s="266"/>
      <c r="ON2" s="266"/>
      <c r="OO2" s="266"/>
      <c r="OP2" s="266"/>
      <c r="OQ2" s="266"/>
      <c r="OR2" s="266"/>
      <c r="OS2" s="266"/>
      <c r="OT2" s="266"/>
      <c r="OU2" s="266"/>
      <c r="OV2" s="266"/>
      <c r="OW2" s="266"/>
      <c r="OX2" s="266"/>
      <c r="OY2" s="266"/>
      <c r="OZ2" s="266"/>
      <c r="PA2" s="266"/>
      <c r="PB2" s="266"/>
      <c r="PC2" s="266"/>
      <c r="PD2" s="266"/>
      <c r="PE2" s="266"/>
      <c r="PF2" s="266"/>
      <c r="PG2" s="266"/>
      <c r="PH2" s="266"/>
      <c r="PI2" s="266"/>
      <c r="PJ2" s="266"/>
      <c r="PK2" s="266"/>
      <c r="PL2" s="266"/>
      <c r="PM2" s="266"/>
      <c r="PN2" s="266"/>
      <c r="PO2" s="266"/>
      <c r="PP2" s="266"/>
      <c r="PQ2" s="266"/>
      <c r="PR2" s="266"/>
      <c r="PS2" s="266"/>
      <c r="PT2" s="266"/>
      <c r="PU2" s="266"/>
      <c r="PV2" s="266"/>
      <c r="PW2" s="266"/>
      <c r="PX2" s="266"/>
      <c r="PY2" s="266"/>
      <c r="PZ2" s="266"/>
      <c r="QA2" s="266"/>
      <c r="QB2" s="266"/>
      <c r="QC2" s="266"/>
      <c r="QD2" s="266"/>
      <c r="QE2" s="266"/>
      <c r="QF2" s="266"/>
      <c r="QG2" s="266"/>
      <c r="QH2" s="266"/>
      <c r="QI2" s="266"/>
      <c r="QJ2" s="266"/>
      <c r="QK2" s="266"/>
      <c r="QL2" s="266"/>
      <c r="QM2" s="266"/>
      <c r="QN2" s="266"/>
      <c r="QO2" s="266"/>
      <c r="QP2" s="266"/>
      <c r="QQ2" s="266"/>
      <c r="QR2" s="266"/>
      <c r="QS2" s="266"/>
      <c r="QT2" s="266"/>
      <c r="QU2" s="266"/>
      <c r="QV2" s="266"/>
      <c r="QW2" s="266"/>
      <c r="QX2" s="266"/>
      <c r="QY2" s="266"/>
      <c r="QZ2" s="266"/>
      <c r="RA2" s="266"/>
      <c r="RB2" s="266"/>
      <c r="RC2" s="266"/>
      <c r="RD2" s="266"/>
      <c r="RE2" s="266"/>
      <c r="RF2" s="266"/>
      <c r="RG2" s="266"/>
      <c r="RH2" s="266"/>
      <c r="RI2" s="266"/>
      <c r="RJ2" s="266"/>
      <c r="RK2" s="266"/>
      <c r="RL2" s="266"/>
      <c r="RM2" s="266"/>
      <c r="RN2" s="266"/>
      <c r="RO2" s="266"/>
      <c r="RP2" s="266"/>
      <c r="RQ2" s="266"/>
      <c r="RR2" s="266"/>
      <c r="RS2" s="266"/>
      <c r="RT2" s="266"/>
      <c r="RU2" s="266"/>
      <c r="RV2" s="266"/>
      <c r="RW2" s="266"/>
      <c r="RX2" s="266"/>
      <c r="RY2" s="266"/>
      <c r="RZ2" s="266"/>
      <c r="SA2" s="266"/>
      <c r="SB2" s="266"/>
      <c r="SC2" s="266"/>
      <c r="SD2" s="266"/>
      <c r="SE2" s="266"/>
      <c r="SF2" s="266"/>
      <c r="SG2" s="266"/>
      <c r="SH2" s="266"/>
      <c r="SI2" s="266"/>
      <c r="SJ2" s="266"/>
      <c r="SK2" s="266"/>
      <c r="SL2" s="266"/>
      <c r="SM2" s="266"/>
      <c r="SN2" s="266"/>
      <c r="SO2" s="266"/>
      <c r="SP2" s="266"/>
      <c r="SQ2" s="266"/>
      <c r="SR2" s="266"/>
      <c r="SS2" s="266"/>
      <c r="ST2" s="266"/>
      <c r="SU2" s="266"/>
      <c r="SV2" s="266"/>
      <c r="SW2" s="266"/>
      <c r="SX2" s="266"/>
      <c r="SY2" s="266"/>
      <c r="SZ2" s="266"/>
      <c r="TA2" s="266"/>
      <c r="TB2" s="266"/>
      <c r="TC2" s="266"/>
      <c r="TD2" s="266"/>
      <c r="TE2" s="266"/>
      <c r="TF2" s="266"/>
      <c r="TG2" s="266"/>
      <c r="TH2" s="266"/>
      <c r="TI2" s="266"/>
      <c r="TJ2" s="266"/>
      <c r="TK2" s="266"/>
      <c r="TL2" s="266"/>
      <c r="TM2" s="266"/>
      <c r="TN2" s="266"/>
      <c r="TO2" s="266"/>
      <c r="TP2" s="266"/>
      <c r="TQ2" s="266"/>
      <c r="TR2" s="266"/>
      <c r="TS2" s="266"/>
      <c r="TT2" s="266"/>
      <c r="TU2" s="266"/>
      <c r="TV2" s="266"/>
      <c r="TW2" s="266"/>
      <c r="TX2" s="266"/>
      <c r="TY2" s="266"/>
      <c r="TZ2" s="266"/>
      <c r="UA2" s="266"/>
      <c r="UB2" s="266"/>
      <c r="UC2" s="266"/>
      <c r="UD2" s="266"/>
      <c r="UE2" s="266"/>
      <c r="UF2" s="266"/>
      <c r="UG2" s="266"/>
      <c r="UH2" s="266"/>
      <c r="UI2" s="266"/>
      <c r="UJ2" s="266"/>
      <c r="UK2" s="266"/>
      <c r="UL2" s="266"/>
      <c r="UM2" s="266"/>
      <c r="UN2" s="266"/>
      <c r="UO2" s="266"/>
      <c r="UP2" s="266"/>
      <c r="UQ2" s="266"/>
      <c r="UR2" s="266"/>
      <c r="US2" s="266"/>
      <c r="UT2" s="266"/>
      <c r="UU2" s="266"/>
      <c r="UV2" s="266"/>
      <c r="UW2" s="266"/>
      <c r="UX2" s="266"/>
      <c r="UY2" s="266"/>
      <c r="UZ2" s="266"/>
      <c r="VA2" s="266"/>
      <c r="VB2" s="266"/>
      <c r="VC2" s="266"/>
      <c r="VD2" s="266"/>
      <c r="VE2" s="266"/>
      <c r="VF2" s="266"/>
      <c r="VG2" s="266"/>
      <c r="VH2" s="266"/>
      <c r="VI2" s="266"/>
      <c r="VJ2" s="266"/>
      <c r="VK2" s="266"/>
      <c r="VL2" s="266"/>
      <c r="VM2" s="266"/>
      <c r="VN2" s="266"/>
      <c r="VO2" s="266"/>
      <c r="VP2" s="266"/>
      <c r="VQ2" s="266"/>
      <c r="VR2" s="266"/>
      <c r="VS2" s="266"/>
      <c r="VT2" s="266"/>
      <c r="VU2" s="266"/>
      <c r="VV2" s="266"/>
      <c r="VW2" s="266"/>
      <c r="VX2" s="266"/>
      <c r="VY2" s="266"/>
      <c r="VZ2" s="266"/>
      <c r="WA2" s="266"/>
      <c r="WB2" s="266"/>
      <c r="WC2" s="266"/>
      <c r="WD2" s="266"/>
      <c r="WE2" s="266"/>
      <c r="WF2" s="266"/>
      <c r="WG2" s="266"/>
      <c r="WH2" s="266"/>
      <c r="WI2" s="266"/>
      <c r="WJ2" s="266"/>
      <c r="WK2" s="266"/>
      <c r="WL2" s="266"/>
      <c r="WM2" s="266"/>
      <c r="WN2" s="266"/>
      <c r="WO2" s="266"/>
      <c r="WP2" s="266"/>
      <c r="WQ2" s="266"/>
      <c r="WR2" s="266"/>
      <c r="WS2" s="266"/>
      <c r="WT2" s="266"/>
      <c r="WU2" s="266"/>
      <c r="WV2" s="266"/>
      <c r="WW2" s="266"/>
      <c r="WX2" s="266"/>
      <c r="WY2" s="266"/>
      <c r="WZ2" s="266"/>
      <c r="XA2" s="266"/>
      <c r="XB2" s="266"/>
      <c r="XC2" s="266"/>
      <c r="XD2" s="266"/>
      <c r="XE2" s="266"/>
      <c r="XF2" s="266"/>
      <c r="XG2" s="266"/>
      <c r="XH2" s="266"/>
      <c r="XI2" s="266"/>
      <c r="XJ2" s="266"/>
      <c r="XK2" s="266"/>
      <c r="XL2" s="266"/>
      <c r="XM2" s="266"/>
      <c r="XN2" s="266"/>
      <c r="XO2" s="266"/>
      <c r="XP2" s="266"/>
      <c r="XQ2" s="266"/>
      <c r="XR2" s="266"/>
      <c r="XS2" s="266"/>
      <c r="XT2" s="266"/>
      <c r="XU2" s="266"/>
      <c r="XV2" s="266"/>
      <c r="XW2" s="266"/>
      <c r="XX2" s="266"/>
      <c r="XY2" s="266"/>
      <c r="XZ2" s="266"/>
      <c r="YA2" s="266"/>
      <c r="YB2" s="266"/>
      <c r="YC2" s="266"/>
      <c r="YD2" s="266"/>
      <c r="YE2" s="266"/>
      <c r="YF2" s="266"/>
      <c r="YG2" s="266"/>
      <c r="YH2" s="266"/>
      <c r="YI2" s="266"/>
      <c r="YJ2" s="266"/>
      <c r="YK2" s="266"/>
      <c r="YL2" s="266"/>
      <c r="YM2" s="266"/>
      <c r="YN2" s="266"/>
      <c r="YO2" s="266"/>
      <c r="YP2" s="266"/>
      <c r="YQ2" s="266"/>
      <c r="YR2" s="266"/>
      <c r="YS2" s="266"/>
      <c r="YT2" s="266"/>
      <c r="YU2" s="266"/>
      <c r="YV2" s="266"/>
      <c r="YW2" s="266"/>
      <c r="YX2" s="266"/>
      <c r="YY2" s="266"/>
      <c r="YZ2" s="266"/>
      <c r="ZA2" s="266"/>
      <c r="ZB2" s="266"/>
      <c r="ZC2" s="266"/>
      <c r="ZD2" s="266"/>
      <c r="ZE2" s="266"/>
      <c r="ZF2" s="266"/>
      <c r="ZG2" s="266"/>
      <c r="ZH2" s="266"/>
      <c r="ZI2" s="266"/>
      <c r="ZJ2" s="266"/>
      <c r="ZK2" s="266"/>
      <c r="ZL2" s="266"/>
      <c r="ZM2" s="266"/>
      <c r="ZN2" s="266"/>
      <c r="ZO2" s="266"/>
      <c r="ZP2" s="266"/>
      <c r="ZQ2" s="266"/>
      <c r="ZR2" s="266"/>
      <c r="ZS2" s="266"/>
      <c r="ZT2" s="266"/>
      <c r="ZU2" s="266"/>
      <c r="ZV2" s="266"/>
      <c r="ZW2" s="266"/>
      <c r="ZX2" s="266"/>
      <c r="ZY2" s="266"/>
      <c r="ZZ2" s="266"/>
      <c r="AAA2" s="266"/>
      <c r="AAB2" s="266"/>
      <c r="AAC2" s="266"/>
      <c r="AAD2" s="266"/>
      <c r="AAE2" s="266"/>
      <c r="AAF2" s="266"/>
      <c r="AAG2" s="266"/>
      <c r="AAH2" s="266"/>
      <c r="AAI2" s="266"/>
      <c r="AAJ2" s="266"/>
      <c r="AAK2" s="266"/>
      <c r="AAL2" s="266"/>
      <c r="AAM2" s="266"/>
      <c r="AAN2" s="266"/>
      <c r="AAO2" s="266"/>
      <c r="AAP2" s="266"/>
      <c r="AAQ2" s="266"/>
      <c r="AAR2" s="266"/>
      <c r="AAS2" s="266"/>
      <c r="AAT2" s="266"/>
      <c r="AAU2" s="266"/>
      <c r="AAV2" s="266"/>
      <c r="AAW2" s="266"/>
      <c r="AAX2" s="266"/>
      <c r="AAY2" s="266"/>
      <c r="AAZ2" s="266"/>
      <c r="ABA2" s="266"/>
      <c r="ABB2" s="266"/>
      <c r="ABC2" s="266"/>
      <c r="ABD2" s="266"/>
      <c r="ABE2" s="266"/>
      <c r="ABF2" s="266"/>
      <c r="ABG2" s="266"/>
      <c r="ABH2" s="266"/>
      <c r="ABI2" s="266"/>
      <c r="ABJ2" s="266"/>
      <c r="ABK2" s="266"/>
      <c r="ABL2" s="266"/>
      <c r="ABM2" s="266"/>
      <c r="ABN2" s="266"/>
      <c r="ABO2" s="266"/>
      <c r="ABP2" s="266"/>
      <c r="ABQ2" s="266"/>
      <c r="ABR2" s="266"/>
      <c r="ABS2" s="266"/>
      <c r="ABT2" s="266"/>
      <c r="ABU2" s="266"/>
      <c r="ABV2" s="266"/>
      <c r="ABW2" s="266"/>
      <c r="ABX2" s="266"/>
      <c r="ABY2" s="266"/>
      <c r="ABZ2" s="266"/>
      <c r="ACA2" s="266"/>
      <c r="ACB2" s="266"/>
      <c r="ACC2" s="266"/>
      <c r="ACD2" s="266"/>
      <c r="ACE2" s="266"/>
      <c r="ACF2" s="266"/>
      <c r="ACG2" s="266"/>
      <c r="ACH2" s="266"/>
      <c r="ACI2" s="266"/>
      <c r="ACJ2" s="266"/>
      <c r="ACK2" s="266"/>
      <c r="ACL2" s="266"/>
      <c r="ACM2" s="266"/>
      <c r="ACN2" s="266"/>
      <c r="ACO2" s="266"/>
      <c r="ACP2" s="266"/>
      <c r="ACQ2" s="266"/>
      <c r="ACR2" s="266"/>
      <c r="ACS2" s="266"/>
      <c r="ACT2" s="266"/>
      <c r="ACU2" s="266"/>
      <c r="ACV2" s="266"/>
      <c r="ACW2" s="266"/>
      <c r="ACX2" s="266"/>
      <c r="ACY2" s="266"/>
      <c r="ACZ2" s="266"/>
      <c r="ADA2" s="266"/>
      <c r="ADB2" s="266"/>
      <c r="ADC2" s="266"/>
      <c r="ADD2" s="266"/>
      <c r="ADE2" s="266"/>
      <c r="ADF2" s="266"/>
      <c r="ADG2" s="266"/>
      <c r="ADH2" s="266"/>
      <c r="ADI2" s="266"/>
      <c r="ADJ2" s="266"/>
      <c r="ADK2" s="266"/>
      <c r="ADL2" s="266"/>
      <c r="ADM2" s="266"/>
      <c r="ADN2" s="266"/>
      <c r="ADO2" s="266"/>
      <c r="ADP2" s="266"/>
      <c r="ADQ2" s="266"/>
      <c r="ADR2" s="266"/>
      <c r="ADS2" s="266"/>
      <c r="ADT2" s="266"/>
      <c r="ADU2" s="266"/>
      <c r="ADV2" s="266"/>
      <c r="ADW2" s="266"/>
      <c r="ADX2" s="266"/>
      <c r="ADY2" s="266"/>
      <c r="ADZ2" s="266"/>
      <c r="AEA2" s="266"/>
      <c r="AEB2" s="266"/>
      <c r="AEC2" s="266"/>
      <c r="AED2" s="266"/>
      <c r="AEE2" s="266"/>
      <c r="AEF2" s="266"/>
      <c r="AEG2" s="266"/>
      <c r="AEH2" s="266"/>
      <c r="AEI2" s="266"/>
      <c r="AEJ2" s="266"/>
      <c r="AEK2" s="266"/>
      <c r="AEL2" s="266"/>
      <c r="AEM2" s="266"/>
      <c r="AEN2" s="266"/>
      <c r="AEO2" s="266"/>
      <c r="AEP2" s="266"/>
      <c r="AEQ2" s="266"/>
      <c r="AER2" s="266"/>
      <c r="AES2" s="266"/>
      <c r="AET2" s="266"/>
      <c r="AEU2" s="266"/>
      <c r="AEV2" s="266"/>
      <c r="AEW2" s="266"/>
      <c r="AEX2" s="266"/>
      <c r="AEY2" s="266"/>
      <c r="AEZ2" s="266"/>
      <c r="AFA2" s="266"/>
      <c r="AFB2" s="266"/>
      <c r="AFC2" s="266"/>
      <c r="AFD2" s="266"/>
      <c r="AFE2" s="266"/>
      <c r="AFF2" s="266"/>
      <c r="AFG2" s="266"/>
      <c r="AFH2" s="266"/>
      <c r="AFI2" s="266"/>
      <c r="AFJ2" s="266"/>
      <c r="AFK2" s="266"/>
      <c r="AFL2" s="266"/>
      <c r="AFM2" s="266"/>
      <c r="AFN2" s="266"/>
      <c r="AFO2" s="266"/>
      <c r="AFP2" s="266"/>
      <c r="AFQ2" s="266"/>
      <c r="AFR2" s="266"/>
      <c r="AFS2" s="266"/>
      <c r="AFT2" s="266"/>
      <c r="AFU2" s="266"/>
      <c r="AFV2" s="266"/>
      <c r="AFW2" s="266"/>
      <c r="AFX2" s="266"/>
      <c r="AFY2" s="266"/>
      <c r="AFZ2" s="266"/>
      <c r="AGA2" s="266"/>
      <c r="AGB2" s="266"/>
      <c r="AGC2" s="266"/>
      <c r="AGD2" s="266"/>
      <c r="AGE2" s="266"/>
      <c r="AGF2" s="266"/>
      <c r="AGG2" s="266"/>
      <c r="AGH2" s="266"/>
      <c r="AGI2" s="266"/>
      <c r="AGJ2" s="266"/>
      <c r="AGK2" s="266"/>
      <c r="AGL2" s="266"/>
      <c r="AGM2" s="266"/>
      <c r="AGN2" s="266"/>
      <c r="AGO2" s="266"/>
      <c r="AGP2" s="266"/>
      <c r="AGQ2" s="266"/>
      <c r="AGR2" s="266"/>
      <c r="AGS2" s="266"/>
      <c r="AGT2" s="266"/>
      <c r="AGU2" s="266"/>
      <c r="AGV2" s="266"/>
      <c r="AGW2" s="266"/>
      <c r="AGX2" s="266"/>
      <c r="AGY2" s="266"/>
      <c r="AGZ2" s="266"/>
      <c r="AHA2" s="266"/>
      <c r="AHB2" s="266"/>
      <c r="AHC2" s="266"/>
      <c r="AHD2" s="266"/>
      <c r="AHE2" s="266"/>
      <c r="AHF2" s="266"/>
      <c r="AHG2" s="266"/>
      <c r="AHH2" s="266"/>
      <c r="AHI2" s="266"/>
      <c r="AHJ2" s="266"/>
      <c r="AHK2" s="266"/>
      <c r="AHL2" s="266"/>
      <c r="AHM2" s="266"/>
      <c r="AHN2" s="266"/>
      <c r="AHO2" s="266"/>
      <c r="AHP2" s="266"/>
      <c r="AHQ2" s="266"/>
      <c r="AHR2" s="266"/>
      <c r="AHS2" s="266"/>
      <c r="AHT2" s="266"/>
      <c r="AHU2" s="266"/>
      <c r="AHV2" s="266"/>
      <c r="AHW2" s="266"/>
      <c r="AHX2" s="266"/>
      <c r="AHY2" s="266"/>
      <c r="AHZ2" s="266"/>
      <c r="AIA2" s="266"/>
      <c r="AIB2" s="266"/>
      <c r="AIC2" s="266"/>
      <c r="AID2" s="266"/>
      <c r="AIE2" s="266"/>
      <c r="AIF2" s="266"/>
      <c r="AIG2" s="266"/>
      <c r="AIH2" s="266"/>
      <c r="AII2" s="266"/>
      <c r="AIJ2" s="266"/>
      <c r="AIK2" s="266"/>
      <c r="AIL2" s="266"/>
      <c r="AIM2" s="266"/>
      <c r="AIN2" s="266"/>
      <c r="AIO2" s="266"/>
      <c r="AIP2" s="266"/>
      <c r="AIQ2" s="266"/>
      <c r="AIR2" s="266"/>
      <c r="AIS2" s="266"/>
      <c r="AIT2" s="266"/>
      <c r="AIU2" s="266"/>
      <c r="AIV2" s="266"/>
      <c r="AIW2" s="266"/>
      <c r="AIX2" s="266"/>
      <c r="AIY2" s="266"/>
      <c r="AIZ2" s="266"/>
      <c r="AJA2" s="266"/>
      <c r="AJB2" s="266"/>
      <c r="AJC2" s="266"/>
      <c r="AJD2" s="266"/>
      <c r="AJE2" s="266"/>
      <c r="AJF2" s="266"/>
      <c r="AJG2" s="266"/>
      <c r="AJH2" s="266"/>
      <c r="AJI2" s="266"/>
      <c r="AJJ2" s="266"/>
      <c r="AJK2" s="266"/>
      <c r="AJL2" s="266"/>
      <c r="AJM2" s="266"/>
      <c r="AJN2" s="266"/>
      <c r="AJO2" s="266"/>
      <c r="AJP2" s="266"/>
      <c r="AJQ2" s="266"/>
      <c r="AJR2" s="266"/>
      <c r="AJS2" s="266"/>
      <c r="AJT2" s="266"/>
      <c r="AJU2" s="266"/>
      <c r="AJV2" s="266"/>
      <c r="AJW2" s="266"/>
      <c r="AJX2" s="266"/>
      <c r="AJY2" s="266"/>
      <c r="AJZ2" s="266"/>
      <c r="AKA2" s="266"/>
      <c r="AKB2" s="266"/>
      <c r="AKC2" s="266"/>
      <c r="AKD2" s="266"/>
      <c r="AKE2" s="266"/>
      <c r="AKF2" s="266"/>
      <c r="AKG2" s="266"/>
      <c r="AKH2" s="266"/>
      <c r="AKI2" s="266"/>
      <c r="AKJ2" s="266"/>
      <c r="AKK2" s="266"/>
      <c r="AKL2" s="266"/>
      <c r="AKM2" s="266"/>
      <c r="AKN2" s="266"/>
      <c r="AKO2" s="266"/>
      <c r="AKP2" s="266"/>
      <c r="AKQ2" s="266"/>
      <c r="AKR2" s="266"/>
      <c r="AKS2" s="266"/>
      <c r="AKT2" s="266"/>
      <c r="AKU2" s="266"/>
      <c r="AKV2" s="266"/>
      <c r="AKW2" s="266"/>
      <c r="AKX2" s="266"/>
      <c r="AKY2" s="266"/>
      <c r="AKZ2" s="266"/>
      <c r="ALA2" s="266"/>
      <c r="ALB2" s="266"/>
      <c r="ALC2" s="266"/>
      <c r="ALD2" s="266"/>
      <c r="ALE2" s="266"/>
      <c r="ALF2" s="266"/>
      <c r="ALG2" s="266"/>
      <c r="ALH2" s="266"/>
      <c r="ALI2" s="266"/>
      <c r="ALJ2" s="266"/>
      <c r="ALK2" s="266"/>
      <c r="ALL2" s="266"/>
      <c r="ALM2" s="266"/>
      <c r="ALN2" s="266"/>
      <c r="ALO2" s="266"/>
      <c r="ALP2" s="266"/>
      <c r="ALQ2" s="266"/>
      <c r="ALR2" s="266"/>
      <c r="ALS2" s="266"/>
      <c r="ALT2" s="266"/>
      <c r="ALU2" s="266"/>
      <c r="ALV2" s="266"/>
      <c r="ALW2" s="266"/>
      <c r="ALX2" s="266"/>
      <c r="ALY2" s="266"/>
      <c r="ALZ2" s="266"/>
      <c r="AMA2" s="266"/>
      <c r="AMB2" s="266"/>
      <c r="AMC2" s="266"/>
      <c r="AMD2" s="266"/>
      <c r="AME2" s="266"/>
      <c r="AMF2" s="266"/>
      <c r="AMG2" s="266"/>
      <c r="AMH2" s="266"/>
      <c r="AMI2" s="266"/>
      <c r="AMJ2" s="266"/>
      <c r="AMK2" s="266"/>
      <c r="AML2" s="266"/>
      <c r="AMM2" s="266"/>
      <c r="AMN2" s="266"/>
      <c r="AMO2" s="266"/>
      <c r="AMP2" s="266"/>
      <c r="AMQ2" s="266"/>
      <c r="AMR2" s="266"/>
      <c r="AMS2" s="266"/>
      <c r="AMT2" s="266"/>
      <c r="AMU2" s="266"/>
      <c r="AMV2" s="266"/>
      <c r="AMW2" s="266"/>
      <c r="AMX2" s="266"/>
      <c r="AMY2" s="266"/>
      <c r="AMZ2" s="266"/>
      <c r="ANA2" s="266"/>
      <c r="ANB2" s="266"/>
      <c r="ANC2" s="266"/>
      <c r="AND2" s="266"/>
      <c r="ANE2" s="266"/>
      <c r="ANF2" s="266"/>
      <c r="ANG2" s="266"/>
      <c r="ANH2" s="266"/>
      <c r="ANI2" s="266"/>
      <c r="ANJ2" s="266"/>
      <c r="ANK2" s="266"/>
      <c r="ANL2" s="266"/>
      <c r="ANM2" s="266"/>
      <c r="ANN2" s="266"/>
      <c r="ANO2" s="266"/>
      <c r="ANP2" s="266"/>
      <c r="ANQ2" s="266"/>
      <c r="ANR2" s="266"/>
      <c r="ANS2" s="266"/>
      <c r="ANT2" s="266"/>
      <c r="ANU2" s="266"/>
      <c r="ANV2" s="266"/>
      <c r="ANW2" s="266"/>
      <c r="ANX2" s="266"/>
      <c r="ANY2" s="266"/>
      <c r="ANZ2" s="266"/>
      <c r="AOA2" s="266"/>
      <c r="AOB2" s="266"/>
      <c r="AOC2" s="266"/>
      <c r="AOD2" s="266"/>
      <c r="AOE2" s="266"/>
      <c r="AOF2" s="266"/>
      <c r="AOG2" s="266"/>
      <c r="AOH2" s="266"/>
      <c r="AOI2" s="266"/>
      <c r="AOJ2" s="266"/>
      <c r="AOK2" s="266"/>
      <c r="AOL2" s="266"/>
      <c r="AOM2" s="266"/>
      <c r="AON2" s="266"/>
      <c r="AOO2" s="266"/>
      <c r="AOP2" s="266"/>
      <c r="AOQ2" s="266"/>
      <c r="AOR2" s="266"/>
      <c r="AOS2" s="266"/>
      <c r="AOT2" s="266"/>
      <c r="AOU2" s="266"/>
      <c r="AOV2" s="266"/>
      <c r="AOW2" s="266"/>
      <c r="AOX2" s="266"/>
      <c r="AOY2" s="266"/>
      <c r="AOZ2" s="266"/>
      <c r="APA2" s="266"/>
      <c r="APB2" s="266"/>
      <c r="APC2" s="266"/>
      <c r="APD2" s="266"/>
      <c r="APE2" s="266"/>
      <c r="APF2" s="266"/>
      <c r="APG2" s="266"/>
      <c r="APH2" s="266"/>
      <c r="API2" s="266"/>
      <c r="APJ2" s="266"/>
      <c r="APK2" s="266"/>
      <c r="APL2" s="266"/>
      <c r="APM2" s="266"/>
      <c r="APN2" s="266"/>
      <c r="APO2" s="266"/>
      <c r="APP2" s="266"/>
      <c r="APQ2" s="266"/>
      <c r="APR2" s="266"/>
      <c r="APS2" s="266"/>
      <c r="APT2" s="266"/>
      <c r="APU2" s="266"/>
      <c r="APV2" s="266"/>
      <c r="APW2" s="266"/>
      <c r="APX2" s="266"/>
      <c r="APY2" s="266"/>
      <c r="APZ2" s="266"/>
      <c r="AQA2" s="266"/>
      <c r="AQB2" s="266"/>
      <c r="AQC2" s="266"/>
      <c r="AQD2" s="266"/>
      <c r="AQE2" s="266"/>
      <c r="AQF2" s="266"/>
      <c r="AQG2" s="266"/>
      <c r="AQH2" s="266"/>
      <c r="AQI2" s="266"/>
      <c r="AQJ2" s="266"/>
      <c r="AQK2" s="266"/>
      <c r="AQL2" s="266"/>
      <c r="AQM2" s="266"/>
      <c r="AQN2" s="266"/>
      <c r="AQO2" s="266"/>
      <c r="AQP2" s="266"/>
      <c r="AQQ2" s="266"/>
      <c r="AQR2" s="266"/>
      <c r="AQS2" s="266"/>
      <c r="AQT2" s="266"/>
      <c r="AQU2" s="266"/>
      <c r="AQV2" s="266"/>
      <c r="AQW2" s="266"/>
      <c r="AQX2" s="266"/>
      <c r="AQY2" s="266"/>
      <c r="AQZ2" s="266"/>
      <c r="ARA2" s="266"/>
      <c r="ARB2" s="266"/>
      <c r="ARC2" s="266"/>
      <c r="ARD2" s="266"/>
      <c r="ARE2" s="266"/>
      <c r="ARF2" s="266"/>
      <c r="ARG2" s="266"/>
      <c r="ARH2" s="266"/>
      <c r="ARI2" s="266"/>
      <c r="ARJ2" s="266"/>
      <c r="ARK2" s="266"/>
      <c r="ARL2" s="266"/>
      <c r="ARM2" s="266"/>
      <c r="ARN2" s="266"/>
      <c r="ARO2" s="266"/>
      <c r="ARP2" s="266"/>
      <c r="ARQ2" s="266"/>
      <c r="ARR2" s="266"/>
      <c r="ARS2" s="266"/>
      <c r="ART2" s="266"/>
      <c r="ARU2" s="266"/>
      <c r="ARV2" s="266"/>
      <c r="ARW2" s="266"/>
      <c r="ARX2" s="266"/>
      <c r="ARY2" s="266"/>
      <c r="ARZ2" s="266"/>
      <c r="ASA2" s="266"/>
      <c r="ASB2" s="266"/>
      <c r="ASC2" s="266"/>
      <c r="ASD2" s="266"/>
      <c r="ASE2" s="266"/>
      <c r="ASF2" s="266"/>
      <c r="ASG2" s="266"/>
      <c r="ASH2" s="266"/>
      <c r="ASI2" s="266"/>
      <c r="ASJ2" s="266"/>
      <c r="ASK2" s="266"/>
      <c r="ASL2" s="266"/>
      <c r="ASM2" s="266"/>
      <c r="ASN2" s="266"/>
      <c r="ASO2" s="266"/>
      <c r="ASP2" s="266"/>
      <c r="ASQ2" s="266"/>
      <c r="ASR2" s="266"/>
      <c r="ASS2" s="266"/>
      <c r="AST2" s="266"/>
      <c r="ASU2" s="266"/>
      <c r="ASV2" s="266"/>
      <c r="ASW2" s="266"/>
      <c r="ASX2" s="266"/>
      <c r="ASY2" s="266"/>
      <c r="ASZ2" s="266"/>
      <c r="ATA2" s="266"/>
      <c r="ATB2" s="266"/>
      <c r="ATC2" s="266"/>
      <c r="ATD2" s="266"/>
      <c r="ATE2" s="266"/>
      <c r="ATF2" s="266"/>
      <c r="ATG2" s="266"/>
      <c r="ATH2" s="266"/>
      <c r="ATI2" s="266"/>
      <c r="ATJ2" s="266"/>
      <c r="ATK2" s="266"/>
      <c r="ATL2" s="266"/>
      <c r="ATM2" s="266"/>
      <c r="ATN2" s="266"/>
      <c r="ATO2" s="266"/>
      <c r="ATP2" s="266"/>
      <c r="ATQ2" s="266"/>
      <c r="ATR2" s="266"/>
      <c r="ATS2" s="266"/>
      <c r="ATT2" s="266"/>
      <c r="ATU2" s="266"/>
      <c r="ATV2" s="266"/>
      <c r="ATW2" s="266"/>
      <c r="ATX2" s="266"/>
      <c r="ATY2" s="266"/>
      <c r="ATZ2" s="266"/>
      <c r="AUA2" s="266"/>
      <c r="AUB2" s="266"/>
      <c r="AUC2" s="266"/>
      <c r="AUD2" s="266"/>
      <c r="AUE2" s="266"/>
      <c r="AUF2" s="266"/>
      <c r="AUG2" s="266"/>
      <c r="AUH2" s="266"/>
      <c r="AUI2" s="266"/>
      <c r="AUJ2" s="266"/>
      <c r="AUK2" s="266"/>
      <c r="AUL2" s="266"/>
      <c r="AUM2" s="266"/>
      <c r="AUN2" s="266"/>
      <c r="AUO2" s="266"/>
      <c r="AUP2" s="266"/>
      <c r="AUQ2" s="266"/>
      <c r="AUR2" s="266"/>
      <c r="AUS2" s="266"/>
      <c r="AUT2" s="266"/>
      <c r="AUU2" s="266"/>
      <c r="AUV2" s="266"/>
      <c r="AUW2" s="266"/>
      <c r="AUX2" s="266"/>
      <c r="AUY2" s="266"/>
      <c r="AUZ2" s="266"/>
      <c r="AVA2" s="266"/>
      <c r="AVB2" s="266"/>
      <c r="AVC2" s="266"/>
      <c r="AVD2" s="266"/>
      <c r="AVE2" s="266"/>
      <c r="AVF2" s="266"/>
      <c r="AVG2" s="266"/>
      <c r="AVH2" s="266"/>
      <c r="AVI2" s="266"/>
      <c r="AVJ2" s="266"/>
      <c r="AVK2" s="266"/>
      <c r="AVL2" s="266"/>
      <c r="AVM2" s="266"/>
      <c r="AVN2" s="266"/>
      <c r="AVO2" s="266"/>
      <c r="AVP2" s="266"/>
      <c r="AVQ2" s="266"/>
      <c r="AVR2" s="266"/>
      <c r="AVS2" s="266"/>
      <c r="AVT2" s="266"/>
      <c r="AVU2" s="266"/>
      <c r="AVV2" s="266"/>
      <c r="AVW2" s="266"/>
      <c r="AVX2" s="266"/>
      <c r="AVY2" s="266"/>
      <c r="AVZ2" s="266"/>
      <c r="AWA2" s="266"/>
      <c r="AWB2" s="266"/>
      <c r="AWC2" s="266"/>
      <c r="AWD2" s="266"/>
      <c r="AWE2" s="266"/>
      <c r="AWF2" s="266"/>
      <c r="AWG2" s="266"/>
      <c r="AWH2" s="266"/>
      <c r="AWI2" s="266"/>
      <c r="AWJ2" s="266"/>
      <c r="AWK2" s="266"/>
      <c r="AWL2" s="266"/>
      <c r="AWM2" s="266"/>
      <c r="AWN2" s="266"/>
      <c r="AWO2" s="266"/>
      <c r="AWP2" s="266"/>
      <c r="AWQ2" s="266"/>
      <c r="AWR2" s="266"/>
      <c r="AWS2" s="266"/>
      <c r="AWT2" s="266"/>
      <c r="AWU2" s="266"/>
      <c r="AWV2" s="266"/>
      <c r="AWW2" s="266"/>
      <c r="AWX2" s="266"/>
      <c r="AWY2" s="266"/>
      <c r="AWZ2" s="266"/>
      <c r="AXA2" s="266"/>
      <c r="AXB2" s="266"/>
      <c r="AXC2" s="266"/>
      <c r="AXD2" s="266"/>
      <c r="AXE2" s="266"/>
      <c r="AXF2" s="266"/>
      <c r="AXG2" s="266"/>
      <c r="AXH2" s="266"/>
      <c r="AXI2" s="266"/>
      <c r="AXJ2" s="266"/>
      <c r="AXK2" s="266"/>
      <c r="AXL2" s="266"/>
      <c r="AXM2" s="266"/>
      <c r="AXN2" s="266"/>
      <c r="AXO2" s="266"/>
      <c r="AXP2" s="266"/>
      <c r="AXQ2" s="266"/>
      <c r="AXR2" s="266"/>
      <c r="AXS2" s="266"/>
      <c r="AXT2" s="266"/>
      <c r="AXU2" s="266"/>
      <c r="AXV2" s="266"/>
      <c r="AXW2" s="266"/>
      <c r="AXX2" s="266"/>
      <c r="AXY2" s="266"/>
      <c r="AXZ2" s="266"/>
      <c r="AYA2" s="266"/>
      <c r="AYB2" s="266"/>
      <c r="AYC2" s="266"/>
      <c r="AYD2" s="266"/>
      <c r="AYE2" s="266"/>
      <c r="AYF2" s="266"/>
      <c r="AYG2" s="266"/>
      <c r="AYH2" s="266"/>
      <c r="AYI2" s="266"/>
      <c r="AYJ2" s="266"/>
      <c r="AYK2" s="266"/>
      <c r="AYL2" s="266"/>
      <c r="AYM2" s="266"/>
      <c r="AYN2" s="266"/>
      <c r="AYO2" s="266"/>
      <c r="AYP2" s="266"/>
      <c r="AYQ2" s="266"/>
      <c r="AYR2" s="266"/>
      <c r="AYS2" s="266"/>
      <c r="AYT2" s="266"/>
      <c r="AYU2" s="266"/>
      <c r="AYV2" s="266"/>
      <c r="AYW2" s="266"/>
      <c r="AYX2" s="266"/>
      <c r="AYY2" s="266"/>
      <c r="AYZ2" s="266"/>
      <c r="AZA2" s="266"/>
      <c r="AZB2" s="266"/>
      <c r="AZC2" s="266"/>
      <c r="AZD2" s="266"/>
      <c r="AZE2" s="266"/>
      <c r="AZF2" s="266"/>
      <c r="AZG2" s="266"/>
      <c r="AZH2" s="266"/>
      <c r="AZI2" s="266"/>
      <c r="AZJ2" s="266"/>
      <c r="AZK2" s="266"/>
      <c r="AZL2" s="266"/>
      <c r="AZM2" s="266"/>
      <c r="AZN2" s="266"/>
      <c r="AZO2" s="266"/>
      <c r="AZP2" s="266"/>
      <c r="AZQ2" s="266"/>
      <c r="AZR2" s="266"/>
      <c r="AZS2" s="266"/>
      <c r="AZT2" s="266"/>
      <c r="AZU2" s="266"/>
      <c r="AZV2" s="266"/>
      <c r="AZW2" s="266"/>
      <c r="AZX2" s="266"/>
      <c r="AZY2" s="266"/>
      <c r="AZZ2" s="266"/>
      <c r="BAA2" s="266"/>
      <c r="BAB2" s="266"/>
      <c r="BAC2" s="266"/>
      <c r="BAD2" s="266"/>
      <c r="BAE2" s="266"/>
      <c r="BAF2" s="266"/>
      <c r="BAG2" s="266"/>
      <c r="BAH2" s="266"/>
      <c r="BAI2" s="266"/>
      <c r="BAJ2" s="266"/>
      <c r="BAK2" s="266"/>
      <c r="BAL2" s="266"/>
      <c r="BAM2" s="266"/>
      <c r="BAN2" s="266"/>
      <c r="BAO2" s="266"/>
      <c r="BAP2" s="266"/>
      <c r="BAQ2" s="266"/>
      <c r="BAR2" s="266"/>
      <c r="BAS2" s="266"/>
      <c r="BAT2" s="266"/>
      <c r="BAU2" s="266"/>
      <c r="BAV2" s="266"/>
      <c r="BAW2" s="266"/>
      <c r="BAX2" s="266"/>
      <c r="BAY2" s="266"/>
      <c r="BAZ2" s="266"/>
      <c r="BBA2" s="266"/>
      <c r="BBB2" s="266"/>
      <c r="BBC2" s="266"/>
      <c r="BBD2" s="266"/>
      <c r="BBE2" s="266"/>
      <c r="BBF2" s="266"/>
      <c r="BBG2" s="266"/>
      <c r="BBH2" s="266"/>
      <c r="BBI2" s="266"/>
      <c r="BBJ2" s="266"/>
      <c r="BBK2" s="266"/>
      <c r="BBL2" s="266"/>
      <c r="BBM2" s="266"/>
      <c r="BBN2" s="266"/>
      <c r="BBO2" s="266"/>
      <c r="BBP2" s="266"/>
      <c r="BBQ2" s="266"/>
      <c r="BBR2" s="266"/>
      <c r="BBS2" s="266"/>
      <c r="BBT2" s="266"/>
      <c r="BBU2" s="266"/>
      <c r="BBV2" s="266"/>
      <c r="BBW2" s="266"/>
      <c r="BBX2" s="266"/>
      <c r="BBY2" s="266"/>
      <c r="BBZ2" s="266"/>
      <c r="BCA2" s="266"/>
      <c r="BCB2" s="266"/>
      <c r="BCC2" s="266"/>
      <c r="BCD2" s="266"/>
      <c r="BCE2" s="266"/>
      <c r="BCF2" s="266"/>
      <c r="BCG2" s="266"/>
      <c r="BCH2" s="266"/>
      <c r="BCI2" s="266"/>
      <c r="BCJ2" s="266"/>
      <c r="BCK2" s="266"/>
      <c r="BCL2" s="266"/>
      <c r="BCM2" s="266"/>
      <c r="BCN2" s="266"/>
      <c r="BCO2" s="266"/>
      <c r="BCP2" s="266"/>
      <c r="BCQ2" s="266"/>
      <c r="BCR2" s="266"/>
      <c r="BCS2" s="266"/>
      <c r="BCT2" s="266"/>
      <c r="BCU2" s="266"/>
      <c r="BCV2" s="266"/>
      <c r="BCW2" s="266"/>
      <c r="BCX2" s="266"/>
      <c r="BCY2" s="266"/>
      <c r="BCZ2" s="266"/>
      <c r="BDA2" s="266"/>
      <c r="BDB2" s="266"/>
      <c r="BDC2" s="266"/>
      <c r="BDD2" s="266"/>
      <c r="BDE2" s="266"/>
      <c r="BDF2" s="266"/>
      <c r="BDG2" s="266"/>
      <c r="BDH2" s="266"/>
      <c r="BDI2" s="266"/>
      <c r="BDJ2" s="266"/>
      <c r="BDK2" s="266"/>
      <c r="BDL2" s="266"/>
      <c r="BDM2" s="266"/>
      <c r="BDN2" s="266"/>
      <c r="BDO2" s="266"/>
      <c r="BDP2" s="266"/>
      <c r="BDQ2" s="266"/>
      <c r="BDR2" s="266"/>
      <c r="BDS2" s="266"/>
      <c r="BDT2" s="266"/>
      <c r="BDU2" s="266"/>
      <c r="BDV2" s="266"/>
      <c r="BDW2" s="266"/>
      <c r="BDX2" s="266"/>
      <c r="BDY2" s="266"/>
      <c r="BDZ2" s="266"/>
      <c r="BEA2" s="266"/>
      <c r="BEB2" s="266"/>
      <c r="BEC2" s="266"/>
      <c r="BED2" s="266"/>
      <c r="BEE2" s="266"/>
      <c r="BEF2" s="266"/>
      <c r="BEG2" s="266"/>
      <c r="BEH2" s="266"/>
      <c r="BEI2" s="266"/>
      <c r="BEJ2" s="266"/>
      <c r="BEK2" s="266"/>
      <c r="BEL2" s="266"/>
      <c r="BEM2" s="266"/>
      <c r="BEN2" s="266"/>
      <c r="BEO2" s="266"/>
      <c r="BEP2" s="266"/>
      <c r="BEQ2" s="266"/>
      <c r="BER2" s="266"/>
      <c r="BES2" s="266"/>
      <c r="BET2" s="266"/>
      <c r="BEU2" s="266"/>
      <c r="BEV2" s="266"/>
      <c r="BEW2" s="266"/>
      <c r="BEX2" s="266"/>
      <c r="BEY2" s="266"/>
      <c r="BEZ2" s="266"/>
      <c r="BFA2" s="266"/>
      <c r="BFB2" s="266"/>
      <c r="BFC2" s="266"/>
      <c r="BFD2" s="266"/>
      <c r="BFE2" s="266"/>
      <c r="BFF2" s="266"/>
      <c r="BFG2" s="266"/>
      <c r="BFH2" s="266"/>
      <c r="BFI2" s="266"/>
      <c r="BFJ2" s="266"/>
      <c r="BFK2" s="266"/>
      <c r="BFL2" s="266"/>
      <c r="BFM2" s="266"/>
      <c r="BFN2" s="266"/>
      <c r="BFO2" s="266"/>
      <c r="BFP2" s="266"/>
      <c r="BFQ2" s="266"/>
      <c r="BFR2" s="266"/>
      <c r="BFS2" s="266"/>
      <c r="BFT2" s="266"/>
      <c r="BFU2" s="266"/>
      <c r="BFV2" s="266"/>
      <c r="BFW2" s="266"/>
      <c r="BFX2" s="266"/>
      <c r="BFY2" s="266"/>
      <c r="BFZ2" s="266"/>
      <c r="BGA2" s="266"/>
      <c r="BGB2" s="266"/>
      <c r="BGC2" s="266"/>
      <c r="BGD2" s="266"/>
      <c r="BGE2" s="266"/>
      <c r="BGF2" s="266"/>
      <c r="BGG2" s="266"/>
      <c r="BGH2" s="266"/>
      <c r="BGI2" s="266"/>
      <c r="BGJ2" s="266"/>
      <c r="BGK2" s="266"/>
      <c r="BGL2" s="266"/>
      <c r="BGM2" s="266"/>
      <c r="BGN2" s="266"/>
      <c r="BGO2" s="266"/>
      <c r="BGP2" s="266"/>
      <c r="BGQ2" s="266"/>
      <c r="BGR2" s="266"/>
      <c r="BGS2" s="266"/>
      <c r="BGT2" s="266"/>
      <c r="BGU2" s="266"/>
      <c r="BGV2" s="266"/>
      <c r="BGW2" s="266"/>
      <c r="BGX2" s="266"/>
      <c r="BGY2" s="266"/>
      <c r="BGZ2" s="266"/>
      <c r="BHA2" s="266"/>
      <c r="BHB2" s="266"/>
      <c r="BHC2" s="266"/>
      <c r="BHD2" s="266"/>
      <c r="BHE2" s="266"/>
      <c r="BHF2" s="266"/>
      <c r="BHG2" s="266"/>
      <c r="BHH2" s="266"/>
      <c r="BHI2" s="266"/>
      <c r="BHJ2" s="266"/>
      <c r="BHK2" s="266"/>
      <c r="BHL2" s="266"/>
      <c r="BHM2" s="266"/>
      <c r="BHN2" s="266"/>
      <c r="BHO2" s="266"/>
      <c r="BHP2" s="266"/>
      <c r="BHQ2" s="266"/>
      <c r="BHR2" s="266"/>
      <c r="BHS2" s="266"/>
      <c r="BHT2" s="266"/>
      <c r="BHU2" s="266"/>
      <c r="BHV2" s="266"/>
      <c r="BHW2" s="266"/>
      <c r="BHX2" s="266"/>
      <c r="BHY2" s="266"/>
      <c r="BHZ2" s="266"/>
      <c r="BIA2" s="266"/>
      <c r="BIB2" s="266"/>
      <c r="BIC2" s="266"/>
      <c r="BID2" s="266"/>
      <c r="BIE2" s="266"/>
      <c r="BIF2" s="266"/>
      <c r="BIG2" s="266"/>
      <c r="BIH2" s="266"/>
      <c r="BII2" s="266"/>
      <c r="BIJ2" s="266"/>
      <c r="BIK2" s="266"/>
      <c r="BIL2" s="266"/>
      <c r="BIM2" s="266"/>
      <c r="BIN2" s="266"/>
      <c r="BIO2" s="266"/>
      <c r="BIP2" s="266"/>
      <c r="BIQ2" s="266"/>
      <c r="BIR2" s="266"/>
      <c r="BIS2" s="266"/>
      <c r="BIT2" s="266"/>
      <c r="BIU2" s="266"/>
      <c r="BIV2" s="266"/>
      <c r="BIW2" s="266"/>
      <c r="BIX2" s="266"/>
      <c r="BIY2" s="266"/>
      <c r="BIZ2" s="266"/>
      <c r="BJA2" s="266"/>
      <c r="BJB2" s="266"/>
      <c r="BJC2" s="266"/>
      <c r="BJD2" s="266"/>
      <c r="BJE2" s="266"/>
      <c r="BJF2" s="266"/>
      <c r="BJG2" s="266"/>
      <c r="BJH2" s="266"/>
      <c r="BJI2" s="266"/>
      <c r="BJJ2" s="266"/>
      <c r="BJK2" s="266"/>
      <c r="BJL2" s="266"/>
      <c r="BJM2" s="266"/>
      <c r="BJN2" s="266"/>
      <c r="BJO2" s="266"/>
      <c r="BJP2" s="266"/>
      <c r="BJQ2" s="266"/>
      <c r="BJR2" s="266"/>
      <c r="BJS2" s="266"/>
      <c r="BJT2" s="266"/>
      <c r="BJU2" s="266"/>
      <c r="BJV2" s="266"/>
      <c r="BJW2" s="266"/>
      <c r="BJX2" s="266"/>
      <c r="BJY2" s="266"/>
      <c r="BJZ2" s="266"/>
      <c r="BKA2" s="266"/>
      <c r="BKB2" s="266"/>
      <c r="BKC2" s="266"/>
      <c r="BKD2" s="266"/>
      <c r="BKE2" s="266"/>
      <c r="BKF2" s="266"/>
      <c r="BKG2" s="266"/>
      <c r="BKH2" s="266"/>
      <c r="BKI2" s="266"/>
      <c r="BKJ2" s="266"/>
      <c r="BKK2" s="266"/>
      <c r="BKL2" s="266"/>
      <c r="BKM2" s="266"/>
      <c r="BKN2" s="266"/>
      <c r="BKO2" s="266"/>
      <c r="BKP2" s="266"/>
      <c r="BKQ2" s="266"/>
      <c r="BKR2" s="266"/>
      <c r="BKS2" s="266"/>
      <c r="BKT2" s="266"/>
      <c r="BKU2" s="266"/>
      <c r="BKV2" s="266"/>
      <c r="BKW2" s="266"/>
      <c r="BKX2" s="266"/>
      <c r="BKY2" s="266"/>
      <c r="BKZ2" s="266"/>
      <c r="BLA2" s="266"/>
      <c r="BLB2" s="266"/>
      <c r="BLC2" s="266"/>
      <c r="BLD2" s="266"/>
      <c r="BLE2" s="266"/>
      <c r="BLF2" s="266"/>
      <c r="BLG2" s="266"/>
      <c r="BLH2" s="266"/>
      <c r="BLI2" s="266"/>
      <c r="BLJ2" s="266"/>
      <c r="BLK2" s="266"/>
      <c r="BLL2" s="266"/>
      <c r="BLM2" s="266"/>
      <c r="BLN2" s="266"/>
      <c r="BLO2" s="266"/>
      <c r="BLP2" s="266"/>
      <c r="BLQ2" s="266"/>
      <c r="BLR2" s="266"/>
      <c r="BLS2" s="266"/>
      <c r="BLT2" s="266"/>
      <c r="BLU2" s="266"/>
      <c r="BLV2" s="266"/>
      <c r="BLW2" s="266"/>
      <c r="BLX2" s="266"/>
      <c r="BLY2" s="266"/>
      <c r="BLZ2" s="266"/>
      <c r="BMA2" s="266"/>
      <c r="BMB2" s="266"/>
      <c r="BMC2" s="266"/>
      <c r="BMD2" s="266"/>
      <c r="BME2" s="266"/>
      <c r="BMF2" s="266"/>
      <c r="BMG2" s="266"/>
      <c r="BMH2" s="266"/>
      <c r="BMI2" s="266"/>
      <c r="BMJ2" s="266"/>
      <c r="BMK2" s="266"/>
      <c r="BML2" s="266"/>
      <c r="BMM2" s="266"/>
      <c r="BMN2" s="266"/>
      <c r="BMO2" s="266"/>
      <c r="BMP2" s="266"/>
      <c r="BMQ2" s="266"/>
      <c r="BMR2" s="266"/>
      <c r="BMS2" s="266"/>
      <c r="BMT2" s="266"/>
      <c r="BMU2" s="266"/>
      <c r="BMV2" s="266"/>
      <c r="BMW2" s="266"/>
      <c r="BMX2" s="266"/>
      <c r="BMY2" s="266"/>
      <c r="BMZ2" s="266"/>
      <c r="BNA2" s="266"/>
      <c r="BNB2" s="266"/>
      <c r="BNC2" s="266"/>
      <c r="BND2" s="266"/>
      <c r="BNE2" s="266"/>
      <c r="BNF2" s="266"/>
      <c r="BNG2" s="266"/>
      <c r="BNH2" s="266"/>
      <c r="BNI2" s="266"/>
      <c r="BNJ2" s="266"/>
      <c r="BNK2" s="266"/>
      <c r="BNL2" s="266"/>
      <c r="BNM2" s="266"/>
      <c r="BNN2" s="266"/>
      <c r="BNO2" s="266"/>
      <c r="BNP2" s="266"/>
      <c r="BNQ2" s="266"/>
      <c r="BNR2" s="266"/>
      <c r="BNS2" s="266"/>
      <c r="BNT2" s="266"/>
      <c r="BNU2" s="266"/>
      <c r="BNV2" s="266"/>
      <c r="BNW2" s="266"/>
      <c r="BNX2" s="266"/>
      <c r="BNY2" s="266"/>
      <c r="BNZ2" s="266"/>
      <c r="BOA2" s="266"/>
      <c r="BOB2" s="266"/>
      <c r="BOC2" s="266"/>
      <c r="BOD2" s="266"/>
      <c r="BOE2" s="266"/>
      <c r="BOF2" s="266"/>
      <c r="BOG2" s="266"/>
      <c r="BOH2" s="266"/>
      <c r="BOI2" s="266"/>
      <c r="BOJ2" s="266"/>
      <c r="BOK2" s="266"/>
      <c r="BOL2" s="266"/>
      <c r="BOM2" s="266"/>
      <c r="BON2" s="266"/>
      <c r="BOO2" s="266"/>
      <c r="BOP2" s="266"/>
      <c r="BOQ2" s="266"/>
      <c r="BOR2" s="266"/>
      <c r="BOS2" s="266"/>
      <c r="BOT2" s="266"/>
      <c r="BOU2" s="266"/>
      <c r="BOV2" s="266"/>
      <c r="BOW2" s="266"/>
      <c r="BOX2" s="266"/>
      <c r="BOY2" s="266"/>
      <c r="BOZ2" s="266"/>
      <c r="BPA2" s="266"/>
      <c r="BPB2" s="266"/>
      <c r="BPC2" s="266"/>
      <c r="BPD2" s="266"/>
      <c r="BPE2" s="266"/>
      <c r="BPF2" s="266"/>
      <c r="BPG2" s="266"/>
      <c r="BPH2" s="266"/>
      <c r="BPI2" s="266"/>
      <c r="BPJ2" s="266"/>
      <c r="BPK2" s="266"/>
      <c r="BPL2" s="266"/>
      <c r="BPM2" s="266"/>
      <c r="BPN2" s="266"/>
      <c r="BPO2" s="266"/>
      <c r="BPP2" s="266"/>
      <c r="BPQ2" s="266"/>
      <c r="BPR2" s="266"/>
      <c r="BPS2" s="266"/>
      <c r="BPT2" s="266"/>
      <c r="BPU2" s="266"/>
      <c r="BPV2" s="266"/>
      <c r="BPW2" s="266"/>
      <c r="BPX2" s="266"/>
      <c r="BPY2" s="266"/>
      <c r="BPZ2" s="266"/>
      <c r="BQA2" s="266"/>
      <c r="BQB2" s="266"/>
      <c r="BQC2" s="266"/>
      <c r="BQD2" s="266"/>
      <c r="BQE2" s="266"/>
      <c r="BQF2" s="266"/>
      <c r="BQG2" s="266"/>
      <c r="BQH2" s="266"/>
      <c r="BQI2" s="266"/>
      <c r="BQJ2" s="266"/>
      <c r="BQK2" s="266"/>
      <c r="BQL2" s="266"/>
      <c r="BQM2" s="266"/>
      <c r="BQN2" s="266"/>
      <c r="BQO2" s="266"/>
      <c r="BQP2" s="266"/>
      <c r="BQQ2" s="266"/>
      <c r="BQR2" s="266"/>
      <c r="BQS2" s="266"/>
      <c r="BQT2" s="266"/>
      <c r="BQU2" s="266"/>
      <c r="BQV2" s="266"/>
      <c r="BQW2" s="266"/>
      <c r="BQX2" s="266"/>
      <c r="BQY2" s="266"/>
      <c r="BQZ2" s="266"/>
      <c r="BRA2" s="266"/>
      <c r="BRB2" s="266"/>
      <c r="BRC2" s="266"/>
      <c r="BRD2" s="266"/>
      <c r="BRE2" s="266"/>
      <c r="BRF2" s="266"/>
      <c r="BRG2" s="266"/>
      <c r="BRH2" s="266"/>
      <c r="BRI2" s="266"/>
      <c r="BRJ2" s="266"/>
      <c r="BRK2" s="266"/>
      <c r="BRL2" s="266"/>
      <c r="BRM2" s="266"/>
      <c r="BRN2" s="266"/>
      <c r="BRO2" s="266"/>
      <c r="BRP2" s="266"/>
      <c r="BRQ2" s="266"/>
      <c r="BRR2" s="266"/>
      <c r="BRS2" s="266"/>
      <c r="BRT2" s="266"/>
      <c r="BRU2" s="266"/>
      <c r="BRV2" s="266"/>
      <c r="BRW2" s="266"/>
      <c r="BRX2" s="266"/>
      <c r="BRY2" s="266"/>
      <c r="BRZ2" s="266"/>
      <c r="BSA2" s="266"/>
      <c r="BSB2" s="266"/>
      <c r="BSC2" s="266"/>
      <c r="BSD2" s="266"/>
      <c r="BSE2" s="266"/>
      <c r="BSF2" s="266"/>
      <c r="BSG2" s="266"/>
      <c r="BSH2" s="266"/>
      <c r="BSI2" s="266"/>
      <c r="BSJ2" s="266"/>
      <c r="BSK2" s="266"/>
      <c r="BSL2" s="266"/>
      <c r="BSM2" s="266"/>
      <c r="BSN2" s="266"/>
      <c r="BSO2" s="266"/>
      <c r="BSP2" s="266"/>
      <c r="BSQ2" s="266"/>
      <c r="BSR2" s="266"/>
      <c r="BSS2" s="266"/>
      <c r="BST2" s="266"/>
      <c r="BSU2" s="266"/>
      <c r="BSV2" s="266"/>
      <c r="BSW2" s="266"/>
      <c r="BSX2" s="266"/>
      <c r="BSY2" s="266"/>
      <c r="BSZ2" s="266"/>
      <c r="BTA2" s="266"/>
      <c r="BTB2" s="266"/>
      <c r="BTC2" s="266"/>
      <c r="BTD2" s="266"/>
      <c r="BTE2" s="266"/>
      <c r="BTF2" s="266"/>
      <c r="BTG2" s="266"/>
      <c r="BTH2" s="266"/>
      <c r="BTI2" s="266"/>
      <c r="BTJ2" s="266"/>
      <c r="BTK2" s="266"/>
      <c r="BTL2" s="266"/>
      <c r="BTM2" s="266"/>
      <c r="BTN2" s="266"/>
      <c r="BTO2" s="266"/>
      <c r="BTP2" s="266"/>
      <c r="BTQ2" s="266"/>
      <c r="BTR2" s="266"/>
      <c r="BTS2" s="266"/>
      <c r="BTT2" s="266"/>
      <c r="BTU2" s="266"/>
      <c r="BTV2" s="266"/>
      <c r="BTW2" s="266"/>
      <c r="BTX2" s="266"/>
      <c r="BTY2" s="266"/>
      <c r="BTZ2" s="266"/>
      <c r="BUA2" s="266"/>
      <c r="BUB2" s="266"/>
      <c r="BUC2" s="266"/>
      <c r="BUD2" s="266"/>
      <c r="BUE2" s="266"/>
      <c r="BUF2" s="266"/>
      <c r="BUG2" s="266"/>
      <c r="BUH2" s="266"/>
      <c r="BUI2" s="266"/>
      <c r="BUJ2" s="266"/>
      <c r="BUK2" s="266"/>
      <c r="BUL2" s="266"/>
      <c r="BUM2" s="266"/>
      <c r="BUN2" s="266"/>
      <c r="BUO2" s="266"/>
      <c r="BUP2" s="266"/>
      <c r="BUQ2" s="266"/>
      <c r="BUR2" s="266"/>
      <c r="BUS2" s="266"/>
      <c r="BUT2" s="266"/>
      <c r="BUU2" s="266"/>
      <c r="BUV2" s="266"/>
      <c r="BUW2" s="266"/>
      <c r="BUX2" s="266"/>
      <c r="BUY2" s="266"/>
      <c r="BUZ2" s="266"/>
      <c r="BVA2" s="266"/>
      <c r="BVB2" s="266"/>
      <c r="BVC2" s="266"/>
      <c r="BVD2" s="266"/>
      <c r="BVE2" s="266"/>
      <c r="BVF2" s="266"/>
      <c r="BVG2" s="266"/>
      <c r="BVH2" s="266"/>
      <c r="BVI2" s="266"/>
      <c r="BVJ2" s="266"/>
      <c r="BVK2" s="266"/>
      <c r="BVL2" s="266"/>
      <c r="BVM2" s="266"/>
      <c r="BVN2" s="266"/>
      <c r="BVO2" s="266"/>
      <c r="BVP2" s="266"/>
      <c r="BVQ2" s="266"/>
      <c r="BVR2" s="266"/>
      <c r="BVS2" s="266"/>
      <c r="BVT2" s="266"/>
      <c r="BVU2" s="266"/>
      <c r="BVV2" s="266"/>
      <c r="BVW2" s="266"/>
      <c r="BVX2" s="266"/>
      <c r="BVY2" s="266"/>
      <c r="BVZ2" s="266"/>
      <c r="BWA2" s="266"/>
      <c r="BWB2" s="266"/>
      <c r="BWC2" s="266"/>
      <c r="BWD2" s="266"/>
      <c r="BWE2" s="266"/>
      <c r="BWF2" s="266"/>
      <c r="BWG2" s="266"/>
      <c r="BWH2" s="266"/>
      <c r="BWI2" s="266"/>
      <c r="BWJ2" s="266"/>
      <c r="BWK2" s="266"/>
      <c r="BWL2" s="266"/>
      <c r="BWM2" s="266"/>
      <c r="BWN2" s="266"/>
      <c r="BWO2" s="266"/>
      <c r="BWP2" s="266"/>
      <c r="BWQ2" s="266"/>
      <c r="BWR2" s="266"/>
      <c r="BWS2" s="266"/>
      <c r="BWT2" s="266"/>
      <c r="BWU2" s="266"/>
      <c r="BWV2" s="266"/>
      <c r="BWW2" s="266"/>
      <c r="BWX2" s="266"/>
      <c r="BWY2" s="266"/>
      <c r="BWZ2" s="266"/>
      <c r="BXA2" s="266"/>
      <c r="BXB2" s="266"/>
      <c r="BXC2" s="266"/>
      <c r="BXD2" s="266"/>
      <c r="BXE2" s="266"/>
      <c r="BXF2" s="266"/>
      <c r="BXG2" s="266"/>
      <c r="BXH2" s="266"/>
      <c r="BXI2" s="266"/>
      <c r="BXJ2" s="266"/>
      <c r="BXK2" s="266"/>
      <c r="BXL2" s="266"/>
      <c r="BXM2" s="266"/>
      <c r="BXN2" s="266"/>
      <c r="BXO2" s="266"/>
      <c r="BXP2" s="266"/>
      <c r="BXQ2" s="266"/>
      <c r="BXR2" s="266"/>
      <c r="BXS2" s="266"/>
      <c r="BXT2" s="266"/>
      <c r="BXU2" s="266"/>
      <c r="BXV2" s="266"/>
      <c r="BXW2" s="266"/>
      <c r="BXX2" s="266"/>
      <c r="BXY2" s="266"/>
      <c r="BXZ2" s="266"/>
      <c r="BYA2" s="266"/>
      <c r="BYB2" s="266"/>
      <c r="BYC2" s="266"/>
      <c r="BYD2" s="266"/>
      <c r="BYE2" s="266"/>
      <c r="BYF2" s="266"/>
      <c r="BYG2" s="266"/>
      <c r="BYH2" s="266"/>
      <c r="BYI2" s="266"/>
      <c r="BYJ2" s="266"/>
      <c r="BYK2" s="266"/>
      <c r="BYL2" s="266"/>
      <c r="BYM2" s="266"/>
      <c r="BYN2" s="266"/>
      <c r="BYO2" s="266"/>
      <c r="BYP2" s="266"/>
      <c r="BYQ2" s="266"/>
      <c r="BYR2" s="266"/>
      <c r="BYS2" s="266"/>
      <c r="BYT2" s="266"/>
      <c r="BYU2" s="266"/>
      <c r="BYV2" s="266"/>
      <c r="BYW2" s="266"/>
      <c r="BYX2" s="266"/>
      <c r="BYY2" s="266"/>
      <c r="BYZ2" s="266"/>
      <c r="BZA2" s="266"/>
      <c r="BZB2" s="266"/>
      <c r="BZC2" s="266"/>
      <c r="BZD2" s="266"/>
      <c r="BZE2" s="266"/>
      <c r="BZF2" s="266"/>
      <c r="BZG2" s="266"/>
      <c r="BZH2" s="266"/>
      <c r="BZI2" s="266"/>
      <c r="BZJ2" s="266"/>
      <c r="BZK2" s="266"/>
      <c r="BZL2" s="266"/>
      <c r="BZM2" s="266"/>
      <c r="BZN2" s="266"/>
      <c r="BZO2" s="266"/>
      <c r="BZP2" s="266"/>
      <c r="BZQ2" s="266"/>
      <c r="BZR2" s="266"/>
      <c r="BZS2" s="266"/>
      <c r="BZT2" s="266"/>
      <c r="BZU2" s="266"/>
      <c r="BZV2" s="266"/>
      <c r="BZW2" s="266"/>
      <c r="BZX2" s="266"/>
      <c r="BZY2" s="266"/>
      <c r="BZZ2" s="266"/>
      <c r="CAA2" s="266"/>
      <c r="CAB2" s="266"/>
      <c r="CAC2" s="266"/>
      <c r="CAD2" s="266"/>
      <c r="CAE2" s="266"/>
      <c r="CAF2" s="266"/>
      <c r="CAG2" s="266"/>
      <c r="CAH2" s="266"/>
      <c r="CAI2" s="266"/>
      <c r="CAJ2" s="266"/>
      <c r="CAK2" s="266"/>
      <c r="CAL2" s="266"/>
      <c r="CAM2" s="266"/>
      <c r="CAN2" s="266"/>
      <c r="CAO2" s="266"/>
      <c r="CAP2" s="266"/>
      <c r="CAQ2" s="266"/>
      <c r="CAR2" s="266"/>
      <c r="CAS2" s="266"/>
      <c r="CAT2" s="266"/>
      <c r="CAU2" s="266"/>
      <c r="CAV2" s="266"/>
      <c r="CAW2" s="266"/>
      <c r="CAX2" s="266"/>
      <c r="CAY2" s="266"/>
      <c r="CAZ2" s="266"/>
      <c r="CBA2" s="266"/>
      <c r="CBB2" s="266"/>
      <c r="CBC2" s="266"/>
      <c r="CBD2" s="266"/>
      <c r="CBE2" s="266"/>
      <c r="CBF2" s="266"/>
      <c r="CBG2" s="266"/>
      <c r="CBH2" s="266"/>
      <c r="CBI2" s="266"/>
      <c r="CBJ2" s="266"/>
      <c r="CBK2" s="266"/>
      <c r="CBL2" s="266"/>
      <c r="CBM2" s="266"/>
      <c r="CBN2" s="266"/>
      <c r="CBO2" s="266"/>
      <c r="CBP2" s="266"/>
      <c r="CBQ2" s="266"/>
      <c r="CBR2" s="266"/>
      <c r="CBS2" s="266"/>
      <c r="CBT2" s="266"/>
      <c r="CBU2" s="266"/>
      <c r="CBV2" s="266"/>
      <c r="CBW2" s="266"/>
      <c r="CBX2" s="266"/>
      <c r="CBY2" s="266"/>
      <c r="CBZ2" s="266"/>
      <c r="CCA2" s="266"/>
      <c r="CCB2" s="266"/>
      <c r="CCC2" s="266"/>
      <c r="CCD2" s="266"/>
      <c r="CCE2" s="266"/>
      <c r="CCF2" s="266"/>
      <c r="CCG2" s="266"/>
      <c r="CCH2" s="266"/>
      <c r="CCI2" s="266"/>
      <c r="CCJ2" s="266"/>
      <c r="CCK2" s="266"/>
      <c r="CCL2" s="266"/>
      <c r="CCM2" s="266"/>
      <c r="CCN2" s="266"/>
      <c r="CCO2" s="266"/>
      <c r="CCP2" s="266"/>
      <c r="CCQ2" s="266"/>
      <c r="CCR2" s="266"/>
      <c r="CCS2" s="266"/>
      <c r="CCT2" s="266"/>
      <c r="CCU2" s="266"/>
      <c r="CCV2" s="266"/>
      <c r="CCW2" s="266"/>
      <c r="CCX2" s="266"/>
      <c r="CCY2" s="266"/>
      <c r="CCZ2" s="266"/>
      <c r="CDA2" s="266"/>
      <c r="CDB2" s="266"/>
      <c r="CDC2" s="266"/>
      <c r="CDD2" s="266"/>
      <c r="CDE2" s="266"/>
      <c r="CDF2" s="266"/>
      <c r="CDG2" s="266"/>
      <c r="CDH2" s="266"/>
      <c r="CDI2" s="266"/>
      <c r="CDJ2" s="266"/>
      <c r="CDK2" s="266"/>
      <c r="CDL2" s="266"/>
      <c r="CDM2" s="266"/>
      <c r="CDN2" s="266"/>
      <c r="CDO2" s="266"/>
      <c r="CDP2" s="266"/>
      <c r="CDQ2" s="266"/>
      <c r="CDR2" s="266"/>
      <c r="CDS2" s="266"/>
      <c r="CDT2" s="266"/>
      <c r="CDU2" s="266"/>
      <c r="CDV2" s="266"/>
      <c r="CDW2" s="266"/>
      <c r="CDX2" s="266"/>
      <c r="CDY2" s="266"/>
      <c r="CDZ2" s="266"/>
      <c r="CEA2" s="266"/>
      <c r="CEB2" s="266"/>
      <c r="CEC2" s="266"/>
      <c r="CED2" s="266"/>
      <c r="CEE2" s="266"/>
      <c r="CEF2" s="266"/>
      <c r="CEG2" s="266"/>
      <c r="CEH2" s="266"/>
      <c r="CEI2" s="266"/>
      <c r="CEJ2" s="266"/>
      <c r="CEK2" s="266"/>
      <c r="CEL2" s="266"/>
      <c r="CEM2" s="266"/>
      <c r="CEN2" s="266"/>
      <c r="CEO2" s="266"/>
      <c r="CEP2" s="266"/>
      <c r="CEQ2" s="266"/>
      <c r="CER2" s="266"/>
      <c r="CES2" s="266"/>
      <c r="CET2" s="266"/>
      <c r="CEU2" s="266"/>
      <c r="CEV2" s="266"/>
      <c r="CEW2" s="266"/>
      <c r="CEX2" s="266"/>
      <c r="CEY2" s="266"/>
      <c r="CEZ2" s="266"/>
      <c r="CFA2" s="266"/>
      <c r="CFB2" s="266"/>
      <c r="CFC2" s="266"/>
      <c r="CFD2" s="266"/>
      <c r="CFE2" s="266"/>
      <c r="CFF2" s="266"/>
      <c r="CFG2" s="266"/>
      <c r="CFH2" s="266"/>
      <c r="CFI2" s="266"/>
      <c r="CFJ2" s="266"/>
      <c r="CFK2" s="266"/>
      <c r="CFL2" s="266"/>
      <c r="CFM2" s="266"/>
      <c r="CFN2" s="266"/>
      <c r="CFO2" s="266"/>
      <c r="CFP2" s="266"/>
      <c r="CFQ2" s="266"/>
      <c r="CFR2" s="266"/>
      <c r="CFS2" s="266"/>
      <c r="CFT2" s="266"/>
      <c r="CFU2" s="266"/>
      <c r="CFV2" s="266"/>
      <c r="CFW2" s="266"/>
      <c r="CFX2" s="266"/>
      <c r="CFY2" s="266"/>
      <c r="CFZ2" s="266"/>
      <c r="CGA2" s="266"/>
      <c r="CGB2" s="266"/>
      <c r="CGC2" s="266"/>
      <c r="CGD2" s="266"/>
      <c r="CGE2" s="266"/>
      <c r="CGF2" s="266"/>
      <c r="CGG2" s="266"/>
      <c r="CGH2" s="266"/>
      <c r="CGI2" s="266"/>
      <c r="CGJ2" s="266"/>
      <c r="CGK2" s="266"/>
      <c r="CGL2" s="266"/>
      <c r="CGM2" s="266"/>
      <c r="CGN2" s="266"/>
      <c r="CGO2" s="266"/>
      <c r="CGP2" s="266"/>
      <c r="CGQ2" s="266"/>
      <c r="CGR2" s="266"/>
      <c r="CGS2" s="266"/>
      <c r="CGT2" s="266"/>
      <c r="CGU2" s="266"/>
      <c r="CGV2" s="266"/>
      <c r="CGW2" s="266"/>
      <c r="CGX2" s="266"/>
      <c r="CGY2" s="266"/>
      <c r="CGZ2" s="266"/>
      <c r="CHA2" s="266"/>
      <c r="CHB2" s="266"/>
      <c r="CHC2" s="266"/>
      <c r="CHD2" s="266"/>
      <c r="CHE2" s="266"/>
      <c r="CHF2" s="266"/>
      <c r="CHG2" s="266"/>
      <c r="CHH2" s="266"/>
      <c r="CHI2" s="266"/>
      <c r="CHJ2" s="266"/>
      <c r="CHK2" s="266"/>
      <c r="CHL2" s="266"/>
      <c r="CHM2" s="266"/>
      <c r="CHN2" s="266"/>
      <c r="CHO2" s="266"/>
      <c r="CHP2" s="266"/>
      <c r="CHQ2" s="266"/>
      <c r="CHR2" s="266"/>
      <c r="CHS2" s="266"/>
      <c r="CHT2" s="266"/>
      <c r="CHU2" s="266"/>
      <c r="CHV2" s="266"/>
      <c r="CHW2" s="266"/>
      <c r="CHX2" s="266"/>
      <c r="CHY2" s="266"/>
      <c r="CHZ2" s="266"/>
      <c r="CIA2" s="266"/>
      <c r="CIB2" s="266"/>
      <c r="CIC2" s="266"/>
      <c r="CID2" s="266"/>
      <c r="CIE2" s="266"/>
      <c r="CIF2" s="266"/>
      <c r="CIG2" s="266"/>
      <c r="CIH2" s="266"/>
      <c r="CII2" s="266"/>
      <c r="CIJ2" s="266"/>
      <c r="CIK2" s="266"/>
      <c r="CIL2" s="266"/>
      <c r="CIM2" s="266"/>
      <c r="CIN2" s="266"/>
      <c r="CIO2" s="266"/>
      <c r="CIP2" s="266"/>
      <c r="CIQ2" s="266"/>
      <c r="CIR2" s="266"/>
      <c r="CIS2" s="266"/>
      <c r="CIT2" s="266"/>
      <c r="CIU2" s="266"/>
      <c r="CIV2" s="266"/>
      <c r="CIW2" s="266"/>
      <c r="CIX2" s="266"/>
      <c r="CIY2" s="266"/>
      <c r="CIZ2" s="266"/>
      <c r="CJA2" s="266"/>
      <c r="CJB2" s="266"/>
      <c r="CJC2" s="266"/>
      <c r="CJD2" s="266"/>
      <c r="CJE2" s="266"/>
      <c r="CJF2" s="266"/>
      <c r="CJG2" s="266"/>
      <c r="CJH2" s="266"/>
      <c r="CJI2" s="266"/>
      <c r="CJJ2" s="266"/>
      <c r="CJK2" s="266"/>
      <c r="CJL2" s="266"/>
      <c r="CJM2" s="266"/>
      <c r="CJN2" s="266"/>
      <c r="CJO2" s="266"/>
      <c r="CJP2" s="266"/>
      <c r="CJQ2" s="266"/>
      <c r="CJR2" s="266"/>
      <c r="CJS2" s="266"/>
      <c r="CJT2" s="266"/>
      <c r="CJU2" s="266"/>
      <c r="CJV2" s="266"/>
      <c r="CJW2" s="266"/>
      <c r="CJX2" s="266"/>
      <c r="CJY2" s="266"/>
      <c r="CJZ2" s="266"/>
      <c r="CKA2" s="266"/>
      <c r="CKB2" s="266"/>
      <c r="CKC2" s="266"/>
      <c r="CKD2" s="266"/>
      <c r="CKE2" s="266"/>
      <c r="CKF2" s="266"/>
      <c r="CKG2" s="266"/>
      <c r="CKH2" s="266"/>
      <c r="CKI2" s="266"/>
      <c r="CKJ2" s="266"/>
      <c r="CKK2" s="266"/>
      <c r="CKL2" s="266"/>
      <c r="CKM2" s="266"/>
      <c r="CKN2" s="266"/>
      <c r="CKO2" s="266"/>
      <c r="CKP2" s="266"/>
      <c r="CKQ2" s="266"/>
      <c r="CKR2" s="266"/>
      <c r="CKS2" s="266"/>
      <c r="CKT2" s="266"/>
      <c r="CKU2" s="266"/>
      <c r="CKV2" s="266"/>
      <c r="CKW2" s="266"/>
      <c r="CKX2" s="266"/>
      <c r="CKY2" s="266"/>
      <c r="CKZ2" s="266"/>
      <c r="CLA2" s="266"/>
      <c r="CLB2" s="266"/>
      <c r="CLC2" s="266"/>
      <c r="CLD2" s="266"/>
      <c r="CLE2" s="266"/>
      <c r="CLF2" s="266"/>
      <c r="CLG2" s="266"/>
      <c r="CLH2" s="266"/>
      <c r="CLI2" s="266"/>
      <c r="CLJ2" s="266"/>
      <c r="CLK2" s="266"/>
      <c r="CLL2" s="266"/>
      <c r="CLM2" s="266"/>
      <c r="CLN2" s="266"/>
      <c r="CLO2" s="266"/>
      <c r="CLP2" s="266"/>
      <c r="CLQ2" s="266"/>
      <c r="CLR2" s="266"/>
      <c r="CLS2" s="266"/>
      <c r="CLT2" s="266"/>
      <c r="CLU2" s="266"/>
      <c r="CLV2" s="266"/>
      <c r="CLW2" s="266"/>
      <c r="CLX2" s="266"/>
      <c r="CLY2" s="266"/>
      <c r="CLZ2" s="266"/>
      <c r="CMA2" s="266"/>
      <c r="CMB2" s="266"/>
      <c r="CMC2" s="266"/>
      <c r="CMD2" s="266"/>
      <c r="CME2" s="266"/>
      <c r="CMF2" s="266"/>
      <c r="CMG2" s="266"/>
      <c r="CMH2" s="266"/>
      <c r="CMI2" s="266"/>
      <c r="CMJ2" s="266"/>
      <c r="CMK2" s="266"/>
      <c r="CML2" s="266"/>
      <c r="CMM2" s="266"/>
      <c r="CMN2" s="266"/>
      <c r="CMO2" s="266"/>
      <c r="CMP2" s="266"/>
      <c r="CMQ2" s="266"/>
      <c r="CMR2" s="266"/>
      <c r="CMS2" s="266"/>
      <c r="CMT2" s="266"/>
      <c r="CMU2" s="266"/>
      <c r="CMV2" s="266"/>
      <c r="CMW2" s="266"/>
      <c r="CMX2" s="266"/>
      <c r="CMY2" s="266"/>
      <c r="CMZ2" s="266"/>
      <c r="CNA2" s="266"/>
      <c r="CNB2" s="266"/>
      <c r="CNC2" s="266"/>
      <c r="CND2" s="266"/>
      <c r="CNE2" s="266"/>
      <c r="CNF2" s="266"/>
      <c r="CNG2" s="266"/>
      <c r="CNH2" s="266"/>
      <c r="CNI2" s="266"/>
      <c r="CNJ2" s="266"/>
      <c r="CNK2" s="266"/>
      <c r="CNL2" s="266"/>
      <c r="CNM2" s="266"/>
      <c r="CNN2" s="266"/>
      <c r="CNO2" s="266"/>
      <c r="CNP2" s="266"/>
      <c r="CNQ2" s="266"/>
      <c r="CNR2" s="266"/>
      <c r="CNS2" s="266"/>
      <c r="CNT2" s="266"/>
      <c r="CNU2" s="266"/>
      <c r="CNV2" s="266"/>
      <c r="CNW2" s="266"/>
      <c r="CNX2" s="266"/>
      <c r="CNY2" s="266"/>
      <c r="CNZ2" s="266"/>
      <c r="COA2" s="266"/>
      <c r="COB2" s="266"/>
      <c r="COC2" s="266"/>
      <c r="COD2" s="266"/>
      <c r="COE2" s="266"/>
      <c r="COF2" s="266"/>
      <c r="COG2" s="266"/>
      <c r="COH2" s="266"/>
      <c r="COI2" s="266"/>
      <c r="COJ2" s="266"/>
      <c r="COK2" s="266"/>
      <c r="COL2" s="266"/>
      <c r="COM2" s="266"/>
      <c r="CON2" s="266"/>
      <c r="COO2" s="266"/>
      <c r="COP2" s="266"/>
      <c r="COQ2" s="266"/>
      <c r="COR2" s="266"/>
      <c r="COS2" s="266"/>
      <c r="COT2" s="266"/>
      <c r="COU2" s="266"/>
      <c r="COV2" s="266"/>
      <c r="COW2" s="266"/>
      <c r="COX2" s="266"/>
      <c r="COY2" s="266"/>
      <c r="COZ2" s="266"/>
      <c r="CPA2" s="266"/>
      <c r="CPB2" s="266"/>
      <c r="CPC2" s="266"/>
      <c r="CPD2" s="266"/>
      <c r="CPE2" s="266"/>
      <c r="CPF2" s="266"/>
      <c r="CPG2" s="266"/>
      <c r="CPH2" s="266"/>
      <c r="CPI2" s="266"/>
      <c r="CPJ2" s="266"/>
      <c r="CPK2" s="266"/>
      <c r="CPL2" s="266"/>
      <c r="CPM2" s="266"/>
      <c r="CPN2" s="266"/>
      <c r="CPO2" s="266"/>
      <c r="CPP2" s="266"/>
      <c r="CPQ2" s="266"/>
      <c r="CPR2" s="266"/>
      <c r="CPS2" s="266"/>
      <c r="CPT2" s="266"/>
      <c r="CPU2" s="266"/>
      <c r="CPV2" s="266"/>
      <c r="CPW2" s="266"/>
      <c r="CPX2" s="266"/>
      <c r="CPY2" s="266"/>
      <c r="CPZ2" s="266"/>
      <c r="CQA2" s="266"/>
      <c r="CQB2" s="266"/>
      <c r="CQC2" s="266"/>
      <c r="CQD2" s="266"/>
      <c r="CQE2" s="266"/>
      <c r="CQF2" s="266"/>
      <c r="CQG2" s="266"/>
      <c r="CQH2" s="266"/>
      <c r="CQI2" s="266"/>
      <c r="CQJ2" s="266"/>
      <c r="CQK2" s="266"/>
      <c r="CQL2" s="266"/>
      <c r="CQM2" s="266"/>
      <c r="CQN2" s="266"/>
      <c r="CQO2" s="266"/>
      <c r="CQP2" s="266"/>
      <c r="CQQ2" s="266"/>
      <c r="CQR2" s="266"/>
      <c r="CQS2" s="266"/>
      <c r="CQT2" s="266"/>
      <c r="CQU2" s="266"/>
      <c r="CQV2" s="266"/>
      <c r="CQW2" s="266"/>
      <c r="CQX2" s="266"/>
      <c r="CQY2" s="266"/>
      <c r="CQZ2" s="266"/>
      <c r="CRA2" s="266"/>
      <c r="CRB2" s="266"/>
      <c r="CRC2" s="266"/>
      <c r="CRD2" s="266"/>
      <c r="CRE2" s="266"/>
      <c r="CRF2" s="266"/>
      <c r="CRG2" s="266"/>
      <c r="CRH2" s="266"/>
      <c r="CRI2" s="266"/>
      <c r="CRJ2" s="266"/>
      <c r="CRK2" s="266"/>
      <c r="CRL2" s="266"/>
      <c r="CRM2" s="266"/>
      <c r="CRN2" s="266"/>
      <c r="CRO2" s="266"/>
      <c r="CRP2" s="266"/>
      <c r="CRQ2" s="266"/>
      <c r="CRR2" s="266"/>
      <c r="CRS2" s="266"/>
      <c r="CRT2" s="266"/>
      <c r="CRU2" s="266"/>
      <c r="CRV2" s="266"/>
      <c r="CRW2" s="266"/>
      <c r="CRX2" s="266"/>
      <c r="CRY2" s="266"/>
      <c r="CRZ2" s="266"/>
      <c r="CSA2" s="266"/>
      <c r="CSB2" s="266"/>
      <c r="CSC2" s="266"/>
      <c r="CSD2" s="266"/>
      <c r="CSE2" s="266"/>
      <c r="CSF2" s="266"/>
      <c r="CSG2" s="266"/>
      <c r="CSH2" s="266"/>
      <c r="CSI2" s="266"/>
      <c r="CSJ2" s="266"/>
      <c r="CSK2" s="266"/>
      <c r="CSL2" s="266"/>
      <c r="CSM2" s="266"/>
      <c r="CSN2" s="266"/>
      <c r="CSO2" s="266"/>
      <c r="CSP2" s="266"/>
      <c r="CSQ2" s="266"/>
      <c r="CSR2" s="266"/>
      <c r="CSS2" s="266"/>
      <c r="CST2" s="266"/>
      <c r="CSU2" s="266"/>
      <c r="CSV2" s="266"/>
      <c r="CSW2" s="266"/>
      <c r="CSX2" s="266"/>
      <c r="CSY2" s="266"/>
      <c r="CSZ2" s="266"/>
      <c r="CTA2" s="266"/>
      <c r="CTB2" s="266"/>
      <c r="CTC2" s="266"/>
      <c r="CTD2" s="266"/>
      <c r="CTE2" s="266"/>
      <c r="CTF2" s="266"/>
      <c r="CTG2" s="266"/>
      <c r="CTH2" s="266"/>
      <c r="CTI2" s="266"/>
      <c r="CTJ2" s="266"/>
      <c r="CTK2" s="266"/>
      <c r="CTL2" s="266"/>
      <c r="CTM2" s="266"/>
      <c r="CTN2" s="266"/>
      <c r="CTO2" s="266"/>
      <c r="CTP2" s="266"/>
      <c r="CTQ2" s="266"/>
      <c r="CTR2" s="266"/>
      <c r="CTS2" s="266"/>
      <c r="CTT2" s="266"/>
      <c r="CTU2" s="266"/>
      <c r="CTV2" s="266"/>
      <c r="CTW2" s="266"/>
      <c r="CTX2" s="266"/>
      <c r="CTY2" s="266"/>
      <c r="CTZ2" s="266"/>
      <c r="CUA2" s="266"/>
      <c r="CUB2" s="266"/>
      <c r="CUC2" s="266"/>
      <c r="CUD2" s="266"/>
      <c r="CUE2" s="266"/>
      <c r="CUF2" s="266"/>
      <c r="CUG2" s="266"/>
      <c r="CUH2" s="266"/>
      <c r="CUI2" s="266"/>
      <c r="CUJ2" s="266"/>
      <c r="CUK2" s="266"/>
      <c r="CUL2" s="266"/>
      <c r="CUM2" s="266"/>
      <c r="CUN2" s="266"/>
      <c r="CUO2" s="266"/>
      <c r="CUP2" s="266"/>
      <c r="CUQ2" s="266"/>
      <c r="CUR2" s="266"/>
      <c r="CUS2" s="266"/>
      <c r="CUT2" s="266"/>
      <c r="CUU2" s="266"/>
      <c r="CUV2" s="266"/>
      <c r="CUW2" s="266"/>
      <c r="CUX2" s="266"/>
      <c r="CUY2" s="266"/>
      <c r="CUZ2" s="266"/>
      <c r="CVA2" s="266"/>
      <c r="CVB2" s="266"/>
      <c r="CVC2" s="266"/>
      <c r="CVD2" s="266"/>
      <c r="CVE2" s="266"/>
      <c r="CVF2" s="266"/>
      <c r="CVG2" s="266"/>
      <c r="CVH2" s="266"/>
      <c r="CVI2" s="266"/>
      <c r="CVJ2" s="266"/>
      <c r="CVK2" s="266"/>
      <c r="CVL2" s="266"/>
      <c r="CVM2" s="266"/>
      <c r="CVN2" s="266"/>
      <c r="CVO2" s="266"/>
      <c r="CVP2" s="266"/>
      <c r="CVQ2" s="266"/>
      <c r="CVR2" s="266"/>
      <c r="CVS2" s="266"/>
      <c r="CVT2" s="266"/>
      <c r="CVU2" s="266"/>
      <c r="CVV2" s="266"/>
      <c r="CVW2" s="266"/>
      <c r="CVX2" s="266"/>
      <c r="CVY2" s="266"/>
      <c r="CVZ2" s="266"/>
      <c r="CWA2" s="266"/>
      <c r="CWB2" s="266"/>
      <c r="CWC2" s="266"/>
      <c r="CWD2" s="266"/>
      <c r="CWE2" s="266"/>
      <c r="CWF2" s="266"/>
      <c r="CWG2" s="266"/>
      <c r="CWH2" s="266"/>
      <c r="CWI2" s="266"/>
      <c r="CWJ2" s="266"/>
      <c r="CWK2" s="266"/>
      <c r="CWL2" s="266"/>
      <c r="CWM2" s="266"/>
      <c r="CWN2" s="266"/>
      <c r="CWO2" s="266"/>
      <c r="CWP2" s="266"/>
      <c r="CWQ2" s="266"/>
      <c r="CWR2" s="266"/>
      <c r="CWS2" s="266"/>
      <c r="CWT2" s="266"/>
      <c r="CWU2" s="266"/>
      <c r="CWV2" s="266"/>
      <c r="CWW2" s="266"/>
      <c r="CWX2" s="266"/>
      <c r="CWY2" s="266"/>
      <c r="CWZ2" s="266"/>
      <c r="CXA2" s="266"/>
      <c r="CXB2" s="266"/>
      <c r="CXC2" s="266"/>
      <c r="CXD2" s="266"/>
      <c r="CXE2" s="266"/>
      <c r="CXF2" s="266"/>
      <c r="CXG2" s="266"/>
      <c r="CXH2" s="266"/>
      <c r="CXI2" s="266"/>
      <c r="CXJ2" s="266"/>
      <c r="CXK2" s="266"/>
      <c r="CXL2" s="266"/>
      <c r="CXM2" s="266"/>
      <c r="CXN2" s="266"/>
      <c r="CXO2" s="266"/>
      <c r="CXP2" s="266"/>
      <c r="CXQ2" s="266"/>
      <c r="CXR2" s="266"/>
      <c r="CXS2" s="266"/>
      <c r="CXT2" s="266"/>
      <c r="CXU2" s="266"/>
      <c r="CXV2" s="266"/>
      <c r="CXW2" s="266"/>
      <c r="CXX2" s="266"/>
      <c r="CXY2" s="266"/>
      <c r="CXZ2" s="266"/>
      <c r="CYA2" s="266"/>
      <c r="CYB2" s="266"/>
      <c r="CYC2" s="266"/>
      <c r="CYD2" s="266"/>
      <c r="CYE2" s="266"/>
      <c r="CYF2" s="266"/>
      <c r="CYG2" s="266"/>
      <c r="CYH2" s="266"/>
      <c r="CYI2" s="266"/>
      <c r="CYJ2" s="266"/>
      <c r="CYK2" s="266"/>
      <c r="CYL2" s="266"/>
      <c r="CYM2" s="266"/>
      <c r="CYN2" s="266"/>
      <c r="CYO2" s="266"/>
      <c r="CYP2" s="266"/>
      <c r="CYQ2" s="266"/>
      <c r="CYR2" s="266"/>
      <c r="CYS2" s="266"/>
      <c r="CYT2" s="266"/>
      <c r="CYU2" s="266"/>
      <c r="CYV2" s="266"/>
      <c r="CYW2" s="266"/>
      <c r="CYX2" s="266"/>
      <c r="CYY2" s="266"/>
      <c r="CYZ2" s="266"/>
      <c r="CZA2" s="266"/>
      <c r="CZB2" s="266"/>
      <c r="CZC2" s="266"/>
      <c r="CZD2" s="266"/>
      <c r="CZE2" s="266"/>
      <c r="CZF2" s="266"/>
      <c r="CZG2" s="266"/>
      <c r="CZH2" s="266"/>
      <c r="CZI2" s="266"/>
      <c r="CZJ2" s="266"/>
      <c r="CZK2" s="266"/>
      <c r="CZL2" s="266"/>
      <c r="CZM2" s="266"/>
      <c r="CZN2" s="266"/>
      <c r="CZO2" s="266"/>
      <c r="CZP2" s="266"/>
      <c r="CZQ2" s="266"/>
      <c r="CZR2" s="266"/>
      <c r="CZS2" s="266"/>
      <c r="CZT2" s="266"/>
      <c r="CZU2" s="266"/>
      <c r="CZV2" s="266"/>
      <c r="CZW2" s="266"/>
      <c r="CZX2" s="266"/>
      <c r="CZY2" s="266"/>
      <c r="CZZ2" s="266"/>
      <c r="DAA2" s="266"/>
      <c r="DAB2" s="266"/>
      <c r="DAC2" s="266"/>
      <c r="DAD2" s="266"/>
      <c r="DAE2" s="266"/>
      <c r="DAF2" s="266"/>
      <c r="DAG2" s="266"/>
      <c r="DAH2" s="266"/>
      <c r="DAI2" s="266"/>
      <c r="DAJ2" s="266"/>
      <c r="DAK2" s="266"/>
      <c r="DAL2" s="266"/>
      <c r="DAM2" s="266"/>
      <c r="DAN2" s="266"/>
      <c r="DAO2" s="266"/>
      <c r="DAP2" s="266"/>
      <c r="DAQ2" s="266"/>
      <c r="DAR2" s="266"/>
      <c r="DAS2" s="266"/>
      <c r="DAT2" s="266"/>
      <c r="DAU2" s="266"/>
      <c r="DAV2" s="266"/>
      <c r="DAW2" s="266"/>
      <c r="DAX2" s="266"/>
      <c r="DAY2" s="266"/>
      <c r="DAZ2" s="266"/>
      <c r="DBA2" s="266"/>
      <c r="DBB2" s="266"/>
      <c r="DBC2" s="266"/>
      <c r="DBD2" s="266"/>
      <c r="DBE2" s="266"/>
      <c r="DBF2" s="266"/>
      <c r="DBG2" s="266"/>
      <c r="DBH2" s="266"/>
      <c r="DBI2" s="266"/>
      <c r="DBJ2" s="266"/>
      <c r="DBK2" s="266"/>
      <c r="DBL2" s="266"/>
      <c r="DBM2" s="266"/>
      <c r="DBN2" s="266"/>
      <c r="DBO2" s="266"/>
      <c r="DBP2" s="266"/>
      <c r="DBQ2" s="266"/>
      <c r="DBR2" s="266"/>
      <c r="DBS2" s="266"/>
      <c r="DBT2" s="266"/>
      <c r="DBU2" s="266"/>
      <c r="DBV2" s="266"/>
      <c r="DBW2" s="266"/>
      <c r="DBX2" s="266"/>
      <c r="DBY2" s="266"/>
      <c r="DBZ2" s="266"/>
      <c r="DCA2" s="266"/>
      <c r="DCB2" s="266"/>
      <c r="DCC2" s="266"/>
      <c r="DCD2" s="266"/>
      <c r="DCE2" s="266"/>
      <c r="DCF2" s="266"/>
      <c r="DCG2" s="266"/>
      <c r="DCH2" s="266"/>
      <c r="DCI2" s="266"/>
      <c r="DCJ2" s="266"/>
      <c r="DCK2" s="266"/>
      <c r="DCL2" s="266"/>
      <c r="DCM2" s="266"/>
      <c r="DCN2" s="266"/>
      <c r="DCO2" s="266"/>
      <c r="DCP2" s="266"/>
      <c r="DCQ2" s="266"/>
      <c r="DCR2" s="266"/>
      <c r="DCS2" s="266"/>
      <c r="DCT2" s="266"/>
      <c r="DCU2" s="266"/>
      <c r="DCV2" s="266"/>
      <c r="DCW2" s="266"/>
      <c r="DCX2" s="266"/>
      <c r="DCY2" s="266"/>
      <c r="DCZ2" s="266"/>
      <c r="DDA2" s="266"/>
      <c r="DDB2" s="266"/>
      <c r="DDC2" s="266"/>
      <c r="DDD2" s="266"/>
      <c r="DDE2" s="266"/>
      <c r="DDF2" s="266"/>
      <c r="DDG2" s="266"/>
      <c r="DDH2" s="266"/>
      <c r="DDI2" s="266"/>
      <c r="DDJ2" s="266"/>
      <c r="DDK2" s="266"/>
      <c r="DDL2" s="266"/>
      <c r="DDM2" s="266"/>
      <c r="DDN2" s="266"/>
      <c r="DDO2" s="266"/>
      <c r="DDP2" s="266"/>
      <c r="DDQ2" s="266"/>
      <c r="DDR2" s="266"/>
      <c r="DDS2" s="266"/>
      <c r="DDT2" s="266"/>
      <c r="DDU2" s="266"/>
      <c r="DDV2" s="266"/>
      <c r="DDW2" s="266"/>
      <c r="DDX2" s="266"/>
      <c r="DDY2" s="266"/>
      <c r="DDZ2" s="266"/>
      <c r="DEA2" s="266"/>
      <c r="DEB2" s="266"/>
      <c r="DEC2" s="266"/>
      <c r="DED2" s="266"/>
      <c r="DEE2" s="266"/>
      <c r="DEF2" s="266"/>
      <c r="DEG2" s="266"/>
      <c r="DEH2" s="266"/>
      <c r="DEI2" s="266"/>
      <c r="DEJ2" s="266"/>
      <c r="DEK2" s="266"/>
      <c r="DEL2" s="266"/>
      <c r="DEM2" s="266"/>
      <c r="DEN2" s="266"/>
      <c r="DEO2" s="266"/>
      <c r="DEP2" s="266"/>
      <c r="DEQ2" s="266"/>
      <c r="DER2" s="266"/>
      <c r="DES2" s="266"/>
      <c r="DET2" s="266"/>
      <c r="DEU2" s="266"/>
      <c r="DEV2" s="266"/>
      <c r="DEW2" s="266"/>
      <c r="DEX2" s="266"/>
      <c r="DEY2" s="266"/>
      <c r="DEZ2" s="266"/>
      <c r="DFA2" s="266"/>
      <c r="DFB2" s="266"/>
      <c r="DFC2" s="266"/>
      <c r="DFD2" s="266"/>
      <c r="DFE2" s="266"/>
      <c r="DFF2" s="266"/>
      <c r="DFG2" s="266"/>
      <c r="DFH2" s="266"/>
      <c r="DFI2" s="266"/>
      <c r="DFJ2" s="266"/>
      <c r="DFK2" s="266"/>
      <c r="DFL2" s="266"/>
      <c r="DFM2" s="266"/>
      <c r="DFN2" s="266"/>
      <c r="DFO2" s="266"/>
      <c r="DFP2" s="266"/>
      <c r="DFQ2" s="266"/>
      <c r="DFR2" s="266"/>
      <c r="DFS2" s="266"/>
      <c r="DFT2" s="266"/>
      <c r="DFU2" s="266"/>
      <c r="DFV2" s="266"/>
      <c r="DFW2" s="266"/>
      <c r="DFX2" s="266"/>
      <c r="DFY2" s="266"/>
      <c r="DFZ2" s="266"/>
      <c r="DGA2" s="266"/>
      <c r="DGB2" s="266"/>
      <c r="DGC2" s="266"/>
      <c r="DGD2" s="266"/>
      <c r="DGE2" s="266"/>
      <c r="DGF2" s="266"/>
      <c r="DGG2" s="266"/>
      <c r="DGH2" s="266"/>
      <c r="DGI2" s="266"/>
      <c r="DGJ2" s="266"/>
      <c r="DGK2" s="266"/>
      <c r="DGL2" s="266"/>
      <c r="DGM2" s="266"/>
      <c r="DGN2" s="266"/>
      <c r="DGO2" s="266"/>
      <c r="DGP2" s="266"/>
      <c r="DGQ2" s="266"/>
      <c r="DGR2" s="266"/>
      <c r="DGS2" s="266"/>
      <c r="DGT2" s="266"/>
      <c r="DGU2" s="266"/>
      <c r="DGV2" s="266"/>
      <c r="DGW2" s="266"/>
      <c r="DGX2" s="266"/>
      <c r="DGY2" s="266"/>
      <c r="DGZ2" s="266"/>
      <c r="DHA2" s="266"/>
      <c r="DHB2" s="266"/>
      <c r="DHC2" s="266"/>
      <c r="DHD2" s="266"/>
      <c r="DHE2" s="266"/>
      <c r="DHF2" s="266"/>
      <c r="DHG2" s="266"/>
      <c r="DHH2" s="266"/>
      <c r="DHI2" s="266"/>
      <c r="DHJ2" s="266"/>
      <c r="DHK2" s="266"/>
      <c r="DHL2" s="266"/>
      <c r="DHM2" s="266"/>
      <c r="DHN2" s="266"/>
      <c r="DHO2" s="266"/>
      <c r="DHP2" s="266"/>
      <c r="DHQ2" s="266"/>
      <c r="DHR2" s="266"/>
      <c r="DHS2" s="266"/>
      <c r="DHT2" s="266"/>
      <c r="DHU2" s="266"/>
      <c r="DHV2" s="266"/>
      <c r="DHW2" s="266"/>
      <c r="DHX2" s="266"/>
      <c r="DHY2" s="266"/>
      <c r="DHZ2" s="266"/>
      <c r="DIA2" s="266"/>
      <c r="DIB2" s="266"/>
      <c r="DIC2" s="266"/>
      <c r="DID2" s="266"/>
      <c r="DIE2" s="266"/>
      <c r="DIF2" s="266"/>
      <c r="DIG2" s="266"/>
      <c r="DIH2" s="266"/>
      <c r="DII2" s="266"/>
      <c r="DIJ2" s="266"/>
      <c r="DIK2" s="266"/>
      <c r="DIL2" s="266"/>
      <c r="DIM2" s="266"/>
      <c r="DIN2" s="266"/>
      <c r="DIO2" s="266"/>
      <c r="DIP2" s="266"/>
      <c r="DIQ2" s="266"/>
      <c r="DIR2" s="266"/>
      <c r="DIS2" s="266"/>
      <c r="DIT2" s="266"/>
      <c r="DIU2" s="266"/>
      <c r="DIV2" s="266"/>
      <c r="DIW2" s="266"/>
      <c r="DIX2" s="266"/>
      <c r="DIY2" s="266"/>
      <c r="DIZ2" s="266"/>
      <c r="DJA2" s="266"/>
      <c r="DJB2" s="266"/>
      <c r="DJC2" s="266"/>
      <c r="DJD2" s="266"/>
      <c r="DJE2" s="266"/>
      <c r="DJF2" s="266"/>
      <c r="DJG2" s="266"/>
      <c r="DJH2" s="266"/>
      <c r="DJI2" s="266"/>
      <c r="DJJ2" s="266"/>
      <c r="DJK2" s="266"/>
      <c r="DJL2" s="266"/>
      <c r="DJM2" s="266"/>
      <c r="DJN2" s="266"/>
      <c r="DJO2" s="266"/>
      <c r="DJP2" s="266"/>
      <c r="DJQ2" s="266"/>
      <c r="DJR2" s="266"/>
      <c r="DJS2" s="266"/>
      <c r="DJT2" s="266"/>
      <c r="DJU2" s="266"/>
      <c r="DJV2" s="266"/>
      <c r="DJW2" s="266"/>
      <c r="DJX2" s="266"/>
      <c r="DJY2" s="266"/>
      <c r="DJZ2" s="266"/>
      <c r="DKA2" s="266"/>
      <c r="DKB2" s="266"/>
      <c r="DKC2" s="266"/>
      <c r="DKD2" s="266"/>
      <c r="DKE2" s="266"/>
      <c r="DKF2" s="266"/>
      <c r="DKG2" s="266"/>
      <c r="DKH2" s="266"/>
      <c r="DKI2" s="266"/>
      <c r="DKJ2" s="266"/>
      <c r="DKK2" s="266"/>
      <c r="DKL2" s="266"/>
      <c r="DKM2" s="266"/>
      <c r="DKN2" s="266"/>
      <c r="DKO2" s="266"/>
      <c r="DKP2" s="266"/>
      <c r="DKQ2" s="266"/>
      <c r="DKR2" s="266"/>
      <c r="DKS2" s="266"/>
      <c r="DKT2" s="266"/>
      <c r="DKU2" s="266"/>
      <c r="DKV2" s="266"/>
      <c r="DKW2" s="266"/>
      <c r="DKX2" s="266"/>
      <c r="DKY2" s="266"/>
      <c r="DKZ2" s="266"/>
      <c r="DLA2" s="266"/>
      <c r="DLB2" s="266"/>
      <c r="DLC2" s="266"/>
      <c r="DLD2" s="266"/>
      <c r="DLE2" s="266"/>
      <c r="DLF2" s="266"/>
      <c r="DLG2" s="266"/>
      <c r="DLH2" s="266"/>
      <c r="DLI2" s="266"/>
      <c r="DLJ2" s="266"/>
      <c r="DLK2" s="266"/>
      <c r="DLL2" s="266"/>
      <c r="DLM2" s="266"/>
      <c r="DLN2" s="266"/>
      <c r="DLO2" s="266"/>
      <c r="DLP2" s="266"/>
      <c r="DLQ2" s="266"/>
      <c r="DLR2" s="266"/>
      <c r="DLS2" s="266"/>
      <c r="DLT2" s="266"/>
      <c r="DLU2" s="266"/>
      <c r="DLV2" s="266"/>
      <c r="DLW2" s="266"/>
      <c r="DLX2" s="266"/>
      <c r="DLY2" s="266"/>
      <c r="DLZ2" s="266"/>
      <c r="DMA2" s="266"/>
      <c r="DMB2" s="266"/>
      <c r="DMC2" s="266"/>
      <c r="DMD2" s="266"/>
      <c r="DME2" s="266"/>
      <c r="DMF2" s="266"/>
      <c r="DMG2" s="266"/>
      <c r="DMH2" s="266"/>
      <c r="DMI2" s="266"/>
      <c r="DMJ2" s="266"/>
      <c r="DMK2" s="266"/>
      <c r="DML2" s="266"/>
      <c r="DMM2" s="266"/>
      <c r="DMN2" s="266"/>
      <c r="DMO2" s="266"/>
      <c r="DMP2" s="266"/>
      <c r="DMQ2" s="266"/>
      <c r="DMR2" s="266"/>
      <c r="DMS2" s="266"/>
      <c r="DMT2" s="266"/>
      <c r="DMU2" s="266"/>
      <c r="DMV2" s="266"/>
      <c r="DMW2" s="266"/>
      <c r="DMX2" s="266"/>
      <c r="DMY2" s="266"/>
      <c r="DMZ2" s="266"/>
      <c r="DNA2" s="266"/>
      <c r="DNB2" s="266"/>
      <c r="DNC2" s="266"/>
      <c r="DND2" s="266"/>
      <c r="DNE2" s="266"/>
      <c r="DNF2" s="266"/>
      <c r="DNG2" s="266"/>
      <c r="DNH2" s="266"/>
      <c r="DNI2" s="266"/>
      <c r="DNJ2" s="266"/>
      <c r="DNK2" s="266"/>
      <c r="DNL2" s="266"/>
      <c r="DNM2" s="266"/>
      <c r="DNN2" s="266"/>
      <c r="DNO2" s="266"/>
      <c r="DNP2" s="266"/>
      <c r="DNQ2" s="266"/>
      <c r="DNR2" s="266"/>
      <c r="DNS2" s="266"/>
      <c r="DNT2" s="266"/>
      <c r="DNU2" s="266"/>
      <c r="DNV2" s="266"/>
      <c r="DNW2" s="266"/>
      <c r="DNX2" s="266"/>
      <c r="DNY2" s="266"/>
      <c r="DNZ2" s="266"/>
      <c r="DOA2" s="266"/>
      <c r="DOB2" s="266"/>
      <c r="DOC2" s="266"/>
      <c r="DOD2" s="266"/>
      <c r="DOE2" s="266"/>
      <c r="DOF2" s="266"/>
      <c r="DOG2" s="266"/>
      <c r="DOH2" s="266"/>
      <c r="DOI2" s="266"/>
      <c r="DOJ2" s="266"/>
      <c r="DOK2" s="266"/>
      <c r="DOL2" s="266"/>
      <c r="DOM2" s="266"/>
      <c r="DON2" s="266"/>
      <c r="DOO2" s="266"/>
      <c r="DOP2" s="266"/>
      <c r="DOQ2" s="266"/>
      <c r="DOR2" s="266"/>
      <c r="DOS2" s="266"/>
      <c r="DOT2" s="266"/>
      <c r="DOU2" s="266"/>
      <c r="DOV2" s="266"/>
      <c r="DOW2" s="266"/>
      <c r="DOX2" s="266"/>
      <c r="DOY2" s="266"/>
      <c r="DOZ2" s="266"/>
      <c r="DPA2" s="266"/>
      <c r="DPB2" s="266"/>
      <c r="DPC2" s="266"/>
      <c r="DPD2" s="266"/>
      <c r="DPE2" s="266"/>
      <c r="DPF2" s="266"/>
      <c r="DPG2" s="266"/>
      <c r="DPH2" s="266"/>
      <c r="DPI2" s="266"/>
      <c r="DPJ2" s="266"/>
      <c r="DPK2" s="266"/>
      <c r="DPL2" s="266"/>
      <c r="DPM2" s="266"/>
      <c r="DPN2" s="266"/>
      <c r="DPO2" s="266"/>
      <c r="DPP2" s="266"/>
      <c r="DPQ2" s="266"/>
      <c r="DPR2" s="266"/>
      <c r="DPS2" s="266"/>
      <c r="DPT2" s="266"/>
      <c r="DPU2" s="266"/>
      <c r="DPV2" s="266"/>
      <c r="DPW2" s="266"/>
      <c r="DPX2" s="266"/>
      <c r="DPY2" s="266"/>
      <c r="DPZ2" s="266"/>
      <c r="DQA2" s="266"/>
      <c r="DQB2" s="266"/>
      <c r="DQC2" s="266"/>
      <c r="DQD2" s="266"/>
      <c r="DQE2" s="266"/>
      <c r="DQF2" s="266"/>
      <c r="DQG2" s="266"/>
      <c r="DQH2" s="266"/>
      <c r="DQI2" s="266"/>
      <c r="DQJ2" s="266"/>
      <c r="DQK2" s="266"/>
      <c r="DQL2" s="266"/>
      <c r="DQM2" s="266"/>
      <c r="DQN2" s="266"/>
      <c r="DQO2" s="266"/>
      <c r="DQP2" s="266"/>
      <c r="DQQ2" s="266"/>
      <c r="DQR2" s="266"/>
      <c r="DQS2" s="266"/>
      <c r="DQT2" s="266"/>
      <c r="DQU2" s="266"/>
      <c r="DQV2" s="266"/>
      <c r="DQW2" s="266"/>
      <c r="DQX2" s="266"/>
      <c r="DQY2" s="266"/>
      <c r="DQZ2" s="266"/>
      <c r="DRA2" s="266"/>
      <c r="DRB2" s="266"/>
      <c r="DRC2" s="266"/>
      <c r="DRD2" s="266"/>
      <c r="DRE2" s="266"/>
      <c r="DRF2" s="266"/>
      <c r="DRG2" s="266"/>
      <c r="DRH2" s="266"/>
      <c r="DRI2" s="266"/>
      <c r="DRJ2" s="266"/>
      <c r="DRK2" s="266"/>
      <c r="DRL2" s="266"/>
      <c r="DRM2" s="266"/>
      <c r="DRN2" s="266"/>
      <c r="DRO2" s="266"/>
      <c r="DRP2" s="266"/>
      <c r="DRQ2" s="266"/>
      <c r="DRR2" s="266"/>
      <c r="DRS2" s="266"/>
      <c r="DRT2" s="266"/>
      <c r="DRU2" s="266"/>
      <c r="DRV2" s="266"/>
      <c r="DRW2" s="266"/>
      <c r="DRX2" s="266"/>
      <c r="DRY2" s="266"/>
      <c r="DRZ2" s="266"/>
      <c r="DSA2" s="266"/>
      <c r="DSB2" s="266"/>
      <c r="DSC2" s="266"/>
      <c r="DSD2" s="266"/>
      <c r="DSE2" s="266"/>
      <c r="DSF2" s="266"/>
      <c r="DSG2" s="266"/>
      <c r="DSH2" s="266"/>
      <c r="DSI2" s="266"/>
      <c r="DSJ2" s="266"/>
      <c r="DSK2" s="266"/>
      <c r="DSL2" s="266"/>
      <c r="DSM2" s="266"/>
      <c r="DSN2" s="266"/>
      <c r="DSO2" s="266"/>
      <c r="DSP2" s="266"/>
      <c r="DSQ2" s="266"/>
      <c r="DSR2" s="266"/>
      <c r="DSS2" s="266"/>
      <c r="DST2" s="266"/>
      <c r="DSU2" s="266"/>
      <c r="DSV2" s="266"/>
      <c r="DSW2" s="266"/>
      <c r="DSX2" s="266"/>
      <c r="DSY2" s="266"/>
      <c r="DSZ2" s="266"/>
      <c r="DTA2" s="266"/>
      <c r="DTB2" s="266"/>
      <c r="DTC2" s="266"/>
      <c r="DTD2" s="266"/>
      <c r="DTE2" s="266"/>
      <c r="DTF2" s="266"/>
      <c r="DTG2" s="266"/>
      <c r="DTH2" s="266"/>
      <c r="DTI2" s="266"/>
      <c r="DTJ2" s="266"/>
      <c r="DTK2" s="266"/>
      <c r="DTL2" s="266"/>
      <c r="DTM2" s="266"/>
      <c r="DTN2" s="266"/>
      <c r="DTO2" s="266"/>
      <c r="DTP2" s="266"/>
      <c r="DTQ2" s="266"/>
      <c r="DTR2" s="266"/>
      <c r="DTS2" s="266"/>
      <c r="DTT2" s="266"/>
      <c r="DTU2" s="266"/>
      <c r="DTV2" s="266"/>
      <c r="DTW2" s="266"/>
      <c r="DTX2" s="266"/>
      <c r="DTY2" s="266"/>
      <c r="DTZ2" s="266"/>
      <c r="DUA2" s="266"/>
      <c r="DUB2" s="266"/>
      <c r="DUC2" s="266"/>
      <c r="DUD2" s="266"/>
      <c r="DUE2" s="266"/>
      <c r="DUF2" s="266"/>
      <c r="DUG2" s="266"/>
      <c r="DUH2" s="266"/>
      <c r="DUI2" s="266"/>
      <c r="DUJ2" s="266"/>
      <c r="DUK2" s="266"/>
      <c r="DUL2" s="266"/>
      <c r="DUM2" s="266"/>
      <c r="DUN2" s="266"/>
      <c r="DUO2" s="266"/>
      <c r="DUP2" s="266"/>
      <c r="DUQ2" s="266"/>
      <c r="DUR2" s="266"/>
      <c r="DUS2" s="266"/>
      <c r="DUT2" s="266"/>
      <c r="DUU2" s="266"/>
      <c r="DUV2" s="266"/>
      <c r="DUW2" s="266"/>
      <c r="DUX2" s="266"/>
      <c r="DUY2" s="266"/>
      <c r="DUZ2" s="266"/>
      <c r="DVA2" s="266"/>
      <c r="DVB2" s="266"/>
      <c r="DVC2" s="266"/>
      <c r="DVD2" s="266"/>
      <c r="DVE2" s="266"/>
      <c r="DVF2" s="266"/>
      <c r="DVG2" s="266"/>
      <c r="DVH2" s="266"/>
      <c r="DVI2" s="266"/>
      <c r="DVJ2" s="266"/>
      <c r="DVK2" s="266"/>
      <c r="DVL2" s="266"/>
      <c r="DVM2" s="266"/>
      <c r="DVN2" s="266"/>
      <c r="DVO2" s="266"/>
      <c r="DVP2" s="266"/>
      <c r="DVQ2" s="266"/>
      <c r="DVR2" s="266"/>
      <c r="DVS2" s="266"/>
      <c r="DVT2" s="266"/>
      <c r="DVU2" s="266"/>
      <c r="DVV2" s="266"/>
      <c r="DVW2" s="266"/>
      <c r="DVX2" s="266"/>
      <c r="DVY2" s="266"/>
      <c r="DVZ2" s="266"/>
      <c r="DWA2" s="266"/>
      <c r="DWB2" s="266"/>
      <c r="DWC2" s="266"/>
      <c r="DWD2" s="266"/>
      <c r="DWE2" s="266"/>
      <c r="DWF2" s="266"/>
      <c r="DWG2" s="266"/>
      <c r="DWH2" s="266"/>
      <c r="DWI2" s="266"/>
      <c r="DWJ2" s="266"/>
      <c r="DWK2" s="266"/>
      <c r="DWL2" s="266"/>
      <c r="DWM2" s="266"/>
      <c r="DWN2" s="266"/>
      <c r="DWO2" s="266"/>
      <c r="DWP2" s="266"/>
      <c r="DWQ2" s="266"/>
      <c r="DWR2" s="266"/>
      <c r="DWS2" s="266"/>
      <c r="DWT2" s="266"/>
      <c r="DWU2" s="266"/>
      <c r="DWV2" s="266"/>
      <c r="DWW2" s="266"/>
      <c r="DWX2" s="266"/>
      <c r="DWY2" s="266"/>
      <c r="DWZ2" s="266"/>
      <c r="DXA2" s="266"/>
      <c r="DXB2" s="266"/>
      <c r="DXC2" s="266"/>
      <c r="DXD2" s="266"/>
      <c r="DXE2" s="266"/>
      <c r="DXF2" s="266"/>
      <c r="DXG2" s="266"/>
      <c r="DXH2" s="266"/>
      <c r="DXI2" s="266"/>
      <c r="DXJ2" s="266"/>
      <c r="DXK2" s="266"/>
      <c r="DXL2" s="266"/>
      <c r="DXM2" s="266"/>
      <c r="DXN2" s="266"/>
      <c r="DXO2" s="266"/>
      <c r="DXP2" s="266"/>
      <c r="DXQ2" s="266"/>
      <c r="DXR2" s="266"/>
      <c r="DXS2" s="266"/>
      <c r="DXT2" s="266"/>
      <c r="DXU2" s="266"/>
      <c r="DXV2" s="266"/>
      <c r="DXW2" s="266"/>
      <c r="DXX2" s="266"/>
      <c r="DXY2" s="266"/>
      <c r="DXZ2" s="266"/>
      <c r="DYA2" s="266"/>
      <c r="DYB2" s="266"/>
      <c r="DYC2" s="266"/>
      <c r="DYD2" s="266"/>
      <c r="DYE2" s="266"/>
      <c r="DYF2" s="266"/>
      <c r="DYG2" s="266"/>
      <c r="DYH2" s="266"/>
      <c r="DYI2" s="266"/>
      <c r="DYJ2" s="266"/>
      <c r="DYK2" s="266"/>
      <c r="DYL2" s="266"/>
      <c r="DYM2" s="266"/>
      <c r="DYN2" s="266"/>
      <c r="DYO2" s="266"/>
      <c r="DYP2" s="266"/>
      <c r="DYQ2" s="266"/>
      <c r="DYR2" s="266"/>
      <c r="DYS2" s="266"/>
      <c r="DYT2" s="266"/>
      <c r="DYU2" s="266"/>
      <c r="DYV2" s="266"/>
      <c r="DYW2" s="266"/>
      <c r="DYX2" s="266"/>
      <c r="DYY2" s="266"/>
      <c r="DYZ2" s="266"/>
      <c r="DZA2" s="266"/>
      <c r="DZB2" s="266"/>
      <c r="DZC2" s="266"/>
      <c r="DZD2" s="266"/>
      <c r="DZE2" s="266"/>
      <c r="DZF2" s="266"/>
      <c r="DZG2" s="266"/>
      <c r="DZH2" s="266"/>
      <c r="DZI2" s="266"/>
      <c r="DZJ2" s="266"/>
      <c r="DZK2" s="266"/>
      <c r="DZL2" s="266"/>
      <c r="DZM2" s="266"/>
      <c r="DZN2" s="266"/>
      <c r="DZO2" s="266"/>
      <c r="DZP2" s="266"/>
      <c r="DZQ2" s="266"/>
      <c r="DZR2" s="266"/>
      <c r="DZS2" s="266"/>
      <c r="DZT2" s="266"/>
      <c r="DZU2" s="266"/>
      <c r="DZV2" s="266"/>
      <c r="DZW2" s="266"/>
      <c r="DZX2" s="266"/>
      <c r="DZY2" s="266"/>
      <c r="DZZ2" s="266"/>
      <c r="EAA2" s="266"/>
      <c r="EAB2" s="266"/>
      <c r="EAC2" s="266"/>
      <c r="EAD2" s="266"/>
      <c r="EAE2" s="266"/>
      <c r="EAF2" s="266"/>
      <c r="EAG2" s="266"/>
      <c r="EAH2" s="266"/>
      <c r="EAI2" s="266"/>
      <c r="EAJ2" s="266"/>
      <c r="EAK2" s="266"/>
      <c r="EAL2" s="266"/>
      <c r="EAM2" s="266"/>
      <c r="EAN2" s="266"/>
      <c r="EAO2" s="266"/>
      <c r="EAP2" s="266"/>
      <c r="EAQ2" s="266"/>
      <c r="EAR2" s="266"/>
      <c r="EAS2" s="266"/>
      <c r="EAT2" s="266"/>
      <c r="EAU2" s="266"/>
      <c r="EAV2" s="266"/>
      <c r="EAW2" s="266"/>
      <c r="EAX2" s="266"/>
      <c r="EAY2" s="266"/>
      <c r="EAZ2" s="266"/>
      <c r="EBA2" s="266"/>
      <c r="EBB2" s="266"/>
      <c r="EBC2" s="266"/>
      <c r="EBD2" s="266"/>
      <c r="EBE2" s="266"/>
      <c r="EBF2" s="266"/>
      <c r="EBG2" s="266"/>
      <c r="EBH2" s="266"/>
      <c r="EBI2" s="266"/>
      <c r="EBJ2" s="266"/>
      <c r="EBK2" s="266"/>
      <c r="EBL2" s="266"/>
      <c r="EBM2" s="266"/>
      <c r="EBN2" s="266"/>
      <c r="EBO2" s="266"/>
      <c r="EBP2" s="266"/>
      <c r="EBQ2" s="266"/>
      <c r="EBR2" s="266"/>
      <c r="EBS2" s="266"/>
      <c r="EBT2" s="266"/>
      <c r="EBU2" s="266"/>
      <c r="EBV2" s="266"/>
      <c r="EBW2" s="266"/>
      <c r="EBX2" s="266"/>
      <c r="EBY2" s="266"/>
      <c r="EBZ2" s="266"/>
      <c r="ECA2" s="266"/>
      <c r="ECB2" s="266"/>
      <c r="ECC2" s="266"/>
      <c r="ECD2" s="266"/>
      <c r="ECE2" s="266"/>
      <c r="ECF2" s="266"/>
      <c r="ECG2" s="266"/>
      <c r="ECH2" s="266"/>
      <c r="ECI2" s="266"/>
      <c r="ECJ2" s="266"/>
      <c r="ECK2" s="266"/>
      <c r="ECL2" s="266"/>
      <c r="ECM2" s="266"/>
      <c r="ECN2" s="266"/>
      <c r="ECO2" s="266"/>
      <c r="ECP2" s="266"/>
      <c r="ECQ2" s="266"/>
      <c r="ECR2" s="266"/>
      <c r="ECS2" s="266"/>
      <c r="ECT2" s="266"/>
      <c r="ECU2" s="266"/>
      <c r="ECV2" s="266"/>
      <c r="ECW2" s="266"/>
      <c r="ECX2" s="266"/>
      <c r="ECY2" s="266"/>
      <c r="ECZ2" s="266"/>
      <c r="EDA2" s="266"/>
      <c r="EDB2" s="266"/>
      <c r="EDC2" s="266"/>
      <c r="EDD2" s="266"/>
      <c r="EDE2" s="266"/>
      <c r="EDF2" s="266"/>
      <c r="EDG2" s="266"/>
      <c r="EDH2" s="266"/>
      <c r="EDI2" s="266"/>
      <c r="EDJ2" s="266"/>
      <c r="EDK2" s="266"/>
      <c r="EDL2" s="266"/>
      <c r="EDM2" s="266"/>
      <c r="EDN2" s="266"/>
      <c r="EDO2" s="266"/>
      <c r="EDP2" s="266"/>
      <c r="EDQ2" s="266"/>
      <c r="EDR2" s="266"/>
      <c r="EDS2" s="266"/>
      <c r="EDT2" s="266"/>
      <c r="EDU2" s="266"/>
      <c r="EDV2" s="266"/>
      <c r="EDW2" s="266"/>
      <c r="EDX2" s="266"/>
      <c r="EDY2" s="266"/>
      <c r="EDZ2" s="266"/>
      <c r="EEA2" s="266"/>
      <c r="EEB2" s="266"/>
      <c r="EEC2" s="266"/>
      <c r="EED2" s="266"/>
      <c r="EEE2" s="266"/>
      <c r="EEF2" s="266"/>
      <c r="EEG2" s="266"/>
      <c r="EEH2" s="266"/>
      <c r="EEI2" s="266"/>
      <c r="EEJ2" s="266"/>
      <c r="EEK2" s="266"/>
      <c r="EEL2" s="266"/>
      <c r="EEM2" s="266"/>
      <c r="EEN2" s="266"/>
      <c r="EEO2" s="266"/>
      <c r="EEP2" s="266"/>
      <c r="EEQ2" s="266"/>
      <c r="EER2" s="266"/>
      <c r="EES2" s="266"/>
      <c r="EET2" s="266"/>
      <c r="EEU2" s="266"/>
      <c r="EEV2" s="266"/>
      <c r="EEW2" s="266"/>
      <c r="EEX2" s="266"/>
      <c r="EEY2" s="266"/>
      <c r="EEZ2" s="266"/>
      <c r="EFA2" s="266"/>
      <c r="EFB2" s="266"/>
      <c r="EFC2" s="266"/>
      <c r="EFD2" s="266"/>
      <c r="EFE2" s="266"/>
      <c r="EFF2" s="266"/>
      <c r="EFG2" s="266"/>
      <c r="EFH2" s="266"/>
      <c r="EFI2" s="266"/>
      <c r="EFJ2" s="266"/>
      <c r="EFK2" s="266"/>
      <c r="EFL2" s="266"/>
      <c r="EFM2" s="266"/>
      <c r="EFN2" s="266"/>
      <c r="EFO2" s="266"/>
      <c r="EFP2" s="266"/>
      <c r="EFQ2" s="266"/>
      <c r="EFR2" s="266"/>
      <c r="EFS2" s="266"/>
      <c r="EFT2" s="266"/>
      <c r="EFU2" s="266"/>
      <c r="EFV2" s="266"/>
      <c r="EFW2" s="266"/>
      <c r="EFX2" s="266"/>
      <c r="EFY2" s="266"/>
      <c r="EFZ2" s="266"/>
      <c r="EGA2" s="266"/>
      <c r="EGB2" s="266"/>
      <c r="EGC2" s="266"/>
      <c r="EGD2" s="266"/>
      <c r="EGE2" s="266"/>
      <c r="EGF2" s="266"/>
      <c r="EGG2" s="266"/>
      <c r="EGH2" s="266"/>
      <c r="EGI2" s="266"/>
      <c r="EGJ2" s="266"/>
      <c r="EGK2" s="266"/>
      <c r="EGL2" s="266"/>
      <c r="EGM2" s="266"/>
      <c r="EGN2" s="266"/>
      <c r="EGO2" s="266"/>
      <c r="EGP2" s="266"/>
      <c r="EGQ2" s="266"/>
      <c r="EGR2" s="266"/>
      <c r="EGS2" s="266"/>
      <c r="EGT2" s="266"/>
      <c r="EGU2" s="266"/>
      <c r="EGV2" s="266"/>
      <c r="EGW2" s="266"/>
      <c r="EGX2" s="266"/>
      <c r="EGY2" s="266"/>
      <c r="EGZ2" s="266"/>
      <c r="EHA2" s="266"/>
      <c r="EHB2" s="266"/>
      <c r="EHC2" s="266"/>
      <c r="EHD2" s="266"/>
      <c r="EHE2" s="266"/>
      <c r="EHF2" s="266"/>
      <c r="EHG2" s="266"/>
      <c r="EHH2" s="266"/>
      <c r="EHI2" s="266"/>
      <c r="EHJ2" s="266"/>
      <c r="EHK2" s="266"/>
      <c r="EHL2" s="266"/>
      <c r="EHM2" s="266"/>
      <c r="EHN2" s="266"/>
      <c r="EHO2" s="266"/>
      <c r="EHP2" s="266"/>
      <c r="EHQ2" s="266"/>
      <c r="EHR2" s="266"/>
      <c r="EHS2" s="266"/>
      <c r="EHT2" s="266"/>
      <c r="EHU2" s="266"/>
      <c r="EHV2" s="266"/>
      <c r="EHW2" s="266"/>
      <c r="EHX2" s="266"/>
      <c r="EHY2" s="266"/>
      <c r="EHZ2" s="266"/>
      <c r="EIA2" s="266"/>
      <c r="EIB2" s="266"/>
      <c r="EIC2" s="266"/>
      <c r="EID2" s="266"/>
      <c r="EIE2" s="266"/>
      <c r="EIF2" s="266"/>
      <c r="EIG2" s="266"/>
      <c r="EIH2" s="266"/>
      <c r="EII2" s="266"/>
      <c r="EIJ2" s="266"/>
      <c r="EIK2" s="266"/>
      <c r="EIL2" s="266"/>
      <c r="EIM2" s="266"/>
      <c r="EIN2" s="266"/>
      <c r="EIO2" s="266"/>
      <c r="EIP2" s="266"/>
      <c r="EIQ2" s="266"/>
      <c r="EIR2" s="266"/>
      <c r="EIS2" s="266"/>
      <c r="EIT2" s="266"/>
      <c r="EIU2" s="266"/>
      <c r="EIV2" s="266"/>
      <c r="EIW2" s="266"/>
      <c r="EIX2" s="266"/>
      <c r="EIY2" s="266"/>
      <c r="EIZ2" s="266"/>
      <c r="EJA2" s="266"/>
      <c r="EJB2" s="266"/>
      <c r="EJC2" s="266"/>
      <c r="EJD2" s="266"/>
      <c r="EJE2" s="266"/>
      <c r="EJF2" s="266"/>
      <c r="EJG2" s="266"/>
      <c r="EJH2" s="266"/>
      <c r="EJI2" s="266"/>
      <c r="EJJ2" s="266"/>
      <c r="EJK2" s="266"/>
      <c r="EJL2" s="266"/>
      <c r="EJM2" s="266"/>
      <c r="EJN2" s="266"/>
      <c r="EJO2" s="266"/>
      <c r="EJP2" s="266"/>
      <c r="EJQ2" s="266"/>
      <c r="EJR2" s="266"/>
      <c r="EJS2" s="266"/>
      <c r="EJT2" s="266"/>
      <c r="EJU2" s="266"/>
      <c r="EJV2" s="266"/>
      <c r="EJW2" s="266"/>
      <c r="EJX2" s="266"/>
      <c r="EJY2" s="266"/>
      <c r="EJZ2" s="266"/>
      <c r="EKA2" s="266"/>
      <c r="EKB2" s="266"/>
      <c r="EKC2" s="266"/>
      <c r="EKD2" s="266"/>
      <c r="EKE2" s="266"/>
      <c r="EKF2" s="266"/>
      <c r="EKG2" s="266"/>
      <c r="EKH2" s="266"/>
      <c r="EKI2" s="266"/>
      <c r="EKJ2" s="266"/>
      <c r="EKK2" s="266"/>
      <c r="EKL2" s="266"/>
      <c r="EKM2" s="266"/>
      <c r="EKN2" s="266"/>
      <c r="EKO2" s="266"/>
      <c r="EKP2" s="266"/>
      <c r="EKQ2" s="266"/>
      <c r="EKR2" s="266"/>
      <c r="EKS2" s="266"/>
      <c r="EKT2" s="266"/>
      <c r="EKU2" s="266"/>
      <c r="EKV2" s="266"/>
      <c r="EKW2" s="266"/>
      <c r="EKX2" s="266"/>
      <c r="EKY2" s="266"/>
      <c r="EKZ2" s="266"/>
      <c r="ELA2" s="266"/>
      <c r="ELB2" s="266"/>
      <c r="ELC2" s="266"/>
      <c r="ELD2" s="266"/>
      <c r="ELE2" s="266"/>
      <c r="ELF2" s="266"/>
      <c r="ELG2" s="266"/>
      <c r="ELH2" s="266"/>
      <c r="ELI2" s="266"/>
      <c r="ELJ2" s="266"/>
      <c r="ELK2" s="266"/>
      <c r="ELL2" s="266"/>
      <c r="ELM2" s="266"/>
      <c r="ELN2" s="266"/>
      <c r="ELO2" s="266"/>
      <c r="ELP2" s="266"/>
      <c r="ELQ2" s="266"/>
      <c r="ELR2" s="266"/>
      <c r="ELS2" s="266"/>
      <c r="ELT2" s="266"/>
      <c r="ELU2" s="266"/>
      <c r="ELV2" s="266"/>
      <c r="ELW2" s="266"/>
      <c r="ELX2" s="266"/>
      <c r="ELY2" s="266"/>
      <c r="ELZ2" s="266"/>
      <c r="EMA2" s="266"/>
      <c r="EMB2" s="266"/>
      <c r="EMC2" s="266"/>
      <c r="EMD2" s="266"/>
      <c r="EME2" s="266"/>
      <c r="EMF2" s="266"/>
      <c r="EMG2" s="266"/>
      <c r="EMH2" s="266"/>
      <c r="EMI2" s="266"/>
      <c r="EMJ2" s="266"/>
      <c r="EMK2" s="266"/>
      <c r="EML2" s="266"/>
      <c r="EMM2" s="266"/>
      <c r="EMN2" s="266"/>
      <c r="EMO2" s="266"/>
      <c r="EMP2" s="266"/>
      <c r="EMQ2" s="266"/>
      <c r="EMR2" s="266"/>
      <c r="EMS2" s="266"/>
      <c r="EMT2" s="266"/>
      <c r="EMU2" s="266"/>
      <c r="EMV2" s="266"/>
      <c r="EMW2" s="266"/>
      <c r="EMX2" s="266"/>
      <c r="EMY2" s="266"/>
      <c r="EMZ2" s="266"/>
      <c r="ENA2" s="266"/>
      <c r="ENB2" s="266"/>
      <c r="ENC2" s="266"/>
      <c r="END2" s="266"/>
      <c r="ENE2" s="266"/>
      <c r="ENF2" s="266"/>
      <c r="ENG2" s="266"/>
      <c r="ENH2" s="266"/>
      <c r="ENI2" s="266"/>
      <c r="ENJ2" s="266"/>
      <c r="ENK2" s="266"/>
      <c r="ENL2" s="266"/>
      <c r="ENM2" s="266"/>
      <c r="ENN2" s="266"/>
      <c r="ENO2" s="266"/>
      <c r="ENP2" s="266"/>
      <c r="ENQ2" s="266"/>
      <c r="ENR2" s="266"/>
      <c r="ENS2" s="266"/>
      <c r="ENT2" s="266"/>
      <c r="ENU2" s="266"/>
      <c r="ENV2" s="266"/>
      <c r="ENW2" s="266"/>
      <c r="ENX2" s="266"/>
      <c r="ENY2" s="266"/>
      <c r="ENZ2" s="266"/>
      <c r="EOA2" s="266"/>
      <c r="EOB2" s="266"/>
      <c r="EOC2" s="266"/>
      <c r="EOD2" s="266"/>
      <c r="EOE2" s="266"/>
      <c r="EOF2" s="266"/>
      <c r="EOG2" s="266"/>
      <c r="EOH2" s="266"/>
      <c r="EOI2" s="266"/>
      <c r="EOJ2" s="266"/>
      <c r="EOK2" s="266"/>
      <c r="EOL2" s="266"/>
      <c r="EOM2" s="266"/>
      <c r="EON2" s="266"/>
      <c r="EOO2" s="266"/>
      <c r="EOP2" s="266"/>
      <c r="EOQ2" s="266"/>
      <c r="EOR2" s="266"/>
      <c r="EOS2" s="266"/>
      <c r="EOT2" s="266"/>
      <c r="EOU2" s="266"/>
      <c r="EOV2" s="266"/>
      <c r="EOW2" s="266"/>
      <c r="EOX2" s="266"/>
      <c r="EOY2" s="266"/>
      <c r="EOZ2" s="266"/>
      <c r="EPA2" s="266"/>
      <c r="EPB2" s="266"/>
      <c r="EPC2" s="266"/>
      <c r="EPD2" s="266"/>
      <c r="EPE2" s="266"/>
      <c r="EPF2" s="266"/>
      <c r="EPG2" s="266"/>
      <c r="EPH2" s="266"/>
      <c r="EPI2" s="266"/>
      <c r="EPJ2" s="266"/>
      <c r="EPK2" s="266"/>
      <c r="EPL2" s="266"/>
      <c r="EPM2" s="266"/>
      <c r="EPN2" s="266"/>
      <c r="EPO2" s="266"/>
      <c r="EPP2" s="266"/>
      <c r="EPQ2" s="266"/>
      <c r="EPR2" s="266"/>
      <c r="EPS2" s="266"/>
      <c r="EPT2" s="266"/>
      <c r="EPU2" s="266"/>
      <c r="EPV2" s="266"/>
      <c r="EPW2" s="266"/>
      <c r="EPX2" s="266"/>
      <c r="EPY2" s="266"/>
      <c r="EPZ2" s="266"/>
      <c r="EQA2" s="266"/>
      <c r="EQB2" s="266"/>
      <c r="EQC2" s="266"/>
      <c r="EQD2" s="266"/>
      <c r="EQE2" s="266"/>
      <c r="EQF2" s="266"/>
      <c r="EQG2" s="266"/>
      <c r="EQH2" s="266"/>
      <c r="EQI2" s="266"/>
      <c r="EQJ2" s="266"/>
      <c r="EQK2" s="266"/>
      <c r="EQL2" s="266"/>
      <c r="EQM2" s="266"/>
      <c r="EQN2" s="266"/>
      <c r="EQO2" s="266"/>
      <c r="EQP2" s="266"/>
      <c r="EQQ2" s="266"/>
      <c r="EQR2" s="266"/>
      <c r="EQS2" s="266"/>
      <c r="EQT2" s="266"/>
      <c r="EQU2" s="266"/>
      <c r="EQV2" s="266"/>
      <c r="EQW2" s="266"/>
      <c r="EQX2" s="266"/>
      <c r="EQY2" s="266"/>
      <c r="EQZ2" s="266"/>
      <c r="ERA2" s="266"/>
      <c r="ERB2" s="266"/>
      <c r="ERC2" s="266"/>
      <c r="ERD2" s="266"/>
      <c r="ERE2" s="266"/>
      <c r="ERF2" s="266"/>
      <c r="ERG2" s="266"/>
      <c r="ERH2" s="266"/>
      <c r="ERI2" s="266"/>
      <c r="ERJ2" s="266"/>
      <c r="ERK2" s="266"/>
      <c r="ERL2" s="266"/>
      <c r="ERM2" s="266"/>
      <c r="ERN2" s="266"/>
      <c r="ERO2" s="266"/>
      <c r="ERP2" s="266"/>
      <c r="ERQ2" s="266"/>
      <c r="ERR2" s="266"/>
      <c r="ERS2" s="266"/>
      <c r="ERT2" s="266"/>
      <c r="ERU2" s="266"/>
      <c r="ERV2" s="266"/>
      <c r="ERW2" s="266"/>
      <c r="ERX2" s="266"/>
      <c r="ERY2" s="266"/>
      <c r="ERZ2" s="266"/>
      <c r="ESA2" s="266"/>
      <c r="ESB2" s="266"/>
      <c r="ESC2" s="266"/>
      <c r="ESD2" s="266"/>
      <c r="ESE2" s="266"/>
      <c r="ESF2" s="266"/>
      <c r="ESG2" s="266"/>
      <c r="ESH2" s="266"/>
      <c r="ESI2" s="266"/>
      <c r="ESJ2" s="266"/>
      <c r="ESK2" s="266"/>
      <c r="ESL2" s="266"/>
      <c r="ESM2" s="266"/>
      <c r="ESN2" s="266"/>
      <c r="ESO2" s="266"/>
      <c r="ESP2" s="266"/>
      <c r="ESQ2" s="266"/>
      <c r="ESR2" s="266"/>
      <c r="ESS2" s="266"/>
      <c r="EST2" s="266"/>
      <c r="ESU2" s="266"/>
      <c r="ESV2" s="266"/>
      <c r="ESW2" s="266"/>
      <c r="ESX2" s="266"/>
      <c r="ESY2" s="266"/>
      <c r="ESZ2" s="266"/>
      <c r="ETA2" s="266"/>
      <c r="ETB2" s="266"/>
      <c r="ETC2" s="266"/>
      <c r="ETD2" s="266"/>
      <c r="ETE2" s="266"/>
      <c r="ETF2" s="266"/>
      <c r="ETG2" s="266"/>
      <c r="ETH2" s="266"/>
      <c r="ETI2" s="266"/>
      <c r="ETJ2" s="266"/>
      <c r="ETK2" s="266"/>
      <c r="ETL2" s="266"/>
      <c r="ETM2" s="266"/>
      <c r="ETN2" s="266"/>
      <c r="ETO2" s="266"/>
      <c r="ETP2" s="266"/>
      <c r="ETQ2" s="266"/>
      <c r="ETR2" s="266"/>
      <c r="ETS2" s="266"/>
      <c r="ETT2" s="266"/>
      <c r="ETU2" s="266"/>
      <c r="ETV2" s="266"/>
      <c r="ETW2" s="266"/>
      <c r="ETX2" s="266"/>
      <c r="ETY2" s="266"/>
      <c r="ETZ2" s="266"/>
      <c r="EUA2" s="266"/>
      <c r="EUB2" s="266"/>
      <c r="EUC2" s="266"/>
      <c r="EUD2" s="266"/>
      <c r="EUE2" s="266"/>
      <c r="EUF2" s="266"/>
      <c r="EUG2" s="266"/>
      <c r="EUH2" s="266"/>
      <c r="EUI2" s="266"/>
      <c r="EUJ2" s="266"/>
      <c r="EUK2" s="266"/>
      <c r="EUL2" s="266"/>
      <c r="EUM2" s="266"/>
      <c r="EUN2" s="266"/>
      <c r="EUO2" s="266"/>
      <c r="EUP2" s="266"/>
      <c r="EUQ2" s="266"/>
      <c r="EUR2" s="266"/>
      <c r="EUS2" s="266"/>
      <c r="EUT2" s="266"/>
      <c r="EUU2" s="266"/>
      <c r="EUV2" s="266"/>
      <c r="EUW2" s="266"/>
      <c r="EUX2" s="266"/>
      <c r="EUY2" s="266"/>
      <c r="EUZ2" s="266"/>
      <c r="EVA2" s="266"/>
      <c r="EVB2" s="266"/>
      <c r="EVC2" s="266"/>
      <c r="EVD2" s="266"/>
      <c r="EVE2" s="266"/>
      <c r="EVF2" s="266"/>
      <c r="EVG2" s="266"/>
      <c r="EVH2" s="266"/>
      <c r="EVI2" s="266"/>
      <c r="EVJ2" s="266"/>
      <c r="EVK2" s="266"/>
      <c r="EVL2" s="266"/>
      <c r="EVM2" s="266"/>
      <c r="EVN2" s="266"/>
      <c r="EVO2" s="266"/>
      <c r="EVP2" s="266"/>
      <c r="EVQ2" s="266"/>
      <c r="EVR2" s="266"/>
      <c r="EVS2" s="266"/>
      <c r="EVT2" s="266"/>
      <c r="EVU2" s="266"/>
      <c r="EVV2" s="266"/>
      <c r="EVW2" s="266"/>
      <c r="EVX2" s="266"/>
      <c r="EVY2" s="266"/>
      <c r="EVZ2" s="266"/>
      <c r="EWA2" s="266"/>
      <c r="EWB2" s="266"/>
      <c r="EWC2" s="266"/>
      <c r="EWD2" s="266"/>
      <c r="EWE2" s="266"/>
      <c r="EWF2" s="266"/>
      <c r="EWG2" s="266"/>
      <c r="EWH2" s="266"/>
      <c r="EWI2" s="266"/>
      <c r="EWJ2" s="266"/>
      <c r="EWK2" s="266"/>
      <c r="EWL2" s="266"/>
      <c r="EWM2" s="266"/>
      <c r="EWN2" s="266"/>
      <c r="EWO2" s="266"/>
      <c r="EWP2" s="266"/>
      <c r="EWQ2" s="266"/>
      <c r="EWR2" s="266"/>
      <c r="EWS2" s="266"/>
      <c r="EWT2" s="266"/>
      <c r="EWU2" s="266"/>
      <c r="EWV2" s="266"/>
      <c r="EWW2" s="266"/>
      <c r="EWX2" s="266"/>
      <c r="EWY2" s="266"/>
      <c r="EWZ2" s="266"/>
      <c r="EXA2" s="266"/>
      <c r="EXB2" s="266"/>
      <c r="EXC2" s="266"/>
      <c r="EXD2" s="266"/>
      <c r="EXE2" s="266"/>
      <c r="EXF2" s="266"/>
      <c r="EXG2" s="266"/>
      <c r="EXH2" s="266"/>
      <c r="EXI2" s="266"/>
      <c r="EXJ2" s="266"/>
      <c r="EXK2" s="266"/>
      <c r="EXL2" s="266"/>
      <c r="EXM2" s="266"/>
      <c r="EXN2" s="266"/>
      <c r="EXO2" s="266"/>
      <c r="EXP2" s="266"/>
      <c r="EXQ2" s="266"/>
      <c r="EXR2" s="266"/>
      <c r="EXS2" s="266"/>
      <c r="EXT2" s="266"/>
      <c r="EXU2" s="266"/>
      <c r="EXV2" s="266"/>
      <c r="EXW2" s="266"/>
      <c r="EXX2" s="266"/>
      <c r="EXY2" s="266"/>
      <c r="EXZ2" s="266"/>
      <c r="EYA2" s="266"/>
      <c r="EYB2" s="266"/>
      <c r="EYC2" s="266"/>
      <c r="EYD2" s="266"/>
      <c r="EYE2" s="266"/>
      <c r="EYF2" s="266"/>
      <c r="EYG2" s="266"/>
      <c r="EYH2" s="266"/>
      <c r="EYI2" s="266"/>
      <c r="EYJ2" s="266"/>
      <c r="EYK2" s="266"/>
      <c r="EYL2" s="266"/>
      <c r="EYM2" s="266"/>
      <c r="EYN2" s="266"/>
      <c r="EYO2" s="266"/>
      <c r="EYP2" s="266"/>
      <c r="EYQ2" s="266"/>
      <c r="EYR2" s="266"/>
      <c r="EYS2" s="266"/>
      <c r="EYT2" s="266"/>
      <c r="EYU2" s="266"/>
      <c r="EYV2" s="266"/>
      <c r="EYW2" s="266"/>
      <c r="EYX2" s="266"/>
      <c r="EYY2" s="266"/>
      <c r="EYZ2" s="266"/>
      <c r="EZA2" s="266"/>
      <c r="EZB2" s="266"/>
      <c r="EZC2" s="266"/>
      <c r="EZD2" s="266"/>
      <c r="EZE2" s="266"/>
      <c r="EZF2" s="266"/>
      <c r="EZG2" s="266"/>
      <c r="EZH2" s="266"/>
      <c r="EZI2" s="266"/>
      <c r="EZJ2" s="266"/>
      <c r="EZK2" s="266"/>
      <c r="EZL2" s="266"/>
      <c r="EZM2" s="266"/>
      <c r="EZN2" s="266"/>
      <c r="EZO2" s="266"/>
      <c r="EZP2" s="266"/>
      <c r="EZQ2" s="266"/>
      <c r="EZR2" s="266"/>
      <c r="EZS2" s="266"/>
      <c r="EZT2" s="266"/>
      <c r="EZU2" s="266"/>
      <c r="EZV2" s="266"/>
      <c r="EZW2" s="266"/>
      <c r="EZX2" s="266"/>
      <c r="EZY2" s="266"/>
      <c r="EZZ2" s="266"/>
      <c r="FAA2" s="266"/>
      <c r="FAB2" s="266"/>
      <c r="FAC2" s="266"/>
      <c r="FAD2" s="266"/>
      <c r="FAE2" s="266"/>
      <c r="FAF2" s="266"/>
      <c r="FAG2" s="266"/>
      <c r="FAH2" s="266"/>
      <c r="FAI2" s="266"/>
      <c r="FAJ2" s="266"/>
      <c r="FAK2" s="266"/>
      <c r="FAL2" s="266"/>
      <c r="FAM2" s="266"/>
      <c r="FAN2" s="266"/>
      <c r="FAO2" s="266"/>
      <c r="FAP2" s="266"/>
      <c r="FAQ2" s="266"/>
      <c r="FAR2" s="266"/>
      <c r="FAS2" s="266"/>
      <c r="FAT2" s="266"/>
      <c r="FAU2" s="266"/>
      <c r="FAV2" s="266"/>
      <c r="FAW2" s="266"/>
      <c r="FAX2" s="266"/>
      <c r="FAY2" s="266"/>
      <c r="FAZ2" s="266"/>
      <c r="FBA2" s="266"/>
      <c r="FBB2" s="266"/>
      <c r="FBC2" s="266"/>
      <c r="FBD2" s="266"/>
      <c r="FBE2" s="266"/>
      <c r="FBF2" s="266"/>
      <c r="FBG2" s="266"/>
      <c r="FBH2" s="266"/>
      <c r="FBI2" s="266"/>
      <c r="FBJ2" s="266"/>
      <c r="FBK2" s="266"/>
      <c r="FBL2" s="266"/>
      <c r="FBM2" s="266"/>
      <c r="FBN2" s="266"/>
      <c r="FBO2" s="266"/>
      <c r="FBP2" s="266"/>
      <c r="FBQ2" s="266"/>
      <c r="FBR2" s="266"/>
      <c r="FBS2" s="266"/>
      <c r="FBT2" s="266"/>
      <c r="FBU2" s="266"/>
      <c r="FBV2" s="266"/>
      <c r="FBW2" s="266"/>
      <c r="FBX2" s="266"/>
      <c r="FBY2" s="266"/>
      <c r="FBZ2" s="266"/>
      <c r="FCA2" s="266"/>
      <c r="FCB2" s="266"/>
      <c r="FCC2" s="266"/>
      <c r="FCD2" s="266"/>
      <c r="FCE2" s="266"/>
      <c r="FCF2" s="266"/>
      <c r="FCG2" s="266"/>
      <c r="FCH2" s="266"/>
      <c r="FCI2" s="266"/>
      <c r="FCJ2" s="266"/>
      <c r="FCK2" s="266"/>
      <c r="FCL2" s="266"/>
      <c r="FCM2" s="266"/>
      <c r="FCN2" s="266"/>
      <c r="FCO2" s="266"/>
      <c r="FCP2" s="266"/>
      <c r="FCQ2" s="266"/>
      <c r="FCR2" s="266"/>
      <c r="FCS2" s="266"/>
      <c r="FCT2" s="266"/>
      <c r="FCU2" s="266"/>
      <c r="FCV2" s="266"/>
      <c r="FCW2" s="266"/>
      <c r="FCX2" s="266"/>
      <c r="FCY2" s="266"/>
      <c r="FCZ2" s="266"/>
      <c r="FDA2" s="266"/>
      <c r="FDB2" s="266"/>
      <c r="FDC2" s="266"/>
      <c r="FDD2" s="266"/>
      <c r="FDE2" s="266"/>
      <c r="FDF2" s="266"/>
      <c r="FDG2" s="266"/>
      <c r="FDH2" s="266"/>
      <c r="FDI2" s="266"/>
      <c r="FDJ2" s="266"/>
      <c r="FDK2" s="266"/>
      <c r="FDL2" s="266"/>
      <c r="FDM2" s="266"/>
      <c r="FDN2" s="266"/>
      <c r="FDO2" s="266"/>
      <c r="FDP2" s="266"/>
      <c r="FDQ2" s="266"/>
      <c r="FDR2" s="266"/>
      <c r="FDS2" s="266"/>
      <c r="FDT2" s="266"/>
      <c r="FDU2" s="266"/>
      <c r="FDV2" s="266"/>
      <c r="FDW2" s="266"/>
      <c r="FDX2" s="266"/>
      <c r="FDY2" s="266"/>
      <c r="FDZ2" s="266"/>
      <c r="FEA2" s="266"/>
      <c r="FEB2" s="266"/>
      <c r="FEC2" s="266"/>
      <c r="FED2" s="266"/>
      <c r="FEE2" s="266"/>
      <c r="FEF2" s="266"/>
      <c r="FEG2" s="266"/>
      <c r="FEH2" s="266"/>
      <c r="FEI2" s="266"/>
      <c r="FEJ2" s="266"/>
      <c r="FEK2" s="266"/>
      <c r="FEL2" s="266"/>
      <c r="FEM2" s="266"/>
      <c r="FEN2" s="266"/>
      <c r="FEO2" s="266"/>
      <c r="FEP2" s="266"/>
      <c r="FEQ2" s="266"/>
      <c r="FER2" s="266"/>
      <c r="FES2" s="266"/>
      <c r="FET2" s="266"/>
      <c r="FEU2" s="266"/>
      <c r="FEV2" s="266"/>
      <c r="FEW2" s="266"/>
      <c r="FEX2" s="266"/>
      <c r="FEY2" s="266"/>
      <c r="FEZ2" s="266"/>
      <c r="FFA2" s="266"/>
      <c r="FFB2" s="266"/>
      <c r="FFC2" s="266"/>
      <c r="FFD2" s="266"/>
      <c r="FFE2" s="266"/>
      <c r="FFF2" s="266"/>
      <c r="FFG2" s="266"/>
      <c r="FFH2" s="266"/>
      <c r="FFI2" s="266"/>
      <c r="FFJ2" s="266"/>
      <c r="FFK2" s="266"/>
      <c r="FFL2" s="266"/>
      <c r="FFM2" s="266"/>
      <c r="FFN2" s="266"/>
      <c r="FFO2" s="266"/>
      <c r="FFP2" s="266"/>
      <c r="FFQ2" s="266"/>
      <c r="FFR2" s="266"/>
      <c r="FFS2" s="266"/>
      <c r="FFT2" s="266"/>
      <c r="FFU2" s="266"/>
      <c r="FFV2" s="266"/>
      <c r="FFW2" s="266"/>
      <c r="FFX2" s="266"/>
      <c r="FFY2" s="266"/>
      <c r="FFZ2" s="266"/>
      <c r="FGA2" s="266"/>
      <c r="FGB2" s="266"/>
      <c r="FGC2" s="266"/>
      <c r="FGD2" s="266"/>
      <c r="FGE2" s="266"/>
      <c r="FGF2" s="266"/>
      <c r="FGG2" s="266"/>
      <c r="FGH2" s="266"/>
      <c r="FGI2" s="266"/>
      <c r="FGJ2" s="266"/>
      <c r="FGK2" s="266"/>
      <c r="FGL2" s="266"/>
      <c r="FGM2" s="266"/>
      <c r="FGN2" s="266"/>
      <c r="FGO2" s="266"/>
      <c r="FGP2" s="266"/>
      <c r="FGQ2" s="266"/>
      <c r="FGR2" s="266"/>
      <c r="FGS2" s="266"/>
      <c r="FGT2" s="266"/>
      <c r="FGU2" s="266"/>
      <c r="FGV2" s="266"/>
      <c r="FGW2" s="266"/>
      <c r="FGX2" s="266"/>
      <c r="FGY2" s="266"/>
      <c r="FGZ2" s="266"/>
      <c r="FHA2" s="266"/>
      <c r="FHB2" s="266"/>
      <c r="FHC2" s="266"/>
      <c r="FHD2" s="266"/>
      <c r="FHE2" s="266"/>
      <c r="FHF2" s="266"/>
      <c r="FHG2" s="266"/>
      <c r="FHH2" s="266"/>
      <c r="FHI2" s="266"/>
      <c r="FHJ2" s="266"/>
      <c r="FHK2" s="266"/>
      <c r="FHL2" s="266"/>
      <c r="FHM2" s="266"/>
      <c r="FHN2" s="266"/>
      <c r="FHO2" s="266"/>
      <c r="FHP2" s="266"/>
      <c r="FHQ2" s="266"/>
      <c r="FHR2" s="266"/>
      <c r="FHS2" s="266"/>
      <c r="FHT2" s="266"/>
      <c r="FHU2" s="266"/>
      <c r="FHV2" s="266"/>
      <c r="FHW2" s="266"/>
      <c r="FHX2" s="266"/>
      <c r="FHY2" s="266"/>
      <c r="FHZ2" s="266"/>
      <c r="FIA2" s="266"/>
      <c r="FIB2" s="266"/>
      <c r="FIC2" s="266"/>
      <c r="FID2" s="266"/>
      <c r="FIE2" s="266"/>
      <c r="FIF2" s="266"/>
      <c r="FIG2" s="266"/>
      <c r="FIH2" s="266"/>
      <c r="FII2" s="266"/>
      <c r="FIJ2" s="266"/>
      <c r="FIK2" s="266"/>
      <c r="FIL2" s="266"/>
      <c r="FIM2" s="266"/>
      <c r="FIN2" s="266"/>
      <c r="FIO2" s="266"/>
      <c r="FIP2" s="266"/>
      <c r="FIQ2" s="266"/>
      <c r="FIR2" s="266"/>
      <c r="FIS2" s="266"/>
      <c r="FIT2" s="266"/>
      <c r="FIU2" s="266"/>
      <c r="FIV2" s="266"/>
      <c r="FIW2" s="266"/>
      <c r="FIX2" s="266"/>
      <c r="FIY2" s="266"/>
      <c r="FIZ2" s="266"/>
      <c r="FJA2" s="266"/>
      <c r="FJB2" s="266"/>
      <c r="FJC2" s="266"/>
      <c r="FJD2" s="266"/>
      <c r="FJE2" s="266"/>
      <c r="FJF2" s="266"/>
      <c r="FJG2" s="266"/>
      <c r="FJH2" s="266"/>
      <c r="FJI2" s="266"/>
      <c r="FJJ2" s="266"/>
      <c r="FJK2" s="266"/>
      <c r="FJL2" s="266"/>
      <c r="FJM2" s="266"/>
      <c r="FJN2" s="266"/>
      <c r="FJO2" s="266"/>
      <c r="FJP2" s="266"/>
      <c r="FJQ2" s="266"/>
      <c r="FJR2" s="266"/>
      <c r="FJS2" s="266"/>
      <c r="FJT2" s="266"/>
      <c r="FJU2" s="266"/>
      <c r="FJV2" s="266"/>
      <c r="FJW2" s="266"/>
      <c r="FJX2" s="266"/>
      <c r="FJY2" s="266"/>
      <c r="FJZ2" s="266"/>
      <c r="FKA2" s="266"/>
      <c r="FKB2" s="266"/>
      <c r="FKC2" s="266"/>
      <c r="FKD2" s="266"/>
      <c r="FKE2" s="266"/>
      <c r="FKF2" s="266"/>
      <c r="FKG2" s="266"/>
      <c r="FKH2" s="266"/>
      <c r="FKI2" s="266"/>
      <c r="FKJ2" s="266"/>
      <c r="FKK2" s="266"/>
      <c r="FKL2" s="266"/>
      <c r="FKM2" s="266"/>
      <c r="FKN2" s="266"/>
      <c r="FKO2" s="266"/>
      <c r="FKP2" s="266"/>
      <c r="FKQ2" s="266"/>
      <c r="FKR2" s="266"/>
      <c r="FKS2" s="266"/>
      <c r="FKT2" s="266"/>
      <c r="FKU2" s="266"/>
      <c r="FKV2" s="266"/>
      <c r="FKW2" s="266"/>
      <c r="FKX2" s="266"/>
      <c r="FKY2" s="266"/>
      <c r="FKZ2" s="266"/>
      <c r="FLA2" s="266"/>
      <c r="FLB2" s="266"/>
      <c r="FLC2" s="266"/>
      <c r="FLD2" s="266"/>
      <c r="FLE2" s="266"/>
      <c r="FLF2" s="266"/>
      <c r="FLG2" s="266"/>
      <c r="FLH2" s="266"/>
      <c r="FLI2" s="266"/>
      <c r="FLJ2" s="266"/>
      <c r="FLK2" s="266"/>
      <c r="FLL2" s="266"/>
      <c r="FLM2" s="266"/>
      <c r="FLN2" s="266"/>
      <c r="FLO2" s="266"/>
      <c r="FLP2" s="266"/>
      <c r="FLQ2" s="266"/>
      <c r="FLR2" s="266"/>
      <c r="FLS2" s="266"/>
      <c r="FLT2" s="266"/>
      <c r="FLU2" s="266"/>
      <c r="FLV2" s="266"/>
      <c r="FLW2" s="266"/>
      <c r="FLX2" s="266"/>
      <c r="FLY2" s="266"/>
      <c r="FLZ2" s="266"/>
      <c r="FMA2" s="266"/>
      <c r="FMB2" s="266"/>
      <c r="FMC2" s="266"/>
      <c r="FMD2" s="266"/>
      <c r="FME2" s="266"/>
      <c r="FMF2" s="266"/>
      <c r="FMG2" s="266"/>
      <c r="FMH2" s="266"/>
      <c r="FMI2" s="266"/>
      <c r="FMJ2" s="266"/>
      <c r="FMK2" s="266"/>
      <c r="FML2" s="266"/>
      <c r="FMM2" s="266"/>
      <c r="FMN2" s="266"/>
      <c r="FMO2" s="266"/>
      <c r="FMP2" s="266"/>
      <c r="FMQ2" s="266"/>
      <c r="FMR2" s="266"/>
      <c r="FMS2" s="266"/>
      <c r="FMT2" s="266"/>
      <c r="FMU2" s="266"/>
      <c r="FMV2" s="266"/>
      <c r="FMW2" s="266"/>
      <c r="FMX2" s="266"/>
      <c r="FMY2" s="266"/>
      <c r="FMZ2" s="266"/>
      <c r="FNA2" s="266"/>
      <c r="FNB2" s="266"/>
      <c r="FNC2" s="266"/>
      <c r="FND2" s="266"/>
      <c r="FNE2" s="266"/>
      <c r="FNF2" s="266"/>
      <c r="FNG2" s="266"/>
      <c r="FNH2" s="266"/>
      <c r="FNI2" s="266"/>
      <c r="FNJ2" s="266"/>
      <c r="FNK2" s="266"/>
      <c r="FNL2" s="266"/>
      <c r="FNM2" s="266"/>
      <c r="FNN2" s="266"/>
      <c r="FNO2" s="266"/>
      <c r="FNP2" s="266"/>
      <c r="FNQ2" s="266"/>
      <c r="FNR2" s="266"/>
      <c r="FNS2" s="266"/>
      <c r="FNT2" s="266"/>
      <c r="FNU2" s="266"/>
      <c r="FNV2" s="266"/>
      <c r="FNW2" s="266"/>
      <c r="FNX2" s="266"/>
      <c r="FNY2" s="266"/>
      <c r="FNZ2" s="266"/>
      <c r="FOA2" s="266"/>
      <c r="FOB2" s="266"/>
      <c r="FOC2" s="266"/>
      <c r="FOD2" s="266"/>
      <c r="FOE2" s="266"/>
      <c r="FOF2" s="266"/>
      <c r="FOG2" s="266"/>
      <c r="FOH2" s="266"/>
      <c r="FOI2" s="266"/>
      <c r="FOJ2" s="266"/>
      <c r="FOK2" s="266"/>
      <c r="FOL2" s="266"/>
      <c r="FOM2" s="266"/>
      <c r="FON2" s="266"/>
      <c r="FOO2" s="266"/>
      <c r="FOP2" s="266"/>
      <c r="FOQ2" s="266"/>
      <c r="FOR2" s="266"/>
      <c r="FOS2" s="266"/>
      <c r="FOT2" s="266"/>
      <c r="FOU2" s="266"/>
      <c r="FOV2" s="266"/>
      <c r="FOW2" s="266"/>
      <c r="FOX2" s="266"/>
      <c r="FOY2" s="266"/>
      <c r="FOZ2" s="266"/>
      <c r="FPA2" s="266"/>
      <c r="FPB2" s="266"/>
      <c r="FPC2" s="266"/>
      <c r="FPD2" s="266"/>
      <c r="FPE2" s="266"/>
      <c r="FPF2" s="266"/>
      <c r="FPG2" s="266"/>
      <c r="FPH2" s="266"/>
      <c r="FPI2" s="266"/>
      <c r="FPJ2" s="266"/>
      <c r="FPK2" s="266"/>
      <c r="FPL2" s="266"/>
      <c r="FPM2" s="266"/>
      <c r="FPN2" s="266"/>
      <c r="FPO2" s="266"/>
      <c r="FPP2" s="266"/>
      <c r="FPQ2" s="266"/>
      <c r="FPR2" s="266"/>
      <c r="FPS2" s="266"/>
      <c r="FPT2" s="266"/>
      <c r="FPU2" s="266"/>
      <c r="FPV2" s="266"/>
      <c r="FPW2" s="266"/>
      <c r="FPX2" s="266"/>
      <c r="FPY2" s="266"/>
      <c r="FPZ2" s="266"/>
      <c r="FQA2" s="266"/>
      <c r="FQB2" s="266"/>
      <c r="FQC2" s="266"/>
      <c r="FQD2" s="266"/>
      <c r="FQE2" s="266"/>
      <c r="FQF2" s="266"/>
      <c r="FQG2" s="266"/>
      <c r="FQH2" s="266"/>
      <c r="FQI2" s="266"/>
      <c r="FQJ2" s="266"/>
      <c r="FQK2" s="266"/>
      <c r="FQL2" s="266"/>
      <c r="FQM2" s="266"/>
      <c r="FQN2" s="266"/>
      <c r="FQO2" s="266"/>
      <c r="FQP2" s="266"/>
      <c r="FQQ2" s="266"/>
      <c r="FQR2" s="266"/>
      <c r="FQS2" s="266"/>
      <c r="FQT2" s="266"/>
      <c r="FQU2" s="266"/>
      <c r="FQV2" s="266"/>
      <c r="FQW2" s="266"/>
      <c r="FQX2" s="266"/>
      <c r="FQY2" s="266"/>
      <c r="FQZ2" s="266"/>
      <c r="FRA2" s="266"/>
      <c r="FRB2" s="266"/>
      <c r="FRC2" s="266"/>
      <c r="FRD2" s="266"/>
      <c r="FRE2" s="266"/>
      <c r="FRF2" s="266"/>
      <c r="FRG2" s="266"/>
      <c r="FRH2" s="266"/>
      <c r="FRI2" s="266"/>
      <c r="FRJ2" s="266"/>
      <c r="FRK2" s="266"/>
      <c r="FRL2" s="266"/>
      <c r="FRM2" s="266"/>
      <c r="FRN2" s="266"/>
      <c r="FRO2" s="266"/>
      <c r="FRP2" s="266"/>
      <c r="FRQ2" s="266"/>
      <c r="FRR2" s="266"/>
      <c r="FRS2" s="266"/>
      <c r="FRT2" s="266"/>
      <c r="FRU2" s="266"/>
      <c r="FRV2" s="266"/>
      <c r="FRW2" s="266"/>
      <c r="FRX2" s="266"/>
      <c r="FRY2" s="266"/>
      <c r="FRZ2" s="266"/>
      <c r="FSA2" s="266"/>
      <c r="FSB2" s="266"/>
      <c r="FSC2" s="266"/>
      <c r="FSD2" s="266"/>
      <c r="FSE2" s="266"/>
      <c r="FSF2" s="266"/>
      <c r="FSG2" s="266"/>
      <c r="FSH2" s="266"/>
      <c r="FSI2" s="266"/>
      <c r="FSJ2" s="266"/>
      <c r="FSK2" s="266"/>
      <c r="FSL2" s="266"/>
      <c r="FSM2" s="266"/>
      <c r="FSN2" s="266"/>
      <c r="FSO2" s="266"/>
      <c r="FSP2" s="266"/>
      <c r="FSQ2" s="266"/>
      <c r="FSR2" s="266"/>
      <c r="FSS2" s="266"/>
      <c r="FST2" s="266"/>
      <c r="FSU2" s="266"/>
      <c r="FSV2" s="266"/>
      <c r="FSW2" s="266"/>
      <c r="FSX2" s="266"/>
      <c r="FSY2" s="266"/>
      <c r="FSZ2" s="266"/>
      <c r="FTA2" s="266"/>
      <c r="FTB2" s="266"/>
      <c r="FTC2" s="266"/>
      <c r="FTD2" s="266"/>
      <c r="FTE2" s="266"/>
      <c r="FTF2" s="266"/>
      <c r="FTG2" s="266"/>
      <c r="FTH2" s="266"/>
      <c r="FTI2" s="266"/>
      <c r="FTJ2" s="266"/>
      <c r="FTK2" s="266"/>
      <c r="FTL2" s="266"/>
      <c r="FTM2" s="266"/>
      <c r="FTN2" s="266"/>
      <c r="FTO2" s="266"/>
      <c r="FTP2" s="266"/>
      <c r="FTQ2" s="266"/>
      <c r="FTR2" s="266"/>
      <c r="FTS2" s="266"/>
      <c r="FTT2" s="266"/>
      <c r="FTU2" s="266"/>
      <c r="FTV2" s="266"/>
      <c r="FTW2" s="266"/>
      <c r="FTX2" s="266"/>
      <c r="FTY2" s="266"/>
      <c r="FTZ2" s="266"/>
      <c r="FUA2" s="266"/>
      <c r="FUB2" s="266"/>
      <c r="FUC2" s="266"/>
      <c r="FUD2" s="266"/>
      <c r="FUE2" s="266"/>
      <c r="FUF2" s="266"/>
      <c r="FUG2" s="266"/>
      <c r="FUH2" s="266"/>
      <c r="FUI2" s="266"/>
      <c r="FUJ2" s="266"/>
      <c r="FUK2" s="266"/>
      <c r="FUL2" s="266"/>
      <c r="FUM2" s="266"/>
      <c r="FUN2" s="266"/>
      <c r="FUO2" s="266"/>
      <c r="FUP2" s="266"/>
      <c r="FUQ2" s="266"/>
      <c r="FUR2" s="266"/>
      <c r="FUS2" s="266"/>
      <c r="FUT2" s="266"/>
      <c r="FUU2" s="266"/>
      <c r="FUV2" s="266"/>
      <c r="FUW2" s="266"/>
      <c r="FUX2" s="266"/>
      <c r="FUY2" s="266"/>
      <c r="FUZ2" s="266"/>
      <c r="FVA2" s="266"/>
      <c r="FVB2" s="266"/>
      <c r="FVC2" s="266"/>
      <c r="FVD2" s="266"/>
      <c r="FVE2" s="266"/>
      <c r="FVF2" s="266"/>
      <c r="FVG2" s="266"/>
      <c r="FVH2" s="266"/>
      <c r="FVI2" s="266"/>
      <c r="FVJ2" s="266"/>
      <c r="FVK2" s="266"/>
      <c r="FVL2" s="266"/>
      <c r="FVM2" s="266"/>
      <c r="FVN2" s="266"/>
      <c r="FVO2" s="266"/>
      <c r="FVP2" s="266"/>
      <c r="FVQ2" s="266"/>
      <c r="FVR2" s="266"/>
      <c r="FVS2" s="266"/>
      <c r="FVT2" s="266"/>
      <c r="FVU2" s="266"/>
      <c r="FVV2" s="266"/>
      <c r="FVW2" s="266"/>
      <c r="FVX2" s="266"/>
      <c r="FVY2" s="266"/>
      <c r="FVZ2" s="266"/>
      <c r="FWA2" s="266"/>
      <c r="FWB2" s="266"/>
      <c r="FWC2" s="266"/>
      <c r="FWD2" s="266"/>
      <c r="FWE2" s="266"/>
      <c r="FWF2" s="266"/>
      <c r="FWG2" s="266"/>
      <c r="FWH2" s="266"/>
      <c r="FWI2" s="266"/>
      <c r="FWJ2" s="266"/>
      <c r="FWK2" s="266"/>
      <c r="FWL2" s="266"/>
      <c r="FWM2" s="266"/>
      <c r="FWN2" s="266"/>
      <c r="FWO2" s="266"/>
      <c r="FWP2" s="266"/>
      <c r="FWQ2" s="266"/>
      <c r="FWR2" s="266"/>
      <c r="FWS2" s="266"/>
      <c r="FWT2" s="266"/>
      <c r="FWU2" s="266"/>
      <c r="FWV2" s="266"/>
      <c r="FWW2" s="266"/>
      <c r="FWX2" s="266"/>
      <c r="FWY2" s="266"/>
      <c r="FWZ2" s="266"/>
      <c r="FXA2" s="266"/>
      <c r="FXB2" s="266"/>
      <c r="FXC2" s="266"/>
      <c r="FXD2" s="266"/>
      <c r="FXE2" s="266"/>
      <c r="FXF2" s="266"/>
      <c r="FXG2" s="266"/>
      <c r="FXH2" s="266"/>
      <c r="FXI2" s="266"/>
      <c r="FXJ2" s="266"/>
      <c r="FXK2" s="266"/>
      <c r="FXL2" s="266"/>
      <c r="FXM2" s="266"/>
      <c r="FXN2" s="266"/>
      <c r="FXO2" s="266"/>
      <c r="FXP2" s="266"/>
      <c r="FXQ2" s="266"/>
      <c r="FXR2" s="266"/>
      <c r="FXS2" s="266"/>
      <c r="FXT2" s="266"/>
      <c r="FXU2" s="266"/>
      <c r="FXV2" s="266"/>
      <c r="FXW2" s="266"/>
      <c r="FXX2" s="266"/>
      <c r="FXY2" s="266"/>
      <c r="FXZ2" s="266"/>
      <c r="FYA2" s="266"/>
      <c r="FYB2" s="266"/>
      <c r="FYC2" s="266"/>
      <c r="FYD2" s="266"/>
      <c r="FYE2" s="266"/>
      <c r="FYF2" s="266"/>
      <c r="FYG2" s="266"/>
      <c r="FYH2" s="266"/>
      <c r="FYI2" s="266"/>
      <c r="FYJ2" s="266"/>
      <c r="FYK2" s="266"/>
      <c r="FYL2" s="266"/>
      <c r="FYM2" s="266"/>
      <c r="FYN2" s="266"/>
      <c r="FYO2" s="266"/>
      <c r="FYP2" s="266"/>
      <c r="FYQ2" s="266"/>
      <c r="FYR2" s="266"/>
      <c r="FYS2" s="266"/>
      <c r="FYT2" s="266"/>
      <c r="FYU2" s="266"/>
      <c r="FYV2" s="266"/>
      <c r="FYW2" s="266"/>
      <c r="FYX2" s="266"/>
      <c r="FYY2" s="266"/>
      <c r="FYZ2" s="266"/>
      <c r="FZA2" s="266"/>
      <c r="FZB2" s="266"/>
      <c r="FZC2" s="266"/>
      <c r="FZD2" s="266"/>
      <c r="FZE2" s="266"/>
      <c r="FZF2" s="266"/>
      <c r="FZG2" s="266"/>
      <c r="FZH2" s="266"/>
      <c r="FZI2" s="266"/>
      <c r="FZJ2" s="266"/>
      <c r="FZK2" s="266"/>
      <c r="FZL2" s="266"/>
      <c r="FZM2" s="266"/>
      <c r="FZN2" s="266"/>
      <c r="FZO2" s="266"/>
      <c r="FZP2" s="266"/>
      <c r="FZQ2" s="266"/>
      <c r="FZR2" s="266"/>
      <c r="FZS2" s="266"/>
      <c r="FZT2" s="266"/>
      <c r="FZU2" s="266"/>
      <c r="FZV2" s="266"/>
      <c r="FZW2" s="266"/>
      <c r="FZX2" s="266"/>
      <c r="FZY2" s="266"/>
      <c r="FZZ2" s="266"/>
      <c r="GAA2" s="266"/>
      <c r="GAB2" s="266"/>
      <c r="GAC2" s="266"/>
      <c r="GAD2" s="266"/>
      <c r="GAE2" s="266"/>
      <c r="GAF2" s="266"/>
      <c r="GAG2" s="266"/>
      <c r="GAH2" s="266"/>
      <c r="GAI2" s="266"/>
      <c r="GAJ2" s="266"/>
      <c r="GAK2" s="266"/>
      <c r="GAL2" s="266"/>
      <c r="GAM2" s="266"/>
      <c r="GAN2" s="266"/>
      <c r="GAO2" s="266"/>
      <c r="GAP2" s="266"/>
      <c r="GAQ2" s="266"/>
      <c r="GAR2" s="266"/>
      <c r="GAS2" s="266"/>
      <c r="GAT2" s="266"/>
      <c r="GAU2" s="266"/>
      <c r="GAV2" s="266"/>
      <c r="GAW2" s="266"/>
      <c r="GAX2" s="266"/>
      <c r="GAY2" s="266"/>
      <c r="GAZ2" s="266"/>
      <c r="GBA2" s="266"/>
      <c r="GBB2" s="266"/>
      <c r="GBC2" s="266"/>
      <c r="GBD2" s="266"/>
      <c r="GBE2" s="266"/>
      <c r="GBF2" s="266"/>
      <c r="GBG2" s="266"/>
      <c r="GBH2" s="266"/>
      <c r="GBI2" s="266"/>
      <c r="GBJ2" s="266"/>
      <c r="GBK2" s="266"/>
      <c r="GBL2" s="266"/>
      <c r="GBM2" s="266"/>
      <c r="GBN2" s="266"/>
      <c r="GBO2" s="266"/>
      <c r="GBP2" s="266"/>
      <c r="GBQ2" s="266"/>
      <c r="GBR2" s="266"/>
      <c r="GBS2" s="266"/>
      <c r="GBT2" s="266"/>
      <c r="GBU2" s="266"/>
      <c r="GBV2" s="266"/>
      <c r="GBW2" s="266"/>
      <c r="GBX2" s="266"/>
      <c r="GBY2" s="266"/>
      <c r="GBZ2" s="266"/>
      <c r="GCA2" s="266"/>
      <c r="GCB2" s="266"/>
      <c r="GCC2" s="266"/>
      <c r="GCD2" s="266"/>
      <c r="GCE2" s="266"/>
      <c r="GCF2" s="266"/>
      <c r="GCG2" s="266"/>
      <c r="GCH2" s="266"/>
      <c r="GCI2" s="266"/>
      <c r="GCJ2" s="266"/>
      <c r="GCK2" s="266"/>
      <c r="GCL2" s="266"/>
      <c r="GCM2" s="266"/>
      <c r="GCN2" s="266"/>
      <c r="GCO2" s="266"/>
      <c r="GCP2" s="266"/>
      <c r="GCQ2" s="266"/>
      <c r="GCR2" s="266"/>
      <c r="GCS2" s="266"/>
      <c r="GCT2" s="266"/>
      <c r="GCU2" s="266"/>
      <c r="GCV2" s="266"/>
      <c r="GCW2" s="266"/>
      <c r="GCX2" s="266"/>
      <c r="GCY2" s="266"/>
      <c r="GCZ2" s="266"/>
      <c r="GDA2" s="266"/>
      <c r="GDB2" s="266"/>
      <c r="GDC2" s="266"/>
      <c r="GDD2" s="266"/>
      <c r="GDE2" s="266"/>
      <c r="GDF2" s="266"/>
      <c r="GDG2" s="266"/>
      <c r="GDH2" s="266"/>
      <c r="GDI2" s="266"/>
      <c r="GDJ2" s="266"/>
      <c r="GDK2" s="266"/>
      <c r="GDL2" s="266"/>
      <c r="GDM2" s="266"/>
      <c r="GDN2" s="266"/>
      <c r="GDO2" s="266"/>
      <c r="GDP2" s="266"/>
      <c r="GDQ2" s="266"/>
      <c r="GDR2" s="266"/>
      <c r="GDS2" s="266"/>
      <c r="GDT2" s="266"/>
      <c r="GDU2" s="266"/>
      <c r="GDV2" s="266"/>
      <c r="GDW2" s="266"/>
      <c r="GDX2" s="266"/>
      <c r="GDY2" s="266"/>
      <c r="GDZ2" s="266"/>
      <c r="GEA2" s="266"/>
      <c r="GEB2" s="266"/>
      <c r="GEC2" s="266"/>
      <c r="GED2" s="266"/>
      <c r="GEE2" s="266"/>
      <c r="GEF2" s="266"/>
      <c r="GEG2" s="266"/>
      <c r="GEH2" s="266"/>
      <c r="GEI2" s="266"/>
      <c r="GEJ2" s="266"/>
      <c r="GEK2" s="266"/>
      <c r="GEL2" s="266"/>
      <c r="GEM2" s="266"/>
      <c r="GEN2" s="266"/>
      <c r="GEO2" s="266"/>
      <c r="GEP2" s="266"/>
      <c r="GEQ2" s="266"/>
      <c r="GER2" s="266"/>
      <c r="GES2" s="266"/>
      <c r="GET2" s="266"/>
      <c r="GEU2" s="266"/>
      <c r="GEV2" s="266"/>
      <c r="GEW2" s="266"/>
      <c r="GEX2" s="266"/>
      <c r="GEY2" s="266"/>
      <c r="GEZ2" s="266"/>
      <c r="GFA2" s="266"/>
      <c r="GFB2" s="266"/>
      <c r="GFC2" s="266"/>
      <c r="GFD2" s="266"/>
      <c r="GFE2" s="266"/>
      <c r="GFF2" s="266"/>
      <c r="GFG2" s="266"/>
      <c r="GFH2" s="266"/>
      <c r="GFI2" s="266"/>
      <c r="GFJ2" s="266"/>
      <c r="GFK2" s="266"/>
      <c r="GFL2" s="266"/>
      <c r="GFM2" s="266"/>
      <c r="GFN2" s="266"/>
      <c r="GFO2" s="266"/>
      <c r="GFP2" s="266"/>
      <c r="GFQ2" s="266"/>
      <c r="GFR2" s="266"/>
      <c r="GFS2" s="266"/>
      <c r="GFT2" s="266"/>
      <c r="GFU2" s="266"/>
      <c r="GFV2" s="266"/>
      <c r="GFW2" s="266"/>
      <c r="GFX2" s="266"/>
      <c r="GFY2" s="266"/>
      <c r="GFZ2" s="266"/>
      <c r="GGA2" s="266"/>
      <c r="GGB2" s="266"/>
      <c r="GGC2" s="266"/>
      <c r="GGD2" s="266"/>
      <c r="GGE2" s="266"/>
      <c r="GGF2" s="266"/>
      <c r="GGG2" s="266"/>
      <c r="GGH2" s="266"/>
      <c r="GGI2" s="266"/>
      <c r="GGJ2" s="266"/>
      <c r="GGK2" s="266"/>
      <c r="GGL2" s="266"/>
      <c r="GGM2" s="266"/>
      <c r="GGN2" s="266"/>
      <c r="GGO2" s="266"/>
      <c r="GGP2" s="266"/>
      <c r="GGQ2" s="266"/>
      <c r="GGR2" s="266"/>
      <c r="GGS2" s="266"/>
      <c r="GGT2" s="266"/>
      <c r="GGU2" s="266"/>
      <c r="GGV2" s="266"/>
      <c r="GGW2" s="266"/>
      <c r="GGX2" s="266"/>
      <c r="GGY2" s="266"/>
      <c r="GGZ2" s="266"/>
      <c r="GHA2" s="266"/>
      <c r="GHB2" s="266"/>
      <c r="GHC2" s="266"/>
      <c r="GHD2" s="266"/>
      <c r="GHE2" s="266"/>
      <c r="GHF2" s="266"/>
      <c r="GHG2" s="266"/>
      <c r="GHH2" s="266"/>
      <c r="GHI2" s="266"/>
      <c r="GHJ2" s="266"/>
      <c r="GHK2" s="266"/>
      <c r="GHL2" s="266"/>
      <c r="GHM2" s="266"/>
      <c r="GHN2" s="266"/>
      <c r="GHO2" s="266"/>
      <c r="GHP2" s="266"/>
      <c r="GHQ2" s="266"/>
      <c r="GHR2" s="266"/>
      <c r="GHS2" s="266"/>
      <c r="GHT2" s="266"/>
      <c r="GHU2" s="266"/>
      <c r="GHV2" s="266"/>
      <c r="GHW2" s="266"/>
      <c r="GHX2" s="266"/>
      <c r="GHY2" s="266"/>
      <c r="GHZ2" s="266"/>
      <c r="GIA2" s="266"/>
      <c r="GIB2" s="266"/>
      <c r="GIC2" s="266"/>
      <c r="GID2" s="266"/>
      <c r="GIE2" s="266"/>
      <c r="GIF2" s="266"/>
      <c r="GIG2" s="266"/>
      <c r="GIH2" s="266"/>
      <c r="GII2" s="266"/>
      <c r="GIJ2" s="266"/>
      <c r="GIK2" s="266"/>
      <c r="GIL2" s="266"/>
      <c r="GIM2" s="266"/>
      <c r="GIN2" s="266"/>
      <c r="GIO2" s="266"/>
      <c r="GIP2" s="266"/>
      <c r="GIQ2" s="266"/>
      <c r="GIR2" s="266"/>
      <c r="GIS2" s="266"/>
      <c r="GIT2" s="266"/>
      <c r="GIU2" s="266"/>
      <c r="GIV2" s="266"/>
      <c r="GIW2" s="266"/>
      <c r="GIX2" s="266"/>
      <c r="GIY2" s="266"/>
      <c r="GIZ2" s="266"/>
      <c r="GJA2" s="266"/>
      <c r="GJB2" s="266"/>
      <c r="GJC2" s="266"/>
      <c r="GJD2" s="266"/>
      <c r="GJE2" s="266"/>
      <c r="GJF2" s="266"/>
      <c r="GJG2" s="266"/>
      <c r="GJH2" s="266"/>
      <c r="GJI2" s="266"/>
      <c r="GJJ2" s="266"/>
      <c r="GJK2" s="266"/>
      <c r="GJL2" s="266"/>
      <c r="GJM2" s="266"/>
      <c r="GJN2" s="266"/>
      <c r="GJO2" s="266"/>
      <c r="GJP2" s="266"/>
      <c r="GJQ2" s="266"/>
      <c r="GJR2" s="266"/>
      <c r="GJS2" s="266"/>
      <c r="GJT2" s="266"/>
      <c r="GJU2" s="266"/>
      <c r="GJV2" s="266"/>
      <c r="GJW2" s="266"/>
      <c r="GJX2" s="266"/>
      <c r="GJY2" s="266"/>
      <c r="GJZ2" s="266"/>
      <c r="GKA2" s="266"/>
      <c r="GKB2" s="266"/>
      <c r="GKC2" s="266"/>
      <c r="GKD2" s="266"/>
      <c r="GKE2" s="266"/>
      <c r="GKF2" s="266"/>
      <c r="GKG2" s="266"/>
      <c r="GKH2" s="266"/>
      <c r="GKI2" s="266"/>
      <c r="GKJ2" s="266"/>
      <c r="GKK2" s="266"/>
      <c r="GKL2" s="266"/>
      <c r="GKM2" s="266"/>
      <c r="GKN2" s="266"/>
      <c r="GKO2" s="266"/>
      <c r="GKP2" s="266"/>
      <c r="GKQ2" s="266"/>
      <c r="GKR2" s="266"/>
      <c r="GKS2" s="266"/>
      <c r="GKT2" s="266"/>
      <c r="GKU2" s="266"/>
      <c r="GKV2" s="266"/>
      <c r="GKW2" s="266"/>
      <c r="GKX2" s="266"/>
      <c r="GKY2" s="266"/>
      <c r="GKZ2" s="266"/>
      <c r="GLA2" s="266"/>
      <c r="GLB2" s="266"/>
      <c r="GLC2" s="266"/>
      <c r="GLD2" s="266"/>
      <c r="GLE2" s="266"/>
      <c r="GLF2" s="266"/>
      <c r="GLG2" s="266"/>
      <c r="GLH2" s="266"/>
      <c r="GLI2" s="266"/>
      <c r="GLJ2" s="266"/>
      <c r="GLK2" s="266"/>
      <c r="GLL2" s="266"/>
      <c r="GLM2" s="266"/>
      <c r="GLN2" s="266"/>
      <c r="GLO2" s="266"/>
      <c r="GLP2" s="266"/>
      <c r="GLQ2" s="266"/>
      <c r="GLR2" s="266"/>
      <c r="GLS2" s="266"/>
      <c r="GLT2" s="266"/>
      <c r="GLU2" s="266"/>
      <c r="GLV2" s="266"/>
      <c r="GLW2" s="266"/>
      <c r="GLX2" s="266"/>
      <c r="GLY2" s="266"/>
      <c r="GLZ2" s="266"/>
      <c r="GMA2" s="266"/>
      <c r="GMB2" s="266"/>
      <c r="GMC2" s="266"/>
      <c r="GMD2" s="266"/>
      <c r="GME2" s="266"/>
      <c r="GMF2" s="266"/>
      <c r="GMG2" s="266"/>
      <c r="GMH2" s="266"/>
      <c r="GMI2" s="266"/>
      <c r="GMJ2" s="266"/>
      <c r="GMK2" s="266"/>
      <c r="GML2" s="266"/>
      <c r="GMM2" s="266"/>
      <c r="GMN2" s="266"/>
      <c r="GMO2" s="266"/>
      <c r="GMP2" s="266"/>
      <c r="GMQ2" s="266"/>
      <c r="GMR2" s="266"/>
      <c r="GMS2" s="266"/>
      <c r="GMT2" s="266"/>
      <c r="GMU2" s="266"/>
      <c r="GMV2" s="266"/>
      <c r="GMW2" s="266"/>
      <c r="GMX2" s="266"/>
      <c r="GMY2" s="266"/>
      <c r="GMZ2" s="266"/>
      <c r="GNA2" s="266"/>
      <c r="GNB2" s="266"/>
      <c r="GNC2" s="266"/>
      <c r="GND2" s="266"/>
      <c r="GNE2" s="266"/>
      <c r="GNF2" s="266"/>
      <c r="GNG2" s="266"/>
      <c r="GNH2" s="266"/>
      <c r="GNI2" s="266"/>
      <c r="GNJ2" s="266"/>
      <c r="GNK2" s="266"/>
      <c r="GNL2" s="266"/>
      <c r="GNM2" s="266"/>
      <c r="GNN2" s="266"/>
      <c r="GNO2" s="266"/>
      <c r="GNP2" s="266"/>
      <c r="GNQ2" s="266"/>
      <c r="GNR2" s="266"/>
      <c r="GNS2" s="266"/>
      <c r="GNT2" s="266"/>
      <c r="GNU2" s="266"/>
      <c r="GNV2" s="266"/>
      <c r="GNW2" s="266"/>
      <c r="GNX2" s="266"/>
      <c r="GNY2" s="266"/>
      <c r="GNZ2" s="266"/>
      <c r="GOA2" s="266"/>
      <c r="GOB2" s="266"/>
      <c r="GOC2" s="266"/>
      <c r="GOD2" s="266"/>
      <c r="GOE2" s="266"/>
      <c r="GOF2" s="266"/>
      <c r="GOG2" s="266"/>
      <c r="GOH2" s="266"/>
      <c r="GOI2" s="266"/>
      <c r="GOJ2" s="266"/>
      <c r="GOK2" s="266"/>
      <c r="GOL2" s="266"/>
      <c r="GOM2" s="266"/>
      <c r="GON2" s="266"/>
      <c r="GOO2" s="266"/>
      <c r="GOP2" s="266"/>
      <c r="GOQ2" s="266"/>
      <c r="GOR2" s="266"/>
      <c r="GOS2" s="266"/>
      <c r="GOT2" s="266"/>
      <c r="GOU2" s="266"/>
      <c r="GOV2" s="266"/>
      <c r="GOW2" s="266"/>
      <c r="GOX2" s="266"/>
      <c r="GOY2" s="266"/>
      <c r="GOZ2" s="266"/>
      <c r="GPA2" s="266"/>
      <c r="GPB2" s="266"/>
      <c r="GPC2" s="266"/>
      <c r="GPD2" s="266"/>
      <c r="GPE2" s="266"/>
      <c r="GPF2" s="266"/>
      <c r="GPG2" s="266"/>
      <c r="GPH2" s="266"/>
      <c r="GPI2" s="266"/>
      <c r="GPJ2" s="266"/>
      <c r="GPK2" s="266"/>
      <c r="GPL2" s="266"/>
      <c r="GPM2" s="266"/>
      <c r="GPN2" s="266"/>
      <c r="GPO2" s="266"/>
      <c r="GPP2" s="266"/>
      <c r="GPQ2" s="266"/>
      <c r="GPR2" s="266"/>
      <c r="GPS2" s="266"/>
      <c r="GPT2" s="266"/>
      <c r="GPU2" s="266"/>
      <c r="GPV2" s="266"/>
      <c r="GPW2" s="266"/>
      <c r="GPX2" s="266"/>
      <c r="GPY2" s="266"/>
      <c r="GPZ2" s="266"/>
      <c r="GQA2" s="266"/>
      <c r="GQB2" s="266"/>
      <c r="GQC2" s="266"/>
      <c r="GQD2" s="266"/>
      <c r="GQE2" s="266"/>
      <c r="GQF2" s="266"/>
      <c r="GQG2" s="266"/>
      <c r="GQH2" s="266"/>
      <c r="GQI2" s="266"/>
      <c r="GQJ2" s="266"/>
      <c r="GQK2" s="266"/>
      <c r="GQL2" s="266"/>
      <c r="GQM2" s="266"/>
      <c r="GQN2" s="266"/>
      <c r="GQO2" s="266"/>
      <c r="GQP2" s="266"/>
      <c r="GQQ2" s="266"/>
      <c r="GQR2" s="266"/>
      <c r="GQS2" s="266"/>
      <c r="GQT2" s="266"/>
      <c r="GQU2" s="266"/>
      <c r="GQV2" s="266"/>
      <c r="GQW2" s="266"/>
      <c r="GQX2" s="266"/>
      <c r="GQY2" s="266"/>
      <c r="GQZ2" s="266"/>
      <c r="GRA2" s="266"/>
      <c r="GRB2" s="266"/>
      <c r="GRC2" s="266"/>
      <c r="GRD2" s="266"/>
      <c r="GRE2" s="266"/>
      <c r="GRF2" s="266"/>
      <c r="GRG2" s="266"/>
      <c r="GRH2" s="266"/>
      <c r="GRI2" s="266"/>
      <c r="GRJ2" s="266"/>
      <c r="GRK2" s="266"/>
      <c r="GRL2" s="266"/>
      <c r="GRM2" s="266"/>
      <c r="GRN2" s="266"/>
      <c r="GRO2" s="266"/>
      <c r="GRP2" s="266"/>
      <c r="GRQ2" s="266"/>
      <c r="GRR2" s="266"/>
      <c r="GRS2" s="266"/>
      <c r="GRT2" s="266"/>
      <c r="GRU2" s="266"/>
      <c r="GRV2" s="266"/>
      <c r="GRW2" s="266"/>
      <c r="GRX2" s="266"/>
      <c r="GRY2" s="266"/>
      <c r="GRZ2" s="266"/>
      <c r="GSA2" s="266"/>
      <c r="GSB2" s="266"/>
      <c r="GSC2" s="266"/>
      <c r="GSD2" s="266"/>
      <c r="GSE2" s="266"/>
      <c r="GSF2" s="266"/>
      <c r="GSG2" s="266"/>
      <c r="GSH2" s="266"/>
      <c r="GSI2" s="266"/>
      <c r="GSJ2" s="266"/>
      <c r="GSK2" s="266"/>
      <c r="GSL2" s="266"/>
      <c r="GSM2" s="266"/>
      <c r="GSN2" s="266"/>
      <c r="GSO2" s="266"/>
      <c r="GSP2" s="266"/>
      <c r="GSQ2" s="266"/>
      <c r="GSR2" s="266"/>
      <c r="GSS2" s="266"/>
      <c r="GST2" s="266"/>
      <c r="GSU2" s="266"/>
      <c r="GSV2" s="266"/>
      <c r="GSW2" s="266"/>
      <c r="GSX2" s="266"/>
      <c r="GSY2" s="266"/>
      <c r="GSZ2" s="266"/>
      <c r="GTA2" s="266"/>
      <c r="GTB2" s="266"/>
      <c r="GTC2" s="266"/>
      <c r="GTD2" s="266"/>
      <c r="GTE2" s="266"/>
      <c r="GTF2" s="266"/>
      <c r="GTG2" s="266"/>
      <c r="GTH2" s="266"/>
      <c r="GTI2" s="266"/>
      <c r="GTJ2" s="266"/>
      <c r="GTK2" s="266"/>
      <c r="GTL2" s="266"/>
      <c r="GTM2" s="266"/>
      <c r="GTN2" s="266"/>
      <c r="GTO2" s="266"/>
      <c r="GTP2" s="266"/>
      <c r="GTQ2" s="266"/>
      <c r="GTR2" s="266"/>
      <c r="GTS2" s="266"/>
      <c r="GTT2" s="266"/>
      <c r="GTU2" s="266"/>
      <c r="GTV2" s="266"/>
      <c r="GTW2" s="266"/>
      <c r="GTX2" s="266"/>
      <c r="GTY2" s="266"/>
      <c r="GTZ2" s="266"/>
      <c r="GUA2" s="266"/>
      <c r="GUB2" s="266"/>
      <c r="GUC2" s="266"/>
      <c r="GUD2" s="266"/>
      <c r="GUE2" s="266"/>
      <c r="GUF2" s="266"/>
      <c r="GUG2" s="266"/>
      <c r="GUH2" s="266"/>
      <c r="GUI2" s="266"/>
      <c r="GUJ2" s="266"/>
      <c r="GUK2" s="266"/>
      <c r="GUL2" s="266"/>
      <c r="GUM2" s="266"/>
      <c r="GUN2" s="266"/>
      <c r="GUO2" s="266"/>
      <c r="GUP2" s="266"/>
      <c r="GUQ2" s="266"/>
      <c r="GUR2" s="266"/>
      <c r="GUS2" s="266"/>
      <c r="GUT2" s="266"/>
      <c r="GUU2" s="266"/>
      <c r="GUV2" s="266"/>
      <c r="GUW2" s="266"/>
      <c r="GUX2" s="266"/>
      <c r="GUY2" s="266"/>
      <c r="GUZ2" s="266"/>
      <c r="GVA2" s="266"/>
      <c r="GVB2" s="266"/>
      <c r="GVC2" s="266"/>
      <c r="GVD2" s="266"/>
      <c r="GVE2" s="266"/>
      <c r="GVF2" s="266"/>
      <c r="GVG2" s="266"/>
      <c r="GVH2" s="266"/>
      <c r="GVI2" s="266"/>
      <c r="GVJ2" s="266"/>
      <c r="GVK2" s="266"/>
      <c r="GVL2" s="266"/>
      <c r="GVM2" s="266"/>
      <c r="GVN2" s="266"/>
      <c r="GVO2" s="266"/>
      <c r="GVP2" s="266"/>
      <c r="GVQ2" s="266"/>
      <c r="GVR2" s="266"/>
      <c r="GVS2" s="266"/>
      <c r="GVT2" s="266"/>
      <c r="GVU2" s="266"/>
      <c r="GVV2" s="266"/>
      <c r="GVW2" s="266"/>
      <c r="GVX2" s="266"/>
      <c r="GVY2" s="266"/>
      <c r="GVZ2" s="266"/>
      <c r="GWA2" s="266"/>
      <c r="GWB2" s="266"/>
      <c r="GWC2" s="266"/>
      <c r="GWD2" s="266"/>
      <c r="GWE2" s="266"/>
      <c r="GWF2" s="266"/>
      <c r="GWG2" s="266"/>
      <c r="GWH2" s="266"/>
      <c r="GWI2" s="266"/>
      <c r="GWJ2" s="266"/>
      <c r="GWK2" s="266"/>
      <c r="GWL2" s="266"/>
      <c r="GWM2" s="266"/>
      <c r="GWN2" s="266"/>
      <c r="GWO2" s="266"/>
      <c r="GWP2" s="266"/>
      <c r="GWQ2" s="266"/>
      <c r="GWR2" s="266"/>
      <c r="GWS2" s="266"/>
      <c r="GWT2" s="266"/>
      <c r="GWU2" s="266"/>
      <c r="GWV2" s="266"/>
      <c r="GWW2" s="266"/>
      <c r="GWX2" s="266"/>
      <c r="GWY2" s="266"/>
      <c r="GWZ2" s="266"/>
      <c r="GXA2" s="266"/>
      <c r="GXB2" s="266"/>
      <c r="GXC2" s="266"/>
      <c r="GXD2" s="266"/>
      <c r="GXE2" s="266"/>
      <c r="GXF2" s="266"/>
      <c r="GXG2" s="266"/>
      <c r="GXH2" s="266"/>
      <c r="GXI2" s="266"/>
      <c r="GXJ2" s="266"/>
      <c r="GXK2" s="266"/>
      <c r="GXL2" s="266"/>
      <c r="GXM2" s="266"/>
      <c r="GXN2" s="266"/>
      <c r="GXO2" s="266"/>
      <c r="GXP2" s="266"/>
      <c r="GXQ2" s="266"/>
      <c r="GXR2" s="266"/>
      <c r="GXS2" s="266"/>
      <c r="GXT2" s="266"/>
      <c r="GXU2" s="266"/>
      <c r="GXV2" s="266"/>
      <c r="GXW2" s="266"/>
      <c r="GXX2" s="266"/>
      <c r="GXY2" s="266"/>
      <c r="GXZ2" s="266"/>
      <c r="GYA2" s="266"/>
      <c r="GYB2" s="266"/>
      <c r="GYC2" s="266"/>
      <c r="GYD2" s="266"/>
      <c r="GYE2" s="266"/>
      <c r="GYF2" s="266"/>
      <c r="GYG2" s="266"/>
      <c r="GYH2" s="266"/>
      <c r="GYI2" s="266"/>
      <c r="GYJ2" s="266"/>
      <c r="GYK2" s="266"/>
      <c r="GYL2" s="266"/>
      <c r="GYM2" s="266"/>
      <c r="GYN2" s="266"/>
      <c r="GYO2" s="266"/>
      <c r="GYP2" s="266"/>
      <c r="GYQ2" s="266"/>
      <c r="GYR2" s="266"/>
      <c r="GYS2" s="266"/>
      <c r="GYT2" s="266"/>
      <c r="GYU2" s="266"/>
      <c r="GYV2" s="266"/>
      <c r="GYW2" s="266"/>
      <c r="GYX2" s="266"/>
      <c r="GYY2" s="266"/>
      <c r="GYZ2" s="266"/>
      <c r="GZA2" s="266"/>
      <c r="GZB2" s="266"/>
      <c r="GZC2" s="266"/>
      <c r="GZD2" s="266"/>
      <c r="GZE2" s="266"/>
      <c r="GZF2" s="266"/>
      <c r="GZG2" s="266"/>
      <c r="GZH2" s="266"/>
      <c r="GZI2" s="266"/>
      <c r="GZJ2" s="266"/>
      <c r="GZK2" s="266"/>
      <c r="GZL2" s="266"/>
      <c r="GZM2" s="266"/>
      <c r="GZN2" s="266"/>
      <c r="GZO2" s="266"/>
      <c r="GZP2" s="266"/>
      <c r="GZQ2" s="266"/>
      <c r="GZR2" s="266"/>
      <c r="GZS2" s="266"/>
      <c r="GZT2" s="266"/>
      <c r="GZU2" s="266"/>
      <c r="GZV2" s="266"/>
      <c r="GZW2" s="266"/>
      <c r="GZX2" s="266"/>
      <c r="GZY2" s="266"/>
      <c r="GZZ2" s="266"/>
      <c r="HAA2" s="266"/>
      <c r="HAB2" s="266"/>
      <c r="HAC2" s="266"/>
      <c r="HAD2" s="266"/>
      <c r="HAE2" s="266"/>
      <c r="HAF2" s="266"/>
      <c r="HAG2" s="266"/>
      <c r="HAH2" s="266"/>
      <c r="HAI2" s="266"/>
      <c r="HAJ2" s="266"/>
      <c r="HAK2" s="266"/>
      <c r="HAL2" s="266"/>
      <c r="HAM2" s="266"/>
      <c r="HAN2" s="266"/>
      <c r="HAO2" s="266"/>
      <c r="HAP2" s="266"/>
      <c r="HAQ2" s="266"/>
      <c r="HAR2" s="266"/>
      <c r="HAS2" s="266"/>
      <c r="HAT2" s="266"/>
      <c r="HAU2" s="266"/>
      <c r="HAV2" s="266"/>
      <c r="HAW2" s="266"/>
      <c r="HAX2" s="266"/>
      <c r="HAY2" s="266"/>
      <c r="HAZ2" s="266"/>
      <c r="HBA2" s="266"/>
      <c r="HBB2" s="266"/>
      <c r="HBC2" s="266"/>
      <c r="HBD2" s="266"/>
      <c r="HBE2" s="266"/>
      <c r="HBF2" s="266"/>
      <c r="HBG2" s="266"/>
      <c r="HBH2" s="266"/>
      <c r="HBI2" s="266"/>
      <c r="HBJ2" s="266"/>
      <c r="HBK2" s="266"/>
      <c r="HBL2" s="266"/>
      <c r="HBM2" s="266"/>
      <c r="HBN2" s="266"/>
      <c r="HBO2" s="266"/>
      <c r="HBP2" s="266"/>
      <c r="HBQ2" s="266"/>
      <c r="HBR2" s="266"/>
      <c r="HBS2" s="266"/>
      <c r="HBT2" s="266"/>
      <c r="HBU2" s="266"/>
      <c r="HBV2" s="266"/>
      <c r="HBW2" s="266"/>
      <c r="HBX2" s="266"/>
      <c r="HBY2" s="266"/>
      <c r="HBZ2" s="266"/>
      <c r="HCA2" s="266"/>
      <c r="HCB2" s="266"/>
      <c r="HCC2" s="266"/>
      <c r="HCD2" s="266"/>
      <c r="HCE2" s="266"/>
      <c r="HCF2" s="266"/>
      <c r="HCG2" s="266"/>
      <c r="HCH2" s="266"/>
      <c r="HCI2" s="266"/>
      <c r="HCJ2" s="266"/>
      <c r="HCK2" s="266"/>
      <c r="HCL2" s="266"/>
      <c r="HCM2" s="266"/>
      <c r="HCN2" s="266"/>
      <c r="HCO2" s="266"/>
      <c r="HCP2" s="266"/>
      <c r="HCQ2" s="266"/>
      <c r="HCR2" s="266"/>
      <c r="HCS2" s="266"/>
      <c r="HCT2" s="266"/>
      <c r="HCU2" s="266"/>
      <c r="HCV2" s="266"/>
      <c r="HCW2" s="266"/>
      <c r="HCX2" s="266"/>
      <c r="HCY2" s="266"/>
      <c r="HCZ2" s="266"/>
      <c r="HDA2" s="266"/>
      <c r="HDB2" s="266"/>
      <c r="HDC2" s="266"/>
      <c r="HDD2" s="266"/>
      <c r="HDE2" s="266"/>
      <c r="HDF2" s="266"/>
      <c r="HDG2" s="266"/>
      <c r="HDH2" s="266"/>
      <c r="HDI2" s="266"/>
      <c r="HDJ2" s="266"/>
      <c r="HDK2" s="266"/>
      <c r="HDL2" s="266"/>
      <c r="HDM2" s="266"/>
      <c r="HDN2" s="266"/>
      <c r="HDO2" s="266"/>
      <c r="HDP2" s="266"/>
      <c r="HDQ2" s="266"/>
      <c r="HDR2" s="266"/>
      <c r="HDS2" s="266"/>
      <c r="HDT2" s="266"/>
      <c r="HDU2" s="266"/>
      <c r="HDV2" s="266"/>
      <c r="HDW2" s="266"/>
      <c r="HDX2" s="266"/>
      <c r="HDY2" s="266"/>
      <c r="HDZ2" s="266"/>
      <c r="HEA2" s="266"/>
      <c r="HEB2" s="266"/>
      <c r="HEC2" s="266"/>
      <c r="HED2" s="266"/>
      <c r="HEE2" s="266"/>
      <c r="HEF2" s="266"/>
      <c r="HEG2" s="266"/>
      <c r="HEH2" s="266"/>
      <c r="HEI2" s="266"/>
      <c r="HEJ2" s="266"/>
      <c r="HEK2" s="266"/>
      <c r="HEL2" s="266"/>
      <c r="HEM2" s="266"/>
      <c r="HEN2" s="266"/>
      <c r="HEO2" s="266"/>
      <c r="HEP2" s="266"/>
      <c r="HEQ2" s="266"/>
      <c r="HER2" s="266"/>
      <c r="HES2" s="266"/>
      <c r="HET2" s="266"/>
      <c r="HEU2" s="266"/>
      <c r="HEV2" s="266"/>
      <c r="HEW2" s="266"/>
      <c r="HEX2" s="266"/>
      <c r="HEY2" s="266"/>
      <c r="HEZ2" s="266"/>
      <c r="HFA2" s="266"/>
      <c r="HFB2" s="266"/>
      <c r="HFC2" s="266"/>
      <c r="HFD2" s="266"/>
      <c r="HFE2" s="266"/>
      <c r="HFF2" s="266"/>
      <c r="HFG2" s="266"/>
      <c r="HFH2" s="266"/>
      <c r="HFI2" s="266"/>
      <c r="HFJ2" s="266"/>
      <c r="HFK2" s="266"/>
      <c r="HFL2" s="266"/>
      <c r="HFM2" s="266"/>
      <c r="HFN2" s="266"/>
      <c r="HFO2" s="266"/>
      <c r="HFP2" s="266"/>
      <c r="HFQ2" s="266"/>
      <c r="HFR2" s="266"/>
      <c r="HFS2" s="266"/>
      <c r="HFT2" s="266"/>
      <c r="HFU2" s="266"/>
      <c r="HFV2" s="266"/>
      <c r="HFW2" s="266"/>
      <c r="HFX2" s="266"/>
      <c r="HFY2" s="266"/>
      <c r="HFZ2" s="266"/>
      <c r="HGA2" s="266"/>
      <c r="HGB2" s="266"/>
      <c r="HGC2" s="266"/>
      <c r="HGD2" s="266"/>
      <c r="HGE2" s="266"/>
      <c r="HGF2" s="266"/>
      <c r="HGG2" s="266"/>
      <c r="HGH2" s="266"/>
      <c r="HGI2" s="266"/>
      <c r="HGJ2" s="266"/>
      <c r="HGK2" s="266"/>
      <c r="HGL2" s="266"/>
      <c r="HGM2" s="266"/>
      <c r="HGN2" s="266"/>
      <c r="HGO2" s="266"/>
      <c r="HGP2" s="266"/>
      <c r="HGQ2" s="266"/>
      <c r="HGR2" s="266"/>
      <c r="HGS2" s="266"/>
      <c r="HGT2" s="266"/>
      <c r="HGU2" s="266"/>
      <c r="HGV2" s="266"/>
      <c r="HGW2" s="266"/>
      <c r="HGX2" s="266"/>
      <c r="HGY2" s="266"/>
      <c r="HGZ2" s="266"/>
      <c r="HHA2" s="266"/>
      <c r="HHB2" s="266"/>
      <c r="HHC2" s="266"/>
      <c r="HHD2" s="266"/>
      <c r="HHE2" s="266"/>
      <c r="HHF2" s="266"/>
      <c r="HHG2" s="266"/>
      <c r="HHH2" s="266"/>
      <c r="HHI2" s="266"/>
      <c r="HHJ2" s="266"/>
      <c r="HHK2" s="266"/>
      <c r="HHL2" s="266"/>
      <c r="HHM2" s="266"/>
      <c r="HHN2" s="266"/>
      <c r="HHO2" s="266"/>
      <c r="HHP2" s="266"/>
      <c r="HHQ2" s="266"/>
      <c r="HHR2" s="266"/>
      <c r="HHS2" s="266"/>
      <c r="HHT2" s="266"/>
      <c r="HHU2" s="266"/>
      <c r="HHV2" s="266"/>
      <c r="HHW2" s="266"/>
      <c r="HHX2" s="266"/>
      <c r="HHY2" s="266"/>
      <c r="HHZ2" s="266"/>
      <c r="HIA2" s="266"/>
      <c r="HIB2" s="266"/>
      <c r="HIC2" s="266"/>
      <c r="HID2" s="266"/>
      <c r="HIE2" s="266"/>
      <c r="HIF2" s="266"/>
      <c r="HIG2" s="266"/>
      <c r="HIH2" s="266"/>
      <c r="HII2" s="266"/>
      <c r="HIJ2" s="266"/>
      <c r="HIK2" s="266"/>
      <c r="HIL2" s="266"/>
      <c r="HIM2" s="266"/>
      <c r="HIN2" s="266"/>
      <c r="HIO2" s="266"/>
      <c r="HIP2" s="266"/>
      <c r="HIQ2" s="266"/>
      <c r="HIR2" s="266"/>
      <c r="HIS2" s="266"/>
      <c r="HIT2" s="266"/>
      <c r="HIU2" s="266"/>
      <c r="HIV2" s="266"/>
      <c r="HIW2" s="266"/>
      <c r="HIX2" s="266"/>
      <c r="HIY2" s="266"/>
      <c r="HIZ2" s="266"/>
      <c r="HJA2" s="266"/>
      <c r="HJB2" s="266"/>
      <c r="HJC2" s="266"/>
      <c r="HJD2" s="266"/>
      <c r="HJE2" s="266"/>
      <c r="HJF2" s="266"/>
      <c r="HJG2" s="266"/>
      <c r="HJH2" s="266"/>
      <c r="HJI2" s="266"/>
      <c r="HJJ2" s="266"/>
      <c r="HJK2" s="266"/>
      <c r="HJL2" s="266"/>
      <c r="HJM2" s="266"/>
      <c r="HJN2" s="266"/>
      <c r="HJO2" s="266"/>
      <c r="HJP2" s="266"/>
      <c r="HJQ2" s="266"/>
      <c r="HJR2" s="266"/>
      <c r="HJS2" s="266"/>
      <c r="HJT2" s="266"/>
      <c r="HJU2" s="266"/>
      <c r="HJV2" s="266"/>
      <c r="HJW2" s="266"/>
      <c r="HJX2" s="266"/>
      <c r="HJY2" s="266"/>
      <c r="HJZ2" s="266"/>
      <c r="HKA2" s="266"/>
      <c r="HKB2" s="266"/>
      <c r="HKC2" s="266"/>
      <c r="HKD2" s="266"/>
      <c r="HKE2" s="266"/>
      <c r="HKF2" s="266"/>
      <c r="HKG2" s="266"/>
      <c r="HKH2" s="266"/>
      <c r="HKI2" s="266"/>
      <c r="HKJ2" s="266"/>
      <c r="HKK2" s="266"/>
      <c r="HKL2" s="266"/>
      <c r="HKM2" s="266"/>
      <c r="HKN2" s="266"/>
      <c r="HKO2" s="266"/>
      <c r="HKP2" s="266"/>
      <c r="HKQ2" s="266"/>
      <c r="HKR2" s="266"/>
      <c r="HKS2" s="266"/>
      <c r="HKT2" s="266"/>
      <c r="HKU2" s="266"/>
      <c r="HKV2" s="266"/>
      <c r="HKW2" s="266"/>
      <c r="HKX2" s="266"/>
      <c r="HKY2" s="266"/>
      <c r="HKZ2" s="266"/>
      <c r="HLA2" s="266"/>
      <c r="HLB2" s="266"/>
      <c r="HLC2" s="266"/>
      <c r="HLD2" s="266"/>
      <c r="HLE2" s="266"/>
      <c r="HLF2" s="266"/>
      <c r="HLG2" s="266"/>
      <c r="HLH2" s="266"/>
      <c r="HLI2" s="266"/>
      <c r="HLJ2" s="266"/>
      <c r="HLK2" s="266"/>
      <c r="HLL2" s="266"/>
      <c r="HLM2" s="266"/>
      <c r="HLN2" s="266"/>
      <c r="HLO2" s="266"/>
      <c r="HLP2" s="266"/>
      <c r="HLQ2" s="266"/>
      <c r="HLR2" s="266"/>
      <c r="HLS2" s="266"/>
      <c r="HLT2" s="266"/>
      <c r="HLU2" s="266"/>
      <c r="HLV2" s="266"/>
      <c r="HLW2" s="266"/>
      <c r="HLX2" s="266"/>
      <c r="HLY2" s="266"/>
      <c r="HLZ2" s="266"/>
      <c r="HMA2" s="266"/>
      <c r="HMB2" s="266"/>
      <c r="HMC2" s="266"/>
      <c r="HMD2" s="266"/>
      <c r="HME2" s="266"/>
      <c r="HMF2" s="266"/>
      <c r="HMG2" s="266"/>
      <c r="HMH2" s="266"/>
      <c r="HMI2" s="266"/>
      <c r="HMJ2" s="266"/>
      <c r="HMK2" s="266"/>
      <c r="HML2" s="266"/>
      <c r="HMM2" s="266"/>
      <c r="HMN2" s="266"/>
      <c r="HMO2" s="266"/>
      <c r="HMP2" s="266"/>
      <c r="HMQ2" s="266"/>
      <c r="HMR2" s="266"/>
      <c r="HMS2" s="266"/>
      <c r="HMT2" s="266"/>
      <c r="HMU2" s="266"/>
      <c r="HMV2" s="266"/>
      <c r="HMW2" s="266"/>
      <c r="HMX2" s="266"/>
      <c r="HMY2" s="266"/>
      <c r="HMZ2" s="266"/>
      <c r="HNA2" s="266"/>
      <c r="HNB2" s="266"/>
      <c r="HNC2" s="266"/>
      <c r="HND2" s="266"/>
      <c r="HNE2" s="266"/>
      <c r="HNF2" s="266"/>
      <c r="HNG2" s="266"/>
      <c r="HNH2" s="266"/>
      <c r="HNI2" s="266"/>
      <c r="HNJ2" s="266"/>
      <c r="HNK2" s="266"/>
      <c r="HNL2" s="266"/>
      <c r="HNM2" s="266"/>
      <c r="HNN2" s="266"/>
      <c r="HNO2" s="266"/>
      <c r="HNP2" s="266"/>
      <c r="HNQ2" s="266"/>
      <c r="HNR2" s="266"/>
      <c r="HNS2" s="266"/>
      <c r="HNT2" s="266"/>
      <c r="HNU2" s="266"/>
      <c r="HNV2" s="266"/>
      <c r="HNW2" s="266"/>
      <c r="HNX2" s="266"/>
      <c r="HNY2" s="266"/>
      <c r="HNZ2" s="266"/>
      <c r="HOA2" s="266"/>
      <c r="HOB2" s="266"/>
      <c r="HOC2" s="266"/>
      <c r="HOD2" s="266"/>
      <c r="HOE2" s="266"/>
      <c r="HOF2" s="266"/>
      <c r="HOG2" s="266"/>
      <c r="HOH2" s="266"/>
      <c r="HOI2" s="266"/>
      <c r="HOJ2" s="266"/>
      <c r="HOK2" s="266"/>
      <c r="HOL2" s="266"/>
      <c r="HOM2" s="266"/>
      <c r="HON2" s="266"/>
      <c r="HOO2" s="266"/>
      <c r="HOP2" s="266"/>
      <c r="HOQ2" s="266"/>
      <c r="HOR2" s="266"/>
      <c r="HOS2" s="266"/>
      <c r="HOT2" s="266"/>
      <c r="HOU2" s="266"/>
      <c r="HOV2" s="266"/>
      <c r="HOW2" s="266"/>
      <c r="HOX2" s="266"/>
      <c r="HOY2" s="266"/>
      <c r="HOZ2" s="266"/>
      <c r="HPA2" s="266"/>
      <c r="HPB2" s="266"/>
      <c r="HPC2" s="266"/>
      <c r="HPD2" s="266"/>
      <c r="HPE2" s="266"/>
      <c r="HPF2" s="266"/>
      <c r="HPG2" s="266"/>
      <c r="HPH2" s="266"/>
      <c r="HPI2" s="266"/>
      <c r="HPJ2" s="266"/>
      <c r="HPK2" s="266"/>
      <c r="HPL2" s="266"/>
      <c r="HPM2" s="266"/>
      <c r="HPN2" s="266"/>
      <c r="HPO2" s="266"/>
      <c r="HPP2" s="266"/>
      <c r="HPQ2" s="266"/>
      <c r="HPR2" s="266"/>
      <c r="HPS2" s="266"/>
      <c r="HPT2" s="266"/>
      <c r="HPU2" s="266"/>
      <c r="HPV2" s="266"/>
      <c r="HPW2" s="266"/>
      <c r="HPX2" s="266"/>
      <c r="HPY2" s="266"/>
      <c r="HPZ2" s="266"/>
      <c r="HQA2" s="266"/>
      <c r="HQB2" s="266"/>
      <c r="HQC2" s="266"/>
      <c r="HQD2" s="266"/>
      <c r="HQE2" s="266"/>
      <c r="HQF2" s="266"/>
      <c r="HQG2" s="266"/>
      <c r="HQH2" s="266"/>
      <c r="HQI2" s="266"/>
      <c r="HQJ2" s="266"/>
      <c r="HQK2" s="266"/>
      <c r="HQL2" s="266"/>
      <c r="HQM2" s="266"/>
      <c r="HQN2" s="266"/>
      <c r="HQO2" s="266"/>
      <c r="HQP2" s="266"/>
      <c r="HQQ2" s="266"/>
      <c r="HQR2" s="266"/>
      <c r="HQS2" s="266"/>
      <c r="HQT2" s="266"/>
      <c r="HQU2" s="266"/>
      <c r="HQV2" s="266"/>
      <c r="HQW2" s="266"/>
      <c r="HQX2" s="266"/>
      <c r="HQY2" s="266"/>
      <c r="HQZ2" s="266"/>
      <c r="HRA2" s="266"/>
      <c r="HRB2" s="266"/>
      <c r="HRC2" s="266"/>
      <c r="HRD2" s="266"/>
      <c r="HRE2" s="266"/>
      <c r="HRF2" s="266"/>
      <c r="HRG2" s="266"/>
      <c r="HRH2" s="266"/>
      <c r="HRI2" s="266"/>
      <c r="HRJ2" s="266"/>
      <c r="HRK2" s="266"/>
      <c r="HRL2" s="266"/>
      <c r="HRM2" s="266"/>
      <c r="HRN2" s="266"/>
      <c r="HRO2" s="266"/>
      <c r="HRP2" s="266"/>
      <c r="HRQ2" s="266"/>
      <c r="HRR2" s="266"/>
      <c r="HRS2" s="266"/>
      <c r="HRT2" s="266"/>
      <c r="HRU2" s="266"/>
      <c r="HRV2" s="266"/>
      <c r="HRW2" s="266"/>
      <c r="HRX2" s="266"/>
      <c r="HRY2" s="266"/>
      <c r="HRZ2" s="266"/>
      <c r="HSA2" s="266"/>
      <c r="HSB2" s="266"/>
      <c r="HSC2" s="266"/>
      <c r="HSD2" s="266"/>
      <c r="HSE2" s="266"/>
      <c r="HSF2" s="266"/>
      <c r="HSG2" s="266"/>
      <c r="HSH2" s="266"/>
      <c r="HSI2" s="266"/>
      <c r="HSJ2" s="266"/>
      <c r="HSK2" s="266"/>
      <c r="HSL2" s="266"/>
      <c r="HSM2" s="266"/>
      <c r="HSN2" s="266"/>
      <c r="HSO2" s="266"/>
      <c r="HSP2" s="266"/>
      <c r="HSQ2" s="266"/>
      <c r="HSR2" s="266"/>
      <c r="HSS2" s="266"/>
      <c r="HST2" s="266"/>
      <c r="HSU2" s="266"/>
      <c r="HSV2" s="266"/>
      <c r="HSW2" s="266"/>
      <c r="HSX2" s="266"/>
      <c r="HSY2" s="266"/>
      <c r="HSZ2" s="266"/>
      <c r="HTA2" s="266"/>
      <c r="HTB2" s="266"/>
      <c r="HTC2" s="266"/>
      <c r="HTD2" s="266"/>
      <c r="HTE2" s="266"/>
      <c r="HTF2" s="266"/>
      <c r="HTG2" s="266"/>
      <c r="HTH2" s="266"/>
      <c r="HTI2" s="266"/>
      <c r="HTJ2" s="266"/>
      <c r="HTK2" s="266"/>
      <c r="HTL2" s="266"/>
      <c r="HTM2" s="266"/>
      <c r="HTN2" s="266"/>
      <c r="HTO2" s="266"/>
      <c r="HTP2" s="266"/>
      <c r="HTQ2" s="266"/>
      <c r="HTR2" s="266"/>
      <c r="HTS2" s="266"/>
      <c r="HTT2" s="266"/>
      <c r="HTU2" s="266"/>
      <c r="HTV2" s="266"/>
      <c r="HTW2" s="266"/>
      <c r="HTX2" s="266"/>
      <c r="HTY2" s="266"/>
      <c r="HTZ2" s="266"/>
      <c r="HUA2" s="266"/>
      <c r="HUB2" s="266"/>
      <c r="HUC2" s="266"/>
      <c r="HUD2" s="266"/>
      <c r="HUE2" s="266"/>
      <c r="HUF2" s="266"/>
      <c r="HUG2" s="266"/>
      <c r="HUH2" s="266"/>
      <c r="HUI2" s="266"/>
      <c r="HUJ2" s="266"/>
      <c r="HUK2" s="266"/>
      <c r="HUL2" s="266"/>
      <c r="HUM2" s="266"/>
      <c r="HUN2" s="266"/>
      <c r="HUO2" s="266"/>
      <c r="HUP2" s="266"/>
      <c r="HUQ2" s="266"/>
      <c r="HUR2" s="266"/>
      <c r="HUS2" s="266"/>
      <c r="HUT2" s="266"/>
      <c r="HUU2" s="266"/>
      <c r="HUV2" s="266"/>
      <c r="HUW2" s="266"/>
      <c r="HUX2" s="266"/>
      <c r="HUY2" s="266"/>
      <c r="HUZ2" s="266"/>
      <c r="HVA2" s="266"/>
      <c r="HVB2" s="266"/>
      <c r="HVC2" s="266"/>
      <c r="HVD2" s="266"/>
      <c r="HVE2" s="266"/>
      <c r="HVF2" s="266"/>
      <c r="HVG2" s="266"/>
      <c r="HVH2" s="266"/>
      <c r="HVI2" s="266"/>
      <c r="HVJ2" s="266"/>
      <c r="HVK2" s="266"/>
      <c r="HVL2" s="266"/>
      <c r="HVM2" s="266"/>
      <c r="HVN2" s="266"/>
      <c r="HVO2" s="266"/>
      <c r="HVP2" s="266"/>
      <c r="HVQ2" s="266"/>
      <c r="HVR2" s="266"/>
      <c r="HVS2" s="266"/>
      <c r="HVT2" s="266"/>
      <c r="HVU2" s="266"/>
      <c r="HVV2" s="266"/>
      <c r="HVW2" s="266"/>
      <c r="HVX2" s="266"/>
      <c r="HVY2" s="266"/>
      <c r="HVZ2" s="266"/>
      <c r="HWA2" s="266"/>
      <c r="HWB2" s="266"/>
      <c r="HWC2" s="266"/>
      <c r="HWD2" s="266"/>
      <c r="HWE2" s="266"/>
      <c r="HWF2" s="266"/>
      <c r="HWG2" s="266"/>
      <c r="HWH2" s="266"/>
      <c r="HWI2" s="266"/>
      <c r="HWJ2" s="266"/>
      <c r="HWK2" s="266"/>
      <c r="HWL2" s="266"/>
      <c r="HWM2" s="266"/>
      <c r="HWN2" s="266"/>
      <c r="HWO2" s="266"/>
      <c r="HWP2" s="266"/>
      <c r="HWQ2" s="266"/>
      <c r="HWR2" s="266"/>
      <c r="HWS2" s="266"/>
      <c r="HWT2" s="266"/>
      <c r="HWU2" s="266"/>
      <c r="HWV2" s="266"/>
      <c r="HWW2" s="266"/>
      <c r="HWX2" s="266"/>
      <c r="HWY2" s="266"/>
      <c r="HWZ2" s="266"/>
      <c r="HXA2" s="266"/>
      <c r="HXB2" s="266"/>
      <c r="HXC2" s="266"/>
      <c r="HXD2" s="266"/>
      <c r="HXE2" s="266"/>
      <c r="HXF2" s="266"/>
      <c r="HXG2" s="266"/>
      <c r="HXH2" s="266"/>
      <c r="HXI2" s="266"/>
      <c r="HXJ2" s="266"/>
      <c r="HXK2" s="266"/>
      <c r="HXL2" s="266"/>
      <c r="HXM2" s="266"/>
      <c r="HXN2" s="266"/>
      <c r="HXO2" s="266"/>
      <c r="HXP2" s="266"/>
      <c r="HXQ2" s="266"/>
      <c r="HXR2" s="266"/>
      <c r="HXS2" s="266"/>
      <c r="HXT2" s="266"/>
      <c r="HXU2" s="266"/>
      <c r="HXV2" s="266"/>
      <c r="HXW2" s="266"/>
      <c r="HXX2" s="266"/>
      <c r="HXY2" s="266"/>
      <c r="HXZ2" s="266"/>
      <c r="HYA2" s="266"/>
      <c r="HYB2" s="266"/>
      <c r="HYC2" s="266"/>
      <c r="HYD2" s="266"/>
      <c r="HYE2" s="266"/>
      <c r="HYF2" s="266"/>
      <c r="HYG2" s="266"/>
      <c r="HYH2" s="266"/>
      <c r="HYI2" s="266"/>
      <c r="HYJ2" s="266"/>
      <c r="HYK2" s="266"/>
      <c r="HYL2" s="266"/>
      <c r="HYM2" s="266"/>
      <c r="HYN2" s="266"/>
      <c r="HYO2" s="266"/>
      <c r="HYP2" s="266"/>
      <c r="HYQ2" s="266"/>
      <c r="HYR2" s="266"/>
      <c r="HYS2" s="266"/>
      <c r="HYT2" s="266"/>
      <c r="HYU2" s="266"/>
      <c r="HYV2" s="266"/>
      <c r="HYW2" s="266"/>
      <c r="HYX2" s="266"/>
      <c r="HYY2" s="266"/>
      <c r="HYZ2" s="266"/>
      <c r="HZA2" s="266"/>
      <c r="HZB2" s="266"/>
      <c r="HZC2" s="266"/>
      <c r="HZD2" s="266"/>
      <c r="HZE2" s="266"/>
      <c r="HZF2" s="266"/>
      <c r="HZG2" s="266"/>
      <c r="HZH2" s="266"/>
      <c r="HZI2" s="266"/>
      <c r="HZJ2" s="266"/>
      <c r="HZK2" s="266"/>
      <c r="HZL2" s="266"/>
      <c r="HZM2" s="266"/>
      <c r="HZN2" s="266"/>
      <c r="HZO2" s="266"/>
      <c r="HZP2" s="266"/>
      <c r="HZQ2" s="266"/>
      <c r="HZR2" s="266"/>
      <c r="HZS2" s="266"/>
      <c r="HZT2" s="266"/>
      <c r="HZU2" s="266"/>
      <c r="HZV2" s="266"/>
      <c r="HZW2" s="266"/>
      <c r="HZX2" s="266"/>
      <c r="HZY2" s="266"/>
      <c r="HZZ2" s="266"/>
      <c r="IAA2" s="266"/>
      <c r="IAB2" s="266"/>
      <c r="IAC2" s="266"/>
      <c r="IAD2" s="266"/>
      <c r="IAE2" s="266"/>
      <c r="IAF2" s="266"/>
      <c r="IAG2" s="266"/>
      <c r="IAH2" s="266"/>
      <c r="IAI2" s="266"/>
      <c r="IAJ2" s="266"/>
      <c r="IAK2" s="266"/>
      <c r="IAL2" s="266"/>
      <c r="IAM2" s="266"/>
      <c r="IAN2" s="266"/>
      <c r="IAO2" s="266"/>
      <c r="IAP2" s="266"/>
      <c r="IAQ2" s="266"/>
      <c r="IAR2" s="266"/>
      <c r="IAS2" s="266"/>
      <c r="IAT2" s="266"/>
      <c r="IAU2" s="266"/>
      <c r="IAV2" s="266"/>
      <c r="IAW2" s="266"/>
      <c r="IAX2" s="266"/>
      <c r="IAY2" s="266"/>
      <c r="IAZ2" s="266"/>
      <c r="IBA2" s="266"/>
      <c r="IBB2" s="266"/>
      <c r="IBC2" s="266"/>
      <c r="IBD2" s="266"/>
      <c r="IBE2" s="266"/>
      <c r="IBF2" s="266"/>
      <c r="IBG2" s="266"/>
      <c r="IBH2" s="266"/>
      <c r="IBI2" s="266"/>
      <c r="IBJ2" s="266"/>
      <c r="IBK2" s="266"/>
      <c r="IBL2" s="266"/>
      <c r="IBM2" s="266"/>
      <c r="IBN2" s="266"/>
      <c r="IBO2" s="266"/>
      <c r="IBP2" s="266"/>
      <c r="IBQ2" s="266"/>
      <c r="IBR2" s="266"/>
      <c r="IBS2" s="266"/>
      <c r="IBT2" s="266"/>
      <c r="IBU2" s="266"/>
      <c r="IBV2" s="266"/>
      <c r="IBW2" s="266"/>
      <c r="IBX2" s="266"/>
      <c r="IBY2" s="266"/>
      <c r="IBZ2" s="266"/>
      <c r="ICA2" s="266"/>
      <c r="ICB2" s="266"/>
      <c r="ICC2" s="266"/>
      <c r="ICD2" s="266"/>
      <c r="ICE2" s="266"/>
      <c r="ICF2" s="266"/>
      <c r="ICG2" s="266"/>
      <c r="ICH2" s="266"/>
      <c r="ICI2" s="266"/>
      <c r="ICJ2" s="266"/>
      <c r="ICK2" s="266"/>
      <c r="ICL2" s="266"/>
      <c r="ICM2" s="266"/>
      <c r="ICN2" s="266"/>
      <c r="ICO2" s="266"/>
      <c r="ICP2" s="266"/>
      <c r="ICQ2" s="266"/>
      <c r="ICR2" s="266"/>
      <c r="ICS2" s="266"/>
      <c r="ICT2" s="266"/>
      <c r="ICU2" s="266"/>
      <c r="ICV2" s="266"/>
      <c r="ICW2" s="266"/>
      <c r="ICX2" s="266"/>
      <c r="ICY2" s="266"/>
      <c r="ICZ2" s="266"/>
      <c r="IDA2" s="266"/>
      <c r="IDB2" s="266"/>
      <c r="IDC2" s="266"/>
      <c r="IDD2" s="266"/>
      <c r="IDE2" s="266"/>
      <c r="IDF2" s="266"/>
      <c r="IDG2" s="266"/>
      <c r="IDH2" s="266"/>
      <c r="IDI2" s="266"/>
      <c r="IDJ2" s="266"/>
      <c r="IDK2" s="266"/>
      <c r="IDL2" s="266"/>
      <c r="IDM2" s="266"/>
      <c r="IDN2" s="266"/>
      <c r="IDO2" s="266"/>
      <c r="IDP2" s="266"/>
      <c r="IDQ2" s="266"/>
      <c r="IDR2" s="266"/>
      <c r="IDS2" s="266"/>
      <c r="IDT2" s="266"/>
      <c r="IDU2" s="266"/>
      <c r="IDV2" s="266"/>
      <c r="IDW2" s="266"/>
      <c r="IDX2" s="266"/>
      <c r="IDY2" s="266"/>
      <c r="IDZ2" s="266"/>
      <c r="IEA2" s="266"/>
      <c r="IEB2" s="266"/>
      <c r="IEC2" s="266"/>
      <c r="IED2" s="266"/>
      <c r="IEE2" s="266"/>
      <c r="IEF2" s="266"/>
      <c r="IEG2" s="266"/>
      <c r="IEH2" s="266"/>
      <c r="IEI2" s="266"/>
      <c r="IEJ2" s="266"/>
      <c r="IEK2" s="266"/>
      <c r="IEL2" s="266"/>
      <c r="IEM2" s="266"/>
      <c r="IEN2" s="266"/>
      <c r="IEO2" s="266"/>
      <c r="IEP2" s="266"/>
      <c r="IEQ2" s="266"/>
      <c r="IER2" s="266"/>
      <c r="IES2" s="266"/>
      <c r="IET2" s="266"/>
      <c r="IEU2" s="266"/>
      <c r="IEV2" s="266"/>
      <c r="IEW2" s="266"/>
      <c r="IEX2" s="266"/>
      <c r="IEY2" s="266"/>
      <c r="IEZ2" s="266"/>
      <c r="IFA2" s="266"/>
      <c r="IFB2" s="266"/>
      <c r="IFC2" s="266"/>
      <c r="IFD2" s="266"/>
      <c r="IFE2" s="266"/>
      <c r="IFF2" s="266"/>
      <c r="IFG2" s="266"/>
      <c r="IFH2" s="266"/>
      <c r="IFI2" s="266"/>
      <c r="IFJ2" s="266"/>
      <c r="IFK2" s="266"/>
      <c r="IFL2" s="266"/>
      <c r="IFM2" s="266"/>
      <c r="IFN2" s="266"/>
      <c r="IFO2" s="266"/>
      <c r="IFP2" s="266"/>
      <c r="IFQ2" s="266"/>
      <c r="IFR2" s="266"/>
      <c r="IFS2" s="266"/>
      <c r="IFT2" s="266"/>
      <c r="IFU2" s="266"/>
      <c r="IFV2" s="266"/>
      <c r="IFW2" s="266"/>
      <c r="IFX2" s="266"/>
      <c r="IFY2" s="266"/>
      <c r="IFZ2" s="266"/>
      <c r="IGA2" s="266"/>
      <c r="IGB2" s="266"/>
      <c r="IGC2" s="266"/>
      <c r="IGD2" s="266"/>
      <c r="IGE2" s="266"/>
      <c r="IGF2" s="266"/>
      <c r="IGG2" s="266"/>
      <c r="IGH2" s="266"/>
      <c r="IGI2" s="266"/>
      <c r="IGJ2" s="266"/>
      <c r="IGK2" s="266"/>
      <c r="IGL2" s="266"/>
      <c r="IGM2" s="266"/>
      <c r="IGN2" s="266"/>
      <c r="IGO2" s="266"/>
      <c r="IGP2" s="266"/>
      <c r="IGQ2" s="266"/>
      <c r="IGR2" s="266"/>
      <c r="IGS2" s="266"/>
      <c r="IGT2" s="266"/>
      <c r="IGU2" s="266"/>
      <c r="IGV2" s="266"/>
      <c r="IGW2" s="266"/>
      <c r="IGX2" s="266"/>
      <c r="IGY2" s="266"/>
      <c r="IGZ2" s="266"/>
      <c r="IHA2" s="266"/>
      <c r="IHB2" s="266"/>
      <c r="IHC2" s="266"/>
      <c r="IHD2" s="266"/>
      <c r="IHE2" s="266"/>
      <c r="IHF2" s="266"/>
      <c r="IHG2" s="266"/>
      <c r="IHH2" s="266"/>
      <c r="IHI2" s="266"/>
      <c r="IHJ2" s="266"/>
      <c r="IHK2" s="266"/>
      <c r="IHL2" s="266"/>
      <c r="IHM2" s="266"/>
      <c r="IHN2" s="266"/>
      <c r="IHO2" s="266"/>
      <c r="IHP2" s="266"/>
      <c r="IHQ2" s="266"/>
      <c r="IHR2" s="266"/>
      <c r="IHS2" s="266"/>
      <c r="IHT2" s="266"/>
      <c r="IHU2" s="266"/>
      <c r="IHV2" s="266"/>
      <c r="IHW2" s="266"/>
      <c r="IHX2" s="266"/>
      <c r="IHY2" s="266"/>
      <c r="IHZ2" s="266"/>
      <c r="IIA2" s="266"/>
      <c r="IIB2" s="266"/>
      <c r="IIC2" s="266"/>
      <c r="IID2" s="266"/>
      <c r="IIE2" s="266"/>
      <c r="IIF2" s="266"/>
      <c r="IIG2" s="266"/>
      <c r="IIH2" s="266"/>
      <c r="III2" s="266"/>
      <c r="IIJ2" s="266"/>
      <c r="IIK2" s="266"/>
      <c r="IIL2" s="266"/>
      <c r="IIM2" s="266"/>
      <c r="IIN2" s="266"/>
      <c r="IIO2" s="266"/>
      <c r="IIP2" s="266"/>
      <c r="IIQ2" s="266"/>
      <c r="IIR2" s="266"/>
      <c r="IIS2" s="266"/>
      <c r="IIT2" s="266"/>
      <c r="IIU2" s="266"/>
      <c r="IIV2" s="266"/>
      <c r="IIW2" s="266"/>
      <c r="IIX2" s="266"/>
      <c r="IIY2" s="266"/>
      <c r="IIZ2" s="266"/>
      <c r="IJA2" s="266"/>
      <c r="IJB2" s="266"/>
      <c r="IJC2" s="266"/>
      <c r="IJD2" s="266"/>
      <c r="IJE2" s="266"/>
      <c r="IJF2" s="266"/>
      <c r="IJG2" s="266"/>
      <c r="IJH2" s="266"/>
      <c r="IJI2" s="266"/>
      <c r="IJJ2" s="266"/>
      <c r="IJK2" s="266"/>
      <c r="IJL2" s="266"/>
      <c r="IJM2" s="266"/>
      <c r="IJN2" s="266"/>
      <c r="IJO2" s="266"/>
      <c r="IJP2" s="266"/>
      <c r="IJQ2" s="266"/>
      <c r="IJR2" s="266"/>
      <c r="IJS2" s="266"/>
      <c r="IJT2" s="266"/>
      <c r="IJU2" s="266"/>
      <c r="IJV2" s="266"/>
      <c r="IJW2" s="266"/>
      <c r="IJX2" s="266"/>
      <c r="IJY2" s="266"/>
      <c r="IJZ2" s="266"/>
      <c r="IKA2" s="266"/>
      <c r="IKB2" s="266"/>
      <c r="IKC2" s="266"/>
      <c r="IKD2" s="266"/>
      <c r="IKE2" s="266"/>
      <c r="IKF2" s="266"/>
      <c r="IKG2" s="266"/>
      <c r="IKH2" s="266"/>
      <c r="IKI2" s="266"/>
      <c r="IKJ2" s="266"/>
      <c r="IKK2" s="266"/>
      <c r="IKL2" s="266"/>
      <c r="IKM2" s="266"/>
      <c r="IKN2" s="266"/>
      <c r="IKO2" s="266"/>
      <c r="IKP2" s="266"/>
      <c r="IKQ2" s="266"/>
      <c r="IKR2" s="266"/>
      <c r="IKS2" s="266"/>
      <c r="IKT2" s="266"/>
      <c r="IKU2" s="266"/>
      <c r="IKV2" s="266"/>
      <c r="IKW2" s="266"/>
      <c r="IKX2" s="266"/>
      <c r="IKY2" s="266"/>
      <c r="IKZ2" s="266"/>
      <c r="ILA2" s="266"/>
      <c r="ILB2" s="266"/>
      <c r="ILC2" s="266"/>
      <c r="ILD2" s="266"/>
      <c r="ILE2" s="266"/>
      <c r="ILF2" s="266"/>
      <c r="ILG2" s="266"/>
      <c r="ILH2" s="266"/>
      <c r="ILI2" s="266"/>
      <c r="ILJ2" s="266"/>
      <c r="ILK2" s="266"/>
      <c r="ILL2" s="266"/>
      <c r="ILM2" s="266"/>
      <c r="ILN2" s="266"/>
      <c r="ILO2" s="266"/>
      <c r="ILP2" s="266"/>
      <c r="ILQ2" s="266"/>
      <c r="ILR2" s="266"/>
      <c r="ILS2" s="266"/>
      <c r="ILT2" s="266"/>
      <c r="ILU2" s="266"/>
      <c r="ILV2" s="266"/>
      <c r="ILW2" s="266"/>
      <c r="ILX2" s="266"/>
      <c r="ILY2" s="266"/>
      <c r="ILZ2" s="266"/>
      <c r="IMA2" s="266"/>
      <c r="IMB2" s="266"/>
      <c r="IMC2" s="266"/>
      <c r="IMD2" s="266"/>
      <c r="IME2" s="266"/>
      <c r="IMF2" s="266"/>
      <c r="IMG2" s="266"/>
      <c r="IMH2" s="266"/>
      <c r="IMI2" s="266"/>
      <c r="IMJ2" s="266"/>
      <c r="IMK2" s="266"/>
      <c r="IML2" s="266"/>
      <c r="IMM2" s="266"/>
      <c r="IMN2" s="266"/>
      <c r="IMO2" s="266"/>
      <c r="IMP2" s="266"/>
      <c r="IMQ2" s="266"/>
      <c r="IMR2" s="266"/>
      <c r="IMS2" s="266"/>
      <c r="IMT2" s="266"/>
      <c r="IMU2" s="266"/>
      <c r="IMV2" s="266"/>
      <c r="IMW2" s="266"/>
      <c r="IMX2" s="266"/>
      <c r="IMY2" s="266"/>
      <c r="IMZ2" s="266"/>
      <c r="INA2" s="266"/>
      <c r="INB2" s="266"/>
      <c r="INC2" s="266"/>
      <c r="IND2" s="266"/>
      <c r="INE2" s="266"/>
      <c r="INF2" s="266"/>
      <c r="ING2" s="266"/>
      <c r="INH2" s="266"/>
      <c r="INI2" s="266"/>
      <c r="INJ2" s="266"/>
      <c r="INK2" s="266"/>
      <c r="INL2" s="266"/>
      <c r="INM2" s="266"/>
      <c r="INN2" s="266"/>
      <c r="INO2" s="266"/>
      <c r="INP2" s="266"/>
      <c r="INQ2" s="266"/>
      <c r="INR2" s="266"/>
      <c r="INS2" s="266"/>
      <c r="INT2" s="266"/>
      <c r="INU2" s="266"/>
      <c r="INV2" s="266"/>
      <c r="INW2" s="266"/>
      <c r="INX2" s="266"/>
      <c r="INY2" s="266"/>
      <c r="INZ2" s="266"/>
      <c r="IOA2" s="266"/>
      <c r="IOB2" s="266"/>
      <c r="IOC2" s="266"/>
      <c r="IOD2" s="266"/>
      <c r="IOE2" s="266"/>
      <c r="IOF2" s="266"/>
      <c r="IOG2" s="266"/>
      <c r="IOH2" s="266"/>
      <c r="IOI2" s="266"/>
      <c r="IOJ2" s="266"/>
      <c r="IOK2" s="266"/>
      <c r="IOL2" s="266"/>
      <c r="IOM2" s="266"/>
      <c r="ION2" s="266"/>
      <c r="IOO2" s="266"/>
      <c r="IOP2" s="266"/>
      <c r="IOQ2" s="266"/>
      <c r="IOR2" s="266"/>
      <c r="IOS2" s="266"/>
      <c r="IOT2" s="266"/>
      <c r="IOU2" s="266"/>
      <c r="IOV2" s="266"/>
      <c r="IOW2" s="266"/>
      <c r="IOX2" s="266"/>
      <c r="IOY2" s="266"/>
      <c r="IOZ2" s="266"/>
      <c r="IPA2" s="266"/>
      <c r="IPB2" s="266"/>
      <c r="IPC2" s="266"/>
      <c r="IPD2" s="266"/>
      <c r="IPE2" s="266"/>
      <c r="IPF2" s="266"/>
      <c r="IPG2" s="266"/>
      <c r="IPH2" s="266"/>
      <c r="IPI2" s="266"/>
      <c r="IPJ2" s="266"/>
      <c r="IPK2" s="266"/>
      <c r="IPL2" s="266"/>
      <c r="IPM2" s="266"/>
      <c r="IPN2" s="266"/>
      <c r="IPO2" s="266"/>
      <c r="IPP2" s="266"/>
      <c r="IPQ2" s="266"/>
      <c r="IPR2" s="266"/>
      <c r="IPS2" s="266"/>
      <c r="IPT2" s="266"/>
      <c r="IPU2" s="266"/>
      <c r="IPV2" s="266"/>
      <c r="IPW2" s="266"/>
      <c r="IPX2" s="266"/>
      <c r="IPY2" s="266"/>
      <c r="IPZ2" s="266"/>
      <c r="IQA2" s="266"/>
      <c r="IQB2" s="266"/>
      <c r="IQC2" s="266"/>
      <c r="IQD2" s="266"/>
      <c r="IQE2" s="266"/>
      <c r="IQF2" s="266"/>
      <c r="IQG2" s="266"/>
      <c r="IQH2" s="266"/>
      <c r="IQI2" s="266"/>
      <c r="IQJ2" s="266"/>
      <c r="IQK2" s="266"/>
      <c r="IQL2" s="266"/>
      <c r="IQM2" s="266"/>
      <c r="IQN2" s="266"/>
      <c r="IQO2" s="266"/>
      <c r="IQP2" s="266"/>
      <c r="IQQ2" s="266"/>
      <c r="IQR2" s="266"/>
      <c r="IQS2" s="266"/>
      <c r="IQT2" s="266"/>
      <c r="IQU2" s="266"/>
      <c r="IQV2" s="266"/>
      <c r="IQW2" s="266"/>
      <c r="IQX2" s="266"/>
      <c r="IQY2" s="266"/>
      <c r="IQZ2" s="266"/>
      <c r="IRA2" s="266"/>
      <c r="IRB2" s="266"/>
      <c r="IRC2" s="266"/>
      <c r="IRD2" s="266"/>
      <c r="IRE2" s="266"/>
      <c r="IRF2" s="266"/>
      <c r="IRG2" s="266"/>
      <c r="IRH2" s="266"/>
      <c r="IRI2" s="266"/>
      <c r="IRJ2" s="266"/>
      <c r="IRK2" s="266"/>
      <c r="IRL2" s="266"/>
      <c r="IRM2" s="266"/>
      <c r="IRN2" s="266"/>
      <c r="IRO2" s="266"/>
      <c r="IRP2" s="266"/>
      <c r="IRQ2" s="266"/>
      <c r="IRR2" s="266"/>
      <c r="IRS2" s="266"/>
      <c r="IRT2" s="266"/>
      <c r="IRU2" s="266"/>
      <c r="IRV2" s="266"/>
      <c r="IRW2" s="266"/>
      <c r="IRX2" s="266"/>
      <c r="IRY2" s="266"/>
      <c r="IRZ2" s="266"/>
      <c r="ISA2" s="266"/>
      <c r="ISB2" s="266"/>
      <c r="ISC2" s="266"/>
      <c r="ISD2" s="266"/>
      <c r="ISE2" s="266"/>
      <c r="ISF2" s="266"/>
      <c r="ISG2" s="266"/>
      <c r="ISH2" s="266"/>
      <c r="ISI2" s="266"/>
      <c r="ISJ2" s="266"/>
      <c r="ISK2" s="266"/>
      <c r="ISL2" s="266"/>
      <c r="ISM2" s="266"/>
      <c r="ISN2" s="266"/>
      <c r="ISO2" s="266"/>
      <c r="ISP2" s="266"/>
      <c r="ISQ2" s="266"/>
      <c r="ISR2" s="266"/>
      <c r="ISS2" s="266"/>
      <c r="IST2" s="266"/>
      <c r="ISU2" s="266"/>
      <c r="ISV2" s="266"/>
      <c r="ISW2" s="266"/>
      <c r="ISX2" s="266"/>
      <c r="ISY2" s="266"/>
      <c r="ISZ2" s="266"/>
      <c r="ITA2" s="266"/>
      <c r="ITB2" s="266"/>
      <c r="ITC2" s="266"/>
      <c r="ITD2" s="266"/>
      <c r="ITE2" s="266"/>
      <c r="ITF2" s="266"/>
      <c r="ITG2" s="266"/>
      <c r="ITH2" s="266"/>
      <c r="ITI2" s="266"/>
      <c r="ITJ2" s="266"/>
      <c r="ITK2" s="266"/>
      <c r="ITL2" s="266"/>
      <c r="ITM2" s="266"/>
      <c r="ITN2" s="266"/>
      <c r="ITO2" s="266"/>
      <c r="ITP2" s="266"/>
      <c r="ITQ2" s="266"/>
      <c r="ITR2" s="266"/>
      <c r="ITS2" s="266"/>
      <c r="ITT2" s="266"/>
      <c r="ITU2" s="266"/>
      <c r="ITV2" s="266"/>
      <c r="ITW2" s="266"/>
      <c r="ITX2" s="266"/>
      <c r="ITY2" s="266"/>
      <c r="ITZ2" s="266"/>
      <c r="IUA2" s="266"/>
      <c r="IUB2" s="266"/>
      <c r="IUC2" s="266"/>
      <c r="IUD2" s="266"/>
      <c r="IUE2" s="266"/>
      <c r="IUF2" s="266"/>
      <c r="IUG2" s="266"/>
      <c r="IUH2" s="266"/>
      <c r="IUI2" s="266"/>
      <c r="IUJ2" s="266"/>
      <c r="IUK2" s="266"/>
      <c r="IUL2" s="266"/>
      <c r="IUM2" s="266"/>
      <c r="IUN2" s="266"/>
      <c r="IUO2" s="266"/>
      <c r="IUP2" s="266"/>
      <c r="IUQ2" s="266"/>
      <c r="IUR2" s="266"/>
      <c r="IUS2" s="266"/>
      <c r="IUT2" s="266"/>
      <c r="IUU2" s="266"/>
      <c r="IUV2" s="266"/>
      <c r="IUW2" s="266"/>
      <c r="IUX2" s="266"/>
      <c r="IUY2" s="266"/>
      <c r="IUZ2" s="266"/>
      <c r="IVA2" s="266"/>
      <c r="IVB2" s="266"/>
      <c r="IVC2" s="266"/>
      <c r="IVD2" s="266"/>
      <c r="IVE2" s="266"/>
      <c r="IVF2" s="266"/>
      <c r="IVG2" s="266"/>
      <c r="IVH2" s="266"/>
      <c r="IVI2" s="266"/>
      <c r="IVJ2" s="266"/>
      <c r="IVK2" s="266"/>
      <c r="IVL2" s="266"/>
      <c r="IVM2" s="266"/>
      <c r="IVN2" s="266"/>
      <c r="IVO2" s="266"/>
      <c r="IVP2" s="266"/>
      <c r="IVQ2" s="266"/>
      <c r="IVR2" s="266"/>
      <c r="IVS2" s="266"/>
      <c r="IVT2" s="266"/>
      <c r="IVU2" s="266"/>
      <c r="IVV2" s="266"/>
      <c r="IVW2" s="266"/>
      <c r="IVX2" s="266"/>
      <c r="IVY2" s="266"/>
      <c r="IVZ2" s="266"/>
      <c r="IWA2" s="266"/>
      <c r="IWB2" s="266"/>
      <c r="IWC2" s="266"/>
      <c r="IWD2" s="266"/>
      <c r="IWE2" s="266"/>
      <c r="IWF2" s="266"/>
      <c r="IWG2" s="266"/>
      <c r="IWH2" s="266"/>
      <c r="IWI2" s="266"/>
      <c r="IWJ2" s="266"/>
      <c r="IWK2" s="266"/>
      <c r="IWL2" s="266"/>
      <c r="IWM2" s="266"/>
      <c r="IWN2" s="266"/>
      <c r="IWO2" s="266"/>
      <c r="IWP2" s="266"/>
      <c r="IWQ2" s="266"/>
      <c r="IWR2" s="266"/>
      <c r="IWS2" s="266"/>
      <c r="IWT2" s="266"/>
      <c r="IWU2" s="266"/>
      <c r="IWV2" s="266"/>
      <c r="IWW2" s="266"/>
      <c r="IWX2" s="266"/>
      <c r="IWY2" s="266"/>
      <c r="IWZ2" s="266"/>
      <c r="IXA2" s="266"/>
      <c r="IXB2" s="266"/>
      <c r="IXC2" s="266"/>
      <c r="IXD2" s="266"/>
      <c r="IXE2" s="266"/>
      <c r="IXF2" s="266"/>
      <c r="IXG2" s="266"/>
      <c r="IXH2" s="266"/>
      <c r="IXI2" s="266"/>
      <c r="IXJ2" s="266"/>
      <c r="IXK2" s="266"/>
      <c r="IXL2" s="266"/>
      <c r="IXM2" s="266"/>
      <c r="IXN2" s="266"/>
      <c r="IXO2" s="266"/>
      <c r="IXP2" s="266"/>
      <c r="IXQ2" s="266"/>
      <c r="IXR2" s="266"/>
      <c r="IXS2" s="266"/>
      <c r="IXT2" s="266"/>
      <c r="IXU2" s="266"/>
      <c r="IXV2" s="266"/>
      <c r="IXW2" s="266"/>
      <c r="IXX2" s="266"/>
      <c r="IXY2" s="266"/>
      <c r="IXZ2" s="266"/>
      <c r="IYA2" s="266"/>
      <c r="IYB2" s="266"/>
      <c r="IYC2" s="266"/>
      <c r="IYD2" s="266"/>
      <c r="IYE2" s="266"/>
      <c r="IYF2" s="266"/>
      <c r="IYG2" s="266"/>
      <c r="IYH2" s="266"/>
      <c r="IYI2" s="266"/>
      <c r="IYJ2" s="266"/>
      <c r="IYK2" s="266"/>
      <c r="IYL2" s="266"/>
      <c r="IYM2" s="266"/>
      <c r="IYN2" s="266"/>
      <c r="IYO2" s="266"/>
      <c r="IYP2" s="266"/>
      <c r="IYQ2" s="266"/>
      <c r="IYR2" s="266"/>
      <c r="IYS2" s="266"/>
      <c r="IYT2" s="266"/>
      <c r="IYU2" s="266"/>
      <c r="IYV2" s="266"/>
      <c r="IYW2" s="266"/>
      <c r="IYX2" s="266"/>
      <c r="IYY2" s="266"/>
      <c r="IYZ2" s="266"/>
      <c r="IZA2" s="266"/>
      <c r="IZB2" s="266"/>
      <c r="IZC2" s="266"/>
      <c r="IZD2" s="266"/>
      <c r="IZE2" s="266"/>
      <c r="IZF2" s="266"/>
      <c r="IZG2" s="266"/>
      <c r="IZH2" s="266"/>
      <c r="IZI2" s="266"/>
      <c r="IZJ2" s="266"/>
      <c r="IZK2" s="266"/>
      <c r="IZL2" s="266"/>
      <c r="IZM2" s="266"/>
      <c r="IZN2" s="266"/>
      <c r="IZO2" s="266"/>
      <c r="IZP2" s="266"/>
      <c r="IZQ2" s="266"/>
      <c r="IZR2" s="266"/>
      <c r="IZS2" s="266"/>
      <c r="IZT2" s="266"/>
      <c r="IZU2" s="266"/>
      <c r="IZV2" s="266"/>
      <c r="IZW2" s="266"/>
      <c r="IZX2" s="266"/>
      <c r="IZY2" s="266"/>
      <c r="IZZ2" s="266"/>
      <c r="JAA2" s="266"/>
      <c r="JAB2" s="266"/>
      <c r="JAC2" s="266"/>
      <c r="JAD2" s="266"/>
      <c r="JAE2" s="266"/>
      <c r="JAF2" s="266"/>
      <c r="JAG2" s="266"/>
      <c r="JAH2" s="266"/>
      <c r="JAI2" s="266"/>
      <c r="JAJ2" s="266"/>
      <c r="JAK2" s="266"/>
      <c r="JAL2" s="266"/>
      <c r="JAM2" s="266"/>
      <c r="JAN2" s="266"/>
      <c r="JAO2" s="266"/>
      <c r="JAP2" s="266"/>
      <c r="JAQ2" s="266"/>
      <c r="JAR2" s="266"/>
      <c r="JAS2" s="266"/>
      <c r="JAT2" s="266"/>
      <c r="JAU2" s="266"/>
      <c r="JAV2" s="266"/>
      <c r="JAW2" s="266"/>
      <c r="JAX2" s="266"/>
      <c r="JAY2" s="266"/>
      <c r="JAZ2" s="266"/>
      <c r="JBA2" s="266"/>
      <c r="JBB2" s="266"/>
      <c r="JBC2" s="266"/>
      <c r="JBD2" s="266"/>
      <c r="JBE2" s="266"/>
      <c r="JBF2" s="266"/>
      <c r="JBG2" s="266"/>
      <c r="JBH2" s="266"/>
      <c r="JBI2" s="266"/>
      <c r="JBJ2" s="266"/>
      <c r="JBK2" s="266"/>
      <c r="JBL2" s="266"/>
      <c r="JBM2" s="266"/>
      <c r="JBN2" s="266"/>
      <c r="JBO2" s="266"/>
      <c r="JBP2" s="266"/>
      <c r="JBQ2" s="266"/>
      <c r="JBR2" s="266"/>
      <c r="JBS2" s="266"/>
      <c r="JBT2" s="266"/>
      <c r="JBU2" s="266"/>
      <c r="JBV2" s="266"/>
      <c r="JBW2" s="266"/>
      <c r="JBX2" s="266"/>
      <c r="JBY2" s="266"/>
      <c r="JBZ2" s="266"/>
      <c r="JCA2" s="266"/>
      <c r="JCB2" s="266"/>
      <c r="JCC2" s="266"/>
      <c r="JCD2" s="266"/>
      <c r="JCE2" s="266"/>
      <c r="JCF2" s="266"/>
      <c r="JCG2" s="266"/>
      <c r="JCH2" s="266"/>
      <c r="JCI2" s="266"/>
      <c r="JCJ2" s="266"/>
      <c r="JCK2" s="266"/>
      <c r="JCL2" s="266"/>
      <c r="JCM2" s="266"/>
      <c r="JCN2" s="266"/>
      <c r="JCO2" s="266"/>
      <c r="JCP2" s="266"/>
      <c r="JCQ2" s="266"/>
      <c r="JCR2" s="266"/>
      <c r="JCS2" s="266"/>
      <c r="JCT2" s="266"/>
      <c r="JCU2" s="266"/>
      <c r="JCV2" s="266"/>
      <c r="JCW2" s="266"/>
      <c r="JCX2" s="266"/>
      <c r="JCY2" s="266"/>
      <c r="JCZ2" s="266"/>
      <c r="JDA2" s="266"/>
      <c r="JDB2" s="266"/>
      <c r="JDC2" s="266"/>
      <c r="JDD2" s="266"/>
      <c r="JDE2" s="266"/>
      <c r="JDF2" s="266"/>
      <c r="JDG2" s="266"/>
      <c r="JDH2" s="266"/>
      <c r="JDI2" s="266"/>
      <c r="JDJ2" s="266"/>
      <c r="JDK2" s="266"/>
      <c r="JDL2" s="266"/>
      <c r="JDM2" s="266"/>
      <c r="JDN2" s="266"/>
      <c r="JDO2" s="266"/>
      <c r="JDP2" s="266"/>
      <c r="JDQ2" s="266"/>
      <c r="JDR2" s="266"/>
      <c r="JDS2" s="266"/>
      <c r="JDT2" s="266"/>
      <c r="JDU2" s="266"/>
      <c r="JDV2" s="266"/>
      <c r="JDW2" s="266"/>
      <c r="JDX2" s="266"/>
      <c r="JDY2" s="266"/>
      <c r="JDZ2" s="266"/>
      <c r="JEA2" s="266"/>
      <c r="JEB2" s="266"/>
      <c r="JEC2" s="266"/>
      <c r="JED2" s="266"/>
      <c r="JEE2" s="266"/>
      <c r="JEF2" s="266"/>
      <c r="JEG2" s="266"/>
      <c r="JEH2" s="266"/>
      <c r="JEI2" s="266"/>
      <c r="JEJ2" s="266"/>
      <c r="JEK2" s="266"/>
      <c r="JEL2" s="266"/>
      <c r="JEM2" s="266"/>
      <c r="JEN2" s="266"/>
      <c r="JEO2" s="266"/>
      <c r="JEP2" s="266"/>
      <c r="JEQ2" s="266"/>
      <c r="JER2" s="266"/>
      <c r="JES2" s="266"/>
      <c r="JET2" s="266"/>
      <c r="JEU2" s="266"/>
      <c r="JEV2" s="266"/>
      <c r="JEW2" s="266"/>
      <c r="JEX2" s="266"/>
      <c r="JEY2" s="266"/>
      <c r="JEZ2" s="266"/>
      <c r="JFA2" s="266"/>
      <c r="JFB2" s="266"/>
      <c r="JFC2" s="266"/>
      <c r="JFD2" s="266"/>
      <c r="JFE2" s="266"/>
      <c r="JFF2" s="266"/>
      <c r="JFG2" s="266"/>
      <c r="JFH2" s="266"/>
      <c r="JFI2" s="266"/>
      <c r="JFJ2" s="266"/>
      <c r="JFK2" s="266"/>
      <c r="JFL2" s="266"/>
      <c r="JFM2" s="266"/>
      <c r="JFN2" s="266"/>
      <c r="JFO2" s="266"/>
      <c r="JFP2" s="266"/>
      <c r="JFQ2" s="266"/>
      <c r="JFR2" s="266"/>
      <c r="JFS2" s="266"/>
      <c r="JFT2" s="266"/>
      <c r="JFU2" s="266"/>
      <c r="JFV2" s="266"/>
      <c r="JFW2" s="266"/>
      <c r="JFX2" s="266"/>
      <c r="JFY2" s="266"/>
      <c r="JFZ2" s="266"/>
      <c r="JGA2" s="266"/>
      <c r="JGB2" s="266"/>
      <c r="JGC2" s="266"/>
      <c r="JGD2" s="266"/>
      <c r="JGE2" s="266"/>
      <c r="JGF2" s="266"/>
      <c r="JGG2" s="266"/>
      <c r="JGH2" s="266"/>
      <c r="JGI2" s="266"/>
      <c r="JGJ2" s="266"/>
      <c r="JGK2" s="266"/>
      <c r="JGL2" s="266"/>
      <c r="JGM2" s="266"/>
      <c r="JGN2" s="266"/>
      <c r="JGO2" s="266"/>
      <c r="JGP2" s="266"/>
      <c r="JGQ2" s="266"/>
      <c r="JGR2" s="266"/>
      <c r="JGS2" s="266"/>
      <c r="JGT2" s="266"/>
      <c r="JGU2" s="266"/>
      <c r="JGV2" s="266"/>
      <c r="JGW2" s="266"/>
      <c r="JGX2" s="266"/>
      <c r="JGY2" s="266"/>
      <c r="JGZ2" s="266"/>
      <c r="JHA2" s="266"/>
      <c r="JHB2" s="266"/>
      <c r="JHC2" s="266"/>
      <c r="JHD2" s="266"/>
      <c r="JHE2" s="266"/>
      <c r="JHF2" s="266"/>
      <c r="JHG2" s="266"/>
      <c r="JHH2" s="266"/>
      <c r="JHI2" s="266"/>
      <c r="JHJ2" s="266"/>
      <c r="JHK2" s="266"/>
      <c r="JHL2" s="266"/>
      <c r="JHM2" s="266"/>
      <c r="JHN2" s="266"/>
      <c r="JHO2" s="266"/>
      <c r="JHP2" s="266"/>
      <c r="JHQ2" s="266"/>
      <c r="JHR2" s="266"/>
      <c r="JHS2" s="266"/>
      <c r="JHT2" s="266"/>
      <c r="JHU2" s="266"/>
      <c r="JHV2" s="266"/>
      <c r="JHW2" s="266"/>
      <c r="JHX2" s="266"/>
      <c r="JHY2" s="266"/>
      <c r="JHZ2" s="266"/>
      <c r="JIA2" s="266"/>
      <c r="JIB2" s="266"/>
      <c r="JIC2" s="266"/>
      <c r="JID2" s="266"/>
      <c r="JIE2" s="266"/>
      <c r="JIF2" s="266"/>
      <c r="JIG2" s="266"/>
      <c r="JIH2" s="266"/>
      <c r="JII2" s="266"/>
      <c r="JIJ2" s="266"/>
      <c r="JIK2" s="266"/>
      <c r="JIL2" s="266"/>
      <c r="JIM2" s="266"/>
      <c r="JIN2" s="266"/>
      <c r="JIO2" s="266"/>
      <c r="JIP2" s="266"/>
      <c r="JIQ2" s="266"/>
      <c r="JIR2" s="266"/>
      <c r="JIS2" s="266"/>
      <c r="JIT2" s="266"/>
      <c r="JIU2" s="266"/>
      <c r="JIV2" s="266"/>
      <c r="JIW2" s="266"/>
      <c r="JIX2" s="266"/>
      <c r="JIY2" s="266"/>
      <c r="JIZ2" s="266"/>
      <c r="JJA2" s="266"/>
      <c r="JJB2" s="266"/>
      <c r="JJC2" s="266"/>
      <c r="JJD2" s="266"/>
      <c r="JJE2" s="266"/>
      <c r="JJF2" s="266"/>
      <c r="JJG2" s="266"/>
      <c r="JJH2" s="266"/>
      <c r="JJI2" s="266"/>
      <c r="JJJ2" s="266"/>
      <c r="JJK2" s="266"/>
      <c r="JJL2" s="266"/>
      <c r="JJM2" s="266"/>
      <c r="JJN2" s="266"/>
      <c r="JJO2" s="266"/>
      <c r="JJP2" s="266"/>
      <c r="JJQ2" s="266"/>
      <c r="JJR2" s="266"/>
      <c r="JJS2" s="266"/>
      <c r="JJT2" s="266"/>
      <c r="JJU2" s="266"/>
      <c r="JJV2" s="266"/>
      <c r="JJW2" s="266"/>
      <c r="JJX2" s="266"/>
      <c r="JJY2" s="266"/>
      <c r="JJZ2" s="266"/>
      <c r="JKA2" s="266"/>
      <c r="JKB2" s="266"/>
      <c r="JKC2" s="266"/>
      <c r="JKD2" s="266"/>
      <c r="JKE2" s="266"/>
      <c r="JKF2" s="266"/>
      <c r="JKG2" s="266"/>
      <c r="JKH2" s="266"/>
      <c r="JKI2" s="266"/>
      <c r="JKJ2" s="266"/>
      <c r="JKK2" s="266"/>
      <c r="JKL2" s="266"/>
      <c r="JKM2" s="266"/>
      <c r="JKN2" s="266"/>
      <c r="JKO2" s="266"/>
      <c r="JKP2" s="266"/>
      <c r="JKQ2" s="266"/>
      <c r="JKR2" s="266"/>
      <c r="JKS2" s="266"/>
      <c r="JKT2" s="266"/>
      <c r="JKU2" s="266"/>
      <c r="JKV2" s="266"/>
      <c r="JKW2" s="266"/>
      <c r="JKX2" s="266"/>
      <c r="JKY2" s="266"/>
      <c r="JKZ2" s="266"/>
      <c r="JLA2" s="266"/>
      <c r="JLB2" s="266"/>
      <c r="JLC2" s="266"/>
      <c r="JLD2" s="266"/>
      <c r="JLE2" s="266"/>
      <c r="JLF2" s="266"/>
      <c r="JLG2" s="266"/>
      <c r="JLH2" s="266"/>
      <c r="JLI2" s="266"/>
      <c r="JLJ2" s="266"/>
      <c r="JLK2" s="266"/>
      <c r="JLL2" s="266"/>
      <c r="JLM2" s="266"/>
      <c r="JLN2" s="266"/>
      <c r="JLO2" s="266"/>
      <c r="JLP2" s="266"/>
      <c r="JLQ2" s="266"/>
      <c r="JLR2" s="266"/>
      <c r="JLS2" s="266"/>
      <c r="JLT2" s="266"/>
      <c r="JLU2" s="266"/>
      <c r="JLV2" s="266"/>
      <c r="JLW2" s="266"/>
      <c r="JLX2" s="266"/>
      <c r="JLY2" s="266"/>
      <c r="JLZ2" s="266"/>
      <c r="JMA2" s="266"/>
      <c r="JMB2" s="266"/>
      <c r="JMC2" s="266"/>
      <c r="JMD2" s="266"/>
      <c r="JME2" s="266"/>
      <c r="JMF2" s="266"/>
      <c r="JMG2" s="266"/>
      <c r="JMH2" s="266"/>
      <c r="JMI2" s="266"/>
      <c r="JMJ2" s="266"/>
      <c r="JMK2" s="266"/>
      <c r="JML2" s="266"/>
      <c r="JMM2" s="266"/>
      <c r="JMN2" s="266"/>
      <c r="JMO2" s="266"/>
      <c r="JMP2" s="266"/>
      <c r="JMQ2" s="266"/>
      <c r="JMR2" s="266"/>
      <c r="JMS2" s="266"/>
      <c r="JMT2" s="266"/>
      <c r="JMU2" s="266"/>
      <c r="JMV2" s="266"/>
      <c r="JMW2" s="266"/>
      <c r="JMX2" s="266"/>
      <c r="JMY2" s="266"/>
      <c r="JMZ2" s="266"/>
      <c r="JNA2" s="266"/>
      <c r="JNB2" s="266"/>
      <c r="JNC2" s="266"/>
      <c r="JND2" s="266"/>
      <c r="JNE2" s="266"/>
      <c r="JNF2" s="266"/>
      <c r="JNG2" s="266"/>
      <c r="JNH2" s="266"/>
      <c r="JNI2" s="266"/>
      <c r="JNJ2" s="266"/>
      <c r="JNK2" s="266"/>
      <c r="JNL2" s="266"/>
      <c r="JNM2" s="266"/>
      <c r="JNN2" s="266"/>
      <c r="JNO2" s="266"/>
      <c r="JNP2" s="266"/>
      <c r="JNQ2" s="266"/>
      <c r="JNR2" s="266"/>
      <c r="JNS2" s="266"/>
      <c r="JNT2" s="266"/>
      <c r="JNU2" s="266"/>
      <c r="JNV2" s="266"/>
      <c r="JNW2" s="266"/>
      <c r="JNX2" s="266"/>
      <c r="JNY2" s="266"/>
      <c r="JNZ2" s="266"/>
      <c r="JOA2" s="266"/>
      <c r="JOB2" s="266"/>
      <c r="JOC2" s="266"/>
      <c r="JOD2" s="266"/>
      <c r="JOE2" s="266"/>
      <c r="JOF2" s="266"/>
      <c r="JOG2" s="266"/>
      <c r="JOH2" s="266"/>
      <c r="JOI2" s="266"/>
      <c r="JOJ2" s="266"/>
      <c r="JOK2" s="266"/>
      <c r="JOL2" s="266"/>
      <c r="JOM2" s="266"/>
      <c r="JON2" s="266"/>
      <c r="JOO2" s="266"/>
      <c r="JOP2" s="266"/>
      <c r="JOQ2" s="266"/>
      <c r="JOR2" s="266"/>
      <c r="JOS2" s="266"/>
      <c r="JOT2" s="266"/>
      <c r="JOU2" s="266"/>
      <c r="JOV2" s="266"/>
      <c r="JOW2" s="266"/>
      <c r="JOX2" s="266"/>
      <c r="JOY2" s="266"/>
      <c r="JOZ2" s="266"/>
      <c r="JPA2" s="266"/>
      <c r="JPB2" s="266"/>
      <c r="JPC2" s="266"/>
      <c r="JPD2" s="266"/>
      <c r="JPE2" s="266"/>
      <c r="JPF2" s="266"/>
      <c r="JPG2" s="266"/>
      <c r="JPH2" s="266"/>
      <c r="JPI2" s="266"/>
      <c r="JPJ2" s="266"/>
      <c r="JPK2" s="266"/>
      <c r="JPL2" s="266"/>
      <c r="JPM2" s="266"/>
      <c r="JPN2" s="266"/>
      <c r="JPO2" s="266"/>
      <c r="JPP2" s="266"/>
      <c r="JPQ2" s="266"/>
      <c r="JPR2" s="266"/>
      <c r="JPS2" s="266"/>
      <c r="JPT2" s="266"/>
      <c r="JPU2" s="266"/>
      <c r="JPV2" s="266"/>
      <c r="JPW2" s="266"/>
      <c r="JPX2" s="266"/>
      <c r="JPY2" s="266"/>
      <c r="JPZ2" s="266"/>
      <c r="JQA2" s="266"/>
      <c r="JQB2" s="266"/>
      <c r="JQC2" s="266"/>
      <c r="JQD2" s="266"/>
      <c r="JQE2" s="266"/>
      <c r="JQF2" s="266"/>
      <c r="JQG2" s="266"/>
      <c r="JQH2" s="266"/>
      <c r="JQI2" s="266"/>
      <c r="JQJ2" s="266"/>
      <c r="JQK2" s="266"/>
      <c r="JQL2" s="266"/>
      <c r="JQM2" s="266"/>
      <c r="JQN2" s="266"/>
      <c r="JQO2" s="266"/>
      <c r="JQP2" s="266"/>
      <c r="JQQ2" s="266"/>
      <c r="JQR2" s="266"/>
      <c r="JQS2" s="266"/>
      <c r="JQT2" s="266"/>
      <c r="JQU2" s="266"/>
      <c r="JQV2" s="266"/>
      <c r="JQW2" s="266"/>
      <c r="JQX2" s="266"/>
      <c r="JQY2" s="266"/>
      <c r="JQZ2" s="266"/>
      <c r="JRA2" s="266"/>
      <c r="JRB2" s="266"/>
      <c r="JRC2" s="266"/>
      <c r="JRD2" s="266"/>
      <c r="JRE2" s="266"/>
      <c r="JRF2" s="266"/>
      <c r="JRG2" s="266"/>
      <c r="JRH2" s="266"/>
      <c r="JRI2" s="266"/>
      <c r="JRJ2" s="266"/>
      <c r="JRK2" s="266"/>
      <c r="JRL2" s="266"/>
      <c r="JRM2" s="266"/>
      <c r="JRN2" s="266"/>
      <c r="JRO2" s="266"/>
      <c r="JRP2" s="266"/>
      <c r="JRQ2" s="266"/>
      <c r="JRR2" s="266"/>
      <c r="JRS2" s="266"/>
      <c r="JRT2" s="266"/>
      <c r="JRU2" s="266"/>
      <c r="JRV2" s="266"/>
      <c r="JRW2" s="266"/>
      <c r="JRX2" s="266"/>
      <c r="JRY2" s="266"/>
      <c r="JRZ2" s="266"/>
      <c r="JSA2" s="266"/>
      <c r="JSB2" s="266"/>
      <c r="JSC2" s="266"/>
      <c r="JSD2" s="266"/>
      <c r="JSE2" s="266"/>
      <c r="JSF2" s="266"/>
      <c r="JSG2" s="266"/>
      <c r="JSH2" s="266"/>
      <c r="JSI2" s="266"/>
      <c r="JSJ2" s="266"/>
      <c r="JSK2" s="266"/>
      <c r="JSL2" s="266"/>
      <c r="JSM2" s="266"/>
      <c r="JSN2" s="266"/>
      <c r="JSO2" s="266"/>
      <c r="JSP2" s="266"/>
      <c r="JSQ2" s="266"/>
      <c r="JSR2" s="266"/>
      <c r="JSS2" s="266"/>
      <c r="JST2" s="266"/>
      <c r="JSU2" s="266"/>
      <c r="JSV2" s="266"/>
      <c r="JSW2" s="266"/>
      <c r="JSX2" s="266"/>
      <c r="JSY2" s="266"/>
      <c r="JSZ2" s="266"/>
      <c r="JTA2" s="266"/>
      <c r="JTB2" s="266"/>
      <c r="JTC2" s="266"/>
      <c r="JTD2" s="266"/>
      <c r="JTE2" s="266"/>
      <c r="JTF2" s="266"/>
      <c r="JTG2" s="266"/>
      <c r="JTH2" s="266"/>
      <c r="JTI2" s="266"/>
      <c r="JTJ2" s="266"/>
      <c r="JTK2" s="266"/>
      <c r="JTL2" s="266"/>
      <c r="JTM2" s="266"/>
      <c r="JTN2" s="266"/>
      <c r="JTO2" s="266"/>
      <c r="JTP2" s="266"/>
      <c r="JTQ2" s="266"/>
      <c r="JTR2" s="266"/>
      <c r="JTS2" s="266"/>
      <c r="JTT2" s="266"/>
      <c r="JTU2" s="266"/>
      <c r="JTV2" s="266"/>
      <c r="JTW2" s="266"/>
      <c r="JTX2" s="266"/>
      <c r="JTY2" s="266"/>
      <c r="JTZ2" s="266"/>
      <c r="JUA2" s="266"/>
      <c r="JUB2" s="266"/>
      <c r="JUC2" s="266"/>
      <c r="JUD2" s="266"/>
      <c r="JUE2" s="266"/>
      <c r="JUF2" s="266"/>
      <c r="JUG2" s="266"/>
      <c r="JUH2" s="266"/>
      <c r="JUI2" s="266"/>
      <c r="JUJ2" s="266"/>
      <c r="JUK2" s="266"/>
      <c r="JUL2" s="266"/>
      <c r="JUM2" s="266"/>
      <c r="JUN2" s="266"/>
      <c r="JUO2" s="266"/>
      <c r="JUP2" s="266"/>
      <c r="JUQ2" s="266"/>
      <c r="JUR2" s="266"/>
      <c r="JUS2" s="266"/>
      <c r="JUT2" s="266"/>
      <c r="JUU2" s="266"/>
      <c r="JUV2" s="266"/>
      <c r="JUW2" s="266"/>
      <c r="JUX2" s="266"/>
      <c r="JUY2" s="266"/>
      <c r="JUZ2" s="266"/>
      <c r="JVA2" s="266"/>
      <c r="JVB2" s="266"/>
      <c r="JVC2" s="266"/>
      <c r="JVD2" s="266"/>
      <c r="JVE2" s="266"/>
      <c r="JVF2" s="266"/>
      <c r="JVG2" s="266"/>
      <c r="JVH2" s="266"/>
      <c r="JVI2" s="266"/>
      <c r="JVJ2" s="266"/>
      <c r="JVK2" s="266"/>
      <c r="JVL2" s="266"/>
      <c r="JVM2" s="266"/>
      <c r="JVN2" s="266"/>
      <c r="JVO2" s="266"/>
      <c r="JVP2" s="266"/>
      <c r="JVQ2" s="266"/>
      <c r="JVR2" s="266"/>
      <c r="JVS2" s="266"/>
      <c r="JVT2" s="266"/>
      <c r="JVU2" s="266"/>
      <c r="JVV2" s="266"/>
      <c r="JVW2" s="266"/>
      <c r="JVX2" s="266"/>
      <c r="JVY2" s="266"/>
      <c r="JVZ2" s="266"/>
      <c r="JWA2" s="266"/>
      <c r="JWB2" s="266"/>
      <c r="JWC2" s="266"/>
      <c r="JWD2" s="266"/>
      <c r="JWE2" s="266"/>
      <c r="JWF2" s="266"/>
      <c r="JWG2" s="266"/>
      <c r="JWH2" s="266"/>
      <c r="JWI2" s="266"/>
      <c r="JWJ2" s="266"/>
      <c r="JWK2" s="266"/>
      <c r="JWL2" s="266"/>
      <c r="JWM2" s="266"/>
      <c r="JWN2" s="266"/>
      <c r="JWO2" s="266"/>
      <c r="JWP2" s="266"/>
      <c r="JWQ2" s="266"/>
      <c r="JWR2" s="266"/>
      <c r="JWS2" s="266"/>
      <c r="JWT2" s="266"/>
      <c r="JWU2" s="266"/>
      <c r="JWV2" s="266"/>
      <c r="JWW2" s="266"/>
      <c r="JWX2" s="266"/>
      <c r="JWY2" s="266"/>
      <c r="JWZ2" s="266"/>
      <c r="JXA2" s="266"/>
      <c r="JXB2" s="266"/>
      <c r="JXC2" s="266"/>
      <c r="JXD2" s="266"/>
      <c r="JXE2" s="266"/>
      <c r="JXF2" s="266"/>
      <c r="JXG2" s="266"/>
      <c r="JXH2" s="266"/>
      <c r="JXI2" s="266"/>
      <c r="JXJ2" s="266"/>
      <c r="JXK2" s="266"/>
      <c r="JXL2" s="266"/>
      <c r="JXM2" s="266"/>
      <c r="JXN2" s="266"/>
      <c r="JXO2" s="266"/>
      <c r="JXP2" s="266"/>
      <c r="JXQ2" s="266"/>
      <c r="JXR2" s="266"/>
      <c r="JXS2" s="266"/>
      <c r="JXT2" s="266"/>
      <c r="JXU2" s="266"/>
      <c r="JXV2" s="266"/>
      <c r="JXW2" s="266"/>
      <c r="JXX2" s="266"/>
      <c r="JXY2" s="266"/>
      <c r="JXZ2" s="266"/>
      <c r="JYA2" s="266"/>
      <c r="JYB2" s="266"/>
      <c r="JYC2" s="266"/>
      <c r="JYD2" s="266"/>
      <c r="JYE2" s="266"/>
      <c r="JYF2" s="266"/>
      <c r="JYG2" s="266"/>
      <c r="JYH2" s="266"/>
      <c r="JYI2" s="266"/>
      <c r="JYJ2" s="266"/>
      <c r="JYK2" s="266"/>
      <c r="JYL2" s="266"/>
      <c r="JYM2" s="266"/>
      <c r="JYN2" s="266"/>
      <c r="JYO2" s="266"/>
      <c r="JYP2" s="266"/>
      <c r="JYQ2" s="266"/>
      <c r="JYR2" s="266"/>
      <c r="JYS2" s="266"/>
      <c r="JYT2" s="266"/>
      <c r="JYU2" s="266"/>
      <c r="JYV2" s="266"/>
      <c r="JYW2" s="266"/>
      <c r="JYX2" s="266"/>
      <c r="JYY2" s="266"/>
      <c r="JYZ2" s="266"/>
      <c r="JZA2" s="266"/>
      <c r="JZB2" s="266"/>
      <c r="JZC2" s="266"/>
      <c r="JZD2" s="266"/>
      <c r="JZE2" s="266"/>
      <c r="JZF2" s="266"/>
      <c r="JZG2" s="266"/>
      <c r="JZH2" s="266"/>
      <c r="JZI2" s="266"/>
      <c r="JZJ2" s="266"/>
      <c r="JZK2" s="266"/>
      <c r="JZL2" s="266"/>
      <c r="JZM2" s="266"/>
      <c r="JZN2" s="266"/>
      <c r="JZO2" s="266"/>
      <c r="JZP2" s="266"/>
      <c r="JZQ2" s="266"/>
      <c r="JZR2" s="266"/>
      <c r="JZS2" s="266"/>
      <c r="JZT2" s="266"/>
      <c r="JZU2" s="266"/>
      <c r="JZV2" s="266"/>
      <c r="JZW2" s="266"/>
      <c r="JZX2" s="266"/>
      <c r="JZY2" s="266"/>
      <c r="JZZ2" s="266"/>
      <c r="KAA2" s="266"/>
      <c r="KAB2" s="266"/>
      <c r="KAC2" s="266"/>
      <c r="KAD2" s="266"/>
      <c r="KAE2" s="266"/>
      <c r="KAF2" s="266"/>
      <c r="KAG2" s="266"/>
      <c r="KAH2" s="266"/>
      <c r="KAI2" s="266"/>
      <c r="KAJ2" s="266"/>
      <c r="KAK2" s="266"/>
      <c r="KAL2" s="266"/>
      <c r="KAM2" s="266"/>
      <c r="KAN2" s="266"/>
      <c r="KAO2" s="266"/>
      <c r="KAP2" s="266"/>
      <c r="KAQ2" s="266"/>
      <c r="KAR2" s="266"/>
      <c r="KAS2" s="266"/>
      <c r="KAT2" s="266"/>
      <c r="KAU2" s="266"/>
      <c r="KAV2" s="266"/>
      <c r="KAW2" s="266"/>
      <c r="KAX2" s="266"/>
      <c r="KAY2" s="266"/>
      <c r="KAZ2" s="266"/>
      <c r="KBA2" s="266"/>
      <c r="KBB2" s="266"/>
      <c r="KBC2" s="266"/>
      <c r="KBD2" s="266"/>
      <c r="KBE2" s="266"/>
      <c r="KBF2" s="266"/>
      <c r="KBG2" s="266"/>
      <c r="KBH2" s="266"/>
      <c r="KBI2" s="266"/>
      <c r="KBJ2" s="266"/>
      <c r="KBK2" s="266"/>
      <c r="KBL2" s="266"/>
      <c r="KBM2" s="266"/>
      <c r="KBN2" s="266"/>
      <c r="KBO2" s="266"/>
      <c r="KBP2" s="266"/>
      <c r="KBQ2" s="266"/>
      <c r="KBR2" s="266"/>
      <c r="KBS2" s="266"/>
      <c r="KBT2" s="266"/>
      <c r="KBU2" s="266"/>
      <c r="KBV2" s="266"/>
      <c r="KBW2" s="266"/>
      <c r="KBX2" s="266"/>
      <c r="KBY2" s="266"/>
      <c r="KBZ2" s="266"/>
      <c r="KCA2" s="266"/>
      <c r="KCB2" s="266"/>
      <c r="KCC2" s="266"/>
      <c r="KCD2" s="266"/>
      <c r="KCE2" s="266"/>
      <c r="KCF2" s="266"/>
      <c r="KCG2" s="266"/>
      <c r="KCH2" s="266"/>
      <c r="KCI2" s="266"/>
      <c r="KCJ2" s="266"/>
      <c r="KCK2" s="266"/>
      <c r="KCL2" s="266"/>
      <c r="KCM2" s="266"/>
      <c r="KCN2" s="266"/>
      <c r="KCO2" s="266"/>
      <c r="KCP2" s="266"/>
      <c r="KCQ2" s="266"/>
      <c r="KCR2" s="266"/>
      <c r="KCS2" s="266"/>
      <c r="KCT2" s="266"/>
      <c r="KCU2" s="266"/>
      <c r="KCV2" s="266"/>
      <c r="KCW2" s="266"/>
      <c r="KCX2" s="266"/>
      <c r="KCY2" s="266"/>
      <c r="KCZ2" s="266"/>
      <c r="KDA2" s="266"/>
      <c r="KDB2" s="266"/>
      <c r="KDC2" s="266"/>
      <c r="KDD2" s="266"/>
      <c r="KDE2" s="266"/>
      <c r="KDF2" s="266"/>
      <c r="KDG2" s="266"/>
      <c r="KDH2" s="266"/>
      <c r="KDI2" s="266"/>
      <c r="KDJ2" s="266"/>
      <c r="KDK2" s="266"/>
      <c r="KDL2" s="266"/>
      <c r="KDM2" s="266"/>
      <c r="KDN2" s="266"/>
      <c r="KDO2" s="266"/>
      <c r="KDP2" s="266"/>
      <c r="KDQ2" s="266"/>
      <c r="KDR2" s="266"/>
      <c r="KDS2" s="266"/>
      <c r="KDT2" s="266"/>
      <c r="KDU2" s="266"/>
      <c r="KDV2" s="266"/>
      <c r="KDW2" s="266"/>
      <c r="KDX2" s="266"/>
      <c r="KDY2" s="266"/>
      <c r="KDZ2" s="266"/>
      <c r="KEA2" s="266"/>
      <c r="KEB2" s="266"/>
      <c r="KEC2" s="266"/>
      <c r="KED2" s="266"/>
      <c r="KEE2" s="266"/>
      <c r="KEF2" s="266"/>
      <c r="KEG2" s="266"/>
      <c r="KEH2" s="266"/>
      <c r="KEI2" s="266"/>
      <c r="KEJ2" s="266"/>
      <c r="KEK2" s="266"/>
      <c r="KEL2" s="266"/>
      <c r="KEM2" s="266"/>
      <c r="KEN2" s="266"/>
      <c r="KEO2" s="266"/>
      <c r="KEP2" s="266"/>
      <c r="KEQ2" s="266"/>
      <c r="KER2" s="266"/>
      <c r="KES2" s="266"/>
      <c r="KET2" s="266"/>
      <c r="KEU2" s="266"/>
      <c r="KEV2" s="266"/>
      <c r="KEW2" s="266"/>
      <c r="KEX2" s="266"/>
      <c r="KEY2" s="266"/>
      <c r="KEZ2" s="266"/>
      <c r="KFA2" s="266"/>
      <c r="KFB2" s="266"/>
      <c r="KFC2" s="266"/>
      <c r="KFD2" s="266"/>
      <c r="KFE2" s="266"/>
      <c r="KFF2" s="266"/>
      <c r="KFG2" s="266"/>
      <c r="KFH2" s="266"/>
      <c r="KFI2" s="266"/>
      <c r="KFJ2" s="266"/>
      <c r="KFK2" s="266"/>
      <c r="KFL2" s="266"/>
      <c r="KFM2" s="266"/>
      <c r="KFN2" s="266"/>
      <c r="KFO2" s="266"/>
      <c r="KFP2" s="266"/>
      <c r="KFQ2" s="266"/>
      <c r="KFR2" s="266"/>
      <c r="KFS2" s="266"/>
      <c r="KFT2" s="266"/>
      <c r="KFU2" s="266"/>
      <c r="KFV2" s="266"/>
      <c r="KFW2" s="266"/>
      <c r="KFX2" s="266"/>
      <c r="KFY2" s="266"/>
      <c r="KFZ2" s="266"/>
      <c r="KGA2" s="266"/>
      <c r="KGB2" s="266"/>
      <c r="KGC2" s="266"/>
      <c r="KGD2" s="266"/>
      <c r="KGE2" s="266"/>
      <c r="KGF2" s="266"/>
      <c r="KGG2" s="266"/>
      <c r="KGH2" s="266"/>
      <c r="KGI2" s="266"/>
      <c r="KGJ2" s="266"/>
      <c r="KGK2" s="266"/>
      <c r="KGL2" s="266"/>
      <c r="KGM2" s="266"/>
      <c r="KGN2" s="266"/>
      <c r="KGO2" s="266"/>
      <c r="KGP2" s="266"/>
      <c r="KGQ2" s="266"/>
      <c r="KGR2" s="266"/>
      <c r="KGS2" s="266"/>
      <c r="KGT2" s="266"/>
      <c r="KGU2" s="266"/>
      <c r="KGV2" s="266"/>
      <c r="KGW2" s="266"/>
      <c r="KGX2" s="266"/>
      <c r="KGY2" s="266"/>
      <c r="KGZ2" s="266"/>
      <c r="KHA2" s="266"/>
      <c r="KHB2" s="266"/>
      <c r="KHC2" s="266"/>
      <c r="KHD2" s="266"/>
      <c r="KHE2" s="266"/>
      <c r="KHF2" s="266"/>
      <c r="KHG2" s="266"/>
      <c r="KHH2" s="266"/>
      <c r="KHI2" s="266"/>
      <c r="KHJ2" s="266"/>
      <c r="KHK2" s="266"/>
      <c r="KHL2" s="266"/>
      <c r="KHM2" s="266"/>
      <c r="KHN2" s="266"/>
      <c r="KHO2" s="266"/>
      <c r="KHP2" s="266"/>
      <c r="KHQ2" s="266"/>
      <c r="KHR2" s="266"/>
      <c r="KHS2" s="266"/>
      <c r="KHT2" s="266"/>
      <c r="KHU2" s="266"/>
      <c r="KHV2" s="266"/>
      <c r="KHW2" s="266"/>
      <c r="KHX2" s="266"/>
      <c r="KHY2" s="266"/>
      <c r="KHZ2" s="266"/>
      <c r="KIA2" s="266"/>
      <c r="KIB2" s="266"/>
      <c r="KIC2" s="266"/>
      <c r="KID2" s="266"/>
      <c r="KIE2" s="266"/>
      <c r="KIF2" s="266"/>
      <c r="KIG2" s="266"/>
      <c r="KIH2" s="266"/>
      <c r="KII2" s="266"/>
      <c r="KIJ2" s="266"/>
      <c r="KIK2" s="266"/>
      <c r="KIL2" s="266"/>
      <c r="KIM2" s="266"/>
      <c r="KIN2" s="266"/>
      <c r="KIO2" s="266"/>
      <c r="KIP2" s="266"/>
      <c r="KIQ2" s="266"/>
      <c r="KIR2" s="266"/>
      <c r="KIS2" s="266"/>
      <c r="KIT2" s="266"/>
      <c r="KIU2" s="266"/>
      <c r="KIV2" s="266"/>
      <c r="KIW2" s="266"/>
      <c r="KIX2" s="266"/>
      <c r="KIY2" s="266"/>
      <c r="KIZ2" s="266"/>
      <c r="KJA2" s="266"/>
      <c r="KJB2" s="266"/>
      <c r="KJC2" s="266"/>
      <c r="KJD2" s="266"/>
      <c r="KJE2" s="266"/>
      <c r="KJF2" s="266"/>
      <c r="KJG2" s="266"/>
      <c r="KJH2" s="266"/>
      <c r="KJI2" s="266"/>
      <c r="KJJ2" s="266"/>
      <c r="KJK2" s="266"/>
      <c r="KJL2" s="266"/>
      <c r="KJM2" s="266"/>
      <c r="KJN2" s="266"/>
      <c r="KJO2" s="266"/>
      <c r="KJP2" s="266"/>
      <c r="KJQ2" s="266"/>
      <c r="KJR2" s="266"/>
      <c r="KJS2" s="266"/>
      <c r="KJT2" s="266"/>
      <c r="KJU2" s="266"/>
      <c r="KJV2" s="266"/>
      <c r="KJW2" s="266"/>
      <c r="KJX2" s="266"/>
      <c r="KJY2" s="266"/>
      <c r="KJZ2" s="266"/>
      <c r="KKA2" s="266"/>
      <c r="KKB2" s="266"/>
      <c r="KKC2" s="266"/>
      <c r="KKD2" s="266"/>
      <c r="KKE2" s="266"/>
      <c r="KKF2" s="266"/>
      <c r="KKG2" s="266"/>
      <c r="KKH2" s="266"/>
      <c r="KKI2" s="266"/>
      <c r="KKJ2" s="266"/>
      <c r="KKK2" s="266"/>
      <c r="KKL2" s="266"/>
      <c r="KKM2" s="266"/>
      <c r="KKN2" s="266"/>
      <c r="KKO2" s="266"/>
      <c r="KKP2" s="266"/>
      <c r="KKQ2" s="266"/>
      <c r="KKR2" s="266"/>
      <c r="KKS2" s="266"/>
      <c r="KKT2" s="266"/>
      <c r="KKU2" s="266"/>
      <c r="KKV2" s="266"/>
      <c r="KKW2" s="266"/>
      <c r="KKX2" s="266"/>
      <c r="KKY2" s="266"/>
      <c r="KKZ2" s="266"/>
      <c r="KLA2" s="266"/>
      <c r="KLB2" s="266"/>
      <c r="KLC2" s="266"/>
      <c r="KLD2" s="266"/>
      <c r="KLE2" s="266"/>
      <c r="KLF2" s="266"/>
      <c r="KLG2" s="266"/>
      <c r="KLH2" s="266"/>
      <c r="KLI2" s="266"/>
      <c r="KLJ2" s="266"/>
      <c r="KLK2" s="266"/>
      <c r="KLL2" s="266"/>
      <c r="KLM2" s="266"/>
      <c r="KLN2" s="266"/>
      <c r="KLO2" s="266"/>
      <c r="KLP2" s="266"/>
      <c r="KLQ2" s="266"/>
      <c r="KLR2" s="266"/>
      <c r="KLS2" s="266"/>
      <c r="KLT2" s="266"/>
      <c r="KLU2" s="266"/>
      <c r="KLV2" s="266"/>
      <c r="KLW2" s="266"/>
      <c r="KLX2" s="266"/>
      <c r="KLY2" s="266"/>
      <c r="KLZ2" s="266"/>
      <c r="KMA2" s="266"/>
      <c r="KMB2" s="266"/>
      <c r="KMC2" s="266"/>
      <c r="KMD2" s="266"/>
      <c r="KME2" s="266"/>
      <c r="KMF2" s="266"/>
      <c r="KMG2" s="266"/>
      <c r="KMH2" s="266"/>
      <c r="KMI2" s="266"/>
      <c r="KMJ2" s="266"/>
      <c r="KMK2" s="266"/>
      <c r="KML2" s="266"/>
      <c r="KMM2" s="266"/>
      <c r="KMN2" s="266"/>
      <c r="KMO2" s="266"/>
      <c r="KMP2" s="266"/>
      <c r="KMQ2" s="266"/>
      <c r="KMR2" s="266"/>
      <c r="KMS2" s="266"/>
      <c r="KMT2" s="266"/>
      <c r="KMU2" s="266"/>
      <c r="KMV2" s="266"/>
      <c r="KMW2" s="266"/>
      <c r="KMX2" s="266"/>
      <c r="KMY2" s="266"/>
      <c r="KMZ2" s="266"/>
      <c r="KNA2" s="266"/>
      <c r="KNB2" s="266"/>
      <c r="KNC2" s="266"/>
      <c r="KND2" s="266"/>
      <c r="KNE2" s="266"/>
      <c r="KNF2" s="266"/>
      <c r="KNG2" s="266"/>
      <c r="KNH2" s="266"/>
      <c r="KNI2" s="266"/>
      <c r="KNJ2" s="266"/>
      <c r="KNK2" s="266"/>
      <c r="KNL2" s="266"/>
      <c r="KNM2" s="266"/>
      <c r="KNN2" s="266"/>
      <c r="KNO2" s="266"/>
      <c r="KNP2" s="266"/>
      <c r="KNQ2" s="266"/>
      <c r="KNR2" s="266"/>
      <c r="KNS2" s="266"/>
      <c r="KNT2" s="266"/>
      <c r="KNU2" s="266"/>
      <c r="KNV2" s="266"/>
      <c r="KNW2" s="266"/>
      <c r="KNX2" s="266"/>
      <c r="KNY2" s="266"/>
      <c r="KNZ2" s="266"/>
      <c r="KOA2" s="266"/>
      <c r="KOB2" s="266"/>
      <c r="KOC2" s="266"/>
      <c r="KOD2" s="266"/>
      <c r="KOE2" s="266"/>
      <c r="KOF2" s="266"/>
      <c r="KOG2" s="266"/>
      <c r="KOH2" s="266"/>
      <c r="KOI2" s="266"/>
      <c r="KOJ2" s="266"/>
      <c r="KOK2" s="266"/>
      <c r="KOL2" s="266"/>
      <c r="KOM2" s="266"/>
      <c r="KON2" s="266"/>
      <c r="KOO2" s="266"/>
      <c r="KOP2" s="266"/>
      <c r="KOQ2" s="266"/>
      <c r="KOR2" s="266"/>
      <c r="KOS2" s="266"/>
      <c r="KOT2" s="266"/>
      <c r="KOU2" s="266"/>
      <c r="KOV2" s="266"/>
      <c r="KOW2" s="266"/>
      <c r="KOX2" s="266"/>
      <c r="KOY2" s="266"/>
      <c r="KOZ2" s="266"/>
      <c r="KPA2" s="266"/>
      <c r="KPB2" s="266"/>
      <c r="KPC2" s="266"/>
      <c r="KPD2" s="266"/>
      <c r="KPE2" s="266"/>
      <c r="KPF2" s="266"/>
      <c r="KPG2" s="266"/>
      <c r="KPH2" s="266"/>
      <c r="KPI2" s="266"/>
      <c r="KPJ2" s="266"/>
      <c r="KPK2" s="266"/>
      <c r="KPL2" s="266"/>
      <c r="KPM2" s="266"/>
      <c r="KPN2" s="266"/>
      <c r="KPO2" s="266"/>
      <c r="KPP2" s="266"/>
      <c r="KPQ2" s="266"/>
      <c r="KPR2" s="266"/>
      <c r="KPS2" s="266"/>
      <c r="KPT2" s="266"/>
      <c r="KPU2" s="266"/>
      <c r="KPV2" s="266"/>
      <c r="KPW2" s="266"/>
      <c r="KPX2" s="266"/>
      <c r="KPY2" s="266"/>
      <c r="KPZ2" s="266"/>
      <c r="KQA2" s="266"/>
      <c r="KQB2" s="266"/>
      <c r="KQC2" s="266"/>
      <c r="KQD2" s="266"/>
      <c r="KQE2" s="266"/>
      <c r="KQF2" s="266"/>
      <c r="KQG2" s="266"/>
      <c r="KQH2" s="266"/>
      <c r="KQI2" s="266"/>
      <c r="KQJ2" s="266"/>
      <c r="KQK2" s="266"/>
      <c r="KQL2" s="266"/>
      <c r="KQM2" s="266"/>
      <c r="KQN2" s="266"/>
      <c r="KQO2" s="266"/>
      <c r="KQP2" s="266"/>
      <c r="KQQ2" s="266"/>
      <c r="KQR2" s="266"/>
      <c r="KQS2" s="266"/>
      <c r="KQT2" s="266"/>
      <c r="KQU2" s="266"/>
      <c r="KQV2" s="266"/>
      <c r="KQW2" s="266"/>
      <c r="KQX2" s="266"/>
      <c r="KQY2" s="266"/>
      <c r="KQZ2" s="266"/>
      <c r="KRA2" s="266"/>
      <c r="KRB2" s="266"/>
      <c r="KRC2" s="266"/>
      <c r="KRD2" s="266"/>
      <c r="KRE2" s="266"/>
      <c r="KRF2" s="266"/>
      <c r="KRG2" s="266"/>
      <c r="KRH2" s="266"/>
      <c r="KRI2" s="266"/>
      <c r="KRJ2" s="266"/>
      <c r="KRK2" s="266"/>
      <c r="KRL2" s="266"/>
      <c r="KRM2" s="266"/>
      <c r="KRN2" s="266"/>
      <c r="KRO2" s="266"/>
      <c r="KRP2" s="266"/>
      <c r="KRQ2" s="266"/>
      <c r="KRR2" s="266"/>
      <c r="KRS2" s="266"/>
      <c r="KRT2" s="266"/>
      <c r="KRU2" s="266"/>
      <c r="KRV2" s="266"/>
      <c r="KRW2" s="266"/>
      <c r="KRX2" s="266"/>
      <c r="KRY2" s="266"/>
      <c r="KRZ2" s="266"/>
      <c r="KSA2" s="266"/>
      <c r="KSB2" s="266"/>
      <c r="KSC2" s="266"/>
      <c r="KSD2" s="266"/>
      <c r="KSE2" s="266"/>
      <c r="KSF2" s="266"/>
      <c r="KSG2" s="266"/>
      <c r="KSH2" s="266"/>
      <c r="KSI2" s="266"/>
      <c r="KSJ2" s="266"/>
      <c r="KSK2" s="266"/>
      <c r="KSL2" s="266"/>
      <c r="KSM2" s="266"/>
      <c r="KSN2" s="266"/>
      <c r="KSO2" s="266"/>
      <c r="KSP2" s="266"/>
      <c r="KSQ2" s="266"/>
      <c r="KSR2" s="266"/>
      <c r="KSS2" s="266"/>
      <c r="KST2" s="266"/>
      <c r="KSU2" s="266"/>
      <c r="KSV2" s="266"/>
      <c r="KSW2" s="266"/>
      <c r="KSX2" s="266"/>
      <c r="KSY2" s="266"/>
      <c r="KSZ2" s="266"/>
      <c r="KTA2" s="266"/>
      <c r="KTB2" s="266"/>
      <c r="KTC2" s="266"/>
      <c r="KTD2" s="266"/>
      <c r="KTE2" s="266"/>
      <c r="KTF2" s="266"/>
      <c r="KTG2" s="266"/>
      <c r="KTH2" s="266"/>
      <c r="KTI2" s="266"/>
      <c r="KTJ2" s="266"/>
      <c r="KTK2" s="266"/>
      <c r="KTL2" s="266"/>
      <c r="KTM2" s="266"/>
      <c r="KTN2" s="266"/>
      <c r="KTO2" s="266"/>
      <c r="KTP2" s="266"/>
      <c r="KTQ2" s="266"/>
      <c r="KTR2" s="266"/>
      <c r="KTS2" s="266"/>
      <c r="KTT2" s="266"/>
      <c r="KTU2" s="266"/>
      <c r="KTV2" s="266"/>
      <c r="KTW2" s="266"/>
      <c r="KTX2" s="266"/>
      <c r="KTY2" s="266"/>
      <c r="KTZ2" s="266"/>
      <c r="KUA2" s="266"/>
      <c r="KUB2" s="266"/>
      <c r="KUC2" s="266"/>
      <c r="KUD2" s="266"/>
      <c r="KUE2" s="266"/>
      <c r="KUF2" s="266"/>
      <c r="KUG2" s="266"/>
      <c r="KUH2" s="266"/>
      <c r="KUI2" s="266"/>
      <c r="KUJ2" s="266"/>
      <c r="KUK2" s="266"/>
      <c r="KUL2" s="266"/>
      <c r="KUM2" s="266"/>
      <c r="KUN2" s="266"/>
      <c r="KUO2" s="266"/>
      <c r="KUP2" s="266"/>
      <c r="KUQ2" s="266"/>
      <c r="KUR2" s="266"/>
      <c r="KUS2" s="266"/>
      <c r="KUT2" s="266"/>
      <c r="KUU2" s="266"/>
      <c r="KUV2" s="266"/>
      <c r="KUW2" s="266"/>
      <c r="KUX2" s="266"/>
      <c r="KUY2" s="266"/>
      <c r="KUZ2" s="266"/>
      <c r="KVA2" s="266"/>
      <c r="KVB2" s="266"/>
      <c r="KVC2" s="266"/>
      <c r="KVD2" s="266"/>
      <c r="KVE2" s="266"/>
      <c r="KVF2" s="266"/>
      <c r="KVG2" s="266"/>
      <c r="KVH2" s="266"/>
      <c r="KVI2" s="266"/>
      <c r="KVJ2" s="266"/>
      <c r="KVK2" s="266"/>
      <c r="KVL2" s="266"/>
      <c r="KVM2" s="266"/>
      <c r="KVN2" s="266"/>
      <c r="KVO2" s="266"/>
      <c r="KVP2" s="266"/>
      <c r="KVQ2" s="266"/>
      <c r="KVR2" s="266"/>
      <c r="KVS2" s="266"/>
      <c r="KVT2" s="266"/>
      <c r="KVU2" s="266"/>
      <c r="KVV2" s="266"/>
      <c r="KVW2" s="266"/>
      <c r="KVX2" s="266"/>
      <c r="KVY2" s="266"/>
      <c r="KVZ2" s="266"/>
      <c r="KWA2" s="266"/>
      <c r="KWB2" s="266"/>
      <c r="KWC2" s="266"/>
      <c r="KWD2" s="266"/>
      <c r="KWE2" s="266"/>
      <c r="KWF2" s="266"/>
      <c r="KWG2" s="266"/>
      <c r="KWH2" s="266"/>
      <c r="KWI2" s="266"/>
      <c r="KWJ2" s="266"/>
      <c r="KWK2" s="266"/>
      <c r="KWL2" s="266"/>
      <c r="KWM2" s="266"/>
      <c r="KWN2" s="266"/>
      <c r="KWO2" s="266"/>
      <c r="KWP2" s="266"/>
      <c r="KWQ2" s="266"/>
      <c r="KWR2" s="266"/>
      <c r="KWS2" s="266"/>
      <c r="KWT2" s="266"/>
      <c r="KWU2" s="266"/>
      <c r="KWV2" s="266"/>
      <c r="KWW2" s="266"/>
      <c r="KWX2" s="266"/>
      <c r="KWY2" s="266"/>
      <c r="KWZ2" s="266"/>
      <c r="KXA2" s="266"/>
      <c r="KXB2" s="266"/>
      <c r="KXC2" s="266"/>
      <c r="KXD2" s="266"/>
      <c r="KXE2" s="266"/>
      <c r="KXF2" s="266"/>
      <c r="KXG2" s="266"/>
      <c r="KXH2" s="266"/>
      <c r="KXI2" s="266"/>
      <c r="KXJ2" s="266"/>
      <c r="KXK2" s="266"/>
      <c r="KXL2" s="266"/>
      <c r="KXM2" s="266"/>
      <c r="KXN2" s="266"/>
      <c r="KXO2" s="266"/>
      <c r="KXP2" s="266"/>
      <c r="KXQ2" s="266"/>
      <c r="KXR2" s="266"/>
      <c r="KXS2" s="266"/>
      <c r="KXT2" s="266"/>
      <c r="KXU2" s="266"/>
      <c r="KXV2" s="266"/>
      <c r="KXW2" s="266"/>
      <c r="KXX2" s="266"/>
      <c r="KXY2" s="266"/>
      <c r="KXZ2" s="266"/>
      <c r="KYA2" s="266"/>
      <c r="KYB2" s="266"/>
      <c r="KYC2" s="266"/>
      <c r="KYD2" s="266"/>
      <c r="KYE2" s="266"/>
      <c r="KYF2" s="266"/>
      <c r="KYG2" s="266"/>
      <c r="KYH2" s="266"/>
      <c r="KYI2" s="266"/>
      <c r="KYJ2" s="266"/>
      <c r="KYK2" s="266"/>
      <c r="KYL2" s="266"/>
      <c r="KYM2" s="266"/>
      <c r="KYN2" s="266"/>
      <c r="KYO2" s="266"/>
      <c r="KYP2" s="266"/>
      <c r="KYQ2" s="266"/>
      <c r="KYR2" s="266"/>
      <c r="KYS2" s="266"/>
      <c r="KYT2" s="266"/>
      <c r="KYU2" s="266"/>
      <c r="KYV2" s="266"/>
      <c r="KYW2" s="266"/>
      <c r="KYX2" s="266"/>
      <c r="KYY2" s="266"/>
      <c r="KYZ2" s="266"/>
      <c r="KZA2" s="266"/>
      <c r="KZB2" s="266"/>
      <c r="KZC2" s="266"/>
      <c r="KZD2" s="266"/>
      <c r="KZE2" s="266"/>
      <c r="KZF2" s="266"/>
      <c r="KZG2" s="266"/>
      <c r="KZH2" s="266"/>
      <c r="KZI2" s="266"/>
      <c r="KZJ2" s="266"/>
      <c r="KZK2" s="266"/>
      <c r="KZL2" s="266"/>
      <c r="KZM2" s="266"/>
      <c r="KZN2" s="266"/>
      <c r="KZO2" s="266"/>
      <c r="KZP2" s="266"/>
      <c r="KZQ2" s="266"/>
      <c r="KZR2" s="266"/>
      <c r="KZS2" s="266"/>
      <c r="KZT2" s="266"/>
      <c r="KZU2" s="266"/>
      <c r="KZV2" s="266"/>
      <c r="KZW2" s="266"/>
      <c r="KZX2" s="266"/>
      <c r="KZY2" s="266"/>
      <c r="KZZ2" s="266"/>
      <c r="LAA2" s="266"/>
      <c r="LAB2" s="266"/>
      <c r="LAC2" s="266"/>
      <c r="LAD2" s="266"/>
      <c r="LAE2" s="266"/>
      <c r="LAF2" s="266"/>
      <c r="LAG2" s="266"/>
      <c r="LAH2" s="266"/>
      <c r="LAI2" s="266"/>
      <c r="LAJ2" s="266"/>
      <c r="LAK2" s="266"/>
      <c r="LAL2" s="266"/>
      <c r="LAM2" s="266"/>
      <c r="LAN2" s="266"/>
      <c r="LAO2" s="266"/>
      <c r="LAP2" s="266"/>
      <c r="LAQ2" s="266"/>
      <c r="LAR2" s="266"/>
      <c r="LAS2" s="266"/>
      <c r="LAT2" s="266"/>
      <c r="LAU2" s="266"/>
      <c r="LAV2" s="266"/>
      <c r="LAW2" s="266"/>
      <c r="LAX2" s="266"/>
      <c r="LAY2" s="266"/>
      <c r="LAZ2" s="266"/>
      <c r="LBA2" s="266"/>
      <c r="LBB2" s="266"/>
      <c r="LBC2" s="266"/>
      <c r="LBD2" s="266"/>
      <c r="LBE2" s="266"/>
      <c r="LBF2" s="266"/>
      <c r="LBG2" s="266"/>
      <c r="LBH2" s="266"/>
      <c r="LBI2" s="266"/>
      <c r="LBJ2" s="266"/>
      <c r="LBK2" s="266"/>
      <c r="LBL2" s="266"/>
      <c r="LBM2" s="266"/>
      <c r="LBN2" s="266"/>
      <c r="LBO2" s="266"/>
      <c r="LBP2" s="266"/>
      <c r="LBQ2" s="266"/>
      <c r="LBR2" s="266"/>
      <c r="LBS2" s="266"/>
      <c r="LBT2" s="266"/>
      <c r="LBU2" s="266"/>
      <c r="LBV2" s="266"/>
      <c r="LBW2" s="266"/>
      <c r="LBX2" s="266"/>
      <c r="LBY2" s="266"/>
      <c r="LBZ2" s="266"/>
      <c r="LCA2" s="266"/>
      <c r="LCB2" s="266"/>
      <c r="LCC2" s="266"/>
      <c r="LCD2" s="266"/>
      <c r="LCE2" s="266"/>
      <c r="LCF2" s="266"/>
      <c r="LCG2" s="266"/>
      <c r="LCH2" s="266"/>
      <c r="LCI2" s="266"/>
      <c r="LCJ2" s="266"/>
      <c r="LCK2" s="266"/>
      <c r="LCL2" s="266"/>
      <c r="LCM2" s="266"/>
      <c r="LCN2" s="266"/>
      <c r="LCO2" s="266"/>
      <c r="LCP2" s="266"/>
      <c r="LCQ2" s="266"/>
      <c r="LCR2" s="266"/>
      <c r="LCS2" s="266"/>
      <c r="LCT2" s="266"/>
      <c r="LCU2" s="266"/>
      <c r="LCV2" s="266"/>
      <c r="LCW2" s="266"/>
      <c r="LCX2" s="266"/>
      <c r="LCY2" s="266"/>
      <c r="LCZ2" s="266"/>
      <c r="LDA2" s="266"/>
      <c r="LDB2" s="266"/>
      <c r="LDC2" s="266"/>
      <c r="LDD2" s="266"/>
      <c r="LDE2" s="266"/>
      <c r="LDF2" s="266"/>
      <c r="LDG2" s="266"/>
      <c r="LDH2" s="266"/>
      <c r="LDI2" s="266"/>
      <c r="LDJ2" s="266"/>
      <c r="LDK2" s="266"/>
      <c r="LDL2" s="266"/>
      <c r="LDM2" s="266"/>
      <c r="LDN2" s="266"/>
      <c r="LDO2" s="266"/>
      <c r="LDP2" s="266"/>
      <c r="LDQ2" s="266"/>
      <c r="LDR2" s="266"/>
      <c r="LDS2" s="266"/>
      <c r="LDT2" s="266"/>
      <c r="LDU2" s="266"/>
      <c r="LDV2" s="266"/>
      <c r="LDW2" s="266"/>
      <c r="LDX2" s="266"/>
      <c r="LDY2" s="266"/>
      <c r="LDZ2" s="266"/>
      <c r="LEA2" s="266"/>
      <c r="LEB2" s="266"/>
      <c r="LEC2" s="266"/>
      <c r="LED2" s="266"/>
      <c r="LEE2" s="266"/>
      <c r="LEF2" s="266"/>
      <c r="LEG2" s="266"/>
      <c r="LEH2" s="266"/>
      <c r="LEI2" s="266"/>
      <c r="LEJ2" s="266"/>
      <c r="LEK2" s="266"/>
      <c r="LEL2" s="266"/>
      <c r="LEM2" s="266"/>
      <c r="LEN2" s="266"/>
      <c r="LEO2" s="266"/>
      <c r="LEP2" s="266"/>
      <c r="LEQ2" s="266"/>
      <c r="LER2" s="266"/>
      <c r="LES2" s="266"/>
      <c r="LET2" s="266"/>
      <c r="LEU2" s="266"/>
      <c r="LEV2" s="266"/>
      <c r="LEW2" s="266"/>
      <c r="LEX2" s="266"/>
      <c r="LEY2" s="266"/>
      <c r="LEZ2" s="266"/>
      <c r="LFA2" s="266"/>
      <c r="LFB2" s="266"/>
      <c r="LFC2" s="266"/>
      <c r="LFD2" s="266"/>
      <c r="LFE2" s="266"/>
      <c r="LFF2" s="266"/>
      <c r="LFG2" s="266"/>
      <c r="LFH2" s="266"/>
      <c r="LFI2" s="266"/>
      <c r="LFJ2" s="266"/>
      <c r="LFK2" s="266"/>
      <c r="LFL2" s="266"/>
      <c r="LFM2" s="266"/>
      <c r="LFN2" s="266"/>
      <c r="LFO2" s="266"/>
      <c r="LFP2" s="266"/>
      <c r="LFQ2" s="266"/>
      <c r="LFR2" s="266"/>
      <c r="LFS2" s="266"/>
      <c r="LFT2" s="266"/>
      <c r="LFU2" s="266"/>
      <c r="LFV2" s="266"/>
      <c r="LFW2" s="266"/>
      <c r="LFX2" s="266"/>
      <c r="LFY2" s="266"/>
      <c r="LFZ2" s="266"/>
      <c r="LGA2" s="266"/>
      <c r="LGB2" s="266"/>
      <c r="LGC2" s="266"/>
      <c r="LGD2" s="266"/>
      <c r="LGE2" s="266"/>
      <c r="LGF2" s="266"/>
      <c r="LGG2" s="266"/>
      <c r="LGH2" s="266"/>
      <c r="LGI2" s="266"/>
      <c r="LGJ2" s="266"/>
      <c r="LGK2" s="266"/>
      <c r="LGL2" s="266"/>
      <c r="LGM2" s="266"/>
      <c r="LGN2" s="266"/>
      <c r="LGO2" s="266"/>
      <c r="LGP2" s="266"/>
      <c r="LGQ2" s="266"/>
      <c r="LGR2" s="266"/>
      <c r="LGS2" s="266"/>
      <c r="LGT2" s="266"/>
      <c r="LGU2" s="266"/>
      <c r="LGV2" s="266"/>
      <c r="LGW2" s="266"/>
      <c r="LGX2" s="266"/>
      <c r="LGY2" s="266"/>
      <c r="LGZ2" s="266"/>
      <c r="LHA2" s="266"/>
      <c r="LHB2" s="266"/>
      <c r="LHC2" s="266"/>
      <c r="LHD2" s="266"/>
      <c r="LHE2" s="266"/>
      <c r="LHF2" s="266"/>
      <c r="LHG2" s="266"/>
      <c r="LHH2" s="266"/>
      <c r="LHI2" s="266"/>
      <c r="LHJ2" s="266"/>
      <c r="LHK2" s="266"/>
      <c r="LHL2" s="266"/>
      <c r="LHM2" s="266"/>
      <c r="LHN2" s="266"/>
      <c r="LHO2" s="266"/>
      <c r="LHP2" s="266"/>
      <c r="LHQ2" s="266"/>
      <c r="LHR2" s="266"/>
      <c r="LHS2" s="266"/>
      <c r="LHT2" s="266"/>
      <c r="LHU2" s="266"/>
      <c r="LHV2" s="266"/>
      <c r="LHW2" s="266"/>
      <c r="LHX2" s="266"/>
      <c r="LHY2" s="266"/>
      <c r="LHZ2" s="266"/>
      <c r="LIA2" s="266"/>
      <c r="LIB2" s="266"/>
      <c r="LIC2" s="266"/>
      <c r="LID2" s="266"/>
      <c r="LIE2" s="266"/>
      <c r="LIF2" s="266"/>
      <c r="LIG2" s="266"/>
      <c r="LIH2" s="266"/>
      <c r="LII2" s="266"/>
      <c r="LIJ2" s="266"/>
      <c r="LIK2" s="266"/>
      <c r="LIL2" s="266"/>
      <c r="LIM2" s="266"/>
      <c r="LIN2" s="266"/>
      <c r="LIO2" s="266"/>
      <c r="LIP2" s="266"/>
      <c r="LIQ2" s="266"/>
      <c r="LIR2" s="266"/>
      <c r="LIS2" s="266"/>
      <c r="LIT2" s="266"/>
      <c r="LIU2" s="266"/>
      <c r="LIV2" s="266"/>
      <c r="LIW2" s="266"/>
      <c r="LIX2" s="266"/>
      <c r="LIY2" s="266"/>
      <c r="LIZ2" s="266"/>
      <c r="LJA2" s="266"/>
      <c r="LJB2" s="266"/>
      <c r="LJC2" s="266"/>
      <c r="LJD2" s="266"/>
      <c r="LJE2" s="266"/>
      <c r="LJF2" s="266"/>
      <c r="LJG2" s="266"/>
      <c r="LJH2" s="266"/>
      <c r="LJI2" s="266"/>
      <c r="LJJ2" s="266"/>
      <c r="LJK2" s="266"/>
      <c r="LJL2" s="266"/>
      <c r="LJM2" s="266"/>
      <c r="LJN2" s="266"/>
      <c r="LJO2" s="266"/>
      <c r="LJP2" s="266"/>
      <c r="LJQ2" s="266"/>
      <c r="LJR2" s="266"/>
      <c r="LJS2" s="266"/>
      <c r="LJT2" s="266"/>
      <c r="LJU2" s="266"/>
      <c r="LJV2" s="266"/>
      <c r="LJW2" s="266"/>
      <c r="LJX2" s="266"/>
      <c r="LJY2" s="266"/>
      <c r="LJZ2" s="266"/>
      <c r="LKA2" s="266"/>
      <c r="LKB2" s="266"/>
      <c r="LKC2" s="266"/>
      <c r="LKD2" s="266"/>
      <c r="LKE2" s="266"/>
      <c r="LKF2" s="266"/>
      <c r="LKG2" s="266"/>
      <c r="LKH2" s="266"/>
      <c r="LKI2" s="266"/>
      <c r="LKJ2" s="266"/>
      <c r="LKK2" s="266"/>
      <c r="LKL2" s="266"/>
      <c r="LKM2" s="266"/>
      <c r="LKN2" s="266"/>
      <c r="LKO2" s="266"/>
      <c r="LKP2" s="266"/>
      <c r="LKQ2" s="266"/>
      <c r="LKR2" s="266"/>
      <c r="LKS2" s="266"/>
      <c r="LKT2" s="266"/>
      <c r="LKU2" s="266"/>
      <c r="LKV2" s="266"/>
      <c r="LKW2" s="266"/>
      <c r="LKX2" s="266"/>
      <c r="LKY2" s="266"/>
      <c r="LKZ2" s="266"/>
      <c r="LLA2" s="266"/>
      <c r="LLB2" s="266"/>
      <c r="LLC2" s="266"/>
      <c r="LLD2" s="266"/>
      <c r="LLE2" s="266"/>
      <c r="LLF2" s="266"/>
      <c r="LLG2" s="266"/>
      <c r="LLH2" s="266"/>
      <c r="LLI2" s="266"/>
      <c r="LLJ2" s="266"/>
      <c r="LLK2" s="266"/>
      <c r="LLL2" s="266"/>
      <c r="LLM2" s="266"/>
      <c r="LLN2" s="266"/>
      <c r="LLO2" s="266"/>
      <c r="LLP2" s="266"/>
      <c r="LLQ2" s="266"/>
      <c r="LLR2" s="266"/>
      <c r="LLS2" s="266"/>
      <c r="LLT2" s="266"/>
      <c r="LLU2" s="266"/>
      <c r="LLV2" s="266"/>
      <c r="LLW2" s="266"/>
      <c r="LLX2" s="266"/>
      <c r="LLY2" s="266"/>
      <c r="LLZ2" s="266"/>
      <c r="LMA2" s="266"/>
      <c r="LMB2" s="266"/>
      <c r="LMC2" s="266"/>
      <c r="LMD2" s="266"/>
      <c r="LME2" s="266"/>
      <c r="LMF2" s="266"/>
      <c r="LMG2" s="266"/>
      <c r="LMH2" s="266"/>
      <c r="LMI2" s="266"/>
      <c r="LMJ2" s="266"/>
      <c r="LMK2" s="266"/>
      <c r="LML2" s="266"/>
      <c r="LMM2" s="266"/>
      <c r="LMN2" s="266"/>
      <c r="LMO2" s="266"/>
      <c r="LMP2" s="266"/>
      <c r="LMQ2" s="266"/>
      <c r="LMR2" s="266"/>
      <c r="LMS2" s="266"/>
      <c r="LMT2" s="266"/>
      <c r="LMU2" s="266"/>
      <c r="LMV2" s="266"/>
      <c r="LMW2" s="266"/>
      <c r="LMX2" s="266"/>
      <c r="LMY2" s="266"/>
      <c r="LMZ2" s="266"/>
      <c r="LNA2" s="266"/>
      <c r="LNB2" s="266"/>
      <c r="LNC2" s="266"/>
      <c r="LND2" s="266"/>
      <c r="LNE2" s="266"/>
      <c r="LNF2" s="266"/>
      <c r="LNG2" s="266"/>
      <c r="LNH2" s="266"/>
      <c r="LNI2" s="266"/>
      <c r="LNJ2" s="266"/>
      <c r="LNK2" s="266"/>
      <c r="LNL2" s="266"/>
      <c r="LNM2" s="266"/>
      <c r="LNN2" s="266"/>
      <c r="LNO2" s="266"/>
      <c r="LNP2" s="266"/>
      <c r="LNQ2" s="266"/>
      <c r="LNR2" s="266"/>
      <c r="LNS2" s="266"/>
      <c r="LNT2" s="266"/>
      <c r="LNU2" s="266"/>
      <c r="LNV2" s="266"/>
      <c r="LNW2" s="266"/>
      <c r="LNX2" s="266"/>
      <c r="LNY2" s="266"/>
      <c r="LNZ2" s="266"/>
      <c r="LOA2" s="266"/>
      <c r="LOB2" s="266"/>
      <c r="LOC2" s="266"/>
      <c r="LOD2" s="266"/>
      <c r="LOE2" s="266"/>
      <c r="LOF2" s="266"/>
      <c r="LOG2" s="266"/>
      <c r="LOH2" s="266"/>
      <c r="LOI2" s="266"/>
      <c r="LOJ2" s="266"/>
      <c r="LOK2" s="266"/>
      <c r="LOL2" s="266"/>
      <c r="LOM2" s="266"/>
      <c r="LON2" s="266"/>
      <c r="LOO2" s="266"/>
      <c r="LOP2" s="266"/>
      <c r="LOQ2" s="266"/>
      <c r="LOR2" s="266"/>
      <c r="LOS2" s="266"/>
      <c r="LOT2" s="266"/>
      <c r="LOU2" s="266"/>
      <c r="LOV2" s="266"/>
      <c r="LOW2" s="266"/>
      <c r="LOX2" s="266"/>
      <c r="LOY2" s="266"/>
      <c r="LOZ2" s="266"/>
      <c r="LPA2" s="266"/>
      <c r="LPB2" s="266"/>
      <c r="LPC2" s="266"/>
      <c r="LPD2" s="266"/>
      <c r="LPE2" s="266"/>
      <c r="LPF2" s="266"/>
      <c r="LPG2" s="266"/>
      <c r="LPH2" s="266"/>
      <c r="LPI2" s="266"/>
      <c r="LPJ2" s="266"/>
      <c r="LPK2" s="266"/>
      <c r="LPL2" s="266"/>
      <c r="LPM2" s="266"/>
      <c r="LPN2" s="266"/>
      <c r="LPO2" s="266"/>
      <c r="LPP2" s="266"/>
      <c r="LPQ2" s="266"/>
      <c r="LPR2" s="266"/>
      <c r="LPS2" s="266"/>
      <c r="LPT2" s="266"/>
      <c r="LPU2" s="266"/>
      <c r="LPV2" s="266"/>
      <c r="LPW2" s="266"/>
      <c r="LPX2" s="266"/>
      <c r="LPY2" s="266"/>
      <c r="LPZ2" s="266"/>
      <c r="LQA2" s="266"/>
      <c r="LQB2" s="266"/>
      <c r="LQC2" s="266"/>
      <c r="LQD2" s="266"/>
      <c r="LQE2" s="266"/>
      <c r="LQF2" s="266"/>
      <c r="LQG2" s="266"/>
      <c r="LQH2" s="266"/>
      <c r="LQI2" s="266"/>
      <c r="LQJ2" s="266"/>
      <c r="LQK2" s="266"/>
      <c r="LQL2" s="266"/>
      <c r="LQM2" s="266"/>
      <c r="LQN2" s="266"/>
      <c r="LQO2" s="266"/>
      <c r="LQP2" s="266"/>
      <c r="LQQ2" s="266"/>
      <c r="LQR2" s="266"/>
      <c r="LQS2" s="266"/>
      <c r="LQT2" s="266"/>
      <c r="LQU2" s="266"/>
      <c r="LQV2" s="266"/>
      <c r="LQW2" s="266"/>
      <c r="LQX2" s="266"/>
      <c r="LQY2" s="266"/>
      <c r="LQZ2" s="266"/>
      <c r="LRA2" s="266"/>
      <c r="LRB2" s="266"/>
      <c r="LRC2" s="266"/>
      <c r="LRD2" s="266"/>
      <c r="LRE2" s="266"/>
      <c r="LRF2" s="266"/>
      <c r="LRG2" s="266"/>
      <c r="LRH2" s="266"/>
      <c r="LRI2" s="266"/>
      <c r="LRJ2" s="266"/>
      <c r="LRK2" s="266"/>
      <c r="LRL2" s="266"/>
      <c r="LRM2" s="266"/>
      <c r="LRN2" s="266"/>
      <c r="LRO2" s="266"/>
      <c r="LRP2" s="266"/>
      <c r="LRQ2" s="266"/>
      <c r="LRR2" s="266"/>
      <c r="LRS2" s="266"/>
      <c r="LRT2" s="266"/>
      <c r="LRU2" s="266"/>
      <c r="LRV2" s="266"/>
      <c r="LRW2" s="266"/>
      <c r="LRX2" s="266"/>
      <c r="LRY2" s="266"/>
      <c r="LRZ2" s="266"/>
      <c r="LSA2" s="266"/>
      <c r="LSB2" s="266"/>
      <c r="LSC2" s="266"/>
      <c r="LSD2" s="266"/>
      <c r="LSE2" s="266"/>
      <c r="LSF2" s="266"/>
      <c r="LSG2" s="266"/>
      <c r="LSH2" s="266"/>
      <c r="LSI2" s="266"/>
      <c r="LSJ2" s="266"/>
      <c r="LSK2" s="266"/>
      <c r="LSL2" s="266"/>
      <c r="LSM2" s="266"/>
      <c r="LSN2" s="266"/>
      <c r="LSO2" s="266"/>
      <c r="LSP2" s="266"/>
      <c r="LSQ2" s="266"/>
      <c r="LSR2" s="266"/>
      <c r="LSS2" s="266"/>
      <c r="LST2" s="266"/>
      <c r="LSU2" s="266"/>
      <c r="LSV2" s="266"/>
      <c r="LSW2" s="266"/>
      <c r="LSX2" s="266"/>
      <c r="LSY2" s="266"/>
      <c r="LSZ2" s="266"/>
      <c r="LTA2" s="266"/>
      <c r="LTB2" s="266"/>
      <c r="LTC2" s="266"/>
      <c r="LTD2" s="266"/>
      <c r="LTE2" s="266"/>
      <c r="LTF2" s="266"/>
      <c r="LTG2" s="266"/>
      <c r="LTH2" s="266"/>
      <c r="LTI2" s="266"/>
      <c r="LTJ2" s="266"/>
      <c r="LTK2" s="266"/>
      <c r="LTL2" s="266"/>
      <c r="LTM2" s="266"/>
      <c r="LTN2" s="266"/>
      <c r="LTO2" s="266"/>
      <c r="LTP2" s="266"/>
      <c r="LTQ2" s="266"/>
      <c r="LTR2" s="266"/>
      <c r="LTS2" s="266"/>
      <c r="LTT2" s="266"/>
      <c r="LTU2" s="266"/>
      <c r="LTV2" s="266"/>
      <c r="LTW2" s="266"/>
      <c r="LTX2" s="266"/>
      <c r="LTY2" s="266"/>
      <c r="LTZ2" s="266"/>
      <c r="LUA2" s="266"/>
      <c r="LUB2" s="266"/>
      <c r="LUC2" s="266"/>
      <c r="LUD2" s="266"/>
      <c r="LUE2" s="266"/>
      <c r="LUF2" s="266"/>
      <c r="LUG2" s="266"/>
      <c r="LUH2" s="266"/>
      <c r="LUI2" s="266"/>
      <c r="LUJ2" s="266"/>
      <c r="LUK2" s="266"/>
      <c r="LUL2" s="266"/>
      <c r="LUM2" s="266"/>
      <c r="LUN2" s="266"/>
      <c r="LUO2" s="266"/>
      <c r="LUP2" s="266"/>
      <c r="LUQ2" s="266"/>
      <c r="LUR2" s="266"/>
      <c r="LUS2" s="266"/>
      <c r="LUT2" s="266"/>
      <c r="LUU2" s="266"/>
      <c r="LUV2" s="266"/>
      <c r="LUW2" s="266"/>
      <c r="LUX2" s="266"/>
      <c r="LUY2" s="266"/>
      <c r="LUZ2" s="266"/>
      <c r="LVA2" s="266"/>
      <c r="LVB2" s="266"/>
      <c r="LVC2" s="266"/>
      <c r="LVD2" s="266"/>
      <c r="LVE2" s="266"/>
      <c r="LVF2" s="266"/>
      <c r="LVG2" s="266"/>
      <c r="LVH2" s="266"/>
      <c r="LVI2" s="266"/>
      <c r="LVJ2" s="266"/>
      <c r="LVK2" s="266"/>
      <c r="LVL2" s="266"/>
      <c r="LVM2" s="266"/>
      <c r="LVN2" s="266"/>
      <c r="LVO2" s="266"/>
      <c r="LVP2" s="266"/>
      <c r="LVQ2" s="266"/>
      <c r="LVR2" s="266"/>
      <c r="LVS2" s="266"/>
      <c r="LVT2" s="266"/>
      <c r="LVU2" s="266"/>
      <c r="LVV2" s="266"/>
      <c r="LVW2" s="266"/>
      <c r="LVX2" s="266"/>
      <c r="LVY2" s="266"/>
      <c r="LVZ2" s="266"/>
      <c r="LWA2" s="266"/>
      <c r="LWB2" s="266"/>
      <c r="LWC2" s="266"/>
      <c r="LWD2" s="266"/>
      <c r="LWE2" s="266"/>
      <c r="LWF2" s="266"/>
      <c r="LWG2" s="266"/>
      <c r="LWH2" s="266"/>
      <c r="LWI2" s="266"/>
      <c r="LWJ2" s="266"/>
      <c r="LWK2" s="266"/>
      <c r="LWL2" s="266"/>
      <c r="LWM2" s="266"/>
      <c r="LWN2" s="266"/>
      <c r="LWO2" s="266"/>
      <c r="LWP2" s="266"/>
      <c r="LWQ2" s="266"/>
      <c r="LWR2" s="266"/>
      <c r="LWS2" s="266"/>
      <c r="LWT2" s="266"/>
      <c r="LWU2" s="266"/>
      <c r="LWV2" s="266"/>
      <c r="LWW2" s="266"/>
      <c r="LWX2" s="266"/>
      <c r="LWY2" s="266"/>
      <c r="LWZ2" s="266"/>
      <c r="LXA2" s="266"/>
      <c r="LXB2" s="266"/>
      <c r="LXC2" s="266"/>
      <c r="LXD2" s="266"/>
      <c r="LXE2" s="266"/>
      <c r="LXF2" s="266"/>
      <c r="LXG2" s="266"/>
      <c r="LXH2" s="266"/>
      <c r="LXI2" s="266"/>
      <c r="LXJ2" s="266"/>
      <c r="LXK2" s="266"/>
      <c r="LXL2" s="266"/>
      <c r="LXM2" s="266"/>
      <c r="LXN2" s="266"/>
      <c r="LXO2" s="266"/>
      <c r="LXP2" s="266"/>
      <c r="LXQ2" s="266"/>
      <c r="LXR2" s="266"/>
      <c r="LXS2" s="266"/>
      <c r="LXT2" s="266"/>
      <c r="LXU2" s="266"/>
      <c r="LXV2" s="266"/>
      <c r="LXW2" s="266"/>
      <c r="LXX2" s="266"/>
      <c r="LXY2" s="266"/>
      <c r="LXZ2" s="266"/>
      <c r="LYA2" s="266"/>
      <c r="LYB2" s="266"/>
      <c r="LYC2" s="266"/>
      <c r="LYD2" s="266"/>
      <c r="LYE2" s="266"/>
      <c r="LYF2" s="266"/>
      <c r="LYG2" s="266"/>
      <c r="LYH2" s="266"/>
      <c r="LYI2" s="266"/>
      <c r="LYJ2" s="266"/>
      <c r="LYK2" s="266"/>
      <c r="LYL2" s="266"/>
      <c r="LYM2" s="266"/>
      <c r="LYN2" s="266"/>
      <c r="LYO2" s="266"/>
      <c r="LYP2" s="266"/>
      <c r="LYQ2" s="266"/>
      <c r="LYR2" s="266"/>
      <c r="LYS2" s="266"/>
      <c r="LYT2" s="266"/>
      <c r="LYU2" s="266"/>
      <c r="LYV2" s="266"/>
      <c r="LYW2" s="266"/>
      <c r="LYX2" s="266"/>
      <c r="LYY2" s="266"/>
      <c r="LYZ2" s="266"/>
      <c r="LZA2" s="266"/>
      <c r="LZB2" s="266"/>
      <c r="LZC2" s="266"/>
      <c r="LZD2" s="266"/>
      <c r="LZE2" s="266"/>
      <c r="LZF2" s="266"/>
      <c r="LZG2" s="266"/>
      <c r="LZH2" s="266"/>
      <c r="LZI2" s="266"/>
      <c r="LZJ2" s="266"/>
      <c r="LZK2" s="266"/>
      <c r="LZL2" s="266"/>
      <c r="LZM2" s="266"/>
      <c r="LZN2" s="266"/>
      <c r="LZO2" s="266"/>
      <c r="LZP2" s="266"/>
      <c r="LZQ2" s="266"/>
      <c r="LZR2" s="266"/>
      <c r="LZS2" s="266"/>
      <c r="LZT2" s="266"/>
      <c r="LZU2" s="266"/>
      <c r="LZV2" s="266"/>
      <c r="LZW2" s="266"/>
      <c r="LZX2" s="266"/>
      <c r="LZY2" s="266"/>
      <c r="LZZ2" s="266"/>
      <c r="MAA2" s="266"/>
      <c r="MAB2" s="266"/>
      <c r="MAC2" s="266"/>
      <c r="MAD2" s="266"/>
      <c r="MAE2" s="266"/>
      <c r="MAF2" s="266"/>
      <c r="MAG2" s="266"/>
      <c r="MAH2" s="266"/>
      <c r="MAI2" s="266"/>
      <c r="MAJ2" s="266"/>
      <c r="MAK2" s="266"/>
      <c r="MAL2" s="266"/>
      <c r="MAM2" s="266"/>
      <c r="MAN2" s="266"/>
      <c r="MAO2" s="266"/>
      <c r="MAP2" s="266"/>
      <c r="MAQ2" s="266"/>
      <c r="MAR2" s="266"/>
      <c r="MAS2" s="266"/>
      <c r="MAT2" s="266"/>
      <c r="MAU2" s="266"/>
      <c r="MAV2" s="266"/>
      <c r="MAW2" s="266"/>
      <c r="MAX2" s="266"/>
      <c r="MAY2" s="266"/>
      <c r="MAZ2" s="266"/>
      <c r="MBA2" s="266"/>
      <c r="MBB2" s="266"/>
      <c r="MBC2" s="266"/>
      <c r="MBD2" s="266"/>
      <c r="MBE2" s="266"/>
      <c r="MBF2" s="266"/>
      <c r="MBG2" s="266"/>
      <c r="MBH2" s="266"/>
      <c r="MBI2" s="266"/>
      <c r="MBJ2" s="266"/>
      <c r="MBK2" s="266"/>
      <c r="MBL2" s="266"/>
      <c r="MBM2" s="266"/>
      <c r="MBN2" s="266"/>
      <c r="MBO2" s="266"/>
      <c r="MBP2" s="266"/>
      <c r="MBQ2" s="266"/>
      <c r="MBR2" s="266"/>
      <c r="MBS2" s="266"/>
      <c r="MBT2" s="266"/>
      <c r="MBU2" s="266"/>
      <c r="MBV2" s="266"/>
      <c r="MBW2" s="266"/>
      <c r="MBX2" s="266"/>
      <c r="MBY2" s="266"/>
      <c r="MBZ2" s="266"/>
      <c r="MCA2" s="266"/>
      <c r="MCB2" s="266"/>
      <c r="MCC2" s="266"/>
      <c r="MCD2" s="266"/>
      <c r="MCE2" s="266"/>
      <c r="MCF2" s="266"/>
      <c r="MCG2" s="266"/>
      <c r="MCH2" s="266"/>
      <c r="MCI2" s="266"/>
      <c r="MCJ2" s="266"/>
      <c r="MCK2" s="266"/>
      <c r="MCL2" s="266"/>
      <c r="MCM2" s="266"/>
      <c r="MCN2" s="266"/>
      <c r="MCO2" s="266"/>
      <c r="MCP2" s="266"/>
      <c r="MCQ2" s="266"/>
      <c r="MCR2" s="266"/>
      <c r="MCS2" s="266"/>
      <c r="MCT2" s="266"/>
      <c r="MCU2" s="266"/>
      <c r="MCV2" s="266"/>
      <c r="MCW2" s="266"/>
      <c r="MCX2" s="266"/>
      <c r="MCY2" s="266"/>
      <c r="MCZ2" s="266"/>
      <c r="MDA2" s="266"/>
      <c r="MDB2" s="266"/>
      <c r="MDC2" s="266"/>
      <c r="MDD2" s="266"/>
      <c r="MDE2" s="266"/>
      <c r="MDF2" s="266"/>
      <c r="MDG2" s="266"/>
      <c r="MDH2" s="266"/>
      <c r="MDI2" s="266"/>
      <c r="MDJ2" s="266"/>
      <c r="MDK2" s="266"/>
      <c r="MDL2" s="266"/>
      <c r="MDM2" s="266"/>
      <c r="MDN2" s="266"/>
      <c r="MDO2" s="266"/>
      <c r="MDP2" s="266"/>
      <c r="MDQ2" s="266"/>
      <c r="MDR2" s="266"/>
      <c r="MDS2" s="266"/>
      <c r="MDT2" s="266"/>
      <c r="MDU2" s="266"/>
      <c r="MDV2" s="266"/>
      <c r="MDW2" s="266"/>
      <c r="MDX2" s="266"/>
      <c r="MDY2" s="266"/>
      <c r="MDZ2" s="266"/>
      <c r="MEA2" s="266"/>
      <c r="MEB2" s="266"/>
      <c r="MEC2" s="266"/>
      <c r="MED2" s="266"/>
      <c r="MEE2" s="266"/>
      <c r="MEF2" s="266"/>
      <c r="MEG2" s="266"/>
      <c r="MEH2" s="266"/>
      <c r="MEI2" s="266"/>
      <c r="MEJ2" s="266"/>
      <c r="MEK2" s="266"/>
      <c r="MEL2" s="266"/>
      <c r="MEM2" s="266"/>
      <c r="MEN2" s="266"/>
      <c r="MEO2" s="266"/>
      <c r="MEP2" s="266"/>
      <c r="MEQ2" s="266"/>
      <c r="MER2" s="266"/>
      <c r="MES2" s="266"/>
      <c r="MET2" s="266"/>
      <c r="MEU2" s="266"/>
      <c r="MEV2" s="266"/>
      <c r="MEW2" s="266"/>
      <c r="MEX2" s="266"/>
      <c r="MEY2" s="266"/>
      <c r="MEZ2" s="266"/>
      <c r="MFA2" s="266"/>
      <c r="MFB2" s="266"/>
      <c r="MFC2" s="266"/>
      <c r="MFD2" s="266"/>
      <c r="MFE2" s="266"/>
      <c r="MFF2" s="266"/>
      <c r="MFG2" s="266"/>
      <c r="MFH2" s="266"/>
      <c r="MFI2" s="266"/>
      <c r="MFJ2" s="266"/>
      <c r="MFK2" s="266"/>
      <c r="MFL2" s="266"/>
      <c r="MFM2" s="266"/>
      <c r="MFN2" s="266"/>
      <c r="MFO2" s="266"/>
      <c r="MFP2" s="266"/>
      <c r="MFQ2" s="266"/>
      <c r="MFR2" s="266"/>
      <c r="MFS2" s="266"/>
      <c r="MFT2" s="266"/>
      <c r="MFU2" s="266"/>
      <c r="MFV2" s="266"/>
      <c r="MFW2" s="266"/>
      <c r="MFX2" s="266"/>
      <c r="MFY2" s="266"/>
      <c r="MFZ2" s="266"/>
      <c r="MGA2" s="266"/>
      <c r="MGB2" s="266"/>
      <c r="MGC2" s="266"/>
      <c r="MGD2" s="266"/>
      <c r="MGE2" s="266"/>
      <c r="MGF2" s="266"/>
      <c r="MGG2" s="266"/>
      <c r="MGH2" s="266"/>
      <c r="MGI2" s="266"/>
      <c r="MGJ2" s="266"/>
      <c r="MGK2" s="266"/>
      <c r="MGL2" s="266"/>
      <c r="MGM2" s="266"/>
      <c r="MGN2" s="266"/>
      <c r="MGO2" s="266"/>
      <c r="MGP2" s="266"/>
      <c r="MGQ2" s="266"/>
      <c r="MGR2" s="266"/>
      <c r="MGS2" s="266"/>
      <c r="MGT2" s="266"/>
      <c r="MGU2" s="266"/>
      <c r="MGV2" s="266"/>
      <c r="MGW2" s="266"/>
      <c r="MGX2" s="266"/>
      <c r="MGY2" s="266"/>
      <c r="MGZ2" s="266"/>
      <c r="MHA2" s="266"/>
      <c r="MHB2" s="266"/>
      <c r="MHC2" s="266"/>
      <c r="MHD2" s="266"/>
      <c r="MHE2" s="266"/>
      <c r="MHF2" s="266"/>
      <c r="MHG2" s="266"/>
      <c r="MHH2" s="266"/>
      <c r="MHI2" s="266"/>
      <c r="MHJ2" s="266"/>
      <c r="MHK2" s="266"/>
      <c r="MHL2" s="266"/>
      <c r="MHM2" s="266"/>
      <c r="MHN2" s="266"/>
      <c r="MHO2" s="266"/>
      <c r="MHP2" s="266"/>
      <c r="MHQ2" s="266"/>
      <c r="MHR2" s="266"/>
      <c r="MHS2" s="266"/>
      <c r="MHT2" s="266"/>
      <c r="MHU2" s="266"/>
      <c r="MHV2" s="266"/>
      <c r="MHW2" s="266"/>
      <c r="MHX2" s="266"/>
      <c r="MHY2" s="266"/>
      <c r="MHZ2" s="266"/>
      <c r="MIA2" s="266"/>
      <c r="MIB2" s="266"/>
      <c r="MIC2" s="266"/>
      <c r="MID2" s="266"/>
      <c r="MIE2" s="266"/>
      <c r="MIF2" s="266"/>
      <c r="MIG2" s="266"/>
      <c r="MIH2" s="266"/>
      <c r="MII2" s="266"/>
      <c r="MIJ2" s="266"/>
      <c r="MIK2" s="266"/>
      <c r="MIL2" s="266"/>
      <c r="MIM2" s="266"/>
      <c r="MIN2" s="266"/>
      <c r="MIO2" s="266"/>
      <c r="MIP2" s="266"/>
      <c r="MIQ2" s="266"/>
      <c r="MIR2" s="266"/>
      <c r="MIS2" s="266"/>
      <c r="MIT2" s="266"/>
      <c r="MIU2" s="266"/>
      <c r="MIV2" s="266"/>
      <c r="MIW2" s="266"/>
      <c r="MIX2" s="266"/>
      <c r="MIY2" s="266"/>
      <c r="MIZ2" s="266"/>
      <c r="MJA2" s="266"/>
      <c r="MJB2" s="266"/>
      <c r="MJC2" s="266"/>
      <c r="MJD2" s="266"/>
      <c r="MJE2" s="266"/>
      <c r="MJF2" s="266"/>
      <c r="MJG2" s="266"/>
      <c r="MJH2" s="266"/>
      <c r="MJI2" s="266"/>
      <c r="MJJ2" s="266"/>
      <c r="MJK2" s="266"/>
      <c r="MJL2" s="266"/>
      <c r="MJM2" s="266"/>
      <c r="MJN2" s="266"/>
      <c r="MJO2" s="266"/>
      <c r="MJP2" s="266"/>
      <c r="MJQ2" s="266"/>
      <c r="MJR2" s="266"/>
      <c r="MJS2" s="266"/>
      <c r="MJT2" s="266"/>
      <c r="MJU2" s="266"/>
      <c r="MJV2" s="266"/>
      <c r="MJW2" s="266"/>
      <c r="MJX2" s="266"/>
      <c r="MJY2" s="266"/>
      <c r="MJZ2" s="266"/>
      <c r="MKA2" s="266"/>
      <c r="MKB2" s="266"/>
      <c r="MKC2" s="266"/>
      <c r="MKD2" s="266"/>
      <c r="MKE2" s="266"/>
      <c r="MKF2" s="266"/>
      <c r="MKG2" s="266"/>
      <c r="MKH2" s="266"/>
      <c r="MKI2" s="266"/>
      <c r="MKJ2" s="266"/>
      <c r="MKK2" s="266"/>
      <c r="MKL2" s="266"/>
      <c r="MKM2" s="266"/>
      <c r="MKN2" s="266"/>
      <c r="MKO2" s="266"/>
      <c r="MKP2" s="266"/>
      <c r="MKQ2" s="266"/>
      <c r="MKR2" s="266"/>
      <c r="MKS2" s="266"/>
      <c r="MKT2" s="266"/>
      <c r="MKU2" s="266"/>
      <c r="MKV2" s="266"/>
      <c r="MKW2" s="266"/>
      <c r="MKX2" s="266"/>
      <c r="MKY2" s="266"/>
      <c r="MKZ2" s="266"/>
      <c r="MLA2" s="266"/>
      <c r="MLB2" s="266"/>
      <c r="MLC2" s="266"/>
      <c r="MLD2" s="266"/>
      <c r="MLE2" s="266"/>
      <c r="MLF2" s="266"/>
      <c r="MLG2" s="266"/>
      <c r="MLH2" s="266"/>
      <c r="MLI2" s="266"/>
      <c r="MLJ2" s="266"/>
      <c r="MLK2" s="266"/>
      <c r="MLL2" s="266"/>
      <c r="MLM2" s="266"/>
      <c r="MLN2" s="266"/>
      <c r="MLO2" s="266"/>
      <c r="MLP2" s="266"/>
      <c r="MLQ2" s="266"/>
      <c r="MLR2" s="266"/>
      <c r="MLS2" s="266"/>
      <c r="MLT2" s="266"/>
      <c r="MLU2" s="266"/>
      <c r="MLV2" s="266"/>
      <c r="MLW2" s="266"/>
      <c r="MLX2" s="266"/>
      <c r="MLY2" s="266"/>
      <c r="MLZ2" s="266"/>
      <c r="MMA2" s="266"/>
      <c r="MMB2" s="266"/>
      <c r="MMC2" s="266"/>
      <c r="MMD2" s="266"/>
      <c r="MME2" s="266"/>
      <c r="MMF2" s="266"/>
      <c r="MMG2" s="266"/>
      <c r="MMH2" s="266"/>
      <c r="MMI2" s="266"/>
      <c r="MMJ2" s="266"/>
      <c r="MMK2" s="266"/>
      <c r="MML2" s="266"/>
      <c r="MMM2" s="266"/>
      <c r="MMN2" s="266"/>
      <c r="MMO2" s="266"/>
      <c r="MMP2" s="266"/>
      <c r="MMQ2" s="266"/>
      <c r="MMR2" s="266"/>
      <c r="MMS2" s="266"/>
      <c r="MMT2" s="266"/>
      <c r="MMU2" s="266"/>
      <c r="MMV2" s="266"/>
      <c r="MMW2" s="266"/>
      <c r="MMX2" s="266"/>
      <c r="MMY2" s="266"/>
      <c r="MMZ2" s="266"/>
      <c r="MNA2" s="266"/>
      <c r="MNB2" s="266"/>
      <c r="MNC2" s="266"/>
      <c r="MND2" s="266"/>
      <c r="MNE2" s="266"/>
      <c r="MNF2" s="266"/>
      <c r="MNG2" s="266"/>
      <c r="MNH2" s="266"/>
      <c r="MNI2" s="266"/>
      <c r="MNJ2" s="266"/>
      <c r="MNK2" s="266"/>
      <c r="MNL2" s="266"/>
      <c r="MNM2" s="266"/>
      <c r="MNN2" s="266"/>
      <c r="MNO2" s="266"/>
      <c r="MNP2" s="266"/>
      <c r="MNQ2" s="266"/>
      <c r="MNR2" s="266"/>
      <c r="MNS2" s="266"/>
      <c r="MNT2" s="266"/>
      <c r="MNU2" s="266"/>
      <c r="MNV2" s="266"/>
      <c r="MNW2" s="266"/>
      <c r="MNX2" s="266"/>
      <c r="MNY2" s="266"/>
      <c r="MNZ2" s="266"/>
      <c r="MOA2" s="266"/>
      <c r="MOB2" s="266"/>
      <c r="MOC2" s="266"/>
      <c r="MOD2" s="266"/>
      <c r="MOE2" s="266"/>
      <c r="MOF2" s="266"/>
      <c r="MOG2" s="266"/>
      <c r="MOH2" s="266"/>
      <c r="MOI2" s="266"/>
      <c r="MOJ2" s="266"/>
      <c r="MOK2" s="266"/>
      <c r="MOL2" s="266"/>
      <c r="MOM2" s="266"/>
      <c r="MON2" s="266"/>
      <c r="MOO2" s="266"/>
      <c r="MOP2" s="266"/>
      <c r="MOQ2" s="266"/>
      <c r="MOR2" s="266"/>
      <c r="MOS2" s="266"/>
      <c r="MOT2" s="266"/>
      <c r="MOU2" s="266"/>
      <c r="MOV2" s="266"/>
      <c r="MOW2" s="266"/>
      <c r="MOX2" s="266"/>
      <c r="MOY2" s="266"/>
      <c r="MOZ2" s="266"/>
      <c r="MPA2" s="266"/>
      <c r="MPB2" s="266"/>
      <c r="MPC2" s="266"/>
      <c r="MPD2" s="266"/>
      <c r="MPE2" s="266"/>
      <c r="MPF2" s="266"/>
      <c r="MPG2" s="266"/>
      <c r="MPH2" s="266"/>
      <c r="MPI2" s="266"/>
      <c r="MPJ2" s="266"/>
      <c r="MPK2" s="266"/>
      <c r="MPL2" s="266"/>
      <c r="MPM2" s="266"/>
      <c r="MPN2" s="266"/>
      <c r="MPO2" s="266"/>
      <c r="MPP2" s="266"/>
      <c r="MPQ2" s="266"/>
      <c r="MPR2" s="266"/>
      <c r="MPS2" s="266"/>
      <c r="MPT2" s="266"/>
      <c r="MPU2" s="266"/>
      <c r="MPV2" s="266"/>
      <c r="MPW2" s="266"/>
      <c r="MPX2" s="266"/>
      <c r="MPY2" s="266"/>
      <c r="MPZ2" s="266"/>
      <c r="MQA2" s="266"/>
      <c r="MQB2" s="266"/>
      <c r="MQC2" s="266"/>
      <c r="MQD2" s="266"/>
      <c r="MQE2" s="266"/>
      <c r="MQF2" s="266"/>
      <c r="MQG2" s="266"/>
      <c r="MQH2" s="266"/>
      <c r="MQI2" s="266"/>
      <c r="MQJ2" s="266"/>
      <c r="MQK2" s="266"/>
      <c r="MQL2" s="266"/>
      <c r="MQM2" s="266"/>
      <c r="MQN2" s="266"/>
      <c r="MQO2" s="266"/>
      <c r="MQP2" s="266"/>
      <c r="MQQ2" s="266"/>
      <c r="MQR2" s="266"/>
      <c r="MQS2" s="266"/>
      <c r="MQT2" s="266"/>
      <c r="MQU2" s="266"/>
      <c r="MQV2" s="266"/>
      <c r="MQW2" s="266"/>
      <c r="MQX2" s="266"/>
      <c r="MQY2" s="266"/>
      <c r="MQZ2" s="266"/>
      <c r="MRA2" s="266"/>
      <c r="MRB2" s="266"/>
      <c r="MRC2" s="266"/>
      <c r="MRD2" s="266"/>
      <c r="MRE2" s="266"/>
      <c r="MRF2" s="266"/>
      <c r="MRG2" s="266"/>
      <c r="MRH2" s="266"/>
      <c r="MRI2" s="266"/>
      <c r="MRJ2" s="266"/>
      <c r="MRK2" s="266"/>
      <c r="MRL2" s="266"/>
      <c r="MRM2" s="266"/>
      <c r="MRN2" s="266"/>
      <c r="MRO2" s="266"/>
      <c r="MRP2" s="266"/>
      <c r="MRQ2" s="266"/>
      <c r="MRR2" s="266"/>
      <c r="MRS2" s="266"/>
      <c r="MRT2" s="266"/>
      <c r="MRU2" s="266"/>
      <c r="MRV2" s="266"/>
      <c r="MRW2" s="266"/>
      <c r="MRX2" s="266"/>
      <c r="MRY2" s="266"/>
      <c r="MRZ2" s="266"/>
      <c r="MSA2" s="266"/>
      <c r="MSB2" s="266"/>
      <c r="MSC2" s="266"/>
      <c r="MSD2" s="266"/>
      <c r="MSE2" s="266"/>
      <c r="MSF2" s="266"/>
      <c r="MSG2" s="266"/>
      <c r="MSH2" s="266"/>
      <c r="MSI2" s="266"/>
      <c r="MSJ2" s="266"/>
      <c r="MSK2" s="266"/>
      <c r="MSL2" s="266"/>
      <c r="MSM2" s="266"/>
      <c r="MSN2" s="266"/>
      <c r="MSO2" s="266"/>
      <c r="MSP2" s="266"/>
      <c r="MSQ2" s="266"/>
      <c r="MSR2" s="266"/>
      <c r="MSS2" s="266"/>
      <c r="MST2" s="266"/>
      <c r="MSU2" s="266"/>
      <c r="MSV2" s="266"/>
      <c r="MSW2" s="266"/>
      <c r="MSX2" s="266"/>
      <c r="MSY2" s="266"/>
      <c r="MSZ2" s="266"/>
      <c r="MTA2" s="266"/>
      <c r="MTB2" s="266"/>
      <c r="MTC2" s="266"/>
      <c r="MTD2" s="266"/>
      <c r="MTE2" s="266"/>
      <c r="MTF2" s="266"/>
      <c r="MTG2" s="266"/>
      <c r="MTH2" s="266"/>
      <c r="MTI2" s="266"/>
      <c r="MTJ2" s="266"/>
      <c r="MTK2" s="266"/>
      <c r="MTL2" s="266"/>
      <c r="MTM2" s="266"/>
      <c r="MTN2" s="266"/>
      <c r="MTO2" s="266"/>
      <c r="MTP2" s="266"/>
      <c r="MTQ2" s="266"/>
      <c r="MTR2" s="266"/>
      <c r="MTS2" s="266"/>
      <c r="MTT2" s="266"/>
      <c r="MTU2" s="266"/>
      <c r="MTV2" s="266"/>
      <c r="MTW2" s="266"/>
      <c r="MTX2" s="266"/>
      <c r="MTY2" s="266"/>
      <c r="MTZ2" s="266"/>
      <c r="MUA2" s="266"/>
      <c r="MUB2" s="266"/>
      <c r="MUC2" s="266"/>
      <c r="MUD2" s="266"/>
      <c r="MUE2" s="266"/>
      <c r="MUF2" s="266"/>
      <c r="MUG2" s="266"/>
      <c r="MUH2" s="266"/>
      <c r="MUI2" s="266"/>
      <c r="MUJ2" s="266"/>
      <c r="MUK2" s="266"/>
      <c r="MUL2" s="266"/>
      <c r="MUM2" s="266"/>
      <c r="MUN2" s="266"/>
      <c r="MUO2" s="266"/>
      <c r="MUP2" s="266"/>
      <c r="MUQ2" s="266"/>
      <c r="MUR2" s="266"/>
      <c r="MUS2" s="266"/>
      <c r="MUT2" s="266"/>
      <c r="MUU2" s="266"/>
      <c r="MUV2" s="266"/>
      <c r="MUW2" s="266"/>
      <c r="MUX2" s="266"/>
      <c r="MUY2" s="266"/>
      <c r="MUZ2" s="266"/>
      <c r="MVA2" s="266"/>
      <c r="MVB2" s="266"/>
      <c r="MVC2" s="266"/>
      <c r="MVD2" s="266"/>
      <c r="MVE2" s="266"/>
      <c r="MVF2" s="266"/>
      <c r="MVG2" s="266"/>
      <c r="MVH2" s="266"/>
      <c r="MVI2" s="266"/>
      <c r="MVJ2" s="266"/>
      <c r="MVK2" s="266"/>
      <c r="MVL2" s="266"/>
      <c r="MVM2" s="266"/>
      <c r="MVN2" s="266"/>
      <c r="MVO2" s="266"/>
      <c r="MVP2" s="266"/>
      <c r="MVQ2" s="266"/>
      <c r="MVR2" s="266"/>
      <c r="MVS2" s="266"/>
      <c r="MVT2" s="266"/>
      <c r="MVU2" s="266"/>
      <c r="MVV2" s="266"/>
      <c r="MVW2" s="266"/>
      <c r="MVX2" s="266"/>
      <c r="MVY2" s="266"/>
      <c r="MVZ2" s="266"/>
      <c r="MWA2" s="266"/>
      <c r="MWB2" s="266"/>
      <c r="MWC2" s="266"/>
      <c r="MWD2" s="266"/>
      <c r="MWE2" s="266"/>
      <c r="MWF2" s="266"/>
      <c r="MWG2" s="266"/>
      <c r="MWH2" s="266"/>
      <c r="MWI2" s="266"/>
      <c r="MWJ2" s="266"/>
      <c r="MWK2" s="266"/>
      <c r="MWL2" s="266"/>
      <c r="MWM2" s="266"/>
      <c r="MWN2" s="266"/>
      <c r="MWO2" s="266"/>
      <c r="MWP2" s="266"/>
      <c r="MWQ2" s="266"/>
      <c r="MWR2" s="266"/>
      <c r="MWS2" s="266"/>
      <c r="MWT2" s="266"/>
      <c r="MWU2" s="266"/>
      <c r="MWV2" s="266"/>
      <c r="MWW2" s="266"/>
      <c r="MWX2" s="266"/>
      <c r="MWY2" s="266"/>
      <c r="MWZ2" s="266"/>
      <c r="MXA2" s="266"/>
      <c r="MXB2" s="266"/>
      <c r="MXC2" s="266"/>
      <c r="MXD2" s="266"/>
      <c r="MXE2" s="266"/>
      <c r="MXF2" s="266"/>
      <c r="MXG2" s="266"/>
      <c r="MXH2" s="266"/>
      <c r="MXI2" s="266"/>
      <c r="MXJ2" s="266"/>
      <c r="MXK2" s="266"/>
      <c r="MXL2" s="266"/>
      <c r="MXM2" s="266"/>
      <c r="MXN2" s="266"/>
      <c r="MXO2" s="266"/>
      <c r="MXP2" s="266"/>
      <c r="MXQ2" s="266"/>
      <c r="MXR2" s="266"/>
      <c r="MXS2" s="266"/>
      <c r="MXT2" s="266"/>
      <c r="MXU2" s="266"/>
      <c r="MXV2" s="266"/>
      <c r="MXW2" s="266"/>
      <c r="MXX2" s="266"/>
      <c r="MXY2" s="266"/>
      <c r="MXZ2" s="266"/>
      <c r="MYA2" s="266"/>
      <c r="MYB2" s="266"/>
      <c r="MYC2" s="266"/>
      <c r="MYD2" s="266"/>
      <c r="MYE2" s="266"/>
      <c r="MYF2" s="266"/>
      <c r="MYG2" s="266"/>
      <c r="MYH2" s="266"/>
      <c r="MYI2" s="266"/>
      <c r="MYJ2" s="266"/>
      <c r="MYK2" s="266"/>
      <c r="MYL2" s="266"/>
      <c r="MYM2" s="266"/>
      <c r="MYN2" s="266"/>
      <c r="MYO2" s="266"/>
      <c r="MYP2" s="266"/>
      <c r="MYQ2" s="266"/>
      <c r="MYR2" s="266"/>
      <c r="MYS2" s="266"/>
      <c r="MYT2" s="266"/>
      <c r="MYU2" s="266"/>
      <c r="MYV2" s="266"/>
      <c r="MYW2" s="266"/>
      <c r="MYX2" s="266"/>
      <c r="MYY2" s="266"/>
      <c r="MYZ2" s="266"/>
      <c r="MZA2" s="266"/>
      <c r="MZB2" s="266"/>
      <c r="MZC2" s="266"/>
      <c r="MZD2" s="266"/>
      <c r="MZE2" s="266"/>
      <c r="MZF2" s="266"/>
      <c r="MZG2" s="266"/>
      <c r="MZH2" s="266"/>
      <c r="MZI2" s="266"/>
      <c r="MZJ2" s="266"/>
      <c r="MZK2" s="266"/>
      <c r="MZL2" s="266"/>
      <c r="MZM2" s="266"/>
      <c r="MZN2" s="266"/>
      <c r="MZO2" s="266"/>
      <c r="MZP2" s="266"/>
      <c r="MZQ2" s="266"/>
      <c r="MZR2" s="266"/>
      <c r="MZS2" s="266"/>
      <c r="MZT2" s="266"/>
      <c r="MZU2" s="266"/>
      <c r="MZV2" s="266"/>
      <c r="MZW2" s="266"/>
      <c r="MZX2" s="266"/>
      <c r="MZY2" s="266"/>
      <c r="MZZ2" s="266"/>
      <c r="NAA2" s="266"/>
      <c r="NAB2" s="266"/>
      <c r="NAC2" s="266"/>
      <c r="NAD2" s="266"/>
      <c r="NAE2" s="266"/>
      <c r="NAF2" s="266"/>
      <c r="NAG2" s="266"/>
      <c r="NAH2" s="266"/>
      <c r="NAI2" s="266"/>
      <c r="NAJ2" s="266"/>
      <c r="NAK2" s="266"/>
      <c r="NAL2" s="266"/>
      <c r="NAM2" s="266"/>
      <c r="NAN2" s="266"/>
      <c r="NAO2" s="266"/>
      <c r="NAP2" s="266"/>
      <c r="NAQ2" s="266"/>
      <c r="NAR2" s="266"/>
      <c r="NAS2" s="266"/>
      <c r="NAT2" s="266"/>
      <c r="NAU2" s="266"/>
      <c r="NAV2" s="266"/>
      <c r="NAW2" s="266"/>
      <c r="NAX2" s="266"/>
      <c r="NAY2" s="266"/>
      <c r="NAZ2" s="266"/>
      <c r="NBA2" s="266"/>
      <c r="NBB2" s="266"/>
      <c r="NBC2" s="266"/>
      <c r="NBD2" s="266"/>
      <c r="NBE2" s="266"/>
      <c r="NBF2" s="266"/>
      <c r="NBG2" s="266"/>
      <c r="NBH2" s="266"/>
      <c r="NBI2" s="266"/>
      <c r="NBJ2" s="266"/>
      <c r="NBK2" s="266"/>
      <c r="NBL2" s="266"/>
      <c r="NBM2" s="266"/>
      <c r="NBN2" s="266"/>
      <c r="NBO2" s="266"/>
      <c r="NBP2" s="266"/>
      <c r="NBQ2" s="266"/>
      <c r="NBR2" s="266"/>
      <c r="NBS2" s="266"/>
      <c r="NBT2" s="266"/>
      <c r="NBU2" s="266"/>
      <c r="NBV2" s="266"/>
      <c r="NBW2" s="266"/>
      <c r="NBX2" s="266"/>
      <c r="NBY2" s="266"/>
      <c r="NBZ2" s="266"/>
      <c r="NCA2" s="266"/>
      <c r="NCB2" s="266"/>
      <c r="NCC2" s="266"/>
      <c r="NCD2" s="266"/>
      <c r="NCE2" s="266"/>
      <c r="NCF2" s="266"/>
      <c r="NCG2" s="266"/>
      <c r="NCH2" s="266"/>
      <c r="NCI2" s="266"/>
      <c r="NCJ2" s="266"/>
      <c r="NCK2" s="266"/>
      <c r="NCL2" s="266"/>
      <c r="NCM2" s="266"/>
      <c r="NCN2" s="266"/>
      <c r="NCO2" s="266"/>
      <c r="NCP2" s="266"/>
      <c r="NCQ2" s="266"/>
      <c r="NCR2" s="266"/>
      <c r="NCS2" s="266"/>
      <c r="NCT2" s="266"/>
      <c r="NCU2" s="266"/>
      <c r="NCV2" s="266"/>
      <c r="NCW2" s="266"/>
      <c r="NCX2" s="266"/>
      <c r="NCY2" s="266"/>
      <c r="NCZ2" s="266"/>
      <c r="NDA2" s="266"/>
      <c r="NDB2" s="266"/>
      <c r="NDC2" s="266"/>
      <c r="NDD2" s="266"/>
      <c r="NDE2" s="266"/>
      <c r="NDF2" s="266"/>
      <c r="NDG2" s="266"/>
      <c r="NDH2" s="266"/>
      <c r="NDI2" s="266"/>
      <c r="NDJ2" s="266"/>
      <c r="NDK2" s="266"/>
      <c r="NDL2" s="266"/>
      <c r="NDM2" s="266"/>
      <c r="NDN2" s="266"/>
      <c r="NDO2" s="266"/>
      <c r="NDP2" s="266"/>
      <c r="NDQ2" s="266"/>
      <c r="NDR2" s="266"/>
      <c r="NDS2" s="266"/>
      <c r="NDT2" s="266"/>
      <c r="NDU2" s="266"/>
      <c r="NDV2" s="266"/>
      <c r="NDW2" s="266"/>
      <c r="NDX2" s="266"/>
      <c r="NDY2" s="266"/>
      <c r="NDZ2" s="266"/>
      <c r="NEA2" s="266"/>
      <c r="NEB2" s="266"/>
      <c r="NEC2" s="266"/>
      <c r="NED2" s="266"/>
      <c r="NEE2" s="266"/>
      <c r="NEF2" s="266"/>
      <c r="NEG2" s="266"/>
      <c r="NEH2" s="266"/>
      <c r="NEI2" s="266"/>
      <c r="NEJ2" s="266"/>
      <c r="NEK2" s="266"/>
      <c r="NEL2" s="266"/>
      <c r="NEM2" s="266"/>
      <c r="NEN2" s="266"/>
      <c r="NEO2" s="266"/>
      <c r="NEP2" s="266"/>
      <c r="NEQ2" s="266"/>
      <c r="NER2" s="266"/>
      <c r="NES2" s="266"/>
      <c r="NET2" s="266"/>
      <c r="NEU2" s="266"/>
      <c r="NEV2" s="266"/>
      <c r="NEW2" s="266"/>
      <c r="NEX2" s="266"/>
      <c r="NEY2" s="266"/>
      <c r="NEZ2" s="266"/>
      <c r="NFA2" s="266"/>
      <c r="NFB2" s="266"/>
      <c r="NFC2" s="266"/>
      <c r="NFD2" s="266"/>
      <c r="NFE2" s="266"/>
      <c r="NFF2" s="266"/>
      <c r="NFG2" s="266"/>
      <c r="NFH2" s="266"/>
      <c r="NFI2" s="266"/>
      <c r="NFJ2" s="266"/>
      <c r="NFK2" s="266"/>
      <c r="NFL2" s="266"/>
      <c r="NFM2" s="266"/>
      <c r="NFN2" s="266"/>
      <c r="NFO2" s="266"/>
      <c r="NFP2" s="266"/>
      <c r="NFQ2" s="266"/>
      <c r="NFR2" s="266"/>
      <c r="NFS2" s="266"/>
      <c r="NFT2" s="266"/>
      <c r="NFU2" s="266"/>
      <c r="NFV2" s="266"/>
      <c r="NFW2" s="266"/>
      <c r="NFX2" s="266"/>
      <c r="NFY2" s="266"/>
      <c r="NFZ2" s="266"/>
      <c r="NGA2" s="266"/>
      <c r="NGB2" s="266"/>
      <c r="NGC2" s="266"/>
      <c r="NGD2" s="266"/>
      <c r="NGE2" s="266"/>
      <c r="NGF2" s="266"/>
      <c r="NGG2" s="266"/>
      <c r="NGH2" s="266"/>
      <c r="NGI2" s="266"/>
      <c r="NGJ2" s="266"/>
      <c r="NGK2" s="266"/>
      <c r="NGL2" s="266"/>
      <c r="NGM2" s="266"/>
      <c r="NGN2" s="266"/>
      <c r="NGO2" s="266"/>
      <c r="NGP2" s="266"/>
      <c r="NGQ2" s="266"/>
      <c r="NGR2" s="266"/>
      <c r="NGS2" s="266"/>
      <c r="NGT2" s="266"/>
      <c r="NGU2" s="266"/>
      <c r="NGV2" s="266"/>
      <c r="NGW2" s="266"/>
      <c r="NGX2" s="266"/>
      <c r="NGY2" s="266"/>
      <c r="NGZ2" s="266"/>
      <c r="NHA2" s="266"/>
      <c r="NHB2" s="266"/>
      <c r="NHC2" s="266"/>
      <c r="NHD2" s="266"/>
      <c r="NHE2" s="266"/>
      <c r="NHF2" s="266"/>
      <c r="NHG2" s="266"/>
      <c r="NHH2" s="266"/>
      <c r="NHI2" s="266"/>
      <c r="NHJ2" s="266"/>
      <c r="NHK2" s="266"/>
      <c r="NHL2" s="266"/>
      <c r="NHM2" s="266"/>
      <c r="NHN2" s="266"/>
      <c r="NHO2" s="266"/>
      <c r="NHP2" s="266"/>
      <c r="NHQ2" s="266"/>
      <c r="NHR2" s="266"/>
      <c r="NHS2" s="266"/>
      <c r="NHT2" s="266"/>
      <c r="NHU2" s="266"/>
      <c r="NHV2" s="266"/>
      <c r="NHW2" s="266"/>
      <c r="NHX2" s="266"/>
      <c r="NHY2" s="266"/>
      <c r="NHZ2" s="266"/>
      <c r="NIA2" s="266"/>
      <c r="NIB2" s="266"/>
      <c r="NIC2" s="266"/>
      <c r="NID2" s="266"/>
      <c r="NIE2" s="266"/>
      <c r="NIF2" s="266"/>
      <c r="NIG2" s="266"/>
      <c r="NIH2" s="266"/>
      <c r="NII2" s="266"/>
      <c r="NIJ2" s="266"/>
      <c r="NIK2" s="266"/>
      <c r="NIL2" s="266"/>
      <c r="NIM2" s="266"/>
      <c r="NIN2" s="266"/>
      <c r="NIO2" s="266"/>
      <c r="NIP2" s="266"/>
      <c r="NIQ2" s="266"/>
      <c r="NIR2" s="266"/>
      <c r="NIS2" s="266"/>
      <c r="NIT2" s="266"/>
      <c r="NIU2" s="266"/>
      <c r="NIV2" s="266"/>
      <c r="NIW2" s="266"/>
      <c r="NIX2" s="266"/>
      <c r="NIY2" s="266"/>
      <c r="NIZ2" s="266"/>
      <c r="NJA2" s="266"/>
      <c r="NJB2" s="266"/>
      <c r="NJC2" s="266"/>
      <c r="NJD2" s="266"/>
      <c r="NJE2" s="266"/>
      <c r="NJF2" s="266"/>
      <c r="NJG2" s="266"/>
      <c r="NJH2" s="266"/>
      <c r="NJI2" s="266"/>
      <c r="NJJ2" s="266"/>
      <c r="NJK2" s="266"/>
      <c r="NJL2" s="266"/>
      <c r="NJM2" s="266"/>
      <c r="NJN2" s="266"/>
      <c r="NJO2" s="266"/>
      <c r="NJP2" s="266"/>
      <c r="NJQ2" s="266"/>
      <c r="NJR2" s="266"/>
      <c r="NJS2" s="266"/>
      <c r="NJT2" s="266"/>
      <c r="NJU2" s="266"/>
      <c r="NJV2" s="266"/>
      <c r="NJW2" s="266"/>
      <c r="NJX2" s="266"/>
      <c r="NJY2" s="266"/>
      <c r="NJZ2" s="266"/>
      <c r="NKA2" s="266"/>
      <c r="NKB2" s="266"/>
      <c r="NKC2" s="266"/>
      <c r="NKD2" s="266"/>
      <c r="NKE2" s="266"/>
      <c r="NKF2" s="266"/>
      <c r="NKG2" s="266"/>
      <c r="NKH2" s="266"/>
      <c r="NKI2" s="266"/>
      <c r="NKJ2" s="266"/>
      <c r="NKK2" s="266"/>
      <c r="NKL2" s="266"/>
      <c r="NKM2" s="266"/>
      <c r="NKN2" s="266"/>
      <c r="NKO2" s="266"/>
      <c r="NKP2" s="266"/>
      <c r="NKQ2" s="266"/>
      <c r="NKR2" s="266"/>
      <c r="NKS2" s="266"/>
      <c r="NKT2" s="266"/>
      <c r="NKU2" s="266"/>
      <c r="NKV2" s="266"/>
      <c r="NKW2" s="266"/>
      <c r="NKX2" s="266"/>
      <c r="NKY2" s="266"/>
      <c r="NKZ2" s="266"/>
      <c r="NLA2" s="266"/>
      <c r="NLB2" s="266"/>
      <c r="NLC2" s="266"/>
      <c r="NLD2" s="266"/>
      <c r="NLE2" s="266"/>
      <c r="NLF2" s="266"/>
      <c r="NLG2" s="266"/>
      <c r="NLH2" s="266"/>
      <c r="NLI2" s="266"/>
      <c r="NLJ2" s="266"/>
      <c r="NLK2" s="266"/>
      <c r="NLL2" s="266"/>
      <c r="NLM2" s="266"/>
      <c r="NLN2" s="266"/>
      <c r="NLO2" s="266"/>
      <c r="NLP2" s="266"/>
      <c r="NLQ2" s="266"/>
      <c r="NLR2" s="266"/>
      <c r="NLS2" s="266"/>
      <c r="NLT2" s="266"/>
      <c r="NLU2" s="266"/>
      <c r="NLV2" s="266"/>
      <c r="NLW2" s="266"/>
      <c r="NLX2" s="266"/>
      <c r="NLY2" s="266"/>
      <c r="NLZ2" s="266"/>
      <c r="NMA2" s="266"/>
      <c r="NMB2" s="266"/>
      <c r="NMC2" s="266"/>
      <c r="NMD2" s="266"/>
      <c r="NME2" s="266"/>
      <c r="NMF2" s="266"/>
      <c r="NMG2" s="266"/>
      <c r="NMH2" s="266"/>
      <c r="NMI2" s="266"/>
      <c r="NMJ2" s="266"/>
      <c r="NMK2" s="266"/>
      <c r="NML2" s="266"/>
      <c r="NMM2" s="266"/>
      <c r="NMN2" s="266"/>
      <c r="NMO2" s="266"/>
      <c r="NMP2" s="266"/>
      <c r="NMQ2" s="266"/>
      <c r="NMR2" s="266"/>
      <c r="NMS2" s="266"/>
      <c r="NMT2" s="266"/>
      <c r="NMU2" s="266"/>
      <c r="NMV2" s="266"/>
      <c r="NMW2" s="266"/>
      <c r="NMX2" s="266"/>
      <c r="NMY2" s="266"/>
      <c r="NMZ2" s="266"/>
      <c r="NNA2" s="266"/>
      <c r="NNB2" s="266"/>
      <c r="NNC2" s="266"/>
      <c r="NND2" s="266"/>
      <c r="NNE2" s="266"/>
      <c r="NNF2" s="266"/>
      <c r="NNG2" s="266"/>
      <c r="NNH2" s="266"/>
      <c r="NNI2" s="266"/>
      <c r="NNJ2" s="266"/>
      <c r="NNK2" s="266"/>
      <c r="NNL2" s="266"/>
      <c r="NNM2" s="266"/>
      <c r="NNN2" s="266"/>
      <c r="NNO2" s="266"/>
      <c r="NNP2" s="266"/>
      <c r="NNQ2" s="266"/>
      <c r="NNR2" s="266"/>
      <c r="NNS2" s="266"/>
      <c r="NNT2" s="266"/>
      <c r="NNU2" s="266"/>
      <c r="NNV2" s="266"/>
      <c r="NNW2" s="266"/>
      <c r="NNX2" s="266"/>
      <c r="NNY2" s="266"/>
      <c r="NNZ2" s="266"/>
      <c r="NOA2" s="266"/>
      <c r="NOB2" s="266"/>
      <c r="NOC2" s="266"/>
      <c r="NOD2" s="266"/>
      <c r="NOE2" s="266"/>
      <c r="NOF2" s="266"/>
      <c r="NOG2" s="266"/>
      <c r="NOH2" s="266"/>
      <c r="NOI2" s="266"/>
      <c r="NOJ2" s="266"/>
      <c r="NOK2" s="266"/>
      <c r="NOL2" s="266"/>
      <c r="NOM2" s="266"/>
      <c r="NON2" s="266"/>
      <c r="NOO2" s="266"/>
      <c r="NOP2" s="266"/>
      <c r="NOQ2" s="266"/>
      <c r="NOR2" s="266"/>
      <c r="NOS2" s="266"/>
      <c r="NOT2" s="266"/>
      <c r="NOU2" s="266"/>
      <c r="NOV2" s="266"/>
      <c r="NOW2" s="266"/>
      <c r="NOX2" s="266"/>
      <c r="NOY2" s="266"/>
      <c r="NOZ2" s="266"/>
      <c r="NPA2" s="266"/>
      <c r="NPB2" s="266"/>
      <c r="NPC2" s="266"/>
      <c r="NPD2" s="266"/>
      <c r="NPE2" s="266"/>
      <c r="NPF2" s="266"/>
      <c r="NPG2" s="266"/>
      <c r="NPH2" s="266"/>
      <c r="NPI2" s="266"/>
      <c r="NPJ2" s="266"/>
      <c r="NPK2" s="266"/>
      <c r="NPL2" s="266"/>
      <c r="NPM2" s="266"/>
      <c r="NPN2" s="266"/>
      <c r="NPO2" s="266"/>
      <c r="NPP2" s="266"/>
      <c r="NPQ2" s="266"/>
      <c r="NPR2" s="266"/>
      <c r="NPS2" s="266"/>
      <c r="NPT2" s="266"/>
      <c r="NPU2" s="266"/>
      <c r="NPV2" s="266"/>
      <c r="NPW2" s="266"/>
      <c r="NPX2" s="266"/>
      <c r="NPY2" s="266"/>
      <c r="NPZ2" s="266"/>
      <c r="NQA2" s="266"/>
      <c r="NQB2" s="266"/>
      <c r="NQC2" s="266"/>
      <c r="NQD2" s="266"/>
      <c r="NQE2" s="266"/>
      <c r="NQF2" s="266"/>
      <c r="NQG2" s="266"/>
      <c r="NQH2" s="266"/>
      <c r="NQI2" s="266"/>
      <c r="NQJ2" s="266"/>
      <c r="NQK2" s="266"/>
      <c r="NQL2" s="266"/>
      <c r="NQM2" s="266"/>
      <c r="NQN2" s="266"/>
      <c r="NQO2" s="266"/>
      <c r="NQP2" s="266"/>
      <c r="NQQ2" s="266"/>
      <c r="NQR2" s="266"/>
      <c r="NQS2" s="266"/>
      <c r="NQT2" s="266"/>
      <c r="NQU2" s="266"/>
      <c r="NQV2" s="266"/>
      <c r="NQW2" s="266"/>
      <c r="NQX2" s="266"/>
      <c r="NQY2" s="266"/>
      <c r="NQZ2" s="266"/>
      <c r="NRA2" s="266"/>
      <c r="NRB2" s="266"/>
      <c r="NRC2" s="266"/>
      <c r="NRD2" s="266"/>
      <c r="NRE2" s="266"/>
      <c r="NRF2" s="266"/>
      <c r="NRG2" s="266"/>
      <c r="NRH2" s="266"/>
      <c r="NRI2" s="266"/>
      <c r="NRJ2" s="266"/>
      <c r="NRK2" s="266"/>
      <c r="NRL2" s="266"/>
      <c r="NRM2" s="266"/>
      <c r="NRN2" s="266"/>
      <c r="NRO2" s="266"/>
      <c r="NRP2" s="266"/>
      <c r="NRQ2" s="266"/>
      <c r="NRR2" s="266"/>
      <c r="NRS2" s="266"/>
      <c r="NRT2" s="266"/>
      <c r="NRU2" s="266"/>
      <c r="NRV2" s="266"/>
      <c r="NRW2" s="266"/>
      <c r="NRX2" s="266"/>
      <c r="NRY2" s="266"/>
      <c r="NRZ2" s="266"/>
      <c r="NSA2" s="266"/>
      <c r="NSB2" s="266"/>
      <c r="NSC2" s="266"/>
      <c r="NSD2" s="266"/>
      <c r="NSE2" s="266"/>
      <c r="NSF2" s="266"/>
      <c r="NSG2" s="266"/>
      <c r="NSH2" s="266"/>
      <c r="NSI2" s="266"/>
      <c r="NSJ2" s="266"/>
      <c r="NSK2" s="266"/>
      <c r="NSL2" s="266"/>
      <c r="NSM2" s="266"/>
      <c r="NSN2" s="266"/>
      <c r="NSO2" s="266"/>
      <c r="NSP2" s="266"/>
      <c r="NSQ2" s="266"/>
      <c r="NSR2" s="266"/>
      <c r="NSS2" s="266"/>
      <c r="NST2" s="266"/>
      <c r="NSU2" s="266"/>
      <c r="NSV2" s="266"/>
      <c r="NSW2" s="266"/>
      <c r="NSX2" s="266"/>
      <c r="NSY2" s="266"/>
      <c r="NSZ2" s="266"/>
      <c r="NTA2" s="266"/>
      <c r="NTB2" s="266"/>
      <c r="NTC2" s="266"/>
      <c r="NTD2" s="266"/>
      <c r="NTE2" s="266"/>
      <c r="NTF2" s="266"/>
      <c r="NTG2" s="266"/>
      <c r="NTH2" s="266"/>
      <c r="NTI2" s="266"/>
      <c r="NTJ2" s="266"/>
      <c r="NTK2" s="266"/>
      <c r="NTL2" s="266"/>
      <c r="NTM2" s="266"/>
      <c r="NTN2" s="266"/>
      <c r="NTO2" s="266"/>
      <c r="NTP2" s="266"/>
      <c r="NTQ2" s="266"/>
      <c r="NTR2" s="266"/>
      <c r="NTS2" s="266"/>
      <c r="NTT2" s="266"/>
      <c r="NTU2" s="266"/>
      <c r="NTV2" s="266"/>
      <c r="NTW2" s="266"/>
      <c r="NTX2" s="266"/>
      <c r="NTY2" s="266"/>
      <c r="NTZ2" s="266"/>
      <c r="NUA2" s="266"/>
      <c r="NUB2" s="266"/>
      <c r="NUC2" s="266"/>
      <c r="NUD2" s="266"/>
      <c r="NUE2" s="266"/>
      <c r="NUF2" s="266"/>
      <c r="NUG2" s="266"/>
      <c r="NUH2" s="266"/>
      <c r="NUI2" s="266"/>
      <c r="NUJ2" s="266"/>
      <c r="NUK2" s="266"/>
      <c r="NUL2" s="266"/>
      <c r="NUM2" s="266"/>
      <c r="NUN2" s="266"/>
      <c r="NUO2" s="266"/>
      <c r="NUP2" s="266"/>
      <c r="NUQ2" s="266"/>
      <c r="NUR2" s="266"/>
      <c r="NUS2" s="266"/>
      <c r="NUT2" s="266"/>
      <c r="NUU2" s="266"/>
      <c r="NUV2" s="266"/>
      <c r="NUW2" s="266"/>
      <c r="NUX2" s="266"/>
      <c r="NUY2" s="266"/>
      <c r="NUZ2" s="266"/>
      <c r="NVA2" s="266"/>
      <c r="NVB2" s="266"/>
      <c r="NVC2" s="266"/>
      <c r="NVD2" s="266"/>
      <c r="NVE2" s="266"/>
      <c r="NVF2" s="266"/>
      <c r="NVG2" s="266"/>
      <c r="NVH2" s="266"/>
      <c r="NVI2" s="266"/>
      <c r="NVJ2" s="266"/>
      <c r="NVK2" s="266"/>
      <c r="NVL2" s="266"/>
      <c r="NVM2" s="266"/>
      <c r="NVN2" s="266"/>
      <c r="NVO2" s="266"/>
      <c r="NVP2" s="266"/>
      <c r="NVQ2" s="266"/>
      <c r="NVR2" s="266"/>
      <c r="NVS2" s="266"/>
      <c r="NVT2" s="266"/>
      <c r="NVU2" s="266"/>
      <c r="NVV2" s="266"/>
      <c r="NVW2" s="266"/>
      <c r="NVX2" s="266"/>
      <c r="NVY2" s="266"/>
      <c r="NVZ2" s="266"/>
      <c r="NWA2" s="266"/>
      <c r="NWB2" s="266"/>
      <c r="NWC2" s="266"/>
      <c r="NWD2" s="266"/>
      <c r="NWE2" s="266"/>
      <c r="NWF2" s="266"/>
      <c r="NWG2" s="266"/>
      <c r="NWH2" s="266"/>
      <c r="NWI2" s="266"/>
      <c r="NWJ2" s="266"/>
      <c r="NWK2" s="266"/>
      <c r="NWL2" s="266"/>
      <c r="NWM2" s="266"/>
      <c r="NWN2" s="266"/>
      <c r="NWO2" s="266"/>
      <c r="NWP2" s="266"/>
      <c r="NWQ2" s="266"/>
      <c r="NWR2" s="266"/>
      <c r="NWS2" s="266"/>
      <c r="NWT2" s="266"/>
      <c r="NWU2" s="266"/>
      <c r="NWV2" s="266"/>
      <c r="NWW2" s="266"/>
      <c r="NWX2" s="266"/>
      <c r="NWY2" s="266"/>
      <c r="NWZ2" s="266"/>
      <c r="NXA2" s="266"/>
      <c r="NXB2" s="266"/>
      <c r="NXC2" s="266"/>
      <c r="NXD2" s="266"/>
      <c r="NXE2" s="266"/>
      <c r="NXF2" s="266"/>
      <c r="NXG2" s="266"/>
      <c r="NXH2" s="266"/>
      <c r="NXI2" s="266"/>
      <c r="NXJ2" s="266"/>
      <c r="NXK2" s="266"/>
      <c r="NXL2" s="266"/>
      <c r="NXM2" s="266"/>
      <c r="NXN2" s="266"/>
      <c r="NXO2" s="266"/>
      <c r="NXP2" s="266"/>
      <c r="NXQ2" s="266"/>
      <c r="NXR2" s="266"/>
      <c r="NXS2" s="266"/>
      <c r="NXT2" s="266"/>
      <c r="NXU2" s="266"/>
      <c r="NXV2" s="266"/>
      <c r="NXW2" s="266"/>
      <c r="NXX2" s="266"/>
      <c r="NXY2" s="266"/>
      <c r="NXZ2" s="266"/>
      <c r="NYA2" s="266"/>
      <c r="NYB2" s="266"/>
      <c r="NYC2" s="266"/>
      <c r="NYD2" s="266"/>
      <c r="NYE2" s="266"/>
      <c r="NYF2" s="266"/>
      <c r="NYG2" s="266"/>
      <c r="NYH2" s="266"/>
      <c r="NYI2" s="266"/>
      <c r="NYJ2" s="266"/>
      <c r="NYK2" s="266"/>
      <c r="NYL2" s="266"/>
      <c r="NYM2" s="266"/>
      <c r="NYN2" s="266"/>
      <c r="NYO2" s="266"/>
      <c r="NYP2" s="266"/>
      <c r="NYQ2" s="266"/>
      <c r="NYR2" s="266"/>
      <c r="NYS2" s="266"/>
      <c r="NYT2" s="266"/>
      <c r="NYU2" s="266"/>
      <c r="NYV2" s="266"/>
      <c r="NYW2" s="266"/>
      <c r="NYX2" s="266"/>
      <c r="NYY2" s="266"/>
      <c r="NYZ2" s="266"/>
      <c r="NZA2" s="266"/>
      <c r="NZB2" s="266"/>
      <c r="NZC2" s="266"/>
      <c r="NZD2" s="266"/>
      <c r="NZE2" s="266"/>
      <c r="NZF2" s="266"/>
      <c r="NZG2" s="266"/>
      <c r="NZH2" s="266"/>
      <c r="NZI2" s="266"/>
      <c r="NZJ2" s="266"/>
      <c r="NZK2" s="266"/>
      <c r="NZL2" s="266"/>
      <c r="NZM2" s="266"/>
      <c r="NZN2" s="266"/>
      <c r="NZO2" s="266"/>
      <c r="NZP2" s="266"/>
      <c r="NZQ2" s="266"/>
      <c r="NZR2" s="266"/>
      <c r="NZS2" s="266"/>
      <c r="NZT2" s="266"/>
      <c r="NZU2" s="266"/>
      <c r="NZV2" s="266"/>
      <c r="NZW2" s="266"/>
      <c r="NZX2" s="266"/>
      <c r="NZY2" s="266"/>
      <c r="NZZ2" s="266"/>
      <c r="OAA2" s="266"/>
      <c r="OAB2" s="266"/>
      <c r="OAC2" s="266"/>
      <c r="OAD2" s="266"/>
      <c r="OAE2" s="266"/>
      <c r="OAF2" s="266"/>
      <c r="OAG2" s="266"/>
      <c r="OAH2" s="266"/>
      <c r="OAI2" s="266"/>
      <c r="OAJ2" s="266"/>
      <c r="OAK2" s="266"/>
      <c r="OAL2" s="266"/>
      <c r="OAM2" s="266"/>
      <c r="OAN2" s="266"/>
      <c r="OAO2" s="266"/>
      <c r="OAP2" s="266"/>
      <c r="OAQ2" s="266"/>
      <c r="OAR2" s="266"/>
      <c r="OAS2" s="266"/>
      <c r="OAT2" s="266"/>
      <c r="OAU2" s="266"/>
      <c r="OAV2" s="266"/>
      <c r="OAW2" s="266"/>
      <c r="OAX2" s="266"/>
      <c r="OAY2" s="266"/>
      <c r="OAZ2" s="266"/>
      <c r="OBA2" s="266"/>
      <c r="OBB2" s="266"/>
      <c r="OBC2" s="266"/>
      <c r="OBD2" s="266"/>
      <c r="OBE2" s="266"/>
      <c r="OBF2" s="266"/>
      <c r="OBG2" s="266"/>
      <c r="OBH2" s="266"/>
      <c r="OBI2" s="266"/>
      <c r="OBJ2" s="266"/>
      <c r="OBK2" s="266"/>
      <c r="OBL2" s="266"/>
      <c r="OBM2" s="266"/>
      <c r="OBN2" s="266"/>
      <c r="OBO2" s="266"/>
      <c r="OBP2" s="266"/>
      <c r="OBQ2" s="266"/>
      <c r="OBR2" s="266"/>
      <c r="OBS2" s="266"/>
      <c r="OBT2" s="266"/>
      <c r="OBU2" s="266"/>
      <c r="OBV2" s="266"/>
      <c r="OBW2" s="266"/>
      <c r="OBX2" s="266"/>
      <c r="OBY2" s="266"/>
      <c r="OBZ2" s="266"/>
      <c r="OCA2" s="266"/>
      <c r="OCB2" s="266"/>
      <c r="OCC2" s="266"/>
      <c r="OCD2" s="266"/>
      <c r="OCE2" s="266"/>
      <c r="OCF2" s="266"/>
      <c r="OCG2" s="266"/>
      <c r="OCH2" s="266"/>
      <c r="OCI2" s="266"/>
      <c r="OCJ2" s="266"/>
      <c r="OCK2" s="266"/>
      <c r="OCL2" s="266"/>
      <c r="OCM2" s="266"/>
      <c r="OCN2" s="266"/>
      <c r="OCO2" s="266"/>
      <c r="OCP2" s="266"/>
      <c r="OCQ2" s="266"/>
      <c r="OCR2" s="266"/>
      <c r="OCS2" s="266"/>
      <c r="OCT2" s="266"/>
      <c r="OCU2" s="266"/>
      <c r="OCV2" s="266"/>
      <c r="OCW2" s="266"/>
      <c r="OCX2" s="266"/>
      <c r="OCY2" s="266"/>
      <c r="OCZ2" s="266"/>
      <c r="ODA2" s="266"/>
      <c r="ODB2" s="266"/>
      <c r="ODC2" s="266"/>
      <c r="ODD2" s="266"/>
      <c r="ODE2" s="266"/>
      <c r="ODF2" s="266"/>
      <c r="ODG2" s="266"/>
      <c r="ODH2" s="266"/>
      <c r="ODI2" s="266"/>
      <c r="ODJ2" s="266"/>
      <c r="ODK2" s="266"/>
      <c r="ODL2" s="266"/>
      <c r="ODM2" s="266"/>
      <c r="ODN2" s="266"/>
      <c r="ODO2" s="266"/>
      <c r="ODP2" s="266"/>
      <c r="ODQ2" s="266"/>
      <c r="ODR2" s="266"/>
      <c r="ODS2" s="266"/>
      <c r="ODT2" s="266"/>
      <c r="ODU2" s="266"/>
      <c r="ODV2" s="266"/>
      <c r="ODW2" s="266"/>
      <c r="ODX2" s="266"/>
      <c r="ODY2" s="266"/>
      <c r="ODZ2" s="266"/>
      <c r="OEA2" s="266"/>
      <c r="OEB2" s="266"/>
      <c r="OEC2" s="266"/>
      <c r="OED2" s="266"/>
      <c r="OEE2" s="266"/>
      <c r="OEF2" s="266"/>
      <c r="OEG2" s="266"/>
      <c r="OEH2" s="266"/>
      <c r="OEI2" s="266"/>
      <c r="OEJ2" s="266"/>
      <c r="OEK2" s="266"/>
      <c r="OEL2" s="266"/>
      <c r="OEM2" s="266"/>
      <c r="OEN2" s="266"/>
      <c r="OEO2" s="266"/>
      <c r="OEP2" s="266"/>
      <c r="OEQ2" s="266"/>
      <c r="OER2" s="266"/>
      <c r="OES2" s="266"/>
      <c r="OET2" s="266"/>
      <c r="OEU2" s="266"/>
      <c r="OEV2" s="266"/>
      <c r="OEW2" s="266"/>
      <c r="OEX2" s="266"/>
      <c r="OEY2" s="266"/>
      <c r="OEZ2" s="266"/>
      <c r="OFA2" s="266"/>
      <c r="OFB2" s="266"/>
      <c r="OFC2" s="266"/>
      <c r="OFD2" s="266"/>
      <c r="OFE2" s="266"/>
      <c r="OFF2" s="266"/>
      <c r="OFG2" s="266"/>
      <c r="OFH2" s="266"/>
      <c r="OFI2" s="266"/>
      <c r="OFJ2" s="266"/>
      <c r="OFK2" s="266"/>
      <c r="OFL2" s="266"/>
      <c r="OFM2" s="266"/>
      <c r="OFN2" s="266"/>
      <c r="OFO2" s="266"/>
      <c r="OFP2" s="266"/>
      <c r="OFQ2" s="266"/>
      <c r="OFR2" s="266"/>
      <c r="OFS2" s="266"/>
      <c r="OFT2" s="266"/>
      <c r="OFU2" s="266"/>
      <c r="OFV2" s="266"/>
      <c r="OFW2" s="266"/>
      <c r="OFX2" s="266"/>
      <c r="OFY2" s="266"/>
      <c r="OFZ2" s="266"/>
      <c r="OGA2" s="266"/>
      <c r="OGB2" s="266"/>
      <c r="OGC2" s="266"/>
      <c r="OGD2" s="266"/>
      <c r="OGE2" s="266"/>
      <c r="OGF2" s="266"/>
      <c r="OGG2" s="266"/>
      <c r="OGH2" s="266"/>
      <c r="OGI2" s="266"/>
      <c r="OGJ2" s="266"/>
      <c r="OGK2" s="266"/>
      <c r="OGL2" s="266"/>
      <c r="OGM2" s="266"/>
      <c r="OGN2" s="266"/>
      <c r="OGO2" s="266"/>
      <c r="OGP2" s="266"/>
      <c r="OGQ2" s="266"/>
      <c r="OGR2" s="266"/>
      <c r="OGS2" s="266"/>
      <c r="OGT2" s="266"/>
      <c r="OGU2" s="266"/>
      <c r="OGV2" s="266"/>
      <c r="OGW2" s="266"/>
      <c r="OGX2" s="266"/>
      <c r="OGY2" s="266"/>
      <c r="OGZ2" s="266"/>
      <c r="OHA2" s="266"/>
      <c r="OHB2" s="266"/>
      <c r="OHC2" s="266"/>
      <c r="OHD2" s="266"/>
      <c r="OHE2" s="266"/>
      <c r="OHF2" s="266"/>
      <c r="OHG2" s="266"/>
      <c r="OHH2" s="266"/>
      <c r="OHI2" s="266"/>
      <c r="OHJ2" s="266"/>
      <c r="OHK2" s="266"/>
      <c r="OHL2" s="266"/>
      <c r="OHM2" s="266"/>
      <c r="OHN2" s="266"/>
      <c r="OHO2" s="266"/>
      <c r="OHP2" s="266"/>
      <c r="OHQ2" s="266"/>
      <c r="OHR2" s="266"/>
      <c r="OHS2" s="266"/>
      <c r="OHT2" s="266"/>
      <c r="OHU2" s="266"/>
      <c r="OHV2" s="266"/>
      <c r="OHW2" s="266"/>
      <c r="OHX2" s="266"/>
      <c r="OHY2" s="266"/>
      <c r="OHZ2" s="266"/>
      <c r="OIA2" s="266"/>
      <c r="OIB2" s="266"/>
      <c r="OIC2" s="266"/>
      <c r="OID2" s="266"/>
      <c r="OIE2" s="266"/>
      <c r="OIF2" s="266"/>
      <c r="OIG2" s="266"/>
      <c r="OIH2" s="266"/>
      <c r="OII2" s="266"/>
      <c r="OIJ2" s="266"/>
      <c r="OIK2" s="266"/>
      <c r="OIL2" s="266"/>
      <c r="OIM2" s="266"/>
      <c r="OIN2" s="266"/>
      <c r="OIO2" s="266"/>
      <c r="OIP2" s="266"/>
      <c r="OIQ2" s="266"/>
      <c r="OIR2" s="266"/>
      <c r="OIS2" s="266"/>
      <c r="OIT2" s="266"/>
      <c r="OIU2" s="266"/>
      <c r="OIV2" s="266"/>
      <c r="OIW2" s="266"/>
      <c r="OIX2" s="266"/>
      <c r="OIY2" s="266"/>
      <c r="OIZ2" s="266"/>
      <c r="OJA2" s="266"/>
      <c r="OJB2" s="266"/>
      <c r="OJC2" s="266"/>
      <c r="OJD2" s="266"/>
      <c r="OJE2" s="266"/>
      <c r="OJF2" s="266"/>
      <c r="OJG2" s="266"/>
      <c r="OJH2" s="266"/>
      <c r="OJI2" s="266"/>
      <c r="OJJ2" s="266"/>
      <c r="OJK2" s="266"/>
      <c r="OJL2" s="266"/>
      <c r="OJM2" s="266"/>
      <c r="OJN2" s="266"/>
      <c r="OJO2" s="266"/>
      <c r="OJP2" s="266"/>
      <c r="OJQ2" s="266"/>
      <c r="OJR2" s="266"/>
      <c r="OJS2" s="266"/>
      <c r="OJT2" s="266"/>
      <c r="OJU2" s="266"/>
      <c r="OJV2" s="266"/>
      <c r="OJW2" s="266"/>
      <c r="OJX2" s="266"/>
      <c r="OJY2" s="266"/>
      <c r="OJZ2" s="266"/>
      <c r="OKA2" s="266"/>
      <c r="OKB2" s="266"/>
      <c r="OKC2" s="266"/>
      <c r="OKD2" s="266"/>
      <c r="OKE2" s="266"/>
      <c r="OKF2" s="266"/>
      <c r="OKG2" s="266"/>
      <c r="OKH2" s="266"/>
      <c r="OKI2" s="266"/>
      <c r="OKJ2" s="266"/>
      <c r="OKK2" s="266"/>
      <c r="OKL2" s="266"/>
      <c r="OKM2" s="266"/>
      <c r="OKN2" s="266"/>
      <c r="OKO2" s="266"/>
      <c r="OKP2" s="266"/>
      <c r="OKQ2" s="266"/>
      <c r="OKR2" s="266"/>
      <c r="OKS2" s="266"/>
      <c r="OKT2" s="266"/>
      <c r="OKU2" s="266"/>
      <c r="OKV2" s="266"/>
      <c r="OKW2" s="266"/>
      <c r="OKX2" s="266"/>
      <c r="OKY2" s="266"/>
      <c r="OKZ2" s="266"/>
      <c r="OLA2" s="266"/>
      <c r="OLB2" s="266"/>
      <c r="OLC2" s="266"/>
      <c r="OLD2" s="266"/>
      <c r="OLE2" s="266"/>
      <c r="OLF2" s="266"/>
      <c r="OLG2" s="266"/>
      <c r="OLH2" s="266"/>
      <c r="OLI2" s="266"/>
      <c r="OLJ2" s="266"/>
      <c r="OLK2" s="266"/>
      <c r="OLL2" s="266"/>
      <c r="OLM2" s="266"/>
      <c r="OLN2" s="266"/>
      <c r="OLO2" s="266"/>
      <c r="OLP2" s="266"/>
      <c r="OLQ2" s="266"/>
      <c r="OLR2" s="266"/>
      <c r="OLS2" s="266"/>
      <c r="OLT2" s="266"/>
      <c r="OLU2" s="266"/>
      <c r="OLV2" s="266"/>
      <c r="OLW2" s="266"/>
      <c r="OLX2" s="266"/>
      <c r="OLY2" s="266"/>
      <c r="OLZ2" s="266"/>
      <c r="OMA2" s="266"/>
      <c r="OMB2" s="266"/>
      <c r="OMC2" s="266"/>
      <c r="OMD2" s="266"/>
      <c r="OME2" s="266"/>
      <c r="OMF2" s="266"/>
      <c r="OMG2" s="266"/>
      <c r="OMH2" s="266"/>
      <c r="OMI2" s="266"/>
      <c r="OMJ2" s="266"/>
      <c r="OMK2" s="266"/>
      <c r="OML2" s="266"/>
      <c r="OMM2" s="266"/>
      <c r="OMN2" s="266"/>
      <c r="OMO2" s="266"/>
      <c r="OMP2" s="266"/>
      <c r="OMQ2" s="266"/>
      <c r="OMR2" s="266"/>
      <c r="OMS2" s="266"/>
      <c r="OMT2" s="266"/>
      <c r="OMU2" s="266"/>
      <c r="OMV2" s="266"/>
      <c r="OMW2" s="266"/>
      <c r="OMX2" s="266"/>
      <c r="OMY2" s="266"/>
      <c r="OMZ2" s="266"/>
      <c r="ONA2" s="266"/>
      <c r="ONB2" s="266"/>
      <c r="ONC2" s="266"/>
      <c r="OND2" s="266"/>
      <c r="ONE2" s="266"/>
      <c r="ONF2" s="266"/>
      <c r="ONG2" s="266"/>
      <c r="ONH2" s="266"/>
      <c r="ONI2" s="266"/>
      <c r="ONJ2" s="266"/>
      <c r="ONK2" s="266"/>
      <c r="ONL2" s="266"/>
      <c r="ONM2" s="266"/>
      <c r="ONN2" s="266"/>
      <c r="ONO2" s="266"/>
      <c r="ONP2" s="266"/>
      <c r="ONQ2" s="266"/>
      <c r="ONR2" s="266"/>
      <c r="ONS2" s="266"/>
      <c r="ONT2" s="266"/>
      <c r="ONU2" s="266"/>
      <c r="ONV2" s="266"/>
      <c r="ONW2" s="266"/>
      <c r="ONX2" s="266"/>
      <c r="ONY2" s="266"/>
      <c r="ONZ2" s="266"/>
      <c r="OOA2" s="266"/>
      <c r="OOB2" s="266"/>
      <c r="OOC2" s="266"/>
      <c r="OOD2" s="266"/>
      <c r="OOE2" s="266"/>
      <c r="OOF2" s="266"/>
      <c r="OOG2" s="266"/>
      <c r="OOH2" s="266"/>
      <c r="OOI2" s="266"/>
      <c r="OOJ2" s="266"/>
      <c r="OOK2" s="266"/>
      <c r="OOL2" s="266"/>
      <c r="OOM2" s="266"/>
      <c r="OON2" s="266"/>
      <c r="OOO2" s="266"/>
      <c r="OOP2" s="266"/>
      <c r="OOQ2" s="266"/>
      <c r="OOR2" s="266"/>
      <c r="OOS2" s="266"/>
      <c r="OOT2" s="266"/>
      <c r="OOU2" s="266"/>
      <c r="OOV2" s="266"/>
      <c r="OOW2" s="266"/>
      <c r="OOX2" s="266"/>
      <c r="OOY2" s="266"/>
      <c r="OOZ2" s="266"/>
      <c r="OPA2" s="266"/>
      <c r="OPB2" s="266"/>
      <c r="OPC2" s="266"/>
      <c r="OPD2" s="266"/>
      <c r="OPE2" s="266"/>
      <c r="OPF2" s="266"/>
      <c r="OPG2" s="266"/>
      <c r="OPH2" s="266"/>
      <c r="OPI2" s="266"/>
      <c r="OPJ2" s="266"/>
      <c r="OPK2" s="266"/>
      <c r="OPL2" s="266"/>
      <c r="OPM2" s="266"/>
      <c r="OPN2" s="266"/>
      <c r="OPO2" s="266"/>
      <c r="OPP2" s="266"/>
      <c r="OPQ2" s="266"/>
      <c r="OPR2" s="266"/>
      <c r="OPS2" s="266"/>
      <c r="OPT2" s="266"/>
      <c r="OPU2" s="266"/>
      <c r="OPV2" s="266"/>
      <c r="OPW2" s="266"/>
      <c r="OPX2" s="266"/>
      <c r="OPY2" s="266"/>
      <c r="OPZ2" s="266"/>
      <c r="OQA2" s="266"/>
      <c r="OQB2" s="266"/>
      <c r="OQC2" s="266"/>
      <c r="OQD2" s="266"/>
      <c r="OQE2" s="266"/>
      <c r="OQF2" s="266"/>
      <c r="OQG2" s="266"/>
      <c r="OQH2" s="266"/>
      <c r="OQI2" s="266"/>
      <c r="OQJ2" s="266"/>
      <c r="OQK2" s="266"/>
      <c r="OQL2" s="266"/>
      <c r="OQM2" s="266"/>
      <c r="OQN2" s="266"/>
      <c r="OQO2" s="266"/>
      <c r="OQP2" s="266"/>
      <c r="OQQ2" s="266"/>
      <c r="OQR2" s="266"/>
      <c r="OQS2" s="266"/>
      <c r="OQT2" s="266"/>
      <c r="OQU2" s="266"/>
      <c r="OQV2" s="266"/>
      <c r="OQW2" s="266"/>
      <c r="OQX2" s="266"/>
      <c r="OQY2" s="266"/>
      <c r="OQZ2" s="266"/>
      <c r="ORA2" s="266"/>
      <c r="ORB2" s="266"/>
      <c r="ORC2" s="266"/>
      <c r="ORD2" s="266"/>
      <c r="ORE2" s="266"/>
      <c r="ORF2" s="266"/>
      <c r="ORG2" s="266"/>
      <c r="ORH2" s="266"/>
      <c r="ORI2" s="266"/>
      <c r="ORJ2" s="266"/>
      <c r="ORK2" s="266"/>
      <c r="ORL2" s="266"/>
      <c r="ORM2" s="266"/>
      <c r="ORN2" s="266"/>
      <c r="ORO2" s="266"/>
      <c r="ORP2" s="266"/>
      <c r="ORQ2" s="266"/>
      <c r="ORR2" s="266"/>
      <c r="ORS2" s="266"/>
      <c r="ORT2" s="266"/>
      <c r="ORU2" s="266"/>
      <c r="ORV2" s="266"/>
      <c r="ORW2" s="266"/>
      <c r="ORX2" s="266"/>
      <c r="ORY2" s="266"/>
      <c r="ORZ2" s="266"/>
      <c r="OSA2" s="266"/>
      <c r="OSB2" s="266"/>
      <c r="OSC2" s="266"/>
      <c r="OSD2" s="266"/>
      <c r="OSE2" s="266"/>
      <c r="OSF2" s="266"/>
      <c r="OSG2" s="266"/>
      <c r="OSH2" s="266"/>
      <c r="OSI2" s="266"/>
      <c r="OSJ2" s="266"/>
      <c r="OSK2" s="266"/>
      <c r="OSL2" s="266"/>
      <c r="OSM2" s="266"/>
      <c r="OSN2" s="266"/>
      <c r="OSO2" s="266"/>
      <c r="OSP2" s="266"/>
      <c r="OSQ2" s="266"/>
      <c r="OSR2" s="266"/>
      <c r="OSS2" s="266"/>
      <c r="OST2" s="266"/>
      <c r="OSU2" s="266"/>
      <c r="OSV2" s="266"/>
      <c r="OSW2" s="266"/>
      <c r="OSX2" s="266"/>
      <c r="OSY2" s="266"/>
      <c r="OSZ2" s="266"/>
      <c r="OTA2" s="266"/>
      <c r="OTB2" s="266"/>
      <c r="OTC2" s="266"/>
      <c r="OTD2" s="266"/>
      <c r="OTE2" s="266"/>
      <c r="OTF2" s="266"/>
      <c r="OTG2" s="266"/>
      <c r="OTH2" s="266"/>
      <c r="OTI2" s="266"/>
      <c r="OTJ2" s="266"/>
      <c r="OTK2" s="266"/>
      <c r="OTL2" s="266"/>
      <c r="OTM2" s="266"/>
      <c r="OTN2" s="266"/>
      <c r="OTO2" s="266"/>
      <c r="OTP2" s="266"/>
      <c r="OTQ2" s="266"/>
      <c r="OTR2" s="266"/>
      <c r="OTS2" s="266"/>
      <c r="OTT2" s="266"/>
      <c r="OTU2" s="266"/>
      <c r="OTV2" s="266"/>
      <c r="OTW2" s="266"/>
      <c r="OTX2" s="266"/>
      <c r="OTY2" s="266"/>
      <c r="OTZ2" s="266"/>
      <c r="OUA2" s="266"/>
      <c r="OUB2" s="266"/>
      <c r="OUC2" s="266"/>
      <c r="OUD2" s="266"/>
      <c r="OUE2" s="266"/>
      <c r="OUF2" s="266"/>
      <c r="OUG2" s="266"/>
      <c r="OUH2" s="266"/>
      <c r="OUI2" s="266"/>
      <c r="OUJ2" s="266"/>
      <c r="OUK2" s="266"/>
      <c r="OUL2" s="266"/>
      <c r="OUM2" s="266"/>
      <c r="OUN2" s="266"/>
      <c r="OUO2" s="266"/>
      <c r="OUP2" s="266"/>
      <c r="OUQ2" s="266"/>
      <c r="OUR2" s="266"/>
      <c r="OUS2" s="266"/>
      <c r="OUT2" s="266"/>
      <c r="OUU2" s="266"/>
      <c r="OUV2" s="266"/>
      <c r="OUW2" s="266"/>
      <c r="OUX2" s="266"/>
      <c r="OUY2" s="266"/>
      <c r="OUZ2" s="266"/>
      <c r="OVA2" s="266"/>
      <c r="OVB2" s="266"/>
      <c r="OVC2" s="266"/>
      <c r="OVD2" s="266"/>
      <c r="OVE2" s="266"/>
      <c r="OVF2" s="266"/>
      <c r="OVG2" s="266"/>
      <c r="OVH2" s="266"/>
      <c r="OVI2" s="266"/>
      <c r="OVJ2" s="266"/>
      <c r="OVK2" s="266"/>
      <c r="OVL2" s="266"/>
      <c r="OVM2" s="266"/>
      <c r="OVN2" s="266"/>
      <c r="OVO2" s="266"/>
      <c r="OVP2" s="266"/>
      <c r="OVQ2" s="266"/>
      <c r="OVR2" s="266"/>
      <c r="OVS2" s="266"/>
      <c r="OVT2" s="266"/>
      <c r="OVU2" s="266"/>
      <c r="OVV2" s="266"/>
      <c r="OVW2" s="266"/>
      <c r="OVX2" s="266"/>
      <c r="OVY2" s="266"/>
      <c r="OVZ2" s="266"/>
      <c r="OWA2" s="266"/>
      <c r="OWB2" s="266"/>
      <c r="OWC2" s="266"/>
      <c r="OWD2" s="266"/>
      <c r="OWE2" s="266"/>
      <c r="OWF2" s="266"/>
      <c r="OWG2" s="266"/>
      <c r="OWH2" s="266"/>
      <c r="OWI2" s="266"/>
      <c r="OWJ2" s="266"/>
      <c r="OWK2" s="266"/>
      <c r="OWL2" s="266"/>
      <c r="OWM2" s="266"/>
      <c r="OWN2" s="266"/>
      <c r="OWO2" s="266"/>
      <c r="OWP2" s="266"/>
      <c r="OWQ2" s="266"/>
      <c r="OWR2" s="266"/>
      <c r="OWS2" s="266"/>
      <c r="OWT2" s="266"/>
      <c r="OWU2" s="266"/>
      <c r="OWV2" s="266"/>
      <c r="OWW2" s="266"/>
      <c r="OWX2" s="266"/>
      <c r="OWY2" s="266"/>
      <c r="OWZ2" s="266"/>
      <c r="OXA2" s="266"/>
      <c r="OXB2" s="266"/>
      <c r="OXC2" s="266"/>
      <c r="OXD2" s="266"/>
      <c r="OXE2" s="266"/>
      <c r="OXF2" s="266"/>
      <c r="OXG2" s="266"/>
      <c r="OXH2" s="266"/>
      <c r="OXI2" s="266"/>
      <c r="OXJ2" s="266"/>
      <c r="OXK2" s="266"/>
      <c r="OXL2" s="266"/>
      <c r="OXM2" s="266"/>
      <c r="OXN2" s="266"/>
      <c r="OXO2" s="266"/>
      <c r="OXP2" s="266"/>
      <c r="OXQ2" s="266"/>
      <c r="OXR2" s="266"/>
      <c r="OXS2" s="266"/>
      <c r="OXT2" s="266"/>
      <c r="OXU2" s="266"/>
      <c r="OXV2" s="266"/>
      <c r="OXW2" s="266"/>
      <c r="OXX2" s="266"/>
      <c r="OXY2" s="266"/>
      <c r="OXZ2" s="266"/>
      <c r="OYA2" s="266"/>
      <c r="OYB2" s="266"/>
      <c r="OYC2" s="266"/>
      <c r="OYD2" s="266"/>
      <c r="OYE2" s="266"/>
      <c r="OYF2" s="266"/>
      <c r="OYG2" s="266"/>
      <c r="OYH2" s="266"/>
      <c r="OYI2" s="266"/>
      <c r="OYJ2" s="266"/>
      <c r="OYK2" s="266"/>
      <c r="OYL2" s="266"/>
      <c r="OYM2" s="266"/>
      <c r="OYN2" s="266"/>
      <c r="OYO2" s="266"/>
      <c r="OYP2" s="266"/>
      <c r="OYQ2" s="266"/>
      <c r="OYR2" s="266"/>
      <c r="OYS2" s="266"/>
      <c r="OYT2" s="266"/>
      <c r="OYU2" s="266"/>
      <c r="OYV2" s="266"/>
      <c r="OYW2" s="266"/>
      <c r="OYX2" s="266"/>
      <c r="OYY2" s="266"/>
      <c r="OYZ2" s="266"/>
      <c r="OZA2" s="266"/>
      <c r="OZB2" s="266"/>
      <c r="OZC2" s="266"/>
      <c r="OZD2" s="266"/>
      <c r="OZE2" s="266"/>
      <c r="OZF2" s="266"/>
      <c r="OZG2" s="266"/>
      <c r="OZH2" s="266"/>
      <c r="OZI2" s="266"/>
      <c r="OZJ2" s="266"/>
      <c r="OZK2" s="266"/>
      <c r="OZL2" s="266"/>
      <c r="OZM2" s="266"/>
      <c r="OZN2" s="266"/>
      <c r="OZO2" s="266"/>
      <c r="OZP2" s="266"/>
      <c r="OZQ2" s="266"/>
      <c r="OZR2" s="266"/>
      <c r="OZS2" s="266"/>
      <c r="OZT2" s="266"/>
      <c r="OZU2" s="266"/>
      <c r="OZV2" s="266"/>
      <c r="OZW2" s="266"/>
      <c r="OZX2" s="266"/>
      <c r="OZY2" s="266"/>
      <c r="OZZ2" s="266"/>
      <c r="PAA2" s="266"/>
      <c r="PAB2" s="266"/>
      <c r="PAC2" s="266"/>
      <c r="PAD2" s="266"/>
      <c r="PAE2" s="266"/>
      <c r="PAF2" s="266"/>
      <c r="PAG2" s="266"/>
      <c r="PAH2" s="266"/>
      <c r="PAI2" s="266"/>
      <c r="PAJ2" s="266"/>
      <c r="PAK2" s="266"/>
      <c r="PAL2" s="266"/>
      <c r="PAM2" s="266"/>
      <c r="PAN2" s="266"/>
      <c r="PAO2" s="266"/>
      <c r="PAP2" s="266"/>
      <c r="PAQ2" s="266"/>
      <c r="PAR2" s="266"/>
      <c r="PAS2" s="266"/>
      <c r="PAT2" s="266"/>
      <c r="PAU2" s="266"/>
      <c r="PAV2" s="266"/>
      <c r="PAW2" s="266"/>
      <c r="PAX2" s="266"/>
      <c r="PAY2" s="266"/>
      <c r="PAZ2" s="266"/>
      <c r="PBA2" s="266"/>
      <c r="PBB2" s="266"/>
      <c r="PBC2" s="266"/>
      <c r="PBD2" s="266"/>
      <c r="PBE2" s="266"/>
      <c r="PBF2" s="266"/>
      <c r="PBG2" s="266"/>
      <c r="PBH2" s="266"/>
      <c r="PBI2" s="266"/>
      <c r="PBJ2" s="266"/>
      <c r="PBK2" s="266"/>
      <c r="PBL2" s="266"/>
      <c r="PBM2" s="266"/>
      <c r="PBN2" s="266"/>
      <c r="PBO2" s="266"/>
      <c r="PBP2" s="266"/>
      <c r="PBQ2" s="266"/>
      <c r="PBR2" s="266"/>
      <c r="PBS2" s="266"/>
      <c r="PBT2" s="266"/>
      <c r="PBU2" s="266"/>
      <c r="PBV2" s="266"/>
      <c r="PBW2" s="266"/>
      <c r="PBX2" s="266"/>
      <c r="PBY2" s="266"/>
      <c r="PBZ2" s="266"/>
      <c r="PCA2" s="266"/>
      <c r="PCB2" s="266"/>
      <c r="PCC2" s="266"/>
      <c r="PCD2" s="266"/>
      <c r="PCE2" s="266"/>
      <c r="PCF2" s="266"/>
      <c r="PCG2" s="266"/>
      <c r="PCH2" s="266"/>
      <c r="PCI2" s="266"/>
      <c r="PCJ2" s="266"/>
      <c r="PCK2" s="266"/>
      <c r="PCL2" s="266"/>
      <c r="PCM2" s="266"/>
      <c r="PCN2" s="266"/>
      <c r="PCO2" s="266"/>
      <c r="PCP2" s="266"/>
      <c r="PCQ2" s="266"/>
      <c r="PCR2" s="266"/>
      <c r="PCS2" s="266"/>
      <c r="PCT2" s="266"/>
      <c r="PCU2" s="266"/>
      <c r="PCV2" s="266"/>
      <c r="PCW2" s="266"/>
      <c r="PCX2" s="266"/>
      <c r="PCY2" s="266"/>
      <c r="PCZ2" s="266"/>
      <c r="PDA2" s="266"/>
      <c r="PDB2" s="266"/>
      <c r="PDC2" s="266"/>
      <c r="PDD2" s="266"/>
      <c r="PDE2" s="266"/>
      <c r="PDF2" s="266"/>
      <c r="PDG2" s="266"/>
      <c r="PDH2" s="266"/>
      <c r="PDI2" s="266"/>
      <c r="PDJ2" s="266"/>
      <c r="PDK2" s="266"/>
      <c r="PDL2" s="266"/>
      <c r="PDM2" s="266"/>
      <c r="PDN2" s="266"/>
      <c r="PDO2" s="266"/>
      <c r="PDP2" s="266"/>
      <c r="PDQ2" s="266"/>
      <c r="PDR2" s="266"/>
      <c r="PDS2" s="266"/>
      <c r="PDT2" s="266"/>
      <c r="PDU2" s="266"/>
      <c r="PDV2" s="266"/>
      <c r="PDW2" s="266"/>
      <c r="PDX2" s="266"/>
      <c r="PDY2" s="266"/>
      <c r="PDZ2" s="266"/>
      <c r="PEA2" s="266"/>
      <c r="PEB2" s="266"/>
      <c r="PEC2" s="266"/>
      <c r="PED2" s="266"/>
      <c r="PEE2" s="266"/>
      <c r="PEF2" s="266"/>
      <c r="PEG2" s="266"/>
      <c r="PEH2" s="266"/>
      <c r="PEI2" s="266"/>
      <c r="PEJ2" s="266"/>
      <c r="PEK2" s="266"/>
      <c r="PEL2" s="266"/>
      <c r="PEM2" s="266"/>
      <c r="PEN2" s="266"/>
      <c r="PEO2" s="266"/>
      <c r="PEP2" s="266"/>
      <c r="PEQ2" s="266"/>
      <c r="PER2" s="266"/>
      <c r="PES2" s="266"/>
      <c r="PET2" s="266"/>
      <c r="PEU2" s="266"/>
      <c r="PEV2" s="266"/>
      <c r="PEW2" s="266"/>
      <c r="PEX2" s="266"/>
      <c r="PEY2" s="266"/>
      <c r="PEZ2" s="266"/>
      <c r="PFA2" s="266"/>
      <c r="PFB2" s="266"/>
      <c r="PFC2" s="266"/>
      <c r="PFD2" s="266"/>
      <c r="PFE2" s="266"/>
      <c r="PFF2" s="266"/>
      <c r="PFG2" s="266"/>
      <c r="PFH2" s="266"/>
      <c r="PFI2" s="266"/>
      <c r="PFJ2" s="266"/>
      <c r="PFK2" s="266"/>
      <c r="PFL2" s="266"/>
      <c r="PFM2" s="266"/>
      <c r="PFN2" s="266"/>
      <c r="PFO2" s="266"/>
      <c r="PFP2" s="266"/>
      <c r="PFQ2" s="266"/>
      <c r="PFR2" s="266"/>
      <c r="PFS2" s="266"/>
      <c r="PFT2" s="266"/>
      <c r="PFU2" s="266"/>
      <c r="PFV2" s="266"/>
      <c r="PFW2" s="266"/>
      <c r="PFX2" s="266"/>
      <c r="PFY2" s="266"/>
      <c r="PFZ2" s="266"/>
      <c r="PGA2" s="266"/>
      <c r="PGB2" s="266"/>
      <c r="PGC2" s="266"/>
      <c r="PGD2" s="266"/>
      <c r="PGE2" s="266"/>
      <c r="PGF2" s="266"/>
      <c r="PGG2" s="266"/>
      <c r="PGH2" s="266"/>
      <c r="PGI2" s="266"/>
      <c r="PGJ2" s="266"/>
      <c r="PGK2" s="266"/>
      <c r="PGL2" s="266"/>
      <c r="PGM2" s="266"/>
      <c r="PGN2" s="266"/>
      <c r="PGO2" s="266"/>
      <c r="PGP2" s="266"/>
      <c r="PGQ2" s="266"/>
      <c r="PGR2" s="266"/>
      <c r="PGS2" s="266"/>
      <c r="PGT2" s="266"/>
      <c r="PGU2" s="266"/>
      <c r="PGV2" s="266"/>
      <c r="PGW2" s="266"/>
      <c r="PGX2" s="266"/>
      <c r="PGY2" s="266"/>
      <c r="PGZ2" s="266"/>
      <c r="PHA2" s="266"/>
      <c r="PHB2" s="266"/>
      <c r="PHC2" s="266"/>
      <c r="PHD2" s="266"/>
      <c r="PHE2" s="266"/>
      <c r="PHF2" s="266"/>
      <c r="PHG2" s="266"/>
      <c r="PHH2" s="266"/>
      <c r="PHI2" s="266"/>
      <c r="PHJ2" s="266"/>
      <c r="PHK2" s="266"/>
      <c r="PHL2" s="266"/>
      <c r="PHM2" s="266"/>
      <c r="PHN2" s="266"/>
      <c r="PHO2" s="266"/>
      <c r="PHP2" s="266"/>
      <c r="PHQ2" s="266"/>
      <c r="PHR2" s="266"/>
      <c r="PHS2" s="266"/>
      <c r="PHT2" s="266"/>
      <c r="PHU2" s="266"/>
      <c r="PHV2" s="266"/>
      <c r="PHW2" s="266"/>
      <c r="PHX2" s="266"/>
      <c r="PHY2" s="266"/>
      <c r="PHZ2" s="266"/>
      <c r="PIA2" s="266"/>
      <c r="PIB2" s="266"/>
      <c r="PIC2" s="266"/>
      <c r="PID2" s="266"/>
      <c r="PIE2" s="266"/>
      <c r="PIF2" s="266"/>
      <c r="PIG2" s="266"/>
      <c r="PIH2" s="266"/>
      <c r="PII2" s="266"/>
      <c r="PIJ2" s="266"/>
      <c r="PIK2" s="266"/>
      <c r="PIL2" s="266"/>
      <c r="PIM2" s="266"/>
      <c r="PIN2" s="266"/>
      <c r="PIO2" s="266"/>
      <c r="PIP2" s="266"/>
      <c r="PIQ2" s="266"/>
      <c r="PIR2" s="266"/>
      <c r="PIS2" s="266"/>
      <c r="PIT2" s="266"/>
      <c r="PIU2" s="266"/>
      <c r="PIV2" s="266"/>
      <c r="PIW2" s="266"/>
      <c r="PIX2" s="266"/>
      <c r="PIY2" s="266"/>
      <c r="PIZ2" s="266"/>
      <c r="PJA2" s="266"/>
      <c r="PJB2" s="266"/>
      <c r="PJC2" s="266"/>
      <c r="PJD2" s="266"/>
      <c r="PJE2" s="266"/>
      <c r="PJF2" s="266"/>
      <c r="PJG2" s="266"/>
      <c r="PJH2" s="266"/>
      <c r="PJI2" s="266"/>
      <c r="PJJ2" s="266"/>
      <c r="PJK2" s="266"/>
      <c r="PJL2" s="266"/>
      <c r="PJM2" s="266"/>
      <c r="PJN2" s="266"/>
      <c r="PJO2" s="266"/>
      <c r="PJP2" s="266"/>
      <c r="PJQ2" s="266"/>
      <c r="PJR2" s="266"/>
      <c r="PJS2" s="266"/>
      <c r="PJT2" s="266"/>
      <c r="PJU2" s="266"/>
      <c r="PJV2" s="266"/>
      <c r="PJW2" s="266"/>
      <c r="PJX2" s="266"/>
      <c r="PJY2" s="266"/>
      <c r="PJZ2" s="266"/>
      <c r="PKA2" s="266"/>
      <c r="PKB2" s="266"/>
      <c r="PKC2" s="266"/>
      <c r="PKD2" s="266"/>
      <c r="PKE2" s="266"/>
      <c r="PKF2" s="266"/>
      <c r="PKG2" s="266"/>
      <c r="PKH2" s="266"/>
      <c r="PKI2" s="266"/>
      <c r="PKJ2" s="266"/>
      <c r="PKK2" s="266"/>
      <c r="PKL2" s="266"/>
      <c r="PKM2" s="266"/>
      <c r="PKN2" s="266"/>
      <c r="PKO2" s="266"/>
      <c r="PKP2" s="266"/>
      <c r="PKQ2" s="266"/>
      <c r="PKR2" s="266"/>
      <c r="PKS2" s="266"/>
      <c r="PKT2" s="266"/>
      <c r="PKU2" s="266"/>
      <c r="PKV2" s="266"/>
      <c r="PKW2" s="266"/>
      <c r="PKX2" s="266"/>
      <c r="PKY2" s="266"/>
      <c r="PKZ2" s="266"/>
      <c r="PLA2" s="266"/>
      <c r="PLB2" s="266"/>
      <c r="PLC2" s="266"/>
      <c r="PLD2" s="266"/>
      <c r="PLE2" s="266"/>
      <c r="PLF2" s="266"/>
      <c r="PLG2" s="266"/>
      <c r="PLH2" s="266"/>
      <c r="PLI2" s="266"/>
      <c r="PLJ2" s="266"/>
      <c r="PLK2" s="266"/>
      <c r="PLL2" s="266"/>
      <c r="PLM2" s="266"/>
      <c r="PLN2" s="266"/>
      <c r="PLO2" s="266"/>
      <c r="PLP2" s="266"/>
      <c r="PLQ2" s="266"/>
      <c r="PLR2" s="266"/>
      <c r="PLS2" s="266"/>
      <c r="PLT2" s="266"/>
      <c r="PLU2" s="266"/>
      <c r="PLV2" s="266"/>
      <c r="PLW2" s="266"/>
      <c r="PLX2" s="266"/>
      <c r="PLY2" s="266"/>
      <c r="PLZ2" s="266"/>
      <c r="PMA2" s="266"/>
      <c r="PMB2" s="266"/>
      <c r="PMC2" s="266"/>
      <c r="PMD2" s="266"/>
      <c r="PME2" s="266"/>
      <c r="PMF2" s="266"/>
      <c r="PMG2" s="266"/>
      <c r="PMH2" s="266"/>
      <c r="PMI2" s="266"/>
      <c r="PMJ2" s="266"/>
      <c r="PMK2" s="266"/>
      <c r="PML2" s="266"/>
      <c r="PMM2" s="266"/>
      <c r="PMN2" s="266"/>
      <c r="PMO2" s="266"/>
      <c r="PMP2" s="266"/>
      <c r="PMQ2" s="266"/>
      <c r="PMR2" s="266"/>
      <c r="PMS2" s="266"/>
      <c r="PMT2" s="266"/>
      <c r="PMU2" s="266"/>
      <c r="PMV2" s="266"/>
      <c r="PMW2" s="266"/>
      <c r="PMX2" s="266"/>
      <c r="PMY2" s="266"/>
      <c r="PMZ2" s="266"/>
      <c r="PNA2" s="266"/>
      <c r="PNB2" s="266"/>
      <c r="PNC2" s="266"/>
      <c r="PND2" s="266"/>
      <c r="PNE2" s="266"/>
      <c r="PNF2" s="266"/>
      <c r="PNG2" s="266"/>
      <c r="PNH2" s="266"/>
      <c r="PNI2" s="266"/>
      <c r="PNJ2" s="266"/>
      <c r="PNK2" s="266"/>
      <c r="PNL2" s="266"/>
      <c r="PNM2" s="266"/>
      <c r="PNN2" s="266"/>
      <c r="PNO2" s="266"/>
      <c r="PNP2" s="266"/>
      <c r="PNQ2" s="266"/>
      <c r="PNR2" s="266"/>
      <c r="PNS2" s="266"/>
      <c r="PNT2" s="266"/>
      <c r="PNU2" s="266"/>
      <c r="PNV2" s="266"/>
      <c r="PNW2" s="266"/>
      <c r="PNX2" s="266"/>
      <c r="PNY2" s="266"/>
      <c r="PNZ2" s="266"/>
      <c r="POA2" s="266"/>
      <c r="POB2" s="266"/>
      <c r="POC2" s="266"/>
      <c r="POD2" s="266"/>
      <c r="POE2" s="266"/>
      <c r="POF2" s="266"/>
      <c r="POG2" s="266"/>
      <c r="POH2" s="266"/>
      <c r="POI2" s="266"/>
      <c r="POJ2" s="266"/>
      <c r="POK2" s="266"/>
      <c r="POL2" s="266"/>
      <c r="POM2" s="266"/>
      <c r="PON2" s="266"/>
      <c r="POO2" s="266"/>
      <c r="POP2" s="266"/>
      <c r="POQ2" s="266"/>
      <c r="POR2" s="266"/>
      <c r="POS2" s="266"/>
      <c r="POT2" s="266"/>
      <c r="POU2" s="266"/>
      <c r="POV2" s="266"/>
      <c r="POW2" s="266"/>
      <c r="POX2" s="266"/>
      <c r="POY2" s="266"/>
      <c r="POZ2" s="266"/>
      <c r="PPA2" s="266"/>
      <c r="PPB2" s="266"/>
      <c r="PPC2" s="266"/>
      <c r="PPD2" s="266"/>
      <c r="PPE2" s="266"/>
      <c r="PPF2" s="266"/>
      <c r="PPG2" s="266"/>
      <c r="PPH2" s="266"/>
      <c r="PPI2" s="266"/>
      <c r="PPJ2" s="266"/>
      <c r="PPK2" s="266"/>
      <c r="PPL2" s="266"/>
      <c r="PPM2" s="266"/>
      <c r="PPN2" s="266"/>
      <c r="PPO2" s="266"/>
      <c r="PPP2" s="266"/>
      <c r="PPQ2" s="266"/>
      <c r="PPR2" s="266"/>
      <c r="PPS2" s="266"/>
      <c r="PPT2" s="266"/>
      <c r="PPU2" s="266"/>
      <c r="PPV2" s="266"/>
      <c r="PPW2" s="266"/>
      <c r="PPX2" s="266"/>
      <c r="PPY2" s="266"/>
      <c r="PPZ2" s="266"/>
      <c r="PQA2" s="266"/>
      <c r="PQB2" s="266"/>
      <c r="PQC2" s="266"/>
      <c r="PQD2" s="266"/>
      <c r="PQE2" s="266"/>
      <c r="PQF2" s="266"/>
      <c r="PQG2" s="266"/>
      <c r="PQH2" s="266"/>
      <c r="PQI2" s="266"/>
      <c r="PQJ2" s="266"/>
      <c r="PQK2" s="266"/>
      <c r="PQL2" s="266"/>
      <c r="PQM2" s="266"/>
      <c r="PQN2" s="266"/>
      <c r="PQO2" s="266"/>
      <c r="PQP2" s="266"/>
      <c r="PQQ2" s="266"/>
      <c r="PQR2" s="266"/>
      <c r="PQS2" s="266"/>
      <c r="PQT2" s="266"/>
      <c r="PQU2" s="266"/>
      <c r="PQV2" s="266"/>
      <c r="PQW2" s="266"/>
      <c r="PQX2" s="266"/>
      <c r="PQY2" s="266"/>
      <c r="PQZ2" s="266"/>
      <c r="PRA2" s="266"/>
      <c r="PRB2" s="266"/>
      <c r="PRC2" s="266"/>
      <c r="PRD2" s="266"/>
      <c r="PRE2" s="266"/>
      <c r="PRF2" s="266"/>
      <c r="PRG2" s="266"/>
      <c r="PRH2" s="266"/>
      <c r="PRI2" s="266"/>
      <c r="PRJ2" s="266"/>
      <c r="PRK2" s="266"/>
      <c r="PRL2" s="266"/>
      <c r="PRM2" s="266"/>
      <c r="PRN2" s="266"/>
      <c r="PRO2" s="266"/>
      <c r="PRP2" s="266"/>
      <c r="PRQ2" s="266"/>
      <c r="PRR2" s="266"/>
      <c r="PRS2" s="266"/>
      <c r="PRT2" s="266"/>
      <c r="PRU2" s="266"/>
      <c r="PRV2" s="266"/>
      <c r="PRW2" s="266"/>
      <c r="PRX2" s="266"/>
      <c r="PRY2" s="266"/>
      <c r="PRZ2" s="266"/>
      <c r="PSA2" s="266"/>
      <c r="PSB2" s="266"/>
      <c r="PSC2" s="266"/>
      <c r="PSD2" s="266"/>
      <c r="PSE2" s="266"/>
      <c r="PSF2" s="266"/>
      <c r="PSG2" s="266"/>
      <c r="PSH2" s="266"/>
      <c r="PSI2" s="266"/>
      <c r="PSJ2" s="266"/>
      <c r="PSK2" s="266"/>
      <c r="PSL2" s="266"/>
      <c r="PSM2" s="266"/>
      <c r="PSN2" s="266"/>
      <c r="PSO2" s="266"/>
      <c r="PSP2" s="266"/>
      <c r="PSQ2" s="266"/>
      <c r="PSR2" s="266"/>
      <c r="PSS2" s="266"/>
      <c r="PST2" s="266"/>
      <c r="PSU2" s="266"/>
      <c r="PSV2" s="266"/>
      <c r="PSW2" s="266"/>
      <c r="PSX2" s="266"/>
      <c r="PSY2" s="266"/>
      <c r="PSZ2" s="266"/>
      <c r="PTA2" s="266"/>
      <c r="PTB2" s="266"/>
      <c r="PTC2" s="266"/>
      <c r="PTD2" s="266"/>
      <c r="PTE2" s="266"/>
      <c r="PTF2" s="266"/>
      <c r="PTG2" s="266"/>
      <c r="PTH2" s="266"/>
      <c r="PTI2" s="266"/>
      <c r="PTJ2" s="266"/>
      <c r="PTK2" s="266"/>
      <c r="PTL2" s="266"/>
      <c r="PTM2" s="266"/>
      <c r="PTN2" s="266"/>
      <c r="PTO2" s="266"/>
      <c r="PTP2" s="266"/>
      <c r="PTQ2" s="266"/>
      <c r="PTR2" s="266"/>
      <c r="PTS2" s="266"/>
      <c r="PTT2" s="266"/>
      <c r="PTU2" s="266"/>
      <c r="PTV2" s="266"/>
      <c r="PTW2" s="266"/>
      <c r="PTX2" s="266"/>
      <c r="PTY2" s="266"/>
      <c r="PTZ2" s="266"/>
      <c r="PUA2" s="266"/>
      <c r="PUB2" s="266"/>
      <c r="PUC2" s="266"/>
      <c r="PUD2" s="266"/>
      <c r="PUE2" s="266"/>
      <c r="PUF2" s="266"/>
      <c r="PUG2" s="266"/>
      <c r="PUH2" s="266"/>
      <c r="PUI2" s="266"/>
      <c r="PUJ2" s="266"/>
      <c r="PUK2" s="266"/>
      <c r="PUL2" s="266"/>
      <c r="PUM2" s="266"/>
      <c r="PUN2" s="266"/>
      <c r="PUO2" s="266"/>
      <c r="PUP2" s="266"/>
      <c r="PUQ2" s="266"/>
      <c r="PUR2" s="266"/>
      <c r="PUS2" s="266"/>
      <c r="PUT2" s="266"/>
      <c r="PUU2" s="266"/>
      <c r="PUV2" s="266"/>
      <c r="PUW2" s="266"/>
      <c r="PUX2" s="266"/>
      <c r="PUY2" s="266"/>
      <c r="PUZ2" s="266"/>
      <c r="PVA2" s="266"/>
      <c r="PVB2" s="266"/>
      <c r="PVC2" s="266"/>
      <c r="PVD2" s="266"/>
      <c r="PVE2" s="266"/>
      <c r="PVF2" s="266"/>
      <c r="PVG2" s="266"/>
      <c r="PVH2" s="266"/>
      <c r="PVI2" s="266"/>
      <c r="PVJ2" s="266"/>
      <c r="PVK2" s="266"/>
      <c r="PVL2" s="266"/>
      <c r="PVM2" s="266"/>
      <c r="PVN2" s="266"/>
      <c r="PVO2" s="266"/>
      <c r="PVP2" s="266"/>
      <c r="PVQ2" s="266"/>
      <c r="PVR2" s="266"/>
      <c r="PVS2" s="266"/>
      <c r="PVT2" s="266"/>
      <c r="PVU2" s="266"/>
      <c r="PVV2" s="266"/>
      <c r="PVW2" s="266"/>
      <c r="PVX2" s="266"/>
      <c r="PVY2" s="266"/>
      <c r="PVZ2" s="266"/>
      <c r="PWA2" s="266"/>
      <c r="PWB2" s="266"/>
      <c r="PWC2" s="266"/>
      <c r="PWD2" s="266"/>
      <c r="PWE2" s="266"/>
      <c r="PWF2" s="266"/>
      <c r="PWG2" s="266"/>
      <c r="PWH2" s="266"/>
      <c r="PWI2" s="266"/>
      <c r="PWJ2" s="266"/>
      <c r="PWK2" s="266"/>
      <c r="PWL2" s="266"/>
      <c r="PWM2" s="266"/>
      <c r="PWN2" s="266"/>
      <c r="PWO2" s="266"/>
      <c r="PWP2" s="266"/>
      <c r="PWQ2" s="266"/>
      <c r="PWR2" s="266"/>
      <c r="PWS2" s="266"/>
      <c r="PWT2" s="266"/>
      <c r="PWU2" s="266"/>
      <c r="PWV2" s="266"/>
      <c r="PWW2" s="266"/>
      <c r="PWX2" s="266"/>
      <c r="PWY2" s="266"/>
      <c r="PWZ2" s="266"/>
      <c r="PXA2" s="266"/>
      <c r="PXB2" s="266"/>
      <c r="PXC2" s="266"/>
      <c r="PXD2" s="266"/>
      <c r="PXE2" s="266"/>
      <c r="PXF2" s="266"/>
      <c r="PXG2" s="266"/>
      <c r="PXH2" s="266"/>
      <c r="PXI2" s="266"/>
      <c r="PXJ2" s="266"/>
      <c r="PXK2" s="266"/>
      <c r="PXL2" s="266"/>
      <c r="PXM2" s="266"/>
      <c r="PXN2" s="266"/>
      <c r="PXO2" s="266"/>
      <c r="PXP2" s="266"/>
      <c r="PXQ2" s="266"/>
      <c r="PXR2" s="266"/>
      <c r="PXS2" s="266"/>
      <c r="PXT2" s="266"/>
      <c r="PXU2" s="266"/>
      <c r="PXV2" s="266"/>
      <c r="PXW2" s="266"/>
      <c r="PXX2" s="266"/>
      <c r="PXY2" s="266"/>
      <c r="PXZ2" s="266"/>
      <c r="PYA2" s="266"/>
      <c r="PYB2" s="266"/>
      <c r="PYC2" s="266"/>
      <c r="PYD2" s="266"/>
      <c r="PYE2" s="266"/>
      <c r="PYF2" s="266"/>
      <c r="PYG2" s="266"/>
      <c r="PYH2" s="266"/>
      <c r="PYI2" s="266"/>
      <c r="PYJ2" s="266"/>
      <c r="PYK2" s="266"/>
      <c r="PYL2" s="266"/>
      <c r="PYM2" s="266"/>
      <c r="PYN2" s="266"/>
      <c r="PYO2" s="266"/>
      <c r="PYP2" s="266"/>
      <c r="PYQ2" s="266"/>
      <c r="PYR2" s="266"/>
      <c r="PYS2" s="266"/>
      <c r="PYT2" s="266"/>
      <c r="PYU2" s="266"/>
      <c r="PYV2" s="266"/>
      <c r="PYW2" s="266"/>
      <c r="PYX2" s="266"/>
      <c r="PYY2" s="266"/>
      <c r="PYZ2" s="266"/>
      <c r="PZA2" s="266"/>
      <c r="PZB2" s="266"/>
      <c r="PZC2" s="266"/>
      <c r="PZD2" s="266"/>
      <c r="PZE2" s="266"/>
      <c r="PZF2" s="266"/>
      <c r="PZG2" s="266"/>
      <c r="PZH2" s="266"/>
      <c r="PZI2" s="266"/>
      <c r="PZJ2" s="266"/>
      <c r="PZK2" s="266"/>
      <c r="PZL2" s="266"/>
      <c r="PZM2" s="266"/>
      <c r="PZN2" s="266"/>
      <c r="PZO2" s="266"/>
      <c r="PZP2" s="266"/>
      <c r="PZQ2" s="266"/>
      <c r="PZR2" s="266"/>
      <c r="PZS2" s="266"/>
      <c r="PZT2" s="266"/>
      <c r="PZU2" s="266"/>
      <c r="PZV2" s="266"/>
      <c r="PZW2" s="266"/>
      <c r="PZX2" s="266"/>
      <c r="PZY2" s="266"/>
      <c r="PZZ2" s="266"/>
      <c r="QAA2" s="266"/>
      <c r="QAB2" s="266"/>
      <c r="QAC2" s="266"/>
      <c r="QAD2" s="266"/>
      <c r="QAE2" s="266"/>
      <c r="QAF2" s="266"/>
      <c r="QAG2" s="266"/>
      <c r="QAH2" s="266"/>
      <c r="QAI2" s="266"/>
      <c r="QAJ2" s="266"/>
      <c r="QAK2" s="266"/>
      <c r="QAL2" s="266"/>
      <c r="QAM2" s="266"/>
      <c r="QAN2" s="266"/>
      <c r="QAO2" s="266"/>
      <c r="QAP2" s="266"/>
      <c r="QAQ2" s="266"/>
      <c r="QAR2" s="266"/>
      <c r="QAS2" s="266"/>
      <c r="QAT2" s="266"/>
      <c r="QAU2" s="266"/>
      <c r="QAV2" s="266"/>
      <c r="QAW2" s="266"/>
      <c r="QAX2" s="266"/>
      <c r="QAY2" s="266"/>
      <c r="QAZ2" s="266"/>
      <c r="QBA2" s="266"/>
      <c r="QBB2" s="266"/>
      <c r="QBC2" s="266"/>
      <c r="QBD2" s="266"/>
      <c r="QBE2" s="266"/>
      <c r="QBF2" s="266"/>
      <c r="QBG2" s="266"/>
      <c r="QBH2" s="266"/>
      <c r="QBI2" s="266"/>
      <c r="QBJ2" s="266"/>
      <c r="QBK2" s="266"/>
      <c r="QBL2" s="266"/>
      <c r="QBM2" s="266"/>
      <c r="QBN2" s="266"/>
      <c r="QBO2" s="266"/>
      <c r="QBP2" s="266"/>
      <c r="QBQ2" s="266"/>
      <c r="QBR2" s="266"/>
      <c r="QBS2" s="266"/>
      <c r="QBT2" s="266"/>
      <c r="QBU2" s="266"/>
      <c r="QBV2" s="266"/>
      <c r="QBW2" s="266"/>
      <c r="QBX2" s="266"/>
      <c r="QBY2" s="266"/>
      <c r="QBZ2" s="266"/>
      <c r="QCA2" s="266"/>
      <c r="QCB2" s="266"/>
      <c r="QCC2" s="266"/>
      <c r="QCD2" s="266"/>
      <c r="QCE2" s="266"/>
      <c r="QCF2" s="266"/>
      <c r="QCG2" s="266"/>
      <c r="QCH2" s="266"/>
      <c r="QCI2" s="266"/>
      <c r="QCJ2" s="266"/>
      <c r="QCK2" s="266"/>
      <c r="QCL2" s="266"/>
      <c r="QCM2" s="266"/>
      <c r="QCN2" s="266"/>
      <c r="QCO2" s="266"/>
      <c r="QCP2" s="266"/>
      <c r="QCQ2" s="266"/>
      <c r="QCR2" s="266"/>
      <c r="QCS2" s="266"/>
      <c r="QCT2" s="266"/>
      <c r="QCU2" s="266"/>
      <c r="QCV2" s="266"/>
      <c r="QCW2" s="266"/>
      <c r="QCX2" s="266"/>
      <c r="QCY2" s="266"/>
      <c r="QCZ2" s="266"/>
      <c r="QDA2" s="266"/>
      <c r="QDB2" s="266"/>
      <c r="QDC2" s="266"/>
      <c r="QDD2" s="266"/>
      <c r="QDE2" s="266"/>
      <c r="QDF2" s="266"/>
      <c r="QDG2" s="266"/>
      <c r="QDH2" s="266"/>
      <c r="QDI2" s="266"/>
      <c r="QDJ2" s="266"/>
      <c r="QDK2" s="266"/>
      <c r="QDL2" s="266"/>
      <c r="QDM2" s="266"/>
      <c r="QDN2" s="266"/>
      <c r="QDO2" s="266"/>
      <c r="QDP2" s="266"/>
      <c r="QDQ2" s="266"/>
      <c r="QDR2" s="266"/>
      <c r="QDS2" s="266"/>
      <c r="QDT2" s="266"/>
      <c r="QDU2" s="266"/>
      <c r="QDV2" s="266"/>
      <c r="QDW2" s="266"/>
      <c r="QDX2" s="266"/>
      <c r="QDY2" s="266"/>
      <c r="QDZ2" s="266"/>
      <c r="QEA2" s="266"/>
      <c r="QEB2" s="266"/>
      <c r="QEC2" s="266"/>
      <c r="QED2" s="266"/>
      <c r="QEE2" s="266"/>
      <c r="QEF2" s="266"/>
      <c r="QEG2" s="266"/>
      <c r="QEH2" s="266"/>
      <c r="QEI2" s="266"/>
      <c r="QEJ2" s="266"/>
      <c r="QEK2" s="266"/>
      <c r="QEL2" s="266"/>
      <c r="QEM2" s="266"/>
      <c r="QEN2" s="266"/>
      <c r="QEO2" s="266"/>
      <c r="QEP2" s="266"/>
      <c r="QEQ2" s="266"/>
      <c r="QER2" s="266"/>
      <c r="QES2" s="266"/>
      <c r="QET2" s="266"/>
      <c r="QEU2" s="266"/>
      <c r="QEV2" s="266"/>
      <c r="QEW2" s="266"/>
      <c r="QEX2" s="266"/>
      <c r="QEY2" s="266"/>
      <c r="QEZ2" s="266"/>
      <c r="QFA2" s="266"/>
      <c r="QFB2" s="266"/>
      <c r="QFC2" s="266"/>
      <c r="QFD2" s="266"/>
      <c r="QFE2" s="266"/>
      <c r="QFF2" s="266"/>
      <c r="QFG2" s="266"/>
      <c r="QFH2" s="266"/>
      <c r="QFI2" s="266"/>
      <c r="QFJ2" s="266"/>
      <c r="QFK2" s="266"/>
      <c r="QFL2" s="266"/>
      <c r="QFM2" s="266"/>
      <c r="QFN2" s="266"/>
      <c r="QFO2" s="266"/>
      <c r="QFP2" s="266"/>
      <c r="QFQ2" s="266"/>
      <c r="QFR2" s="266"/>
      <c r="QFS2" s="266"/>
      <c r="QFT2" s="266"/>
      <c r="QFU2" s="266"/>
      <c r="QFV2" s="266"/>
      <c r="QFW2" s="266"/>
      <c r="QFX2" s="266"/>
      <c r="QFY2" s="266"/>
      <c r="QFZ2" s="266"/>
      <c r="QGA2" s="266"/>
      <c r="QGB2" s="266"/>
      <c r="QGC2" s="266"/>
      <c r="QGD2" s="266"/>
      <c r="QGE2" s="266"/>
      <c r="QGF2" s="266"/>
      <c r="QGG2" s="266"/>
      <c r="QGH2" s="266"/>
      <c r="QGI2" s="266"/>
      <c r="QGJ2" s="266"/>
      <c r="QGK2" s="266"/>
      <c r="QGL2" s="266"/>
      <c r="QGM2" s="266"/>
      <c r="QGN2" s="266"/>
      <c r="QGO2" s="266"/>
      <c r="QGP2" s="266"/>
      <c r="QGQ2" s="266"/>
      <c r="QGR2" s="266"/>
      <c r="QGS2" s="266"/>
      <c r="QGT2" s="266"/>
      <c r="QGU2" s="266"/>
      <c r="QGV2" s="266"/>
      <c r="QGW2" s="266"/>
      <c r="QGX2" s="266"/>
      <c r="QGY2" s="266"/>
      <c r="QGZ2" s="266"/>
      <c r="QHA2" s="266"/>
      <c r="QHB2" s="266"/>
      <c r="QHC2" s="266"/>
      <c r="QHD2" s="266"/>
      <c r="QHE2" s="266"/>
      <c r="QHF2" s="266"/>
      <c r="QHG2" s="266"/>
      <c r="QHH2" s="266"/>
      <c r="QHI2" s="266"/>
      <c r="QHJ2" s="266"/>
      <c r="QHK2" s="266"/>
      <c r="QHL2" s="266"/>
      <c r="QHM2" s="266"/>
      <c r="QHN2" s="266"/>
      <c r="QHO2" s="266"/>
      <c r="QHP2" s="266"/>
      <c r="QHQ2" s="266"/>
      <c r="QHR2" s="266"/>
      <c r="QHS2" s="266"/>
      <c r="QHT2" s="266"/>
      <c r="QHU2" s="266"/>
      <c r="QHV2" s="266"/>
      <c r="QHW2" s="266"/>
      <c r="QHX2" s="266"/>
      <c r="QHY2" s="266"/>
      <c r="QHZ2" s="266"/>
      <c r="QIA2" s="266"/>
      <c r="QIB2" s="266"/>
      <c r="QIC2" s="266"/>
      <c r="QID2" s="266"/>
      <c r="QIE2" s="266"/>
      <c r="QIF2" s="266"/>
      <c r="QIG2" s="266"/>
      <c r="QIH2" s="266"/>
      <c r="QII2" s="266"/>
      <c r="QIJ2" s="266"/>
      <c r="QIK2" s="266"/>
      <c r="QIL2" s="266"/>
      <c r="QIM2" s="266"/>
      <c r="QIN2" s="266"/>
      <c r="QIO2" s="266"/>
      <c r="QIP2" s="266"/>
      <c r="QIQ2" s="266"/>
      <c r="QIR2" s="266"/>
      <c r="QIS2" s="266"/>
      <c r="QIT2" s="266"/>
      <c r="QIU2" s="266"/>
      <c r="QIV2" s="266"/>
      <c r="QIW2" s="266"/>
      <c r="QIX2" s="266"/>
      <c r="QIY2" s="266"/>
      <c r="QIZ2" s="266"/>
      <c r="QJA2" s="266"/>
      <c r="QJB2" s="266"/>
      <c r="QJC2" s="266"/>
      <c r="QJD2" s="266"/>
      <c r="QJE2" s="266"/>
      <c r="QJF2" s="266"/>
      <c r="QJG2" s="266"/>
      <c r="QJH2" s="266"/>
      <c r="QJI2" s="266"/>
      <c r="QJJ2" s="266"/>
      <c r="QJK2" s="266"/>
      <c r="QJL2" s="266"/>
      <c r="QJM2" s="266"/>
      <c r="QJN2" s="266"/>
      <c r="QJO2" s="266"/>
      <c r="QJP2" s="266"/>
      <c r="QJQ2" s="266"/>
      <c r="QJR2" s="266"/>
      <c r="QJS2" s="266"/>
      <c r="QJT2" s="266"/>
      <c r="QJU2" s="266"/>
      <c r="QJV2" s="266"/>
      <c r="QJW2" s="266"/>
      <c r="QJX2" s="266"/>
      <c r="QJY2" s="266"/>
      <c r="QJZ2" s="266"/>
      <c r="QKA2" s="266"/>
      <c r="QKB2" s="266"/>
      <c r="QKC2" s="266"/>
      <c r="QKD2" s="266"/>
      <c r="QKE2" s="266"/>
      <c r="QKF2" s="266"/>
      <c r="QKG2" s="266"/>
      <c r="QKH2" s="266"/>
      <c r="QKI2" s="266"/>
      <c r="QKJ2" s="266"/>
      <c r="QKK2" s="266"/>
      <c r="QKL2" s="266"/>
      <c r="QKM2" s="266"/>
      <c r="QKN2" s="266"/>
      <c r="QKO2" s="266"/>
      <c r="QKP2" s="266"/>
      <c r="QKQ2" s="266"/>
      <c r="QKR2" s="266"/>
      <c r="QKS2" s="266"/>
      <c r="QKT2" s="266"/>
      <c r="QKU2" s="266"/>
      <c r="QKV2" s="266"/>
      <c r="QKW2" s="266"/>
      <c r="QKX2" s="266"/>
      <c r="QKY2" s="266"/>
      <c r="QKZ2" s="266"/>
      <c r="QLA2" s="266"/>
      <c r="QLB2" s="266"/>
      <c r="QLC2" s="266"/>
      <c r="QLD2" s="266"/>
      <c r="QLE2" s="266"/>
      <c r="QLF2" s="266"/>
      <c r="QLG2" s="266"/>
      <c r="QLH2" s="266"/>
      <c r="QLI2" s="266"/>
      <c r="QLJ2" s="266"/>
      <c r="QLK2" s="266"/>
      <c r="QLL2" s="266"/>
      <c r="QLM2" s="266"/>
      <c r="QLN2" s="266"/>
      <c r="QLO2" s="266"/>
      <c r="QLP2" s="266"/>
      <c r="QLQ2" s="266"/>
      <c r="QLR2" s="266"/>
      <c r="QLS2" s="266"/>
      <c r="QLT2" s="266"/>
      <c r="QLU2" s="266"/>
      <c r="QLV2" s="266"/>
      <c r="QLW2" s="266"/>
      <c r="QLX2" s="266"/>
      <c r="QLY2" s="266"/>
      <c r="QLZ2" s="266"/>
      <c r="QMA2" s="266"/>
      <c r="QMB2" s="266"/>
      <c r="QMC2" s="266"/>
      <c r="QMD2" s="266"/>
      <c r="QME2" s="266"/>
      <c r="QMF2" s="266"/>
      <c r="QMG2" s="266"/>
      <c r="QMH2" s="266"/>
      <c r="QMI2" s="266"/>
      <c r="QMJ2" s="266"/>
      <c r="QMK2" s="266"/>
      <c r="QML2" s="266"/>
      <c r="QMM2" s="266"/>
      <c r="QMN2" s="266"/>
      <c r="QMO2" s="266"/>
      <c r="QMP2" s="266"/>
      <c r="QMQ2" s="266"/>
      <c r="QMR2" s="266"/>
      <c r="QMS2" s="266"/>
      <c r="QMT2" s="266"/>
      <c r="QMU2" s="266"/>
      <c r="QMV2" s="266"/>
      <c r="QMW2" s="266"/>
      <c r="QMX2" s="266"/>
      <c r="QMY2" s="266"/>
      <c r="QMZ2" s="266"/>
      <c r="QNA2" s="266"/>
      <c r="QNB2" s="266"/>
      <c r="QNC2" s="266"/>
      <c r="QND2" s="266"/>
      <c r="QNE2" s="266"/>
      <c r="QNF2" s="266"/>
      <c r="QNG2" s="266"/>
      <c r="QNH2" s="266"/>
      <c r="QNI2" s="266"/>
      <c r="QNJ2" s="266"/>
      <c r="QNK2" s="266"/>
      <c r="QNL2" s="266"/>
      <c r="QNM2" s="266"/>
      <c r="QNN2" s="266"/>
      <c r="QNO2" s="266"/>
      <c r="QNP2" s="266"/>
      <c r="QNQ2" s="266"/>
      <c r="QNR2" s="266"/>
      <c r="QNS2" s="266"/>
      <c r="QNT2" s="266"/>
      <c r="QNU2" s="266"/>
      <c r="QNV2" s="266"/>
      <c r="QNW2" s="266"/>
      <c r="QNX2" s="266"/>
      <c r="QNY2" s="266"/>
      <c r="QNZ2" s="266"/>
      <c r="QOA2" s="266"/>
      <c r="QOB2" s="266"/>
      <c r="QOC2" s="266"/>
      <c r="QOD2" s="266"/>
      <c r="QOE2" s="266"/>
      <c r="QOF2" s="266"/>
      <c r="QOG2" s="266"/>
      <c r="QOH2" s="266"/>
      <c r="QOI2" s="266"/>
      <c r="QOJ2" s="266"/>
      <c r="QOK2" s="266"/>
      <c r="QOL2" s="266"/>
      <c r="QOM2" s="266"/>
      <c r="QON2" s="266"/>
      <c r="QOO2" s="266"/>
      <c r="QOP2" s="266"/>
      <c r="QOQ2" s="266"/>
      <c r="QOR2" s="266"/>
      <c r="QOS2" s="266"/>
      <c r="QOT2" s="266"/>
      <c r="QOU2" s="266"/>
      <c r="QOV2" s="266"/>
      <c r="QOW2" s="266"/>
      <c r="QOX2" s="266"/>
      <c r="QOY2" s="266"/>
      <c r="QOZ2" s="266"/>
      <c r="QPA2" s="266"/>
      <c r="QPB2" s="266"/>
      <c r="QPC2" s="266"/>
      <c r="QPD2" s="266"/>
      <c r="QPE2" s="266"/>
      <c r="QPF2" s="266"/>
      <c r="QPG2" s="266"/>
      <c r="QPH2" s="266"/>
      <c r="QPI2" s="266"/>
      <c r="QPJ2" s="266"/>
      <c r="QPK2" s="266"/>
      <c r="QPL2" s="266"/>
      <c r="QPM2" s="266"/>
      <c r="QPN2" s="266"/>
      <c r="QPO2" s="266"/>
      <c r="QPP2" s="266"/>
      <c r="QPQ2" s="266"/>
      <c r="QPR2" s="266"/>
      <c r="QPS2" s="266"/>
      <c r="QPT2" s="266"/>
      <c r="QPU2" s="266"/>
      <c r="QPV2" s="266"/>
      <c r="QPW2" s="266"/>
      <c r="QPX2" s="266"/>
      <c r="QPY2" s="266"/>
      <c r="QPZ2" s="266"/>
      <c r="QQA2" s="266"/>
      <c r="QQB2" s="266"/>
      <c r="QQC2" s="266"/>
      <c r="QQD2" s="266"/>
      <c r="QQE2" s="266"/>
      <c r="QQF2" s="266"/>
      <c r="QQG2" s="266"/>
      <c r="QQH2" s="266"/>
      <c r="QQI2" s="266"/>
      <c r="QQJ2" s="266"/>
      <c r="QQK2" s="266"/>
      <c r="QQL2" s="266"/>
      <c r="QQM2" s="266"/>
      <c r="QQN2" s="266"/>
      <c r="QQO2" s="266"/>
      <c r="QQP2" s="266"/>
      <c r="QQQ2" s="266"/>
      <c r="QQR2" s="266"/>
      <c r="QQS2" s="266"/>
      <c r="QQT2" s="266"/>
      <c r="QQU2" s="266"/>
      <c r="QQV2" s="266"/>
      <c r="QQW2" s="266"/>
      <c r="QQX2" s="266"/>
      <c r="QQY2" s="266"/>
      <c r="QQZ2" s="266"/>
      <c r="QRA2" s="266"/>
      <c r="QRB2" s="266"/>
      <c r="QRC2" s="266"/>
      <c r="QRD2" s="266"/>
      <c r="QRE2" s="266"/>
      <c r="QRF2" s="266"/>
      <c r="QRG2" s="266"/>
      <c r="QRH2" s="266"/>
      <c r="QRI2" s="266"/>
      <c r="QRJ2" s="266"/>
      <c r="QRK2" s="266"/>
      <c r="QRL2" s="266"/>
      <c r="QRM2" s="266"/>
      <c r="QRN2" s="266"/>
      <c r="QRO2" s="266"/>
      <c r="QRP2" s="266"/>
      <c r="QRQ2" s="266"/>
      <c r="QRR2" s="266"/>
      <c r="QRS2" s="266"/>
      <c r="QRT2" s="266"/>
      <c r="QRU2" s="266"/>
      <c r="QRV2" s="266"/>
      <c r="QRW2" s="266"/>
      <c r="QRX2" s="266"/>
      <c r="QRY2" s="266"/>
      <c r="QRZ2" s="266"/>
      <c r="QSA2" s="266"/>
      <c r="QSB2" s="266"/>
      <c r="QSC2" s="266"/>
      <c r="QSD2" s="266"/>
      <c r="QSE2" s="266"/>
      <c r="QSF2" s="266"/>
      <c r="QSG2" s="266"/>
      <c r="QSH2" s="266"/>
      <c r="QSI2" s="266"/>
      <c r="QSJ2" s="266"/>
      <c r="QSK2" s="266"/>
      <c r="QSL2" s="266"/>
      <c r="QSM2" s="266"/>
      <c r="QSN2" s="266"/>
      <c r="QSO2" s="266"/>
      <c r="QSP2" s="266"/>
      <c r="QSQ2" s="266"/>
      <c r="QSR2" s="266"/>
      <c r="QSS2" s="266"/>
      <c r="QST2" s="266"/>
      <c r="QSU2" s="266"/>
      <c r="QSV2" s="266"/>
      <c r="QSW2" s="266"/>
      <c r="QSX2" s="266"/>
      <c r="QSY2" s="266"/>
      <c r="QSZ2" s="266"/>
      <c r="QTA2" s="266"/>
      <c r="QTB2" s="266"/>
      <c r="QTC2" s="266"/>
      <c r="QTD2" s="266"/>
      <c r="QTE2" s="266"/>
      <c r="QTF2" s="266"/>
      <c r="QTG2" s="266"/>
      <c r="QTH2" s="266"/>
      <c r="QTI2" s="266"/>
      <c r="QTJ2" s="266"/>
      <c r="QTK2" s="266"/>
      <c r="QTL2" s="266"/>
      <c r="QTM2" s="266"/>
      <c r="QTN2" s="266"/>
      <c r="QTO2" s="266"/>
      <c r="QTP2" s="266"/>
      <c r="QTQ2" s="266"/>
      <c r="QTR2" s="266"/>
      <c r="QTS2" s="266"/>
      <c r="QTT2" s="266"/>
      <c r="QTU2" s="266"/>
      <c r="QTV2" s="266"/>
      <c r="QTW2" s="266"/>
      <c r="QTX2" s="266"/>
      <c r="QTY2" s="266"/>
      <c r="QTZ2" s="266"/>
      <c r="QUA2" s="266"/>
      <c r="QUB2" s="266"/>
      <c r="QUC2" s="266"/>
      <c r="QUD2" s="266"/>
      <c r="QUE2" s="266"/>
      <c r="QUF2" s="266"/>
      <c r="QUG2" s="266"/>
      <c r="QUH2" s="266"/>
      <c r="QUI2" s="266"/>
      <c r="QUJ2" s="266"/>
      <c r="QUK2" s="266"/>
      <c r="QUL2" s="266"/>
      <c r="QUM2" s="266"/>
      <c r="QUN2" s="266"/>
      <c r="QUO2" s="266"/>
      <c r="QUP2" s="266"/>
      <c r="QUQ2" s="266"/>
      <c r="QUR2" s="266"/>
      <c r="QUS2" s="266"/>
      <c r="QUT2" s="266"/>
      <c r="QUU2" s="266"/>
      <c r="QUV2" s="266"/>
      <c r="QUW2" s="266"/>
      <c r="QUX2" s="266"/>
      <c r="QUY2" s="266"/>
      <c r="QUZ2" s="266"/>
      <c r="QVA2" s="266"/>
      <c r="QVB2" s="266"/>
      <c r="QVC2" s="266"/>
      <c r="QVD2" s="266"/>
      <c r="QVE2" s="266"/>
      <c r="QVF2" s="266"/>
      <c r="QVG2" s="266"/>
      <c r="QVH2" s="266"/>
      <c r="QVI2" s="266"/>
      <c r="QVJ2" s="266"/>
      <c r="QVK2" s="266"/>
      <c r="QVL2" s="266"/>
      <c r="QVM2" s="266"/>
      <c r="QVN2" s="266"/>
      <c r="QVO2" s="266"/>
      <c r="QVP2" s="266"/>
      <c r="QVQ2" s="266"/>
      <c r="QVR2" s="266"/>
      <c r="QVS2" s="266"/>
      <c r="QVT2" s="266"/>
      <c r="QVU2" s="266"/>
      <c r="QVV2" s="266"/>
      <c r="QVW2" s="266"/>
      <c r="QVX2" s="266"/>
      <c r="QVY2" s="266"/>
      <c r="QVZ2" s="266"/>
      <c r="QWA2" s="266"/>
      <c r="QWB2" s="266"/>
      <c r="QWC2" s="266"/>
      <c r="QWD2" s="266"/>
      <c r="QWE2" s="266"/>
      <c r="QWF2" s="266"/>
      <c r="QWG2" s="266"/>
      <c r="QWH2" s="266"/>
      <c r="QWI2" s="266"/>
      <c r="QWJ2" s="266"/>
      <c r="QWK2" s="266"/>
      <c r="QWL2" s="266"/>
      <c r="QWM2" s="266"/>
      <c r="QWN2" s="266"/>
      <c r="QWO2" s="266"/>
      <c r="QWP2" s="266"/>
      <c r="QWQ2" s="266"/>
      <c r="QWR2" s="266"/>
      <c r="QWS2" s="266"/>
      <c r="QWT2" s="266"/>
      <c r="QWU2" s="266"/>
      <c r="QWV2" s="266"/>
      <c r="QWW2" s="266"/>
      <c r="QWX2" s="266"/>
      <c r="QWY2" s="266"/>
      <c r="QWZ2" s="266"/>
      <c r="QXA2" s="266"/>
      <c r="QXB2" s="266"/>
      <c r="QXC2" s="266"/>
      <c r="QXD2" s="266"/>
      <c r="QXE2" s="266"/>
      <c r="QXF2" s="266"/>
      <c r="QXG2" s="266"/>
      <c r="QXH2" s="266"/>
      <c r="QXI2" s="266"/>
      <c r="QXJ2" s="266"/>
      <c r="QXK2" s="266"/>
      <c r="QXL2" s="266"/>
      <c r="QXM2" s="266"/>
      <c r="QXN2" s="266"/>
      <c r="QXO2" s="266"/>
      <c r="QXP2" s="266"/>
      <c r="QXQ2" s="266"/>
      <c r="QXR2" s="266"/>
      <c r="QXS2" s="266"/>
      <c r="QXT2" s="266"/>
      <c r="QXU2" s="266"/>
      <c r="QXV2" s="266"/>
      <c r="QXW2" s="266"/>
      <c r="QXX2" s="266"/>
      <c r="QXY2" s="266"/>
      <c r="QXZ2" s="266"/>
      <c r="QYA2" s="266"/>
      <c r="QYB2" s="266"/>
      <c r="QYC2" s="266"/>
      <c r="QYD2" s="266"/>
      <c r="QYE2" s="266"/>
      <c r="QYF2" s="266"/>
      <c r="QYG2" s="266"/>
      <c r="QYH2" s="266"/>
      <c r="QYI2" s="266"/>
      <c r="QYJ2" s="266"/>
      <c r="QYK2" s="266"/>
      <c r="QYL2" s="266"/>
      <c r="QYM2" s="266"/>
      <c r="QYN2" s="266"/>
      <c r="QYO2" s="266"/>
      <c r="QYP2" s="266"/>
      <c r="QYQ2" s="266"/>
      <c r="QYR2" s="266"/>
      <c r="QYS2" s="266"/>
      <c r="QYT2" s="266"/>
      <c r="QYU2" s="266"/>
      <c r="QYV2" s="266"/>
      <c r="QYW2" s="266"/>
      <c r="QYX2" s="266"/>
      <c r="QYY2" s="266"/>
      <c r="QYZ2" s="266"/>
      <c r="QZA2" s="266"/>
      <c r="QZB2" s="266"/>
      <c r="QZC2" s="266"/>
      <c r="QZD2" s="266"/>
      <c r="QZE2" s="266"/>
      <c r="QZF2" s="266"/>
      <c r="QZG2" s="266"/>
      <c r="QZH2" s="266"/>
      <c r="QZI2" s="266"/>
      <c r="QZJ2" s="266"/>
      <c r="QZK2" s="266"/>
      <c r="QZL2" s="266"/>
      <c r="QZM2" s="266"/>
      <c r="QZN2" s="266"/>
      <c r="QZO2" s="266"/>
      <c r="QZP2" s="266"/>
      <c r="QZQ2" s="266"/>
      <c r="QZR2" s="266"/>
      <c r="QZS2" s="266"/>
      <c r="QZT2" s="266"/>
      <c r="QZU2" s="266"/>
      <c r="QZV2" s="266"/>
      <c r="QZW2" s="266"/>
      <c r="QZX2" s="266"/>
      <c r="QZY2" s="266"/>
      <c r="QZZ2" s="266"/>
      <c r="RAA2" s="266"/>
      <c r="RAB2" s="266"/>
      <c r="RAC2" s="266"/>
      <c r="RAD2" s="266"/>
      <c r="RAE2" s="266"/>
      <c r="RAF2" s="266"/>
      <c r="RAG2" s="266"/>
      <c r="RAH2" s="266"/>
      <c r="RAI2" s="266"/>
      <c r="RAJ2" s="266"/>
      <c r="RAK2" s="266"/>
      <c r="RAL2" s="266"/>
      <c r="RAM2" s="266"/>
      <c r="RAN2" s="266"/>
      <c r="RAO2" s="266"/>
      <c r="RAP2" s="266"/>
      <c r="RAQ2" s="266"/>
      <c r="RAR2" s="266"/>
      <c r="RAS2" s="266"/>
      <c r="RAT2" s="266"/>
      <c r="RAU2" s="266"/>
      <c r="RAV2" s="266"/>
      <c r="RAW2" s="266"/>
      <c r="RAX2" s="266"/>
      <c r="RAY2" s="266"/>
      <c r="RAZ2" s="266"/>
      <c r="RBA2" s="266"/>
      <c r="RBB2" s="266"/>
      <c r="RBC2" s="266"/>
      <c r="RBD2" s="266"/>
      <c r="RBE2" s="266"/>
      <c r="RBF2" s="266"/>
      <c r="RBG2" s="266"/>
      <c r="RBH2" s="266"/>
      <c r="RBI2" s="266"/>
      <c r="RBJ2" s="266"/>
      <c r="RBK2" s="266"/>
      <c r="RBL2" s="266"/>
      <c r="RBM2" s="266"/>
      <c r="RBN2" s="266"/>
      <c r="RBO2" s="266"/>
      <c r="RBP2" s="266"/>
      <c r="RBQ2" s="266"/>
      <c r="RBR2" s="266"/>
      <c r="RBS2" s="266"/>
      <c r="RBT2" s="266"/>
      <c r="RBU2" s="266"/>
      <c r="RBV2" s="266"/>
      <c r="RBW2" s="266"/>
      <c r="RBX2" s="266"/>
      <c r="RBY2" s="266"/>
      <c r="RBZ2" s="266"/>
      <c r="RCA2" s="266"/>
      <c r="RCB2" s="266"/>
      <c r="RCC2" s="266"/>
      <c r="RCD2" s="266"/>
      <c r="RCE2" s="266"/>
      <c r="RCF2" s="266"/>
      <c r="RCG2" s="266"/>
      <c r="RCH2" s="266"/>
      <c r="RCI2" s="266"/>
      <c r="RCJ2" s="266"/>
      <c r="RCK2" s="266"/>
      <c r="RCL2" s="266"/>
      <c r="RCM2" s="266"/>
      <c r="RCN2" s="266"/>
      <c r="RCO2" s="266"/>
      <c r="RCP2" s="266"/>
      <c r="RCQ2" s="266"/>
      <c r="RCR2" s="266"/>
      <c r="RCS2" s="266"/>
      <c r="RCT2" s="266"/>
      <c r="RCU2" s="266"/>
      <c r="RCV2" s="266"/>
      <c r="RCW2" s="266"/>
      <c r="RCX2" s="266"/>
      <c r="RCY2" s="266"/>
      <c r="RCZ2" s="266"/>
      <c r="RDA2" s="266"/>
      <c r="RDB2" s="266"/>
      <c r="RDC2" s="266"/>
      <c r="RDD2" s="266"/>
      <c r="RDE2" s="266"/>
      <c r="RDF2" s="266"/>
      <c r="RDG2" s="266"/>
      <c r="RDH2" s="266"/>
      <c r="RDI2" s="266"/>
      <c r="RDJ2" s="266"/>
      <c r="RDK2" s="266"/>
      <c r="RDL2" s="266"/>
      <c r="RDM2" s="266"/>
      <c r="RDN2" s="266"/>
      <c r="RDO2" s="266"/>
      <c r="RDP2" s="266"/>
      <c r="RDQ2" s="266"/>
      <c r="RDR2" s="266"/>
      <c r="RDS2" s="266"/>
      <c r="RDT2" s="266"/>
      <c r="RDU2" s="266"/>
      <c r="RDV2" s="266"/>
      <c r="RDW2" s="266"/>
      <c r="RDX2" s="266"/>
      <c r="RDY2" s="266"/>
      <c r="RDZ2" s="266"/>
      <c r="REA2" s="266"/>
      <c r="REB2" s="266"/>
      <c r="REC2" s="266"/>
      <c r="RED2" s="266"/>
      <c r="REE2" s="266"/>
      <c r="REF2" s="266"/>
      <c r="REG2" s="266"/>
      <c r="REH2" s="266"/>
      <c r="REI2" s="266"/>
      <c r="REJ2" s="266"/>
      <c r="REK2" s="266"/>
      <c r="REL2" s="266"/>
      <c r="REM2" s="266"/>
      <c r="REN2" s="266"/>
      <c r="REO2" s="266"/>
      <c r="REP2" s="266"/>
      <c r="REQ2" s="266"/>
      <c r="RER2" s="266"/>
      <c r="RES2" s="266"/>
      <c r="RET2" s="266"/>
      <c r="REU2" s="266"/>
      <c r="REV2" s="266"/>
      <c r="REW2" s="266"/>
      <c r="REX2" s="266"/>
      <c r="REY2" s="266"/>
      <c r="REZ2" s="266"/>
      <c r="RFA2" s="266"/>
      <c r="RFB2" s="266"/>
      <c r="RFC2" s="266"/>
      <c r="RFD2" s="266"/>
      <c r="RFE2" s="266"/>
      <c r="RFF2" s="266"/>
      <c r="RFG2" s="266"/>
      <c r="RFH2" s="266"/>
      <c r="RFI2" s="266"/>
      <c r="RFJ2" s="266"/>
      <c r="RFK2" s="266"/>
      <c r="RFL2" s="266"/>
      <c r="RFM2" s="266"/>
      <c r="RFN2" s="266"/>
      <c r="RFO2" s="266"/>
      <c r="RFP2" s="266"/>
      <c r="RFQ2" s="266"/>
      <c r="RFR2" s="266"/>
      <c r="RFS2" s="266"/>
      <c r="RFT2" s="266"/>
      <c r="RFU2" s="266"/>
      <c r="RFV2" s="266"/>
      <c r="RFW2" s="266"/>
      <c r="RFX2" s="266"/>
      <c r="RFY2" s="266"/>
      <c r="RFZ2" s="266"/>
      <c r="RGA2" s="266"/>
      <c r="RGB2" s="266"/>
      <c r="RGC2" s="266"/>
      <c r="RGD2" s="266"/>
      <c r="RGE2" s="266"/>
      <c r="RGF2" s="266"/>
      <c r="RGG2" s="266"/>
      <c r="RGH2" s="266"/>
      <c r="RGI2" s="266"/>
      <c r="RGJ2" s="266"/>
      <c r="RGK2" s="266"/>
      <c r="RGL2" s="266"/>
      <c r="RGM2" s="266"/>
      <c r="RGN2" s="266"/>
      <c r="RGO2" s="266"/>
      <c r="RGP2" s="266"/>
      <c r="RGQ2" s="266"/>
      <c r="RGR2" s="266"/>
      <c r="RGS2" s="266"/>
      <c r="RGT2" s="266"/>
      <c r="RGU2" s="266"/>
      <c r="RGV2" s="266"/>
      <c r="RGW2" s="266"/>
      <c r="RGX2" s="266"/>
      <c r="RGY2" s="266"/>
      <c r="RGZ2" s="266"/>
      <c r="RHA2" s="266"/>
      <c r="RHB2" s="266"/>
      <c r="RHC2" s="266"/>
      <c r="RHD2" s="266"/>
      <c r="RHE2" s="266"/>
      <c r="RHF2" s="266"/>
      <c r="RHG2" s="266"/>
      <c r="RHH2" s="266"/>
      <c r="RHI2" s="266"/>
      <c r="RHJ2" s="266"/>
      <c r="RHK2" s="266"/>
      <c r="RHL2" s="266"/>
      <c r="RHM2" s="266"/>
      <c r="RHN2" s="266"/>
      <c r="RHO2" s="266"/>
      <c r="RHP2" s="266"/>
      <c r="RHQ2" s="266"/>
      <c r="RHR2" s="266"/>
      <c r="RHS2" s="266"/>
      <c r="RHT2" s="266"/>
      <c r="RHU2" s="266"/>
      <c r="RHV2" s="266"/>
      <c r="RHW2" s="266"/>
      <c r="RHX2" s="266"/>
      <c r="RHY2" s="266"/>
      <c r="RHZ2" s="266"/>
      <c r="RIA2" s="266"/>
      <c r="RIB2" s="266"/>
      <c r="RIC2" s="266"/>
      <c r="RID2" s="266"/>
      <c r="RIE2" s="266"/>
      <c r="RIF2" s="266"/>
      <c r="RIG2" s="266"/>
      <c r="RIH2" s="266"/>
      <c r="RII2" s="266"/>
      <c r="RIJ2" s="266"/>
      <c r="RIK2" s="266"/>
      <c r="RIL2" s="266"/>
      <c r="RIM2" s="266"/>
      <c r="RIN2" s="266"/>
      <c r="RIO2" s="266"/>
      <c r="RIP2" s="266"/>
      <c r="RIQ2" s="266"/>
      <c r="RIR2" s="266"/>
      <c r="RIS2" s="266"/>
      <c r="RIT2" s="266"/>
      <c r="RIU2" s="266"/>
      <c r="RIV2" s="266"/>
      <c r="RIW2" s="266"/>
      <c r="RIX2" s="266"/>
      <c r="RIY2" s="266"/>
      <c r="RIZ2" s="266"/>
      <c r="RJA2" s="266"/>
      <c r="RJB2" s="266"/>
      <c r="RJC2" s="266"/>
      <c r="RJD2" s="266"/>
      <c r="RJE2" s="266"/>
      <c r="RJF2" s="266"/>
      <c r="RJG2" s="266"/>
      <c r="RJH2" s="266"/>
      <c r="RJI2" s="266"/>
      <c r="RJJ2" s="266"/>
      <c r="RJK2" s="266"/>
      <c r="RJL2" s="266"/>
      <c r="RJM2" s="266"/>
      <c r="RJN2" s="266"/>
      <c r="RJO2" s="266"/>
      <c r="RJP2" s="266"/>
      <c r="RJQ2" s="266"/>
      <c r="RJR2" s="266"/>
      <c r="RJS2" s="266"/>
      <c r="RJT2" s="266"/>
      <c r="RJU2" s="266"/>
      <c r="RJV2" s="266"/>
      <c r="RJW2" s="266"/>
      <c r="RJX2" s="266"/>
      <c r="RJY2" s="266"/>
      <c r="RJZ2" s="266"/>
      <c r="RKA2" s="266"/>
      <c r="RKB2" s="266"/>
      <c r="RKC2" s="266"/>
      <c r="RKD2" s="266"/>
      <c r="RKE2" s="266"/>
      <c r="RKF2" s="266"/>
      <c r="RKG2" s="266"/>
      <c r="RKH2" s="266"/>
      <c r="RKI2" s="266"/>
      <c r="RKJ2" s="266"/>
      <c r="RKK2" s="266"/>
      <c r="RKL2" s="266"/>
      <c r="RKM2" s="266"/>
      <c r="RKN2" s="266"/>
      <c r="RKO2" s="266"/>
      <c r="RKP2" s="266"/>
      <c r="RKQ2" s="266"/>
      <c r="RKR2" s="266"/>
      <c r="RKS2" s="266"/>
      <c r="RKT2" s="266"/>
      <c r="RKU2" s="266"/>
      <c r="RKV2" s="266"/>
      <c r="RKW2" s="266"/>
      <c r="RKX2" s="266"/>
      <c r="RKY2" s="266"/>
      <c r="RKZ2" s="266"/>
      <c r="RLA2" s="266"/>
      <c r="RLB2" s="266"/>
      <c r="RLC2" s="266"/>
      <c r="RLD2" s="266"/>
      <c r="RLE2" s="266"/>
      <c r="RLF2" s="266"/>
      <c r="RLG2" s="266"/>
      <c r="RLH2" s="266"/>
      <c r="RLI2" s="266"/>
      <c r="RLJ2" s="266"/>
      <c r="RLK2" s="266"/>
      <c r="RLL2" s="266"/>
      <c r="RLM2" s="266"/>
      <c r="RLN2" s="266"/>
      <c r="RLO2" s="266"/>
      <c r="RLP2" s="266"/>
      <c r="RLQ2" s="266"/>
      <c r="RLR2" s="266"/>
      <c r="RLS2" s="266"/>
      <c r="RLT2" s="266"/>
      <c r="RLU2" s="266"/>
      <c r="RLV2" s="266"/>
      <c r="RLW2" s="266"/>
      <c r="RLX2" s="266"/>
      <c r="RLY2" s="266"/>
      <c r="RLZ2" s="266"/>
      <c r="RMA2" s="266"/>
      <c r="RMB2" s="266"/>
      <c r="RMC2" s="266"/>
      <c r="RMD2" s="266"/>
      <c r="RME2" s="266"/>
      <c r="RMF2" s="266"/>
      <c r="RMG2" s="266"/>
      <c r="RMH2" s="266"/>
      <c r="RMI2" s="266"/>
      <c r="RMJ2" s="266"/>
      <c r="RMK2" s="266"/>
      <c r="RML2" s="266"/>
      <c r="RMM2" s="266"/>
      <c r="RMN2" s="266"/>
      <c r="RMO2" s="266"/>
      <c r="RMP2" s="266"/>
      <c r="RMQ2" s="266"/>
      <c r="RMR2" s="266"/>
      <c r="RMS2" s="266"/>
      <c r="RMT2" s="266"/>
      <c r="RMU2" s="266"/>
      <c r="RMV2" s="266"/>
      <c r="RMW2" s="266"/>
      <c r="RMX2" s="266"/>
      <c r="RMY2" s="266"/>
      <c r="RMZ2" s="266"/>
      <c r="RNA2" s="266"/>
      <c r="RNB2" s="266"/>
      <c r="RNC2" s="266"/>
      <c r="RND2" s="266"/>
      <c r="RNE2" s="266"/>
      <c r="RNF2" s="266"/>
      <c r="RNG2" s="266"/>
      <c r="RNH2" s="266"/>
      <c r="RNI2" s="266"/>
      <c r="RNJ2" s="266"/>
      <c r="RNK2" s="266"/>
      <c r="RNL2" s="266"/>
      <c r="RNM2" s="266"/>
      <c r="RNN2" s="266"/>
      <c r="RNO2" s="266"/>
      <c r="RNP2" s="266"/>
      <c r="RNQ2" s="266"/>
      <c r="RNR2" s="266"/>
      <c r="RNS2" s="266"/>
      <c r="RNT2" s="266"/>
      <c r="RNU2" s="266"/>
      <c r="RNV2" s="266"/>
      <c r="RNW2" s="266"/>
      <c r="RNX2" s="266"/>
      <c r="RNY2" s="266"/>
      <c r="RNZ2" s="266"/>
      <c r="ROA2" s="266"/>
      <c r="ROB2" s="266"/>
      <c r="ROC2" s="266"/>
      <c r="ROD2" s="266"/>
      <c r="ROE2" s="266"/>
      <c r="ROF2" s="266"/>
      <c r="ROG2" s="266"/>
      <c r="ROH2" s="266"/>
      <c r="ROI2" s="266"/>
      <c r="ROJ2" s="266"/>
      <c r="ROK2" s="266"/>
      <c r="ROL2" s="266"/>
      <c r="ROM2" s="266"/>
      <c r="RON2" s="266"/>
      <c r="ROO2" s="266"/>
      <c r="ROP2" s="266"/>
      <c r="ROQ2" s="266"/>
      <c r="ROR2" s="266"/>
      <c r="ROS2" s="266"/>
      <c r="ROT2" s="266"/>
      <c r="ROU2" s="266"/>
      <c r="ROV2" s="266"/>
      <c r="ROW2" s="266"/>
      <c r="ROX2" s="266"/>
      <c r="ROY2" s="266"/>
      <c r="ROZ2" s="266"/>
      <c r="RPA2" s="266"/>
      <c r="RPB2" s="266"/>
      <c r="RPC2" s="266"/>
      <c r="RPD2" s="266"/>
      <c r="RPE2" s="266"/>
      <c r="RPF2" s="266"/>
      <c r="RPG2" s="266"/>
      <c r="RPH2" s="266"/>
      <c r="RPI2" s="266"/>
      <c r="RPJ2" s="266"/>
      <c r="RPK2" s="266"/>
      <c r="RPL2" s="266"/>
      <c r="RPM2" s="266"/>
      <c r="RPN2" s="266"/>
      <c r="RPO2" s="266"/>
      <c r="RPP2" s="266"/>
      <c r="RPQ2" s="266"/>
      <c r="RPR2" s="266"/>
      <c r="RPS2" s="266"/>
      <c r="RPT2" s="266"/>
      <c r="RPU2" s="266"/>
      <c r="RPV2" s="266"/>
      <c r="RPW2" s="266"/>
      <c r="RPX2" s="266"/>
      <c r="RPY2" s="266"/>
      <c r="RPZ2" s="266"/>
      <c r="RQA2" s="266"/>
      <c r="RQB2" s="266"/>
      <c r="RQC2" s="266"/>
      <c r="RQD2" s="266"/>
      <c r="RQE2" s="266"/>
      <c r="RQF2" s="266"/>
      <c r="RQG2" s="266"/>
      <c r="RQH2" s="266"/>
      <c r="RQI2" s="266"/>
      <c r="RQJ2" s="266"/>
      <c r="RQK2" s="266"/>
      <c r="RQL2" s="266"/>
      <c r="RQM2" s="266"/>
      <c r="RQN2" s="266"/>
      <c r="RQO2" s="266"/>
      <c r="RQP2" s="266"/>
      <c r="RQQ2" s="266"/>
      <c r="RQR2" s="266"/>
      <c r="RQS2" s="266"/>
      <c r="RQT2" s="266"/>
      <c r="RQU2" s="266"/>
      <c r="RQV2" s="266"/>
      <c r="RQW2" s="266"/>
      <c r="RQX2" s="266"/>
      <c r="RQY2" s="266"/>
      <c r="RQZ2" s="266"/>
      <c r="RRA2" s="266"/>
      <c r="RRB2" s="266"/>
      <c r="RRC2" s="266"/>
      <c r="RRD2" s="266"/>
      <c r="RRE2" s="266"/>
      <c r="RRF2" s="266"/>
      <c r="RRG2" s="266"/>
      <c r="RRH2" s="266"/>
      <c r="RRI2" s="266"/>
      <c r="RRJ2" s="266"/>
      <c r="RRK2" s="266"/>
      <c r="RRL2" s="266"/>
      <c r="RRM2" s="266"/>
      <c r="RRN2" s="266"/>
      <c r="RRO2" s="266"/>
      <c r="RRP2" s="266"/>
      <c r="RRQ2" s="266"/>
      <c r="RRR2" s="266"/>
      <c r="RRS2" s="266"/>
      <c r="RRT2" s="266"/>
      <c r="RRU2" s="266"/>
      <c r="RRV2" s="266"/>
      <c r="RRW2" s="266"/>
      <c r="RRX2" s="266"/>
      <c r="RRY2" s="266"/>
      <c r="RRZ2" s="266"/>
      <c r="RSA2" s="266"/>
      <c r="RSB2" s="266"/>
      <c r="RSC2" s="266"/>
      <c r="RSD2" s="266"/>
      <c r="RSE2" s="266"/>
      <c r="RSF2" s="266"/>
      <c r="RSG2" s="266"/>
      <c r="RSH2" s="266"/>
      <c r="RSI2" s="266"/>
      <c r="RSJ2" s="266"/>
      <c r="RSK2" s="266"/>
      <c r="RSL2" s="266"/>
      <c r="RSM2" s="266"/>
      <c r="RSN2" s="266"/>
      <c r="RSO2" s="266"/>
      <c r="RSP2" s="266"/>
      <c r="RSQ2" s="266"/>
      <c r="RSR2" s="266"/>
      <c r="RSS2" s="266"/>
      <c r="RST2" s="266"/>
      <c r="RSU2" s="266"/>
      <c r="RSV2" s="266"/>
      <c r="RSW2" s="266"/>
      <c r="RSX2" s="266"/>
      <c r="RSY2" s="266"/>
      <c r="RSZ2" s="266"/>
      <c r="RTA2" s="266"/>
      <c r="RTB2" s="266"/>
      <c r="RTC2" s="266"/>
      <c r="RTD2" s="266"/>
      <c r="RTE2" s="266"/>
      <c r="RTF2" s="266"/>
      <c r="RTG2" s="266"/>
      <c r="RTH2" s="266"/>
      <c r="RTI2" s="266"/>
      <c r="RTJ2" s="266"/>
      <c r="RTK2" s="266"/>
      <c r="RTL2" s="266"/>
      <c r="RTM2" s="266"/>
      <c r="RTN2" s="266"/>
      <c r="RTO2" s="266"/>
      <c r="RTP2" s="266"/>
      <c r="RTQ2" s="266"/>
      <c r="RTR2" s="266"/>
      <c r="RTS2" s="266"/>
      <c r="RTT2" s="266"/>
      <c r="RTU2" s="266"/>
      <c r="RTV2" s="266"/>
      <c r="RTW2" s="266"/>
      <c r="RTX2" s="266"/>
      <c r="RTY2" s="266"/>
      <c r="RTZ2" s="266"/>
      <c r="RUA2" s="266"/>
      <c r="RUB2" s="266"/>
      <c r="RUC2" s="266"/>
      <c r="RUD2" s="266"/>
      <c r="RUE2" s="266"/>
      <c r="RUF2" s="266"/>
      <c r="RUG2" s="266"/>
      <c r="RUH2" s="266"/>
      <c r="RUI2" s="266"/>
      <c r="RUJ2" s="266"/>
      <c r="RUK2" s="266"/>
      <c r="RUL2" s="266"/>
      <c r="RUM2" s="266"/>
      <c r="RUN2" s="266"/>
      <c r="RUO2" s="266"/>
      <c r="RUP2" s="266"/>
      <c r="RUQ2" s="266"/>
      <c r="RUR2" s="266"/>
      <c r="RUS2" s="266"/>
      <c r="RUT2" s="266"/>
      <c r="RUU2" s="266"/>
      <c r="RUV2" s="266"/>
      <c r="RUW2" s="266"/>
      <c r="RUX2" s="266"/>
      <c r="RUY2" s="266"/>
      <c r="RUZ2" s="266"/>
      <c r="RVA2" s="266"/>
      <c r="RVB2" s="266"/>
      <c r="RVC2" s="266"/>
      <c r="RVD2" s="266"/>
      <c r="RVE2" s="266"/>
      <c r="RVF2" s="266"/>
      <c r="RVG2" s="266"/>
      <c r="RVH2" s="266"/>
      <c r="RVI2" s="266"/>
      <c r="RVJ2" s="266"/>
      <c r="RVK2" s="266"/>
      <c r="RVL2" s="266"/>
      <c r="RVM2" s="266"/>
      <c r="RVN2" s="266"/>
      <c r="RVO2" s="266"/>
      <c r="RVP2" s="266"/>
      <c r="RVQ2" s="266"/>
      <c r="RVR2" s="266"/>
      <c r="RVS2" s="266"/>
      <c r="RVT2" s="266"/>
      <c r="RVU2" s="266"/>
      <c r="RVV2" s="266"/>
      <c r="RVW2" s="266"/>
      <c r="RVX2" s="266"/>
      <c r="RVY2" s="266"/>
      <c r="RVZ2" s="266"/>
      <c r="RWA2" s="266"/>
      <c r="RWB2" s="266"/>
      <c r="RWC2" s="266"/>
      <c r="RWD2" s="266"/>
      <c r="RWE2" s="266"/>
      <c r="RWF2" s="266"/>
      <c r="RWG2" s="266"/>
      <c r="RWH2" s="266"/>
      <c r="RWI2" s="266"/>
      <c r="RWJ2" s="266"/>
      <c r="RWK2" s="266"/>
      <c r="RWL2" s="266"/>
      <c r="RWM2" s="266"/>
      <c r="RWN2" s="266"/>
      <c r="RWO2" s="266"/>
      <c r="RWP2" s="266"/>
      <c r="RWQ2" s="266"/>
      <c r="RWR2" s="266"/>
      <c r="RWS2" s="266"/>
      <c r="RWT2" s="266"/>
      <c r="RWU2" s="266"/>
      <c r="RWV2" s="266"/>
      <c r="RWW2" s="266"/>
      <c r="RWX2" s="266"/>
      <c r="RWY2" s="266"/>
      <c r="RWZ2" s="266"/>
      <c r="RXA2" s="266"/>
      <c r="RXB2" s="266"/>
      <c r="RXC2" s="266"/>
      <c r="RXD2" s="266"/>
      <c r="RXE2" s="266"/>
      <c r="RXF2" s="266"/>
      <c r="RXG2" s="266"/>
      <c r="RXH2" s="266"/>
      <c r="RXI2" s="266"/>
      <c r="RXJ2" s="266"/>
      <c r="RXK2" s="266"/>
      <c r="RXL2" s="266"/>
      <c r="RXM2" s="266"/>
      <c r="RXN2" s="266"/>
      <c r="RXO2" s="266"/>
      <c r="RXP2" s="266"/>
      <c r="RXQ2" s="266"/>
      <c r="RXR2" s="266"/>
      <c r="RXS2" s="266"/>
      <c r="RXT2" s="266"/>
      <c r="RXU2" s="266"/>
      <c r="RXV2" s="266"/>
      <c r="RXW2" s="266"/>
      <c r="RXX2" s="266"/>
      <c r="RXY2" s="266"/>
      <c r="RXZ2" s="266"/>
      <c r="RYA2" s="266"/>
      <c r="RYB2" s="266"/>
      <c r="RYC2" s="266"/>
      <c r="RYD2" s="266"/>
      <c r="RYE2" s="266"/>
      <c r="RYF2" s="266"/>
      <c r="RYG2" s="266"/>
      <c r="RYH2" s="266"/>
      <c r="RYI2" s="266"/>
      <c r="RYJ2" s="266"/>
      <c r="RYK2" s="266"/>
      <c r="RYL2" s="266"/>
      <c r="RYM2" s="266"/>
      <c r="RYN2" s="266"/>
      <c r="RYO2" s="266"/>
      <c r="RYP2" s="266"/>
      <c r="RYQ2" s="266"/>
      <c r="RYR2" s="266"/>
      <c r="RYS2" s="266"/>
      <c r="RYT2" s="266"/>
      <c r="RYU2" s="266"/>
      <c r="RYV2" s="266"/>
      <c r="RYW2" s="266"/>
      <c r="RYX2" s="266"/>
      <c r="RYY2" s="266"/>
      <c r="RYZ2" s="266"/>
      <c r="RZA2" s="266"/>
      <c r="RZB2" s="266"/>
      <c r="RZC2" s="266"/>
      <c r="RZD2" s="266"/>
      <c r="RZE2" s="266"/>
      <c r="RZF2" s="266"/>
      <c r="RZG2" s="266"/>
      <c r="RZH2" s="266"/>
      <c r="RZI2" s="266"/>
      <c r="RZJ2" s="266"/>
      <c r="RZK2" s="266"/>
      <c r="RZL2" s="266"/>
      <c r="RZM2" s="266"/>
      <c r="RZN2" s="266"/>
      <c r="RZO2" s="266"/>
      <c r="RZP2" s="266"/>
      <c r="RZQ2" s="266"/>
      <c r="RZR2" s="266"/>
      <c r="RZS2" s="266"/>
      <c r="RZT2" s="266"/>
      <c r="RZU2" s="266"/>
      <c r="RZV2" s="266"/>
      <c r="RZW2" s="266"/>
      <c r="RZX2" s="266"/>
      <c r="RZY2" s="266"/>
      <c r="RZZ2" s="266"/>
      <c r="SAA2" s="266"/>
      <c r="SAB2" s="266"/>
      <c r="SAC2" s="266"/>
      <c r="SAD2" s="266"/>
      <c r="SAE2" s="266"/>
      <c r="SAF2" s="266"/>
      <c r="SAG2" s="266"/>
      <c r="SAH2" s="266"/>
      <c r="SAI2" s="266"/>
      <c r="SAJ2" s="266"/>
      <c r="SAK2" s="266"/>
      <c r="SAL2" s="266"/>
      <c r="SAM2" s="266"/>
      <c r="SAN2" s="266"/>
      <c r="SAO2" s="266"/>
      <c r="SAP2" s="266"/>
      <c r="SAQ2" s="266"/>
      <c r="SAR2" s="266"/>
      <c r="SAS2" s="266"/>
      <c r="SAT2" s="266"/>
      <c r="SAU2" s="266"/>
      <c r="SAV2" s="266"/>
      <c r="SAW2" s="266"/>
      <c r="SAX2" s="266"/>
      <c r="SAY2" s="266"/>
      <c r="SAZ2" s="266"/>
      <c r="SBA2" s="266"/>
      <c r="SBB2" s="266"/>
      <c r="SBC2" s="266"/>
      <c r="SBD2" s="266"/>
      <c r="SBE2" s="266"/>
      <c r="SBF2" s="266"/>
      <c r="SBG2" s="266"/>
      <c r="SBH2" s="266"/>
      <c r="SBI2" s="266"/>
      <c r="SBJ2" s="266"/>
      <c r="SBK2" s="266"/>
      <c r="SBL2" s="266"/>
      <c r="SBM2" s="266"/>
      <c r="SBN2" s="266"/>
      <c r="SBO2" s="266"/>
      <c r="SBP2" s="266"/>
      <c r="SBQ2" s="266"/>
      <c r="SBR2" s="266"/>
      <c r="SBS2" s="266"/>
      <c r="SBT2" s="266"/>
      <c r="SBU2" s="266"/>
      <c r="SBV2" s="266"/>
      <c r="SBW2" s="266"/>
      <c r="SBX2" s="266"/>
      <c r="SBY2" s="266"/>
      <c r="SBZ2" s="266"/>
      <c r="SCA2" s="266"/>
      <c r="SCB2" s="266"/>
      <c r="SCC2" s="266"/>
      <c r="SCD2" s="266"/>
      <c r="SCE2" s="266"/>
      <c r="SCF2" s="266"/>
      <c r="SCG2" s="266"/>
      <c r="SCH2" s="266"/>
      <c r="SCI2" s="266"/>
      <c r="SCJ2" s="266"/>
      <c r="SCK2" s="266"/>
      <c r="SCL2" s="266"/>
      <c r="SCM2" s="266"/>
      <c r="SCN2" s="266"/>
      <c r="SCO2" s="266"/>
      <c r="SCP2" s="266"/>
      <c r="SCQ2" s="266"/>
      <c r="SCR2" s="266"/>
      <c r="SCS2" s="266"/>
      <c r="SCT2" s="266"/>
      <c r="SCU2" s="266"/>
      <c r="SCV2" s="266"/>
      <c r="SCW2" s="266"/>
      <c r="SCX2" s="266"/>
      <c r="SCY2" s="266"/>
      <c r="SCZ2" s="266"/>
      <c r="SDA2" s="266"/>
      <c r="SDB2" s="266"/>
      <c r="SDC2" s="266"/>
      <c r="SDD2" s="266"/>
      <c r="SDE2" s="266"/>
      <c r="SDF2" s="266"/>
      <c r="SDG2" s="266"/>
      <c r="SDH2" s="266"/>
      <c r="SDI2" s="266"/>
      <c r="SDJ2" s="266"/>
      <c r="SDK2" s="266"/>
      <c r="SDL2" s="266"/>
      <c r="SDM2" s="266"/>
      <c r="SDN2" s="266"/>
      <c r="SDO2" s="266"/>
      <c r="SDP2" s="266"/>
      <c r="SDQ2" s="266"/>
      <c r="SDR2" s="266"/>
      <c r="SDS2" s="266"/>
      <c r="SDT2" s="266"/>
      <c r="SDU2" s="266"/>
      <c r="SDV2" s="266"/>
      <c r="SDW2" s="266"/>
      <c r="SDX2" s="266"/>
      <c r="SDY2" s="266"/>
      <c r="SDZ2" s="266"/>
      <c r="SEA2" s="266"/>
      <c r="SEB2" s="266"/>
      <c r="SEC2" s="266"/>
      <c r="SED2" s="266"/>
      <c r="SEE2" s="266"/>
      <c r="SEF2" s="266"/>
      <c r="SEG2" s="266"/>
      <c r="SEH2" s="266"/>
      <c r="SEI2" s="266"/>
      <c r="SEJ2" s="266"/>
      <c r="SEK2" s="266"/>
      <c r="SEL2" s="266"/>
      <c r="SEM2" s="266"/>
      <c r="SEN2" s="266"/>
      <c r="SEO2" s="266"/>
      <c r="SEP2" s="266"/>
      <c r="SEQ2" s="266"/>
      <c r="SER2" s="266"/>
      <c r="SES2" s="266"/>
      <c r="SET2" s="266"/>
      <c r="SEU2" s="266"/>
      <c r="SEV2" s="266"/>
      <c r="SEW2" s="266"/>
      <c r="SEX2" s="266"/>
      <c r="SEY2" s="266"/>
      <c r="SEZ2" s="266"/>
      <c r="SFA2" s="266"/>
      <c r="SFB2" s="266"/>
      <c r="SFC2" s="266"/>
      <c r="SFD2" s="266"/>
      <c r="SFE2" s="266"/>
      <c r="SFF2" s="266"/>
      <c r="SFG2" s="266"/>
      <c r="SFH2" s="266"/>
      <c r="SFI2" s="266"/>
      <c r="SFJ2" s="266"/>
      <c r="SFK2" s="266"/>
      <c r="SFL2" s="266"/>
      <c r="SFM2" s="266"/>
      <c r="SFN2" s="266"/>
      <c r="SFO2" s="266"/>
      <c r="SFP2" s="266"/>
      <c r="SFQ2" s="266"/>
      <c r="SFR2" s="266"/>
      <c r="SFS2" s="266"/>
      <c r="SFT2" s="266"/>
      <c r="SFU2" s="266"/>
      <c r="SFV2" s="266"/>
      <c r="SFW2" s="266"/>
      <c r="SFX2" s="266"/>
      <c r="SFY2" s="266"/>
      <c r="SFZ2" s="266"/>
      <c r="SGA2" s="266"/>
      <c r="SGB2" s="266"/>
      <c r="SGC2" s="266"/>
      <c r="SGD2" s="266"/>
      <c r="SGE2" s="266"/>
      <c r="SGF2" s="266"/>
      <c r="SGG2" s="266"/>
      <c r="SGH2" s="266"/>
      <c r="SGI2" s="266"/>
      <c r="SGJ2" s="266"/>
      <c r="SGK2" s="266"/>
      <c r="SGL2" s="266"/>
      <c r="SGM2" s="266"/>
      <c r="SGN2" s="266"/>
      <c r="SGO2" s="266"/>
      <c r="SGP2" s="266"/>
      <c r="SGQ2" s="266"/>
      <c r="SGR2" s="266"/>
      <c r="SGS2" s="266"/>
      <c r="SGT2" s="266"/>
      <c r="SGU2" s="266"/>
      <c r="SGV2" s="266"/>
      <c r="SGW2" s="266"/>
      <c r="SGX2" s="266"/>
      <c r="SGY2" s="266"/>
      <c r="SGZ2" s="266"/>
      <c r="SHA2" s="266"/>
      <c r="SHB2" s="266"/>
      <c r="SHC2" s="266"/>
      <c r="SHD2" s="266"/>
      <c r="SHE2" s="266"/>
      <c r="SHF2" s="266"/>
      <c r="SHG2" s="266"/>
      <c r="SHH2" s="266"/>
      <c r="SHI2" s="266"/>
      <c r="SHJ2" s="266"/>
      <c r="SHK2" s="266"/>
      <c r="SHL2" s="266"/>
      <c r="SHM2" s="266"/>
      <c r="SHN2" s="266"/>
      <c r="SHO2" s="266"/>
      <c r="SHP2" s="266"/>
      <c r="SHQ2" s="266"/>
      <c r="SHR2" s="266"/>
      <c r="SHS2" s="266"/>
      <c r="SHT2" s="266"/>
      <c r="SHU2" s="266"/>
      <c r="SHV2" s="266"/>
      <c r="SHW2" s="266"/>
      <c r="SHX2" s="266"/>
      <c r="SHY2" s="266"/>
      <c r="SHZ2" s="266"/>
      <c r="SIA2" s="266"/>
      <c r="SIB2" s="266"/>
      <c r="SIC2" s="266"/>
      <c r="SID2" s="266"/>
      <c r="SIE2" s="266"/>
      <c r="SIF2" s="266"/>
      <c r="SIG2" s="266"/>
      <c r="SIH2" s="266"/>
      <c r="SII2" s="266"/>
      <c r="SIJ2" s="266"/>
      <c r="SIK2" s="266"/>
      <c r="SIL2" s="266"/>
      <c r="SIM2" s="266"/>
      <c r="SIN2" s="266"/>
      <c r="SIO2" s="266"/>
      <c r="SIP2" s="266"/>
      <c r="SIQ2" s="266"/>
      <c r="SIR2" s="266"/>
      <c r="SIS2" s="266"/>
      <c r="SIT2" s="266"/>
      <c r="SIU2" s="266"/>
      <c r="SIV2" s="266"/>
      <c r="SIW2" s="266"/>
      <c r="SIX2" s="266"/>
      <c r="SIY2" s="266"/>
      <c r="SIZ2" s="266"/>
      <c r="SJA2" s="266"/>
      <c r="SJB2" s="266"/>
      <c r="SJC2" s="266"/>
      <c r="SJD2" s="266"/>
      <c r="SJE2" s="266"/>
      <c r="SJF2" s="266"/>
      <c r="SJG2" s="266"/>
      <c r="SJH2" s="266"/>
      <c r="SJI2" s="266"/>
      <c r="SJJ2" s="266"/>
      <c r="SJK2" s="266"/>
      <c r="SJL2" s="266"/>
      <c r="SJM2" s="266"/>
      <c r="SJN2" s="266"/>
      <c r="SJO2" s="266"/>
      <c r="SJP2" s="266"/>
      <c r="SJQ2" s="266"/>
      <c r="SJR2" s="266"/>
      <c r="SJS2" s="266"/>
      <c r="SJT2" s="266"/>
      <c r="SJU2" s="266"/>
      <c r="SJV2" s="266"/>
      <c r="SJW2" s="266"/>
      <c r="SJX2" s="266"/>
      <c r="SJY2" s="266"/>
      <c r="SJZ2" s="266"/>
      <c r="SKA2" s="266"/>
      <c r="SKB2" s="266"/>
      <c r="SKC2" s="266"/>
      <c r="SKD2" s="266"/>
      <c r="SKE2" s="266"/>
      <c r="SKF2" s="266"/>
      <c r="SKG2" s="266"/>
      <c r="SKH2" s="266"/>
      <c r="SKI2" s="266"/>
      <c r="SKJ2" s="266"/>
      <c r="SKK2" s="266"/>
      <c r="SKL2" s="266"/>
      <c r="SKM2" s="266"/>
      <c r="SKN2" s="266"/>
      <c r="SKO2" s="266"/>
      <c r="SKP2" s="266"/>
      <c r="SKQ2" s="266"/>
      <c r="SKR2" s="266"/>
      <c r="SKS2" s="266"/>
      <c r="SKT2" s="266"/>
      <c r="SKU2" s="266"/>
      <c r="SKV2" s="266"/>
      <c r="SKW2" s="266"/>
      <c r="SKX2" s="266"/>
      <c r="SKY2" s="266"/>
      <c r="SKZ2" s="266"/>
      <c r="SLA2" s="266"/>
      <c r="SLB2" s="266"/>
      <c r="SLC2" s="266"/>
      <c r="SLD2" s="266"/>
      <c r="SLE2" s="266"/>
      <c r="SLF2" s="266"/>
      <c r="SLG2" s="266"/>
      <c r="SLH2" s="266"/>
      <c r="SLI2" s="266"/>
      <c r="SLJ2" s="266"/>
      <c r="SLK2" s="266"/>
      <c r="SLL2" s="266"/>
      <c r="SLM2" s="266"/>
      <c r="SLN2" s="266"/>
      <c r="SLO2" s="266"/>
      <c r="SLP2" s="266"/>
      <c r="SLQ2" s="266"/>
      <c r="SLR2" s="266"/>
      <c r="SLS2" s="266"/>
      <c r="SLT2" s="266"/>
      <c r="SLU2" s="266"/>
      <c r="SLV2" s="266"/>
      <c r="SLW2" s="266"/>
      <c r="SLX2" s="266"/>
      <c r="SLY2" s="266"/>
      <c r="SLZ2" s="266"/>
      <c r="SMA2" s="266"/>
      <c r="SMB2" s="266"/>
      <c r="SMC2" s="266"/>
      <c r="SMD2" s="266"/>
      <c r="SME2" s="266"/>
      <c r="SMF2" s="266"/>
      <c r="SMG2" s="266"/>
      <c r="SMH2" s="266"/>
      <c r="SMI2" s="266"/>
      <c r="SMJ2" s="266"/>
      <c r="SMK2" s="266"/>
      <c r="SML2" s="266"/>
      <c r="SMM2" s="266"/>
      <c r="SMN2" s="266"/>
      <c r="SMO2" s="266"/>
      <c r="SMP2" s="266"/>
      <c r="SMQ2" s="266"/>
      <c r="SMR2" s="266"/>
      <c r="SMS2" s="266"/>
      <c r="SMT2" s="266"/>
      <c r="SMU2" s="266"/>
      <c r="SMV2" s="266"/>
      <c r="SMW2" s="266"/>
      <c r="SMX2" s="266"/>
      <c r="SMY2" s="266"/>
      <c r="SMZ2" s="266"/>
      <c r="SNA2" s="266"/>
      <c r="SNB2" s="266"/>
      <c r="SNC2" s="266"/>
      <c r="SND2" s="266"/>
      <c r="SNE2" s="266"/>
      <c r="SNF2" s="266"/>
      <c r="SNG2" s="266"/>
      <c r="SNH2" s="266"/>
      <c r="SNI2" s="266"/>
      <c r="SNJ2" s="266"/>
      <c r="SNK2" s="266"/>
      <c r="SNL2" s="266"/>
      <c r="SNM2" s="266"/>
      <c r="SNN2" s="266"/>
      <c r="SNO2" s="266"/>
      <c r="SNP2" s="266"/>
      <c r="SNQ2" s="266"/>
      <c r="SNR2" s="266"/>
      <c r="SNS2" s="266"/>
      <c r="SNT2" s="266"/>
      <c r="SNU2" s="266"/>
      <c r="SNV2" s="266"/>
      <c r="SNW2" s="266"/>
      <c r="SNX2" s="266"/>
      <c r="SNY2" s="266"/>
      <c r="SNZ2" s="266"/>
      <c r="SOA2" s="266"/>
      <c r="SOB2" s="266"/>
      <c r="SOC2" s="266"/>
      <c r="SOD2" s="266"/>
      <c r="SOE2" s="266"/>
      <c r="SOF2" s="266"/>
      <c r="SOG2" s="266"/>
      <c r="SOH2" s="266"/>
      <c r="SOI2" s="266"/>
      <c r="SOJ2" s="266"/>
      <c r="SOK2" s="266"/>
      <c r="SOL2" s="266"/>
      <c r="SOM2" s="266"/>
      <c r="SON2" s="266"/>
      <c r="SOO2" s="266"/>
      <c r="SOP2" s="266"/>
      <c r="SOQ2" s="266"/>
      <c r="SOR2" s="266"/>
      <c r="SOS2" s="266"/>
      <c r="SOT2" s="266"/>
      <c r="SOU2" s="266"/>
      <c r="SOV2" s="266"/>
      <c r="SOW2" s="266"/>
      <c r="SOX2" s="266"/>
      <c r="SOY2" s="266"/>
      <c r="SOZ2" s="266"/>
      <c r="SPA2" s="266"/>
      <c r="SPB2" s="266"/>
      <c r="SPC2" s="266"/>
      <c r="SPD2" s="266"/>
      <c r="SPE2" s="266"/>
      <c r="SPF2" s="266"/>
      <c r="SPG2" s="266"/>
      <c r="SPH2" s="266"/>
      <c r="SPI2" s="266"/>
      <c r="SPJ2" s="266"/>
      <c r="SPK2" s="266"/>
      <c r="SPL2" s="266"/>
      <c r="SPM2" s="266"/>
      <c r="SPN2" s="266"/>
      <c r="SPO2" s="266"/>
      <c r="SPP2" s="266"/>
      <c r="SPQ2" s="266"/>
      <c r="SPR2" s="266"/>
      <c r="SPS2" s="266"/>
      <c r="SPT2" s="266"/>
      <c r="SPU2" s="266"/>
      <c r="SPV2" s="266"/>
      <c r="SPW2" s="266"/>
      <c r="SPX2" s="266"/>
      <c r="SPY2" s="266"/>
      <c r="SPZ2" s="266"/>
      <c r="SQA2" s="266"/>
      <c r="SQB2" s="266"/>
      <c r="SQC2" s="266"/>
      <c r="SQD2" s="266"/>
      <c r="SQE2" s="266"/>
      <c r="SQF2" s="266"/>
      <c r="SQG2" s="266"/>
      <c r="SQH2" s="266"/>
      <c r="SQI2" s="266"/>
      <c r="SQJ2" s="266"/>
      <c r="SQK2" s="266"/>
      <c r="SQL2" s="266"/>
      <c r="SQM2" s="266"/>
      <c r="SQN2" s="266"/>
      <c r="SQO2" s="266"/>
      <c r="SQP2" s="266"/>
      <c r="SQQ2" s="266"/>
      <c r="SQR2" s="266"/>
      <c r="SQS2" s="266"/>
      <c r="SQT2" s="266"/>
      <c r="SQU2" s="266"/>
      <c r="SQV2" s="266"/>
      <c r="SQW2" s="266"/>
      <c r="SQX2" s="266"/>
      <c r="SQY2" s="266"/>
      <c r="SQZ2" s="266"/>
      <c r="SRA2" s="266"/>
      <c r="SRB2" s="266"/>
      <c r="SRC2" s="266"/>
      <c r="SRD2" s="266"/>
      <c r="SRE2" s="266"/>
      <c r="SRF2" s="266"/>
      <c r="SRG2" s="266"/>
      <c r="SRH2" s="266"/>
      <c r="SRI2" s="266"/>
      <c r="SRJ2" s="266"/>
      <c r="SRK2" s="266"/>
      <c r="SRL2" s="266"/>
      <c r="SRM2" s="266"/>
      <c r="SRN2" s="266"/>
      <c r="SRO2" s="266"/>
      <c r="SRP2" s="266"/>
      <c r="SRQ2" s="266"/>
      <c r="SRR2" s="266"/>
      <c r="SRS2" s="266"/>
      <c r="SRT2" s="266"/>
      <c r="SRU2" s="266"/>
      <c r="SRV2" s="266"/>
      <c r="SRW2" s="266"/>
      <c r="SRX2" s="266"/>
      <c r="SRY2" s="266"/>
      <c r="SRZ2" s="266"/>
      <c r="SSA2" s="266"/>
      <c r="SSB2" s="266"/>
      <c r="SSC2" s="266"/>
      <c r="SSD2" s="266"/>
      <c r="SSE2" s="266"/>
      <c r="SSF2" s="266"/>
      <c r="SSG2" s="266"/>
      <c r="SSH2" s="266"/>
      <c r="SSI2" s="266"/>
      <c r="SSJ2" s="266"/>
      <c r="SSK2" s="266"/>
      <c r="SSL2" s="266"/>
      <c r="SSM2" s="266"/>
      <c r="SSN2" s="266"/>
      <c r="SSO2" s="266"/>
      <c r="SSP2" s="266"/>
      <c r="SSQ2" s="266"/>
      <c r="SSR2" s="266"/>
      <c r="SSS2" s="266"/>
      <c r="SST2" s="266"/>
      <c r="SSU2" s="266"/>
      <c r="SSV2" s="266"/>
      <c r="SSW2" s="266"/>
      <c r="SSX2" s="266"/>
      <c r="SSY2" s="266"/>
      <c r="SSZ2" s="266"/>
      <c r="STA2" s="266"/>
      <c r="STB2" s="266"/>
      <c r="STC2" s="266"/>
      <c r="STD2" s="266"/>
      <c r="STE2" s="266"/>
      <c r="STF2" s="266"/>
      <c r="STG2" s="266"/>
      <c r="STH2" s="266"/>
      <c r="STI2" s="266"/>
      <c r="STJ2" s="266"/>
      <c r="STK2" s="266"/>
      <c r="STL2" s="266"/>
      <c r="STM2" s="266"/>
      <c r="STN2" s="266"/>
      <c r="STO2" s="266"/>
      <c r="STP2" s="266"/>
      <c r="STQ2" s="266"/>
      <c r="STR2" s="266"/>
      <c r="STS2" s="266"/>
      <c r="STT2" s="266"/>
      <c r="STU2" s="266"/>
      <c r="STV2" s="266"/>
      <c r="STW2" s="266"/>
      <c r="STX2" s="266"/>
      <c r="STY2" s="266"/>
      <c r="STZ2" s="266"/>
      <c r="SUA2" s="266"/>
      <c r="SUB2" s="266"/>
      <c r="SUC2" s="266"/>
      <c r="SUD2" s="266"/>
      <c r="SUE2" s="266"/>
      <c r="SUF2" s="266"/>
      <c r="SUG2" s="266"/>
      <c r="SUH2" s="266"/>
      <c r="SUI2" s="266"/>
      <c r="SUJ2" s="266"/>
      <c r="SUK2" s="266"/>
      <c r="SUL2" s="266"/>
      <c r="SUM2" s="266"/>
      <c r="SUN2" s="266"/>
      <c r="SUO2" s="266"/>
      <c r="SUP2" s="266"/>
      <c r="SUQ2" s="266"/>
      <c r="SUR2" s="266"/>
      <c r="SUS2" s="266"/>
      <c r="SUT2" s="266"/>
      <c r="SUU2" s="266"/>
      <c r="SUV2" s="266"/>
      <c r="SUW2" s="266"/>
      <c r="SUX2" s="266"/>
      <c r="SUY2" s="266"/>
      <c r="SUZ2" s="266"/>
      <c r="SVA2" s="266"/>
      <c r="SVB2" s="266"/>
      <c r="SVC2" s="266"/>
      <c r="SVD2" s="266"/>
      <c r="SVE2" s="266"/>
      <c r="SVF2" s="266"/>
      <c r="SVG2" s="266"/>
      <c r="SVH2" s="266"/>
      <c r="SVI2" s="266"/>
      <c r="SVJ2" s="266"/>
      <c r="SVK2" s="266"/>
      <c r="SVL2" s="266"/>
      <c r="SVM2" s="266"/>
      <c r="SVN2" s="266"/>
      <c r="SVO2" s="266"/>
      <c r="SVP2" s="266"/>
      <c r="SVQ2" s="266"/>
      <c r="SVR2" s="266"/>
      <c r="SVS2" s="266"/>
      <c r="SVT2" s="266"/>
      <c r="SVU2" s="266"/>
      <c r="SVV2" s="266"/>
      <c r="SVW2" s="266"/>
      <c r="SVX2" s="266"/>
      <c r="SVY2" s="266"/>
      <c r="SVZ2" s="266"/>
      <c r="SWA2" s="266"/>
      <c r="SWB2" s="266"/>
      <c r="SWC2" s="266"/>
      <c r="SWD2" s="266"/>
      <c r="SWE2" s="266"/>
      <c r="SWF2" s="266"/>
      <c r="SWG2" s="266"/>
      <c r="SWH2" s="266"/>
      <c r="SWI2" s="266"/>
      <c r="SWJ2" s="266"/>
      <c r="SWK2" s="266"/>
      <c r="SWL2" s="266"/>
      <c r="SWM2" s="266"/>
      <c r="SWN2" s="266"/>
      <c r="SWO2" s="266"/>
      <c r="SWP2" s="266"/>
      <c r="SWQ2" s="266"/>
      <c r="SWR2" s="266"/>
      <c r="SWS2" s="266"/>
      <c r="SWT2" s="266"/>
      <c r="SWU2" s="266"/>
      <c r="SWV2" s="266"/>
      <c r="SWW2" s="266"/>
      <c r="SWX2" s="266"/>
      <c r="SWY2" s="266"/>
      <c r="SWZ2" s="266"/>
      <c r="SXA2" s="266"/>
      <c r="SXB2" s="266"/>
      <c r="SXC2" s="266"/>
      <c r="SXD2" s="266"/>
      <c r="SXE2" s="266"/>
      <c r="SXF2" s="266"/>
      <c r="SXG2" s="266"/>
      <c r="SXH2" s="266"/>
      <c r="SXI2" s="266"/>
      <c r="SXJ2" s="266"/>
      <c r="SXK2" s="266"/>
      <c r="SXL2" s="266"/>
      <c r="SXM2" s="266"/>
      <c r="SXN2" s="266"/>
      <c r="SXO2" s="266"/>
      <c r="SXP2" s="266"/>
      <c r="SXQ2" s="266"/>
      <c r="SXR2" s="266"/>
      <c r="SXS2" s="266"/>
      <c r="SXT2" s="266"/>
      <c r="SXU2" s="266"/>
      <c r="SXV2" s="266"/>
      <c r="SXW2" s="266"/>
      <c r="SXX2" s="266"/>
      <c r="SXY2" s="266"/>
      <c r="SXZ2" s="266"/>
      <c r="SYA2" s="266"/>
      <c r="SYB2" s="266"/>
      <c r="SYC2" s="266"/>
      <c r="SYD2" s="266"/>
      <c r="SYE2" s="266"/>
      <c r="SYF2" s="266"/>
      <c r="SYG2" s="266"/>
      <c r="SYH2" s="266"/>
      <c r="SYI2" s="266"/>
      <c r="SYJ2" s="266"/>
      <c r="SYK2" s="266"/>
      <c r="SYL2" s="266"/>
      <c r="SYM2" s="266"/>
      <c r="SYN2" s="266"/>
      <c r="SYO2" s="266"/>
      <c r="SYP2" s="266"/>
      <c r="SYQ2" s="266"/>
      <c r="SYR2" s="266"/>
      <c r="SYS2" s="266"/>
      <c r="SYT2" s="266"/>
      <c r="SYU2" s="266"/>
      <c r="SYV2" s="266"/>
      <c r="SYW2" s="266"/>
      <c r="SYX2" s="266"/>
      <c r="SYY2" s="266"/>
      <c r="SYZ2" s="266"/>
      <c r="SZA2" s="266"/>
      <c r="SZB2" s="266"/>
      <c r="SZC2" s="266"/>
      <c r="SZD2" s="266"/>
      <c r="SZE2" s="266"/>
      <c r="SZF2" s="266"/>
      <c r="SZG2" s="266"/>
      <c r="SZH2" s="266"/>
      <c r="SZI2" s="266"/>
      <c r="SZJ2" s="266"/>
      <c r="SZK2" s="266"/>
      <c r="SZL2" s="266"/>
      <c r="SZM2" s="266"/>
      <c r="SZN2" s="266"/>
      <c r="SZO2" s="266"/>
      <c r="SZP2" s="266"/>
      <c r="SZQ2" s="266"/>
      <c r="SZR2" s="266"/>
      <c r="SZS2" s="266"/>
      <c r="SZT2" s="266"/>
      <c r="SZU2" s="266"/>
      <c r="SZV2" s="266"/>
      <c r="SZW2" s="266"/>
      <c r="SZX2" s="266"/>
      <c r="SZY2" s="266"/>
      <c r="SZZ2" s="266"/>
      <c r="TAA2" s="266"/>
      <c r="TAB2" s="266"/>
      <c r="TAC2" s="266"/>
      <c r="TAD2" s="266"/>
      <c r="TAE2" s="266"/>
      <c r="TAF2" s="266"/>
      <c r="TAG2" s="266"/>
      <c r="TAH2" s="266"/>
      <c r="TAI2" s="266"/>
      <c r="TAJ2" s="266"/>
      <c r="TAK2" s="266"/>
      <c r="TAL2" s="266"/>
      <c r="TAM2" s="266"/>
      <c r="TAN2" s="266"/>
      <c r="TAO2" s="266"/>
      <c r="TAP2" s="266"/>
      <c r="TAQ2" s="266"/>
      <c r="TAR2" s="266"/>
      <c r="TAS2" s="266"/>
      <c r="TAT2" s="266"/>
      <c r="TAU2" s="266"/>
      <c r="TAV2" s="266"/>
      <c r="TAW2" s="266"/>
      <c r="TAX2" s="266"/>
      <c r="TAY2" s="266"/>
      <c r="TAZ2" s="266"/>
      <c r="TBA2" s="266"/>
      <c r="TBB2" s="266"/>
      <c r="TBC2" s="266"/>
      <c r="TBD2" s="266"/>
      <c r="TBE2" s="266"/>
      <c r="TBF2" s="266"/>
      <c r="TBG2" s="266"/>
      <c r="TBH2" s="266"/>
      <c r="TBI2" s="266"/>
      <c r="TBJ2" s="266"/>
      <c r="TBK2" s="266"/>
      <c r="TBL2" s="266"/>
      <c r="TBM2" s="266"/>
      <c r="TBN2" s="266"/>
      <c r="TBO2" s="266"/>
      <c r="TBP2" s="266"/>
      <c r="TBQ2" s="266"/>
      <c r="TBR2" s="266"/>
      <c r="TBS2" s="266"/>
      <c r="TBT2" s="266"/>
      <c r="TBU2" s="266"/>
      <c r="TBV2" s="266"/>
      <c r="TBW2" s="266"/>
      <c r="TBX2" s="266"/>
      <c r="TBY2" s="266"/>
      <c r="TBZ2" s="266"/>
      <c r="TCA2" s="266"/>
      <c r="TCB2" s="266"/>
      <c r="TCC2" s="266"/>
      <c r="TCD2" s="266"/>
      <c r="TCE2" s="266"/>
      <c r="TCF2" s="266"/>
      <c r="TCG2" s="266"/>
      <c r="TCH2" s="266"/>
      <c r="TCI2" s="266"/>
      <c r="TCJ2" s="266"/>
      <c r="TCK2" s="266"/>
      <c r="TCL2" s="266"/>
      <c r="TCM2" s="266"/>
      <c r="TCN2" s="266"/>
      <c r="TCO2" s="266"/>
      <c r="TCP2" s="266"/>
      <c r="TCQ2" s="266"/>
      <c r="TCR2" s="266"/>
      <c r="TCS2" s="266"/>
      <c r="TCT2" s="266"/>
      <c r="TCU2" s="266"/>
      <c r="TCV2" s="266"/>
      <c r="TCW2" s="266"/>
      <c r="TCX2" s="266"/>
      <c r="TCY2" s="266"/>
      <c r="TCZ2" s="266"/>
      <c r="TDA2" s="266"/>
      <c r="TDB2" s="266"/>
      <c r="TDC2" s="266"/>
      <c r="TDD2" s="266"/>
      <c r="TDE2" s="266"/>
      <c r="TDF2" s="266"/>
      <c r="TDG2" s="266"/>
      <c r="TDH2" s="266"/>
      <c r="TDI2" s="266"/>
      <c r="TDJ2" s="266"/>
      <c r="TDK2" s="266"/>
      <c r="TDL2" s="266"/>
      <c r="TDM2" s="266"/>
      <c r="TDN2" s="266"/>
      <c r="TDO2" s="266"/>
      <c r="TDP2" s="266"/>
      <c r="TDQ2" s="266"/>
      <c r="TDR2" s="266"/>
      <c r="TDS2" s="266"/>
      <c r="TDT2" s="266"/>
      <c r="TDU2" s="266"/>
      <c r="TDV2" s="266"/>
      <c r="TDW2" s="266"/>
      <c r="TDX2" s="266"/>
      <c r="TDY2" s="266"/>
      <c r="TDZ2" s="266"/>
      <c r="TEA2" s="266"/>
      <c r="TEB2" s="266"/>
      <c r="TEC2" s="266"/>
      <c r="TED2" s="266"/>
      <c r="TEE2" s="266"/>
      <c r="TEF2" s="266"/>
      <c r="TEG2" s="266"/>
      <c r="TEH2" s="266"/>
      <c r="TEI2" s="266"/>
      <c r="TEJ2" s="266"/>
      <c r="TEK2" s="266"/>
      <c r="TEL2" s="266"/>
      <c r="TEM2" s="266"/>
      <c r="TEN2" s="266"/>
      <c r="TEO2" s="266"/>
      <c r="TEP2" s="266"/>
      <c r="TEQ2" s="266"/>
      <c r="TER2" s="266"/>
      <c r="TES2" s="266"/>
      <c r="TET2" s="266"/>
      <c r="TEU2" s="266"/>
      <c r="TEV2" s="266"/>
      <c r="TEW2" s="266"/>
      <c r="TEX2" s="266"/>
      <c r="TEY2" s="266"/>
      <c r="TEZ2" s="266"/>
      <c r="TFA2" s="266"/>
      <c r="TFB2" s="266"/>
      <c r="TFC2" s="266"/>
      <c r="TFD2" s="266"/>
      <c r="TFE2" s="266"/>
      <c r="TFF2" s="266"/>
      <c r="TFG2" s="266"/>
      <c r="TFH2" s="266"/>
      <c r="TFI2" s="266"/>
      <c r="TFJ2" s="266"/>
      <c r="TFK2" s="266"/>
      <c r="TFL2" s="266"/>
      <c r="TFM2" s="266"/>
      <c r="TFN2" s="266"/>
      <c r="TFO2" s="266"/>
      <c r="TFP2" s="266"/>
      <c r="TFQ2" s="266"/>
      <c r="TFR2" s="266"/>
      <c r="TFS2" s="266"/>
      <c r="TFT2" s="266"/>
      <c r="TFU2" s="266"/>
      <c r="TFV2" s="266"/>
      <c r="TFW2" s="266"/>
      <c r="TFX2" s="266"/>
      <c r="TFY2" s="266"/>
      <c r="TFZ2" s="266"/>
      <c r="TGA2" s="266"/>
      <c r="TGB2" s="266"/>
      <c r="TGC2" s="266"/>
      <c r="TGD2" s="266"/>
      <c r="TGE2" s="266"/>
      <c r="TGF2" s="266"/>
      <c r="TGG2" s="266"/>
      <c r="TGH2" s="266"/>
      <c r="TGI2" s="266"/>
      <c r="TGJ2" s="266"/>
      <c r="TGK2" s="266"/>
      <c r="TGL2" s="266"/>
      <c r="TGM2" s="266"/>
      <c r="TGN2" s="266"/>
      <c r="TGO2" s="266"/>
      <c r="TGP2" s="266"/>
      <c r="TGQ2" s="266"/>
      <c r="TGR2" s="266"/>
      <c r="TGS2" s="266"/>
      <c r="TGT2" s="266"/>
      <c r="TGU2" s="266"/>
      <c r="TGV2" s="266"/>
      <c r="TGW2" s="266"/>
      <c r="TGX2" s="266"/>
      <c r="TGY2" s="266"/>
      <c r="TGZ2" s="266"/>
      <c r="THA2" s="266"/>
      <c r="THB2" s="266"/>
      <c r="THC2" s="266"/>
      <c r="THD2" s="266"/>
      <c r="THE2" s="266"/>
      <c r="THF2" s="266"/>
      <c r="THG2" s="266"/>
      <c r="THH2" s="266"/>
      <c r="THI2" s="266"/>
      <c r="THJ2" s="266"/>
      <c r="THK2" s="266"/>
      <c r="THL2" s="266"/>
      <c r="THM2" s="266"/>
      <c r="THN2" s="266"/>
      <c r="THO2" s="266"/>
      <c r="THP2" s="266"/>
      <c r="THQ2" s="266"/>
      <c r="THR2" s="266"/>
      <c r="THS2" s="266"/>
      <c r="THT2" s="266"/>
      <c r="THU2" s="266"/>
      <c r="THV2" s="266"/>
      <c r="THW2" s="266"/>
      <c r="THX2" s="266"/>
      <c r="THY2" s="266"/>
      <c r="THZ2" s="266"/>
      <c r="TIA2" s="266"/>
      <c r="TIB2" s="266"/>
      <c r="TIC2" s="266"/>
      <c r="TID2" s="266"/>
      <c r="TIE2" s="266"/>
      <c r="TIF2" s="266"/>
      <c r="TIG2" s="266"/>
      <c r="TIH2" s="266"/>
      <c r="TII2" s="266"/>
      <c r="TIJ2" s="266"/>
      <c r="TIK2" s="266"/>
      <c r="TIL2" s="266"/>
      <c r="TIM2" s="266"/>
      <c r="TIN2" s="266"/>
      <c r="TIO2" s="266"/>
      <c r="TIP2" s="266"/>
      <c r="TIQ2" s="266"/>
      <c r="TIR2" s="266"/>
      <c r="TIS2" s="266"/>
      <c r="TIT2" s="266"/>
      <c r="TIU2" s="266"/>
      <c r="TIV2" s="266"/>
      <c r="TIW2" s="266"/>
      <c r="TIX2" s="266"/>
      <c r="TIY2" s="266"/>
      <c r="TIZ2" s="266"/>
      <c r="TJA2" s="266"/>
      <c r="TJB2" s="266"/>
      <c r="TJC2" s="266"/>
      <c r="TJD2" s="266"/>
      <c r="TJE2" s="266"/>
      <c r="TJF2" s="266"/>
      <c r="TJG2" s="266"/>
      <c r="TJH2" s="266"/>
      <c r="TJI2" s="266"/>
      <c r="TJJ2" s="266"/>
      <c r="TJK2" s="266"/>
      <c r="TJL2" s="266"/>
      <c r="TJM2" s="266"/>
      <c r="TJN2" s="266"/>
      <c r="TJO2" s="266"/>
      <c r="TJP2" s="266"/>
      <c r="TJQ2" s="266"/>
      <c r="TJR2" s="266"/>
      <c r="TJS2" s="266"/>
      <c r="TJT2" s="266"/>
      <c r="TJU2" s="266"/>
      <c r="TJV2" s="266"/>
      <c r="TJW2" s="266"/>
      <c r="TJX2" s="266"/>
      <c r="TJY2" s="266"/>
      <c r="TJZ2" s="266"/>
      <c r="TKA2" s="266"/>
      <c r="TKB2" s="266"/>
      <c r="TKC2" s="266"/>
      <c r="TKD2" s="266"/>
      <c r="TKE2" s="266"/>
      <c r="TKF2" s="266"/>
      <c r="TKG2" s="266"/>
      <c r="TKH2" s="266"/>
      <c r="TKI2" s="266"/>
      <c r="TKJ2" s="266"/>
      <c r="TKK2" s="266"/>
      <c r="TKL2" s="266"/>
      <c r="TKM2" s="266"/>
      <c r="TKN2" s="266"/>
      <c r="TKO2" s="266"/>
      <c r="TKP2" s="266"/>
      <c r="TKQ2" s="266"/>
      <c r="TKR2" s="266"/>
      <c r="TKS2" s="266"/>
      <c r="TKT2" s="266"/>
      <c r="TKU2" s="266"/>
      <c r="TKV2" s="266"/>
      <c r="TKW2" s="266"/>
      <c r="TKX2" s="266"/>
      <c r="TKY2" s="266"/>
      <c r="TKZ2" s="266"/>
      <c r="TLA2" s="266"/>
      <c r="TLB2" s="266"/>
      <c r="TLC2" s="266"/>
      <c r="TLD2" s="266"/>
      <c r="TLE2" s="266"/>
      <c r="TLF2" s="266"/>
      <c r="TLG2" s="266"/>
      <c r="TLH2" s="266"/>
      <c r="TLI2" s="266"/>
      <c r="TLJ2" s="266"/>
      <c r="TLK2" s="266"/>
      <c r="TLL2" s="266"/>
      <c r="TLM2" s="266"/>
      <c r="TLN2" s="266"/>
      <c r="TLO2" s="266"/>
      <c r="TLP2" s="266"/>
      <c r="TLQ2" s="266"/>
      <c r="TLR2" s="266"/>
      <c r="TLS2" s="266"/>
      <c r="TLT2" s="266"/>
      <c r="TLU2" s="266"/>
      <c r="TLV2" s="266"/>
      <c r="TLW2" s="266"/>
      <c r="TLX2" s="266"/>
      <c r="TLY2" s="266"/>
      <c r="TLZ2" s="266"/>
      <c r="TMA2" s="266"/>
      <c r="TMB2" s="266"/>
      <c r="TMC2" s="266"/>
      <c r="TMD2" s="266"/>
      <c r="TME2" s="266"/>
      <c r="TMF2" s="266"/>
      <c r="TMG2" s="266"/>
      <c r="TMH2" s="266"/>
      <c r="TMI2" s="266"/>
      <c r="TMJ2" s="266"/>
      <c r="TMK2" s="266"/>
      <c r="TML2" s="266"/>
      <c r="TMM2" s="266"/>
      <c r="TMN2" s="266"/>
      <c r="TMO2" s="266"/>
      <c r="TMP2" s="266"/>
      <c r="TMQ2" s="266"/>
      <c r="TMR2" s="266"/>
      <c r="TMS2" s="266"/>
      <c r="TMT2" s="266"/>
      <c r="TMU2" s="266"/>
      <c r="TMV2" s="266"/>
      <c r="TMW2" s="266"/>
      <c r="TMX2" s="266"/>
      <c r="TMY2" s="266"/>
      <c r="TMZ2" s="266"/>
      <c r="TNA2" s="266"/>
      <c r="TNB2" s="266"/>
      <c r="TNC2" s="266"/>
      <c r="TND2" s="266"/>
      <c r="TNE2" s="266"/>
      <c r="TNF2" s="266"/>
      <c r="TNG2" s="266"/>
      <c r="TNH2" s="266"/>
      <c r="TNI2" s="266"/>
      <c r="TNJ2" s="266"/>
      <c r="TNK2" s="266"/>
      <c r="TNL2" s="266"/>
      <c r="TNM2" s="266"/>
      <c r="TNN2" s="266"/>
      <c r="TNO2" s="266"/>
      <c r="TNP2" s="266"/>
      <c r="TNQ2" s="266"/>
      <c r="TNR2" s="266"/>
      <c r="TNS2" s="266"/>
      <c r="TNT2" s="266"/>
      <c r="TNU2" s="266"/>
      <c r="TNV2" s="266"/>
      <c r="TNW2" s="266"/>
      <c r="TNX2" s="266"/>
      <c r="TNY2" s="266"/>
      <c r="TNZ2" s="266"/>
      <c r="TOA2" s="266"/>
      <c r="TOB2" s="266"/>
      <c r="TOC2" s="266"/>
      <c r="TOD2" s="266"/>
      <c r="TOE2" s="266"/>
      <c r="TOF2" s="266"/>
      <c r="TOG2" s="266"/>
      <c r="TOH2" s="266"/>
      <c r="TOI2" s="266"/>
      <c r="TOJ2" s="266"/>
      <c r="TOK2" s="266"/>
      <c r="TOL2" s="266"/>
      <c r="TOM2" s="266"/>
      <c r="TON2" s="266"/>
      <c r="TOO2" s="266"/>
      <c r="TOP2" s="266"/>
      <c r="TOQ2" s="266"/>
      <c r="TOR2" s="266"/>
      <c r="TOS2" s="266"/>
      <c r="TOT2" s="266"/>
      <c r="TOU2" s="266"/>
      <c r="TOV2" s="266"/>
      <c r="TOW2" s="266"/>
      <c r="TOX2" s="266"/>
      <c r="TOY2" s="266"/>
      <c r="TOZ2" s="266"/>
      <c r="TPA2" s="266"/>
      <c r="TPB2" s="266"/>
      <c r="TPC2" s="266"/>
      <c r="TPD2" s="266"/>
      <c r="TPE2" s="266"/>
      <c r="TPF2" s="266"/>
      <c r="TPG2" s="266"/>
      <c r="TPH2" s="266"/>
      <c r="TPI2" s="266"/>
      <c r="TPJ2" s="266"/>
      <c r="TPK2" s="266"/>
      <c r="TPL2" s="266"/>
      <c r="TPM2" s="266"/>
      <c r="TPN2" s="266"/>
      <c r="TPO2" s="266"/>
      <c r="TPP2" s="266"/>
      <c r="TPQ2" s="266"/>
      <c r="TPR2" s="266"/>
      <c r="TPS2" s="266"/>
      <c r="TPT2" s="266"/>
      <c r="TPU2" s="266"/>
      <c r="TPV2" s="266"/>
      <c r="TPW2" s="266"/>
      <c r="TPX2" s="266"/>
      <c r="TPY2" s="266"/>
      <c r="TPZ2" s="266"/>
      <c r="TQA2" s="266"/>
      <c r="TQB2" s="266"/>
      <c r="TQC2" s="266"/>
      <c r="TQD2" s="266"/>
      <c r="TQE2" s="266"/>
      <c r="TQF2" s="266"/>
      <c r="TQG2" s="266"/>
      <c r="TQH2" s="266"/>
      <c r="TQI2" s="266"/>
      <c r="TQJ2" s="266"/>
      <c r="TQK2" s="266"/>
      <c r="TQL2" s="266"/>
      <c r="TQM2" s="266"/>
      <c r="TQN2" s="266"/>
      <c r="TQO2" s="266"/>
      <c r="TQP2" s="266"/>
      <c r="TQQ2" s="266"/>
      <c r="TQR2" s="266"/>
      <c r="TQS2" s="266"/>
      <c r="TQT2" s="266"/>
      <c r="TQU2" s="266"/>
      <c r="TQV2" s="266"/>
      <c r="TQW2" s="266"/>
      <c r="TQX2" s="266"/>
      <c r="TQY2" s="266"/>
      <c r="TQZ2" s="266"/>
      <c r="TRA2" s="266"/>
      <c r="TRB2" s="266"/>
      <c r="TRC2" s="266"/>
      <c r="TRD2" s="266"/>
      <c r="TRE2" s="266"/>
      <c r="TRF2" s="266"/>
      <c r="TRG2" s="266"/>
      <c r="TRH2" s="266"/>
      <c r="TRI2" s="266"/>
      <c r="TRJ2" s="266"/>
      <c r="TRK2" s="266"/>
      <c r="TRL2" s="266"/>
      <c r="TRM2" s="266"/>
      <c r="TRN2" s="266"/>
      <c r="TRO2" s="266"/>
      <c r="TRP2" s="266"/>
      <c r="TRQ2" s="266"/>
      <c r="TRR2" s="266"/>
      <c r="TRS2" s="266"/>
      <c r="TRT2" s="266"/>
      <c r="TRU2" s="266"/>
      <c r="TRV2" s="266"/>
      <c r="TRW2" s="266"/>
      <c r="TRX2" s="266"/>
      <c r="TRY2" s="266"/>
      <c r="TRZ2" s="266"/>
      <c r="TSA2" s="266"/>
      <c r="TSB2" s="266"/>
      <c r="TSC2" s="266"/>
      <c r="TSD2" s="266"/>
      <c r="TSE2" s="266"/>
      <c r="TSF2" s="266"/>
      <c r="TSG2" s="266"/>
      <c r="TSH2" s="266"/>
      <c r="TSI2" s="266"/>
      <c r="TSJ2" s="266"/>
      <c r="TSK2" s="266"/>
      <c r="TSL2" s="266"/>
      <c r="TSM2" s="266"/>
      <c r="TSN2" s="266"/>
      <c r="TSO2" s="266"/>
      <c r="TSP2" s="266"/>
      <c r="TSQ2" s="266"/>
      <c r="TSR2" s="266"/>
      <c r="TSS2" s="266"/>
      <c r="TST2" s="266"/>
      <c r="TSU2" s="266"/>
      <c r="TSV2" s="266"/>
      <c r="TSW2" s="266"/>
      <c r="TSX2" s="266"/>
      <c r="TSY2" s="266"/>
      <c r="TSZ2" s="266"/>
      <c r="TTA2" s="266"/>
      <c r="TTB2" s="266"/>
      <c r="TTC2" s="266"/>
      <c r="TTD2" s="266"/>
      <c r="TTE2" s="266"/>
      <c r="TTF2" s="266"/>
      <c r="TTG2" s="266"/>
      <c r="TTH2" s="266"/>
      <c r="TTI2" s="266"/>
      <c r="TTJ2" s="266"/>
      <c r="TTK2" s="266"/>
      <c r="TTL2" s="266"/>
      <c r="TTM2" s="266"/>
      <c r="TTN2" s="266"/>
      <c r="TTO2" s="266"/>
      <c r="TTP2" s="266"/>
      <c r="TTQ2" s="266"/>
      <c r="TTR2" s="266"/>
      <c r="TTS2" s="266"/>
      <c r="TTT2" s="266"/>
      <c r="TTU2" s="266"/>
      <c r="TTV2" s="266"/>
      <c r="TTW2" s="266"/>
      <c r="TTX2" s="266"/>
      <c r="TTY2" s="266"/>
      <c r="TTZ2" s="266"/>
      <c r="TUA2" s="266"/>
      <c r="TUB2" s="266"/>
      <c r="TUC2" s="266"/>
      <c r="TUD2" s="266"/>
      <c r="TUE2" s="266"/>
      <c r="TUF2" s="266"/>
      <c r="TUG2" s="266"/>
      <c r="TUH2" s="266"/>
      <c r="TUI2" s="266"/>
      <c r="TUJ2" s="266"/>
      <c r="TUK2" s="266"/>
      <c r="TUL2" s="266"/>
      <c r="TUM2" s="266"/>
      <c r="TUN2" s="266"/>
      <c r="TUO2" s="266"/>
      <c r="TUP2" s="266"/>
      <c r="TUQ2" s="266"/>
      <c r="TUR2" s="266"/>
      <c r="TUS2" s="266"/>
      <c r="TUT2" s="266"/>
      <c r="TUU2" s="266"/>
      <c r="TUV2" s="266"/>
      <c r="TUW2" s="266"/>
      <c r="TUX2" s="266"/>
      <c r="TUY2" s="266"/>
      <c r="TUZ2" s="266"/>
      <c r="TVA2" s="266"/>
      <c r="TVB2" s="266"/>
      <c r="TVC2" s="266"/>
      <c r="TVD2" s="266"/>
      <c r="TVE2" s="266"/>
      <c r="TVF2" s="266"/>
      <c r="TVG2" s="266"/>
      <c r="TVH2" s="266"/>
      <c r="TVI2" s="266"/>
      <c r="TVJ2" s="266"/>
      <c r="TVK2" s="266"/>
      <c r="TVL2" s="266"/>
      <c r="TVM2" s="266"/>
      <c r="TVN2" s="266"/>
      <c r="TVO2" s="266"/>
      <c r="TVP2" s="266"/>
      <c r="TVQ2" s="266"/>
      <c r="TVR2" s="266"/>
      <c r="TVS2" s="266"/>
      <c r="TVT2" s="266"/>
      <c r="TVU2" s="266"/>
      <c r="TVV2" s="266"/>
      <c r="TVW2" s="266"/>
      <c r="TVX2" s="266"/>
      <c r="TVY2" s="266"/>
      <c r="TVZ2" s="266"/>
      <c r="TWA2" s="266"/>
      <c r="TWB2" s="266"/>
      <c r="TWC2" s="266"/>
      <c r="TWD2" s="266"/>
      <c r="TWE2" s="266"/>
      <c r="TWF2" s="266"/>
      <c r="TWG2" s="266"/>
      <c r="TWH2" s="266"/>
      <c r="TWI2" s="266"/>
      <c r="TWJ2" s="266"/>
      <c r="TWK2" s="266"/>
      <c r="TWL2" s="266"/>
      <c r="TWM2" s="266"/>
      <c r="TWN2" s="266"/>
      <c r="TWO2" s="266"/>
      <c r="TWP2" s="266"/>
      <c r="TWQ2" s="266"/>
      <c r="TWR2" s="266"/>
      <c r="TWS2" s="266"/>
      <c r="TWT2" s="266"/>
      <c r="TWU2" s="266"/>
      <c r="TWV2" s="266"/>
      <c r="TWW2" s="266"/>
      <c r="TWX2" s="266"/>
      <c r="TWY2" s="266"/>
      <c r="TWZ2" s="266"/>
      <c r="TXA2" s="266"/>
      <c r="TXB2" s="266"/>
      <c r="TXC2" s="266"/>
      <c r="TXD2" s="266"/>
      <c r="TXE2" s="266"/>
      <c r="TXF2" s="266"/>
      <c r="TXG2" s="266"/>
      <c r="TXH2" s="266"/>
      <c r="TXI2" s="266"/>
      <c r="TXJ2" s="266"/>
      <c r="TXK2" s="266"/>
      <c r="TXL2" s="266"/>
      <c r="TXM2" s="266"/>
      <c r="TXN2" s="266"/>
      <c r="TXO2" s="266"/>
      <c r="TXP2" s="266"/>
      <c r="TXQ2" s="266"/>
      <c r="TXR2" s="266"/>
      <c r="TXS2" s="266"/>
      <c r="TXT2" s="266"/>
      <c r="TXU2" s="266"/>
      <c r="TXV2" s="266"/>
      <c r="TXW2" s="266"/>
      <c r="TXX2" s="266"/>
      <c r="TXY2" s="266"/>
      <c r="TXZ2" s="266"/>
      <c r="TYA2" s="266"/>
      <c r="TYB2" s="266"/>
      <c r="TYC2" s="266"/>
      <c r="TYD2" s="266"/>
      <c r="TYE2" s="266"/>
      <c r="TYF2" s="266"/>
      <c r="TYG2" s="266"/>
      <c r="TYH2" s="266"/>
      <c r="TYI2" s="266"/>
      <c r="TYJ2" s="266"/>
      <c r="TYK2" s="266"/>
      <c r="TYL2" s="266"/>
      <c r="TYM2" s="266"/>
      <c r="TYN2" s="266"/>
      <c r="TYO2" s="266"/>
      <c r="TYP2" s="266"/>
      <c r="TYQ2" s="266"/>
      <c r="TYR2" s="266"/>
      <c r="TYS2" s="266"/>
      <c r="TYT2" s="266"/>
      <c r="TYU2" s="266"/>
      <c r="TYV2" s="266"/>
      <c r="TYW2" s="266"/>
      <c r="TYX2" s="266"/>
      <c r="TYY2" s="266"/>
      <c r="TYZ2" s="266"/>
      <c r="TZA2" s="266"/>
      <c r="TZB2" s="266"/>
      <c r="TZC2" s="266"/>
      <c r="TZD2" s="266"/>
      <c r="TZE2" s="266"/>
      <c r="TZF2" s="266"/>
      <c r="TZG2" s="266"/>
      <c r="TZH2" s="266"/>
      <c r="TZI2" s="266"/>
      <c r="TZJ2" s="266"/>
      <c r="TZK2" s="266"/>
      <c r="TZL2" s="266"/>
      <c r="TZM2" s="266"/>
      <c r="TZN2" s="266"/>
      <c r="TZO2" s="266"/>
      <c r="TZP2" s="266"/>
      <c r="TZQ2" s="266"/>
      <c r="TZR2" s="266"/>
      <c r="TZS2" s="266"/>
      <c r="TZT2" s="266"/>
      <c r="TZU2" s="266"/>
      <c r="TZV2" s="266"/>
      <c r="TZW2" s="266"/>
      <c r="TZX2" s="266"/>
      <c r="TZY2" s="266"/>
      <c r="TZZ2" s="266"/>
      <c r="UAA2" s="266"/>
      <c r="UAB2" s="266"/>
      <c r="UAC2" s="266"/>
      <c r="UAD2" s="266"/>
      <c r="UAE2" s="266"/>
      <c r="UAF2" s="266"/>
      <c r="UAG2" s="266"/>
      <c r="UAH2" s="266"/>
      <c r="UAI2" s="266"/>
      <c r="UAJ2" s="266"/>
      <c r="UAK2" s="266"/>
      <c r="UAL2" s="266"/>
      <c r="UAM2" s="266"/>
      <c r="UAN2" s="266"/>
      <c r="UAO2" s="266"/>
      <c r="UAP2" s="266"/>
      <c r="UAQ2" s="266"/>
      <c r="UAR2" s="266"/>
      <c r="UAS2" s="266"/>
      <c r="UAT2" s="266"/>
      <c r="UAU2" s="266"/>
      <c r="UAV2" s="266"/>
      <c r="UAW2" s="266"/>
      <c r="UAX2" s="266"/>
      <c r="UAY2" s="266"/>
      <c r="UAZ2" s="266"/>
      <c r="UBA2" s="266"/>
      <c r="UBB2" s="266"/>
      <c r="UBC2" s="266"/>
      <c r="UBD2" s="266"/>
      <c r="UBE2" s="266"/>
      <c r="UBF2" s="266"/>
      <c r="UBG2" s="266"/>
      <c r="UBH2" s="266"/>
      <c r="UBI2" s="266"/>
      <c r="UBJ2" s="266"/>
      <c r="UBK2" s="266"/>
      <c r="UBL2" s="266"/>
      <c r="UBM2" s="266"/>
      <c r="UBN2" s="266"/>
      <c r="UBO2" s="266"/>
      <c r="UBP2" s="266"/>
      <c r="UBQ2" s="266"/>
      <c r="UBR2" s="266"/>
      <c r="UBS2" s="266"/>
      <c r="UBT2" s="266"/>
      <c r="UBU2" s="266"/>
      <c r="UBV2" s="266"/>
      <c r="UBW2" s="266"/>
      <c r="UBX2" s="266"/>
      <c r="UBY2" s="266"/>
      <c r="UBZ2" s="266"/>
      <c r="UCA2" s="266"/>
      <c r="UCB2" s="266"/>
      <c r="UCC2" s="266"/>
      <c r="UCD2" s="266"/>
      <c r="UCE2" s="266"/>
      <c r="UCF2" s="266"/>
      <c r="UCG2" s="266"/>
      <c r="UCH2" s="266"/>
      <c r="UCI2" s="266"/>
      <c r="UCJ2" s="266"/>
      <c r="UCK2" s="266"/>
      <c r="UCL2" s="266"/>
      <c r="UCM2" s="266"/>
      <c r="UCN2" s="266"/>
      <c r="UCO2" s="266"/>
      <c r="UCP2" s="266"/>
      <c r="UCQ2" s="266"/>
      <c r="UCR2" s="266"/>
      <c r="UCS2" s="266"/>
      <c r="UCT2" s="266"/>
      <c r="UCU2" s="266"/>
      <c r="UCV2" s="266"/>
      <c r="UCW2" s="266"/>
      <c r="UCX2" s="266"/>
      <c r="UCY2" s="266"/>
      <c r="UCZ2" s="266"/>
      <c r="UDA2" s="266"/>
      <c r="UDB2" s="266"/>
      <c r="UDC2" s="266"/>
      <c r="UDD2" s="266"/>
      <c r="UDE2" s="266"/>
      <c r="UDF2" s="266"/>
      <c r="UDG2" s="266"/>
      <c r="UDH2" s="266"/>
      <c r="UDI2" s="266"/>
      <c r="UDJ2" s="266"/>
      <c r="UDK2" s="266"/>
      <c r="UDL2" s="266"/>
      <c r="UDM2" s="266"/>
      <c r="UDN2" s="266"/>
      <c r="UDO2" s="266"/>
      <c r="UDP2" s="266"/>
      <c r="UDQ2" s="266"/>
      <c r="UDR2" s="266"/>
      <c r="UDS2" s="266"/>
      <c r="UDT2" s="266"/>
      <c r="UDU2" s="266"/>
      <c r="UDV2" s="266"/>
      <c r="UDW2" s="266"/>
      <c r="UDX2" s="266"/>
      <c r="UDY2" s="266"/>
      <c r="UDZ2" s="266"/>
      <c r="UEA2" s="266"/>
      <c r="UEB2" s="266"/>
      <c r="UEC2" s="266"/>
      <c r="UED2" s="266"/>
      <c r="UEE2" s="266"/>
      <c r="UEF2" s="266"/>
      <c r="UEG2" s="266"/>
      <c r="UEH2" s="266"/>
      <c r="UEI2" s="266"/>
      <c r="UEJ2" s="266"/>
      <c r="UEK2" s="266"/>
      <c r="UEL2" s="266"/>
      <c r="UEM2" s="266"/>
      <c r="UEN2" s="266"/>
      <c r="UEO2" s="266"/>
      <c r="UEP2" s="266"/>
      <c r="UEQ2" s="266"/>
      <c r="UER2" s="266"/>
      <c r="UES2" s="266"/>
      <c r="UET2" s="266"/>
      <c r="UEU2" s="266"/>
      <c r="UEV2" s="266"/>
      <c r="UEW2" s="266"/>
      <c r="UEX2" s="266"/>
      <c r="UEY2" s="266"/>
      <c r="UEZ2" s="266"/>
      <c r="UFA2" s="266"/>
      <c r="UFB2" s="266"/>
      <c r="UFC2" s="266"/>
      <c r="UFD2" s="266"/>
      <c r="UFE2" s="266"/>
      <c r="UFF2" s="266"/>
      <c r="UFG2" s="266"/>
      <c r="UFH2" s="266"/>
      <c r="UFI2" s="266"/>
      <c r="UFJ2" s="266"/>
      <c r="UFK2" s="266"/>
      <c r="UFL2" s="266"/>
      <c r="UFM2" s="266"/>
      <c r="UFN2" s="266"/>
      <c r="UFO2" s="266"/>
      <c r="UFP2" s="266"/>
      <c r="UFQ2" s="266"/>
      <c r="UFR2" s="266"/>
      <c r="UFS2" s="266"/>
      <c r="UFT2" s="266"/>
      <c r="UFU2" s="266"/>
      <c r="UFV2" s="266"/>
      <c r="UFW2" s="266"/>
      <c r="UFX2" s="266"/>
      <c r="UFY2" s="266"/>
      <c r="UFZ2" s="266"/>
      <c r="UGA2" s="266"/>
      <c r="UGB2" s="266"/>
      <c r="UGC2" s="266"/>
      <c r="UGD2" s="266"/>
      <c r="UGE2" s="266"/>
      <c r="UGF2" s="266"/>
      <c r="UGG2" s="266"/>
      <c r="UGH2" s="266"/>
      <c r="UGI2" s="266"/>
      <c r="UGJ2" s="266"/>
      <c r="UGK2" s="266"/>
      <c r="UGL2" s="266"/>
      <c r="UGM2" s="266"/>
      <c r="UGN2" s="266"/>
      <c r="UGO2" s="266"/>
      <c r="UGP2" s="266"/>
      <c r="UGQ2" s="266"/>
      <c r="UGR2" s="266"/>
      <c r="UGS2" s="266"/>
      <c r="UGT2" s="266"/>
      <c r="UGU2" s="266"/>
      <c r="UGV2" s="266"/>
      <c r="UGW2" s="266"/>
      <c r="UGX2" s="266"/>
      <c r="UGY2" s="266"/>
      <c r="UGZ2" s="266"/>
      <c r="UHA2" s="266"/>
      <c r="UHB2" s="266"/>
      <c r="UHC2" s="266"/>
      <c r="UHD2" s="266"/>
      <c r="UHE2" s="266"/>
      <c r="UHF2" s="266"/>
      <c r="UHG2" s="266"/>
      <c r="UHH2" s="266"/>
      <c r="UHI2" s="266"/>
      <c r="UHJ2" s="266"/>
      <c r="UHK2" s="266"/>
      <c r="UHL2" s="266"/>
      <c r="UHM2" s="266"/>
      <c r="UHN2" s="266"/>
      <c r="UHO2" s="266"/>
      <c r="UHP2" s="266"/>
      <c r="UHQ2" s="266"/>
      <c r="UHR2" s="266"/>
      <c r="UHS2" s="266"/>
      <c r="UHT2" s="266"/>
      <c r="UHU2" s="266"/>
      <c r="UHV2" s="266"/>
      <c r="UHW2" s="266"/>
      <c r="UHX2" s="266"/>
      <c r="UHY2" s="266"/>
      <c r="UHZ2" s="266"/>
      <c r="UIA2" s="266"/>
      <c r="UIB2" s="266"/>
      <c r="UIC2" s="266"/>
      <c r="UID2" s="266"/>
      <c r="UIE2" s="266"/>
      <c r="UIF2" s="266"/>
      <c r="UIG2" s="266"/>
      <c r="UIH2" s="266"/>
      <c r="UII2" s="266"/>
      <c r="UIJ2" s="266"/>
      <c r="UIK2" s="266"/>
      <c r="UIL2" s="266"/>
      <c r="UIM2" s="266"/>
      <c r="UIN2" s="266"/>
      <c r="UIO2" s="266"/>
      <c r="UIP2" s="266"/>
      <c r="UIQ2" s="266"/>
      <c r="UIR2" s="266"/>
      <c r="UIS2" s="266"/>
      <c r="UIT2" s="266"/>
      <c r="UIU2" s="266"/>
      <c r="UIV2" s="266"/>
      <c r="UIW2" s="266"/>
      <c r="UIX2" s="266"/>
      <c r="UIY2" s="266"/>
      <c r="UIZ2" s="266"/>
      <c r="UJA2" s="266"/>
      <c r="UJB2" s="266"/>
      <c r="UJC2" s="266"/>
      <c r="UJD2" s="266"/>
      <c r="UJE2" s="266"/>
      <c r="UJF2" s="266"/>
      <c r="UJG2" s="266"/>
      <c r="UJH2" s="266"/>
      <c r="UJI2" s="266"/>
      <c r="UJJ2" s="266"/>
      <c r="UJK2" s="266"/>
      <c r="UJL2" s="266"/>
      <c r="UJM2" s="266"/>
      <c r="UJN2" s="266"/>
      <c r="UJO2" s="266"/>
      <c r="UJP2" s="266"/>
      <c r="UJQ2" s="266"/>
      <c r="UJR2" s="266"/>
      <c r="UJS2" s="266"/>
      <c r="UJT2" s="266"/>
      <c r="UJU2" s="266"/>
      <c r="UJV2" s="266"/>
      <c r="UJW2" s="266"/>
      <c r="UJX2" s="266"/>
      <c r="UJY2" s="266"/>
      <c r="UJZ2" s="266"/>
      <c r="UKA2" s="266"/>
      <c r="UKB2" s="266"/>
      <c r="UKC2" s="266"/>
      <c r="UKD2" s="266"/>
      <c r="UKE2" s="266"/>
      <c r="UKF2" s="266"/>
      <c r="UKG2" s="266"/>
      <c r="UKH2" s="266"/>
      <c r="UKI2" s="266"/>
      <c r="UKJ2" s="266"/>
      <c r="UKK2" s="266"/>
      <c r="UKL2" s="266"/>
      <c r="UKM2" s="266"/>
      <c r="UKN2" s="266"/>
      <c r="UKO2" s="266"/>
      <c r="UKP2" s="266"/>
      <c r="UKQ2" s="266"/>
      <c r="UKR2" s="266"/>
      <c r="UKS2" s="266"/>
      <c r="UKT2" s="266"/>
      <c r="UKU2" s="266"/>
      <c r="UKV2" s="266"/>
      <c r="UKW2" s="266"/>
      <c r="UKX2" s="266"/>
      <c r="UKY2" s="266"/>
      <c r="UKZ2" s="266"/>
      <c r="ULA2" s="266"/>
      <c r="ULB2" s="266"/>
      <c r="ULC2" s="266"/>
      <c r="ULD2" s="266"/>
      <c r="ULE2" s="266"/>
      <c r="ULF2" s="266"/>
      <c r="ULG2" s="266"/>
      <c r="ULH2" s="266"/>
      <c r="ULI2" s="266"/>
      <c r="ULJ2" s="266"/>
      <c r="ULK2" s="266"/>
      <c r="ULL2" s="266"/>
      <c r="ULM2" s="266"/>
      <c r="ULN2" s="266"/>
      <c r="ULO2" s="266"/>
      <c r="ULP2" s="266"/>
      <c r="ULQ2" s="266"/>
      <c r="ULR2" s="266"/>
      <c r="ULS2" s="266"/>
      <c r="ULT2" s="266"/>
      <c r="ULU2" s="266"/>
      <c r="ULV2" s="266"/>
      <c r="ULW2" s="266"/>
      <c r="ULX2" s="266"/>
      <c r="ULY2" s="266"/>
      <c r="ULZ2" s="266"/>
      <c r="UMA2" s="266"/>
      <c r="UMB2" s="266"/>
      <c r="UMC2" s="266"/>
      <c r="UMD2" s="266"/>
      <c r="UME2" s="266"/>
      <c r="UMF2" s="266"/>
      <c r="UMG2" s="266"/>
      <c r="UMH2" s="266"/>
      <c r="UMI2" s="266"/>
      <c r="UMJ2" s="266"/>
      <c r="UMK2" s="266"/>
      <c r="UML2" s="266"/>
      <c r="UMM2" s="266"/>
      <c r="UMN2" s="266"/>
      <c r="UMO2" s="266"/>
      <c r="UMP2" s="266"/>
      <c r="UMQ2" s="266"/>
      <c r="UMR2" s="266"/>
      <c r="UMS2" s="266"/>
      <c r="UMT2" s="266"/>
      <c r="UMU2" s="266"/>
      <c r="UMV2" s="266"/>
      <c r="UMW2" s="266"/>
      <c r="UMX2" s="266"/>
      <c r="UMY2" s="266"/>
      <c r="UMZ2" s="266"/>
      <c r="UNA2" s="266"/>
      <c r="UNB2" s="266"/>
      <c r="UNC2" s="266"/>
      <c r="UND2" s="266"/>
      <c r="UNE2" s="266"/>
      <c r="UNF2" s="266"/>
      <c r="UNG2" s="266"/>
      <c r="UNH2" s="266"/>
      <c r="UNI2" s="266"/>
      <c r="UNJ2" s="266"/>
      <c r="UNK2" s="266"/>
      <c r="UNL2" s="266"/>
      <c r="UNM2" s="266"/>
      <c r="UNN2" s="266"/>
      <c r="UNO2" s="266"/>
      <c r="UNP2" s="266"/>
      <c r="UNQ2" s="266"/>
      <c r="UNR2" s="266"/>
      <c r="UNS2" s="266"/>
      <c r="UNT2" s="266"/>
      <c r="UNU2" s="266"/>
      <c r="UNV2" s="266"/>
      <c r="UNW2" s="266"/>
      <c r="UNX2" s="266"/>
      <c r="UNY2" s="266"/>
      <c r="UNZ2" s="266"/>
      <c r="UOA2" s="266"/>
      <c r="UOB2" s="266"/>
      <c r="UOC2" s="266"/>
      <c r="UOD2" s="266"/>
      <c r="UOE2" s="266"/>
      <c r="UOF2" s="266"/>
      <c r="UOG2" s="266"/>
      <c r="UOH2" s="266"/>
      <c r="UOI2" s="266"/>
      <c r="UOJ2" s="266"/>
      <c r="UOK2" s="266"/>
      <c r="UOL2" s="266"/>
      <c r="UOM2" s="266"/>
      <c r="UON2" s="266"/>
      <c r="UOO2" s="266"/>
      <c r="UOP2" s="266"/>
      <c r="UOQ2" s="266"/>
      <c r="UOR2" s="266"/>
      <c r="UOS2" s="266"/>
      <c r="UOT2" s="266"/>
      <c r="UOU2" s="266"/>
      <c r="UOV2" s="266"/>
      <c r="UOW2" s="266"/>
      <c r="UOX2" s="266"/>
      <c r="UOY2" s="266"/>
      <c r="UOZ2" s="266"/>
      <c r="UPA2" s="266"/>
      <c r="UPB2" s="266"/>
      <c r="UPC2" s="266"/>
      <c r="UPD2" s="266"/>
      <c r="UPE2" s="266"/>
      <c r="UPF2" s="266"/>
      <c r="UPG2" s="266"/>
      <c r="UPH2" s="266"/>
      <c r="UPI2" s="266"/>
      <c r="UPJ2" s="266"/>
      <c r="UPK2" s="266"/>
      <c r="UPL2" s="266"/>
      <c r="UPM2" s="266"/>
      <c r="UPN2" s="266"/>
      <c r="UPO2" s="266"/>
      <c r="UPP2" s="266"/>
      <c r="UPQ2" s="266"/>
      <c r="UPR2" s="266"/>
      <c r="UPS2" s="266"/>
      <c r="UPT2" s="266"/>
      <c r="UPU2" s="266"/>
      <c r="UPV2" s="266"/>
      <c r="UPW2" s="266"/>
      <c r="UPX2" s="266"/>
      <c r="UPY2" s="266"/>
      <c r="UPZ2" s="266"/>
      <c r="UQA2" s="266"/>
      <c r="UQB2" s="266"/>
      <c r="UQC2" s="266"/>
      <c r="UQD2" s="266"/>
      <c r="UQE2" s="266"/>
      <c r="UQF2" s="266"/>
      <c r="UQG2" s="266"/>
      <c r="UQH2" s="266"/>
      <c r="UQI2" s="266"/>
      <c r="UQJ2" s="266"/>
      <c r="UQK2" s="266"/>
      <c r="UQL2" s="266"/>
      <c r="UQM2" s="266"/>
      <c r="UQN2" s="266"/>
      <c r="UQO2" s="266"/>
      <c r="UQP2" s="266"/>
      <c r="UQQ2" s="266"/>
      <c r="UQR2" s="266"/>
      <c r="UQS2" s="266"/>
      <c r="UQT2" s="266"/>
      <c r="UQU2" s="266"/>
      <c r="UQV2" s="266"/>
      <c r="UQW2" s="266"/>
      <c r="UQX2" s="266"/>
      <c r="UQY2" s="266"/>
      <c r="UQZ2" s="266"/>
      <c r="URA2" s="266"/>
      <c r="URB2" s="266"/>
      <c r="URC2" s="266"/>
      <c r="URD2" s="266"/>
      <c r="URE2" s="266"/>
      <c r="URF2" s="266"/>
      <c r="URG2" s="266"/>
      <c r="URH2" s="266"/>
      <c r="URI2" s="266"/>
      <c r="URJ2" s="266"/>
      <c r="URK2" s="266"/>
      <c r="URL2" s="266"/>
      <c r="URM2" s="266"/>
      <c r="URN2" s="266"/>
      <c r="URO2" s="266"/>
      <c r="URP2" s="266"/>
      <c r="URQ2" s="266"/>
      <c r="URR2" s="266"/>
      <c r="URS2" s="266"/>
      <c r="URT2" s="266"/>
      <c r="URU2" s="266"/>
      <c r="URV2" s="266"/>
      <c r="URW2" s="266"/>
      <c r="URX2" s="266"/>
      <c r="URY2" s="266"/>
      <c r="URZ2" s="266"/>
      <c r="USA2" s="266"/>
      <c r="USB2" s="266"/>
      <c r="USC2" s="266"/>
      <c r="USD2" s="266"/>
      <c r="USE2" s="266"/>
      <c r="USF2" s="266"/>
      <c r="USG2" s="266"/>
      <c r="USH2" s="266"/>
      <c r="USI2" s="266"/>
      <c r="USJ2" s="266"/>
      <c r="USK2" s="266"/>
      <c r="USL2" s="266"/>
      <c r="USM2" s="266"/>
      <c r="USN2" s="266"/>
      <c r="USO2" s="266"/>
      <c r="USP2" s="266"/>
      <c r="USQ2" s="266"/>
      <c r="USR2" s="266"/>
      <c r="USS2" s="266"/>
      <c r="UST2" s="266"/>
      <c r="USU2" s="266"/>
      <c r="USV2" s="266"/>
      <c r="USW2" s="266"/>
      <c r="USX2" s="266"/>
      <c r="USY2" s="266"/>
      <c r="USZ2" s="266"/>
      <c r="UTA2" s="266"/>
      <c r="UTB2" s="266"/>
      <c r="UTC2" s="266"/>
      <c r="UTD2" s="266"/>
      <c r="UTE2" s="266"/>
      <c r="UTF2" s="266"/>
      <c r="UTG2" s="266"/>
      <c r="UTH2" s="266"/>
      <c r="UTI2" s="266"/>
      <c r="UTJ2" s="266"/>
      <c r="UTK2" s="266"/>
      <c r="UTL2" s="266"/>
      <c r="UTM2" s="266"/>
      <c r="UTN2" s="266"/>
      <c r="UTO2" s="266"/>
      <c r="UTP2" s="266"/>
      <c r="UTQ2" s="266"/>
      <c r="UTR2" s="266"/>
      <c r="UTS2" s="266"/>
      <c r="UTT2" s="266"/>
      <c r="UTU2" s="266"/>
      <c r="UTV2" s="266"/>
      <c r="UTW2" s="266"/>
      <c r="UTX2" s="266"/>
      <c r="UTY2" s="266"/>
      <c r="UTZ2" s="266"/>
      <c r="UUA2" s="266"/>
      <c r="UUB2" s="266"/>
      <c r="UUC2" s="266"/>
      <c r="UUD2" s="266"/>
      <c r="UUE2" s="266"/>
      <c r="UUF2" s="266"/>
      <c r="UUG2" s="266"/>
      <c r="UUH2" s="266"/>
      <c r="UUI2" s="266"/>
      <c r="UUJ2" s="266"/>
      <c r="UUK2" s="266"/>
      <c r="UUL2" s="266"/>
      <c r="UUM2" s="266"/>
      <c r="UUN2" s="266"/>
      <c r="UUO2" s="266"/>
      <c r="UUP2" s="266"/>
      <c r="UUQ2" s="266"/>
      <c r="UUR2" s="266"/>
      <c r="UUS2" s="266"/>
      <c r="UUT2" s="266"/>
      <c r="UUU2" s="266"/>
      <c r="UUV2" s="266"/>
      <c r="UUW2" s="266"/>
      <c r="UUX2" s="266"/>
      <c r="UUY2" s="266"/>
      <c r="UUZ2" s="266"/>
      <c r="UVA2" s="266"/>
      <c r="UVB2" s="266"/>
      <c r="UVC2" s="266"/>
      <c r="UVD2" s="266"/>
      <c r="UVE2" s="266"/>
      <c r="UVF2" s="266"/>
      <c r="UVG2" s="266"/>
      <c r="UVH2" s="266"/>
      <c r="UVI2" s="266"/>
      <c r="UVJ2" s="266"/>
      <c r="UVK2" s="266"/>
      <c r="UVL2" s="266"/>
      <c r="UVM2" s="266"/>
      <c r="UVN2" s="266"/>
      <c r="UVO2" s="266"/>
      <c r="UVP2" s="266"/>
      <c r="UVQ2" s="266"/>
      <c r="UVR2" s="266"/>
      <c r="UVS2" s="266"/>
      <c r="UVT2" s="266"/>
      <c r="UVU2" s="266"/>
      <c r="UVV2" s="266"/>
      <c r="UVW2" s="266"/>
      <c r="UVX2" s="266"/>
      <c r="UVY2" s="266"/>
      <c r="UVZ2" s="266"/>
      <c r="UWA2" s="266"/>
      <c r="UWB2" s="266"/>
      <c r="UWC2" s="266"/>
      <c r="UWD2" s="266"/>
      <c r="UWE2" s="266"/>
      <c r="UWF2" s="266"/>
      <c r="UWG2" s="266"/>
      <c r="UWH2" s="266"/>
      <c r="UWI2" s="266"/>
      <c r="UWJ2" s="266"/>
      <c r="UWK2" s="266"/>
      <c r="UWL2" s="266"/>
      <c r="UWM2" s="266"/>
      <c r="UWN2" s="266"/>
      <c r="UWO2" s="266"/>
      <c r="UWP2" s="266"/>
      <c r="UWQ2" s="266"/>
      <c r="UWR2" s="266"/>
      <c r="UWS2" s="266"/>
      <c r="UWT2" s="266"/>
      <c r="UWU2" s="266"/>
      <c r="UWV2" s="266"/>
      <c r="UWW2" s="266"/>
      <c r="UWX2" s="266"/>
      <c r="UWY2" s="266"/>
      <c r="UWZ2" s="266"/>
      <c r="UXA2" s="266"/>
      <c r="UXB2" s="266"/>
      <c r="UXC2" s="266"/>
      <c r="UXD2" s="266"/>
      <c r="UXE2" s="266"/>
      <c r="UXF2" s="266"/>
      <c r="UXG2" s="266"/>
      <c r="UXH2" s="266"/>
      <c r="UXI2" s="266"/>
      <c r="UXJ2" s="266"/>
      <c r="UXK2" s="266"/>
      <c r="UXL2" s="266"/>
      <c r="UXM2" s="266"/>
      <c r="UXN2" s="266"/>
      <c r="UXO2" s="266"/>
      <c r="UXP2" s="266"/>
      <c r="UXQ2" s="266"/>
      <c r="UXR2" s="266"/>
      <c r="UXS2" s="266"/>
      <c r="UXT2" s="266"/>
      <c r="UXU2" s="266"/>
      <c r="UXV2" s="266"/>
      <c r="UXW2" s="266"/>
      <c r="UXX2" s="266"/>
      <c r="UXY2" s="266"/>
      <c r="UXZ2" s="266"/>
      <c r="UYA2" s="266"/>
      <c r="UYB2" s="266"/>
      <c r="UYC2" s="266"/>
      <c r="UYD2" s="266"/>
      <c r="UYE2" s="266"/>
      <c r="UYF2" s="266"/>
      <c r="UYG2" s="266"/>
      <c r="UYH2" s="266"/>
      <c r="UYI2" s="266"/>
      <c r="UYJ2" s="266"/>
      <c r="UYK2" s="266"/>
      <c r="UYL2" s="266"/>
      <c r="UYM2" s="266"/>
      <c r="UYN2" s="266"/>
      <c r="UYO2" s="266"/>
      <c r="UYP2" s="266"/>
      <c r="UYQ2" s="266"/>
      <c r="UYR2" s="266"/>
      <c r="UYS2" s="266"/>
      <c r="UYT2" s="266"/>
      <c r="UYU2" s="266"/>
      <c r="UYV2" s="266"/>
      <c r="UYW2" s="266"/>
      <c r="UYX2" s="266"/>
      <c r="UYY2" s="266"/>
      <c r="UYZ2" s="266"/>
      <c r="UZA2" s="266"/>
      <c r="UZB2" s="266"/>
      <c r="UZC2" s="266"/>
      <c r="UZD2" s="266"/>
      <c r="UZE2" s="266"/>
      <c r="UZF2" s="266"/>
      <c r="UZG2" s="266"/>
      <c r="UZH2" s="266"/>
      <c r="UZI2" s="266"/>
      <c r="UZJ2" s="266"/>
      <c r="UZK2" s="266"/>
      <c r="UZL2" s="266"/>
      <c r="UZM2" s="266"/>
      <c r="UZN2" s="266"/>
      <c r="UZO2" s="266"/>
      <c r="UZP2" s="266"/>
      <c r="UZQ2" s="266"/>
      <c r="UZR2" s="266"/>
      <c r="UZS2" s="266"/>
      <c r="UZT2" s="266"/>
      <c r="UZU2" s="266"/>
      <c r="UZV2" s="266"/>
      <c r="UZW2" s="266"/>
      <c r="UZX2" s="266"/>
      <c r="UZY2" s="266"/>
      <c r="UZZ2" s="266"/>
      <c r="VAA2" s="266"/>
      <c r="VAB2" s="266"/>
      <c r="VAC2" s="266"/>
      <c r="VAD2" s="266"/>
      <c r="VAE2" s="266"/>
      <c r="VAF2" s="266"/>
      <c r="VAG2" s="266"/>
      <c r="VAH2" s="266"/>
      <c r="VAI2" s="266"/>
      <c r="VAJ2" s="266"/>
      <c r="VAK2" s="266"/>
      <c r="VAL2" s="266"/>
      <c r="VAM2" s="266"/>
      <c r="VAN2" s="266"/>
      <c r="VAO2" s="266"/>
      <c r="VAP2" s="266"/>
      <c r="VAQ2" s="266"/>
      <c r="VAR2" s="266"/>
      <c r="VAS2" s="266"/>
      <c r="VAT2" s="266"/>
      <c r="VAU2" s="266"/>
      <c r="VAV2" s="266"/>
      <c r="VAW2" s="266"/>
      <c r="VAX2" s="266"/>
      <c r="VAY2" s="266"/>
      <c r="VAZ2" s="266"/>
      <c r="VBA2" s="266"/>
      <c r="VBB2" s="266"/>
      <c r="VBC2" s="266"/>
      <c r="VBD2" s="266"/>
      <c r="VBE2" s="266"/>
      <c r="VBF2" s="266"/>
      <c r="VBG2" s="266"/>
      <c r="VBH2" s="266"/>
      <c r="VBI2" s="266"/>
      <c r="VBJ2" s="266"/>
      <c r="VBK2" s="266"/>
      <c r="VBL2" s="266"/>
      <c r="VBM2" s="266"/>
      <c r="VBN2" s="266"/>
      <c r="VBO2" s="266"/>
      <c r="VBP2" s="266"/>
      <c r="VBQ2" s="266"/>
      <c r="VBR2" s="266"/>
      <c r="VBS2" s="266"/>
      <c r="VBT2" s="266"/>
      <c r="VBU2" s="266"/>
      <c r="VBV2" s="266"/>
      <c r="VBW2" s="266"/>
      <c r="VBX2" s="266"/>
      <c r="VBY2" s="266"/>
      <c r="VBZ2" s="266"/>
      <c r="VCA2" s="266"/>
      <c r="VCB2" s="266"/>
      <c r="VCC2" s="266"/>
      <c r="VCD2" s="266"/>
      <c r="VCE2" s="266"/>
      <c r="VCF2" s="266"/>
      <c r="VCG2" s="266"/>
      <c r="VCH2" s="266"/>
      <c r="VCI2" s="266"/>
      <c r="VCJ2" s="266"/>
      <c r="VCK2" s="266"/>
      <c r="VCL2" s="266"/>
      <c r="VCM2" s="266"/>
      <c r="VCN2" s="266"/>
      <c r="VCO2" s="266"/>
      <c r="VCP2" s="266"/>
      <c r="VCQ2" s="266"/>
      <c r="VCR2" s="266"/>
      <c r="VCS2" s="266"/>
      <c r="VCT2" s="266"/>
      <c r="VCU2" s="266"/>
      <c r="VCV2" s="266"/>
      <c r="VCW2" s="266"/>
      <c r="VCX2" s="266"/>
      <c r="VCY2" s="266"/>
      <c r="VCZ2" s="266"/>
      <c r="VDA2" s="266"/>
      <c r="VDB2" s="266"/>
      <c r="VDC2" s="266"/>
      <c r="VDD2" s="266"/>
      <c r="VDE2" s="266"/>
      <c r="VDF2" s="266"/>
      <c r="VDG2" s="266"/>
      <c r="VDH2" s="266"/>
      <c r="VDI2" s="266"/>
      <c r="VDJ2" s="266"/>
      <c r="VDK2" s="266"/>
      <c r="VDL2" s="266"/>
      <c r="VDM2" s="266"/>
      <c r="VDN2" s="266"/>
      <c r="VDO2" s="266"/>
      <c r="VDP2" s="266"/>
      <c r="VDQ2" s="266"/>
      <c r="VDR2" s="266"/>
      <c r="VDS2" s="266"/>
      <c r="VDT2" s="266"/>
      <c r="VDU2" s="266"/>
      <c r="VDV2" s="266"/>
      <c r="VDW2" s="266"/>
      <c r="VDX2" s="266"/>
      <c r="VDY2" s="266"/>
      <c r="VDZ2" s="266"/>
      <c r="VEA2" s="266"/>
      <c r="VEB2" s="266"/>
      <c r="VEC2" s="266"/>
      <c r="VED2" s="266"/>
      <c r="VEE2" s="266"/>
      <c r="VEF2" s="266"/>
      <c r="VEG2" s="266"/>
      <c r="VEH2" s="266"/>
      <c r="VEI2" s="266"/>
      <c r="VEJ2" s="266"/>
      <c r="VEK2" s="266"/>
      <c r="VEL2" s="266"/>
      <c r="VEM2" s="266"/>
      <c r="VEN2" s="266"/>
      <c r="VEO2" s="266"/>
      <c r="VEP2" s="266"/>
      <c r="VEQ2" s="266"/>
      <c r="VER2" s="266"/>
      <c r="VES2" s="266"/>
      <c r="VET2" s="266"/>
      <c r="VEU2" s="266"/>
      <c r="VEV2" s="266"/>
      <c r="VEW2" s="266"/>
      <c r="VEX2" s="266"/>
      <c r="VEY2" s="266"/>
      <c r="VEZ2" s="266"/>
      <c r="VFA2" s="266"/>
      <c r="VFB2" s="266"/>
      <c r="VFC2" s="266"/>
      <c r="VFD2" s="266"/>
      <c r="VFE2" s="266"/>
      <c r="VFF2" s="266"/>
      <c r="VFG2" s="266"/>
      <c r="VFH2" s="266"/>
      <c r="VFI2" s="266"/>
      <c r="VFJ2" s="266"/>
      <c r="VFK2" s="266"/>
      <c r="VFL2" s="266"/>
      <c r="VFM2" s="266"/>
      <c r="VFN2" s="266"/>
      <c r="VFO2" s="266"/>
      <c r="VFP2" s="266"/>
      <c r="VFQ2" s="266"/>
      <c r="VFR2" s="266"/>
      <c r="VFS2" s="266"/>
      <c r="VFT2" s="266"/>
      <c r="VFU2" s="266"/>
      <c r="VFV2" s="266"/>
      <c r="VFW2" s="266"/>
      <c r="VFX2" s="266"/>
      <c r="VFY2" s="266"/>
      <c r="VFZ2" s="266"/>
      <c r="VGA2" s="266"/>
      <c r="VGB2" s="266"/>
      <c r="VGC2" s="266"/>
      <c r="VGD2" s="266"/>
      <c r="VGE2" s="266"/>
      <c r="VGF2" s="266"/>
      <c r="VGG2" s="266"/>
      <c r="VGH2" s="266"/>
      <c r="VGI2" s="266"/>
      <c r="VGJ2" s="266"/>
      <c r="VGK2" s="266"/>
      <c r="VGL2" s="266"/>
      <c r="VGM2" s="266"/>
      <c r="VGN2" s="266"/>
      <c r="VGO2" s="266"/>
      <c r="VGP2" s="266"/>
      <c r="VGQ2" s="266"/>
      <c r="VGR2" s="266"/>
      <c r="VGS2" s="266"/>
      <c r="VGT2" s="266"/>
      <c r="VGU2" s="266"/>
      <c r="VGV2" s="266"/>
      <c r="VGW2" s="266"/>
      <c r="VGX2" s="266"/>
      <c r="VGY2" s="266"/>
      <c r="VGZ2" s="266"/>
      <c r="VHA2" s="266"/>
      <c r="VHB2" s="266"/>
      <c r="VHC2" s="266"/>
      <c r="VHD2" s="266"/>
      <c r="VHE2" s="266"/>
      <c r="VHF2" s="266"/>
      <c r="VHG2" s="266"/>
      <c r="VHH2" s="266"/>
      <c r="VHI2" s="266"/>
      <c r="VHJ2" s="266"/>
      <c r="VHK2" s="266"/>
      <c r="VHL2" s="266"/>
      <c r="VHM2" s="266"/>
      <c r="VHN2" s="266"/>
      <c r="VHO2" s="266"/>
      <c r="VHP2" s="266"/>
      <c r="VHQ2" s="266"/>
      <c r="VHR2" s="266"/>
      <c r="VHS2" s="266"/>
      <c r="VHT2" s="266"/>
      <c r="VHU2" s="266"/>
      <c r="VHV2" s="266"/>
      <c r="VHW2" s="266"/>
      <c r="VHX2" s="266"/>
      <c r="VHY2" s="266"/>
      <c r="VHZ2" s="266"/>
      <c r="VIA2" s="266"/>
      <c r="VIB2" s="266"/>
      <c r="VIC2" s="266"/>
      <c r="VID2" s="266"/>
      <c r="VIE2" s="266"/>
      <c r="VIF2" s="266"/>
      <c r="VIG2" s="266"/>
      <c r="VIH2" s="266"/>
      <c r="VII2" s="266"/>
      <c r="VIJ2" s="266"/>
      <c r="VIK2" s="266"/>
      <c r="VIL2" s="266"/>
      <c r="VIM2" s="266"/>
      <c r="VIN2" s="266"/>
      <c r="VIO2" s="266"/>
      <c r="VIP2" s="266"/>
      <c r="VIQ2" s="266"/>
      <c r="VIR2" s="266"/>
      <c r="VIS2" s="266"/>
      <c r="VIT2" s="266"/>
      <c r="VIU2" s="266"/>
      <c r="VIV2" s="266"/>
      <c r="VIW2" s="266"/>
      <c r="VIX2" s="266"/>
      <c r="VIY2" s="266"/>
      <c r="VIZ2" s="266"/>
      <c r="VJA2" s="266"/>
      <c r="VJB2" s="266"/>
      <c r="VJC2" s="266"/>
      <c r="VJD2" s="266"/>
      <c r="VJE2" s="266"/>
      <c r="VJF2" s="266"/>
      <c r="VJG2" s="266"/>
      <c r="VJH2" s="266"/>
      <c r="VJI2" s="266"/>
      <c r="VJJ2" s="266"/>
      <c r="VJK2" s="266"/>
      <c r="VJL2" s="266"/>
      <c r="VJM2" s="266"/>
      <c r="VJN2" s="266"/>
      <c r="VJO2" s="266"/>
      <c r="VJP2" s="266"/>
      <c r="VJQ2" s="266"/>
      <c r="VJR2" s="266"/>
      <c r="VJS2" s="266"/>
      <c r="VJT2" s="266"/>
      <c r="VJU2" s="266"/>
      <c r="VJV2" s="266"/>
      <c r="VJW2" s="266"/>
      <c r="VJX2" s="266"/>
      <c r="VJY2" s="266"/>
      <c r="VJZ2" s="266"/>
      <c r="VKA2" s="266"/>
      <c r="VKB2" s="266"/>
      <c r="VKC2" s="266"/>
      <c r="VKD2" s="266"/>
      <c r="VKE2" s="266"/>
      <c r="VKF2" s="266"/>
      <c r="VKG2" s="266"/>
      <c r="VKH2" s="266"/>
      <c r="VKI2" s="266"/>
      <c r="VKJ2" s="266"/>
      <c r="VKK2" s="266"/>
      <c r="VKL2" s="266"/>
      <c r="VKM2" s="266"/>
      <c r="VKN2" s="266"/>
      <c r="VKO2" s="266"/>
      <c r="VKP2" s="266"/>
      <c r="VKQ2" s="266"/>
      <c r="VKR2" s="266"/>
      <c r="VKS2" s="266"/>
      <c r="VKT2" s="266"/>
      <c r="VKU2" s="266"/>
      <c r="VKV2" s="266"/>
      <c r="VKW2" s="266"/>
      <c r="VKX2" s="266"/>
      <c r="VKY2" s="266"/>
      <c r="VKZ2" s="266"/>
      <c r="VLA2" s="266"/>
      <c r="VLB2" s="266"/>
      <c r="VLC2" s="266"/>
      <c r="VLD2" s="266"/>
      <c r="VLE2" s="266"/>
      <c r="VLF2" s="266"/>
      <c r="VLG2" s="266"/>
      <c r="VLH2" s="266"/>
      <c r="VLI2" s="266"/>
      <c r="VLJ2" s="266"/>
      <c r="VLK2" s="266"/>
      <c r="VLL2" s="266"/>
      <c r="VLM2" s="266"/>
      <c r="VLN2" s="266"/>
      <c r="VLO2" s="266"/>
      <c r="VLP2" s="266"/>
      <c r="VLQ2" s="266"/>
      <c r="VLR2" s="266"/>
      <c r="VLS2" s="266"/>
      <c r="VLT2" s="266"/>
      <c r="VLU2" s="266"/>
      <c r="VLV2" s="266"/>
      <c r="VLW2" s="266"/>
      <c r="VLX2" s="266"/>
      <c r="VLY2" s="266"/>
      <c r="VLZ2" s="266"/>
      <c r="VMA2" s="266"/>
      <c r="VMB2" s="266"/>
      <c r="VMC2" s="266"/>
      <c r="VMD2" s="266"/>
      <c r="VME2" s="266"/>
      <c r="VMF2" s="266"/>
      <c r="VMG2" s="266"/>
      <c r="VMH2" s="266"/>
      <c r="VMI2" s="266"/>
      <c r="VMJ2" s="266"/>
      <c r="VMK2" s="266"/>
      <c r="VML2" s="266"/>
      <c r="VMM2" s="266"/>
      <c r="VMN2" s="266"/>
      <c r="VMO2" s="266"/>
      <c r="VMP2" s="266"/>
      <c r="VMQ2" s="266"/>
      <c r="VMR2" s="266"/>
      <c r="VMS2" s="266"/>
      <c r="VMT2" s="266"/>
      <c r="VMU2" s="266"/>
      <c r="VMV2" s="266"/>
      <c r="VMW2" s="266"/>
      <c r="VMX2" s="266"/>
      <c r="VMY2" s="266"/>
      <c r="VMZ2" s="266"/>
      <c r="VNA2" s="266"/>
      <c r="VNB2" s="266"/>
      <c r="VNC2" s="266"/>
      <c r="VND2" s="266"/>
      <c r="VNE2" s="266"/>
      <c r="VNF2" s="266"/>
      <c r="VNG2" s="266"/>
      <c r="VNH2" s="266"/>
      <c r="VNI2" s="266"/>
      <c r="VNJ2" s="266"/>
      <c r="VNK2" s="266"/>
      <c r="VNL2" s="266"/>
      <c r="VNM2" s="266"/>
      <c r="VNN2" s="266"/>
      <c r="VNO2" s="266"/>
      <c r="VNP2" s="266"/>
      <c r="VNQ2" s="266"/>
      <c r="VNR2" s="266"/>
      <c r="VNS2" s="266"/>
      <c r="VNT2" s="266"/>
      <c r="VNU2" s="266"/>
      <c r="VNV2" s="266"/>
      <c r="VNW2" s="266"/>
      <c r="VNX2" s="266"/>
      <c r="VNY2" s="266"/>
      <c r="VNZ2" s="266"/>
      <c r="VOA2" s="266"/>
      <c r="VOB2" s="266"/>
      <c r="VOC2" s="266"/>
      <c r="VOD2" s="266"/>
      <c r="VOE2" s="266"/>
      <c r="VOF2" s="266"/>
      <c r="VOG2" s="266"/>
      <c r="VOH2" s="266"/>
      <c r="VOI2" s="266"/>
      <c r="VOJ2" s="266"/>
      <c r="VOK2" s="266"/>
      <c r="VOL2" s="266"/>
      <c r="VOM2" s="266"/>
      <c r="VON2" s="266"/>
      <c r="VOO2" s="266"/>
      <c r="VOP2" s="266"/>
      <c r="VOQ2" s="266"/>
      <c r="VOR2" s="266"/>
      <c r="VOS2" s="266"/>
      <c r="VOT2" s="266"/>
      <c r="VOU2" s="266"/>
      <c r="VOV2" s="266"/>
      <c r="VOW2" s="266"/>
      <c r="VOX2" s="266"/>
      <c r="VOY2" s="266"/>
      <c r="VOZ2" s="266"/>
      <c r="VPA2" s="266"/>
      <c r="VPB2" s="266"/>
      <c r="VPC2" s="266"/>
      <c r="VPD2" s="266"/>
      <c r="VPE2" s="266"/>
      <c r="VPF2" s="266"/>
      <c r="VPG2" s="266"/>
      <c r="VPH2" s="266"/>
      <c r="VPI2" s="266"/>
      <c r="VPJ2" s="266"/>
      <c r="VPK2" s="266"/>
      <c r="VPL2" s="266"/>
      <c r="VPM2" s="266"/>
      <c r="VPN2" s="266"/>
      <c r="VPO2" s="266"/>
      <c r="VPP2" s="266"/>
      <c r="VPQ2" s="266"/>
      <c r="VPR2" s="266"/>
      <c r="VPS2" s="266"/>
      <c r="VPT2" s="266"/>
      <c r="VPU2" s="266"/>
      <c r="VPV2" s="266"/>
      <c r="VPW2" s="266"/>
      <c r="VPX2" s="266"/>
      <c r="VPY2" s="266"/>
      <c r="VPZ2" s="266"/>
      <c r="VQA2" s="266"/>
      <c r="VQB2" s="266"/>
      <c r="VQC2" s="266"/>
      <c r="VQD2" s="266"/>
      <c r="VQE2" s="266"/>
      <c r="VQF2" s="266"/>
      <c r="VQG2" s="266"/>
      <c r="VQH2" s="266"/>
      <c r="VQI2" s="266"/>
      <c r="VQJ2" s="266"/>
      <c r="VQK2" s="266"/>
      <c r="VQL2" s="266"/>
      <c r="VQM2" s="266"/>
      <c r="VQN2" s="266"/>
      <c r="VQO2" s="266"/>
      <c r="VQP2" s="266"/>
      <c r="VQQ2" s="266"/>
      <c r="VQR2" s="266"/>
      <c r="VQS2" s="266"/>
      <c r="VQT2" s="266"/>
      <c r="VQU2" s="266"/>
      <c r="VQV2" s="266"/>
      <c r="VQW2" s="266"/>
      <c r="VQX2" s="266"/>
      <c r="VQY2" s="266"/>
      <c r="VQZ2" s="266"/>
      <c r="VRA2" s="266"/>
      <c r="VRB2" s="266"/>
      <c r="VRC2" s="266"/>
      <c r="VRD2" s="266"/>
      <c r="VRE2" s="266"/>
      <c r="VRF2" s="266"/>
      <c r="VRG2" s="266"/>
      <c r="VRH2" s="266"/>
      <c r="VRI2" s="266"/>
      <c r="VRJ2" s="266"/>
      <c r="VRK2" s="266"/>
      <c r="VRL2" s="266"/>
      <c r="VRM2" s="266"/>
      <c r="VRN2" s="266"/>
      <c r="VRO2" s="266"/>
      <c r="VRP2" s="266"/>
      <c r="VRQ2" s="266"/>
      <c r="VRR2" s="266"/>
      <c r="VRS2" s="266"/>
      <c r="VRT2" s="266"/>
      <c r="VRU2" s="266"/>
      <c r="VRV2" s="266"/>
      <c r="VRW2" s="266"/>
      <c r="VRX2" s="266"/>
      <c r="VRY2" s="266"/>
      <c r="VRZ2" s="266"/>
      <c r="VSA2" s="266"/>
      <c r="VSB2" s="266"/>
      <c r="VSC2" s="266"/>
      <c r="VSD2" s="266"/>
      <c r="VSE2" s="266"/>
      <c r="VSF2" s="266"/>
      <c r="VSG2" s="266"/>
      <c r="VSH2" s="266"/>
      <c r="VSI2" s="266"/>
      <c r="VSJ2" s="266"/>
      <c r="VSK2" s="266"/>
      <c r="VSL2" s="266"/>
      <c r="VSM2" s="266"/>
      <c r="VSN2" s="266"/>
      <c r="VSO2" s="266"/>
      <c r="VSP2" s="266"/>
      <c r="VSQ2" s="266"/>
      <c r="VSR2" s="266"/>
      <c r="VSS2" s="266"/>
      <c r="VST2" s="266"/>
      <c r="VSU2" s="266"/>
      <c r="VSV2" s="266"/>
      <c r="VSW2" s="266"/>
      <c r="VSX2" s="266"/>
      <c r="VSY2" s="266"/>
      <c r="VSZ2" s="266"/>
      <c r="VTA2" s="266"/>
      <c r="VTB2" s="266"/>
      <c r="VTC2" s="266"/>
      <c r="VTD2" s="266"/>
      <c r="VTE2" s="266"/>
      <c r="VTF2" s="266"/>
      <c r="VTG2" s="266"/>
      <c r="VTH2" s="266"/>
      <c r="VTI2" s="266"/>
      <c r="VTJ2" s="266"/>
      <c r="VTK2" s="266"/>
      <c r="VTL2" s="266"/>
      <c r="VTM2" s="266"/>
      <c r="VTN2" s="266"/>
      <c r="VTO2" s="266"/>
      <c r="VTP2" s="266"/>
      <c r="VTQ2" s="266"/>
      <c r="VTR2" s="266"/>
      <c r="VTS2" s="266"/>
      <c r="VTT2" s="266"/>
      <c r="VTU2" s="266"/>
      <c r="VTV2" s="266"/>
      <c r="VTW2" s="266"/>
      <c r="VTX2" s="266"/>
      <c r="VTY2" s="266"/>
      <c r="VTZ2" s="266"/>
      <c r="VUA2" s="266"/>
      <c r="VUB2" s="266"/>
      <c r="VUC2" s="266"/>
      <c r="VUD2" s="266"/>
      <c r="VUE2" s="266"/>
      <c r="VUF2" s="266"/>
      <c r="VUG2" s="266"/>
      <c r="VUH2" s="266"/>
      <c r="VUI2" s="266"/>
      <c r="VUJ2" s="266"/>
      <c r="VUK2" s="266"/>
      <c r="VUL2" s="266"/>
      <c r="VUM2" s="266"/>
      <c r="VUN2" s="266"/>
      <c r="VUO2" s="266"/>
      <c r="VUP2" s="266"/>
      <c r="VUQ2" s="266"/>
      <c r="VUR2" s="266"/>
      <c r="VUS2" s="266"/>
      <c r="VUT2" s="266"/>
      <c r="VUU2" s="266"/>
      <c r="VUV2" s="266"/>
      <c r="VUW2" s="266"/>
      <c r="VUX2" s="266"/>
      <c r="VUY2" s="266"/>
      <c r="VUZ2" s="266"/>
      <c r="VVA2" s="266"/>
      <c r="VVB2" s="266"/>
      <c r="VVC2" s="266"/>
      <c r="VVD2" s="266"/>
      <c r="VVE2" s="266"/>
      <c r="VVF2" s="266"/>
      <c r="VVG2" s="266"/>
      <c r="VVH2" s="266"/>
      <c r="VVI2" s="266"/>
      <c r="VVJ2" s="266"/>
      <c r="VVK2" s="266"/>
      <c r="VVL2" s="266"/>
      <c r="VVM2" s="266"/>
      <c r="VVN2" s="266"/>
      <c r="VVO2" s="266"/>
      <c r="VVP2" s="266"/>
      <c r="VVQ2" s="266"/>
      <c r="VVR2" s="266"/>
      <c r="VVS2" s="266"/>
      <c r="VVT2" s="266"/>
      <c r="VVU2" s="266"/>
      <c r="VVV2" s="266"/>
      <c r="VVW2" s="266"/>
      <c r="VVX2" s="266"/>
      <c r="VVY2" s="266"/>
      <c r="VVZ2" s="266"/>
      <c r="VWA2" s="266"/>
      <c r="VWB2" s="266"/>
      <c r="VWC2" s="266"/>
      <c r="VWD2" s="266"/>
      <c r="VWE2" s="266"/>
      <c r="VWF2" s="266"/>
      <c r="VWG2" s="266"/>
      <c r="VWH2" s="266"/>
      <c r="VWI2" s="266"/>
      <c r="VWJ2" s="266"/>
      <c r="VWK2" s="266"/>
      <c r="VWL2" s="266"/>
      <c r="VWM2" s="266"/>
      <c r="VWN2" s="266"/>
      <c r="VWO2" s="266"/>
      <c r="VWP2" s="266"/>
      <c r="VWQ2" s="266"/>
      <c r="VWR2" s="266"/>
      <c r="VWS2" s="266"/>
      <c r="VWT2" s="266"/>
      <c r="VWU2" s="266"/>
      <c r="VWV2" s="266"/>
      <c r="VWW2" s="266"/>
      <c r="VWX2" s="266"/>
      <c r="VWY2" s="266"/>
      <c r="VWZ2" s="266"/>
      <c r="VXA2" s="266"/>
      <c r="VXB2" s="266"/>
      <c r="VXC2" s="266"/>
      <c r="VXD2" s="266"/>
      <c r="VXE2" s="266"/>
      <c r="VXF2" s="266"/>
      <c r="VXG2" s="266"/>
      <c r="VXH2" s="266"/>
      <c r="VXI2" s="266"/>
      <c r="VXJ2" s="266"/>
      <c r="VXK2" s="266"/>
      <c r="VXL2" s="266"/>
      <c r="VXM2" s="266"/>
      <c r="VXN2" s="266"/>
      <c r="VXO2" s="266"/>
      <c r="VXP2" s="266"/>
      <c r="VXQ2" s="266"/>
      <c r="VXR2" s="266"/>
      <c r="VXS2" s="266"/>
      <c r="VXT2" s="266"/>
      <c r="VXU2" s="266"/>
      <c r="VXV2" s="266"/>
      <c r="VXW2" s="266"/>
      <c r="VXX2" s="266"/>
      <c r="VXY2" s="266"/>
      <c r="VXZ2" s="266"/>
      <c r="VYA2" s="266"/>
      <c r="VYB2" s="266"/>
      <c r="VYC2" s="266"/>
      <c r="VYD2" s="266"/>
      <c r="VYE2" s="266"/>
      <c r="VYF2" s="266"/>
      <c r="VYG2" s="266"/>
      <c r="VYH2" s="266"/>
      <c r="VYI2" s="266"/>
      <c r="VYJ2" s="266"/>
      <c r="VYK2" s="266"/>
      <c r="VYL2" s="266"/>
      <c r="VYM2" s="266"/>
      <c r="VYN2" s="266"/>
      <c r="VYO2" s="266"/>
      <c r="VYP2" s="266"/>
      <c r="VYQ2" s="266"/>
      <c r="VYR2" s="266"/>
      <c r="VYS2" s="266"/>
      <c r="VYT2" s="266"/>
      <c r="VYU2" s="266"/>
      <c r="VYV2" s="266"/>
      <c r="VYW2" s="266"/>
      <c r="VYX2" s="266"/>
      <c r="VYY2" s="266"/>
      <c r="VYZ2" s="266"/>
      <c r="VZA2" s="266"/>
      <c r="VZB2" s="266"/>
      <c r="VZC2" s="266"/>
      <c r="VZD2" s="266"/>
      <c r="VZE2" s="266"/>
      <c r="VZF2" s="266"/>
      <c r="VZG2" s="266"/>
      <c r="VZH2" s="266"/>
      <c r="VZI2" s="266"/>
      <c r="VZJ2" s="266"/>
      <c r="VZK2" s="266"/>
      <c r="VZL2" s="266"/>
      <c r="VZM2" s="266"/>
      <c r="VZN2" s="266"/>
      <c r="VZO2" s="266"/>
      <c r="VZP2" s="266"/>
      <c r="VZQ2" s="266"/>
      <c r="VZR2" s="266"/>
      <c r="VZS2" s="266"/>
      <c r="VZT2" s="266"/>
      <c r="VZU2" s="266"/>
      <c r="VZV2" s="266"/>
      <c r="VZW2" s="266"/>
      <c r="VZX2" s="266"/>
      <c r="VZY2" s="266"/>
      <c r="VZZ2" s="266"/>
      <c r="WAA2" s="266"/>
      <c r="WAB2" s="266"/>
      <c r="WAC2" s="266"/>
      <c r="WAD2" s="266"/>
      <c r="WAE2" s="266"/>
      <c r="WAF2" s="266"/>
      <c r="WAG2" s="266"/>
      <c r="WAH2" s="266"/>
      <c r="WAI2" s="266"/>
      <c r="WAJ2" s="266"/>
      <c r="WAK2" s="266"/>
      <c r="WAL2" s="266"/>
      <c r="WAM2" s="266"/>
      <c r="WAN2" s="266"/>
      <c r="WAO2" s="266"/>
      <c r="WAP2" s="266"/>
      <c r="WAQ2" s="266"/>
      <c r="WAR2" s="266"/>
      <c r="WAS2" s="266"/>
      <c r="WAT2" s="266"/>
      <c r="WAU2" s="266"/>
      <c r="WAV2" s="266"/>
      <c r="WAW2" s="266"/>
      <c r="WAX2" s="266"/>
      <c r="WAY2" s="266"/>
      <c r="WAZ2" s="266"/>
      <c r="WBA2" s="266"/>
      <c r="WBB2" s="266"/>
      <c r="WBC2" s="266"/>
      <c r="WBD2" s="266"/>
      <c r="WBE2" s="266"/>
      <c r="WBF2" s="266"/>
      <c r="WBG2" s="266"/>
      <c r="WBH2" s="266"/>
      <c r="WBI2" s="266"/>
      <c r="WBJ2" s="266"/>
      <c r="WBK2" s="266"/>
      <c r="WBL2" s="266"/>
      <c r="WBM2" s="266"/>
      <c r="WBN2" s="266"/>
      <c r="WBO2" s="266"/>
      <c r="WBP2" s="266"/>
      <c r="WBQ2" s="266"/>
      <c r="WBR2" s="266"/>
      <c r="WBS2" s="266"/>
      <c r="WBT2" s="266"/>
      <c r="WBU2" s="266"/>
      <c r="WBV2" s="266"/>
      <c r="WBW2" s="266"/>
      <c r="WBX2" s="266"/>
      <c r="WBY2" s="266"/>
      <c r="WBZ2" s="266"/>
      <c r="WCA2" s="266"/>
      <c r="WCB2" s="266"/>
      <c r="WCC2" s="266"/>
      <c r="WCD2" s="266"/>
      <c r="WCE2" s="266"/>
      <c r="WCF2" s="266"/>
      <c r="WCG2" s="266"/>
      <c r="WCH2" s="266"/>
      <c r="WCI2" s="266"/>
      <c r="WCJ2" s="266"/>
      <c r="WCK2" s="266"/>
      <c r="WCL2" s="266"/>
      <c r="WCM2" s="266"/>
      <c r="WCN2" s="266"/>
      <c r="WCO2" s="266"/>
      <c r="WCP2" s="266"/>
      <c r="WCQ2" s="266"/>
      <c r="WCR2" s="266"/>
      <c r="WCS2" s="266"/>
      <c r="WCT2" s="266"/>
      <c r="WCU2" s="266"/>
      <c r="WCV2" s="266"/>
      <c r="WCW2" s="266"/>
      <c r="WCX2" s="266"/>
      <c r="WCY2" s="266"/>
      <c r="WCZ2" s="266"/>
      <c r="WDA2" s="266"/>
      <c r="WDB2" s="266"/>
      <c r="WDC2" s="266"/>
      <c r="WDD2" s="266"/>
      <c r="WDE2" s="266"/>
      <c r="WDF2" s="266"/>
      <c r="WDG2" s="266"/>
      <c r="WDH2" s="266"/>
      <c r="WDI2" s="266"/>
      <c r="WDJ2" s="266"/>
      <c r="WDK2" s="266"/>
      <c r="WDL2" s="266"/>
      <c r="WDM2" s="266"/>
      <c r="WDN2" s="266"/>
      <c r="WDO2" s="266"/>
      <c r="WDP2" s="266"/>
      <c r="WDQ2" s="266"/>
      <c r="WDR2" s="266"/>
      <c r="WDS2" s="266"/>
      <c r="WDT2" s="266"/>
      <c r="WDU2" s="266"/>
      <c r="WDV2" s="266"/>
      <c r="WDW2" s="266"/>
      <c r="WDX2" s="266"/>
      <c r="WDY2" s="266"/>
      <c r="WDZ2" s="266"/>
      <c r="WEA2" s="266"/>
      <c r="WEB2" s="266"/>
      <c r="WEC2" s="266"/>
      <c r="WED2" s="266"/>
      <c r="WEE2" s="266"/>
      <c r="WEF2" s="266"/>
      <c r="WEG2" s="266"/>
      <c r="WEH2" s="266"/>
      <c r="WEI2" s="266"/>
      <c r="WEJ2" s="266"/>
      <c r="WEK2" s="266"/>
      <c r="WEL2" s="266"/>
      <c r="WEM2" s="266"/>
      <c r="WEN2" s="266"/>
      <c r="WEO2" s="266"/>
      <c r="WEP2" s="266"/>
      <c r="WEQ2" s="266"/>
      <c r="WER2" s="266"/>
      <c r="WES2" s="266"/>
      <c r="WET2" s="266"/>
      <c r="WEU2" s="266"/>
      <c r="WEV2" s="266"/>
      <c r="WEW2" s="266"/>
      <c r="WEX2" s="266"/>
      <c r="WEY2" s="266"/>
      <c r="WEZ2" s="266"/>
      <c r="WFA2" s="266"/>
      <c r="WFB2" s="266"/>
      <c r="WFC2" s="266"/>
      <c r="WFD2" s="266"/>
      <c r="WFE2" s="266"/>
      <c r="WFF2" s="266"/>
      <c r="WFG2" s="266"/>
      <c r="WFH2" s="266"/>
      <c r="WFI2" s="266"/>
      <c r="WFJ2" s="266"/>
      <c r="WFK2" s="266"/>
      <c r="WFL2" s="266"/>
      <c r="WFM2" s="266"/>
      <c r="WFN2" s="266"/>
      <c r="WFO2" s="266"/>
      <c r="WFP2" s="266"/>
      <c r="WFQ2" s="266"/>
      <c r="WFR2" s="266"/>
      <c r="WFS2" s="266"/>
      <c r="WFT2" s="266"/>
      <c r="WFU2" s="266"/>
      <c r="WFV2" s="266"/>
      <c r="WFW2" s="266"/>
      <c r="WFX2" s="266"/>
      <c r="WFY2" s="266"/>
      <c r="WFZ2" s="266"/>
      <c r="WGA2" s="266"/>
      <c r="WGB2" s="266"/>
      <c r="WGC2" s="266"/>
      <c r="WGD2" s="266"/>
      <c r="WGE2" s="266"/>
      <c r="WGF2" s="266"/>
      <c r="WGG2" s="266"/>
      <c r="WGH2" s="266"/>
      <c r="WGI2" s="266"/>
      <c r="WGJ2" s="266"/>
      <c r="WGK2" s="266"/>
      <c r="WGL2" s="266"/>
      <c r="WGM2" s="266"/>
      <c r="WGN2" s="266"/>
      <c r="WGO2" s="266"/>
      <c r="WGP2" s="266"/>
      <c r="WGQ2" s="266"/>
      <c r="WGR2" s="266"/>
      <c r="WGS2" s="266"/>
      <c r="WGT2" s="266"/>
      <c r="WGU2" s="266"/>
      <c r="WGV2" s="266"/>
      <c r="WGW2" s="266"/>
      <c r="WGX2" s="266"/>
      <c r="WGY2" s="266"/>
      <c r="WGZ2" s="266"/>
      <c r="WHA2" s="266"/>
      <c r="WHB2" s="266"/>
      <c r="WHC2" s="266"/>
      <c r="WHD2" s="266"/>
      <c r="WHE2" s="266"/>
      <c r="WHF2" s="266"/>
      <c r="WHG2" s="266"/>
      <c r="WHH2" s="266"/>
      <c r="WHI2" s="266"/>
      <c r="WHJ2" s="266"/>
      <c r="WHK2" s="266"/>
      <c r="WHL2" s="266"/>
      <c r="WHM2" s="266"/>
      <c r="WHN2" s="266"/>
      <c r="WHO2" s="266"/>
      <c r="WHP2" s="266"/>
      <c r="WHQ2" s="266"/>
      <c r="WHR2" s="266"/>
      <c r="WHS2" s="266"/>
      <c r="WHT2" s="266"/>
      <c r="WHU2" s="266"/>
      <c r="WHV2" s="266"/>
      <c r="WHW2" s="266"/>
      <c r="WHX2" s="266"/>
      <c r="WHY2" s="266"/>
      <c r="WHZ2" s="266"/>
      <c r="WIA2" s="266"/>
      <c r="WIB2" s="266"/>
      <c r="WIC2" s="266"/>
      <c r="WID2" s="266"/>
      <c r="WIE2" s="266"/>
      <c r="WIF2" s="266"/>
      <c r="WIG2" s="266"/>
      <c r="WIH2" s="266"/>
      <c r="WII2" s="266"/>
      <c r="WIJ2" s="266"/>
      <c r="WIK2" s="266"/>
      <c r="WIL2" s="266"/>
      <c r="WIM2" s="266"/>
      <c r="WIN2" s="266"/>
      <c r="WIO2" s="266"/>
      <c r="WIP2" s="266"/>
      <c r="WIQ2" s="266"/>
      <c r="WIR2" s="266"/>
      <c r="WIS2" s="266"/>
      <c r="WIT2" s="266"/>
      <c r="WIU2" s="266"/>
      <c r="WIV2" s="266"/>
      <c r="WIW2" s="266"/>
      <c r="WIX2" s="266"/>
      <c r="WIY2" s="266"/>
      <c r="WIZ2" s="266"/>
      <c r="WJA2" s="266"/>
      <c r="WJB2" s="266"/>
      <c r="WJC2" s="266"/>
      <c r="WJD2" s="266"/>
      <c r="WJE2" s="266"/>
      <c r="WJF2" s="266"/>
      <c r="WJG2" s="266"/>
      <c r="WJH2" s="266"/>
      <c r="WJI2" s="266"/>
      <c r="WJJ2" s="266"/>
      <c r="WJK2" s="266"/>
      <c r="WJL2" s="266"/>
      <c r="WJM2" s="266"/>
      <c r="WJN2" s="266"/>
      <c r="WJO2" s="266"/>
      <c r="WJP2" s="266"/>
      <c r="WJQ2" s="266"/>
      <c r="WJR2" s="266"/>
      <c r="WJS2" s="266"/>
      <c r="WJT2" s="266"/>
      <c r="WJU2" s="266"/>
      <c r="WJV2" s="266"/>
      <c r="WJW2" s="266"/>
      <c r="WJX2" s="266"/>
      <c r="WJY2" s="266"/>
      <c r="WJZ2" s="266"/>
      <c r="WKA2" s="266"/>
      <c r="WKB2" s="266"/>
      <c r="WKC2" s="266"/>
      <c r="WKD2" s="266"/>
      <c r="WKE2" s="266"/>
      <c r="WKF2" s="266"/>
      <c r="WKG2" s="266"/>
      <c r="WKH2" s="266"/>
      <c r="WKI2" s="266"/>
      <c r="WKJ2" s="266"/>
      <c r="WKK2" s="266"/>
      <c r="WKL2" s="266"/>
      <c r="WKM2" s="266"/>
      <c r="WKN2" s="266"/>
      <c r="WKO2" s="266"/>
      <c r="WKP2" s="266"/>
      <c r="WKQ2" s="266"/>
      <c r="WKR2" s="266"/>
      <c r="WKS2" s="266"/>
      <c r="WKT2" s="266"/>
      <c r="WKU2" s="266"/>
      <c r="WKV2" s="266"/>
      <c r="WKW2" s="266"/>
      <c r="WKX2" s="266"/>
      <c r="WKY2" s="266"/>
      <c r="WKZ2" s="266"/>
      <c r="WLA2" s="266"/>
      <c r="WLB2" s="266"/>
      <c r="WLC2" s="266"/>
      <c r="WLD2" s="266"/>
      <c r="WLE2" s="266"/>
      <c r="WLF2" s="266"/>
      <c r="WLG2" s="266"/>
      <c r="WLH2" s="266"/>
      <c r="WLI2" s="266"/>
      <c r="WLJ2" s="266"/>
      <c r="WLK2" s="266"/>
      <c r="WLL2" s="266"/>
      <c r="WLM2" s="266"/>
      <c r="WLN2" s="266"/>
      <c r="WLO2" s="266"/>
      <c r="WLP2" s="266"/>
      <c r="WLQ2" s="266"/>
      <c r="WLR2" s="266"/>
      <c r="WLS2" s="266"/>
      <c r="WLT2" s="266"/>
      <c r="WLU2" s="266"/>
      <c r="WLV2" s="266"/>
      <c r="WLW2" s="266"/>
      <c r="WLX2" s="266"/>
      <c r="WLY2" s="266"/>
      <c r="WLZ2" s="266"/>
      <c r="WMA2" s="266"/>
      <c r="WMB2" s="266"/>
      <c r="WMC2" s="266"/>
      <c r="WMD2" s="266"/>
      <c r="WME2" s="266"/>
      <c r="WMF2" s="266"/>
      <c r="WMG2" s="266"/>
      <c r="WMH2" s="266"/>
      <c r="WMI2" s="266"/>
      <c r="WMJ2" s="266"/>
      <c r="WMK2" s="266"/>
      <c r="WML2" s="266"/>
      <c r="WMM2" s="266"/>
      <c r="WMN2" s="266"/>
      <c r="WMO2" s="266"/>
      <c r="WMP2" s="266"/>
      <c r="WMQ2" s="266"/>
      <c r="WMR2" s="266"/>
      <c r="WMS2" s="266"/>
      <c r="WMT2" s="266"/>
      <c r="WMU2" s="266"/>
      <c r="WMV2" s="266"/>
      <c r="WMW2" s="266"/>
      <c r="WMX2" s="266"/>
      <c r="WMY2" s="266"/>
      <c r="WMZ2" s="266"/>
      <c r="WNA2" s="266"/>
      <c r="WNB2" s="266"/>
      <c r="WNC2" s="266"/>
      <c r="WND2" s="266"/>
      <c r="WNE2" s="266"/>
      <c r="WNF2" s="266"/>
      <c r="WNG2" s="266"/>
      <c r="WNH2" s="266"/>
      <c r="WNI2" s="266"/>
      <c r="WNJ2" s="266"/>
      <c r="WNK2" s="266"/>
      <c r="WNL2" s="266"/>
      <c r="WNM2" s="266"/>
      <c r="WNN2" s="266"/>
      <c r="WNO2" s="266"/>
      <c r="WNP2" s="266"/>
      <c r="WNQ2" s="266"/>
      <c r="WNR2" s="266"/>
      <c r="WNS2" s="266"/>
      <c r="WNT2" s="266"/>
      <c r="WNU2" s="266"/>
      <c r="WNV2" s="266"/>
      <c r="WNW2" s="266"/>
      <c r="WNX2" s="266"/>
      <c r="WNY2" s="266"/>
      <c r="WNZ2" s="266"/>
      <c r="WOA2" s="266"/>
      <c r="WOB2" s="266"/>
      <c r="WOC2" s="266"/>
      <c r="WOD2" s="266"/>
      <c r="WOE2" s="266"/>
      <c r="WOF2" s="266"/>
      <c r="WOG2" s="266"/>
      <c r="WOH2" s="266"/>
      <c r="WOI2" s="266"/>
      <c r="WOJ2" s="266"/>
      <c r="WOK2" s="266"/>
      <c r="WOL2" s="266"/>
      <c r="WOM2" s="266"/>
      <c r="WON2" s="266"/>
      <c r="WOO2" s="266"/>
      <c r="WOP2" s="266"/>
      <c r="WOQ2" s="266"/>
      <c r="WOR2" s="266"/>
      <c r="WOS2" s="266"/>
      <c r="WOT2" s="266"/>
      <c r="WOU2" s="266"/>
      <c r="WOV2" s="266"/>
      <c r="WOW2" s="266"/>
      <c r="WOX2" s="266"/>
      <c r="WOY2" s="266"/>
      <c r="WOZ2" s="266"/>
      <c r="WPA2" s="266"/>
      <c r="WPB2" s="266"/>
      <c r="WPC2" s="266"/>
      <c r="WPD2" s="266"/>
      <c r="WPE2" s="266"/>
      <c r="WPF2" s="266"/>
      <c r="WPG2" s="266"/>
      <c r="WPH2" s="266"/>
      <c r="WPI2" s="266"/>
      <c r="WPJ2" s="266"/>
      <c r="WPK2" s="266"/>
      <c r="WPL2" s="266"/>
      <c r="WPM2" s="266"/>
      <c r="WPN2" s="266"/>
      <c r="WPO2" s="266"/>
      <c r="WPP2" s="266"/>
      <c r="WPQ2" s="266"/>
      <c r="WPR2" s="266"/>
      <c r="WPS2" s="266"/>
      <c r="WPT2" s="266"/>
      <c r="WPU2" s="266"/>
      <c r="WPV2" s="266"/>
      <c r="WPW2" s="266"/>
      <c r="WPX2" s="266"/>
      <c r="WPY2" s="266"/>
      <c r="WPZ2" s="266"/>
      <c r="WQA2" s="266"/>
      <c r="WQB2" s="266"/>
      <c r="WQC2" s="266"/>
      <c r="WQD2" s="266"/>
      <c r="WQE2" s="266"/>
      <c r="WQF2" s="266"/>
      <c r="WQG2" s="266"/>
      <c r="WQH2" s="266"/>
      <c r="WQI2" s="266"/>
      <c r="WQJ2" s="266"/>
      <c r="WQK2" s="266"/>
      <c r="WQL2" s="266"/>
      <c r="WQM2" s="266"/>
      <c r="WQN2" s="266"/>
      <c r="WQO2" s="266"/>
      <c r="WQP2" s="266"/>
      <c r="WQQ2" s="266"/>
      <c r="WQR2" s="266"/>
      <c r="WQS2" s="266"/>
      <c r="WQT2" s="266"/>
      <c r="WQU2" s="266"/>
      <c r="WQV2" s="266"/>
      <c r="WQW2" s="266"/>
      <c r="WQX2" s="266"/>
      <c r="WQY2" s="266"/>
      <c r="WQZ2" s="266"/>
      <c r="WRA2" s="266"/>
      <c r="WRB2" s="266"/>
      <c r="WRC2" s="266"/>
      <c r="WRD2" s="266"/>
      <c r="WRE2" s="266"/>
      <c r="WRF2" s="266"/>
      <c r="WRG2" s="266"/>
      <c r="WRH2" s="266"/>
      <c r="WRI2" s="266"/>
      <c r="WRJ2" s="266"/>
      <c r="WRK2" s="266"/>
      <c r="WRL2" s="266"/>
      <c r="WRM2" s="266"/>
      <c r="WRN2" s="266"/>
      <c r="WRO2" s="266"/>
      <c r="WRP2" s="266"/>
      <c r="WRQ2" s="266"/>
      <c r="WRR2" s="266"/>
      <c r="WRS2" s="266"/>
      <c r="WRT2" s="266"/>
      <c r="WRU2" s="266"/>
      <c r="WRV2" s="266"/>
      <c r="WRW2" s="266"/>
      <c r="WRX2" s="266"/>
      <c r="WRY2" s="266"/>
      <c r="WRZ2" s="266"/>
      <c r="WSA2" s="266"/>
      <c r="WSB2" s="266"/>
      <c r="WSC2" s="266"/>
      <c r="WSD2" s="266"/>
      <c r="WSE2" s="266"/>
      <c r="WSF2" s="266"/>
      <c r="WSG2" s="266"/>
      <c r="WSH2" s="266"/>
      <c r="WSI2" s="266"/>
      <c r="WSJ2" s="266"/>
      <c r="WSK2" s="266"/>
      <c r="WSL2" s="266"/>
      <c r="WSM2" s="266"/>
      <c r="WSN2" s="266"/>
      <c r="WSO2" s="266"/>
      <c r="WSP2" s="266"/>
      <c r="WSQ2" s="266"/>
      <c r="WSR2" s="266"/>
      <c r="WSS2" s="266"/>
      <c r="WST2" s="266"/>
      <c r="WSU2" s="266"/>
      <c r="WSV2" s="266"/>
      <c r="WSW2" s="266"/>
      <c r="WSX2" s="266"/>
      <c r="WSY2" s="266"/>
      <c r="WSZ2" s="266"/>
      <c r="WTA2" s="266"/>
      <c r="WTB2" s="266"/>
      <c r="WTC2" s="266"/>
      <c r="WTD2" s="266"/>
      <c r="WTE2" s="266"/>
      <c r="WTF2" s="266"/>
      <c r="WTG2" s="266"/>
      <c r="WTH2" s="266"/>
      <c r="WTI2" s="266"/>
      <c r="WTJ2" s="266"/>
      <c r="WTK2" s="266"/>
      <c r="WTL2" s="266"/>
      <c r="WTM2" s="266"/>
      <c r="WTN2" s="266"/>
      <c r="WTO2" s="266"/>
      <c r="WTP2" s="266"/>
      <c r="WTQ2" s="266"/>
      <c r="WTR2" s="266"/>
      <c r="WTS2" s="266"/>
      <c r="WTT2" s="266"/>
      <c r="WTU2" s="266"/>
      <c r="WTV2" s="266"/>
      <c r="WTW2" s="266"/>
      <c r="WTX2" s="266"/>
      <c r="WTY2" s="266"/>
      <c r="WTZ2" s="266"/>
      <c r="WUA2" s="266"/>
      <c r="WUB2" s="266"/>
      <c r="WUC2" s="266"/>
      <c r="WUD2" s="266"/>
      <c r="WUE2" s="266"/>
      <c r="WUF2" s="266"/>
      <c r="WUG2" s="266"/>
      <c r="WUH2" s="266"/>
      <c r="WUI2" s="266"/>
      <c r="WUJ2" s="266"/>
      <c r="WUK2" s="266"/>
      <c r="WUL2" s="266"/>
      <c r="WUM2" s="266"/>
      <c r="WUN2" s="266"/>
      <c r="WUO2" s="266"/>
      <c r="WUP2" s="266"/>
      <c r="WUQ2" s="266"/>
      <c r="WUR2" s="266"/>
      <c r="WUS2" s="266"/>
      <c r="WUT2" s="266"/>
      <c r="WUU2" s="266"/>
      <c r="WUV2" s="266"/>
      <c r="WUW2" s="266"/>
      <c r="WUX2" s="266"/>
      <c r="WUY2" s="266"/>
      <c r="WUZ2" s="266"/>
      <c r="WVA2" s="266"/>
      <c r="WVB2" s="266"/>
      <c r="WVC2" s="266"/>
      <c r="WVD2" s="266"/>
      <c r="WVE2" s="266"/>
      <c r="WVF2" s="266"/>
      <c r="WVG2" s="266"/>
      <c r="WVH2" s="266"/>
      <c r="WVI2" s="266"/>
      <c r="WVJ2" s="266"/>
      <c r="WVK2" s="266"/>
      <c r="WVL2" s="266"/>
      <c r="WVM2" s="266"/>
      <c r="WVN2" s="266"/>
      <c r="WVO2" s="266"/>
      <c r="WVP2" s="266"/>
      <c r="WVQ2" s="266"/>
      <c r="WVR2" s="266"/>
      <c r="WVS2" s="266"/>
      <c r="WVT2" s="266"/>
      <c r="WVU2" s="266"/>
      <c r="WVV2" s="266"/>
      <c r="WVW2" s="266"/>
      <c r="WVX2" s="266"/>
      <c r="WVY2" s="266"/>
      <c r="WVZ2" s="266"/>
      <c r="WWA2" s="266"/>
      <c r="WWB2" s="266"/>
      <c r="WWC2" s="266"/>
      <c r="WWD2" s="266"/>
      <c r="WWE2" s="266"/>
      <c r="WWF2" s="266"/>
      <c r="WWG2" s="266"/>
      <c r="WWH2" s="266"/>
      <c r="WWI2" s="266"/>
      <c r="WWJ2" s="266"/>
      <c r="WWK2" s="266"/>
      <c r="WWL2" s="266"/>
      <c r="WWM2" s="266"/>
      <c r="WWN2" s="266"/>
      <c r="WWO2" s="266"/>
      <c r="WWP2" s="266"/>
      <c r="WWQ2" s="266"/>
      <c r="WWR2" s="266"/>
      <c r="WWS2" s="266"/>
      <c r="WWT2" s="266"/>
      <c r="WWU2" s="266"/>
      <c r="WWV2" s="266"/>
      <c r="WWW2" s="266"/>
      <c r="WWX2" s="266"/>
      <c r="WWY2" s="266"/>
      <c r="WWZ2" s="266"/>
      <c r="WXA2" s="266"/>
      <c r="WXB2" s="266"/>
      <c r="WXC2" s="266"/>
      <c r="WXD2" s="266"/>
      <c r="WXE2" s="266"/>
      <c r="WXF2" s="266"/>
      <c r="WXG2" s="266"/>
      <c r="WXH2" s="266"/>
      <c r="WXI2" s="266"/>
      <c r="WXJ2" s="266"/>
      <c r="WXK2" s="266"/>
      <c r="WXL2" s="266"/>
      <c r="WXM2" s="266"/>
      <c r="WXN2" s="266"/>
      <c r="WXO2" s="266"/>
      <c r="WXP2" s="266"/>
      <c r="WXQ2" s="266"/>
      <c r="WXR2" s="266"/>
      <c r="WXS2" s="266"/>
      <c r="WXT2" s="266"/>
      <c r="WXU2" s="266"/>
      <c r="WXV2" s="266"/>
      <c r="WXW2" s="266"/>
      <c r="WXX2" s="266"/>
      <c r="WXY2" s="266"/>
      <c r="WXZ2" s="266"/>
      <c r="WYA2" s="266"/>
      <c r="WYB2" s="266"/>
      <c r="WYC2" s="266"/>
      <c r="WYD2" s="266"/>
      <c r="WYE2" s="266"/>
      <c r="WYF2" s="266"/>
      <c r="WYG2" s="266"/>
      <c r="WYH2" s="266"/>
      <c r="WYI2" s="266"/>
      <c r="WYJ2" s="266"/>
      <c r="WYK2" s="266"/>
      <c r="WYL2" s="266"/>
      <c r="WYM2" s="266"/>
      <c r="WYN2" s="266"/>
      <c r="WYO2" s="266"/>
      <c r="WYP2" s="266"/>
      <c r="WYQ2" s="266"/>
      <c r="WYR2" s="266"/>
      <c r="WYS2" s="266"/>
      <c r="WYT2" s="266"/>
      <c r="WYU2" s="266"/>
      <c r="WYV2" s="266"/>
      <c r="WYW2" s="266"/>
      <c r="WYX2" s="266"/>
      <c r="WYY2" s="266"/>
      <c r="WYZ2" s="266"/>
      <c r="WZA2" s="266"/>
      <c r="WZB2" s="266"/>
      <c r="WZC2" s="266"/>
      <c r="WZD2" s="266"/>
      <c r="WZE2" s="266"/>
      <c r="WZF2" s="266"/>
      <c r="WZG2" s="266"/>
      <c r="WZH2" s="266"/>
      <c r="WZI2" s="266"/>
      <c r="WZJ2" s="266"/>
      <c r="WZK2" s="266"/>
      <c r="WZL2" s="266"/>
      <c r="WZM2" s="266"/>
      <c r="WZN2" s="266"/>
      <c r="WZO2" s="266"/>
      <c r="WZP2" s="266"/>
      <c r="WZQ2" s="266"/>
      <c r="WZR2" s="266"/>
      <c r="WZS2" s="266"/>
      <c r="WZT2" s="266"/>
      <c r="WZU2" s="266"/>
      <c r="WZV2" s="266"/>
      <c r="WZW2" s="266"/>
      <c r="WZX2" s="266"/>
      <c r="WZY2" s="266"/>
      <c r="WZZ2" s="266"/>
      <c r="XAA2" s="266"/>
      <c r="XAB2" s="266"/>
      <c r="XAC2" s="266"/>
      <c r="XAD2" s="266"/>
      <c r="XAE2" s="266"/>
      <c r="XAF2" s="266"/>
      <c r="XAG2" s="266"/>
      <c r="XAH2" s="266"/>
      <c r="XAI2" s="266"/>
      <c r="XAJ2" s="266"/>
      <c r="XAK2" s="266"/>
      <c r="XAL2" s="266"/>
      <c r="XAM2" s="266"/>
      <c r="XAN2" s="266"/>
      <c r="XAO2" s="266"/>
      <c r="XAP2" s="266"/>
      <c r="XAQ2" s="266"/>
      <c r="XAR2" s="266"/>
      <c r="XAS2" s="266"/>
      <c r="XAT2" s="266"/>
      <c r="XAU2" s="266"/>
      <c r="XAV2" s="266"/>
      <c r="XAW2" s="266"/>
      <c r="XAX2" s="266"/>
      <c r="XAY2" s="266"/>
      <c r="XAZ2" s="266"/>
      <c r="XBA2" s="266"/>
      <c r="XBB2" s="266"/>
      <c r="XBC2" s="266"/>
      <c r="XBD2" s="266"/>
      <c r="XBE2" s="266"/>
      <c r="XBF2" s="266"/>
      <c r="XBG2" s="266"/>
      <c r="XBH2" s="266"/>
      <c r="XBI2" s="266"/>
      <c r="XBJ2" s="266"/>
      <c r="XBK2" s="266"/>
      <c r="XBL2" s="266"/>
      <c r="XBM2" s="266"/>
      <c r="XBN2" s="266"/>
      <c r="XBO2" s="266"/>
      <c r="XBP2" s="266"/>
      <c r="XBQ2" s="266"/>
      <c r="XBR2" s="266"/>
      <c r="XBS2" s="266"/>
      <c r="XBT2" s="266"/>
      <c r="XBU2" s="266"/>
      <c r="XBV2" s="266"/>
      <c r="XBW2" s="266"/>
      <c r="XBX2" s="266"/>
      <c r="XBY2" s="266"/>
      <c r="XBZ2" s="266"/>
      <c r="XCA2" s="266"/>
      <c r="XCB2" s="266"/>
      <c r="XCC2" s="266"/>
      <c r="XCD2" s="266"/>
      <c r="XCE2" s="266"/>
      <c r="XCF2" s="266"/>
      <c r="XCG2" s="266"/>
      <c r="XCH2" s="266"/>
      <c r="XCI2" s="266"/>
    </row>
    <row r="3" spans="1:16311">
      <c r="E3" s="308"/>
      <c r="F3" s="281"/>
    </row>
    <row r="4" spans="1:16311">
      <c r="C4" s="11" t="str">
        <f>Flags!C4</f>
        <v>Começo período</v>
      </c>
      <c r="D4" s="119"/>
      <c r="E4" s="309"/>
      <c r="G4" s="281">
        <f>Flags!G4</f>
        <v>46388</v>
      </c>
      <c r="H4" s="281">
        <f>Flags!H4</f>
        <v>46753</v>
      </c>
      <c r="I4" s="281">
        <f>Flags!I4</f>
        <v>47119</v>
      </c>
      <c r="J4" s="281">
        <f>Flags!J4</f>
        <v>47484</v>
      </c>
      <c r="K4" s="281">
        <f>Flags!K4</f>
        <v>47849</v>
      </c>
      <c r="L4" s="281">
        <f>Flags!L4</f>
        <v>48214</v>
      </c>
      <c r="M4" s="281">
        <f>Flags!M4</f>
        <v>48580</v>
      </c>
      <c r="N4" s="281">
        <f>Flags!N4</f>
        <v>48945</v>
      </c>
      <c r="O4" s="281">
        <f>Flags!O4</f>
        <v>49310</v>
      </c>
      <c r="P4" s="281">
        <f>Flags!P4</f>
        <v>49675</v>
      </c>
      <c r="Q4" s="281">
        <f>Flags!Q4</f>
        <v>50041</v>
      </c>
      <c r="R4" s="281">
        <f>Flags!R4</f>
        <v>50406</v>
      </c>
      <c r="S4" s="281">
        <f>Flags!S4</f>
        <v>50771</v>
      </c>
      <c r="T4" s="281">
        <f>Flags!T4</f>
        <v>51136</v>
      </c>
      <c r="U4" s="281">
        <f>Flags!U4</f>
        <v>51502</v>
      </c>
      <c r="V4" s="281">
        <f>Flags!V4</f>
        <v>51867</v>
      </c>
      <c r="W4" s="281">
        <f>Flags!W4</f>
        <v>52232</v>
      </c>
      <c r="X4" s="281">
        <f>Flags!X4</f>
        <v>52597</v>
      </c>
      <c r="Y4" s="281">
        <f>Flags!Y4</f>
        <v>52963</v>
      </c>
      <c r="Z4" s="281">
        <f>Flags!Z4</f>
        <v>53328</v>
      </c>
      <c r="AA4" s="281">
        <f>Flags!AA4</f>
        <v>53693</v>
      </c>
      <c r="AB4" s="281">
        <f>Flags!AB4</f>
        <v>54058</v>
      </c>
      <c r="AC4" s="281">
        <f>Flags!AC4</f>
        <v>54424</v>
      </c>
      <c r="AD4" s="281">
        <f>Flags!AD4</f>
        <v>54789</v>
      </c>
      <c r="AE4" s="281">
        <f>Flags!AE4</f>
        <v>55154</v>
      </c>
      <c r="AF4" s="281">
        <f>Flags!AF4</f>
        <v>55519</v>
      </c>
      <c r="AG4" s="281">
        <f>Flags!AG4</f>
        <v>55885</v>
      </c>
      <c r="AH4" s="281">
        <f>Flags!AH4</f>
        <v>56250</v>
      </c>
      <c r="AI4" s="281">
        <f>Flags!AI4</f>
        <v>56615</v>
      </c>
      <c r="AJ4" s="281">
        <f>Flags!AJ4</f>
        <v>56980</v>
      </c>
      <c r="AK4" s="281">
        <f>Flags!AK4</f>
        <v>57346</v>
      </c>
      <c r="AL4" s="281">
        <f>Flags!AL4</f>
        <v>57711</v>
      </c>
      <c r="AM4" s="281">
        <f>Flags!AM4</f>
        <v>58076</v>
      </c>
      <c r="AN4" s="281">
        <f>Flags!AN4</f>
        <v>58441</v>
      </c>
    </row>
    <row r="5" spans="1:16311">
      <c r="C5" s="11" t="str">
        <f>Flags!C5</f>
        <v>Fim período</v>
      </c>
      <c r="E5" s="309"/>
      <c r="G5" s="281">
        <f>Flags!G5</f>
        <v>46752</v>
      </c>
      <c r="H5" s="281">
        <f>Flags!H5</f>
        <v>47118</v>
      </c>
      <c r="I5" s="281">
        <f>Flags!I5</f>
        <v>47483</v>
      </c>
      <c r="J5" s="281">
        <f>Flags!J5</f>
        <v>47848</v>
      </c>
      <c r="K5" s="281">
        <f>Flags!K5</f>
        <v>48213</v>
      </c>
      <c r="L5" s="281">
        <f>Flags!L5</f>
        <v>48579</v>
      </c>
      <c r="M5" s="281">
        <f>Flags!M5</f>
        <v>48944</v>
      </c>
      <c r="N5" s="281">
        <f>Flags!N5</f>
        <v>49309</v>
      </c>
      <c r="O5" s="281">
        <f>Flags!O5</f>
        <v>49674</v>
      </c>
      <c r="P5" s="281">
        <f>Flags!P5</f>
        <v>50040</v>
      </c>
      <c r="Q5" s="281">
        <f>Flags!Q5</f>
        <v>50405</v>
      </c>
      <c r="R5" s="281">
        <f>Flags!R5</f>
        <v>50770</v>
      </c>
      <c r="S5" s="281">
        <f>Flags!S5</f>
        <v>51135</v>
      </c>
      <c r="T5" s="281">
        <f>Flags!T5</f>
        <v>51501</v>
      </c>
      <c r="U5" s="281">
        <f>Flags!U5</f>
        <v>51866</v>
      </c>
      <c r="V5" s="281">
        <f>Flags!V5</f>
        <v>52231</v>
      </c>
      <c r="W5" s="281">
        <f>Flags!W5</f>
        <v>52596</v>
      </c>
      <c r="X5" s="281">
        <f>Flags!X5</f>
        <v>52962</v>
      </c>
      <c r="Y5" s="281">
        <f>Flags!Y5</f>
        <v>53327</v>
      </c>
      <c r="Z5" s="281">
        <f>Flags!Z5</f>
        <v>53692</v>
      </c>
      <c r="AA5" s="281">
        <f>Flags!AA5</f>
        <v>54057</v>
      </c>
      <c r="AB5" s="281">
        <f>Flags!AB5</f>
        <v>54423</v>
      </c>
      <c r="AC5" s="281">
        <f>Flags!AC5</f>
        <v>54788</v>
      </c>
      <c r="AD5" s="281">
        <f>Flags!AD5</f>
        <v>55153</v>
      </c>
      <c r="AE5" s="281">
        <f>Flags!AE5</f>
        <v>55518</v>
      </c>
      <c r="AF5" s="281">
        <f>Flags!AF5</f>
        <v>55884</v>
      </c>
      <c r="AG5" s="281">
        <f>Flags!AG5</f>
        <v>56249</v>
      </c>
      <c r="AH5" s="281">
        <f>Flags!AH5</f>
        <v>56614</v>
      </c>
      <c r="AI5" s="281">
        <f>Flags!AI5</f>
        <v>56979</v>
      </c>
      <c r="AJ5" s="281">
        <f>Flags!AJ5</f>
        <v>57345</v>
      </c>
      <c r="AK5" s="281">
        <f>Flags!AK5</f>
        <v>57710</v>
      </c>
      <c r="AL5" s="281">
        <f>Flags!AL5</f>
        <v>58075</v>
      </c>
      <c r="AM5" s="281">
        <f>Flags!AM5</f>
        <v>58440</v>
      </c>
      <c r="AN5" s="281">
        <f>Flags!AN5</f>
        <v>58806</v>
      </c>
    </row>
    <row r="6" spans="1:16311">
      <c r="C6" s="11" t="s">
        <v>38</v>
      </c>
      <c r="E6" s="309"/>
      <c r="G6" s="310">
        <f t="shared" ref="G6:AL6" si="0">YEAR(G5)</f>
        <v>2027</v>
      </c>
      <c r="H6" s="310">
        <f t="shared" si="0"/>
        <v>2028</v>
      </c>
      <c r="I6" s="310">
        <f t="shared" si="0"/>
        <v>2029</v>
      </c>
      <c r="J6" s="310">
        <f t="shared" si="0"/>
        <v>2030</v>
      </c>
      <c r="K6" s="310">
        <f t="shared" si="0"/>
        <v>2031</v>
      </c>
      <c r="L6" s="310">
        <f t="shared" si="0"/>
        <v>2032</v>
      </c>
      <c r="M6" s="310">
        <f t="shared" si="0"/>
        <v>2033</v>
      </c>
      <c r="N6" s="310">
        <f t="shared" si="0"/>
        <v>2034</v>
      </c>
      <c r="O6" s="310">
        <f t="shared" si="0"/>
        <v>2035</v>
      </c>
      <c r="P6" s="310">
        <f t="shared" si="0"/>
        <v>2036</v>
      </c>
      <c r="Q6" s="310">
        <f t="shared" si="0"/>
        <v>2037</v>
      </c>
      <c r="R6" s="310">
        <f t="shared" si="0"/>
        <v>2038</v>
      </c>
      <c r="S6" s="310">
        <f t="shared" si="0"/>
        <v>2039</v>
      </c>
      <c r="T6" s="310">
        <f t="shared" si="0"/>
        <v>2040</v>
      </c>
      <c r="U6" s="310">
        <f t="shared" si="0"/>
        <v>2041</v>
      </c>
      <c r="V6" s="310">
        <f t="shared" si="0"/>
        <v>2042</v>
      </c>
      <c r="W6" s="310">
        <f t="shared" si="0"/>
        <v>2043</v>
      </c>
      <c r="X6" s="310">
        <f t="shared" si="0"/>
        <v>2044</v>
      </c>
      <c r="Y6" s="310">
        <f t="shared" si="0"/>
        <v>2045</v>
      </c>
      <c r="Z6" s="310">
        <f t="shared" si="0"/>
        <v>2046</v>
      </c>
      <c r="AA6" s="310">
        <f t="shared" si="0"/>
        <v>2047</v>
      </c>
      <c r="AB6" s="310">
        <f t="shared" si="0"/>
        <v>2048</v>
      </c>
      <c r="AC6" s="310">
        <f t="shared" si="0"/>
        <v>2049</v>
      </c>
      <c r="AD6" s="310">
        <f t="shared" si="0"/>
        <v>2050</v>
      </c>
      <c r="AE6" s="310">
        <f t="shared" si="0"/>
        <v>2051</v>
      </c>
      <c r="AF6" s="310">
        <f t="shared" si="0"/>
        <v>2052</v>
      </c>
      <c r="AG6" s="310">
        <f t="shared" si="0"/>
        <v>2053</v>
      </c>
      <c r="AH6" s="310">
        <f t="shared" si="0"/>
        <v>2054</v>
      </c>
      <c r="AI6" s="310">
        <f t="shared" si="0"/>
        <v>2055</v>
      </c>
      <c r="AJ6" s="310">
        <f t="shared" si="0"/>
        <v>2056</v>
      </c>
      <c r="AK6" s="310">
        <f t="shared" si="0"/>
        <v>2057</v>
      </c>
      <c r="AL6" s="310">
        <f t="shared" si="0"/>
        <v>2058</v>
      </c>
      <c r="AM6" s="310">
        <f t="shared" ref="AM6:AN6" si="1">YEAR(AM5)</f>
        <v>2059</v>
      </c>
      <c r="AN6" s="310">
        <f t="shared" si="1"/>
        <v>2060</v>
      </c>
    </row>
    <row r="7" spans="1:16311">
      <c r="C7" s="11" t="s">
        <v>39</v>
      </c>
      <c r="E7" s="309"/>
      <c r="G7" s="311">
        <f>Flags!G15</f>
        <v>1</v>
      </c>
      <c r="H7" s="311">
        <f>Flags!H15</f>
        <v>2</v>
      </c>
      <c r="I7" s="311">
        <f>Flags!I15</f>
        <v>3</v>
      </c>
      <c r="J7" s="311">
        <f>Flags!J15</f>
        <v>4</v>
      </c>
      <c r="K7" s="311">
        <f>Flags!K15</f>
        <v>5</v>
      </c>
      <c r="L7" s="311">
        <f>Flags!L15</f>
        <v>6</v>
      </c>
      <c r="M7" s="311">
        <f>Flags!M15</f>
        <v>7</v>
      </c>
      <c r="N7" s="311">
        <f>Flags!N15</f>
        <v>8</v>
      </c>
      <c r="O7" s="311">
        <f>Flags!O15</f>
        <v>9</v>
      </c>
      <c r="P7" s="311">
        <f>Flags!P15</f>
        <v>10</v>
      </c>
      <c r="Q7" s="311">
        <f>Flags!Q15</f>
        <v>11</v>
      </c>
      <c r="R7" s="311">
        <f>Flags!R15</f>
        <v>12</v>
      </c>
      <c r="S7" s="311">
        <f>Flags!S15</f>
        <v>13</v>
      </c>
      <c r="T7" s="311">
        <f>Flags!T15</f>
        <v>14</v>
      </c>
      <c r="U7" s="311">
        <f>Flags!U15</f>
        <v>15</v>
      </c>
      <c r="V7" s="311">
        <f>Flags!V15</f>
        <v>16</v>
      </c>
      <c r="W7" s="311">
        <f>Flags!W15</f>
        <v>17</v>
      </c>
      <c r="X7" s="311">
        <f>Flags!X15</f>
        <v>18</v>
      </c>
      <c r="Y7" s="311">
        <f>Flags!Y15</f>
        <v>19</v>
      </c>
      <c r="Z7" s="311">
        <f>Flags!Z15</f>
        <v>20</v>
      </c>
      <c r="AA7" s="311">
        <f>Flags!AA15</f>
        <v>21</v>
      </c>
      <c r="AB7" s="311">
        <f>Flags!AB15</f>
        <v>22</v>
      </c>
      <c r="AC7" s="311">
        <f>Flags!AC15</f>
        <v>23</v>
      </c>
      <c r="AD7" s="311">
        <f>Flags!AD15</f>
        <v>24</v>
      </c>
      <c r="AE7" s="311">
        <f>Flags!AE15</f>
        <v>25</v>
      </c>
      <c r="AF7" s="311">
        <f>Flags!AF15</f>
        <v>26</v>
      </c>
      <c r="AG7" s="311">
        <f>Flags!AG15</f>
        <v>27</v>
      </c>
      <c r="AH7" s="311">
        <f>Flags!AH15</f>
        <v>28</v>
      </c>
      <c r="AI7" s="311">
        <f>Flags!AI15</f>
        <v>29</v>
      </c>
      <c r="AJ7" s="311">
        <f>Flags!AJ15</f>
        <v>30</v>
      </c>
      <c r="AK7" s="311">
        <f>Flags!AK15</f>
        <v>31</v>
      </c>
      <c r="AL7" s="311">
        <f>Flags!AL15</f>
        <v>32</v>
      </c>
      <c r="AM7" s="311">
        <f>Flags!AM15</f>
        <v>33</v>
      </c>
      <c r="AN7" s="311">
        <f>Flags!AN15</f>
        <v>34</v>
      </c>
    </row>
    <row r="8" spans="1:16311">
      <c r="C8" s="11" t="str">
        <f>Flags!C6</f>
        <v>Timeline</v>
      </c>
      <c r="E8" s="309"/>
      <c r="G8" s="273" t="str">
        <f>Flags!G90</f>
        <v>Ops</v>
      </c>
      <c r="H8" s="273" t="str">
        <f>Flags!H90</f>
        <v>Ops</v>
      </c>
      <c r="I8" s="273" t="str">
        <f>Flags!I90</f>
        <v>Ops</v>
      </c>
      <c r="J8" s="273" t="str">
        <f>Flags!J90</f>
        <v>Ops</v>
      </c>
      <c r="K8" s="273" t="str">
        <f>Flags!K90</f>
        <v>Ops</v>
      </c>
      <c r="L8" s="273" t="str">
        <f>Flags!L90</f>
        <v>Ops</v>
      </c>
      <c r="M8" s="273" t="str">
        <f>Flags!M90</f>
        <v>Ops</v>
      </c>
      <c r="N8" s="273" t="str">
        <f>Flags!N90</f>
        <v>Ops</v>
      </c>
      <c r="O8" s="273" t="str">
        <f>Flags!O90</f>
        <v>Ops</v>
      </c>
      <c r="P8" s="273" t="str">
        <f>Flags!P90</f>
        <v>Ops</v>
      </c>
      <c r="Q8" s="273" t="str">
        <f>Flags!Q90</f>
        <v>Ops</v>
      </c>
      <c r="R8" s="273" t="str">
        <f>Flags!R90</f>
        <v>Ops</v>
      </c>
      <c r="S8" s="273" t="str">
        <f>Flags!S90</f>
        <v>Ops</v>
      </c>
      <c r="T8" s="273" t="str">
        <f>Flags!T90</f>
        <v>Ops</v>
      </c>
      <c r="U8" s="273" t="str">
        <f>Flags!U90</f>
        <v>Ops</v>
      </c>
      <c r="V8" s="273" t="str">
        <f>Flags!V90</f>
        <v>Ops</v>
      </c>
      <c r="W8" s="273" t="str">
        <f>Flags!W90</f>
        <v>Ops</v>
      </c>
      <c r="X8" s="273" t="str">
        <f>Flags!X90</f>
        <v>Ops</v>
      </c>
      <c r="Y8" s="273" t="str">
        <f>Flags!Y90</f>
        <v>Ops</v>
      </c>
      <c r="Z8" s="273" t="str">
        <f>Flags!Z90</f>
        <v>Ops</v>
      </c>
      <c r="AA8" s="273" t="str">
        <f>Flags!AA90</f>
        <v>Ops</v>
      </c>
      <c r="AB8" s="273" t="str">
        <f>Flags!AB90</f>
        <v>Ops</v>
      </c>
      <c r="AC8" s="273" t="str">
        <f>Flags!AC90</f>
        <v>Ops</v>
      </c>
      <c r="AD8" s="273" t="str">
        <f>Flags!AD90</f>
        <v>Ops</v>
      </c>
      <c r="AE8" s="273" t="str">
        <f>Flags!AE90</f>
        <v>Ops</v>
      </c>
      <c r="AF8" s="273" t="str">
        <f>Flags!AF90</f>
        <v>Ops</v>
      </c>
      <c r="AG8" s="273" t="str">
        <f>Flags!AG90</f>
        <v>Ops</v>
      </c>
      <c r="AH8" s="273" t="str">
        <f>Flags!AH90</f>
        <v>Ops</v>
      </c>
      <c r="AI8" s="273" t="str">
        <f>Flags!AI90</f>
        <v>Ops</v>
      </c>
      <c r="AJ8" s="273" t="str">
        <f>Flags!AJ90</f>
        <v>Ops</v>
      </c>
      <c r="AK8" s="273" t="str">
        <f>Flags!AK90</f>
        <v>Post Ops.</v>
      </c>
      <c r="AL8" s="273" t="str">
        <f>Flags!AL90</f>
        <v>Post Ops.</v>
      </c>
      <c r="AM8" s="273" t="str">
        <f>Flags!AM90</f>
        <v>Post Ops.</v>
      </c>
      <c r="AN8" s="273" t="str">
        <f>Flags!AN90</f>
        <v>Post Ops.</v>
      </c>
    </row>
    <row r="9" spans="1:16311">
      <c r="E9" s="309"/>
    </row>
    <row r="10" spans="1:16311">
      <c r="D10" s="19" t="str">
        <f>Flags!D8</f>
        <v>Inputs</v>
      </c>
      <c r="E10" s="75" t="str">
        <f>Flags!E8</f>
        <v>Units</v>
      </c>
      <c r="F10" s="20" t="str">
        <f>Flags!F8</f>
        <v>Total</v>
      </c>
    </row>
    <row r="11" spans="1:16311">
      <c r="D11" s="19"/>
      <c r="E11" s="75"/>
      <c r="F11" s="20"/>
    </row>
    <row r="12" spans="1:16311" ht="16.2" thickBot="1">
      <c r="C12" s="394" t="s">
        <v>372</v>
      </c>
      <c r="D12" s="395"/>
      <c r="E12" s="396"/>
      <c r="F12" s="395"/>
      <c r="G12" s="395"/>
      <c r="H12" s="395"/>
      <c r="I12" s="395"/>
      <c r="J12" s="395"/>
      <c r="K12" s="395"/>
      <c r="L12" s="395"/>
      <c r="M12" s="395"/>
      <c r="N12" s="395"/>
      <c r="O12" s="395"/>
      <c r="P12" s="395"/>
      <c r="Q12" s="395"/>
      <c r="R12" s="395"/>
      <c r="S12" s="395"/>
      <c r="T12" s="395"/>
      <c r="U12" s="395"/>
      <c r="V12" s="395"/>
      <c r="W12" s="395"/>
      <c r="X12" s="395"/>
      <c r="Y12" s="395"/>
      <c r="Z12" s="395"/>
      <c r="AA12" s="395"/>
      <c r="AB12" s="395"/>
      <c r="AC12" s="395"/>
      <c r="AD12" s="395"/>
      <c r="AE12" s="395"/>
      <c r="AF12" s="395"/>
      <c r="AG12" s="395"/>
      <c r="AH12" s="395"/>
      <c r="AI12" s="395"/>
      <c r="AJ12" s="395"/>
      <c r="AK12" s="8"/>
      <c r="AL12" s="8"/>
      <c r="AM12" s="8"/>
      <c r="AN12" s="8"/>
    </row>
    <row r="13" spans="1:16311" outlineLevel="1">
      <c r="D13" s="266"/>
      <c r="E13" s="309"/>
    </row>
    <row r="14" spans="1:16311" outlineLevel="1">
      <c r="C14" s="266" t="s">
        <v>373</v>
      </c>
      <c r="E14" s="76" t="s">
        <v>38</v>
      </c>
      <c r="G14" s="266">
        <f t="shared" ref="G14:AL14" si="2">YEAR(G$5)</f>
        <v>2027</v>
      </c>
      <c r="H14" s="266">
        <f t="shared" si="2"/>
        <v>2028</v>
      </c>
      <c r="I14" s="266">
        <f t="shared" si="2"/>
        <v>2029</v>
      </c>
      <c r="J14" s="266">
        <f t="shared" si="2"/>
        <v>2030</v>
      </c>
      <c r="K14" s="266">
        <f t="shared" si="2"/>
        <v>2031</v>
      </c>
      <c r="L14" s="266">
        <f t="shared" si="2"/>
        <v>2032</v>
      </c>
      <c r="M14" s="266">
        <f t="shared" si="2"/>
        <v>2033</v>
      </c>
      <c r="N14" s="266">
        <f t="shared" si="2"/>
        <v>2034</v>
      </c>
      <c r="O14" s="266">
        <f t="shared" si="2"/>
        <v>2035</v>
      </c>
      <c r="P14" s="266">
        <f t="shared" si="2"/>
        <v>2036</v>
      </c>
      <c r="Q14" s="266">
        <f t="shared" si="2"/>
        <v>2037</v>
      </c>
      <c r="R14" s="266">
        <f t="shared" si="2"/>
        <v>2038</v>
      </c>
      <c r="S14" s="266">
        <f t="shared" si="2"/>
        <v>2039</v>
      </c>
      <c r="T14" s="266">
        <f t="shared" si="2"/>
        <v>2040</v>
      </c>
      <c r="U14" s="266">
        <f t="shared" si="2"/>
        <v>2041</v>
      </c>
      <c r="V14" s="266">
        <f t="shared" si="2"/>
        <v>2042</v>
      </c>
      <c r="W14" s="266">
        <f t="shared" si="2"/>
        <v>2043</v>
      </c>
      <c r="X14" s="266">
        <f t="shared" si="2"/>
        <v>2044</v>
      </c>
      <c r="Y14" s="266">
        <f t="shared" si="2"/>
        <v>2045</v>
      </c>
      <c r="Z14" s="266">
        <f t="shared" si="2"/>
        <v>2046</v>
      </c>
      <c r="AA14" s="266">
        <f t="shared" si="2"/>
        <v>2047</v>
      </c>
      <c r="AB14" s="266">
        <f t="shared" si="2"/>
        <v>2048</v>
      </c>
      <c r="AC14" s="266">
        <f t="shared" si="2"/>
        <v>2049</v>
      </c>
      <c r="AD14" s="266">
        <f t="shared" si="2"/>
        <v>2050</v>
      </c>
      <c r="AE14" s="266">
        <f t="shared" si="2"/>
        <v>2051</v>
      </c>
      <c r="AF14" s="266">
        <f t="shared" si="2"/>
        <v>2052</v>
      </c>
      <c r="AG14" s="266">
        <f t="shared" si="2"/>
        <v>2053</v>
      </c>
      <c r="AH14" s="266">
        <f t="shared" si="2"/>
        <v>2054</v>
      </c>
      <c r="AI14" s="266">
        <f t="shared" si="2"/>
        <v>2055</v>
      </c>
      <c r="AJ14" s="266">
        <f t="shared" si="2"/>
        <v>2056</v>
      </c>
      <c r="AK14" s="266">
        <f t="shared" si="2"/>
        <v>2057</v>
      </c>
      <c r="AL14" s="266">
        <f t="shared" si="2"/>
        <v>2058</v>
      </c>
      <c r="AM14" s="266">
        <f t="shared" ref="AM14:AN14" si="3">YEAR(AM$5)</f>
        <v>2059</v>
      </c>
      <c r="AN14" s="266">
        <f t="shared" si="3"/>
        <v>2060</v>
      </c>
    </row>
    <row r="15" spans="1:16311" outlineLevel="1">
      <c r="C15" s="266" t="s">
        <v>374</v>
      </c>
      <c r="E15" s="76" t="s">
        <v>304</v>
      </c>
      <c r="G15" s="266">
        <f>Flags!H$26</f>
        <v>366</v>
      </c>
      <c r="H15" s="266">
        <f>Flags!I$26</f>
        <v>365</v>
      </c>
      <c r="I15" s="266">
        <f>Flags!J$26</f>
        <v>365</v>
      </c>
      <c r="J15" s="266">
        <f>Flags!K$26</f>
        <v>365</v>
      </c>
      <c r="K15" s="266">
        <f>Flags!L$26</f>
        <v>366</v>
      </c>
      <c r="L15" s="266">
        <f>Flags!M$26</f>
        <v>365</v>
      </c>
      <c r="M15" s="266">
        <f>Flags!N$26</f>
        <v>365</v>
      </c>
      <c r="N15" s="266">
        <f>Flags!O$26</f>
        <v>365</v>
      </c>
      <c r="O15" s="266">
        <f>Flags!P$26</f>
        <v>366</v>
      </c>
      <c r="P15" s="266">
        <f>Flags!Q$26</f>
        <v>365</v>
      </c>
      <c r="Q15" s="266">
        <f>Flags!R$26</f>
        <v>365</v>
      </c>
      <c r="R15" s="266">
        <f>Flags!S$26</f>
        <v>365</v>
      </c>
      <c r="S15" s="266">
        <f>Flags!T$26</f>
        <v>366</v>
      </c>
      <c r="T15" s="266">
        <f>Flags!U$26</f>
        <v>365</v>
      </c>
      <c r="U15" s="266">
        <f>Flags!V$26</f>
        <v>365</v>
      </c>
      <c r="V15" s="266">
        <f>Flags!W$26</f>
        <v>365</v>
      </c>
      <c r="W15" s="266">
        <f>Flags!X$26</f>
        <v>366</v>
      </c>
      <c r="X15" s="266">
        <f>Flags!Y$26</f>
        <v>365</v>
      </c>
      <c r="Y15" s="266">
        <f>Flags!Z$26</f>
        <v>365</v>
      </c>
      <c r="Z15" s="266">
        <f>Flags!AA$26</f>
        <v>365</v>
      </c>
      <c r="AA15" s="266">
        <f>Flags!AB$26</f>
        <v>366</v>
      </c>
      <c r="AB15" s="266">
        <f>Flags!AC$26</f>
        <v>365</v>
      </c>
      <c r="AC15" s="266">
        <f>Flags!AD$26</f>
        <v>365</v>
      </c>
      <c r="AD15" s="266">
        <f>Flags!AE$26</f>
        <v>365</v>
      </c>
      <c r="AE15" s="266">
        <f>Flags!AF$26</f>
        <v>366</v>
      </c>
      <c r="AF15" s="266">
        <f>Flags!AG$26</f>
        <v>365</v>
      </c>
      <c r="AG15" s="266">
        <f>Flags!AH$26</f>
        <v>365</v>
      </c>
      <c r="AH15" s="266">
        <f>Flags!AI$26</f>
        <v>365</v>
      </c>
      <c r="AI15" s="266">
        <f>Flags!AJ$26</f>
        <v>366</v>
      </c>
      <c r="AJ15" s="266">
        <f>Flags!AK$26</f>
        <v>365</v>
      </c>
      <c r="AK15" s="266">
        <f>Flags!AL$26</f>
        <v>365</v>
      </c>
      <c r="AL15" s="266">
        <f>Flags!AM$26</f>
        <v>365</v>
      </c>
      <c r="AM15" s="266">
        <f>Flags!AN$26</f>
        <v>366</v>
      </c>
      <c r="AN15" s="266">
        <f>Flags!AO$26</f>
        <v>0</v>
      </c>
    </row>
    <row r="16" spans="1:16311" outlineLevel="1">
      <c r="C16" s="266" t="s">
        <v>375</v>
      </c>
      <c r="E16" s="76" t="s">
        <v>304</v>
      </c>
      <c r="G16" s="266">
        <f t="shared" ref="G16:AN16" si="4">SUMIF($G$14:$AN$14,G14,$G$15:$AN$15)</f>
        <v>366</v>
      </c>
      <c r="H16" s="266">
        <f t="shared" si="4"/>
        <v>365</v>
      </c>
      <c r="I16" s="266">
        <f t="shared" si="4"/>
        <v>365</v>
      </c>
      <c r="J16" s="266">
        <f t="shared" si="4"/>
        <v>365</v>
      </c>
      <c r="K16" s="266">
        <f t="shared" si="4"/>
        <v>366</v>
      </c>
      <c r="L16" s="266">
        <f t="shared" si="4"/>
        <v>365</v>
      </c>
      <c r="M16" s="266">
        <f t="shared" si="4"/>
        <v>365</v>
      </c>
      <c r="N16" s="266">
        <f t="shared" si="4"/>
        <v>365</v>
      </c>
      <c r="O16" s="266">
        <f t="shared" si="4"/>
        <v>366</v>
      </c>
      <c r="P16" s="266">
        <f t="shared" si="4"/>
        <v>365</v>
      </c>
      <c r="Q16" s="266">
        <f t="shared" si="4"/>
        <v>365</v>
      </c>
      <c r="R16" s="266">
        <f t="shared" si="4"/>
        <v>365</v>
      </c>
      <c r="S16" s="266">
        <f t="shared" si="4"/>
        <v>366</v>
      </c>
      <c r="T16" s="266">
        <f t="shared" si="4"/>
        <v>365</v>
      </c>
      <c r="U16" s="266">
        <f t="shared" si="4"/>
        <v>365</v>
      </c>
      <c r="V16" s="266">
        <f t="shared" si="4"/>
        <v>365</v>
      </c>
      <c r="W16" s="266">
        <f t="shared" si="4"/>
        <v>366</v>
      </c>
      <c r="X16" s="266">
        <f t="shared" si="4"/>
        <v>365</v>
      </c>
      <c r="Y16" s="266">
        <f t="shared" si="4"/>
        <v>365</v>
      </c>
      <c r="Z16" s="266">
        <f t="shared" si="4"/>
        <v>365</v>
      </c>
      <c r="AA16" s="266">
        <f t="shared" si="4"/>
        <v>366</v>
      </c>
      <c r="AB16" s="266">
        <f t="shared" si="4"/>
        <v>365</v>
      </c>
      <c r="AC16" s="266">
        <f t="shared" si="4"/>
        <v>365</v>
      </c>
      <c r="AD16" s="266">
        <f t="shared" si="4"/>
        <v>365</v>
      </c>
      <c r="AE16" s="266">
        <f t="shared" si="4"/>
        <v>366</v>
      </c>
      <c r="AF16" s="266">
        <f t="shared" si="4"/>
        <v>365</v>
      </c>
      <c r="AG16" s="266">
        <f t="shared" si="4"/>
        <v>365</v>
      </c>
      <c r="AH16" s="266">
        <f t="shared" si="4"/>
        <v>365</v>
      </c>
      <c r="AI16" s="266">
        <f t="shared" si="4"/>
        <v>366</v>
      </c>
      <c r="AJ16" s="266">
        <f t="shared" si="4"/>
        <v>365</v>
      </c>
      <c r="AK16" s="266">
        <f t="shared" si="4"/>
        <v>365</v>
      </c>
      <c r="AL16" s="266">
        <f t="shared" si="4"/>
        <v>365</v>
      </c>
      <c r="AM16" s="266">
        <f t="shared" si="4"/>
        <v>366</v>
      </c>
      <c r="AN16" s="266">
        <f t="shared" si="4"/>
        <v>0</v>
      </c>
    </row>
    <row r="17" spans="3:40" outlineLevel="1">
      <c r="E17" s="76"/>
    </row>
    <row r="18" spans="3:40" outlineLevel="1">
      <c r="C18" s="18" t="s">
        <v>376</v>
      </c>
      <c r="E18" s="309"/>
    </row>
    <row r="19" spans="3:40" outlineLevel="2">
      <c r="C19" s="266" t="s">
        <v>377</v>
      </c>
      <c r="E19" s="309"/>
    </row>
    <row r="20" spans="3:40" outlineLevel="2">
      <c r="C20" s="266" t="str">
        <f>Inputs!C337</f>
        <v>None</v>
      </c>
      <c r="D20" s="266"/>
      <c r="E20" s="32" t="s">
        <v>377</v>
      </c>
      <c r="G20">
        <f>LOOKUP(G$14,Inputs!$G$336:$K$336,Inputs!$G337:$K337)</f>
        <v>0</v>
      </c>
      <c r="H20">
        <f>LOOKUP(H$14,Inputs!$G$336:$K$336,Inputs!$G337:$K337)</f>
        <v>0</v>
      </c>
      <c r="I20">
        <f>LOOKUP(I$14,Inputs!$G$336:$K$336,Inputs!$G337:$K337)</f>
        <v>0</v>
      </c>
      <c r="J20">
        <f>LOOKUP(J$14,Inputs!$G$336:$K$336,Inputs!$G337:$K337)</f>
        <v>0</v>
      </c>
      <c r="K20">
        <f>LOOKUP(K$14,Inputs!$G$336:$K$336,Inputs!$G337:$K337)</f>
        <v>0</v>
      </c>
      <c r="L20">
        <f>LOOKUP(L$14,Inputs!$G$336:$K$336,Inputs!$G337:$K337)</f>
        <v>0</v>
      </c>
      <c r="M20">
        <f>LOOKUP(M$14,Inputs!$G$336:$K$336,Inputs!$G337:$K337)</f>
        <v>0</v>
      </c>
      <c r="N20">
        <f>LOOKUP(N$14,Inputs!$G$336:$K$336,Inputs!$G337:$K337)</f>
        <v>0</v>
      </c>
      <c r="O20">
        <f>LOOKUP(O$14,Inputs!$G$336:$K$336,Inputs!$G337:$K337)</f>
        <v>0</v>
      </c>
      <c r="P20">
        <f>LOOKUP(P$14,Inputs!$G$336:$K$336,Inputs!$G337:$K337)</f>
        <v>0</v>
      </c>
      <c r="Q20">
        <f>LOOKUP(Q$14,Inputs!$G$336:$K$336,Inputs!$G337:$K337)</f>
        <v>0</v>
      </c>
      <c r="R20">
        <f>LOOKUP(R$14,Inputs!$G$336:$K$336,Inputs!$G337:$K337)</f>
        <v>0</v>
      </c>
      <c r="S20">
        <f>LOOKUP(S$14,Inputs!$G$336:$K$336,Inputs!$G337:$K337)</f>
        <v>0</v>
      </c>
      <c r="T20">
        <f>LOOKUP(T$14,Inputs!$G$336:$K$336,Inputs!$G337:$K337)</f>
        <v>0</v>
      </c>
      <c r="U20">
        <f>LOOKUP(U$14,Inputs!$G$336:$K$336,Inputs!$G337:$K337)</f>
        <v>0</v>
      </c>
      <c r="V20">
        <f>LOOKUP(V$14,Inputs!$G$336:$K$336,Inputs!$G337:$K337)</f>
        <v>0</v>
      </c>
      <c r="W20">
        <f>LOOKUP(W$14,Inputs!$G$336:$K$336,Inputs!$G337:$K337)</f>
        <v>0</v>
      </c>
      <c r="X20">
        <f>LOOKUP(X$14,Inputs!$G$336:$K$336,Inputs!$G337:$K337)</f>
        <v>0</v>
      </c>
      <c r="Y20">
        <f>LOOKUP(Y$14,Inputs!$G$336:$K$336,Inputs!$G337:$K337)</f>
        <v>0</v>
      </c>
      <c r="Z20">
        <f>LOOKUP(Z$14,Inputs!$G$336:$K$336,Inputs!$G337:$K337)</f>
        <v>0</v>
      </c>
      <c r="AA20">
        <f>LOOKUP(AA$14,Inputs!$G$336:$K$336,Inputs!$G337:$K337)</f>
        <v>0</v>
      </c>
      <c r="AB20">
        <f>LOOKUP(AB$14,Inputs!$G$336:$K$336,Inputs!$G337:$K337)</f>
        <v>0</v>
      </c>
      <c r="AC20">
        <f>LOOKUP(AC$14,Inputs!$G$336:$K$336,Inputs!$G337:$K337)</f>
        <v>0</v>
      </c>
      <c r="AD20">
        <f>LOOKUP(AD$14,Inputs!$G$336:$K$336,Inputs!$G337:$K337)</f>
        <v>0</v>
      </c>
      <c r="AE20">
        <f>LOOKUP(AE$14,Inputs!$G$336:$K$336,Inputs!$G337:$K337)</f>
        <v>0</v>
      </c>
      <c r="AF20">
        <f>LOOKUP(AF$14,Inputs!$G$336:$K$336,Inputs!$G337:$K337)</f>
        <v>0</v>
      </c>
      <c r="AG20">
        <f>LOOKUP(AG$14,Inputs!$G$336:$K$336,Inputs!$G337:$K337)</f>
        <v>0</v>
      </c>
      <c r="AH20">
        <f>LOOKUP(AH$14,Inputs!$G$336:$K$336,Inputs!$G337:$K337)</f>
        <v>0</v>
      </c>
      <c r="AI20">
        <f>LOOKUP(AI$14,Inputs!$G$336:$K$336,Inputs!$G337:$K337)</f>
        <v>0</v>
      </c>
      <c r="AJ20">
        <f>LOOKUP(AJ$14,Inputs!$G$336:$K$336,Inputs!$G337:$K337)</f>
        <v>0</v>
      </c>
      <c r="AK20">
        <f>LOOKUP(AK$14,Inputs!$G$336:$K$336,Inputs!$G337:$K337)</f>
        <v>0</v>
      </c>
      <c r="AL20">
        <f>LOOKUP(AL$14,Inputs!$G$336:$K$336,Inputs!$G337:$K337)</f>
        <v>0</v>
      </c>
      <c r="AM20">
        <f>LOOKUP(AM$14,Inputs!$G$336:$K$336,Inputs!$G337:$K337)</f>
        <v>0</v>
      </c>
      <c r="AN20">
        <f>LOOKUP(AN$14,Inputs!$G$336:$K$336,Inputs!$G337:$K337)</f>
        <v>0</v>
      </c>
    </row>
    <row r="21" spans="3:40" outlineLevel="2">
      <c r="C21" s="266" t="str">
        <f>Inputs!C338</f>
        <v>IPG-M</v>
      </c>
      <c r="D21" s="266"/>
      <c r="E21" s="32" t="s">
        <v>377</v>
      </c>
      <c r="F21" s="767"/>
      <c r="G21" s="768">
        <f>LOOKUP(G$14,Inputs!$G$336:$K$336,Inputs!$G338:$K338)</f>
        <v>3.7999999999999999E-2</v>
      </c>
      <c r="H21" s="768">
        <f>LOOKUP(H$14,Inputs!$G$336:$K$336,Inputs!$G338:$K338)</f>
        <v>3.7999999999999999E-2</v>
      </c>
      <c r="I21" s="768">
        <f>LOOKUP(I$14,Inputs!$G$336:$K$336,Inputs!$G338:$K338)</f>
        <v>3.7999999999999999E-2</v>
      </c>
      <c r="J21" s="768">
        <f>LOOKUP(J$14,Inputs!$G$336:$K$336,Inputs!$G338:$K338)</f>
        <v>3.7999999999999999E-2</v>
      </c>
      <c r="K21" s="768">
        <f>LOOKUP(K$14,Inputs!$G$336:$K$336,Inputs!$G338:$K338)</f>
        <v>3.7999999999999999E-2</v>
      </c>
      <c r="L21" s="768">
        <f>LOOKUP(L$14,Inputs!$G$336:$K$336,Inputs!$G338:$K338)</f>
        <v>3.7999999999999999E-2</v>
      </c>
      <c r="M21" s="768">
        <f>LOOKUP(M$14,Inputs!$G$336:$K$336,Inputs!$G338:$K338)</f>
        <v>3.7999999999999999E-2</v>
      </c>
      <c r="N21" s="768">
        <f>LOOKUP(N$14,Inputs!$G$336:$K$336,Inputs!$G338:$K338)</f>
        <v>3.7999999999999999E-2</v>
      </c>
      <c r="O21" s="768">
        <f>LOOKUP(O$14,Inputs!$G$336:$K$336,Inputs!$G338:$K338)</f>
        <v>3.7999999999999999E-2</v>
      </c>
      <c r="P21" s="768">
        <f>LOOKUP(P$14,Inputs!$G$336:$K$336,Inputs!$G338:$K338)</f>
        <v>3.7999999999999999E-2</v>
      </c>
      <c r="Q21" s="768">
        <f>LOOKUP(Q$14,Inputs!$G$336:$K$336,Inputs!$G338:$K338)</f>
        <v>3.7999999999999999E-2</v>
      </c>
      <c r="R21" s="768">
        <f>LOOKUP(R$14,Inputs!$G$336:$K$336,Inputs!$G338:$K338)</f>
        <v>3.7999999999999999E-2</v>
      </c>
      <c r="S21" s="768">
        <f>LOOKUP(S$14,Inputs!$G$336:$K$336,Inputs!$G338:$K338)</f>
        <v>3.7999999999999999E-2</v>
      </c>
      <c r="T21" s="768">
        <f>LOOKUP(T$14,Inputs!$G$336:$K$336,Inputs!$G338:$K338)</f>
        <v>3.7999999999999999E-2</v>
      </c>
      <c r="U21" s="768">
        <f>LOOKUP(U$14,Inputs!$G$336:$K$336,Inputs!$G338:$K338)</f>
        <v>3.7999999999999999E-2</v>
      </c>
      <c r="V21" s="768">
        <f>LOOKUP(V$14,Inputs!$G$336:$K$336,Inputs!$G338:$K338)</f>
        <v>3.7999999999999999E-2</v>
      </c>
      <c r="W21" s="768">
        <f>LOOKUP(W$14,Inputs!$G$336:$K$336,Inputs!$G338:$K338)</f>
        <v>3.7999999999999999E-2</v>
      </c>
      <c r="X21" s="768">
        <f>LOOKUP(X$14,Inputs!$G$336:$K$336,Inputs!$G338:$K338)</f>
        <v>3.7999999999999999E-2</v>
      </c>
      <c r="Y21" s="768">
        <f>LOOKUP(Y$14,Inputs!$G$336:$K$336,Inputs!$G338:$K338)</f>
        <v>3.7999999999999999E-2</v>
      </c>
      <c r="Z21" s="768">
        <f>LOOKUP(Z$14,Inputs!$G$336:$K$336,Inputs!$G338:$K338)</f>
        <v>3.7999999999999999E-2</v>
      </c>
      <c r="AA21" s="768">
        <f>LOOKUP(AA$14,Inputs!$G$336:$K$336,Inputs!$G338:$K338)</f>
        <v>3.7999999999999999E-2</v>
      </c>
      <c r="AB21" s="768">
        <f>LOOKUP(AB$14,Inputs!$G$336:$K$336,Inputs!$G338:$K338)</f>
        <v>3.7999999999999999E-2</v>
      </c>
      <c r="AC21" s="768">
        <f>LOOKUP(AC$14,Inputs!$G$336:$K$336,Inputs!$G338:$K338)</f>
        <v>3.7999999999999999E-2</v>
      </c>
      <c r="AD21" s="768">
        <f>LOOKUP(AD$14,Inputs!$G$336:$K$336,Inputs!$G338:$K338)</f>
        <v>3.7999999999999999E-2</v>
      </c>
      <c r="AE21" s="768">
        <f>LOOKUP(AE$14,Inputs!$G$336:$K$336,Inputs!$G338:$K338)</f>
        <v>3.7999999999999999E-2</v>
      </c>
      <c r="AF21" s="768">
        <f>LOOKUP(AF$14,Inputs!$G$336:$K$336,Inputs!$G338:$K338)</f>
        <v>3.7999999999999999E-2</v>
      </c>
      <c r="AG21" s="768">
        <f>LOOKUP(AG$14,Inputs!$G$336:$K$336,Inputs!$G338:$K338)</f>
        <v>3.7999999999999999E-2</v>
      </c>
      <c r="AH21" s="768">
        <f>LOOKUP(AH$14,Inputs!$G$336:$K$336,Inputs!$G338:$K338)</f>
        <v>3.7999999999999999E-2</v>
      </c>
      <c r="AI21" s="768">
        <f>LOOKUP(AI$14,Inputs!$G$336:$K$336,Inputs!$G338:$K338)</f>
        <v>3.7999999999999999E-2</v>
      </c>
      <c r="AJ21" s="768">
        <f>LOOKUP(AJ$14,Inputs!$G$336:$K$336,Inputs!$G338:$K338)</f>
        <v>3.7999999999999999E-2</v>
      </c>
      <c r="AK21" s="768">
        <f>LOOKUP(AK$14,Inputs!$G$336:$K$336,Inputs!$G338:$K338)</f>
        <v>3.7999999999999999E-2</v>
      </c>
      <c r="AL21" s="768">
        <f>LOOKUP(AL$14,Inputs!$G$336:$K$336,Inputs!$G338:$K338)</f>
        <v>3.7999999999999999E-2</v>
      </c>
      <c r="AM21" s="768">
        <f>LOOKUP(AM$14,Inputs!$G$336:$K$336,Inputs!$G338:$K338)</f>
        <v>3.7999999999999999E-2</v>
      </c>
      <c r="AN21" s="768">
        <f>LOOKUP(AN$14,Inputs!$G$336:$K$336,Inputs!$G338:$K338)</f>
        <v>3.7999999999999999E-2</v>
      </c>
    </row>
    <row r="22" spans="3:40" outlineLevel="2">
      <c r="C22" s="299" t="str">
        <f>Inputs!C339</f>
        <v>PIB</v>
      </c>
      <c r="D22" s="266"/>
      <c r="E22" s="32" t="s">
        <v>377</v>
      </c>
      <c r="F22" s="767"/>
      <c r="G22" s="768">
        <f>LOOKUP(G$14,Inputs!$G$336:$K$336,Inputs!$G339:$K339)</f>
        <v>0.02</v>
      </c>
      <c r="H22" s="768">
        <f>LOOKUP(H$14,Inputs!$G$336:$K$336,Inputs!$G339:$K339)</f>
        <v>0.02</v>
      </c>
      <c r="I22" s="768">
        <f>LOOKUP(I$14,Inputs!$G$336:$K$336,Inputs!$G339:$K339)</f>
        <v>0.02</v>
      </c>
      <c r="J22" s="768">
        <f>LOOKUP(J$14,Inputs!$G$336:$K$336,Inputs!$G339:$K339)</f>
        <v>0.02</v>
      </c>
      <c r="K22" s="768">
        <f>LOOKUP(K$14,Inputs!$G$336:$K$336,Inputs!$G339:$K339)</f>
        <v>0.02</v>
      </c>
      <c r="L22" s="768">
        <f>LOOKUP(L$14,Inputs!$G$336:$K$336,Inputs!$G339:$K339)</f>
        <v>0.02</v>
      </c>
      <c r="M22" s="768">
        <f>LOOKUP(M$14,Inputs!$G$336:$K$336,Inputs!$G339:$K339)</f>
        <v>0.02</v>
      </c>
      <c r="N22" s="768">
        <f>LOOKUP(N$14,Inputs!$G$336:$K$336,Inputs!$G339:$K339)</f>
        <v>0.02</v>
      </c>
      <c r="O22" s="768">
        <f>LOOKUP(O$14,Inputs!$G$336:$K$336,Inputs!$G339:$K339)</f>
        <v>0.02</v>
      </c>
      <c r="P22" s="768">
        <f>LOOKUP(P$14,Inputs!$G$336:$K$336,Inputs!$G339:$K339)</f>
        <v>0.02</v>
      </c>
      <c r="Q22" s="768">
        <f>LOOKUP(Q$14,Inputs!$G$336:$K$336,Inputs!$G339:$K339)</f>
        <v>0.02</v>
      </c>
      <c r="R22" s="768">
        <f>LOOKUP(R$14,Inputs!$G$336:$K$336,Inputs!$G339:$K339)</f>
        <v>0.02</v>
      </c>
      <c r="S22" s="768">
        <f>LOOKUP(S$14,Inputs!$G$336:$K$336,Inputs!$G339:$K339)</f>
        <v>0.02</v>
      </c>
      <c r="T22" s="768">
        <f>LOOKUP(T$14,Inputs!$G$336:$K$336,Inputs!$G339:$K339)</f>
        <v>0.02</v>
      </c>
      <c r="U22" s="768">
        <f>LOOKUP(U$14,Inputs!$G$336:$K$336,Inputs!$G339:$K339)</f>
        <v>0.02</v>
      </c>
      <c r="V22" s="768">
        <f>LOOKUP(V$14,Inputs!$G$336:$K$336,Inputs!$G339:$K339)</f>
        <v>0.02</v>
      </c>
      <c r="W22" s="768">
        <f>LOOKUP(W$14,Inputs!$G$336:$K$336,Inputs!$G339:$K339)</f>
        <v>0.02</v>
      </c>
      <c r="X22" s="768">
        <f>LOOKUP(X$14,Inputs!$G$336:$K$336,Inputs!$G339:$K339)</f>
        <v>0.02</v>
      </c>
      <c r="Y22" s="768">
        <f>LOOKUP(Y$14,Inputs!$G$336:$K$336,Inputs!$G339:$K339)</f>
        <v>0.02</v>
      </c>
      <c r="Z22" s="768">
        <f>LOOKUP(Z$14,Inputs!$G$336:$K$336,Inputs!$G339:$K339)</f>
        <v>0.02</v>
      </c>
      <c r="AA22" s="768">
        <f>LOOKUP(AA$14,Inputs!$G$336:$K$336,Inputs!$G339:$K339)</f>
        <v>0.02</v>
      </c>
      <c r="AB22" s="768">
        <f>LOOKUP(AB$14,Inputs!$G$336:$K$336,Inputs!$G339:$K339)</f>
        <v>0.02</v>
      </c>
      <c r="AC22" s="768">
        <f>LOOKUP(AC$14,Inputs!$G$336:$K$336,Inputs!$G339:$K339)</f>
        <v>0.02</v>
      </c>
      <c r="AD22" s="768">
        <f>LOOKUP(AD$14,Inputs!$G$336:$K$336,Inputs!$G339:$K339)</f>
        <v>0.02</v>
      </c>
      <c r="AE22" s="768">
        <f>LOOKUP(AE$14,Inputs!$G$336:$K$336,Inputs!$G339:$K339)</f>
        <v>0.02</v>
      </c>
      <c r="AF22" s="768">
        <f>LOOKUP(AF$14,Inputs!$G$336:$K$336,Inputs!$G339:$K339)</f>
        <v>0.02</v>
      </c>
      <c r="AG22" s="768">
        <f>LOOKUP(AG$14,Inputs!$G$336:$K$336,Inputs!$G339:$K339)</f>
        <v>0.02</v>
      </c>
      <c r="AH22" s="768">
        <f>LOOKUP(AH$14,Inputs!$G$336:$K$336,Inputs!$G339:$K339)</f>
        <v>0.02</v>
      </c>
      <c r="AI22" s="768">
        <f>LOOKUP(AI$14,Inputs!$G$336:$K$336,Inputs!$G339:$K339)</f>
        <v>0.02</v>
      </c>
      <c r="AJ22" s="768">
        <f>LOOKUP(AJ$14,Inputs!$G$336:$K$336,Inputs!$G339:$K339)</f>
        <v>0.02</v>
      </c>
      <c r="AK22" s="768">
        <f>LOOKUP(AK$14,Inputs!$G$336:$K$336,Inputs!$G339:$K339)</f>
        <v>0.02</v>
      </c>
      <c r="AL22" s="768">
        <f>LOOKUP(AL$14,Inputs!$G$336:$K$336,Inputs!$G339:$K339)</f>
        <v>0.02</v>
      </c>
      <c r="AM22" s="768">
        <f>LOOKUP(AM$14,Inputs!$G$336:$K$336,Inputs!$G339:$K339)</f>
        <v>0.02</v>
      </c>
      <c r="AN22" s="768">
        <f>LOOKUP(AN$14,Inputs!$G$336:$K$336,Inputs!$G339:$K339)</f>
        <v>0.02</v>
      </c>
    </row>
    <row r="23" spans="3:40" outlineLevel="2">
      <c r="C23" s="299" t="str">
        <f>Inputs!C340</f>
        <v>PIB Serviços</v>
      </c>
      <c r="D23" s="266"/>
      <c r="E23" s="32" t="s">
        <v>377</v>
      </c>
      <c r="F23" s="767"/>
      <c r="G23" s="768">
        <f>LOOKUP(G$14,Inputs!$G$336:$K$336,Inputs!$G340:$K340)</f>
        <v>2.5000000000000001E-2</v>
      </c>
      <c r="H23" s="768">
        <f>LOOKUP(H$14,Inputs!$G$336:$K$336,Inputs!$G340:$K340)</f>
        <v>2.5000000000000001E-2</v>
      </c>
      <c r="I23" s="768">
        <f>LOOKUP(I$14,Inputs!$G$336:$K$336,Inputs!$G340:$K340)</f>
        <v>2.5000000000000001E-2</v>
      </c>
      <c r="J23" s="768">
        <f>LOOKUP(J$14,Inputs!$G$336:$K$336,Inputs!$G340:$K340)</f>
        <v>2.5000000000000001E-2</v>
      </c>
      <c r="K23" s="768">
        <f>LOOKUP(K$14,Inputs!$G$336:$K$336,Inputs!$G340:$K340)</f>
        <v>2.5000000000000001E-2</v>
      </c>
      <c r="L23" s="768">
        <f>LOOKUP(L$14,Inputs!$G$336:$K$336,Inputs!$G340:$K340)</f>
        <v>2.5000000000000001E-2</v>
      </c>
      <c r="M23" s="768">
        <f>LOOKUP(M$14,Inputs!$G$336:$K$336,Inputs!$G340:$K340)</f>
        <v>2.5000000000000001E-2</v>
      </c>
      <c r="N23" s="768">
        <f>LOOKUP(N$14,Inputs!$G$336:$K$336,Inputs!$G340:$K340)</f>
        <v>2.5000000000000001E-2</v>
      </c>
      <c r="O23" s="768">
        <f>LOOKUP(O$14,Inputs!$G$336:$K$336,Inputs!$G340:$K340)</f>
        <v>2.5000000000000001E-2</v>
      </c>
      <c r="P23" s="768">
        <f>LOOKUP(P$14,Inputs!$G$336:$K$336,Inputs!$G340:$K340)</f>
        <v>2.5000000000000001E-2</v>
      </c>
      <c r="Q23" s="768">
        <f>LOOKUP(Q$14,Inputs!$G$336:$K$336,Inputs!$G340:$K340)</f>
        <v>2.5000000000000001E-2</v>
      </c>
      <c r="R23" s="768">
        <f>LOOKUP(R$14,Inputs!$G$336:$K$336,Inputs!$G340:$K340)</f>
        <v>2.5000000000000001E-2</v>
      </c>
      <c r="S23" s="768">
        <f>LOOKUP(S$14,Inputs!$G$336:$K$336,Inputs!$G340:$K340)</f>
        <v>2.5000000000000001E-2</v>
      </c>
      <c r="T23" s="768">
        <f>LOOKUP(T$14,Inputs!$G$336:$K$336,Inputs!$G340:$K340)</f>
        <v>2.5000000000000001E-2</v>
      </c>
      <c r="U23" s="768">
        <f>LOOKUP(U$14,Inputs!$G$336:$K$336,Inputs!$G340:$K340)</f>
        <v>2.5000000000000001E-2</v>
      </c>
      <c r="V23" s="768">
        <f>LOOKUP(V$14,Inputs!$G$336:$K$336,Inputs!$G340:$K340)</f>
        <v>2.5000000000000001E-2</v>
      </c>
      <c r="W23" s="768">
        <f>LOOKUP(W$14,Inputs!$G$336:$K$336,Inputs!$G340:$K340)</f>
        <v>2.5000000000000001E-2</v>
      </c>
      <c r="X23" s="768">
        <f>LOOKUP(X$14,Inputs!$G$336:$K$336,Inputs!$G340:$K340)</f>
        <v>2.5000000000000001E-2</v>
      </c>
      <c r="Y23" s="768">
        <f>LOOKUP(Y$14,Inputs!$G$336:$K$336,Inputs!$G340:$K340)</f>
        <v>2.5000000000000001E-2</v>
      </c>
      <c r="Z23" s="768">
        <f>LOOKUP(Z$14,Inputs!$G$336:$K$336,Inputs!$G340:$K340)</f>
        <v>2.5000000000000001E-2</v>
      </c>
      <c r="AA23" s="768">
        <f>LOOKUP(AA$14,Inputs!$G$336:$K$336,Inputs!$G340:$K340)</f>
        <v>2.5000000000000001E-2</v>
      </c>
      <c r="AB23" s="768">
        <f>LOOKUP(AB$14,Inputs!$G$336:$K$336,Inputs!$G340:$K340)</f>
        <v>2.5000000000000001E-2</v>
      </c>
      <c r="AC23" s="768">
        <f>LOOKUP(AC$14,Inputs!$G$336:$K$336,Inputs!$G340:$K340)</f>
        <v>2.5000000000000001E-2</v>
      </c>
      <c r="AD23" s="768">
        <f>LOOKUP(AD$14,Inputs!$G$336:$K$336,Inputs!$G340:$K340)</f>
        <v>2.5000000000000001E-2</v>
      </c>
      <c r="AE23" s="768">
        <f>LOOKUP(AE$14,Inputs!$G$336:$K$336,Inputs!$G340:$K340)</f>
        <v>2.5000000000000001E-2</v>
      </c>
      <c r="AF23" s="768">
        <f>LOOKUP(AF$14,Inputs!$G$336:$K$336,Inputs!$G340:$K340)</f>
        <v>2.5000000000000001E-2</v>
      </c>
      <c r="AG23" s="768">
        <f>LOOKUP(AG$14,Inputs!$G$336:$K$336,Inputs!$G340:$K340)</f>
        <v>2.5000000000000001E-2</v>
      </c>
      <c r="AH23" s="768">
        <f>LOOKUP(AH$14,Inputs!$G$336:$K$336,Inputs!$G340:$K340)</f>
        <v>2.5000000000000001E-2</v>
      </c>
      <c r="AI23" s="768">
        <f>LOOKUP(AI$14,Inputs!$G$336:$K$336,Inputs!$G340:$K340)</f>
        <v>2.5000000000000001E-2</v>
      </c>
      <c r="AJ23" s="768">
        <f>LOOKUP(AJ$14,Inputs!$G$336:$K$336,Inputs!$G340:$K340)</f>
        <v>2.5000000000000001E-2</v>
      </c>
      <c r="AK23" s="768">
        <f>LOOKUP(AK$14,Inputs!$G$336:$K$336,Inputs!$G340:$K340)</f>
        <v>2.5000000000000001E-2</v>
      </c>
      <c r="AL23" s="768">
        <f>LOOKUP(AL$14,Inputs!$G$336:$K$336,Inputs!$G340:$K340)</f>
        <v>2.5000000000000001E-2</v>
      </c>
      <c r="AM23" s="768">
        <f>LOOKUP(AM$14,Inputs!$G$336:$K$336,Inputs!$G340:$K340)</f>
        <v>2.5000000000000001E-2</v>
      </c>
      <c r="AN23" s="768">
        <f>LOOKUP(AN$14,Inputs!$G$336:$K$336,Inputs!$G340:$K340)</f>
        <v>2.5000000000000001E-2</v>
      </c>
    </row>
    <row r="24" spans="3:40" outlineLevel="2">
      <c r="C24" s="299" t="str">
        <f>Inputs!C341</f>
        <v>CPI US</v>
      </c>
      <c r="D24" s="266"/>
      <c r="E24" s="32" t="s">
        <v>377</v>
      </c>
      <c r="F24" s="767"/>
      <c r="G24" s="768">
        <f>LOOKUP(G$14,Inputs!$G$336:$K$336,Inputs!$G341:$K341)</f>
        <v>3.1E-2</v>
      </c>
      <c r="H24" s="768">
        <f>LOOKUP(H$14,Inputs!$G$336:$K$336,Inputs!$G341:$K341)</f>
        <v>3.1E-2</v>
      </c>
      <c r="I24" s="768">
        <f>LOOKUP(I$14,Inputs!$G$336:$K$336,Inputs!$G341:$K341)</f>
        <v>3.1E-2</v>
      </c>
      <c r="J24" s="768">
        <f>LOOKUP(J$14,Inputs!$G$336:$K$336,Inputs!$G341:$K341)</f>
        <v>3.1E-2</v>
      </c>
      <c r="K24" s="768">
        <f>LOOKUP(K$14,Inputs!$G$336:$K$336,Inputs!$G341:$K341)</f>
        <v>3.1E-2</v>
      </c>
      <c r="L24" s="768">
        <f>LOOKUP(L$14,Inputs!$G$336:$K$336,Inputs!$G341:$K341)</f>
        <v>3.1E-2</v>
      </c>
      <c r="M24" s="768">
        <f>LOOKUP(M$14,Inputs!$G$336:$K$336,Inputs!$G341:$K341)</f>
        <v>3.1E-2</v>
      </c>
      <c r="N24" s="768">
        <f>LOOKUP(N$14,Inputs!$G$336:$K$336,Inputs!$G341:$K341)</f>
        <v>3.1E-2</v>
      </c>
      <c r="O24" s="768">
        <f>LOOKUP(O$14,Inputs!$G$336:$K$336,Inputs!$G341:$K341)</f>
        <v>3.1E-2</v>
      </c>
      <c r="P24" s="768">
        <f>LOOKUP(P$14,Inputs!$G$336:$K$336,Inputs!$G341:$K341)</f>
        <v>3.1E-2</v>
      </c>
      <c r="Q24" s="768">
        <f>LOOKUP(Q$14,Inputs!$G$336:$K$336,Inputs!$G341:$K341)</f>
        <v>3.1E-2</v>
      </c>
      <c r="R24" s="768">
        <f>LOOKUP(R$14,Inputs!$G$336:$K$336,Inputs!$G341:$K341)</f>
        <v>3.1E-2</v>
      </c>
      <c r="S24" s="768">
        <f>LOOKUP(S$14,Inputs!$G$336:$K$336,Inputs!$G341:$K341)</f>
        <v>3.1E-2</v>
      </c>
      <c r="T24" s="768">
        <f>LOOKUP(T$14,Inputs!$G$336:$K$336,Inputs!$G341:$K341)</f>
        <v>3.1E-2</v>
      </c>
      <c r="U24" s="768">
        <f>LOOKUP(U$14,Inputs!$G$336:$K$336,Inputs!$G341:$K341)</f>
        <v>3.1E-2</v>
      </c>
      <c r="V24" s="768">
        <f>LOOKUP(V$14,Inputs!$G$336:$K$336,Inputs!$G341:$K341)</f>
        <v>3.1E-2</v>
      </c>
      <c r="W24" s="768">
        <f>LOOKUP(W$14,Inputs!$G$336:$K$336,Inputs!$G341:$K341)</f>
        <v>3.1E-2</v>
      </c>
      <c r="X24" s="768">
        <f>LOOKUP(X$14,Inputs!$G$336:$K$336,Inputs!$G341:$K341)</f>
        <v>3.1E-2</v>
      </c>
      <c r="Y24" s="768">
        <f>LOOKUP(Y$14,Inputs!$G$336:$K$336,Inputs!$G341:$K341)</f>
        <v>3.1E-2</v>
      </c>
      <c r="Z24" s="768">
        <f>LOOKUP(Z$14,Inputs!$G$336:$K$336,Inputs!$G341:$K341)</f>
        <v>3.1E-2</v>
      </c>
      <c r="AA24" s="768">
        <f>LOOKUP(AA$14,Inputs!$G$336:$K$336,Inputs!$G341:$K341)</f>
        <v>3.1E-2</v>
      </c>
      <c r="AB24" s="768">
        <f>LOOKUP(AB$14,Inputs!$G$336:$K$336,Inputs!$G341:$K341)</f>
        <v>3.1E-2</v>
      </c>
      <c r="AC24" s="768">
        <f>LOOKUP(AC$14,Inputs!$G$336:$K$336,Inputs!$G341:$K341)</f>
        <v>3.1E-2</v>
      </c>
      <c r="AD24" s="768">
        <f>LOOKUP(AD$14,Inputs!$G$336:$K$336,Inputs!$G341:$K341)</f>
        <v>3.1E-2</v>
      </c>
      <c r="AE24" s="768">
        <f>LOOKUP(AE$14,Inputs!$G$336:$K$336,Inputs!$G341:$K341)</f>
        <v>3.1E-2</v>
      </c>
      <c r="AF24" s="768">
        <f>LOOKUP(AF$14,Inputs!$G$336:$K$336,Inputs!$G341:$K341)</f>
        <v>3.1E-2</v>
      </c>
      <c r="AG24" s="768">
        <f>LOOKUP(AG$14,Inputs!$G$336:$K$336,Inputs!$G341:$K341)</f>
        <v>3.1E-2</v>
      </c>
      <c r="AH24" s="768">
        <f>LOOKUP(AH$14,Inputs!$G$336:$K$336,Inputs!$G341:$K341)</f>
        <v>3.1E-2</v>
      </c>
      <c r="AI24" s="768">
        <f>LOOKUP(AI$14,Inputs!$G$336:$K$336,Inputs!$G341:$K341)</f>
        <v>3.1E-2</v>
      </c>
      <c r="AJ24" s="768">
        <f>LOOKUP(AJ$14,Inputs!$G$336:$K$336,Inputs!$G341:$K341)</f>
        <v>3.1E-2</v>
      </c>
      <c r="AK24" s="768">
        <f>LOOKUP(AK$14,Inputs!$G$336:$K$336,Inputs!$G341:$K341)</f>
        <v>3.1E-2</v>
      </c>
      <c r="AL24" s="768">
        <f>LOOKUP(AL$14,Inputs!$G$336:$K$336,Inputs!$G341:$K341)</f>
        <v>3.1E-2</v>
      </c>
      <c r="AM24" s="768">
        <f>LOOKUP(AM$14,Inputs!$G$336:$K$336,Inputs!$G341:$K341)</f>
        <v>3.1E-2</v>
      </c>
      <c r="AN24" s="768">
        <f>LOOKUP(AN$14,Inputs!$G$336:$K$336,Inputs!$G341:$K341)</f>
        <v>3.1E-2</v>
      </c>
    </row>
    <row r="25" spans="3:40" outlineLevel="2">
      <c r="C25" s="299" t="str">
        <f>Inputs!C342</f>
        <v>SELIC</v>
      </c>
      <c r="D25" s="266"/>
      <c r="E25" s="32" t="s">
        <v>377</v>
      </c>
      <c r="F25" s="767"/>
      <c r="G25" s="768">
        <f>LOOKUP(G$14,Inputs!$G$336:$K$336,Inputs!$G342:$K342)</f>
        <v>8.5000000000000006E-2</v>
      </c>
      <c r="H25" s="768">
        <f>LOOKUP(H$14,Inputs!$G$336:$K$336,Inputs!$G342:$K342)</f>
        <v>8.5000000000000006E-2</v>
      </c>
      <c r="I25" s="768">
        <f>LOOKUP(I$14,Inputs!$G$336:$K$336,Inputs!$G342:$K342)</f>
        <v>8.5000000000000006E-2</v>
      </c>
      <c r="J25" s="768">
        <f>LOOKUP(J$14,Inputs!$G$336:$K$336,Inputs!$G342:$K342)</f>
        <v>8.5000000000000006E-2</v>
      </c>
      <c r="K25" s="768">
        <f>LOOKUP(K$14,Inputs!$G$336:$K$336,Inputs!$G342:$K342)</f>
        <v>8.5000000000000006E-2</v>
      </c>
      <c r="L25" s="768">
        <f>LOOKUP(L$14,Inputs!$G$336:$K$336,Inputs!$G342:$K342)</f>
        <v>8.5000000000000006E-2</v>
      </c>
      <c r="M25" s="768">
        <f>LOOKUP(M$14,Inputs!$G$336:$K$336,Inputs!$G342:$K342)</f>
        <v>8.5000000000000006E-2</v>
      </c>
      <c r="N25" s="768">
        <f>LOOKUP(N$14,Inputs!$G$336:$K$336,Inputs!$G342:$K342)</f>
        <v>8.5000000000000006E-2</v>
      </c>
      <c r="O25" s="768">
        <f>LOOKUP(O$14,Inputs!$G$336:$K$336,Inputs!$G342:$K342)</f>
        <v>8.5000000000000006E-2</v>
      </c>
      <c r="P25" s="768">
        <f>LOOKUP(P$14,Inputs!$G$336:$K$336,Inputs!$G342:$K342)</f>
        <v>8.5000000000000006E-2</v>
      </c>
      <c r="Q25" s="768">
        <f>LOOKUP(Q$14,Inputs!$G$336:$K$336,Inputs!$G342:$K342)</f>
        <v>8.5000000000000006E-2</v>
      </c>
      <c r="R25" s="768">
        <f>LOOKUP(R$14,Inputs!$G$336:$K$336,Inputs!$G342:$K342)</f>
        <v>8.5000000000000006E-2</v>
      </c>
      <c r="S25" s="768">
        <f>LOOKUP(S$14,Inputs!$G$336:$K$336,Inputs!$G342:$K342)</f>
        <v>8.5000000000000006E-2</v>
      </c>
      <c r="T25" s="768">
        <f>LOOKUP(T$14,Inputs!$G$336:$K$336,Inputs!$G342:$K342)</f>
        <v>8.5000000000000006E-2</v>
      </c>
      <c r="U25" s="768">
        <f>LOOKUP(U$14,Inputs!$G$336:$K$336,Inputs!$G342:$K342)</f>
        <v>8.5000000000000006E-2</v>
      </c>
      <c r="V25" s="768">
        <f>LOOKUP(V$14,Inputs!$G$336:$K$336,Inputs!$G342:$K342)</f>
        <v>8.5000000000000006E-2</v>
      </c>
      <c r="W25" s="768">
        <f>LOOKUP(W$14,Inputs!$G$336:$K$336,Inputs!$G342:$K342)</f>
        <v>8.5000000000000006E-2</v>
      </c>
      <c r="X25" s="768">
        <f>LOOKUP(X$14,Inputs!$G$336:$K$336,Inputs!$G342:$K342)</f>
        <v>8.5000000000000006E-2</v>
      </c>
      <c r="Y25" s="768">
        <f>LOOKUP(Y$14,Inputs!$G$336:$K$336,Inputs!$G342:$K342)</f>
        <v>8.5000000000000006E-2</v>
      </c>
      <c r="Z25" s="768">
        <f>LOOKUP(Z$14,Inputs!$G$336:$K$336,Inputs!$G342:$K342)</f>
        <v>8.5000000000000006E-2</v>
      </c>
      <c r="AA25" s="768">
        <f>LOOKUP(AA$14,Inputs!$G$336:$K$336,Inputs!$G342:$K342)</f>
        <v>8.5000000000000006E-2</v>
      </c>
      <c r="AB25" s="768">
        <f>LOOKUP(AB$14,Inputs!$G$336:$K$336,Inputs!$G342:$K342)</f>
        <v>8.5000000000000006E-2</v>
      </c>
      <c r="AC25" s="768">
        <f>LOOKUP(AC$14,Inputs!$G$336:$K$336,Inputs!$G342:$K342)</f>
        <v>8.5000000000000006E-2</v>
      </c>
      <c r="AD25" s="768">
        <f>LOOKUP(AD$14,Inputs!$G$336:$K$336,Inputs!$G342:$K342)</f>
        <v>8.5000000000000006E-2</v>
      </c>
      <c r="AE25" s="768">
        <f>LOOKUP(AE$14,Inputs!$G$336:$K$336,Inputs!$G342:$K342)</f>
        <v>8.5000000000000006E-2</v>
      </c>
      <c r="AF25" s="768">
        <f>LOOKUP(AF$14,Inputs!$G$336:$K$336,Inputs!$G342:$K342)</f>
        <v>8.5000000000000006E-2</v>
      </c>
      <c r="AG25" s="768">
        <f>LOOKUP(AG$14,Inputs!$G$336:$K$336,Inputs!$G342:$K342)</f>
        <v>8.5000000000000006E-2</v>
      </c>
      <c r="AH25" s="768">
        <f>LOOKUP(AH$14,Inputs!$G$336:$K$336,Inputs!$G342:$K342)</f>
        <v>8.5000000000000006E-2</v>
      </c>
      <c r="AI25" s="768">
        <f>LOOKUP(AI$14,Inputs!$G$336:$K$336,Inputs!$G342:$K342)</f>
        <v>8.5000000000000006E-2</v>
      </c>
      <c r="AJ25" s="768">
        <f>LOOKUP(AJ$14,Inputs!$G$336:$K$336,Inputs!$G342:$K342)</f>
        <v>8.5000000000000006E-2</v>
      </c>
      <c r="AK25" s="768">
        <f>LOOKUP(AK$14,Inputs!$G$336:$K$336,Inputs!$G342:$K342)</f>
        <v>8.5000000000000006E-2</v>
      </c>
      <c r="AL25" s="768">
        <f>LOOKUP(AL$14,Inputs!$G$336:$K$336,Inputs!$G342:$K342)</f>
        <v>8.5000000000000006E-2</v>
      </c>
      <c r="AM25" s="768">
        <f>LOOKUP(AM$14,Inputs!$G$336:$K$336,Inputs!$G342:$K342)</f>
        <v>8.5000000000000006E-2</v>
      </c>
      <c r="AN25" s="768">
        <f>LOOKUP(AN$14,Inputs!$G$336:$K$336,Inputs!$G342:$K342)</f>
        <v>8.5000000000000006E-2</v>
      </c>
    </row>
    <row r="26" spans="3:40" outlineLevel="2">
      <c r="C26" s="299" t="str">
        <f>Inputs!C343</f>
        <v>CDI</v>
      </c>
      <c r="D26" s="266"/>
      <c r="E26" s="32" t="s">
        <v>377</v>
      </c>
      <c r="F26" s="767"/>
      <c r="G26" s="768">
        <f>LOOKUP(G$14,Inputs!$G$336:$K$336,Inputs!$G343:$K343)</f>
        <v>8.5000000000000006E-2</v>
      </c>
      <c r="H26" s="768">
        <f>LOOKUP(H$14,Inputs!$G$336:$K$336,Inputs!$G343:$K343)</f>
        <v>8.5000000000000006E-2</v>
      </c>
      <c r="I26" s="768">
        <f>LOOKUP(I$14,Inputs!$G$336:$K$336,Inputs!$G343:$K343)</f>
        <v>8.5000000000000006E-2</v>
      </c>
      <c r="J26" s="768">
        <f>LOOKUP(J$14,Inputs!$G$336:$K$336,Inputs!$G343:$K343)</f>
        <v>8.5000000000000006E-2</v>
      </c>
      <c r="K26" s="768">
        <f>LOOKUP(K$14,Inputs!$G$336:$K$336,Inputs!$G343:$K343)</f>
        <v>8.5000000000000006E-2</v>
      </c>
      <c r="L26" s="768">
        <f>LOOKUP(L$14,Inputs!$G$336:$K$336,Inputs!$G343:$K343)</f>
        <v>8.5000000000000006E-2</v>
      </c>
      <c r="M26" s="768">
        <f>LOOKUP(M$14,Inputs!$G$336:$K$336,Inputs!$G343:$K343)</f>
        <v>8.5000000000000006E-2</v>
      </c>
      <c r="N26" s="768">
        <f>LOOKUP(N$14,Inputs!$G$336:$K$336,Inputs!$G343:$K343)</f>
        <v>8.5000000000000006E-2</v>
      </c>
      <c r="O26" s="768">
        <f>LOOKUP(O$14,Inputs!$G$336:$K$336,Inputs!$G343:$K343)</f>
        <v>8.5000000000000006E-2</v>
      </c>
      <c r="P26" s="768">
        <f>LOOKUP(P$14,Inputs!$G$336:$K$336,Inputs!$G343:$K343)</f>
        <v>8.5000000000000006E-2</v>
      </c>
      <c r="Q26" s="768">
        <f>LOOKUP(Q$14,Inputs!$G$336:$K$336,Inputs!$G343:$K343)</f>
        <v>8.5000000000000006E-2</v>
      </c>
      <c r="R26" s="768">
        <f>LOOKUP(R$14,Inputs!$G$336:$K$336,Inputs!$G343:$K343)</f>
        <v>8.5000000000000006E-2</v>
      </c>
      <c r="S26" s="768">
        <f>LOOKUP(S$14,Inputs!$G$336:$K$336,Inputs!$G343:$K343)</f>
        <v>8.5000000000000006E-2</v>
      </c>
      <c r="T26" s="768">
        <f>LOOKUP(T$14,Inputs!$G$336:$K$336,Inputs!$G343:$K343)</f>
        <v>8.5000000000000006E-2</v>
      </c>
      <c r="U26" s="768">
        <f>LOOKUP(U$14,Inputs!$G$336:$K$336,Inputs!$G343:$K343)</f>
        <v>8.5000000000000006E-2</v>
      </c>
      <c r="V26" s="768">
        <f>LOOKUP(V$14,Inputs!$G$336:$K$336,Inputs!$G343:$K343)</f>
        <v>8.5000000000000006E-2</v>
      </c>
      <c r="W26" s="768">
        <f>LOOKUP(W$14,Inputs!$G$336:$K$336,Inputs!$G343:$K343)</f>
        <v>8.5000000000000006E-2</v>
      </c>
      <c r="X26" s="768">
        <f>LOOKUP(X$14,Inputs!$G$336:$K$336,Inputs!$G343:$K343)</f>
        <v>8.5000000000000006E-2</v>
      </c>
      <c r="Y26" s="768">
        <f>LOOKUP(Y$14,Inputs!$G$336:$K$336,Inputs!$G343:$K343)</f>
        <v>8.5000000000000006E-2</v>
      </c>
      <c r="Z26" s="768">
        <f>LOOKUP(Z$14,Inputs!$G$336:$K$336,Inputs!$G343:$K343)</f>
        <v>8.5000000000000006E-2</v>
      </c>
      <c r="AA26" s="768">
        <f>LOOKUP(AA$14,Inputs!$G$336:$K$336,Inputs!$G343:$K343)</f>
        <v>8.5000000000000006E-2</v>
      </c>
      <c r="AB26" s="768">
        <f>LOOKUP(AB$14,Inputs!$G$336:$K$336,Inputs!$G343:$K343)</f>
        <v>8.5000000000000006E-2</v>
      </c>
      <c r="AC26" s="768">
        <f>LOOKUP(AC$14,Inputs!$G$336:$K$336,Inputs!$G343:$K343)</f>
        <v>8.5000000000000006E-2</v>
      </c>
      <c r="AD26" s="768">
        <f>LOOKUP(AD$14,Inputs!$G$336:$K$336,Inputs!$G343:$K343)</f>
        <v>8.5000000000000006E-2</v>
      </c>
      <c r="AE26" s="768">
        <f>LOOKUP(AE$14,Inputs!$G$336:$K$336,Inputs!$G343:$K343)</f>
        <v>8.5000000000000006E-2</v>
      </c>
      <c r="AF26" s="768">
        <f>LOOKUP(AF$14,Inputs!$G$336:$K$336,Inputs!$G343:$K343)</f>
        <v>8.5000000000000006E-2</v>
      </c>
      <c r="AG26" s="768">
        <f>LOOKUP(AG$14,Inputs!$G$336:$K$336,Inputs!$G343:$K343)</f>
        <v>8.5000000000000006E-2</v>
      </c>
      <c r="AH26" s="768">
        <f>LOOKUP(AH$14,Inputs!$G$336:$K$336,Inputs!$G343:$K343)</f>
        <v>8.5000000000000006E-2</v>
      </c>
      <c r="AI26" s="768">
        <f>LOOKUP(AI$14,Inputs!$G$336:$K$336,Inputs!$G343:$K343)</f>
        <v>8.5000000000000006E-2</v>
      </c>
      <c r="AJ26" s="768">
        <f>LOOKUP(AJ$14,Inputs!$G$336:$K$336,Inputs!$G343:$K343)</f>
        <v>8.5000000000000006E-2</v>
      </c>
      <c r="AK26" s="768">
        <f>LOOKUP(AK$14,Inputs!$G$336:$K$336,Inputs!$G343:$K343)</f>
        <v>8.5000000000000006E-2</v>
      </c>
      <c r="AL26" s="768">
        <f>LOOKUP(AL$14,Inputs!$G$336:$K$336,Inputs!$G343:$K343)</f>
        <v>8.5000000000000006E-2</v>
      </c>
      <c r="AM26" s="768">
        <f>LOOKUP(AM$14,Inputs!$G$336:$K$336,Inputs!$G343:$K343)</f>
        <v>8.5000000000000006E-2</v>
      </c>
      <c r="AN26" s="768">
        <f>LOOKUP(AN$14,Inputs!$G$336:$K$336,Inputs!$G343:$K343)</f>
        <v>8.5000000000000006E-2</v>
      </c>
    </row>
    <row r="27" spans="3:40" outlineLevel="2">
      <c r="C27" s="299" t="str">
        <f>Inputs!C344</f>
        <v>TLP</v>
      </c>
      <c r="D27" s="266"/>
      <c r="E27" s="32" t="s">
        <v>377</v>
      </c>
      <c r="F27" s="767"/>
      <c r="G27" s="768">
        <f>LOOKUP(G$14,Inputs!$G$336:$K$336,Inputs!$G344:$K344)</f>
        <v>8.9800000000000005E-2</v>
      </c>
      <c r="H27" s="768">
        <f>LOOKUP(H$14,Inputs!$G$336:$K$336,Inputs!$G344:$K344)</f>
        <v>8.9800000000000005E-2</v>
      </c>
      <c r="I27" s="768">
        <f>LOOKUP(I$14,Inputs!$G$336:$K$336,Inputs!$G344:$K344)</f>
        <v>8.9800000000000005E-2</v>
      </c>
      <c r="J27" s="768">
        <f>LOOKUP(J$14,Inputs!$G$336:$K$336,Inputs!$G344:$K344)</f>
        <v>8.9800000000000005E-2</v>
      </c>
      <c r="K27" s="768">
        <f>LOOKUP(K$14,Inputs!$G$336:$K$336,Inputs!$G344:$K344)</f>
        <v>8.9800000000000005E-2</v>
      </c>
      <c r="L27" s="768">
        <f>LOOKUP(L$14,Inputs!$G$336:$K$336,Inputs!$G344:$K344)</f>
        <v>8.9800000000000005E-2</v>
      </c>
      <c r="M27" s="768">
        <f>LOOKUP(M$14,Inputs!$G$336:$K$336,Inputs!$G344:$K344)</f>
        <v>8.9800000000000005E-2</v>
      </c>
      <c r="N27" s="768">
        <f>LOOKUP(N$14,Inputs!$G$336:$K$336,Inputs!$G344:$K344)</f>
        <v>8.9800000000000005E-2</v>
      </c>
      <c r="O27" s="768">
        <f>LOOKUP(O$14,Inputs!$G$336:$K$336,Inputs!$G344:$K344)</f>
        <v>8.9800000000000005E-2</v>
      </c>
      <c r="P27" s="768">
        <f>LOOKUP(P$14,Inputs!$G$336:$K$336,Inputs!$G344:$K344)</f>
        <v>8.9800000000000005E-2</v>
      </c>
      <c r="Q27" s="768">
        <f>LOOKUP(Q$14,Inputs!$G$336:$K$336,Inputs!$G344:$K344)</f>
        <v>8.9800000000000005E-2</v>
      </c>
      <c r="R27" s="768">
        <f>LOOKUP(R$14,Inputs!$G$336:$K$336,Inputs!$G344:$K344)</f>
        <v>8.9800000000000005E-2</v>
      </c>
      <c r="S27" s="768">
        <f>LOOKUP(S$14,Inputs!$G$336:$K$336,Inputs!$G344:$K344)</f>
        <v>8.9800000000000005E-2</v>
      </c>
      <c r="T27" s="768">
        <f>LOOKUP(T$14,Inputs!$G$336:$K$336,Inputs!$G344:$K344)</f>
        <v>8.9800000000000005E-2</v>
      </c>
      <c r="U27" s="768">
        <f>LOOKUP(U$14,Inputs!$G$336:$K$336,Inputs!$G344:$K344)</f>
        <v>8.9800000000000005E-2</v>
      </c>
      <c r="V27" s="768">
        <f>LOOKUP(V$14,Inputs!$G$336:$K$336,Inputs!$G344:$K344)</f>
        <v>8.9800000000000005E-2</v>
      </c>
      <c r="W27" s="768">
        <f>LOOKUP(W$14,Inputs!$G$336:$K$336,Inputs!$G344:$K344)</f>
        <v>8.9800000000000005E-2</v>
      </c>
      <c r="X27" s="768">
        <f>LOOKUP(X$14,Inputs!$G$336:$K$336,Inputs!$G344:$K344)</f>
        <v>8.9800000000000005E-2</v>
      </c>
      <c r="Y27" s="768">
        <f>LOOKUP(Y$14,Inputs!$G$336:$K$336,Inputs!$G344:$K344)</f>
        <v>8.9800000000000005E-2</v>
      </c>
      <c r="Z27" s="768">
        <f>LOOKUP(Z$14,Inputs!$G$336:$K$336,Inputs!$G344:$K344)</f>
        <v>8.9800000000000005E-2</v>
      </c>
      <c r="AA27" s="768">
        <f>LOOKUP(AA$14,Inputs!$G$336:$K$336,Inputs!$G344:$K344)</f>
        <v>8.9800000000000005E-2</v>
      </c>
      <c r="AB27" s="768">
        <f>LOOKUP(AB$14,Inputs!$G$336:$K$336,Inputs!$G344:$K344)</f>
        <v>8.9800000000000005E-2</v>
      </c>
      <c r="AC27" s="768">
        <f>LOOKUP(AC$14,Inputs!$G$336:$K$336,Inputs!$G344:$K344)</f>
        <v>8.9800000000000005E-2</v>
      </c>
      <c r="AD27" s="768">
        <f>LOOKUP(AD$14,Inputs!$G$336:$K$336,Inputs!$G344:$K344)</f>
        <v>8.9800000000000005E-2</v>
      </c>
      <c r="AE27" s="768">
        <f>LOOKUP(AE$14,Inputs!$G$336:$K$336,Inputs!$G344:$K344)</f>
        <v>8.9800000000000005E-2</v>
      </c>
      <c r="AF27" s="768">
        <f>LOOKUP(AF$14,Inputs!$G$336:$K$336,Inputs!$G344:$K344)</f>
        <v>8.9800000000000005E-2</v>
      </c>
      <c r="AG27" s="768">
        <f>LOOKUP(AG$14,Inputs!$G$336:$K$336,Inputs!$G344:$K344)</f>
        <v>8.9800000000000005E-2</v>
      </c>
      <c r="AH27" s="768">
        <f>LOOKUP(AH$14,Inputs!$G$336:$K$336,Inputs!$G344:$K344)</f>
        <v>8.9800000000000005E-2</v>
      </c>
      <c r="AI27" s="768">
        <f>LOOKUP(AI$14,Inputs!$G$336:$K$336,Inputs!$G344:$K344)</f>
        <v>8.9800000000000005E-2</v>
      </c>
      <c r="AJ27" s="768">
        <f>LOOKUP(AJ$14,Inputs!$G$336:$K$336,Inputs!$G344:$K344)</f>
        <v>8.9800000000000005E-2</v>
      </c>
      <c r="AK27" s="768">
        <f>LOOKUP(AK$14,Inputs!$G$336:$K$336,Inputs!$G344:$K344)</f>
        <v>8.9800000000000005E-2</v>
      </c>
      <c r="AL27" s="768">
        <f>LOOKUP(AL$14,Inputs!$G$336:$K$336,Inputs!$G344:$K344)</f>
        <v>8.9800000000000005E-2</v>
      </c>
      <c r="AM27" s="768">
        <f>LOOKUP(AM$14,Inputs!$G$336:$K$336,Inputs!$G344:$K344)</f>
        <v>8.9800000000000005E-2</v>
      </c>
      <c r="AN27" s="768">
        <f>LOOKUP(AN$14,Inputs!$G$336:$K$336,Inputs!$G344:$K344)</f>
        <v>8.9800000000000005E-2</v>
      </c>
    </row>
    <row r="28" spans="3:40" outlineLevel="2">
      <c r="C28" s="299" t="str">
        <f>Inputs!C345</f>
        <v>IPCA</v>
      </c>
      <c r="D28" s="266"/>
      <c r="E28" s="32" t="s">
        <v>377</v>
      </c>
      <c r="F28" s="767"/>
      <c r="G28" s="768">
        <f>LOOKUP(G$14,Inputs!$G$336:$K$336,Inputs!$G345:$K345)</f>
        <v>3.5000000000000003E-2</v>
      </c>
      <c r="H28" s="768">
        <f>LOOKUP(H$14,Inputs!$G$336:$K$336,Inputs!$G345:$K345)</f>
        <v>3.5000000000000003E-2</v>
      </c>
      <c r="I28" s="768">
        <f>LOOKUP(I$14,Inputs!$G$336:$K$336,Inputs!$G345:$K345)</f>
        <v>3.5000000000000003E-2</v>
      </c>
      <c r="J28" s="768">
        <f>LOOKUP(J$14,Inputs!$G$336:$K$336,Inputs!$G345:$K345)</f>
        <v>3.5000000000000003E-2</v>
      </c>
      <c r="K28" s="768">
        <f>LOOKUP(K$14,Inputs!$G$336:$K$336,Inputs!$G345:$K345)</f>
        <v>3.5000000000000003E-2</v>
      </c>
      <c r="L28" s="768">
        <f>LOOKUP(L$14,Inputs!$G$336:$K$336,Inputs!$G345:$K345)</f>
        <v>3.5000000000000003E-2</v>
      </c>
      <c r="M28" s="768">
        <f>LOOKUP(M$14,Inputs!$G$336:$K$336,Inputs!$G345:$K345)</f>
        <v>3.5000000000000003E-2</v>
      </c>
      <c r="N28" s="768">
        <f>LOOKUP(N$14,Inputs!$G$336:$K$336,Inputs!$G345:$K345)</f>
        <v>3.5000000000000003E-2</v>
      </c>
      <c r="O28" s="768">
        <f>LOOKUP(O$14,Inputs!$G$336:$K$336,Inputs!$G345:$K345)</f>
        <v>3.5000000000000003E-2</v>
      </c>
      <c r="P28" s="768">
        <f>LOOKUP(P$14,Inputs!$G$336:$K$336,Inputs!$G345:$K345)</f>
        <v>3.5000000000000003E-2</v>
      </c>
      <c r="Q28" s="768">
        <f>LOOKUP(Q$14,Inputs!$G$336:$K$336,Inputs!$G345:$K345)</f>
        <v>3.5000000000000003E-2</v>
      </c>
      <c r="R28" s="768">
        <f>LOOKUP(R$14,Inputs!$G$336:$K$336,Inputs!$G345:$K345)</f>
        <v>3.5000000000000003E-2</v>
      </c>
      <c r="S28" s="768">
        <f>LOOKUP(S$14,Inputs!$G$336:$K$336,Inputs!$G345:$K345)</f>
        <v>3.5000000000000003E-2</v>
      </c>
      <c r="T28" s="768">
        <f>LOOKUP(T$14,Inputs!$G$336:$K$336,Inputs!$G345:$K345)</f>
        <v>3.5000000000000003E-2</v>
      </c>
      <c r="U28" s="768">
        <f>LOOKUP(U$14,Inputs!$G$336:$K$336,Inputs!$G345:$K345)</f>
        <v>3.5000000000000003E-2</v>
      </c>
      <c r="V28" s="768">
        <f>LOOKUP(V$14,Inputs!$G$336:$K$336,Inputs!$G345:$K345)</f>
        <v>3.5000000000000003E-2</v>
      </c>
      <c r="W28" s="768">
        <f>LOOKUP(W$14,Inputs!$G$336:$K$336,Inputs!$G345:$K345)</f>
        <v>3.5000000000000003E-2</v>
      </c>
      <c r="X28" s="768">
        <f>LOOKUP(X$14,Inputs!$G$336:$K$336,Inputs!$G345:$K345)</f>
        <v>3.5000000000000003E-2</v>
      </c>
      <c r="Y28" s="768">
        <f>LOOKUP(Y$14,Inputs!$G$336:$K$336,Inputs!$G345:$K345)</f>
        <v>3.5000000000000003E-2</v>
      </c>
      <c r="Z28" s="768">
        <f>LOOKUP(Z$14,Inputs!$G$336:$K$336,Inputs!$G345:$K345)</f>
        <v>3.5000000000000003E-2</v>
      </c>
      <c r="AA28" s="768">
        <f>LOOKUP(AA$14,Inputs!$G$336:$K$336,Inputs!$G345:$K345)</f>
        <v>3.5000000000000003E-2</v>
      </c>
      <c r="AB28" s="768">
        <f>LOOKUP(AB$14,Inputs!$G$336:$K$336,Inputs!$G345:$K345)</f>
        <v>3.5000000000000003E-2</v>
      </c>
      <c r="AC28" s="768">
        <f>LOOKUP(AC$14,Inputs!$G$336:$K$336,Inputs!$G345:$K345)</f>
        <v>3.5000000000000003E-2</v>
      </c>
      <c r="AD28" s="768">
        <f>LOOKUP(AD$14,Inputs!$G$336:$K$336,Inputs!$G345:$K345)</f>
        <v>3.5000000000000003E-2</v>
      </c>
      <c r="AE28" s="768">
        <f>LOOKUP(AE$14,Inputs!$G$336:$K$336,Inputs!$G345:$K345)</f>
        <v>3.5000000000000003E-2</v>
      </c>
      <c r="AF28" s="768">
        <f>LOOKUP(AF$14,Inputs!$G$336:$K$336,Inputs!$G345:$K345)</f>
        <v>3.5000000000000003E-2</v>
      </c>
      <c r="AG28" s="768">
        <f>LOOKUP(AG$14,Inputs!$G$336:$K$336,Inputs!$G345:$K345)</f>
        <v>3.5000000000000003E-2</v>
      </c>
      <c r="AH28" s="768">
        <f>LOOKUP(AH$14,Inputs!$G$336:$K$336,Inputs!$G345:$K345)</f>
        <v>3.5000000000000003E-2</v>
      </c>
      <c r="AI28" s="768">
        <f>LOOKUP(AI$14,Inputs!$G$336:$K$336,Inputs!$G345:$K345)</f>
        <v>3.5000000000000003E-2</v>
      </c>
      <c r="AJ28" s="768">
        <f>LOOKUP(AJ$14,Inputs!$G$336:$K$336,Inputs!$G345:$K345)</f>
        <v>3.5000000000000003E-2</v>
      </c>
      <c r="AK28" s="768">
        <f>LOOKUP(AK$14,Inputs!$G$336:$K$336,Inputs!$G345:$K345)</f>
        <v>3.5000000000000003E-2</v>
      </c>
      <c r="AL28" s="768">
        <f>LOOKUP(AL$14,Inputs!$G$336:$K$336,Inputs!$G345:$K345)</f>
        <v>3.5000000000000003E-2</v>
      </c>
      <c r="AM28" s="768">
        <f>LOOKUP(AM$14,Inputs!$G$336:$K$336,Inputs!$G345:$K345)</f>
        <v>3.5000000000000003E-2</v>
      </c>
      <c r="AN28" s="768">
        <f>LOOKUP(AN$14,Inputs!$G$336:$K$336,Inputs!$G345:$K345)</f>
        <v>3.5000000000000003E-2</v>
      </c>
    </row>
    <row r="29" spans="3:40" outlineLevel="1">
      <c r="E29" s="309"/>
      <c r="F29" s="767"/>
      <c r="G29" s="767"/>
      <c r="H29" s="767"/>
      <c r="I29" s="767"/>
      <c r="J29" s="767"/>
      <c r="K29" s="767"/>
      <c r="L29" s="767"/>
      <c r="M29" s="767"/>
      <c r="N29" s="767"/>
      <c r="O29" s="767"/>
      <c r="P29" s="767"/>
      <c r="Q29" s="767"/>
      <c r="R29" s="767"/>
      <c r="S29" s="767"/>
      <c r="T29" s="767"/>
      <c r="U29" s="767"/>
      <c r="V29" s="767"/>
      <c r="W29" s="767"/>
      <c r="X29" s="767"/>
      <c r="Y29" s="767"/>
      <c r="Z29" s="767"/>
      <c r="AA29" s="767"/>
      <c r="AB29" s="767"/>
      <c r="AC29" s="767"/>
      <c r="AD29" s="767"/>
      <c r="AE29" s="767"/>
      <c r="AF29" s="767"/>
      <c r="AG29" s="767"/>
      <c r="AH29" s="767"/>
      <c r="AI29" s="767"/>
      <c r="AJ29" s="767"/>
      <c r="AK29" s="767"/>
      <c r="AL29" s="767"/>
      <c r="AM29" s="767"/>
      <c r="AN29" s="767"/>
    </row>
    <row r="30" spans="3:40" outlineLevel="1">
      <c r="C30" s="11" t="s">
        <v>378</v>
      </c>
      <c r="E30" s="309"/>
      <c r="F30" s="767"/>
      <c r="G30" s="767"/>
      <c r="H30" s="767"/>
      <c r="I30" s="767"/>
      <c r="J30" s="767"/>
      <c r="K30" s="767"/>
      <c r="L30" s="767"/>
      <c r="M30" s="767"/>
      <c r="N30" s="767"/>
      <c r="O30" s="767"/>
      <c r="P30" s="767"/>
      <c r="Q30" s="767"/>
      <c r="R30" s="767"/>
      <c r="S30" s="767"/>
      <c r="T30" s="767"/>
      <c r="U30" s="767"/>
      <c r="V30" s="767"/>
      <c r="W30" s="767"/>
      <c r="X30" s="767"/>
      <c r="Y30" s="767"/>
      <c r="Z30" s="767"/>
      <c r="AA30" s="767"/>
      <c r="AB30" s="767"/>
      <c r="AC30" s="767"/>
      <c r="AD30" s="767"/>
      <c r="AE30" s="767"/>
      <c r="AF30" s="767"/>
      <c r="AG30" s="767"/>
      <c r="AH30" s="767"/>
      <c r="AI30" s="767"/>
      <c r="AJ30" s="767"/>
      <c r="AK30" s="767"/>
      <c r="AL30" s="767"/>
      <c r="AM30" s="767"/>
      <c r="AN30" s="767"/>
    </row>
    <row r="31" spans="3:40" outlineLevel="2">
      <c r="C31" s="266" t="str">
        <f t="shared" ref="C31:C39" si="5">C20</f>
        <v>None</v>
      </c>
      <c r="E31" s="200"/>
      <c r="F31" s="767">
        <f>Inputs!E337</f>
        <v>1</v>
      </c>
      <c r="G31" s="767">
        <f>IFERROR(F31*(1+G20)^(G$15/G$16),1)</f>
        <v>1</v>
      </c>
      <c r="H31" s="767">
        <f t="shared" ref="H31:AN31" si="6">IFERROR(G31*(1+H20)^(H$15/H$16),1)</f>
        <v>1</v>
      </c>
      <c r="I31" s="767">
        <f t="shared" si="6"/>
        <v>1</v>
      </c>
      <c r="J31" s="767">
        <f t="shared" si="6"/>
        <v>1</v>
      </c>
      <c r="K31" s="767">
        <f t="shared" si="6"/>
        <v>1</v>
      </c>
      <c r="L31" s="767">
        <f t="shared" si="6"/>
        <v>1</v>
      </c>
      <c r="M31" s="767">
        <f t="shared" si="6"/>
        <v>1</v>
      </c>
      <c r="N31" s="767">
        <f t="shared" si="6"/>
        <v>1</v>
      </c>
      <c r="O31" s="767">
        <f t="shared" si="6"/>
        <v>1</v>
      </c>
      <c r="P31" s="767">
        <f t="shared" si="6"/>
        <v>1</v>
      </c>
      <c r="Q31" s="767">
        <f t="shared" si="6"/>
        <v>1</v>
      </c>
      <c r="R31" s="767">
        <f t="shared" si="6"/>
        <v>1</v>
      </c>
      <c r="S31" s="767">
        <f t="shared" si="6"/>
        <v>1</v>
      </c>
      <c r="T31" s="767">
        <f t="shared" si="6"/>
        <v>1</v>
      </c>
      <c r="U31" s="767">
        <f t="shared" si="6"/>
        <v>1</v>
      </c>
      <c r="V31" s="767">
        <f t="shared" si="6"/>
        <v>1</v>
      </c>
      <c r="W31" s="767">
        <f t="shared" si="6"/>
        <v>1</v>
      </c>
      <c r="X31" s="767">
        <f t="shared" si="6"/>
        <v>1</v>
      </c>
      <c r="Y31" s="767">
        <f t="shared" si="6"/>
        <v>1</v>
      </c>
      <c r="Z31" s="767">
        <f t="shared" si="6"/>
        <v>1</v>
      </c>
      <c r="AA31" s="767">
        <f t="shared" si="6"/>
        <v>1</v>
      </c>
      <c r="AB31" s="767">
        <f t="shared" si="6"/>
        <v>1</v>
      </c>
      <c r="AC31" s="767">
        <f t="shared" si="6"/>
        <v>1</v>
      </c>
      <c r="AD31" s="767">
        <f t="shared" si="6"/>
        <v>1</v>
      </c>
      <c r="AE31" s="767">
        <f t="shared" si="6"/>
        <v>1</v>
      </c>
      <c r="AF31" s="767">
        <f t="shared" si="6"/>
        <v>1</v>
      </c>
      <c r="AG31" s="767">
        <f t="shared" si="6"/>
        <v>1</v>
      </c>
      <c r="AH31" s="767">
        <f t="shared" si="6"/>
        <v>1</v>
      </c>
      <c r="AI31" s="767">
        <f t="shared" si="6"/>
        <v>1</v>
      </c>
      <c r="AJ31" s="767">
        <f t="shared" si="6"/>
        <v>1</v>
      </c>
      <c r="AK31" s="767">
        <f t="shared" si="6"/>
        <v>1</v>
      </c>
      <c r="AL31" s="767">
        <f t="shared" si="6"/>
        <v>1</v>
      </c>
      <c r="AM31" s="767">
        <f t="shared" si="6"/>
        <v>1</v>
      </c>
      <c r="AN31" s="767">
        <f t="shared" si="6"/>
        <v>1</v>
      </c>
    </row>
    <row r="32" spans="3:40" outlineLevel="2">
      <c r="C32" s="266" t="str">
        <f t="shared" si="5"/>
        <v>IPG-M</v>
      </c>
      <c r="E32" s="200"/>
      <c r="F32" s="767">
        <f>Inputs!E338</f>
        <v>1</v>
      </c>
      <c r="G32" s="767">
        <f t="shared" ref="G32:AN32" si="7">IFERROR(F32*(1+G21)^(G$15/G$16),1)</f>
        <v>1.038</v>
      </c>
      <c r="H32" s="767">
        <f t="shared" si="7"/>
        <v>1.0774440000000001</v>
      </c>
      <c r="I32" s="767">
        <f t="shared" si="7"/>
        <v>1.1183868720000001</v>
      </c>
      <c r="J32" s="767">
        <f t="shared" si="7"/>
        <v>1.1608855731360002</v>
      </c>
      <c r="K32" s="767">
        <f t="shared" si="7"/>
        <v>1.2049992249151682</v>
      </c>
      <c r="L32" s="767">
        <f t="shared" si="7"/>
        <v>1.2507891954619446</v>
      </c>
      <c r="M32" s="767">
        <f t="shared" si="7"/>
        <v>1.2983191848894986</v>
      </c>
      <c r="N32" s="767">
        <f t="shared" si="7"/>
        <v>1.3476553139152996</v>
      </c>
      <c r="O32" s="767">
        <f t="shared" si="7"/>
        <v>1.398866215844081</v>
      </c>
      <c r="P32" s="767">
        <f t="shared" si="7"/>
        <v>1.4520231320461561</v>
      </c>
      <c r="Q32" s="767">
        <f t="shared" si="7"/>
        <v>1.5072000110639101</v>
      </c>
      <c r="R32" s="767">
        <f t="shared" si="7"/>
        <v>1.5644736114843387</v>
      </c>
      <c r="S32" s="767">
        <f t="shared" si="7"/>
        <v>1.6239236087207436</v>
      </c>
      <c r="T32" s="767">
        <f t="shared" si="7"/>
        <v>1.6856327058521319</v>
      </c>
      <c r="U32" s="767">
        <f t="shared" si="7"/>
        <v>1.7496867486745129</v>
      </c>
      <c r="V32" s="767">
        <f t="shared" si="7"/>
        <v>1.8161748451241444</v>
      </c>
      <c r="W32" s="767">
        <f t="shared" si="7"/>
        <v>1.8851894892388619</v>
      </c>
      <c r="X32" s="767">
        <f t="shared" si="7"/>
        <v>1.9568266898299387</v>
      </c>
      <c r="Y32" s="767">
        <f t="shared" si="7"/>
        <v>2.0311861040434764</v>
      </c>
      <c r="Z32" s="767">
        <f t="shared" si="7"/>
        <v>2.1083711759971284</v>
      </c>
      <c r="AA32" s="767">
        <f t="shared" si="7"/>
        <v>2.1884892806850194</v>
      </c>
      <c r="AB32" s="767">
        <f t="shared" si="7"/>
        <v>2.27165187335105</v>
      </c>
      <c r="AC32" s="767">
        <f t="shared" si="7"/>
        <v>2.3579746445383898</v>
      </c>
      <c r="AD32" s="767">
        <f t="shared" si="7"/>
        <v>2.4475776810308485</v>
      </c>
      <c r="AE32" s="767">
        <f t="shared" si="7"/>
        <v>2.5405856329100209</v>
      </c>
      <c r="AF32" s="767">
        <f t="shared" si="7"/>
        <v>2.6371278869606019</v>
      </c>
      <c r="AG32" s="767">
        <f t="shared" si="7"/>
        <v>2.7373387466651047</v>
      </c>
      <c r="AH32" s="767">
        <f t="shared" si="7"/>
        <v>2.8413576190383787</v>
      </c>
      <c r="AI32" s="767">
        <f t="shared" si="7"/>
        <v>2.9493292085618372</v>
      </c>
      <c r="AJ32" s="767">
        <f t="shared" si="7"/>
        <v>3.061403718487187</v>
      </c>
      <c r="AK32" s="767">
        <f t="shared" si="7"/>
        <v>3.1777370597897003</v>
      </c>
      <c r="AL32" s="767">
        <f t="shared" si="7"/>
        <v>3.298491068061709</v>
      </c>
      <c r="AM32" s="767">
        <f t="shared" si="7"/>
        <v>3.423833728648054</v>
      </c>
      <c r="AN32" s="767">
        <f t="shared" si="7"/>
        <v>1</v>
      </c>
    </row>
    <row r="33" spans="3:40" outlineLevel="2">
      <c r="C33" s="266" t="str">
        <f t="shared" si="5"/>
        <v>PIB</v>
      </c>
      <c r="E33" s="200"/>
      <c r="F33" s="767">
        <f>Inputs!E339</f>
        <v>1</v>
      </c>
      <c r="G33" s="767">
        <f t="shared" ref="G33:AN33" si="8">IFERROR(F33*(1+G22)^(G$15/G$16),1)</f>
        <v>1.02</v>
      </c>
      <c r="H33" s="767">
        <f t="shared" si="8"/>
        <v>1.0404</v>
      </c>
      <c r="I33" s="767">
        <f t="shared" si="8"/>
        <v>1.0612079999999999</v>
      </c>
      <c r="J33" s="767">
        <f t="shared" si="8"/>
        <v>1.08243216</v>
      </c>
      <c r="K33" s="767">
        <f t="shared" si="8"/>
        <v>1.1040808032</v>
      </c>
      <c r="L33" s="767">
        <f t="shared" si="8"/>
        <v>1.1261624192640001</v>
      </c>
      <c r="M33" s="767">
        <f t="shared" si="8"/>
        <v>1.14868566764928</v>
      </c>
      <c r="N33" s="767">
        <f t="shared" si="8"/>
        <v>1.1716593810022657</v>
      </c>
      <c r="O33" s="767">
        <f t="shared" si="8"/>
        <v>1.1950925686223111</v>
      </c>
      <c r="P33" s="767">
        <f t="shared" si="8"/>
        <v>1.2189944199947573</v>
      </c>
      <c r="Q33" s="767">
        <f t="shared" si="8"/>
        <v>1.2433743083946525</v>
      </c>
      <c r="R33" s="767">
        <f t="shared" si="8"/>
        <v>1.2682417945625455</v>
      </c>
      <c r="S33" s="767">
        <f t="shared" si="8"/>
        <v>1.2936066304537963</v>
      </c>
      <c r="T33" s="767">
        <f t="shared" si="8"/>
        <v>1.3194787630628724</v>
      </c>
      <c r="U33" s="767">
        <f t="shared" si="8"/>
        <v>1.3458683383241299</v>
      </c>
      <c r="V33" s="767">
        <f t="shared" si="8"/>
        <v>1.3727857050906125</v>
      </c>
      <c r="W33" s="767">
        <f t="shared" si="8"/>
        <v>1.4002414191924248</v>
      </c>
      <c r="X33" s="767">
        <f t="shared" si="8"/>
        <v>1.4282462475762734</v>
      </c>
      <c r="Y33" s="767">
        <f t="shared" si="8"/>
        <v>1.4568111725277988</v>
      </c>
      <c r="Z33" s="767">
        <f t="shared" si="8"/>
        <v>1.4859473959783549</v>
      </c>
      <c r="AA33" s="767">
        <f t="shared" si="8"/>
        <v>1.5156663438979221</v>
      </c>
      <c r="AB33" s="767">
        <f t="shared" si="8"/>
        <v>1.5459796707758806</v>
      </c>
      <c r="AC33" s="767">
        <f t="shared" si="8"/>
        <v>1.5768992641913981</v>
      </c>
      <c r="AD33" s="767">
        <f t="shared" si="8"/>
        <v>1.6084372494752261</v>
      </c>
      <c r="AE33" s="767">
        <f t="shared" si="8"/>
        <v>1.6406059944647307</v>
      </c>
      <c r="AF33" s="767">
        <f t="shared" si="8"/>
        <v>1.6734181143540252</v>
      </c>
      <c r="AG33" s="767">
        <f t="shared" si="8"/>
        <v>1.7068864766411058</v>
      </c>
      <c r="AH33" s="767">
        <f t="shared" si="8"/>
        <v>1.7410242061739281</v>
      </c>
      <c r="AI33" s="767">
        <f t="shared" si="8"/>
        <v>1.7758446902974065</v>
      </c>
      <c r="AJ33" s="767">
        <f t="shared" si="8"/>
        <v>1.8113615841033548</v>
      </c>
      <c r="AK33" s="767">
        <f t="shared" si="8"/>
        <v>1.8475888157854219</v>
      </c>
      <c r="AL33" s="767">
        <f t="shared" si="8"/>
        <v>1.8845405921011305</v>
      </c>
      <c r="AM33" s="767">
        <f t="shared" si="8"/>
        <v>1.9222314039431532</v>
      </c>
      <c r="AN33" s="767">
        <f t="shared" si="8"/>
        <v>1</v>
      </c>
    </row>
    <row r="34" spans="3:40" outlineLevel="2">
      <c r="C34" s="266" t="str">
        <f t="shared" si="5"/>
        <v>PIB Serviços</v>
      </c>
      <c r="E34" s="200"/>
      <c r="F34" s="767">
        <f>Inputs!E340</f>
        <v>1</v>
      </c>
      <c r="G34" s="767">
        <f t="shared" ref="G34:AN34" si="9">IFERROR(F34*(1+G23)^(G$15/G$16),1)</f>
        <v>1.0249999999999999</v>
      </c>
      <c r="H34" s="767">
        <f t="shared" si="9"/>
        <v>1.0506249999999999</v>
      </c>
      <c r="I34" s="767">
        <f t="shared" si="9"/>
        <v>1.0768906249999999</v>
      </c>
      <c r="J34" s="767">
        <f t="shared" si="9"/>
        <v>1.1038128906249998</v>
      </c>
      <c r="K34" s="767">
        <f t="shared" si="9"/>
        <v>1.1314082128906247</v>
      </c>
      <c r="L34" s="767">
        <f t="shared" si="9"/>
        <v>1.1596934182128902</v>
      </c>
      <c r="M34" s="767">
        <f t="shared" si="9"/>
        <v>1.1886857536682123</v>
      </c>
      <c r="N34" s="767">
        <f t="shared" si="9"/>
        <v>1.2184028975099175</v>
      </c>
      <c r="O34" s="767">
        <f t="shared" si="9"/>
        <v>1.2488629699476652</v>
      </c>
      <c r="P34" s="767">
        <f t="shared" si="9"/>
        <v>1.2800845441963566</v>
      </c>
      <c r="Q34" s="767">
        <f t="shared" si="9"/>
        <v>1.3120866578012655</v>
      </c>
      <c r="R34" s="767">
        <f t="shared" si="9"/>
        <v>1.3448888242462971</v>
      </c>
      <c r="S34" s="767">
        <f t="shared" si="9"/>
        <v>1.3785110448524545</v>
      </c>
      <c r="T34" s="767">
        <f t="shared" si="9"/>
        <v>1.4129738209737657</v>
      </c>
      <c r="U34" s="767">
        <f t="shared" si="9"/>
        <v>1.4482981664981096</v>
      </c>
      <c r="V34" s="767">
        <f t="shared" si="9"/>
        <v>1.4845056206605622</v>
      </c>
      <c r="W34" s="767">
        <f t="shared" si="9"/>
        <v>1.5216182611770761</v>
      </c>
      <c r="X34" s="767">
        <f t="shared" si="9"/>
        <v>1.5596587177065029</v>
      </c>
      <c r="Y34" s="767">
        <f t="shared" si="9"/>
        <v>1.5986501856491653</v>
      </c>
      <c r="Z34" s="767">
        <f t="shared" si="9"/>
        <v>1.6386164402903942</v>
      </c>
      <c r="AA34" s="767">
        <f t="shared" si="9"/>
        <v>1.6795818512976539</v>
      </c>
      <c r="AB34" s="767">
        <f t="shared" si="9"/>
        <v>1.721571397580095</v>
      </c>
      <c r="AC34" s="767">
        <f t="shared" si="9"/>
        <v>1.7646106825195973</v>
      </c>
      <c r="AD34" s="767">
        <f t="shared" si="9"/>
        <v>1.8087259495825871</v>
      </c>
      <c r="AE34" s="767">
        <f t="shared" si="9"/>
        <v>1.8539440983221516</v>
      </c>
      <c r="AF34" s="767">
        <f t="shared" si="9"/>
        <v>1.9002927007802053</v>
      </c>
      <c r="AG34" s="767">
        <f t="shared" si="9"/>
        <v>1.9478000182997102</v>
      </c>
      <c r="AH34" s="767">
        <f t="shared" si="9"/>
        <v>1.9964950187572028</v>
      </c>
      <c r="AI34" s="767">
        <f t="shared" si="9"/>
        <v>2.0464073942261325</v>
      </c>
      <c r="AJ34" s="767">
        <f t="shared" si="9"/>
        <v>2.0975675790817858</v>
      </c>
      <c r="AK34" s="767">
        <f t="shared" si="9"/>
        <v>2.1500067685588302</v>
      </c>
      <c r="AL34" s="767">
        <f t="shared" si="9"/>
        <v>2.2037569377728006</v>
      </c>
      <c r="AM34" s="767">
        <f t="shared" si="9"/>
        <v>2.2588508612171205</v>
      </c>
      <c r="AN34" s="767">
        <f t="shared" si="9"/>
        <v>1</v>
      </c>
    </row>
    <row r="35" spans="3:40" outlineLevel="2">
      <c r="C35" s="266" t="str">
        <f t="shared" si="5"/>
        <v>CPI US</v>
      </c>
      <c r="E35" s="200"/>
      <c r="F35" s="767">
        <f>Inputs!E341</f>
        <v>1</v>
      </c>
      <c r="G35" s="767">
        <f t="shared" ref="G35:AN35" si="10">IFERROR(F35*(1+G24)^(G$15/G$16),1)</f>
        <v>1.0309999999999999</v>
      </c>
      <c r="H35" s="767">
        <f t="shared" si="10"/>
        <v>1.0629609999999998</v>
      </c>
      <c r="I35" s="767">
        <f t="shared" si="10"/>
        <v>1.0959127909999997</v>
      </c>
      <c r="J35" s="767">
        <f t="shared" si="10"/>
        <v>1.1298860875209997</v>
      </c>
      <c r="K35" s="767">
        <f t="shared" si="10"/>
        <v>1.1649125562341507</v>
      </c>
      <c r="L35" s="767">
        <f t="shared" si="10"/>
        <v>1.2010248454774093</v>
      </c>
      <c r="M35" s="767">
        <f t="shared" si="10"/>
        <v>1.2382566156872088</v>
      </c>
      <c r="N35" s="767">
        <f t="shared" si="10"/>
        <v>1.2766425707735121</v>
      </c>
      <c r="O35" s="767">
        <f t="shared" si="10"/>
        <v>1.3162184904674907</v>
      </c>
      <c r="P35" s="767">
        <f t="shared" si="10"/>
        <v>1.3570212636719827</v>
      </c>
      <c r="Q35" s="767">
        <f t="shared" si="10"/>
        <v>1.3990889228458141</v>
      </c>
      <c r="R35" s="767">
        <f t="shared" si="10"/>
        <v>1.4424606794540342</v>
      </c>
      <c r="S35" s="767">
        <f t="shared" si="10"/>
        <v>1.4871769605171092</v>
      </c>
      <c r="T35" s="767">
        <f t="shared" si="10"/>
        <v>1.5332794462931394</v>
      </c>
      <c r="U35" s="767">
        <f t="shared" si="10"/>
        <v>1.5808111091282266</v>
      </c>
      <c r="V35" s="767">
        <f t="shared" si="10"/>
        <v>1.6298162535112015</v>
      </c>
      <c r="W35" s="767">
        <f t="shared" si="10"/>
        <v>1.6803405573700487</v>
      </c>
      <c r="X35" s="767">
        <f t="shared" si="10"/>
        <v>1.7324311146485201</v>
      </c>
      <c r="Y35" s="767">
        <f t="shared" si="10"/>
        <v>1.786136479202624</v>
      </c>
      <c r="Z35" s="767">
        <f t="shared" si="10"/>
        <v>1.8415067100579052</v>
      </c>
      <c r="AA35" s="767">
        <f t="shared" si="10"/>
        <v>1.8985934180697002</v>
      </c>
      <c r="AB35" s="767">
        <f t="shared" si="10"/>
        <v>1.9574498140298606</v>
      </c>
      <c r="AC35" s="767">
        <f t="shared" si="10"/>
        <v>2.0181307582647863</v>
      </c>
      <c r="AD35" s="767">
        <f t="shared" si="10"/>
        <v>2.0806928117709944</v>
      </c>
      <c r="AE35" s="767">
        <f t="shared" si="10"/>
        <v>2.1451942889358953</v>
      </c>
      <c r="AF35" s="767">
        <f t="shared" si="10"/>
        <v>2.2116953118929077</v>
      </c>
      <c r="AG35" s="767">
        <f t="shared" si="10"/>
        <v>2.2802578665615876</v>
      </c>
      <c r="AH35" s="767">
        <f t="shared" si="10"/>
        <v>2.3509458604249964</v>
      </c>
      <c r="AI35" s="767">
        <f t="shared" si="10"/>
        <v>2.4238251820981711</v>
      </c>
      <c r="AJ35" s="767">
        <f t="shared" si="10"/>
        <v>2.4989637627432142</v>
      </c>
      <c r="AK35" s="767">
        <f t="shared" si="10"/>
        <v>2.5764316393882538</v>
      </c>
      <c r="AL35" s="767">
        <f t="shared" si="10"/>
        <v>2.6563010202092894</v>
      </c>
      <c r="AM35" s="767">
        <f t="shared" si="10"/>
        <v>2.7386463518357771</v>
      </c>
      <c r="AN35" s="767">
        <f t="shared" si="10"/>
        <v>1</v>
      </c>
    </row>
    <row r="36" spans="3:40" outlineLevel="2">
      <c r="C36" s="266" t="str">
        <f t="shared" si="5"/>
        <v>SELIC</v>
      </c>
      <c r="E36" s="200"/>
      <c r="F36" s="767">
        <f>Inputs!E342</f>
        <v>1</v>
      </c>
      <c r="G36" s="767">
        <f t="shared" ref="G36:AN36" si="11">IFERROR(F36*(1+G25)^(G$15/G$16),1)</f>
        <v>1.085</v>
      </c>
      <c r="H36" s="767">
        <f t="shared" si="11"/>
        <v>1.177225</v>
      </c>
      <c r="I36" s="767">
        <f t="shared" si="11"/>
        <v>1.277289125</v>
      </c>
      <c r="J36" s="767">
        <f t="shared" si="11"/>
        <v>1.3858587006250001</v>
      </c>
      <c r="K36" s="767">
        <f t="shared" si="11"/>
        <v>1.503656690178125</v>
      </c>
      <c r="L36" s="767">
        <f t="shared" si="11"/>
        <v>1.6314675088432655</v>
      </c>
      <c r="M36" s="767">
        <f t="shared" si="11"/>
        <v>1.7701422470949431</v>
      </c>
      <c r="N36" s="767">
        <f t="shared" si="11"/>
        <v>1.9206043380980131</v>
      </c>
      <c r="O36" s="767">
        <f t="shared" si="11"/>
        <v>2.0838557068363444</v>
      </c>
      <c r="P36" s="767">
        <f t="shared" si="11"/>
        <v>2.2609834419174337</v>
      </c>
      <c r="Q36" s="767">
        <f t="shared" si="11"/>
        <v>2.4531670344804155</v>
      </c>
      <c r="R36" s="767">
        <f t="shared" si="11"/>
        <v>2.6616862324112507</v>
      </c>
      <c r="S36" s="767">
        <f t="shared" si="11"/>
        <v>2.8879295621662071</v>
      </c>
      <c r="T36" s="767">
        <f t="shared" si="11"/>
        <v>3.1334035749503344</v>
      </c>
      <c r="U36" s="767">
        <f t="shared" si="11"/>
        <v>3.3997428788211126</v>
      </c>
      <c r="V36" s="767">
        <f t="shared" si="11"/>
        <v>3.6887210235209071</v>
      </c>
      <c r="W36" s="767">
        <f t="shared" si="11"/>
        <v>4.0022623105201838</v>
      </c>
      <c r="X36" s="767">
        <f t="shared" si="11"/>
        <v>4.3424546069143997</v>
      </c>
      <c r="Y36" s="767">
        <f t="shared" si="11"/>
        <v>4.7115632485021237</v>
      </c>
      <c r="Z36" s="767">
        <f t="shared" si="11"/>
        <v>5.1120461246248041</v>
      </c>
      <c r="AA36" s="767">
        <f t="shared" si="11"/>
        <v>5.5465700452179121</v>
      </c>
      <c r="AB36" s="767">
        <f t="shared" si="11"/>
        <v>6.0180284990614341</v>
      </c>
      <c r="AC36" s="767">
        <f t="shared" si="11"/>
        <v>6.5295609214816555</v>
      </c>
      <c r="AD36" s="767">
        <f t="shared" si="11"/>
        <v>7.0845735998075963</v>
      </c>
      <c r="AE36" s="767">
        <f t="shared" si="11"/>
        <v>7.6867623557912417</v>
      </c>
      <c r="AF36" s="767">
        <f t="shared" si="11"/>
        <v>8.3401371560334976</v>
      </c>
      <c r="AG36" s="767">
        <f t="shared" si="11"/>
        <v>9.049048814296345</v>
      </c>
      <c r="AH36" s="767">
        <f t="shared" si="11"/>
        <v>9.8182179635115343</v>
      </c>
      <c r="AI36" s="767">
        <f t="shared" si="11"/>
        <v>10.652766490410015</v>
      </c>
      <c r="AJ36" s="767">
        <f t="shared" si="11"/>
        <v>11.558251642094865</v>
      </c>
      <c r="AK36" s="767">
        <f t="shared" si="11"/>
        <v>12.540703031672928</v>
      </c>
      <c r="AL36" s="767">
        <f t="shared" si="11"/>
        <v>13.606662789365126</v>
      </c>
      <c r="AM36" s="767">
        <f t="shared" si="11"/>
        <v>14.763229126461161</v>
      </c>
      <c r="AN36" s="767">
        <f t="shared" si="11"/>
        <v>1</v>
      </c>
    </row>
    <row r="37" spans="3:40" outlineLevel="2">
      <c r="C37" s="266" t="str">
        <f t="shared" si="5"/>
        <v>CDI</v>
      </c>
      <c r="E37" s="200"/>
      <c r="F37" s="767">
        <f>Inputs!E343</f>
        <v>1</v>
      </c>
      <c r="G37" s="767">
        <f t="shared" ref="G37:AN37" si="12">IFERROR(F37*(1+G26)^(G$15/G$16),1)</f>
        <v>1.085</v>
      </c>
      <c r="H37" s="767">
        <f t="shared" si="12"/>
        <v>1.177225</v>
      </c>
      <c r="I37" s="767">
        <f t="shared" si="12"/>
        <v>1.277289125</v>
      </c>
      <c r="J37" s="767">
        <f t="shared" si="12"/>
        <v>1.3858587006250001</v>
      </c>
      <c r="K37" s="767">
        <f t="shared" si="12"/>
        <v>1.503656690178125</v>
      </c>
      <c r="L37" s="767">
        <f t="shared" si="12"/>
        <v>1.6314675088432655</v>
      </c>
      <c r="M37" s="767">
        <f t="shared" si="12"/>
        <v>1.7701422470949431</v>
      </c>
      <c r="N37" s="767">
        <f t="shared" si="12"/>
        <v>1.9206043380980131</v>
      </c>
      <c r="O37" s="767">
        <f t="shared" si="12"/>
        <v>2.0838557068363444</v>
      </c>
      <c r="P37" s="767">
        <f t="shared" si="12"/>
        <v>2.2609834419174337</v>
      </c>
      <c r="Q37" s="767">
        <f t="shared" si="12"/>
        <v>2.4531670344804155</v>
      </c>
      <c r="R37" s="767">
        <f t="shared" si="12"/>
        <v>2.6616862324112507</v>
      </c>
      <c r="S37" s="767">
        <f t="shared" si="12"/>
        <v>2.8879295621662071</v>
      </c>
      <c r="T37" s="767">
        <f t="shared" si="12"/>
        <v>3.1334035749503344</v>
      </c>
      <c r="U37" s="767">
        <f t="shared" si="12"/>
        <v>3.3997428788211126</v>
      </c>
      <c r="V37" s="767">
        <f t="shared" si="12"/>
        <v>3.6887210235209071</v>
      </c>
      <c r="W37" s="767">
        <f t="shared" si="12"/>
        <v>4.0022623105201838</v>
      </c>
      <c r="X37" s="767">
        <f t="shared" si="12"/>
        <v>4.3424546069143997</v>
      </c>
      <c r="Y37" s="767">
        <f t="shared" si="12"/>
        <v>4.7115632485021237</v>
      </c>
      <c r="Z37" s="767">
        <f t="shared" si="12"/>
        <v>5.1120461246248041</v>
      </c>
      <c r="AA37" s="767">
        <f t="shared" si="12"/>
        <v>5.5465700452179121</v>
      </c>
      <c r="AB37" s="767">
        <f t="shared" si="12"/>
        <v>6.0180284990614341</v>
      </c>
      <c r="AC37" s="767">
        <f t="shared" si="12"/>
        <v>6.5295609214816555</v>
      </c>
      <c r="AD37" s="767">
        <f t="shared" si="12"/>
        <v>7.0845735998075963</v>
      </c>
      <c r="AE37" s="767">
        <f t="shared" si="12"/>
        <v>7.6867623557912417</v>
      </c>
      <c r="AF37" s="767">
        <f t="shared" si="12"/>
        <v>8.3401371560334976</v>
      </c>
      <c r="AG37" s="767">
        <f t="shared" si="12"/>
        <v>9.049048814296345</v>
      </c>
      <c r="AH37" s="767">
        <f t="shared" si="12"/>
        <v>9.8182179635115343</v>
      </c>
      <c r="AI37" s="767">
        <f t="shared" si="12"/>
        <v>10.652766490410015</v>
      </c>
      <c r="AJ37" s="767">
        <f t="shared" si="12"/>
        <v>11.558251642094865</v>
      </c>
      <c r="AK37" s="767">
        <f t="shared" si="12"/>
        <v>12.540703031672928</v>
      </c>
      <c r="AL37" s="767">
        <f t="shared" si="12"/>
        <v>13.606662789365126</v>
      </c>
      <c r="AM37" s="767">
        <f t="shared" si="12"/>
        <v>14.763229126461161</v>
      </c>
      <c r="AN37" s="767">
        <f t="shared" si="12"/>
        <v>1</v>
      </c>
    </row>
    <row r="38" spans="3:40" outlineLevel="2">
      <c r="C38" s="266" t="str">
        <f t="shared" si="5"/>
        <v>TLP</v>
      </c>
      <c r="E38" s="200"/>
      <c r="F38" s="767">
        <f>Inputs!E344</f>
        <v>1</v>
      </c>
      <c r="G38" s="767">
        <f t="shared" ref="G38:AN38" si="13">IFERROR(F38*(1+G27)^(G$15/G$16),1)</f>
        <v>1.0898000000000001</v>
      </c>
      <c r="H38" s="767">
        <f t="shared" si="13"/>
        <v>1.1876640400000003</v>
      </c>
      <c r="I38" s="767">
        <f t="shared" si="13"/>
        <v>1.2943162707920004</v>
      </c>
      <c r="J38" s="767">
        <f t="shared" si="13"/>
        <v>1.4105458719091222</v>
      </c>
      <c r="K38" s="767">
        <f t="shared" si="13"/>
        <v>1.5372128912065615</v>
      </c>
      <c r="L38" s="767">
        <f t="shared" si="13"/>
        <v>1.6752546088369109</v>
      </c>
      <c r="M38" s="767">
        <f t="shared" si="13"/>
        <v>1.8256924727104658</v>
      </c>
      <c r="N38" s="767">
        <f t="shared" si="13"/>
        <v>1.9896396567598658</v>
      </c>
      <c r="O38" s="767">
        <f t="shared" si="13"/>
        <v>2.1683092979369021</v>
      </c>
      <c r="P38" s="767">
        <f t="shared" si="13"/>
        <v>2.3630234728916362</v>
      </c>
      <c r="Q38" s="767">
        <f t="shared" si="13"/>
        <v>2.5752229807573053</v>
      </c>
      <c r="R38" s="767">
        <f t="shared" si="13"/>
        <v>2.8064780044293114</v>
      </c>
      <c r="S38" s="767">
        <f t="shared" si="13"/>
        <v>3.0584997292270639</v>
      </c>
      <c r="T38" s="767">
        <f t="shared" si="13"/>
        <v>3.3331530049116544</v>
      </c>
      <c r="U38" s="767">
        <f t="shared" si="13"/>
        <v>3.6324701447527215</v>
      </c>
      <c r="V38" s="767">
        <f t="shared" si="13"/>
        <v>3.9586659637515162</v>
      </c>
      <c r="W38" s="767">
        <f t="shared" si="13"/>
        <v>4.3141541672964028</v>
      </c>
      <c r="X38" s="767">
        <f t="shared" si="13"/>
        <v>4.70156521151962</v>
      </c>
      <c r="Y38" s="767">
        <f t="shared" si="13"/>
        <v>5.1237657675140822</v>
      </c>
      <c r="Z38" s="767">
        <f t="shared" si="13"/>
        <v>5.5838799334368474</v>
      </c>
      <c r="AA38" s="767">
        <f t="shared" si="13"/>
        <v>6.0853123514594767</v>
      </c>
      <c r="AB38" s="767">
        <f t="shared" si="13"/>
        <v>6.6317734006205384</v>
      </c>
      <c r="AC38" s="767">
        <f t="shared" si="13"/>
        <v>7.2273066519962637</v>
      </c>
      <c r="AD38" s="767">
        <f t="shared" si="13"/>
        <v>7.8763187893455289</v>
      </c>
      <c r="AE38" s="767">
        <f t="shared" si="13"/>
        <v>8.5836122166287581</v>
      </c>
      <c r="AF38" s="767">
        <f t="shared" si="13"/>
        <v>9.3544205936820219</v>
      </c>
      <c r="AG38" s="767">
        <f t="shared" si="13"/>
        <v>10.194447562994668</v>
      </c>
      <c r="AH38" s="767">
        <f t="shared" si="13"/>
        <v>11.109908954151591</v>
      </c>
      <c r="AI38" s="767">
        <f t="shared" si="13"/>
        <v>12.107578778234405</v>
      </c>
      <c r="AJ38" s="767">
        <f t="shared" si="13"/>
        <v>13.194839352519855</v>
      </c>
      <c r="AK38" s="767">
        <f t="shared" si="13"/>
        <v>14.379735926376139</v>
      </c>
      <c r="AL38" s="767">
        <f t="shared" si="13"/>
        <v>15.671036212564717</v>
      </c>
      <c r="AM38" s="767">
        <f t="shared" si="13"/>
        <v>17.078295264453029</v>
      </c>
      <c r="AN38" s="767">
        <f t="shared" si="13"/>
        <v>1</v>
      </c>
    </row>
    <row r="39" spans="3:40" outlineLevel="2">
      <c r="C39" s="266" t="str">
        <f t="shared" si="5"/>
        <v>IPCA</v>
      </c>
      <c r="E39" s="200"/>
      <c r="F39" s="767">
        <f>Inputs!E345</f>
        <v>1</v>
      </c>
      <c r="G39" s="767">
        <f t="shared" ref="G39:AN39" si="14">IFERROR(F39*(1+G28)^(G$15/G$16),1)</f>
        <v>1.0349999999999999</v>
      </c>
      <c r="H39" s="767">
        <f t="shared" si="14"/>
        <v>1.0712249999999999</v>
      </c>
      <c r="I39" s="767">
        <f t="shared" si="14"/>
        <v>1.1087178749999997</v>
      </c>
      <c r="J39" s="767">
        <f t="shared" si="14"/>
        <v>1.1475230006249997</v>
      </c>
      <c r="K39" s="767">
        <f t="shared" si="14"/>
        <v>1.1876863056468745</v>
      </c>
      <c r="L39" s="767">
        <f t="shared" si="14"/>
        <v>1.229255326344515</v>
      </c>
      <c r="M39" s="767">
        <f t="shared" si="14"/>
        <v>1.2722792627665729</v>
      </c>
      <c r="N39" s="767">
        <f t="shared" si="14"/>
        <v>1.3168090369634029</v>
      </c>
      <c r="O39" s="767">
        <f t="shared" si="14"/>
        <v>1.3628973532571218</v>
      </c>
      <c r="P39" s="767">
        <f t="shared" si="14"/>
        <v>1.410598760621121</v>
      </c>
      <c r="Q39" s="767">
        <f t="shared" si="14"/>
        <v>1.4599697172428601</v>
      </c>
      <c r="R39" s="767">
        <f t="shared" si="14"/>
        <v>1.5110686573463601</v>
      </c>
      <c r="S39" s="767">
        <f t="shared" si="14"/>
        <v>1.5639560603534826</v>
      </c>
      <c r="T39" s="767">
        <f t="shared" si="14"/>
        <v>1.6186945224658542</v>
      </c>
      <c r="U39" s="767">
        <f t="shared" si="14"/>
        <v>1.6753488307521589</v>
      </c>
      <c r="V39" s="767">
        <f t="shared" si="14"/>
        <v>1.7339860398284843</v>
      </c>
      <c r="W39" s="767">
        <f t="shared" si="14"/>
        <v>1.7946755512224812</v>
      </c>
      <c r="X39" s="767">
        <f t="shared" si="14"/>
        <v>1.8574891955152679</v>
      </c>
      <c r="Y39" s="767">
        <f t="shared" si="14"/>
        <v>1.9225013173583021</v>
      </c>
      <c r="Z39" s="767">
        <f t="shared" si="14"/>
        <v>1.9897888634658425</v>
      </c>
      <c r="AA39" s="767">
        <f t="shared" si="14"/>
        <v>2.0594314736871469</v>
      </c>
      <c r="AB39" s="767">
        <f t="shared" si="14"/>
        <v>2.1315115752661966</v>
      </c>
      <c r="AC39" s="767">
        <f t="shared" si="14"/>
        <v>2.2061144804005135</v>
      </c>
      <c r="AD39" s="767">
        <f t="shared" si="14"/>
        <v>2.2833284872145314</v>
      </c>
      <c r="AE39" s="767">
        <f t="shared" si="14"/>
        <v>2.3632449842670398</v>
      </c>
      <c r="AF39" s="767">
        <f t="shared" si="14"/>
        <v>2.4459585587163861</v>
      </c>
      <c r="AG39" s="767">
        <f t="shared" si="14"/>
        <v>2.5315671082714593</v>
      </c>
      <c r="AH39" s="767">
        <f t="shared" si="14"/>
        <v>2.6201719570609603</v>
      </c>
      <c r="AI39" s="767">
        <f t="shared" si="14"/>
        <v>2.7118779755580937</v>
      </c>
      <c r="AJ39" s="767">
        <f t="shared" si="14"/>
        <v>2.8067937047026268</v>
      </c>
      <c r="AK39" s="767">
        <f t="shared" si="14"/>
        <v>2.9050314843672185</v>
      </c>
      <c r="AL39" s="767">
        <f t="shared" si="14"/>
        <v>3.0067075863200707</v>
      </c>
      <c r="AM39" s="767">
        <f t="shared" si="14"/>
        <v>3.111942351841273</v>
      </c>
      <c r="AN39" s="767">
        <f t="shared" si="14"/>
        <v>1</v>
      </c>
    </row>
    <row r="40" spans="3:40" outlineLevel="1">
      <c r="E40" s="76"/>
    </row>
    <row r="41" spans="3:40">
      <c r="E41" s="76"/>
    </row>
    <row r="42" spans="3:40" ht="16.2" thickBot="1">
      <c r="C42" s="394" t="s">
        <v>379</v>
      </c>
      <c r="D42" s="395"/>
      <c r="E42" s="396"/>
      <c r="F42" s="395"/>
      <c r="G42" s="395"/>
      <c r="H42" s="395"/>
      <c r="I42" s="395"/>
      <c r="J42" s="395"/>
      <c r="K42" s="395"/>
      <c r="L42" s="395"/>
      <c r="M42" s="395"/>
      <c r="N42" s="395"/>
      <c r="O42" s="395"/>
      <c r="P42" s="395"/>
      <c r="Q42" s="395"/>
      <c r="R42" s="395"/>
      <c r="S42" s="395"/>
      <c r="T42" s="395"/>
      <c r="U42" s="395"/>
      <c r="V42" s="395"/>
      <c r="W42" s="395"/>
      <c r="X42" s="395"/>
      <c r="Y42" s="395"/>
      <c r="Z42" s="395"/>
      <c r="AA42" s="395"/>
      <c r="AB42" s="395"/>
      <c r="AC42" s="395"/>
      <c r="AD42" s="395"/>
      <c r="AE42" s="395"/>
      <c r="AF42" s="395"/>
      <c r="AG42" s="395"/>
      <c r="AH42" s="395"/>
      <c r="AI42" s="395"/>
      <c r="AJ42" s="395"/>
      <c r="AK42" s="8"/>
      <c r="AL42" s="8"/>
      <c r="AM42" s="8"/>
      <c r="AN42" s="8"/>
    </row>
    <row r="43" spans="3:40" outlineLevel="1">
      <c r="D43" s="266"/>
      <c r="E43" s="309"/>
    </row>
    <row r="44" spans="3:40" outlineLevel="1">
      <c r="C44" s="11" t="s">
        <v>173</v>
      </c>
      <c r="D44" s="266"/>
      <c r="E44" s="309"/>
    </row>
    <row r="45" spans="3:40" outlineLevel="2">
      <c r="D45" s="266"/>
      <c r="E45" s="309"/>
    </row>
    <row r="46" spans="3:40" outlineLevel="2">
      <c r="C46" s="11" t="s">
        <v>380</v>
      </c>
      <c r="D46" s="266"/>
      <c r="E46" s="309"/>
    </row>
    <row r="47" spans="3:40" outlineLevel="3">
      <c r="D47" s="266"/>
      <c r="E47" s="309"/>
    </row>
    <row r="48" spans="3:40" outlineLevel="3">
      <c r="C48" s="17" t="s">
        <v>381</v>
      </c>
      <c r="D48" s="266"/>
      <c r="E48" s="309"/>
      <c r="G48" s="286"/>
    </row>
    <row r="49" spans="3:160" outlineLevel="4">
      <c r="D49" s="266"/>
      <c r="E49" s="309"/>
      <c r="F49" s="286"/>
    </row>
    <row r="50" spans="3:160" outlineLevel="4">
      <c r="D50" s="38">
        <f>CP</f>
        <v>6261.4</v>
      </c>
      <c r="E50" s="41" t="s">
        <v>20</v>
      </c>
    </row>
    <row r="51" spans="3:160" outlineLevel="4">
      <c r="D51">
        <v>0</v>
      </c>
      <c r="E51" s="41" t="s">
        <v>23</v>
      </c>
    </row>
    <row r="52" spans="3:160" outlineLevel="4">
      <c r="D52">
        <v>1</v>
      </c>
      <c r="E52" s="41" t="s">
        <v>23</v>
      </c>
    </row>
    <row r="53" spans="3:160" outlineLevel="4" collapsed="1">
      <c r="D53" s="141"/>
      <c r="E53" s="309"/>
    </row>
    <row r="54" spans="3:160" outlineLevel="4">
      <c r="D54" s="266"/>
      <c r="E54" s="309"/>
    </row>
    <row r="55" spans="3:160" outlineLevel="4">
      <c r="C55" s="314" t="s">
        <v>382</v>
      </c>
      <c r="D55" s="266"/>
      <c r="E55" s="309"/>
    </row>
    <row r="56" spans="3:160" outlineLevel="5">
      <c r="C56" s="315" t="str">
        <f>Flags!C72</f>
        <v>Cons + Ops Flag</v>
      </c>
      <c r="D56" s="266"/>
      <c r="E56" s="41" t="str">
        <f>Flags!E72</f>
        <v>Flag</v>
      </c>
      <c r="F56" s="23">
        <f>Flags!F72</f>
        <v>30</v>
      </c>
      <c r="G56" s="25">
        <f>Flags!G72</f>
        <v>1</v>
      </c>
      <c r="H56" s="25">
        <f>Flags!H72</f>
        <v>1</v>
      </c>
      <c r="I56" s="25">
        <f>Flags!I72</f>
        <v>1</v>
      </c>
      <c r="J56" s="25">
        <f>Flags!J72</f>
        <v>1</v>
      </c>
      <c r="K56" s="25">
        <f>Flags!K72</f>
        <v>1</v>
      </c>
      <c r="L56" s="25">
        <f>Flags!L72</f>
        <v>1</v>
      </c>
      <c r="M56" s="25">
        <f>Flags!M72</f>
        <v>1</v>
      </c>
      <c r="N56" s="25">
        <f>Flags!N72</f>
        <v>1</v>
      </c>
      <c r="O56" s="25">
        <f>Flags!O72</f>
        <v>1</v>
      </c>
      <c r="P56" s="25">
        <f>Flags!P72</f>
        <v>1</v>
      </c>
      <c r="Q56" s="25">
        <f>Flags!Q72</f>
        <v>1</v>
      </c>
      <c r="R56" s="25">
        <f>Flags!R72</f>
        <v>1</v>
      </c>
      <c r="S56" s="25">
        <f>Flags!S72</f>
        <v>1</v>
      </c>
      <c r="T56" s="25">
        <f>Flags!T72</f>
        <v>1</v>
      </c>
      <c r="U56" s="25">
        <f>Flags!U72</f>
        <v>1</v>
      </c>
      <c r="V56" s="25">
        <f>Flags!V72</f>
        <v>1</v>
      </c>
      <c r="W56" s="25">
        <f>Flags!W72</f>
        <v>1</v>
      </c>
      <c r="X56" s="25">
        <f>Flags!X72</f>
        <v>1</v>
      </c>
      <c r="Y56" s="25">
        <f>Flags!Y72</f>
        <v>1</v>
      </c>
      <c r="Z56" s="25">
        <f>Flags!Z72</f>
        <v>1</v>
      </c>
      <c r="AA56" s="25">
        <f>Flags!AA72</f>
        <v>1</v>
      </c>
      <c r="AB56" s="25">
        <f>Flags!AB72</f>
        <v>1</v>
      </c>
      <c r="AC56" s="25">
        <f>Flags!AC72</f>
        <v>1</v>
      </c>
      <c r="AD56" s="25">
        <f>Flags!AD72</f>
        <v>1</v>
      </c>
      <c r="AE56" s="25">
        <f>Flags!AE72</f>
        <v>1</v>
      </c>
      <c r="AF56" s="25">
        <f>Flags!AF72</f>
        <v>1</v>
      </c>
      <c r="AG56" s="25">
        <f>Flags!AG72</f>
        <v>1</v>
      </c>
      <c r="AH56" s="25">
        <f>Flags!AH72</f>
        <v>1</v>
      </c>
      <c r="AI56" s="25">
        <f>Flags!AI72</f>
        <v>1</v>
      </c>
      <c r="AJ56" s="25">
        <f>Flags!AJ72</f>
        <v>1</v>
      </c>
      <c r="AK56" s="25">
        <f>Flags!AK72</f>
        <v>0</v>
      </c>
      <c r="AL56" s="25">
        <f>Flags!AL72</f>
        <v>0</v>
      </c>
      <c r="AM56" s="25">
        <f>Flags!AM72</f>
        <v>0</v>
      </c>
      <c r="AN56" s="25">
        <f>Flags!AN72</f>
        <v>0</v>
      </c>
    </row>
    <row r="57" spans="3:160" outlineLevel="5">
      <c r="C57" s="315" t="str">
        <f>Flags!C28</f>
        <v>Ano</v>
      </c>
      <c r="D57" s="266"/>
      <c r="E57" s="32" t="str">
        <f>Flags!E28</f>
        <v>Ano</v>
      </c>
      <c r="F57" s="316"/>
      <c r="G57" s="316">
        <f>Flags!G28</f>
        <v>2027</v>
      </c>
      <c r="H57" s="316">
        <f>Flags!H28</f>
        <v>2028</v>
      </c>
      <c r="I57" s="316">
        <f>Flags!I28</f>
        <v>2029</v>
      </c>
      <c r="J57" s="316">
        <f>Flags!J28</f>
        <v>2030</v>
      </c>
      <c r="K57" s="316">
        <f>Flags!K28</f>
        <v>2031</v>
      </c>
      <c r="L57" s="316">
        <f>Flags!L28</f>
        <v>2032</v>
      </c>
      <c r="M57" s="316">
        <f>Flags!M28</f>
        <v>2033</v>
      </c>
      <c r="N57" s="316">
        <f>Flags!N28</f>
        <v>2034</v>
      </c>
      <c r="O57" s="316">
        <f>Flags!O28</f>
        <v>2035</v>
      </c>
      <c r="P57" s="316">
        <f>Flags!P28</f>
        <v>2036</v>
      </c>
      <c r="Q57" s="316">
        <f>Flags!Q28</f>
        <v>2037</v>
      </c>
      <c r="R57" s="316">
        <f>Flags!R28</f>
        <v>2038</v>
      </c>
      <c r="S57" s="316">
        <f>Flags!S28</f>
        <v>2039</v>
      </c>
      <c r="T57" s="316">
        <f>Flags!T28</f>
        <v>2040</v>
      </c>
      <c r="U57" s="316">
        <f>Flags!U28</f>
        <v>2041</v>
      </c>
      <c r="V57" s="316">
        <f>Flags!V28</f>
        <v>2042</v>
      </c>
      <c r="W57" s="316">
        <f>Flags!W28</f>
        <v>2043</v>
      </c>
      <c r="X57" s="316">
        <f>Flags!X28</f>
        <v>2044</v>
      </c>
      <c r="Y57" s="316">
        <f>Flags!Y28</f>
        <v>2045</v>
      </c>
      <c r="Z57" s="316">
        <f>Flags!Z28</f>
        <v>2046</v>
      </c>
      <c r="AA57" s="316">
        <f>Flags!AA28</f>
        <v>2047</v>
      </c>
      <c r="AB57" s="316">
        <f>Flags!AB28</f>
        <v>2048</v>
      </c>
      <c r="AC57" s="316">
        <f>Flags!AC28</f>
        <v>2049</v>
      </c>
      <c r="AD57" s="316">
        <f>Flags!AD28</f>
        <v>2050</v>
      </c>
      <c r="AE57" s="316">
        <f>Flags!AE28</f>
        <v>2051</v>
      </c>
      <c r="AF57" s="316">
        <f>Flags!AF28</f>
        <v>2052</v>
      </c>
      <c r="AG57" s="316">
        <f>Flags!AG28</f>
        <v>2053</v>
      </c>
      <c r="AH57" s="316">
        <f>Flags!AH28</f>
        <v>2054</v>
      </c>
      <c r="AI57" s="316">
        <f>Flags!AI28</f>
        <v>2055</v>
      </c>
      <c r="AJ57" s="316">
        <f>Flags!AJ28</f>
        <v>2056</v>
      </c>
      <c r="AK57" s="316">
        <f>Flags!AK28</f>
        <v>2057</v>
      </c>
      <c r="AL57" s="316">
        <f>Flags!AL28</f>
        <v>2058</v>
      </c>
      <c r="AM57" s="316">
        <f>Flags!AM28</f>
        <v>2059</v>
      </c>
      <c r="AN57" s="316">
        <f>Flags!AN28</f>
        <v>2060</v>
      </c>
    </row>
    <row r="58" spans="3:160" outlineLevel="5">
      <c r="C58" s="315" t="s">
        <v>383</v>
      </c>
      <c r="D58" s="266"/>
      <c r="E58" s="41" t="s">
        <v>23</v>
      </c>
      <c r="F58" s="118"/>
      <c r="G58">
        <f>D52</f>
        <v>1</v>
      </c>
      <c r="H58">
        <f>G58</f>
        <v>1</v>
      </c>
      <c r="I58">
        <f t="shared" ref="I58:AN58" si="15">H58</f>
        <v>1</v>
      </c>
      <c r="J58">
        <f t="shared" si="15"/>
        <v>1</v>
      </c>
      <c r="K58">
        <f t="shared" si="15"/>
        <v>1</v>
      </c>
      <c r="L58">
        <f t="shared" si="15"/>
        <v>1</v>
      </c>
      <c r="M58">
        <f t="shared" si="15"/>
        <v>1</v>
      </c>
      <c r="N58">
        <f t="shared" si="15"/>
        <v>1</v>
      </c>
      <c r="O58">
        <f t="shared" si="15"/>
        <v>1</v>
      </c>
      <c r="P58">
        <f t="shared" si="15"/>
        <v>1</v>
      </c>
      <c r="Q58">
        <f t="shared" si="15"/>
        <v>1</v>
      </c>
      <c r="R58">
        <f t="shared" si="15"/>
        <v>1</v>
      </c>
      <c r="S58">
        <f t="shared" si="15"/>
        <v>1</v>
      </c>
      <c r="T58">
        <f t="shared" si="15"/>
        <v>1</v>
      </c>
      <c r="U58">
        <f t="shared" si="15"/>
        <v>1</v>
      </c>
      <c r="V58">
        <f t="shared" si="15"/>
        <v>1</v>
      </c>
      <c r="W58">
        <f t="shared" si="15"/>
        <v>1</v>
      </c>
      <c r="X58">
        <f t="shared" si="15"/>
        <v>1</v>
      </c>
      <c r="Y58">
        <f t="shared" si="15"/>
        <v>1</v>
      </c>
      <c r="Z58">
        <f t="shared" si="15"/>
        <v>1</v>
      </c>
      <c r="AA58">
        <f t="shared" si="15"/>
        <v>1</v>
      </c>
      <c r="AB58">
        <f t="shared" si="15"/>
        <v>1</v>
      </c>
      <c r="AC58">
        <f t="shared" si="15"/>
        <v>1</v>
      </c>
      <c r="AD58">
        <f t="shared" si="15"/>
        <v>1</v>
      </c>
      <c r="AE58">
        <f t="shared" si="15"/>
        <v>1</v>
      </c>
      <c r="AF58">
        <f t="shared" si="15"/>
        <v>1</v>
      </c>
      <c r="AG58">
        <f t="shared" si="15"/>
        <v>1</v>
      </c>
      <c r="AH58">
        <f t="shared" si="15"/>
        <v>1</v>
      </c>
      <c r="AI58">
        <f t="shared" si="15"/>
        <v>1</v>
      </c>
      <c r="AJ58">
        <f t="shared" si="15"/>
        <v>1</v>
      </c>
      <c r="AK58">
        <f t="shared" si="15"/>
        <v>1</v>
      </c>
      <c r="AL58">
        <f t="shared" si="15"/>
        <v>1</v>
      </c>
      <c r="AM58">
        <f t="shared" si="15"/>
        <v>1</v>
      </c>
      <c r="AN58">
        <f t="shared" si="15"/>
        <v>1</v>
      </c>
    </row>
    <row r="59" spans="3:160" outlineLevel="4">
      <c r="D59" s="118"/>
      <c r="E59" s="41" t="s">
        <v>384</v>
      </c>
      <c r="F59" s="23">
        <f>SUM(G59:AN59)</f>
        <v>216619.53785530297</v>
      </c>
      <c r="G59" s="273">
        <f>(((($D$50*(1-$D$51))*$D$52)*G56)*G58)+((((($D$50*(1-$D$51))*$D$52)*G56)*G58)*G61)</f>
        <v>6261.4</v>
      </c>
      <c r="H59" s="273">
        <f>(((((G59)*(1-$D$51)))*H56)*H58)+((((($D$50*(1-$D$51))*$D$52)*H56)*H58)*H61)+(G59*H63)</f>
        <v>6334.3740971543702</v>
      </c>
      <c r="I59" s="273">
        <f>(((((H59)*(1-$D$51)))*I56)*I58)+((((($D$50*(1-$D$51))*$D$52)*I56)*I58)*I61)+(H59*I63)</f>
        <v>6406.5075084297869</v>
      </c>
      <c r="J59" s="273">
        <f>(((((I59)*(1-$D$51)))*J56)*J58)+((((($D$50*(1-$D$51))*$D$52)*J56)*J58)*J61)</f>
        <v>6477.8193831813778</v>
      </c>
      <c r="K59" s="273">
        <f>(((((J59)*(1-$D$51)))*K56)*K58)+((((($D$50*(1-$D$51))*$D$52)*K56)*K58)*K61)+((((($D$50*(1-$D$51))*$D$52)*K56)*K58)*K63)</f>
        <v>6548.32822384881</v>
      </c>
      <c r="L59" s="273">
        <f t="shared" ref="L59:AN59" si="16">(((((K59)*(1-$D$51)))*L56)*L58)+((((($D$50*(1-$D$51))*$D$52)*L56)*L58)*L61)+((((($D$50*(1-$D$51))*$D$52)*L56)*L58)*L63)</f>
        <v>6618.0519147711393</v>
      </c>
      <c r="M59" s="273">
        <f t="shared" si="16"/>
        <v>6687.0077494149991</v>
      </c>
      <c r="N59" s="273">
        <f t="shared" si="16"/>
        <v>6755.2124561198252</v>
      </c>
      <c r="O59" s="273">
        <f t="shared" si="16"/>
        <v>6822.6822224559801</v>
      </c>
      <c r="P59" s="273">
        <f t="shared" si="16"/>
        <v>6889.43271828452</v>
      </c>
      <c r="Q59" s="273">
        <f t="shared" si="16"/>
        <v>6955.4791176007702</v>
      </c>
      <c r="R59" s="273">
        <f t="shared" si="16"/>
        <v>7020.8361192378707</v>
      </c>
      <c r="S59" s="273">
        <f t="shared" si="16"/>
        <v>7085.5179665009537</v>
      </c>
      <c r="T59" s="273">
        <f t="shared" si="16"/>
        <v>7149.5384657975737</v>
      </c>
      <c r="U59" s="273">
        <f t="shared" si="16"/>
        <v>7212.9110043253195</v>
      </c>
      <c r="V59" s="273">
        <f t="shared" si="16"/>
        <v>7275.6485668732985</v>
      </c>
      <c r="W59" s="273">
        <f t="shared" si="16"/>
        <v>7337.7637517902504</v>
      </c>
      <c r="X59" s="273">
        <f t="shared" si="16"/>
        <v>7399.2687861683899</v>
      </c>
      <c r="Y59" s="273">
        <f t="shared" si="16"/>
        <v>7460.1755402887547</v>
      </c>
      <c r="Z59" s="273">
        <f t="shared" si="16"/>
        <v>7520.4955413707503</v>
      </c>
      <c r="AA59" s="273">
        <f t="shared" si="16"/>
        <v>7580.2399866657288</v>
      </c>
      <c r="AB59" s="273">
        <f t="shared" si="16"/>
        <v>7639.4197559317854</v>
      </c>
      <c r="AC59" s="273">
        <f t="shared" si="16"/>
        <v>7698.04542332456</v>
      </c>
      <c r="AD59" s="273">
        <f t="shared" si="16"/>
        <v>7756.1272687365181</v>
      </c>
      <c r="AE59" s="273">
        <f t="shared" si="16"/>
        <v>7813.6752886151517</v>
      </c>
      <c r="AF59" s="273">
        <f t="shared" si="16"/>
        <v>7870.6992062885556</v>
      </c>
      <c r="AG59" s="273">
        <f t="shared" si="16"/>
        <v>7927.2084818250605</v>
      </c>
      <c r="AH59" s="273">
        <f t="shared" si="16"/>
        <v>7983.2123214519324</v>
      </c>
      <c r="AI59" s="273">
        <f t="shared" si="16"/>
        <v>8038.7196865565847</v>
      </c>
      <c r="AJ59" s="273">
        <f t="shared" si="16"/>
        <v>8093.7393022923152</v>
      </c>
      <c r="AK59" s="273">
        <f t="shared" si="16"/>
        <v>0</v>
      </c>
      <c r="AL59" s="273">
        <f t="shared" si="16"/>
        <v>0</v>
      </c>
      <c r="AM59" s="273">
        <f t="shared" si="16"/>
        <v>0</v>
      </c>
      <c r="AN59" s="273">
        <f t="shared" si="16"/>
        <v>0</v>
      </c>
    </row>
    <row r="60" spans="3:160" outlineLevel="4" collapsed="1">
      <c r="D60" s="266"/>
      <c r="E60" s="309"/>
      <c r="G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3"/>
      <c r="AE60" s="273"/>
      <c r="AF60" s="273"/>
      <c r="AG60" s="273"/>
      <c r="AH60" s="273"/>
      <c r="AI60" s="273"/>
      <c r="AJ60" s="273"/>
      <c r="AK60" s="273"/>
      <c r="AL60" s="273"/>
      <c r="AM60" s="273"/>
      <c r="AN60" s="273"/>
    </row>
    <row r="61" spans="3:160" outlineLevel="4">
      <c r="C61" s="17" t="s">
        <v>385</v>
      </c>
      <c r="D61" s="266"/>
      <c r="E61" s="309"/>
      <c r="G61"/>
      <c r="H61" s="494">
        <f>Inputs!F119</f>
        <v>1.1654597558752089E-2</v>
      </c>
      <c r="I61" s="494">
        <f>Inputs!G119</f>
        <v>1.152033271719044E-2</v>
      </c>
      <c r="J61" s="494">
        <f>Inputs!H119</f>
        <v>1.1389126194076615E-2</v>
      </c>
      <c r="K61" s="494">
        <f>Inputs!I119</f>
        <v>1.1260874671388477E-2</v>
      </c>
      <c r="L61" s="494">
        <f>Inputs!J119</f>
        <v>1.1135479433086681E-2</v>
      </c>
      <c r="M61" s="494">
        <f>Inputs!K119</f>
        <v>1.1012846111709829E-2</v>
      </c>
      <c r="N61" s="494">
        <f>Inputs!L119</f>
        <v>1.0892884451532581E-2</v>
      </c>
      <c r="O61" s="494">
        <f>Inputs!M119</f>
        <v>1.077550808703398E-2</v>
      </c>
      <c r="P61" s="494">
        <f>Inputs!N119</f>
        <v>1.0660634335538433E-2</v>
      </c>
      <c r="Q61" s="494">
        <f>Inputs!O119</f>
        <v>1.0548184002978633E-2</v>
      </c>
      <c r="R61" s="494">
        <f>Inputs!P119</f>
        <v>1.0438081201823879E-2</v>
      </c>
      <c r="S61" s="494">
        <f>Inputs!Q119</f>
        <v>1.0330253180292459E-2</v>
      </c>
      <c r="T61" s="494">
        <f>Inputs!R119</f>
        <v>1.0224630162043669E-2</v>
      </c>
      <c r="U61" s="494">
        <f>Inputs!S119</f>
        <v>1.0121145195602477E-2</v>
      </c>
      <c r="V61" s="494">
        <f>Inputs!T119</f>
        <v>1.0019734012837178E-2</v>
      </c>
      <c r="W61" s="494">
        <f>Inputs!U119</f>
        <v>9.9203348958623039E-3</v>
      </c>
      <c r="X61" s="494">
        <f>Inputs!V119</f>
        <v>9.8228885517839259E-3</v>
      </c>
      <c r="Y61" s="494">
        <f>Inputs!W119</f>
        <v>9.7273379947560024E-3</v>
      </c>
      <c r="Z61" s="494">
        <f>Inputs!X119</f>
        <v>9.6336284348541579E-3</v>
      </c>
      <c r="AA61" s="494">
        <f>Inputs!Y119</f>
        <v>9.5417071733123748E-3</v>
      </c>
      <c r="AB61" s="494">
        <f>Inputs!Z119</f>
        <v>9.451523503698267E-3</v>
      </c>
      <c r="AC61" s="494">
        <f>Inputs!AA119</f>
        <v>9.3630286186434653E-3</v>
      </c>
      <c r="AD61" s="494">
        <f>Inputs!AB119</f>
        <v>9.2761755217616315E-3</v>
      </c>
      <c r="AE61" s="494">
        <f>Inputs!AC119</f>
        <v>9.1909189444268069E-3</v>
      </c>
      <c r="AF61" s="494">
        <f>Inputs!AD119</f>
        <v>9.1072152670974571E-3</v>
      </c>
      <c r="AG61" s="494">
        <f>Inputs!AE119</f>
        <v>9.0250224449013317E-3</v>
      </c>
      <c r="AH61" s="494">
        <f>Inputs!AF119</f>
        <v>8.9442999372140175E-3</v>
      </c>
      <c r="AI61" s="494">
        <f>Inputs!AG119</f>
        <v>8.865008640983163E-3</v>
      </c>
      <c r="AJ61" s="494">
        <f>Inputs!AH119</f>
        <v>8.7871108275674459E-3</v>
      </c>
      <c r="AK61" s="494">
        <f>Inputs!AI119</f>
        <v>0</v>
      </c>
      <c r="AL61" s="494">
        <f>Inputs!AJ119</f>
        <v>0</v>
      </c>
      <c r="AM61" s="494">
        <f>Inputs!AK119</f>
        <v>0</v>
      </c>
      <c r="AN61" s="494">
        <f>Inputs!AL119</f>
        <v>0</v>
      </c>
    </row>
    <row r="62" spans="3:160" outlineLevel="4">
      <c r="C62" s="17"/>
      <c r="D62" s="266"/>
      <c r="E62" s="309"/>
      <c r="G62" s="495"/>
      <c r="H62" t="s">
        <v>386</v>
      </c>
      <c r="I62"/>
      <c r="J62" s="273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</row>
    <row r="63" spans="3:160" outlineLevel="4">
      <c r="C63" s="17" t="s">
        <v>387</v>
      </c>
      <c r="D63" s="266"/>
      <c r="E63" s="309"/>
      <c r="G63" s="273"/>
      <c r="H63" s="375"/>
      <c r="I63" s="375"/>
      <c r="J63" s="375"/>
      <c r="K63" s="376"/>
      <c r="L63" s="376"/>
      <c r="M63" s="376"/>
      <c r="N63" s="376"/>
      <c r="O63" s="376"/>
      <c r="P63" s="375"/>
      <c r="Q63" s="375"/>
      <c r="R63" s="375"/>
      <c r="S63" s="375"/>
      <c r="T63" s="375"/>
      <c r="U63" s="375"/>
      <c r="V63" s="375"/>
      <c r="W63" s="375"/>
      <c r="X63" s="375"/>
      <c r="Y63" s="375"/>
      <c r="Z63" s="375"/>
      <c r="AA63" s="375"/>
      <c r="AB63" s="375"/>
      <c r="AC63" s="375"/>
      <c r="AD63" s="375"/>
      <c r="AE63" s="375"/>
      <c r="AF63" s="375"/>
      <c r="AG63" s="375"/>
      <c r="AH63" s="375"/>
      <c r="AI63" s="375"/>
      <c r="AJ63" s="491"/>
      <c r="AK63" s="375"/>
      <c r="AL63" s="375"/>
      <c r="AM63" s="375"/>
      <c r="AN63" s="375"/>
      <c r="AO63" s="375"/>
      <c r="AP63" s="375"/>
      <c r="AQ63" s="375"/>
      <c r="AR63" s="375"/>
      <c r="AS63" s="375"/>
      <c r="AT63" s="375"/>
      <c r="AU63" s="375"/>
      <c r="AV63" s="375"/>
      <c r="AW63" s="375"/>
      <c r="AX63" s="375"/>
      <c r="AY63" s="375"/>
      <c r="AZ63" s="375"/>
      <c r="BA63" s="375"/>
      <c r="BB63" s="375"/>
      <c r="BC63" s="375"/>
      <c r="BD63" s="375"/>
      <c r="BE63" s="375"/>
      <c r="BF63" s="375"/>
      <c r="BG63" s="375"/>
      <c r="BH63" s="375"/>
      <c r="BI63" s="375"/>
      <c r="BJ63" s="375"/>
      <c r="BK63" s="375"/>
      <c r="BL63" s="375"/>
      <c r="BM63" s="375"/>
      <c r="BN63" s="375"/>
      <c r="BO63" s="375"/>
      <c r="BP63" s="375"/>
      <c r="BQ63" s="375"/>
      <c r="BR63" s="375"/>
      <c r="BS63" s="375"/>
      <c r="BT63" s="375"/>
      <c r="BU63" s="375"/>
      <c r="BV63" s="375"/>
      <c r="BW63" s="375"/>
      <c r="BX63" s="375"/>
      <c r="BY63" s="375"/>
      <c r="BZ63" s="375"/>
      <c r="CA63" s="375"/>
      <c r="CB63" s="375"/>
      <c r="CC63" s="375"/>
      <c r="CD63" s="375"/>
      <c r="CE63" s="375"/>
      <c r="CF63" s="375"/>
      <c r="CG63" s="375"/>
      <c r="CH63" s="375"/>
      <c r="CI63" s="375"/>
      <c r="CJ63" s="375"/>
      <c r="CK63" s="375"/>
      <c r="CL63" s="375"/>
      <c r="CM63" s="375"/>
      <c r="CN63" s="375"/>
      <c r="CO63" s="375"/>
      <c r="CP63" s="375"/>
      <c r="CQ63" s="375"/>
      <c r="CR63" s="375"/>
      <c r="CS63" s="375"/>
      <c r="CT63" s="375"/>
      <c r="CU63" s="375"/>
      <c r="CV63" s="375"/>
      <c r="CW63" s="375"/>
      <c r="CX63" s="375"/>
      <c r="CY63" s="375"/>
      <c r="CZ63" s="375"/>
      <c r="DA63" s="375"/>
      <c r="DB63" s="375"/>
      <c r="DC63" s="375"/>
      <c r="DD63" s="375"/>
      <c r="DE63" s="375"/>
      <c r="DF63" s="375"/>
      <c r="DG63" s="375"/>
      <c r="DH63" s="375"/>
      <c r="DI63" s="375"/>
      <c r="DJ63" s="375"/>
      <c r="DK63" s="375"/>
      <c r="DL63" s="375"/>
      <c r="DM63" s="375"/>
      <c r="DN63" s="375"/>
      <c r="DO63" s="375"/>
      <c r="DP63" s="375"/>
      <c r="DQ63" s="375"/>
      <c r="DR63" s="375"/>
      <c r="DS63" s="375"/>
      <c r="DT63" s="375"/>
      <c r="DU63" s="375"/>
      <c r="DV63" s="375"/>
      <c r="DW63" s="375"/>
      <c r="DX63" s="375"/>
      <c r="DY63" s="375"/>
      <c r="DZ63" s="375"/>
      <c r="EA63" s="375"/>
      <c r="EB63" s="375"/>
      <c r="EC63" s="375"/>
      <c r="ED63" s="375"/>
      <c r="EE63" s="375"/>
      <c r="EF63" s="375"/>
      <c r="EG63" s="375"/>
      <c r="EH63" s="375"/>
      <c r="EI63" s="375"/>
      <c r="EJ63" s="375"/>
      <c r="EK63" s="375"/>
      <c r="EL63" s="375"/>
      <c r="EM63" s="375"/>
      <c r="EN63" s="375"/>
      <c r="EO63" s="375"/>
      <c r="EP63" s="375"/>
      <c r="EQ63" s="375"/>
      <c r="ER63" s="375"/>
      <c r="ES63" s="375"/>
      <c r="ET63" s="375"/>
      <c r="EU63" s="375"/>
      <c r="EV63" s="375"/>
      <c r="EW63" s="375"/>
      <c r="EX63" s="375"/>
      <c r="EY63" s="375"/>
      <c r="EZ63" s="375"/>
      <c r="FA63" s="375"/>
      <c r="FB63" s="375"/>
      <c r="FC63" s="375"/>
      <c r="FD63" s="375"/>
    </row>
    <row r="64" spans="3:160" outlineLevel="4">
      <c r="C64" s="17"/>
      <c r="D64" s="266"/>
      <c r="E64" s="309"/>
      <c r="G64" s="495"/>
      <c r="H64"/>
      <c r="I64"/>
      <c r="J64" s="273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</row>
    <row r="65" spans="3:40" outlineLevel="3">
      <c r="D65" s="266"/>
      <c r="E65" s="309"/>
      <c r="G65" s="273"/>
      <c r="H65" s="273"/>
      <c r="I65" s="273"/>
      <c r="J65" s="273"/>
      <c r="K65" s="273"/>
      <c r="L65" s="273"/>
      <c r="M65" s="273"/>
      <c r="N65" s="273"/>
      <c r="O65" s="273"/>
      <c r="P65" s="273"/>
      <c r="Q65" s="273"/>
      <c r="R65" s="273"/>
      <c r="S65" s="273"/>
      <c r="T65" s="273"/>
      <c r="U65" s="273"/>
      <c r="V65" s="273"/>
      <c r="W65" s="273"/>
      <c r="X65" s="273"/>
      <c r="Y65" s="273"/>
      <c r="Z65" s="273"/>
      <c r="AA65" s="273"/>
      <c r="AB65" s="273"/>
      <c r="AC65" s="273"/>
      <c r="AD65" s="273"/>
      <c r="AE65" s="273"/>
      <c r="AF65" s="273"/>
      <c r="AG65" s="273"/>
      <c r="AH65" s="273"/>
      <c r="AI65" s="273"/>
      <c r="AJ65" s="273"/>
      <c r="AK65" s="273"/>
      <c r="AL65" s="273"/>
      <c r="AM65" s="273"/>
      <c r="AN65" s="273"/>
    </row>
    <row r="66" spans="3:40" outlineLevel="3">
      <c r="C66" s="17" t="s">
        <v>388</v>
      </c>
      <c r="D66" s="266"/>
      <c r="E66" s="309"/>
      <c r="G66" s="273"/>
    </row>
    <row r="67" spans="3:40" outlineLevel="4">
      <c r="C67" s="17"/>
      <c r="D67" s="266"/>
      <c r="E67" s="309"/>
      <c r="G67" s="278"/>
    </row>
    <row r="68" spans="3:40" outlineLevel="4">
      <c r="C68" s="266" t="s">
        <v>389</v>
      </c>
      <c r="D68" s="38">
        <f>Inputs!D77</f>
        <v>9190.3171653679983</v>
      </c>
      <c r="E68" s="41" t="s">
        <v>20</v>
      </c>
    </row>
    <row r="69" spans="3:40" outlineLevel="4">
      <c r="D69">
        <f>Inputs!$D$79</f>
        <v>0</v>
      </c>
      <c r="E69" s="41" t="s">
        <v>23</v>
      </c>
    </row>
    <row r="70" spans="3:40" outlineLevel="4">
      <c r="C70" s="266" t="s">
        <v>390</v>
      </c>
      <c r="D70">
        <f>D52</f>
        <v>1</v>
      </c>
      <c r="E70" s="41" t="s">
        <v>23</v>
      </c>
    </row>
    <row r="71" spans="3:40" outlineLevel="4">
      <c r="D71" s="266"/>
      <c r="E71" s="309"/>
    </row>
    <row r="72" spans="3:40" outlineLevel="4">
      <c r="C72" s="315" t="str">
        <f>Flags!C72</f>
        <v>Cons + Ops Flag</v>
      </c>
      <c r="D72" s="266"/>
      <c r="E72" s="32" t="str">
        <f>Flags!E72</f>
        <v>Flag</v>
      </c>
      <c r="F72" s="23">
        <f>Flags!F72</f>
        <v>30</v>
      </c>
      <c r="G72" s="25">
        <f>Flags!G72</f>
        <v>1</v>
      </c>
      <c r="H72" s="25">
        <f>Flags!H72</f>
        <v>1</v>
      </c>
      <c r="I72" s="25">
        <f>Flags!I72</f>
        <v>1</v>
      </c>
      <c r="J72" s="25">
        <f>Flags!J72</f>
        <v>1</v>
      </c>
      <c r="K72" s="25">
        <f>Flags!K72</f>
        <v>1</v>
      </c>
      <c r="L72" s="25">
        <f>Flags!L72</f>
        <v>1</v>
      </c>
      <c r="M72" s="25">
        <f>Flags!M72</f>
        <v>1</v>
      </c>
      <c r="N72" s="25">
        <f>Flags!N72</f>
        <v>1</v>
      </c>
      <c r="O72" s="25">
        <f>Flags!O72</f>
        <v>1</v>
      </c>
      <c r="P72" s="25">
        <f>Flags!P72</f>
        <v>1</v>
      </c>
      <c r="Q72" s="25">
        <f>Flags!Q72</f>
        <v>1</v>
      </c>
      <c r="R72" s="25">
        <f>Flags!R72</f>
        <v>1</v>
      </c>
      <c r="S72" s="25">
        <f>Flags!S72</f>
        <v>1</v>
      </c>
      <c r="T72" s="25">
        <f>Flags!T72</f>
        <v>1</v>
      </c>
      <c r="U72" s="25">
        <f>Flags!U72</f>
        <v>1</v>
      </c>
      <c r="V72" s="25">
        <f>Flags!V72</f>
        <v>1</v>
      </c>
      <c r="W72" s="25">
        <f>Flags!W72</f>
        <v>1</v>
      </c>
      <c r="X72" s="25">
        <f>Flags!X72</f>
        <v>1</v>
      </c>
      <c r="Y72" s="25">
        <f>Flags!Y72</f>
        <v>1</v>
      </c>
      <c r="Z72" s="25">
        <f>Flags!Z72</f>
        <v>1</v>
      </c>
      <c r="AA72" s="25">
        <f>Flags!AA72</f>
        <v>1</v>
      </c>
      <c r="AB72" s="25">
        <f>Flags!AB72</f>
        <v>1</v>
      </c>
      <c r="AC72" s="25">
        <f>Flags!AC72</f>
        <v>1</v>
      </c>
      <c r="AD72" s="25">
        <f>Flags!AD72</f>
        <v>1</v>
      </c>
      <c r="AE72" s="25">
        <f>Flags!AE72</f>
        <v>1</v>
      </c>
      <c r="AF72" s="25">
        <f>Flags!AF72</f>
        <v>1</v>
      </c>
      <c r="AG72" s="25">
        <f>Flags!AG72</f>
        <v>1</v>
      </c>
      <c r="AH72" s="25">
        <f>Flags!AH72</f>
        <v>1</v>
      </c>
      <c r="AI72" s="25">
        <f>Flags!AI72</f>
        <v>1</v>
      </c>
      <c r="AJ72" s="25">
        <f>Flags!AJ72</f>
        <v>1</v>
      </c>
      <c r="AK72" s="25">
        <f>Flags!AK72</f>
        <v>0</v>
      </c>
      <c r="AL72" s="25">
        <f>Flags!AL72</f>
        <v>0</v>
      </c>
      <c r="AM72" s="25">
        <f>Flags!AM72</f>
        <v>0</v>
      </c>
      <c r="AN72" s="25">
        <f>Flags!AN72</f>
        <v>0</v>
      </c>
    </row>
    <row r="73" spans="3:40" outlineLevel="4">
      <c r="C73" s="315" t="str">
        <f>Inputs!C79</f>
        <v>Desconto</v>
      </c>
      <c r="D73" s="266"/>
      <c r="E73" s="32" t="str">
        <f>Flags!E28</f>
        <v>Ano</v>
      </c>
      <c r="F73" s="316"/>
      <c r="G73" s="316">
        <f>Flags!G28</f>
        <v>2027</v>
      </c>
      <c r="H73" s="316">
        <f>Flags!H28</f>
        <v>2028</v>
      </c>
      <c r="I73" s="316">
        <f>Flags!I28</f>
        <v>2029</v>
      </c>
      <c r="J73" s="316">
        <f>Flags!J28</f>
        <v>2030</v>
      </c>
      <c r="K73" s="316">
        <f>Flags!K28</f>
        <v>2031</v>
      </c>
      <c r="L73" s="316">
        <f>Flags!L28</f>
        <v>2032</v>
      </c>
      <c r="M73" s="316">
        <f>Flags!M28</f>
        <v>2033</v>
      </c>
      <c r="N73" s="316">
        <f>Flags!N28</f>
        <v>2034</v>
      </c>
      <c r="O73" s="316">
        <f>Flags!O28</f>
        <v>2035</v>
      </c>
      <c r="P73" s="316">
        <f>Flags!P28</f>
        <v>2036</v>
      </c>
      <c r="Q73" s="316">
        <f>Flags!Q28</f>
        <v>2037</v>
      </c>
      <c r="R73" s="316">
        <f>Flags!R28</f>
        <v>2038</v>
      </c>
      <c r="S73" s="316">
        <f>Flags!S28</f>
        <v>2039</v>
      </c>
      <c r="T73" s="316">
        <f>Flags!T28</f>
        <v>2040</v>
      </c>
      <c r="U73" s="316">
        <f>Flags!U28</f>
        <v>2041</v>
      </c>
      <c r="V73" s="316">
        <f>Flags!V28</f>
        <v>2042</v>
      </c>
      <c r="W73" s="316">
        <f>Flags!W28</f>
        <v>2043</v>
      </c>
      <c r="X73" s="316">
        <f>Flags!X28</f>
        <v>2044</v>
      </c>
      <c r="Y73" s="316">
        <f>Flags!Y28</f>
        <v>2045</v>
      </c>
      <c r="Z73" s="316">
        <f>Flags!Z28</f>
        <v>2046</v>
      </c>
      <c r="AA73" s="316">
        <f>Flags!AA28</f>
        <v>2047</v>
      </c>
      <c r="AB73" s="316">
        <f>Flags!AB28</f>
        <v>2048</v>
      </c>
      <c r="AC73" s="316">
        <f>Flags!AC28</f>
        <v>2049</v>
      </c>
      <c r="AD73" s="316">
        <f>Flags!AD28</f>
        <v>2050</v>
      </c>
      <c r="AE73" s="316">
        <f>Flags!AE28</f>
        <v>2051</v>
      </c>
      <c r="AF73" s="316">
        <f>Flags!AF28</f>
        <v>2052</v>
      </c>
      <c r="AG73" s="316">
        <f>Flags!AG28</f>
        <v>2053</v>
      </c>
      <c r="AH73" s="316">
        <f>Flags!AH28</f>
        <v>2054</v>
      </c>
      <c r="AI73" s="316">
        <f>Flags!AI28</f>
        <v>2055</v>
      </c>
      <c r="AJ73" s="316">
        <f>Flags!AJ28</f>
        <v>2056</v>
      </c>
      <c r="AK73" s="316">
        <f>Flags!AK28</f>
        <v>2057</v>
      </c>
      <c r="AL73" s="316">
        <f>Flags!AL28</f>
        <v>2058</v>
      </c>
      <c r="AM73" s="316">
        <f>Flags!AM28</f>
        <v>2059</v>
      </c>
      <c r="AN73" s="316">
        <f>Flags!AN28</f>
        <v>2060</v>
      </c>
    </row>
    <row r="74" spans="3:40" outlineLevel="4">
      <c r="C74" s="315" t="s">
        <v>383</v>
      </c>
      <c r="D74" s="266"/>
      <c r="E74" s="41" t="s">
        <v>23</v>
      </c>
      <c r="F74" s="118"/>
      <c r="G74">
        <f>D70</f>
        <v>1</v>
      </c>
      <c r="H74">
        <f>G74</f>
        <v>1</v>
      </c>
      <c r="I74">
        <f t="shared" ref="I74:AN74" si="17">H74</f>
        <v>1</v>
      </c>
      <c r="J74">
        <f t="shared" si="17"/>
        <v>1</v>
      </c>
      <c r="K74">
        <f t="shared" si="17"/>
        <v>1</v>
      </c>
      <c r="L74">
        <f t="shared" si="17"/>
        <v>1</v>
      </c>
      <c r="M74">
        <f t="shared" si="17"/>
        <v>1</v>
      </c>
      <c r="N74">
        <f t="shared" si="17"/>
        <v>1</v>
      </c>
      <c r="O74">
        <f t="shared" si="17"/>
        <v>1</v>
      </c>
      <c r="P74">
        <f t="shared" si="17"/>
        <v>1</v>
      </c>
      <c r="Q74">
        <f t="shared" si="17"/>
        <v>1</v>
      </c>
      <c r="R74">
        <f t="shared" si="17"/>
        <v>1</v>
      </c>
      <c r="S74">
        <f t="shared" si="17"/>
        <v>1</v>
      </c>
      <c r="T74">
        <f t="shared" si="17"/>
        <v>1</v>
      </c>
      <c r="U74">
        <f t="shared" si="17"/>
        <v>1</v>
      </c>
      <c r="V74">
        <f t="shared" si="17"/>
        <v>1</v>
      </c>
      <c r="W74">
        <f t="shared" si="17"/>
        <v>1</v>
      </c>
      <c r="X74">
        <f t="shared" si="17"/>
        <v>1</v>
      </c>
      <c r="Y74">
        <f t="shared" si="17"/>
        <v>1</v>
      </c>
      <c r="Z74">
        <f t="shared" si="17"/>
        <v>1</v>
      </c>
      <c r="AA74">
        <f t="shared" si="17"/>
        <v>1</v>
      </c>
      <c r="AB74">
        <f t="shared" si="17"/>
        <v>1</v>
      </c>
      <c r="AC74">
        <f t="shared" si="17"/>
        <v>1</v>
      </c>
      <c r="AD74">
        <f t="shared" si="17"/>
        <v>1</v>
      </c>
      <c r="AE74">
        <f t="shared" si="17"/>
        <v>1</v>
      </c>
      <c r="AF74">
        <f t="shared" si="17"/>
        <v>1</v>
      </c>
      <c r="AG74">
        <f t="shared" si="17"/>
        <v>1</v>
      </c>
      <c r="AH74">
        <f t="shared" si="17"/>
        <v>1</v>
      </c>
      <c r="AI74">
        <f t="shared" si="17"/>
        <v>1</v>
      </c>
      <c r="AJ74">
        <f t="shared" si="17"/>
        <v>1</v>
      </c>
      <c r="AK74">
        <f t="shared" si="17"/>
        <v>1</v>
      </c>
      <c r="AL74">
        <f t="shared" si="17"/>
        <v>1</v>
      </c>
      <c r="AM74">
        <f t="shared" si="17"/>
        <v>1</v>
      </c>
      <c r="AN74">
        <f t="shared" si="17"/>
        <v>1</v>
      </c>
    </row>
    <row r="75" spans="3:40" outlineLevel="4">
      <c r="D75" s="266"/>
      <c r="E75" s="309"/>
    </row>
    <row r="76" spans="3:40" outlineLevel="4">
      <c r="C76" s="314" t="s">
        <v>391</v>
      </c>
      <c r="D76" s="266"/>
      <c r="E76" s="309"/>
      <c r="G76" s="278"/>
    </row>
    <row r="77" spans="3:40" outlineLevel="5">
      <c r="C77" s="315" t="s">
        <v>392</v>
      </c>
      <c r="D77" s="266"/>
      <c r="E77" s="41" t="s">
        <v>384</v>
      </c>
      <c r="F77" s="23">
        <f>SUM(G77:AN77)</f>
        <v>9190.3171653679983</v>
      </c>
      <c r="G77" s="273">
        <f>(((($D$68*(1-$D$69))*$D$70)*G72)*G74)+((((($D$68*(1-$D$69))*$D$70)*G72)*G74)*G61)</f>
        <v>9190.3171653679983</v>
      </c>
      <c r="H77" s="273">
        <v>0</v>
      </c>
      <c r="I77" s="273">
        <f>H77</f>
        <v>0</v>
      </c>
      <c r="J77" s="273">
        <f t="shared" ref="J77:AN77" si="18">I77</f>
        <v>0</v>
      </c>
      <c r="K77" s="273">
        <f t="shared" si="18"/>
        <v>0</v>
      </c>
      <c r="L77" s="273">
        <f t="shared" si="18"/>
        <v>0</v>
      </c>
      <c r="M77" s="273">
        <f t="shared" si="18"/>
        <v>0</v>
      </c>
      <c r="N77" s="273">
        <f t="shared" si="18"/>
        <v>0</v>
      </c>
      <c r="O77" s="273">
        <f t="shared" si="18"/>
        <v>0</v>
      </c>
      <c r="P77" s="273">
        <f t="shared" si="18"/>
        <v>0</v>
      </c>
      <c r="Q77" s="273">
        <f t="shared" si="18"/>
        <v>0</v>
      </c>
      <c r="R77" s="273">
        <f t="shared" si="18"/>
        <v>0</v>
      </c>
      <c r="S77" s="273">
        <f t="shared" si="18"/>
        <v>0</v>
      </c>
      <c r="T77" s="273">
        <f t="shared" si="18"/>
        <v>0</v>
      </c>
      <c r="U77" s="273">
        <f t="shared" si="18"/>
        <v>0</v>
      </c>
      <c r="V77" s="273">
        <f t="shared" si="18"/>
        <v>0</v>
      </c>
      <c r="W77" s="273">
        <f t="shared" si="18"/>
        <v>0</v>
      </c>
      <c r="X77" s="273">
        <f t="shared" si="18"/>
        <v>0</v>
      </c>
      <c r="Y77" s="273">
        <f t="shared" si="18"/>
        <v>0</v>
      </c>
      <c r="Z77" s="273">
        <f t="shared" si="18"/>
        <v>0</v>
      </c>
      <c r="AA77" s="273">
        <f t="shared" si="18"/>
        <v>0</v>
      </c>
      <c r="AB77" s="273">
        <f t="shared" si="18"/>
        <v>0</v>
      </c>
      <c r="AC77" s="273">
        <f t="shared" si="18"/>
        <v>0</v>
      </c>
      <c r="AD77" s="273">
        <f t="shared" si="18"/>
        <v>0</v>
      </c>
      <c r="AE77" s="273">
        <f t="shared" si="18"/>
        <v>0</v>
      </c>
      <c r="AF77" s="273">
        <f t="shared" si="18"/>
        <v>0</v>
      </c>
      <c r="AG77" s="273">
        <f t="shared" si="18"/>
        <v>0</v>
      </c>
      <c r="AH77" s="273">
        <f t="shared" si="18"/>
        <v>0</v>
      </c>
      <c r="AI77" s="273">
        <f t="shared" si="18"/>
        <v>0</v>
      </c>
      <c r="AJ77" s="273">
        <f t="shared" si="18"/>
        <v>0</v>
      </c>
      <c r="AK77" s="273">
        <f t="shared" si="18"/>
        <v>0</v>
      </c>
      <c r="AL77" s="273">
        <f t="shared" si="18"/>
        <v>0</v>
      </c>
      <c r="AM77" s="273">
        <f t="shared" si="18"/>
        <v>0</v>
      </c>
      <c r="AN77" s="273">
        <f t="shared" si="18"/>
        <v>0</v>
      </c>
    </row>
    <row r="78" spans="3:40" outlineLevel="4">
      <c r="C78" s="315"/>
      <c r="D78" s="266"/>
      <c r="E78" s="309"/>
      <c r="G78" s="273"/>
      <c r="H78" s="278"/>
      <c r="I78" s="278"/>
      <c r="J78" s="278"/>
      <c r="K78" s="278"/>
      <c r="L78" s="278"/>
      <c r="M78" s="278"/>
      <c r="N78" s="278"/>
      <c r="O78" s="278"/>
      <c r="P78" s="278"/>
      <c r="Q78" s="278"/>
      <c r="R78" s="278"/>
      <c r="S78" s="278"/>
      <c r="T78" s="278"/>
      <c r="U78" s="278"/>
      <c r="V78" s="278"/>
      <c r="W78" s="278"/>
      <c r="X78" s="278"/>
      <c r="Y78" s="278"/>
      <c r="Z78" s="278"/>
      <c r="AA78" s="278"/>
      <c r="AB78" s="278"/>
      <c r="AC78" s="278"/>
      <c r="AD78" s="278"/>
      <c r="AE78" s="278"/>
      <c r="AF78" s="278"/>
      <c r="AG78" s="278"/>
      <c r="AH78" s="278"/>
      <c r="AI78" s="278"/>
      <c r="AJ78" s="278"/>
      <c r="AK78" s="278"/>
      <c r="AL78" s="278"/>
      <c r="AM78" s="278"/>
      <c r="AN78" s="278"/>
    </row>
    <row r="79" spans="3:40" outlineLevel="4" collapsed="1">
      <c r="D79" s="266"/>
      <c r="E79" s="309"/>
      <c r="G79" s="278"/>
      <c r="H79" s="278"/>
      <c r="I79" s="278"/>
      <c r="J79" s="278"/>
      <c r="K79" s="278"/>
      <c r="L79" s="278"/>
      <c r="M79" s="278"/>
      <c r="N79" s="278"/>
      <c r="O79" s="278"/>
      <c r="P79" s="278"/>
      <c r="Q79" s="278"/>
      <c r="R79" s="278"/>
      <c r="S79" s="278"/>
      <c r="T79" s="278"/>
      <c r="U79" s="278"/>
      <c r="V79" s="278"/>
      <c r="W79" s="278"/>
      <c r="X79" s="278"/>
      <c r="Y79" s="278"/>
      <c r="Z79" s="278"/>
      <c r="AA79" s="278"/>
      <c r="AB79" s="278"/>
      <c r="AC79" s="278"/>
      <c r="AD79" s="278"/>
      <c r="AE79" s="278"/>
      <c r="AF79" s="278"/>
      <c r="AG79" s="278"/>
      <c r="AH79" s="278"/>
      <c r="AI79" s="278"/>
      <c r="AJ79" s="278"/>
      <c r="AK79" s="278"/>
      <c r="AL79" s="278"/>
      <c r="AM79" s="278"/>
      <c r="AN79" s="278"/>
    </row>
    <row r="80" spans="3:40" s="368" customFormat="1" hidden="1" outlineLevel="3">
      <c r="E80" s="377"/>
    </row>
    <row r="81" spans="3:40" hidden="1" outlineLevel="1">
      <c r="D81" s="266"/>
      <c r="E81" s="309"/>
    </row>
    <row r="82" spans="3:40" hidden="1" outlineLevel="1">
      <c r="C82" s="11" t="s">
        <v>173</v>
      </c>
      <c r="D82" s="266"/>
      <c r="E82" s="309"/>
    </row>
    <row r="83" spans="3:40" hidden="1" outlineLevel="2">
      <c r="D83" s="266"/>
      <c r="E83" s="309"/>
    </row>
    <row r="84" spans="3:40" hidden="1" outlineLevel="2">
      <c r="C84" s="11" t="s">
        <v>380</v>
      </c>
      <c r="D84" s="266"/>
      <c r="E84" s="309"/>
    </row>
    <row r="85" spans="3:40" hidden="1" outlineLevel="3">
      <c r="D85" s="266"/>
      <c r="E85" s="309"/>
    </row>
    <row r="86" spans="3:40" hidden="1" outlineLevel="3">
      <c r="C86" s="17" t="s">
        <v>393</v>
      </c>
      <c r="D86" s="266"/>
      <c r="E86" s="309"/>
      <c r="G86" s="286"/>
    </row>
    <row r="87" spans="3:40" hidden="1" outlineLevel="4">
      <c r="D87" s="266"/>
      <c r="E87" s="309"/>
      <c r="F87" s="286"/>
    </row>
    <row r="88" spans="3:40" hidden="1" outlineLevel="4">
      <c r="C88" s="266" t="str">
        <f>Inputs!C75</f>
        <v>Contraprestação Ano 1</v>
      </c>
      <c r="D88" s="38"/>
      <c r="E88" s="41" t="s">
        <v>20</v>
      </c>
    </row>
    <row r="89" spans="3:40" hidden="1" outlineLevel="4">
      <c r="C89" s="266" t="str">
        <f>Inputs!C79</f>
        <v>Desconto</v>
      </c>
      <c r="D89">
        <f>Inputs!D79</f>
        <v>0</v>
      </c>
      <c r="E89" s="41" t="s">
        <v>23</v>
      </c>
    </row>
    <row r="90" spans="3:40" hidden="1" outlineLevel="4">
      <c r="C90" s="266" t="s">
        <v>394</v>
      </c>
      <c r="D90"/>
      <c r="E90" s="41" t="s">
        <v>23</v>
      </c>
    </row>
    <row r="91" spans="3:40" hidden="1" outlineLevel="4" collapsed="1">
      <c r="D91" s="141"/>
      <c r="E91" s="309"/>
    </row>
    <row r="92" spans="3:40" hidden="1" outlineLevel="4">
      <c r="D92" s="266"/>
      <c r="E92" s="309"/>
    </row>
    <row r="93" spans="3:40" hidden="1" outlineLevel="4">
      <c r="C93" s="314" t="s">
        <v>382</v>
      </c>
      <c r="D93" s="266"/>
      <c r="E93" s="309"/>
    </row>
    <row r="94" spans="3:40" hidden="1" outlineLevel="5">
      <c r="C94" s="315" t="str">
        <f>Flags!C72</f>
        <v>Cons + Ops Flag</v>
      </c>
      <c r="D94" s="266"/>
      <c r="E94" s="41" t="str">
        <f>Flags!E72</f>
        <v>Flag</v>
      </c>
      <c r="F94" s="23">
        <f>Flags!F72</f>
        <v>30</v>
      </c>
      <c r="G94" s="25">
        <f>Flags!G72</f>
        <v>1</v>
      </c>
      <c r="H94" s="25">
        <f>Flags!H72</f>
        <v>1</v>
      </c>
      <c r="I94" s="25">
        <f>Flags!I72</f>
        <v>1</v>
      </c>
      <c r="J94" s="25">
        <f>Flags!J72</f>
        <v>1</v>
      </c>
      <c r="K94" s="25">
        <f>Flags!K72</f>
        <v>1</v>
      </c>
      <c r="L94" s="25">
        <f>Flags!L72</f>
        <v>1</v>
      </c>
      <c r="M94" s="25">
        <f>Flags!M72</f>
        <v>1</v>
      </c>
      <c r="N94" s="25">
        <f>Flags!N72</f>
        <v>1</v>
      </c>
      <c r="O94" s="25">
        <f>Flags!O72</f>
        <v>1</v>
      </c>
      <c r="P94" s="25">
        <f>Flags!P72</f>
        <v>1</v>
      </c>
      <c r="Q94" s="25">
        <f>Flags!Q72</f>
        <v>1</v>
      </c>
      <c r="R94" s="25">
        <f>Flags!R72</f>
        <v>1</v>
      </c>
      <c r="S94" s="25">
        <f>Flags!S72</f>
        <v>1</v>
      </c>
      <c r="T94" s="25">
        <f>Flags!T72</f>
        <v>1</v>
      </c>
      <c r="U94" s="25">
        <f>Flags!U72</f>
        <v>1</v>
      </c>
      <c r="V94" s="25">
        <f>Flags!V72</f>
        <v>1</v>
      </c>
      <c r="W94" s="25">
        <f>Flags!W72</f>
        <v>1</v>
      </c>
      <c r="X94" s="25">
        <f>Flags!X72</f>
        <v>1</v>
      </c>
      <c r="Y94" s="25">
        <f>Flags!Y72</f>
        <v>1</v>
      </c>
      <c r="Z94" s="25">
        <f>Flags!Z72</f>
        <v>1</v>
      </c>
      <c r="AA94" s="25">
        <f>Flags!AA72</f>
        <v>1</v>
      </c>
      <c r="AB94" s="25">
        <f>Flags!AB72</f>
        <v>1</v>
      </c>
      <c r="AC94" s="25">
        <f>Flags!AC72</f>
        <v>1</v>
      </c>
      <c r="AD94" s="25">
        <f>Flags!AD72</f>
        <v>1</v>
      </c>
      <c r="AE94" s="25">
        <f>Flags!AE72</f>
        <v>1</v>
      </c>
      <c r="AF94" s="25">
        <f>Flags!AF72</f>
        <v>1</v>
      </c>
      <c r="AG94" s="25">
        <f>Flags!AG72</f>
        <v>1</v>
      </c>
      <c r="AH94" s="25">
        <f>Flags!AH72</f>
        <v>1</v>
      </c>
      <c r="AI94" s="25">
        <f>Flags!AI72</f>
        <v>1</v>
      </c>
      <c r="AJ94" s="25">
        <f>Flags!AJ72</f>
        <v>1</v>
      </c>
      <c r="AK94" s="25">
        <f>Flags!AK72</f>
        <v>0</v>
      </c>
      <c r="AL94" s="25">
        <f>Flags!AL72</f>
        <v>0</v>
      </c>
      <c r="AM94" s="25">
        <f>Flags!AM72</f>
        <v>0</v>
      </c>
      <c r="AN94" s="25">
        <f>Flags!AN72</f>
        <v>0</v>
      </c>
    </row>
    <row r="95" spans="3:40" hidden="1" outlineLevel="5">
      <c r="C95" s="315" t="str">
        <f>Flags!C28</f>
        <v>Ano</v>
      </c>
      <c r="D95" s="266"/>
      <c r="E95" s="32" t="str">
        <f>Flags!E28</f>
        <v>Ano</v>
      </c>
      <c r="F95" s="316"/>
      <c r="G95" s="316">
        <f>Flags!G28</f>
        <v>2027</v>
      </c>
      <c r="H95" s="316">
        <f>Flags!H28</f>
        <v>2028</v>
      </c>
      <c r="I95" s="316">
        <f>Flags!I28</f>
        <v>2029</v>
      </c>
      <c r="J95" s="316">
        <f>Flags!J28</f>
        <v>2030</v>
      </c>
      <c r="K95" s="316">
        <f>Flags!K28</f>
        <v>2031</v>
      </c>
      <c r="L95" s="316">
        <f>Flags!L28</f>
        <v>2032</v>
      </c>
      <c r="M95" s="316">
        <f>Flags!M28</f>
        <v>2033</v>
      </c>
      <c r="N95" s="316">
        <f>Flags!N28</f>
        <v>2034</v>
      </c>
      <c r="O95" s="316">
        <f>Flags!O28</f>
        <v>2035</v>
      </c>
      <c r="P95" s="316">
        <f>Flags!P28</f>
        <v>2036</v>
      </c>
      <c r="Q95" s="316">
        <f>Flags!Q28</f>
        <v>2037</v>
      </c>
      <c r="R95" s="316">
        <f>Flags!R28</f>
        <v>2038</v>
      </c>
      <c r="S95" s="316">
        <f>Flags!S28</f>
        <v>2039</v>
      </c>
      <c r="T95" s="316">
        <f>Flags!T28</f>
        <v>2040</v>
      </c>
      <c r="U95" s="316">
        <f>Flags!U28</f>
        <v>2041</v>
      </c>
      <c r="V95" s="316">
        <f>Flags!V28</f>
        <v>2042</v>
      </c>
      <c r="W95" s="316">
        <f>Flags!W28</f>
        <v>2043</v>
      </c>
      <c r="X95" s="316">
        <f>Flags!X28</f>
        <v>2044</v>
      </c>
      <c r="Y95" s="316">
        <f>Flags!Y28</f>
        <v>2045</v>
      </c>
      <c r="Z95" s="316">
        <f>Flags!Z28</f>
        <v>2046</v>
      </c>
      <c r="AA95" s="316">
        <f>Flags!AA28</f>
        <v>2047</v>
      </c>
      <c r="AB95" s="316">
        <f>Flags!AB28</f>
        <v>2048</v>
      </c>
      <c r="AC95" s="316">
        <f>Flags!AC28</f>
        <v>2049</v>
      </c>
      <c r="AD95" s="316">
        <f>Flags!AD28</f>
        <v>2050</v>
      </c>
      <c r="AE95" s="316">
        <f>Flags!AE28</f>
        <v>2051</v>
      </c>
      <c r="AF95" s="316">
        <f>Flags!AF28</f>
        <v>2052</v>
      </c>
      <c r="AG95" s="316">
        <f>Flags!AG28</f>
        <v>2053</v>
      </c>
      <c r="AH95" s="316">
        <f>Flags!AH28</f>
        <v>2054</v>
      </c>
      <c r="AI95" s="316">
        <f>Flags!AI28</f>
        <v>2055</v>
      </c>
      <c r="AJ95" s="316">
        <f>Flags!AJ28</f>
        <v>2056</v>
      </c>
      <c r="AK95" s="316">
        <f>Flags!AK28</f>
        <v>2057</v>
      </c>
      <c r="AL95" s="316">
        <f>Flags!AL28</f>
        <v>2058</v>
      </c>
      <c r="AM95" s="316">
        <f>Flags!AM28</f>
        <v>2059</v>
      </c>
      <c r="AN95" s="316">
        <f>Flags!AN28</f>
        <v>2060</v>
      </c>
    </row>
    <row r="96" spans="3:40" hidden="1" outlineLevel="5">
      <c r="C96" s="315" t="s">
        <v>383</v>
      </c>
      <c r="D96" s="266"/>
      <c r="E96" s="41" t="s">
        <v>23</v>
      </c>
      <c r="F96" s="118"/>
      <c r="G96">
        <f>LOOKUP(G95,Inputs!$D$86:$H$86,Inputs!$D$87:$H$87)</f>
        <v>2.4677735275446384</v>
      </c>
      <c r="H96">
        <f>LOOKUP(H95,Inputs!$D$86:$H$86,Inputs!$D$87:$H$87)</f>
        <v>1</v>
      </c>
      <c r="I96">
        <f>LOOKUP(I95,Inputs!$D$86:$H$86,Inputs!$D$87:$H$87)</f>
        <v>1</v>
      </c>
      <c r="J96">
        <f>LOOKUP(J95,Inputs!$D$86:$H$86,Inputs!$D$87:$H$87)</f>
        <v>1</v>
      </c>
      <c r="K96">
        <f>LOOKUP(K95,Inputs!$D$86:$H$86,Inputs!$D$87:$H$87)</f>
        <v>1</v>
      </c>
      <c r="L96">
        <f>LOOKUP(L95,Inputs!$D$86:$H$86,Inputs!$D$87:$H$87)</f>
        <v>1</v>
      </c>
      <c r="M96">
        <f>LOOKUP(M95,Inputs!$D$86:$H$86,Inputs!$D$87:$H$87)</f>
        <v>1</v>
      </c>
      <c r="N96">
        <f>LOOKUP(N95,Inputs!$D$86:$H$86,Inputs!$D$87:$H$87)</f>
        <v>1</v>
      </c>
      <c r="O96">
        <f>LOOKUP(O95,Inputs!$D$86:$H$86,Inputs!$D$87:$H$87)</f>
        <v>1</v>
      </c>
      <c r="P96">
        <f>LOOKUP(P95,Inputs!$D$86:$H$86,Inputs!$D$87:$H$87)</f>
        <v>1</v>
      </c>
      <c r="Q96">
        <f>LOOKUP(Q95,Inputs!$D$86:$H$86,Inputs!$D$87:$H$87)</f>
        <v>1</v>
      </c>
      <c r="R96">
        <f>LOOKUP(R95,Inputs!$D$86:$H$86,Inputs!$D$87:$H$87)</f>
        <v>1</v>
      </c>
      <c r="S96">
        <f>LOOKUP(S95,Inputs!$D$86:$H$86,Inputs!$D$87:$H$87)</f>
        <v>1</v>
      </c>
      <c r="T96">
        <f>LOOKUP(T95,Inputs!$D$86:$H$86,Inputs!$D$87:$H$87)</f>
        <v>1</v>
      </c>
      <c r="U96">
        <f>LOOKUP(U95,Inputs!$D$86:$H$86,Inputs!$D$87:$H$87)</f>
        <v>1</v>
      </c>
      <c r="V96">
        <f>LOOKUP(V95,Inputs!$D$86:$H$86,Inputs!$D$87:$H$87)</f>
        <v>1</v>
      </c>
      <c r="W96">
        <f>LOOKUP(W95,Inputs!$D$86:$H$86,Inputs!$D$87:$H$87)</f>
        <v>1</v>
      </c>
      <c r="X96">
        <f>LOOKUP(X95,Inputs!$D$86:$H$86,Inputs!$D$87:$H$87)</f>
        <v>1</v>
      </c>
      <c r="Y96">
        <f>LOOKUP(Y95,Inputs!$D$86:$H$86,Inputs!$D$87:$H$87)</f>
        <v>1</v>
      </c>
      <c r="Z96">
        <f>LOOKUP(Z95,Inputs!$D$86:$H$86,Inputs!$D$87:$H$87)</f>
        <v>1</v>
      </c>
      <c r="AA96">
        <f>LOOKUP(AA95,Inputs!$D$86:$H$86,Inputs!$D$87:$H$87)</f>
        <v>1</v>
      </c>
      <c r="AB96">
        <f>LOOKUP(AB95,Inputs!$D$86:$H$86,Inputs!$D$87:$H$87)</f>
        <v>1</v>
      </c>
      <c r="AC96">
        <f>LOOKUP(AC95,Inputs!$D$86:$H$86,Inputs!$D$87:$H$87)</f>
        <v>1</v>
      </c>
      <c r="AD96">
        <f>LOOKUP(AD95,Inputs!$D$86:$H$86,Inputs!$D$87:$H$87)</f>
        <v>1</v>
      </c>
      <c r="AE96">
        <f>LOOKUP(AE95,Inputs!$D$86:$H$86,Inputs!$D$87:$H$87)</f>
        <v>1</v>
      </c>
      <c r="AF96">
        <f>LOOKUP(AF95,Inputs!$D$86:$H$86,Inputs!$D$87:$H$87)</f>
        <v>1</v>
      </c>
      <c r="AG96">
        <f>LOOKUP(AG95,Inputs!$D$86:$H$86,Inputs!$D$87:$H$87)</f>
        <v>1</v>
      </c>
      <c r="AH96">
        <f>LOOKUP(AH95,Inputs!$D$86:$H$86,Inputs!$D$87:$H$87)</f>
        <v>1</v>
      </c>
      <c r="AI96">
        <f>LOOKUP(AI95,Inputs!$D$86:$H$86,Inputs!$D$87:$H$87)</f>
        <v>1</v>
      </c>
      <c r="AJ96">
        <f>LOOKUP(AJ95,Inputs!$D$86:$H$86,Inputs!$D$87:$H$87)</f>
        <v>1</v>
      </c>
      <c r="AK96">
        <f>LOOKUP(AK95,Inputs!$D$86:$H$86,Inputs!$D$87:$H$87)</f>
        <v>1</v>
      </c>
      <c r="AL96">
        <f>LOOKUP(AL95,Inputs!$D$86:$H$86,Inputs!$D$87:$H$87)</f>
        <v>1</v>
      </c>
      <c r="AM96">
        <f>LOOKUP(AM95,Inputs!$D$86:$H$86,Inputs!$D$87:$H$87)</f>
        <v>1</v>
      </c>
      <c r="AN96">
        <f>LOOKUP(AN95,Inputs!$D$86:$H$86,Inputs!$D$87:$H$87)</f>
        <v>1</v>
      </c>
    </row>
    <row r="97" spans="3:40" hidden="1" outlineLevel="4">
      <c r="D97" s="118"/>
      <c r="E97" s="41" t="s">
        <v>384</v>
      </c>
      <c r="F97" s="23">
        <f>SUM(G97:AN97)</f>
        <v>0</v>
      </c>
      <c r="G97" s="273">
        <f>(((($D$88*(1-$D$89))*$D$90)*G94)*G96)+((((($D$88*(1-$D$89))*$D$90)*G94)*G96)*G139)</f>
        <v>0</v>
      </c>
      <c r="H97" s="273">
        <f>(((($D$88*(1-$D$89))*$D$90)*H94)*H96)+((((($D$88*(1-$D$89))*$D$90)*H94)*H96)*H139)</f>
        <v>0</v>
      </c>
      <c r="I97" s="273">
        <f>(((((H97)*(1-$D$89)))*I94)*I96)+((((($D$88*(1-$D$89))*$D$90)*I94)*I96)*I139)</f>
        <v>0</v>
      </c>
      <c r="J97" s="273">
        <f t="shared" ref="J97:AN97" si="19">(((((I97)*(1-$D$89)))*J94)*J96)+((((($D$88*(1-$D$89))*$D$90)*J94)*J96)*J139)</f>
        <v>0</v>
      </c>
      <c r="K97" s="273">
        <f t="shared" si="19"/>
        <v>0</v>
      </c>
      <c r="L97" s="273">
        <f t="shared" si="19"/>
        <v>0</v>
      </c>
      <c r="M97" s="273">
        <f t="shared" si="19"/>
        <v>0</v>
      </c>
      <c r="N97" s="273">
        <f t="shared" si="19"/>
        <v>0</v>
      </c>
      <c r="O97" s="273">
        <f t="shared" si="19"/>
        <v>0</v>
      </c>
      <c r="P97" s="273">
        <f t="shared" si="19"/>
        <v>0</v>
      </c>
      <c r="Q97" s="273">
        <f t="shared" si="19"/>
        <v>0</v>
      </c>
      <c r="R97" s="273">
        <f t="shared" si="19"/>
        <v>0</v>
      </c>
      <c r="S97" s="273">
        <f t="shared" si="19"/>
        <v>0</v>
      </c>
      <c r="T97" s="273">
        <f t="shared" si="19"/>
        <v>0</v>
      </c>
      <c r="U97" s="273">
        <f t="shared" si="19"/>
        <v>0</v>
      </c>
      <c r="V97" s="273">
        <f t="shared" si="19"/>
        <v>0</v>
      </c>
      <c r="W97" s="273">
        <f t="shared" si="19"/>
        <v>0</v>
      </c>
      <c r="X97" s="273">
        <f t="shared" si="19"/>
        <v>0</v>
      </c>
      <c r="Y97" s="273">
        <f t="shared" si="19"/>
        <v>0</v>
      </c>
      <c r="Z97" s="273">
        <f t="shared" si="19"/>
        <v>0</v>
      </c>
      <c r="AA97" s="273">
        <f t="shared" si="19"/>
        <v>0</v>
      </c>
      <c r="AB97" s="273">
        <f t="shared" si="19"/>
        <v>0</v>
      </c>
      <c r="AC97" s="273">
        <f t="shared" si="19"/>
        <v>0</v>
      </c>
      <c r="AD97" s="273">
        <f t="shared" si="19"/>
        <v>0</v>
      </c>
      <c r="AE97" s="273">
        <f t="shared" si="19"/>
        <v>0</v>
      </c>
      <c r="AF97" s="273">
        <f t="shared" si="19"/>
        <v>0</v>
      </c>
      <c r="AG97" s="273">
        <f t="shared" si="19"/>
        <v>0</v>
      </c>
      <c r="AH97" s="273">
        <f t="shared" si="19"/>
        <v>0</v>
      </c>
      <c r="AI97" s="273">
        <f t="shared" si="19"/>
        <v>0</v>
      </c>
      <c r="AJ97" s="273">
        <f t="shared" si="19"/>
        <v>0</v>
      </c>
      <c r="AK97" s="273">
        <f t="shared" si="19"/>
        <v>0</v>
      </c>
      <c r="AL97" s="273">
        <f t="shared" si="19"/>
        <v>0</v>
      </c>
      <c r="AM97" s="273">
        <f t="shared" si="19"/>
        <v>0</v>
      </c>
      <c r="AN97" s="273">
        <f t="shared" si="19"/>
        <v>0</v>
      </c>
    </row>
    <row r="98" spans="3:40" hidden="1" outlineLevel="4" collapsed="1">
      <c r="D98" s="266"/>
      <c r="E98" s="309"/>
      <c r="G98" s="273"/>
      <c r="H98" s="273"/>
      <c r="I98" s="273"/>
      <c r="J98" s="273"/>
      <c r="K98" s="273"/>
      <c r="L98" s="273"/>
      <c r="M98" s="273"/>
      <c r="N98" s="273"/>
      <c r="O98" s="273"/>
      <c r="P98" s="273"/>
      <c r="Q98" s="273"/>
      <c r="R98" s="273"/>
      <c r="S98" s="273"/>
      <c r="T98" s="273"/>
      <c r="U98" s="273"/>
      <c r="V98" s="273"/>
      <c r="W98" s="273"/>
      <c r="X98" s="273"/>
      <c r="Y98" s="273"/>
      <c r="Z98" s="273"/>
      <c r="AA98" s="273"/>
      <c r="AB98" s="273"/>
      <c r="AC98" s="273"/>
      <c r="AD98" s="273"/>
      <c r="AE98" s="273"/>
      <c r="AF98" s="273"/>
      <c r="AG98" s="273"/>
      <c r="AH98" s="273"/>
      <c r="AI98" s="273"/>
      <c r="AJ98" s="273"/>
      <c r="AK98" s="273"/>
      <c r="AL98" s="273"/>
      <c r="AM98" s="273"/>
      <c r="AN98" s="273"/>
    </row>
    <row r="99" spans="3:40" hidden="1" outlineLevel="3" collapsed="1">
      <c r="D99" s="266"/>
      <c r="E99" s="309"/>
      <c r="G99" s="273"/>
      <c r="H99" s="273"/>
      <c r="I99" s="273"/>
      <c r="J99" s="273"/>
      <c r="K99" s="273"/>
      <c r="L99" s="273"/>
      <c r="M99" s="273"/>
      <c r="N99" s="273"/>
      <c r="O99" s="273"/>
      <c r="P99" s="273"/>
      <c r="Q99" s="273"/>
      <c r="R99" s="273"/>
      <c r="S99" s="273"/>
      <c r="T99" s="273"/>
      <c r="U99" s="273"/>
      <c r="V99" s="273"/>
      <c r="W99" s="273"/>
      <c r="X99" s="273"/>
      <c r="Y99" s="273"/>
      <c r="Z99" s="273"/>
      <c r="AA99" s="273"/>
      <c r="AB99" s="273"/>
      <c r="AC99" s="273"/>
      <c r="AD99" s="273"/>
      <c r="AE99" s="273"/>
      <c r="AF99" s="273"/>
      <c r="AG99" s="273"/>
      <c r="AH99" s="273"/>
      <c r="AI99" s="273"/>
      <c r="AJ99" s="273"/>
      <c r="AK99" s="273"/>
      <c r="AL99" s="273"/>
      <c r="AM99" s="273"/>
      <c r="AN99" s="273"/>
    </row>
    <row r="100" spans="3:40" hidden="1" outlineLevel="3">
      <c r="C100" s="17" t="s">
        <v>395</v>
      </c>
      <c r="D100" s="266"/>
      <c r="E100" s="309"/>
      <c r="G100" s="273"/>
    </row>
    <row r="101" spans="3:40" hidden="1" outlineLevel="4">
      <c r="C101" s="17"/>
      <c r="D101" s="266"/>
      <c r="E101" s="309"/>
    </row>
    <row r="102" spans="3:40" hidden="1" outlineLevel="4">
      <c r="C102" s="266" t="str">
        <f>Inputs!C75</f>
        <v>Contraprestação Ano 1</v>
      </c>
      <c r="D102" s="38"/>
      <c r="E102" s="41" t="s">
        <v>20</v>
      </c>
    </row>
    <row r="103" spans="3:40" hidden="1" outlineLevel="4">
      <c r="C103" s="266" t="str">
        <f>Inputs!C79</f>
        <v>Desconto</v>
      </c>
      <c r="D103">
        <f>Inputs!$D$79</f>
        <v>0</v>
      </c>
      <c r="E103" s="41" t="s">
        <v>23</v>
      </c>
    </row>
    <row r="104" spans="3:40" hidden="1" outlineLevel="4">
      <c r="C104" s="266" t="s">
        <v>396</v>
      </c>
      <c r="D104"/>
      <c r="E104" s="41" t="s">
        <v>23</v>
      </c>
    </row>
    <row r="105" spans="3:40" hidden="1" outlineLevel="4">
      <c r="D105" s="266"/>
      <c r="E105" s="309"/>
    </row>
    <row r="106" spans="3:40" hidden="1" outlineLevel="4">
      <c r="C106" s="315" t="str">
        <f>Flags!C72</f>
        <v>Cons + Ops Flag</v>
      </c>
      <c r="D106" s="266"/>
      <c r="E106" s="32" t="str">
        <f>Flags!E72</f>
        <v>Flag</v>
      </c>
      <c r="F106" s="23">
        <f>Flags!F72</f>
        <v>30</v>
      </c>
      <c r="G106" s="25">
        <f>Flags!G72</f>
        <v>1</v>
      </c>
      <c r="H106" s="25">
        <f>Flags!H72</f>
        <v>1</v>
      </c>
      <c r="I106" s="25">
        <f>Flags!I72</f>
        <v>1</v>
      </c>
      <c r="J106" s="25">
        <f>Flags!J72</f>
        <v>1</v>
      </c>
      <c r="K106" s="25">
        <f>Flags!K72</f>
        <v>1</v>
      </c>
      <c r="L106" s="25">
        <f>Flags!L72</f>
        <v>1</v>
      </c>
      <c r="M106" s="25">
        <f>Flags!M72</f>
        <v>1</v>
      </c>
      <c r="N106" s="25">
        <f>Flags!N72</f>
        <v>1</v>
      </c>
      <c r="O106" s="25">
        <f>Flags!O72</f>
        <v>1</v>
      </c>
      <c r="P106" s="25">
        <f>Flags!P72</f>
        <v>1</v>
      </c>
      <c r="Q106" s="25">
        <f>Flags!Q72</f>
        <v>1</v>
      </c>
      <c r="R106" s="25">
        <f>Flags!R72</f>
        <v>1</v>
      </c>
      <c r="S106" s="25">
        <f>Flags!S72</f>
        <v>1</v>
      </c>
      <c r="T106" s="25">
        <f>Flags!T72</f>
        <v>1</v>
      </c>
      <c r="U106" s="25">
        <f>Flags!U72</f>
        <v>1</v>
      </c>
      <c r="V106" s="25">
        <f>Flags!V72</f>
        <v>1</v>
      </c>
      <c r="W106" s="25">
        <f>Flags!W72</f>
        <v>1</v>
      </c>
      <c r="X106" s="25">
        <f>Flags!X72</f>
        <v>1</v>
      </c>
      <c r="Y106" s="25">
        <f>Flags!Y72</f>
        <v>1</v>
      </c>
      <c r="Z106" s="25">
        <f>Flags!Z72</f>
        <v>1</v>
      </c>
      <c r="AA106" s="25">
        <f>Flags!AA72</f>
        <v>1</v>
      </c>
      <c r="AB106" s="25">
        <f>Flags!AB72</f>
        <v>1</v>
      </c>
      <c r="AC106" s="25">
        <f>Flags!AC72</f>
        <v>1</v>
      </c>
      <c r="AD106" s="25">
        <f>Flags!AD72</f>
        <v>1</v>
      </c>
      <c r="AE106" s="25">
        <f>Flags!AE72</f>
        <v>1</v>
      </c>
      <c r="AF106" s="25">
        <f>Flags!AF72</f>
        <v>1</v>
      </c>
      <c r="AG106" s="25">
        <f>Flags!AG72</f>
        <v>1</v>
      </c>
      <c r="AH106" s="25">
        <f>Flags!AH72</f>
        <v>1</v>
      </c>
      <c r="AI106" s="25">
        <f>Flags!AI72</f>
        <v>1</v>
      </c>
      <c r="AJ106" s="25">
        <f>Flags!AJ72</f>
        <v>1</v>
      </c>
      <c r="AK106" s="25">
        <f>Flags!AK72</f>
        <v>0</v>
      </c>
      <c r="AL106" s="25">
        <f>Flags!AL72</f>
        <v>0</v>
      </c>
      <c r="AM106" s="25">
        <f>Flags!AM72</f>
        <v>0</v>
      </c>
      <c r="AN106" s="25">
        <f>Flags!AN72</f>
        <v>0</v>
      </c>
    </row>
    <row r="107" spans="3:40" hidden="1" outlineLevel="4">
      <c r="C107" s="315" t="str">
        <f>Flags!C28</f>
        <v>Ano</v>
      </c>
      <c r="D107" s="266"/>
      <c r="E107" s="32" t="str">
        <f>Flags!E28</f>
        <v>Ano</v>
      </c>
      <c r="F107" s="316"/>
      <c r="G107" s="316">
        <f>Flags!G28</f>
        <v>2027</v>
      </c>
      <c r="H107" s="316">
        <f>Flags!H28</f>
        <v>2028</v>
      </c>
      <c r="I107" s="316">
        <f>Flags!I28</f>
        <v>2029</v>
      </c>
      <c r="J107" s="316">
        <f>Flags!J28</f>
        <v>2030</v>
      </c>
      <c r="K107" s="316">
        <f>Flags!K28</f>
        <v>2031</v>
      </c>
      <c r="L107" s="316">
        <f>Flags!L28</f>
        <v>2032</v>
      </c>
      <c r="M107" s="316">
        <f>Flags!M28</f>
        <v>2033</v>
      </c>
      <c r="N107" s="316">
        <f>Flags!N28</f>
        <v>2034</v>
      </c>
      <c r="O107" s="316">
        <f>Flags!O28</f>
        <v>2035</v>
      </c>
      <c r="P107" s="316">
        <f>Flags!P28</f>
        <v>2036</v>
      </c>
      <c r="Q107" s="316">
        <f>Flags!Q28</f>
        <v>2037</v>
      </c>
      <c r="R107" s="316">
        <f>Flags!R28</f>
        <v>2038</v>
      </c>
      <c r="S107" s="316">
        <f>Flags!S28</f>
        <v>2039</v>
      </c>
      <c r="T107" s="316">
        <f>Flags!T28</f>
        <v>2040</v>
      </c>
      <c r="U107" s="316">
        <f>Flags!U28</f>
        <v>2041</v>
      </c>
      <c r="V107" s="316">
        <f>Flags!V28</f>
        <v>2042</v>
      </c>
      <c r="W107" s="316">
        <f>Flags!W28</f>
        <v>2043</v>
      </c>
      <c r="X107" s="316">
        <f>Flags!X28</f>
        <v>2044</v>
      </c>
      <c r="Y107" s="316">
        <f>Flags!Y28</f>
        <v>2045</v>
      </c>
      <c r="Z107" s="316">
        <f>Flags!Z28</f>
        <v>2046</v>
      </c>
      <c r="AA107" s="316">
        <f>Flags!AA28</f>
        <v>2047</v>
      </c>
      <c r="AB107" s="316">
        <f>Flags!AB28</f>
        <v>2048</v>
      </c>
      <c r="AC107" s="316">
        <f>Flags!AC28</f>
        <v>2049</v>
      </c>
      <c r="AD107" s="316">
        <f>Flags!AD28</f>
        <v>2050</v>
      </c>
      <c r="AE107" s="316">
        <f>Flags!AE28</f>
        <v>2051</v>
      </c>
      <c r="AF107" s="316">
        <f>Flags!AF28</f>
        <v>2052</v>
      </c>
      <c r="AG107" s="316">
        <f>Flags!AG28</f>
        <v>2053</v>
      </c>
      <c r="AH107" s="316">
        <f>Flags!AH28</f>
        <v>2054</v>
      </c>
      <c r="AI107" s="316">
        <f>Flags!AI28</f>
        <v>2055</v>
      </c>
      <c r="AJ107" s="316">
        <f>Flags!AJ28</f>
        <v>2056</v>
      </c>
      <c r="AK107" s="316">
        <f>Flags!AK28</f>
        <v>2057</v>
      </c>
      <c r="AL107" s="316">
        <f>Flags!AL28</f>
        <v>2058</v>
      </c>
      <c r="AM107" s="316">
        <f>Flags!AM28</f>
        <v>2059</v>
      </c>
      <c r="AN107" s="316">
        <f>Flags!AN28</f>
        <v>2060</v>
      </c>
    </row>
    <row r="108" spans="3:40" hidden="1" outlineLevel="4">
      <c r="C108" s="315" t="s">
        <v>383</v>
      </c>
      <c r="D108" s="266"/>
      <c r="E108" s="41" t="s">
        <v>23</v>
      </c>
      <c r="F108" s="118"/>
      <c r="G108">
        <f>LOOKUP(G107,Inputs!$D$86:$H$86,Inputs!$D$87:$H$87)</f>
        <v>2.4677735275446384</v>
      </c>
      <c r="H108">
        <f>LOOKUP(H107,Inputs!$D$86:$H$86,Inputs!$D$87:$H$87)</f>
        <v>1</v>
      </c>
      <c r="I108">
        <f>LOOKUP(I107,Inputs!$D$86:$H$86,Inputs!$D$87:$H$87)</f>
        <v>1</v>
      </c>
      <c r="J108">
        <f>LOOKUP(J107,Inputs!$D$86:$H$86,Inputs!$D$87:$H$87)</f>
        <v>1</v>
      </c>
      <c r="K108">
        <f>LOOKUP(K107,Inputs!$D$86:$H$86,Inputs!$D$87:$H$87)</f>
        <v>1</v>
      </c>
      <c r="L108">
        <f>LOOKUP(L107,Inputs!$D$86:$H$86,Inputs!$D$87:$H$87)</f>
        <v>1</v>
      </c>
      <c r="M108">
        <f>LOOKUP(M107,Inputs!$D$86:$H$86,Inputs!$D$87:$H$87)</f>
        <v>1</v>
      </c>
      <c r="N108">
        <f>LOOKUP(N107,Inputs!$D$86:$H$86,Inputs!$D$87:$H$87)</f>
        <v>1</v>
      </c>
      <c r="O108">
        <f>LOOKUP(O107,Inputs!$D$86:$H$86,Inputs!$D$87:$H$87)</f>
        <v>1</v>
      </c>
      <c r="P108">
        <f>LOOKUP(P107,Inputs!$D$86:$H$86,Inputs!$D$87:$H$87)</f>
        <v>1</v>
      </c>
      <c r="Q108">
        <f>LOOKUP(Q107,Inputs!$D$86:$H$86,Inputs!$D$87:$H$87)</f>
        <v>1</v>
      </c>
      <c r="R108">
        <f>LOOKUP(R107,Inputs!$D$86:$H$86,Inputs!$D$87:$H$87)</f>
        <v>1</v>
      </c>
      <c r="S108">
        <f>LOOKUP(S107,Inputs!$D$86:$H$86,Inputs!$D$87:$H$87)</f>
        <v>1</v>
      </c>
      <c r="T108">
        <f>LOOKUP(T107,Inputs!$D$86:$H$86,Inputs!$D$87:$H$87)</f>
        <v>1</v>
      </c>
      <c r="U108">
        <f>LOOKUP(U107,Inputs!$D$86:$H$86,Inputs!$D$87:$H$87)</f>
        <v>1</v>
      </c>
      <c r="V108">
        <f>LOOKUP(V107,Inputs!$D$86:$H$86,Inputs!$D$87:$H$87)</f>
        <v>1</v>
      </c>
      <c r="W108">
        <f>LOOKUP(W107,Inputs!$D$86:$H$86,Inputs!$D$87:$H$87)</f>
        <v>1</v>
      </c>
      <c r="X108">
        <f>LOOKUP(X107,Inputs!$D$86:$H$86,Inputs!$D$87:$H$87)</f>
        <v>1</v>
      </c>
      <c r="Y108">
        <f>LOOKUP(Y107,Inputs!$D$86:$H$86,Inputs!$D$87:$H$87)</f>
        <v>1</v>
      </c>
      <c r="Z108">
        <f>LOOKUP(Z107,Inputs!$D$86:$H$86,Inputs!$D$87:$H$87)</f>
        <v>1</v>
      </c>
      <c r="AA108">
        <f>LOOKUP(AA107,Inputs!$D$86:$H$86,Inputs!$D$87:$H$87)</f>
        <v>1</v>
      </c>
      <c r="AB108">
        <f>LOOKUP(AB107,Inputs!$D$86:$H$86,Inputs!$D$87:$H$87)</f>
        <v>1</v>
      </c>
      <c r="AC108">
        <f>LOOKUP(AC107,Inputs!$D$86:$H$86,Inputs!$D$87:$H$87)</f>
        <v>1</v>
      </c>
      <c r="AD108">
        <f>LOOKUP(AD107,Inputs!$D$86:$H$86,Inputs!$D$87:$H$87)</f>
        <v>1</v>
      </c>
      <c r="AE108">
        <f>LOOKUP(AE107,Inputs!$D$86:$H$86,Inputs!$D$87:$H$87)</f>
        <v>1</v>
      </c>
      <c r="AF108">
        <f>LOOKUP(AF107,Inputs!$D$86:$H$86,Inputs!$D$87:$H$87)</f>
        <v>1</v>
      </c>
      <c r="AG108">
        <f>LOOKUP(AG107,Inputs!$D$86:$H$86,Inputs!$D$87:$H$87)</f>
        <v>1</v>
      </c>
      <c r="AH108">
        <f>LOOKUP(AH107,Inputs!$D$86:$H$86,Inputs!$D$87:$H$87)</f>
        <v>1</v>
      </c>
      <c r="AI108">
        <f>LOOKUP(AI107,Inputs!$D$86:$H$86,Inputs!$D$87:$H$87)</f>
        <v>1</v>
      </c>
      <c r="AJ108">
        <f>LOOKUP(AJ107,Inputs!$D$86:$H$86,Inputs!$D$87:$H$87)</f>
        <v>1</v>
      </c>
      <c r="AK108">
        <f>LOOKUP(AK107,Inputs!$D$86:$H$86,Inputs!$D$87:$H$87)</f>
        <v>1</v>
      </c>
      <c r="AL108">
        <f>LOOKUP(AL107,Inputs!$D$86:$H$86,Inputs!$D$87:$H$87)</f>
        <v>1</v>
      </c>
      <c r="AM108">
        <f>LOOKUP(AM107,Inputs!$D$86:$H$86,Inputs!$D$87:$H$87)</f>
        <v>1</v>
      </c>
      <c r="AN108">
        <f>LOOKUP(AN107,Inputs!$D$86:$H$86,Inputs!$D$87:$H$87)</f>
        <v>1</v>
      </c>
    </row>
    <row r="109" spans="3:40" hidden="1" outlineLevel="4">
      <c r="D109" s="266"/>
      <c r="E109" s="309"/>
    </row>
    <row r="110" spans="3:40" hidden="1" outlineLevel="4">
      <c r="C110" s="314" t="s">
        <v>397</v>
      </c>
      <c r="D110" s="266"/>
      <c r="E110" s="309"/>
    </row>
    <row r="111" spans="3:40" hidden="1" outlineLevel="5">
      <c r="C111" s="315" t="s">
        <v>392</v>
      </c>
      <c r="D111" s="266"/>
      <c r="E111" s="41" t="s">
        <v>384</v>
      </c>
      <c r="F111" s="23">
        <f>SUM(G111:AN111)</f>
        <v>0</v>
      </c>
      <c r="G111" s="273">
        <f>(((($D$102*(1-$D$103))*$D$104)*G106)*G108)+((((($D$102*(1-$D$103))*$D$104)*G106)*G108)*G139)</f>
        <v>0</v>
      </c>
      <c r="H111" s="273">
        <f t="shared" ref="H111" si="20">(((($D$102*(1-$D$103))*$D$104)*H106)*H108)+((((($D$102*(1-$D$103))*$D$104)*H106)*H108)*H139)</f>
        <v>0</v>
      </c>
      <c r="I111" s="273">
        <f>(((((H111)*(1-$D$103)))*I106)*I108)+((((($D$102*(1-$D$103))*$D$104)*I106)*I108)*I139)</f>
        <v>0</v>
      </c>
      <c r="J111" s="273">
        <f t="shared" ref="J111:AN111" si="21">(((((I111)*(1-$D$103)))*J106)*J108)+((((($D$102*(1-$D$103))*$D$104)*J106)*J108)*J139)</f>
        <v>0</v>
      </c>
      <c r="K111" s="273">
        <f t="shared" si="21"/>
        <v>0</v>
      </c>
      <c r="L111" s="273">
        <f t="shared" si="21"/>
        <v>0</v>
      </c>
      <c r="M111" s="273">
        <f t="shared" si="21"/>
        <v>0</v>
      </c>
      <c r="N111" s="273">
        <f t="shared" si="21"/>
        <v>0</v>
      </c>
      <c r="O111" s="273">
        <f t="shared" si="21"/>
        <v>0</v>
      </c>
      <c r="P111" s="273">
        <f t="shared" si="21"/>
        <v>0</v>
      </c>
      <c r="Q111" s="273">
        <f t="shared" si="21"/>
        <v>0</v>
      </c>
      <c r="R111" s="273">
        <f t="shared" si="21"/>
        <v>0</v>
      </c>
      <c r="S111" s="273">
        <f t="shared" si="21"/>
        <v>0</v>
      </c>
      <c r="T111" s="273">
        <f t="shared" si="21"/>
        <v>0</v>
      </c>
      <c r="U111" s="273">
        <f t="shared" si="21"/>
        <v>0</v>
      </c>
      <c r="V111" s="273">
        <f t="shared" si="21"/>
        <v>0</v>
      </c>
      <c r="W111" s="273">
        <f t="shared" si="21"/>
        <v>0</v>
      </c>
      <c r="X111" s="273">
        <f t="shared" si="21"/>
        <v>0</v>
      </c>
      <c r="Y111" s="273">
        <f t="shared" si="21"/>
        <v>0</v>
      </c>
      <c r="Z111" s="273">
        <f t="shared" si="21"/>
        <v>0</v>
      </c>
      <c r="AA111" s="273">
        <f t="shared" si="21"/>
        <v>0</v>
      </c>
      <c r="AB111" s="273">
        <f t="shared" si="21"/>
        <v>0</v>
      </c>
      <c r="AC111" s="273">
        <f t="shared" si="21"/>
        <v>0</v>
      </c>
      <c r="AD111" s="273">
        <f t="shared" si="21"/>
        <v>0</v>
      </c>
      <c r="AE111" s="273">
        <f t="shared" si="21"/>
        <v>0</v>
      </c>
      <c r="AF111" s="273">
        <f t="shared" si="21"/>
        <v>0</v>
      </c>
      <c r="AG111" s="273">
        <f t="shared" si="21"/>
        <v>0</v>
      </c>
      <c r="AH111" s="273">
        <f t="shared" si="21"/>
        <v>0</v>
      </c>
      <c r="AI111" s="273">
        <f t="shared" si="21"/>
        <v>0</v>
      </c>
      <c r="AJ111" s="273">
        <f t="shared" si="21"/>
        <v>0</v>
      </c>
      <c r="AK111" s="273">
        <f t="shared" si="21"/>
        <v>0</v>
      </c>
      <c r="AL111" s="273">
        <f t="shared" si="21"/>
        <v>0</v>
      </c>
      <c r="AM111" s="273">
        <f t="shared" si="21"/>
        <v>0</v>
      </c>
      <c r="AN111" s="273">
        <f t="shared" si="21"/>
        <v>0</v>
      </c>
    </row>
    <row r="112" spans="3:40" hidden="1" outlineLevel="4">
      <c r="C112" s="315"/>
      <c r="D112" s="266"/>
      <c r="E112" s="309"/>
      <c r="G112" s="273"/>
      <c r="H112" s="278"/>
      <c r="I112" s="278"/>
      <c r="J112" s="278"/>
      <c r="K112" s="278"/>
      <c r="L112" s="278"/>
      <c r="M112" s="278"/>
      <c r="N112" s="278"/>
      <c r="O112" s="278"/>
      <c r="P112" s="278"/>
      <c r="Q112" s="278"/>
      <c r="R112" s="278"/>
      <c r="S112" s="278"/>
      <c r="T112" s="278"/>
      <c r="U112" s="278"/>
      <c r="V112" s="278"/>
      <c r="W112" s="278"/>
      <c r="X112" s="278"/>
      <c r="Y112" s="278"/>
      <c r="Z112" s="278"/>
      <c r="AA112" s="278"/>
      <c r="AB112" s="278"/>
      <c r="AC112" s="278"/>
      <c r="AD112" s="278"/>
      <c r="AE112" s="278"/>
      <c r="AF112" s="278"/>
      <c r="AG112" s="278"/>
      <c r="AH112" s="278"/>
      <c r="AI112" s="278"/>
      <c r="AJ112" s="278"/>
      <c r="AK112" s="278"/>
      <c r="AL112" s="278"/>
      <c r="AM112" s="278"/>
      <c r="AN112" s="278"/>
    </row>
    <row r="113" spans="3:41" hidden="1" outlineLevel="4" collapsed="1">
      <c r="D113" s="266"/>
      <c r="E113" s="309"/>
    </row>
    <row r="114" spans="3:41" hidden="1" outlineLevel="3" collapsed="1">
      <c r="D114" s="266"/>
      <c r="E114" s="309"/>
    </row>
    <row r="115" spans="3:41" outlineLevel="3">
      <c r="C115" s="28" t="s">
        <v>380</v>
      </c>
      <c r="D115" s="275"/>
      <c r="E115" s="97" t="s">
        <v>384</v>
      </c>
      <c r="F115" s="23">
        <f>SUM(G115:AN115)</f>
        <v>225809.85502067092</v>
      </c>
      <c r="G115" s="317">
        <f t="shared" ref="G115:AN115" si="22">G59+G77</f>
        <v>15451.717165367998</v>
      </c>
      <c r="H115" s="317">
        <f t="shared" si="22"/>
        <v>6334.3740971543702</v>
      </c>
      <c r="I115" s="317">
        <f t="shared" si="22"/>
        <v>6406.5075084297869</v>
      </c>
      <c r="J115" s="317">
        <f t="shared" si="22"/>
        <v>6477.8193831813778</v>
      </c>
      <c r="K115" s="317">
        <f t="shared" si="22"/>
        <v>6548.32822384881</v>
      </c>
      <c r="L115" s="317">
        <f t="shared" si="22"/>
        <v>6618.0519147711393</v>
      </c>
      <c r="M115" s="317">
        <f t="shared" si="22"/>
        <v>6687.0077494149991</v>
      </c>
      <c r="N115" s="317">
        <f t="shared" si="22"/>
        <v>6755.2124561198252</v>
      </c>
      <c r="O115" s="317">
        <f t="shared" si="22"/>
        <v>6822.6822224559801</v>
      </c>
      <c r="P115" s="317">
        <f t="shared" si="22"/>
        <v>6889.43271828452</v>
      </c>
      <c r="Q115" s="317">
        <f t="shared" si="22"/>
        <v>6955.4791176007702</v>
      </c>
      <c r="R115" s="317">
        <f t="shared" si="22"/>
        <v>7020.8361192378707</v>
      </c>
      <c r="S115" s="317">
        <f t="shared" si="22"/>
        <v>7085.5179665009537</v>
      </c>
      <c r="T115" s="317">
        <f t="shared" si="22"/>
        <v>7149.5384657975737</v>
      </c>
      <c r="U115" s="317">
        <f t="shared" si="22"/>
        <v>7212.9110043253195</v>
      </c>
      <c r="V115" s="317">
        <f t="shared" si="22"/>
        <v>7275.6485668732985</v>
      </c>
      <c r="W115" s="317">
        <f t="shared" si="22"/>
        <v>7337.7637517902504</v>
      </c>
      <c r="X115" s="317">
        <f t="shared" si="22"/>
        <v>7399.2687861683899</v>
      </c>
      <c r="Y115" s="317">
        <f t="shared" si="22"/>
        <v>7460.1755402887547</v>
      </c>
      <c r="Z115" s="317">
        <f t="shared" si="22"/>
        <v>7520.4955413707503</v>
      </c>
      <c r="AA115" s="317">
        <f t="shared" si="22"/>
        <v>7580.2399866657288</v>
      </c>
      <c r="AB115" s="317">
        <f t="shared" si="22"/>
        <v>7639.4197559317854</v>
      </c>
      <c r="AC115" s="317">
        <f t="shared" si="22"/>
        <v>7698.04542332456</v>
      </c>
      <c r="AD115" s="317">
        <f t="shared" si="22"/>
        <v>7756.1272687365181</v>
      </c>
      <c r="AE115" s="317">
        <f t="shared" si="22"/>
        <v>7813.6752886151517</v>
      </c>
      <c r="AF115" s="317">
        <f t="shared" si="22"/>
        <v>7870.6992062885556</v>
      </c>
      <c r="AG115" s="317">
        <f t="shared" si="22"/>
        <v>7927.2084818250605</v>
      </c>
      <c r="AH115" s="317">
        <f t="shared" si="22"/>
        <v>7983.2123214519324</v>
      </c>
      <c r="AI115" s="317">
        <f t="shared" si="22"/>
        <v>8038.7196865565847</v>
      </c>
      <c r="AJ115" s="317">
        <f t="shared" si="22"/>
        <v>8093.7393022923152</v>
      </c>
      <c r="AK115" s="317">
        <f t="shared" si="22"/>
        <v>0</v>
      </c>
      <c r="AL115" s="317">
        <f t="shared" si="22"/>
        <v>0</v>
      </c>
      <c r="AM115" s="317">
        <f t="shared" si="22"/>
        <v>0</v>
      </c>
      <c r="AN115" s="317">
        <f t="shared" si="22"/>
        <v>0</v>
      </c>
    </row>
    <row r="116" spans="3:41" outlineLevel="3" collapsed="1">
      <c r="D116" s="266"/>
      <c r="E116" s="309"/>
      <c r="G116" s="278"/>
      <c r="H116" s="278"/>
    </row>
    <row r="117" spans="3:41" outlineLevel="2">
      <c r="D117" s="266"/>
      <c r="E117" s="309"/>
    </row>
    <row r="118" spans="3:41" outlineLevel="2">
      <c r="C118" s="11" t="s">
        <v>180</v>
      </c>
      <c r="D118" s="266"/>
      <c r="E118" s="309"/>
    </row>
    <row r="119" spans="3:41" outlineLevel="3">
      <c r="C119" s="266" t="str">
        <f>Inputs!C84</f>
        <v>Fator de Desempenho</v>
      </c>
      <c r="D119" s="46">
        <f>Inputs!D84</f>
        <v>1</v>
      </c>
      <c r="E119" s="32" t="s">
        <v>181</v>
      </c>
      <c r="G119" s="318">
        <f t="shared" ref="G119:AL119" si="23">IF(G115&lt;&gt;0,$D$119,0)</f>
        <v>1</v>
      </c>
      <c r="H119" s="318">
        <f t="shared" si="23"/>
        <v>1</v>
      </c>
      <c r="I119" s="318">
        <f t="shared" si="23"/>
        <v>1</v>
      </c>
      <c r="J119" s="318">
        <f t="shared" si="23"/>
        <v>1</v>
      </c>
      <c r="K119" s="318">
        <f t="shared" si="23"/>
        <v>1</v>
      </c>
      <c r="L119" s="318">
        <f t="shared" si="23"/>
        <v>1</v>
      </c>
      <c r="M119" s="318">
        <f t="shared" si="23"/>
        <v>1</v>
      </c>
      <c r="N119" s="318">
        <f t="shared" si="23"/>
        <v>1</v>
      </c>
      <c r="O119" s="318">
        <f t="shared" si="23"/>
        <v>1</v>
      </c>
      <c r="P119" s="318">
        <f t="shared" si="23"/>
        <v>1</v>
      </c>
      <c r="Q119" s="318">
        <f t="shared" si="23"/>
        <v>1</v>
      </c>
      <c r="R119" s="318">
        <f t="shared" si="23"/>
        <v>1</v>
      </c>
      <c r="S119" s="318">
        <f t="shared" si="23"/>
        <v>1</v>
      </c>
      <c r="T119" s="318">
        <f t="shared" si="23"/>
        <v>1</v>
      </c>
      <c r="U119" s="318">
        <f t="shared" si="23"/>
        <v>1</v>
      </c>
      <c r="V119" s="318">
        <f t="shared" si="23"/>
        <v>1</v>
      </c>
      <c r="W119" s="318">
        <f t="shared" si="23"/>
        <v>1</v>
      </c>
      <c r="X119" s="318">
        <f t="shared" si="23"/>
        <v>1</v>
      </c>
      <c r="Y119" s="318">
        <f t="shared" si="23"/>
        <v>1</v>
      </c>
      <c r="Z119" s="318">
        <f t="shared" si="23"/>
        <v>1</v>
      </c>
      <c r="AA119" s="318">
        <f t="shared" si="23"/>
        <v>1</v>
      </c>
      <c r="AB119" s="318">
        <f t="shared" si="23"/>
        <v>1</v>
      </c>
      <c r="AC119" s="318">
        <f t="shared" si="23"/>
        <v>1</v>
      </c>
      <c r="AD119" s="318">
        <f t="shared" si="23"/>
        <v>1</v>
      </c>
      <c r="AE119" s="318">
        <f t="shared" si="23"/>
        <v>1</v>
      </c>
      <c r="AF119" s="318">
        <f t="shared" si="23"/>
        <v>1</v>
      </c>
      <c r="AG119" s="318">
        <f t="shared" si="23"/>
        <v>1</v>
      </c>
      <c r="AH119" s="318">
        <f t="shared" si="23"/>
        <v>1</v>
      </c>
      <c r="AI119" s="318">
        <f t="shared" si="23"/>
        <v>1</v>
      </c>
      <c r="AJ119" s="318">
        <f t="shared" si="23"/>
        <v>1</v>
      </c>
      <c r="AK119" s="318">
        <f t="shared" si="23"/>
        <v>0</v>
      </c>
      <c r="AL119" s="318">
        <f t="shared" si="23"/>
        <v>0</v>
      </c>
      <c r="AM119" s="318">
        <f>IF(AM115&lt;&gt;0,$D$119,0)</f>
        <v>0</v>
      </c>
      <c r="AN119" s="318">
        <f>IF(AN115&lt;&gt;0,$D$119,0)</f>
        <v>0</v>
      </c>
    </row>
    <row r="120" spans="3:41" outlineLevel="2">
      <c r="D120" s="266"/>
      <c r="E120" s="309"/>
    </row>
    <row r="121" spans="3:41" outlineLevel="2">
      <c r="C121" s="11" t="s">
        <v>398</v>
      </c>
      <c r="D121" s="266"/>
      <c r="E121" s="309"/>
    </row>
    <row r="122" spans="3:41" outlineLevel="3">
      <c r="D122" s="266"/>
    </row>
    <row r="123" spans="3:41" outlineLevel="3">
      <c r="C123" s="266" t="str">
        <f>Flags!C$14</f>
        <v>Counter</v>
      </c>
      <c r="D123" s="266">
        <f>Flags!D$14</f>
        <v>0</v>
      </c>
      <c r="E123" s="32" t="str">
        <f>Flags!E$14</f>
        <v>Counter</v>
      </c>
      <c r="F123" s="266">
        <f>Flags!F$14</f>
        <v>0</v>
      </c>
      <c r="G123" s="266">
        <f>Flags!G$14</f>
        <v>1</v>
      </c>
      <c r="H123" s="266">
        <f>Flags!H$14</f>
        <v>2</v>
      </c>
      <c r="I123" s="266">
        <f>Flags!I$14</f>
        <v>3</v>
      </c>
      <c r="J123" s="266">
        <f>Flags!J$14</f>
        <v>4</v>
      </c>
      <c r="K123" s="266">
        <f>Flags!K$14</f>
        <v>5</v>
      </c>
      <c r="L123" s="266">
        <f>Flags!L$14</f>
        <v>6</v>
      </c>
      <c r="M123" s="266">
        <f>Flags!M$14</f>
        <v>7</v>
      </c>
      <c r="N123" s="266">
        <f>Flags!N$14</f>
        <v>8</v>
      </c>
      <c r="O123" s="266">
        <f>Flags!O$14</f>
        <v>9</v>
      </c>
      <c r="P123" s="266">
        <f>Flags!P$14</f>
        <v>10</v>
      </c>
      <c r="Q123" s="266">
        <f>Flags!Q$14</f>
        <v>11</v>
      </c>
      <c r="R123" s="266">
        <f>Flags!R$14</f>
        <v>12</v>
      </c>
      <c r="S123" s="266">
        <f>Flags!S$14</f>
        <v>13</v>
      </c>
      <c r="T123" s="266">
        <f>Flags!T$14</f>
        <v>14</v>
      </c>
      <c r="U123" s="266">
        <f>Flags!U$14</f>
        <v>15</v>
      </c>
      <c r="V123" s="266">
        <f>Flags!V$14</f>
        <v>16</v>
      </c>
      <c r="W123" s="266">
        <f>Flags!W$14</f>
        <v>17</v>
      </c>
      <c r="X123" s="266">
        <f>Flags!X$14</f>
        <v>18</v>
      </c>
      <c r="Y123" s="266">
        <f>Flags!Y$14</f>
        <v>19</v>
      </c>
      <c r="Z123" s="266">
        <f>Flags!Z$14</f>
        <v>20</v>
      </c>
      <c r="AA123" s="266">
        <f>Flags!AA$14</f>
        <v>21</v>
      </c>
      <c r="AB123" s="266">
        <f>Flags!AB$14</f>
        <v>22</v>
      </c>
      <c r="AC123" s="266">
        <f>Flags!AC$14</f>
        <v>23</v>
      </c>
      <c r="AD123" s="266">
        <f>Flags!AD$14</f>
        <v>24</v>
      </c>
      <c r="AE123" s="266">
        <f>Flags!AE$14</f>
        <v>25</v>
      </c>
      <c r="AF123" s="266">
        <f>Flags!AF$14</f>
        <v>26</v>
      </c>
      <c r="AG123" s="266">
        <f>Flags!AG$14</f>
        <v>27</v>
      </c>
      <c r="AH123" s="266">
        <f>Flags!AH$14</f>
        <v>28</v>
      </c>
      <c r="AI123" s="266">
        <f>Flags!AI$14</f>
        <v>29</v>
      </c>
      <c r="AJ123" s="266">
        <f>Flags!AJ$14</f>
        <v>30</v>
      </c>
      <c r="AK123" s="266">
        <f>Flags!AK$14</f>
        <v>31</v>
      </c>
      <c r="AL123" s="266">
        <f>Flags!AL$14</f>
        <v>32</v>
      </c>
      <c r="AM123" s="266">
        <f>Flags!AM$14</f>
        <v>33</v>
      </c>
      <c r="AN123" s="266">
        <f>Flags!AN$14</f>
        <v>34</v>
      </c>
    </row>
    <row r="124" spans="3:41" outlineLevel="3">
      <c r="C124" s="266" t="s">
        <v>398</v>
      </c>
      <c r="D124" s="266"/>
      <c r="E124" s="32" t="s">
        <v>399</v>
      </c>
      <c r="G124" s="25">
        <f t="shared" ref="G124:AN124" si="24">IF(G123=1,0,1)</f>
        <v>0</v>
      </c>
      <c r="H124" s="25">
        <f t="shared" si="24"/>
        <v>1</v>
      </c>
      <c r="I124" s="25">
        <f t="shared" si="24"/>
        <v>1</v>
      </c>
      <c r="J124" s="25">
        <f t="shared" si="24"/>
        <v>1</v>
      </c>
      <c r="K124" s="25">
        <f t="shared" si="24"/>
        <v>1</v>
      </c>
      <c r="L124" s="25">
        <f t="shared" si="24"/>
        <v>1</v>
      </c>
      <c r="M124" s="25">
        <f t="shared" si="24"/>
        <v>1</v>
      </c>
      <c r="N124" s="25">
        <f t="shared" si="24"/>
        <v>1</v>
      </c>
      <c r="O124" s="25">
        <f t="shared" si="24"/>
        <v>1</v>
      </c>
      <c r="P124" s="25">
        <f t="shared" si="24"/>
        <v>1</v>
      </c>
      <c r="Q124" s="25">
        <f t="shared" si="24"/>
        <v>1</v>
      </c>
      <c r="R124" s="25">
        <f t="shared" si="24"/>
        <v>1</v>
      </c>
      <c r="S124" s="25">
        <f t="shared" si="24"/>
        <v>1</v>
      </c>
      <c r="T124" s="25">
        <f t="shared" si="24"/>
        <v>1</v>
      </c>
      <c r="U124" s="25">
        <f t="shared" si="24"/>
        <v>1</v>
      </c>
      <c r="V124" s="25">
        <f t="shared" si="24"/>
        <v>1</v>
      </c>
      <c r="W124" s="25">
        <f t="shared" si="24"/>
        <v>1</v>
      </c>
      <c r="X124" s="25">
        <f t="shared" si="24"/>
        <v>1</v>
      </c>
      <c r="Y124" s="25">
        <f t="shared" si="24"/>
        <v>1</v>
      </c>
      <c r="Z124" s="25">
        <f t="shared" si="24"/>
        <v>1</v>
      </c>
      <c r="AA124" s="25">
        <f t="shared" si="24"/>
        <v>1</v>
      </c>
      <c r="AB124" s="25">
        <f t="shared" si="24"/>
        <v>1</v>
      </c>
      <c r="AC124" s="25">
        <f t="shared" si="24"/>
        <v>1</v>
      </c>
      <c r="AD124" s="25">
        <f t="shared" si="24"/>
        <v>1</v>
      </c>
      <c r="AE124" s="25">
        <f t="shared" si="24"/>
        <v>1</v>
      </c>
      <c r="AF124" s="25">
        <f t="shared" si="24"/>
        <v>1</v>
      </c>
      <c r="AG124" s="25">
        <f t="shared" si="24"/>
        <v>1</v>
      </c>
      <c r="AH124" s="25">
        <f t="shared" si="24"/>
        <v>1</v>
      </c>
      <c r="AI124" s="25">
        <f t="shared" si="24"/>
        <v>1</v>
      </c>
      <c r="AJ124" s="25">
        <f t="shared" si="24"/>
        <v>1</v>
      </c>
      <c r="AK124" s="25">
        <f t="shared" si="24"/>
        <v>1</v>
      </c>
      <c r="AL124" s="25">
        <f t="shared" si="24"/>
        <v>1</v>
      </c>
      <c r="AM124" s="25">
        <f t="shared" si="24"/>
        <v>1</v>
      </c>
      <c r="AN124" s="25">
        <f t="shared" si="24"/>
        <v>1</v>
      </c>
      <c r="AO124" s="118"/>
    </row>
    <row r="125" spans="3:41" outlineLevel="3">
      <c r="C125" s="266" t="s">
        <v>363</v>
      </c>
      <c r="D125" s="266"/>
      <c r="E125" s="32" t="s">
        <v>181</v>
      </c>
      <c r="F125" s="496">
        <v>1</v>
      </c>
      <c r="G125">
        <f t="shared" ref="G125:AN125" si="25">IF(G124=1,G$39,F125)</f>
        <v>1</v>
      </c>
      <c r="H125">
        <f t="shared" si="25"/>
        <v>1.0712249999999999</v>
      </c>
      <c r="I125">
        <f t="shared" si="25"/>
        <v>1.1087178749999997</v>
      </c>
      <c r="J125">
        <f t="shared" si="25"/>
        <v>1.1475230006249997</v>
      </c>
      <c r="K125">
        <f t="shared" si="25"/>
        <v>1.1876863056468745</v>
      </c>
      <c r="L125">
        <f t="shared" si="25"/>
        <v>1.229255326344515</v>
      </c>
      <c r="M125">
        <f t="shared" si="25"/>
        <v>1.2722792627665729</v>
      </c>
      <c r="N125">
        <f t="shared" si="25"/>
        <v>1.3168090369634029</v>
      </c>
      <c r="O125">
        <f t="shared" si="25"/>
        <v>1.3628973532571218</v>
      </c>
      <c r="P125">
        <f t="shared" si="25"/>
        <v>1.410598760621121</v>
      </c>
      <c r="Q125">
        <f t="shared" si="25"/>
        <v>1.4599697172428601</v>
      </c>
      <c r="R125">
        <f t="shared" si="25"/>
        <v>1.5110686573463601</v>
      </c>
      <c r="S125">
        <f t="shared" si="25"/>
        <v>1.5639560603534826</v>
      </c>
      <c r="T125">
        <f t="shared" si="25"/>
        <v>1.6186945224658542</v>
      </c>
      <c r="U125">
        <f t="shared" si="25"/>
        <v>1.6753488307521589</v>
      </c>
      <c r="V125">
        <f t="shared" si="25"/>
        <v>1.7339860398284843</v>
      </c>
      <c r="W125">
        <f t="shared" si="25"/>
        <v>1.7946755512224812</v>
      </c>
      <c r="X125">
        <f t="shared" si="25"/>
        <v>1.8574891955152679</v>
      </c>
      <c r="Y125">
        <f t="shared" si="25"/>
        <v>1.9225013173583021</v>
      </c>
      <c r="Z125">
        <f t="shared" si="25"/>
        <v>1.9897888634658425</v>
      </c>
      <c r="AA125">
        <f t="shared" si="25"/>
        <v>2.0594314736871469</v>
      </c>
      <c r="AB125">
        <f t="shared" si="25"/>
        <v>2.1315115752661966</v>
      </c>
      <c r="AC125">
        <f t="shared" si="25"/>
        <v>2.2061144804005135</v>
      </c>
      <c r="AD125">
        <f t="shared" si="25"/>
        <v>2.2833284872145314</v>
      </c>
      <c r="AE125">
        <f t="shared" si="25"/>
        <v>2.3632449842670398</v>
      </c>
      <c r="AF125">
        <f t="shared" si="25"/>
        <v>2.4459585587163861</v>
      </c>
      <c r="AG125">
        <f t="shared" si="25"/>
        <v>2.5315671082714593</v>
      </c>
      <c r="AH125">
        <f t="shared" si="25"/>
        <v>2.6201719570609603</v>
      </c>
      <c r="AI125">
        <f t="shared" si="25"/>
        <v>2.7118779755580937</v>
      </c>
      <c r="AJ125">
        <f t="shared" si="25"/>
        <v>2.8067937047026268</v>
      </c>
      <c r="AK125">
        <f t="shared" si="25"/>
        <v>2.9050314843672185</v>
      </c>
      <c r="AL125">
        <f t="shared" si="25"/>
        <v>3.0067075863200707</v>
      </c>
      <c r="AM125">
        <f t="shared" si="25"/>
        <v>3.111942351841273</v>
      </c>
      <c r="AN125">
        <f t="shared" si="25"/>
        <v>1</v>
      </c>
    </row>
    <row r="126" spans="3:41" outlineLevel="2">
      <c r="D126" s="266"/>
      <c r="E126" s="309"/>
    </row>
    <row r="127" spans="3:41" outlineLevel="2">
      <c r="C127" s="28" t="s">
        <v>28</v>
      </c>
      <c r="D127" s="275"/>
      <c r="E127" s="83" t="s">
        <v>20</v>
      </c>
      <c r="F127" s="23">
        <f>SUM(G127:AN127)</f>
        <v>225809.85502067092</v>
      </c>
      <c r="G127" s="287">
        <f>IF(Inputs!$E$19=2,Ops!G115,G115*G119*G125)</f>
        <v>15451.717165367998</v>
      </c>
      <c r="H127" s="287">
        <f>IF(Inputs!$E$19=2,Ops!H115,H115*H119*H125)</f>
        <v>6334.3740971543702</v>
      </c>
      <c r="I127" s="287">
        <f>IF(Inputs!$E$19=2,Ops!I115,I115*I119*I125)</f>
        <v>6406.5075084297869</v>
      </c>
      <c r="J127" s="287">
        <f>IF(Inputs!$E$19=2,Ops!J115,J115*J119*J125)</f>
        <v>6477.8193831813778</v>
      </c>
      <c r="K127" s="287">
        <f>IF(Inputs!$E$19=2,Ops!K115,K115*K119*K125)</f>
        <v>6548.32822384881</v>
      </c>
      <c r="L127" s="287">
        <f>IF(Inputs!$E$19=2,Ops!L115,L115*L119*L125)</f>
        <v>6618.0519147711393</v>
      </c>
      <c r="M127" s="287">
        <f>IF(Inputs!$E$19=2,Ops!M115,M115*M119*M125)</f>
        <v>6687.0077494149991</v>
      </c>
      <c r="N127" s="287">
        <f>IF(Inputs!$E$19=2,Ops!N115,N115*N119*N125)</f>
        <v>6755.2124561198252</v>
      </c>
      <c r="O127" s="287">
        <f>IF(Inputs!$E$19=2,Ops!O115,O115*O119*O125)</f>
        <v>6822.6822224559801</v>
      </c>
      <c r="P127" s="287">
        <f>IF(Inputs!$E$19=2,Ops!P115,P115*P119*P125)</f>
        <v>6889.43271828452</v>
      </c>
      <c r="Q127" s="287">
        <f>IF(Inputs!$E$19=2,Ops!Q115,Q115*Q119*Q125)</f>
        <v>6955.4791176007702</v>
      </c>
      <c r="R127" s="287">
        <f>IF(Inputs!$E$19=2,Ops!R115,R115*R119*R125)</f>
        <v>7020.8361192378707</v>
      </c>
      <c r="S127" s="287">
        <f>IF(Inputs!$E$19=2,Ops!S115,S115*S119*S125)</f>
        <v>7085.5179665009537</v>
      </c>
      <c r="T127" s="287">
        <f>IF(Inputs!$E$19=2,Ops!T115,T115*T119*T125)</f>
        <v>7149.5384657975737</v>
      </c>
      <c r="U127" s="287">
        <f>IF(Inputs!$E$19=2,Ops!U115,U115*U119*U125)</f>
        <v>7212.9110043253195</v>
      </c>
      <c r="V127" s="287">
        <f>IF(Inputs!$E$19=2,Ops!V115,V115*V119*V125)</f>
        <v>7275.6485668732985</v>
      </c>
      <c r="W127" s="287">
        <f>IF(Inputs!$E$19=2,Ops!W115,W115*W119*W125)</f>
        <v>7337.7637517902504</v>
      </c>
      <c r="X127" s="287">
        <f>IF(Inputs!$E$19=2,Ops!X115,X115*X119*X125)</f>
        <v>7399.2687861683899</v>
      </c>
      <c r="Y127" s="287">
        <f>IF(Inputs!$E$19=2,Ops!Y115,Y115*Y119*Y125)</f>
        <v>7460.1755402887547</v>
      </c>
      <c r="Z127" s="287">
        <f>IF(Inputs!$E$19=2,Ops!Z115,Z115*Z119*Z125)</f>
        <v>7520.4955413707503</v>
      </c>
      <c r="AA127" s="287">
        <f>IF(Inputs!$E$19=2,Ops!AA115,AA115*AA119*AA125)</f>
        <v>7580.2399866657288</v>
      </c>
      <c r="AB127" s="287">
        <f>IF(Inputs!$E$19=2,Ops!AB115,AB115*AB119*AB125)</f>
        <v>7639.4197559317854</v>
      </c>
      <c r="AC127" s="287">
        <f>IF(Inputs!$E$19=2,Ops!AC115,AC115*AC119*AC125)</f>
        <v>7698.04542332456</v>
      </c>
      <c r="AD127" s="287">
        <f>IF(Inputs!$E$19=2,Ops!AD115,AD115*AD119*AD125)</f>
        <v>7756.1272687365181</v>
      </c>
      <c r="AE127" s="287">
        <f>IF(Inputs!$E$19=2,Ops!AE115,AE115*AE119*AE125)</f>
        <v>7813.6752886151517</v>
      </c>
      <c r="AF127" s="287">
        <f>IF(Inputs!$E$19=2,Ops!AF115,AF115*AF119*AF125)</f>
        <v>7870.6992062885556</v>
      </c>
      <c r="AG127" s="287">
        <f>IF(Inputs!$E$19=2,Ops!AG115,AG115*AG119*AG125)</f>
        <v>7927.2084818250605</v>
      </c>
      <c r="AH127" s="287">
        <f>IF(Inputs!$E$19=2,Ops!AH115,AH115*AH119*AH125)</f>
        <v>7983.2123214519324</v>
      </c>
      <c r="AI127" s="287">
        <f>IF(Inputs!$E$19=2,Ops!AI115,AI115*AI119*AI125)</f>
        <v>8038.7196865565847</v>
      </c>
      <c r="AJ127" s="287">
        <f>IF(Inputs!$E$19=2,Ops!AJ115,AJ115*AJ119*AJ125)</f>
        <v>8093.7393022923152</v>
      </c>
      <c r="AK127" s="287">
        <f>IF(Inputs!$E$19=2,Ops!AK115,AK115*AK119*AK125)</f>
        <v>0</v>
      </c>
      <c r="AL127" s="287">
        <f>IF(Inputs!$E$19=2,Ops!AL115,AL115*AL119*AL125)</f>
        <v>0</v>
      </c>
      <c r="AM127" s="287">
        <f>IF(Inputs!$E$19=2,Ops!AM115,AM115*AM119*AM125)</f>
        <v>0</v>
      </c>
      <c r="AN127" s="287">
        <f>IF(Inputs!$E$19=2,Ops!AN115,AN115*AN119*AN125)</f>
        <v>0</v>
      </c>
    </row>
    <row r="128" spans="3:41" outlineLevel="1">
      <c r="D128" s="266"/>
      <c r="E128" s="309"/>
    </row>
    <row r="129" spans="2:41" outlineLevel="1">
      <c r="C129" s="11" t="s">
        <v>183</v>
      </c>
      <c r="D129" s="266"/>
      <c r="E129" s="309"/>
    </row>
    <row r="130" spans="2:41" outlineLevel="2">
      <c r="D130" s="266"/>
      <c r="E130" s="309"/>
      <c r="I130" s="375"/>
      <c r="J130" s="375"/>
      <c r="K130" s="375"/>
      <c r="L130" s="375"/>
      <c r="M130" s="375"/>
      <c r="N130" s="375"/>
      <c r="O130" s="375"/>
      <c r="P130" s="375"/>
      <c r="Q130" s="375"/>
      <c r="R130" s="375"/>
    </row>
    <row r="131" spans="2:41" outlineLevel="2">
      <c r="C131" s="11" t="s">
        <v>400</v>
      </c>
      <c r="D131" s="266"/>
      <c r="E131" s="309"/>
    </row>
    <row r="132" spans="2:41" outlineLevel="3">
      <c r="C132" s="301" t="str">
        <f>Flags!C50</f>
        <v>Flag de operação</v>
      </c>
      <c r="D132" s="266"/>
      <c r="E132" s="32" t="str">
        <f>Flags!E50</f>
        <v>Flag</v>
      </c>
      <c r="F132" s="23">
        <f>Flags!F50</f>
        <v>29</v>
      </c>
      <c r="G132" s="25">
        <f>Flags!G50</f>
        <v>0</v>
      </c>
      <c r="H132" s="25">
        <v>1</v>
      </c>
      <c r="I132" s="25">
        <f>Flags!I50</f>
        <v>1</v>
      </c>
      <c r="J132" s="25">
        <f>Flags!J50</f>
        <v>1</v>
      </c>
      <c r="K132" s="25">
        <f>Flags!K50</f>
        <v>1</v>
      </c>
      <c r="L132" s="25">
        <f>Flags!L50</f>
        <v>1</v>
      </c>
      <c r="M132" s="25">
        <f>Flags!M50</f>
        <v>1</v>
      </c>
      <c r="N132" s="25">
        <f>Flags!N50</f>
        <v>1</v>
      </c>
      <c r="O132" s="25">
        <f>Flags!O50</f>
        <v>1</v>
      </c>
      <c r="P132" s="25">
        <f>Flags!P50</f>
        <v>1</v>
      </c>
      <c r="Q132" s="25">
        <f>Flags!Q50</f>
        <v>1</v>
      </c>
      <c r="R132" s="25">
        <f>Flags!R50</f>
        <v>1</v>
      </c>
      <c r="S132" s="25">
        <f>Flags!S50</f>
        <v>1</v>
      </c>
      <c r="T132" s="25">
        <f>Flags!T50</f>
        <v>1</v>
      </c>
      <c r="U132" s="25">
        <f>Flags!U50</f>
        <v>1</v>
      </c>
      <c r="V132" s="25">
        <f>Flags!V50</f>
        <v>1</v>
      </c>
      <c r="W132" s="25">
        <f>Flags!W50</f>
        <v>1</v>
      </c>
      <c r="X132" s="25">
        <f>Flags!X50</f>
        <v>1</v>
      </c>
      <c r="Y132" s="25">
        <f>Flags!Y50</f>
        <v>1</v>
      </c>
      <c r="Z132" s="25">
        <f>Flags!Z50</f>
        <v>1</v>
      </c>
      <c r="AA132" s="25">
        <f>Flags!AA50</f>
        <v>1</v>
      </c>
      <c r="AB132" s="25">
        <f>Flags!AB50</f>
        <v>1</v>
      </c>
      <c r="AC132" s="25">
        <f>Flags!AC50</f>
        <v>1</v>
      </c>
      <c r="AD132" s="25">
        <f>Flags!AD50</f>
        <v>1</v>
      </c>
      <c r="AE132" s="25">
        <f>Flags!AE50</f>
        <v>1</v>
      </c>
      <c r="AF132" s="25">
        <f>Flags!AF50</f>
        <v>1</v>
      </c>
      <c r="AG132" s="25">
        <f>Flags!AG50</f>
        <v>1</v>
      </c>
      <c r="AH132" s="25">
        <f>Flags!AH50</f>
        <v>1</v>
      </c>
      <c r="AI132" s="25">
        <f>Flags!AI50</f>
        <v>1</v>
      </c>
      <c r="AJ132" s="25">
        <f>Flags!AJ50</f>
        <v>1</v>
      </c>
      <c r="AK132" s="25">
        <f>Flags!AK50</f>
        <v>0</v>
      </c>
      <c r="AL132" s="25">
        <f>Flags!AL50</f>
        <v>0</v>
      </c>
      <c r="AM132" s="25">
        <f>Flags!AM50</f>
        <v>0</v>
      </c>
      <c r="AN132" s="25">
        <f>Flags!AN50</f>
        <v>0</v>
      </c>
    </row>
    <row r="133" spans="2:41" outlineLevel="3">
      <c r="C133" s="11"/>
      <c r="D133" s="266"/>
      <c r="E133" s="309"/>
    </row>
    <row r="134" spans="2:41" outlineLevel="2">
      <c r="C134" s="11" t="s">
        <v>401</v>
      </c>
      <c r="D134" s="266"/>
      <c r="E134" s="309"/>
      <c r="H134" s="299"/>
    </row>
    <row r="135" spans="2:41" outlineLevel="3">
      <c r="C135" s="266" t="s">
        <v>402</v>
      </c>
      <c r="D135" s="239"/>
      <c r="E135" s="76"/>
      <c r="F135" s="23">
        <f>SUM(G135:AN135)</f>
        <v>2</v>
      </c>
      <c r="G135" s="25">
        <v>0</v>
      </c>
      <c r="H135" s="25"/>
      <c r="I135" s="247">
        <v>1</v>
      </c>
      <c r="J135" s="247">
        <v>0</v>
      </c>
      <c r="K135" s="247">
        <v>0</v>
      </c>
      <c r="L135" s="247">
        <v>0</v>
      </c>
      <c r="M135" s="247">
        <v>1</v>
      </c>
      <c r="N135" s="247">
        <v>0</v>
      </c>
      <c r="O135" s="247">
        <v>0</v>
      </c>
      <c r="P135" s="247">
        <v>0</v>
      </c>
      <c r="Q135" s="247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25"/>
    </row>
    <row r="136" spans="2:41" outlineLevel="3">
      <c r="D136" s="239"/>
      <c r="E136" s="76"/>
      <c r="G136" s="319"/>
      <c r="H136" s="319"/>
      <c r="I136" s="319"/>
      <c r="J136" s="319"/>
      <c r="K136" s="319"/>
      <c r="L136" s="319"/>
      <c r="M136" s="319"/>
      <c r="N136" s="319"/>
      <c r="O136" s="319"/>
      <c r="P136" s="319"/>
      <c r="Q136" s="319"/>
      <c r="R136" s="319"/>
      <c r="S136" s="319"/>
      <c r="T136" s="319"/>
      <c r="U136" s="319"/>
      <c r="V136" s="319"/>
      <c r="W136" s="319"/>
      <c r="X136" s="319"/>
      <c r="Y136" s="319"/>
      <c r="Z136" s="319"/>
      <c r="AA136" s="319"/>
      <c r="AB136" s="319"/>
      <c r="AC136" s="319"/>
      <c r="AD136" s="319"/>
      <c r="AE136" s="319"/>
      <c r="AF136" s="319"/>
      <c r="AG136" s="319"/>
      <c r="AH136" s="319"/>
      <c r="AI136" s="319"/>
      <c r="AJ136" s="319"/>
      <c r="AK136" s="319"/>
      <c r="AL136" s="319"/>
      <c r="AM136" s="319"/>
      <c r="AN136" s="319"/>
      <c r="AO136" s="319"/>
    </row>
    <row r="137" spans="2:41" outlineLevel="3">
      <c r="C137" s="266" t="s">
        <v>185</v>
      </c>
      <c r="D137" s="473">
        <f>F137</f>
        <v>0.40350000000000003</v>
      </c>
      <c r="E137" s="492"/>
      <c r="F137" s="473">
        <f>SUM(G137:AN137)</f>
        <v>0.40350000000000003</v>
      </c>
      <c r="G137" s="319">
        <f>IF(G135=1,Inputs!$D94/$F$135,0)</f>
        <v>0</v>
      </c>
      <c r="H137" s="319">
        <f>IF(H135=1,Inputs!$D94/$F$135,0)</f>
        <v>0</v>
      </c>
      <c r="I137" s="376">
        <v>0.33850000000000002</v>
      </c>
      <c r="J137" s="319">
        <f>IF(J135=1,Inputs!$D94/$F$135,0)</f>
        <v>0</v>
      </c>
      <c r="K137" s="319">
        <f>IF(K135=1,Inputs!$D94/$F$135,0)</f>
        <v>0</v>
      </c>
      <c r="L137" s="319">
        <f>IF(L135=1,Inputs!$D94/$F$135,0)</f>
        <v>0</v>
      </c>
      <c r="M137" s="376">
        <v>6.5000000000000002E-2</v>
      </c>
      <c r="N137" s="319">
        <f>IF(N135=1,Inputs!$D94/$F$135,0)</f>
        <v>0</v>
      </c>
      <c r="O137" s="319">
        <f>IF(O135=1,Inputs!$D94/$F$135,0)</f>
        <v>0</v>
      </c>
      <c r="P137" s="319">
        <f>IF(P135=1,Inputs!$D94/$F$135,0)</f>
        <v>0</v>
      </c>
      <c r="Q137" s="319">
        <f>IF(Q135=1,Inputs!$D94/$F$135,0)</f>
        <v>0</v>
      </c>
      <c r="R137" s="319">
        <f>IF(R135=1,Inputs!$D94/$F$135,0)</f>
        <v>0</v>
      </c>
      <c r="S137" s="319">
        <f>IF(S135=1,Inputs!$D94/$F$135,0)</f>
        <v>0</v>
      </c>
      <c r="T137" s="319">
        <f>IF(T135=1,Inputs!$D94/$F$135,0)</f>
        <v>0</v>
      </c>
      <c r="U137" s="319">
        <f>IF(U135=1,Inputs!$D94/$F$135,0)</f>
        <v>0</v>
      </c>
      <c r="V137" s="319">
        <f>IF(V135=1,Inputs!$D94/$F$135,0)</f>
        <v>0</v>
      </c>
      <c r="W137" s="319">
        <f>IF(W135=1,Inputs!$D94/$F$135,0)</f>
        <v>0</v>
      </c>
      <c r="X137" s="319">
        <f>IF(X135=1,Inputs!$D94/$F$135,0)</f>
        <v>0</v>
      </c>
      <c r="Y137" s="319">
        <f>IF(Y135=1,Inputs!$D94/$F$135,0)</f>
        <v>0</v>
      </c>
      <c r="Z137" s="319">
        <f>IF(Z135=1,Inputs!$D94/$F$135,0)</f>
        <v>0</v>
      </c>
      <c r="AA137" s="319">
        <f>IF(AA135=1,Inputs!$D94/$F$135,0)</f>
        <v>0</v>
      </c>
      <c r="AB137" s="319">
        <f>IF(AB135=1,Inputs!$D94/$F$135,0)</f>
        <v>0</v>
      </c>
      <c r="AC137" s="319">
        <f>IF(AC135=1,Inputs!$D94/$F$135,0)</f>
        <v>0</v>
      </c>
      <c r="AD137" s="319">
        <f>IF(AD135=1,Inputs!$D94/$F$135,0)</f>
        <v>0</v>
      </c>
      <c r="AE137" s="319">
        <f>IF(AE135=1,Inputs!$D94/$F$135,0)</f>
        <v>0</v>
      </c>
      <c r="AF137" s="319">
        <f>IF(AF135=1,Inputs!$D94/$F$135,0)</f>
        <v>0</v>
      </c>
      <c r="AG137" s="319">
        <f>IF(AG135=1,Inputs!$D94/$F$135,0)</f>
        <v>0</v>
      </c>
      <c r="AH137" s="319">
        <f>IF(AH135=1,Inputs!$D94/$F$135,0)</f>
        <v>0</v>
      </c>
      <c r="AI137" s="319">
        <f>IF(AI135=1,Inputs!$D94/$F$135,0)</f>
        <v>0</v>
      </c>
      <c r="AJ137" s="319">
        <f>IF(AJ135=1,Inputs!$D94/$F$135,0)</f>
        <v>0</v>
      </c>
      <c r="AK137" s="319">
        <f>IF(AK135=1,Inputs!$D94/$F$135,0)</f>
        <v>0</v>
      </c>
      <c r="AL137" s="319">
        <f>IF(AL135=1,Inputs!$D94/$F$135,0)</f>
        <v>0</v>
      </c>
      <c r="AM137" s="319">
        <f>IF(AM135=1,Inputs!$D94/$F$135,0)</f>
        <v>0</v>
      </c>
      <c r="AN137" s="319">
        <f>IF(AN135=1,Inputs!$D94/$F$135,0)</f>
        <v>0</v>
      </c>
      <c r="AO137" s="319"/>
    </row>
    <row r="138" spans="2:41" outlineLevel="3">
      <c r="D138" s="239"/>
      <c r="E138" s="76"/>
      <c r="G138" s="319"/>
      <c r="H138" s="319"/>
      <c r="I138" s="319"/>
      <c r="J138" s="319"/>
      <c r="K138" s="319"/>
      <c r="L138" s="319"/>
      <c r="M138" s="319"/>
      <c r="N138" s="319"/>
      <c r="O138" s="319"/>
      <c r="P138" s="319"/>
      <c r="Q138" s="319"/>
      <c r="R138" s="319"/>
      <c r="S138" s="319"/>
      <c r="T138" s="319"/>
      <c r="U138" s="319"/>
      <c r="V138" s="319"/>
      <c r="W138" s="319"/>
      <c r="X138" s="319"/>
      <c r="Y138" s="319"/>
      <c r="Z138" s="319"/>
      <c r="AA138" s="319"/>
      <c r="AB138" s="319"/>
      <c r="AC138" s="319"/>
      <c r="AD138" s="319"/>
      <c r="AE138" s="319"/>
      <c r="AF138" s="319"/>
      <c r="AG138" s="319"/>
      <c r="AH138" s="319"/>
      <c r="AI138" s="319"/>
      <c r="AJ138" s="319"/>
      <c r="AK138" s="319"/>
      <c r="AL138" s="319"/>
      <c r="AM138" s="319"/>
      <c r="AN138" s="319"/>
      <c r="AO138" s="319"/>
    </row>
    <row r="139" spans="2:41" outlineLevel="3">
      <c r="C139" s="266" t="s">
        <v>403</v>
      </c>
      <c r="D139" s="118"/>
      <c r="E139" s="264" t="s">
        <v>403</v>
      </c>
      <c r="G139" s="376">
        <f>Inputs!E119</f>
        <v>1.179202891010056E-2</v>
      </c>
      <c r="H139" s="376">
        <f>Inputs!F119</f>
        <v>1.1654597558752089E-2</v>
      </c>
      <c r="I139" s="376">
        <f>Inputs!G119</f>
        <v>1.152033271719044E-2</v>
      </c>
      <c r="J139" s="376">
        <f>Inputs!H119</f>
        <v>1.1389126194076615E-2</v>
      </c>
      <c r="K139" s="376">
        <f>Inputs!I119</f>
        <v>1.1260874671388477E-2</v>
      </c>
      <c r="L139" s="376">
        <f>Inputs!J119</f>
        <v>1.1135479433086681E-2</v>
      </c>
      <c r="M139" s="376">
        <f>Inputs!K119</f>
        <v>1.1012846111709829E-2</v>
      </c>
      <c r="N139" s="376">
        <f>Inputs!L119</f>
        <v>1.0892884451532581E-2</v>
      </c>
      <c r="O139" s="376">
        <f>Inputs!M119</f>
        <v>1.077550808703398E-2</v>
      </c>
      <c r="P139" s="376">
        <f>Inputs!N119</f>
        <v>1.0660634335538433E-2</v>
      </c>
      <c r="Q139" s="376">
        <f>Inputs!O119</f>
        <v>1.0548184002978633E-2</v>
      </c>
      <c r="R139" s="376">
        <f>Inputs!P119</f>
        <v>1.0438081201823879E-2</v>
      </c>
      <c r="S139" s="376">
        <f>Inputs!Q119</f>
        <v>1.0330253180292459E-2</v>
      </c>
      <c r="T139" s="376">
        <f>Inputs!R119</f>
        <v>1.0224630162043669E-2</v>
      </c>
      <c r="U139" s="376">
        <f>Inputs!S119</f>
        <v>1.0121145195602477E-2</v>
      </c>
      <c r="V139" s="376">
        <f>Inputs!T119</f>
        <v>1.0019734012837178E-2</v>
      </c>
      <c r="W139" s="376">
        <f>Inputs!U119</f>
        <v>9.9203348958623039E-3</v>
      </c>
      <c r="X139" s="376">
        <f>Inputs!V119</f>
        <v>9.8228885517839259E-3</v>
      </c>
      <c r="Y139" s="376">
        <f>Inputs!W119</f>
        <v>9.7273379947560024E-3</v>
      </c>
      <c r="Z139" s="376">
        <f>Inputs!X119</f>
        <v>9.6336284348541579E-3</v>
      </c>
      <c r="AA139" s="376">
        <f>Inputs!Y119</f>
        <v>9.5417071733123748E-3</v>
      </c>
      <c r="AB139" s="376">
        <f>Inputs!Z119</f>
        <v>9.451523503698267E-3</v>
      </c>
      <c r="AC139" s="376">
        <f>Inputs!AA119</f>
        <v>9.3630286186434653E-3</v>
      </c>
      <c r="AD139" s="376">
        <f>Inputs!AB119</f>
        <v>9.2761755217616315E-3</v>
      </c>
      <c r="AE139" s="376">
        <f>Inputs!AC119</f>
        <v>9.1909189444268069E-3</v>
      </c>
      <c r="AF139" s="376">
        <f>Inputs!AD119</f>
        <v>9.1072152670974571E-3</v>
      </c>
      <c r="AG139" s="376">
        <f>Inputs!AE119</f>
        <v>9.0250224449013317E-3</v>
      </c>
      <c r="AH139" s="376">
        <f>Inputs!AF119</f>
        <v>8.9442999372140175E-3</v>
      </c>
      <c r="AI139" s="376">
        <f>Inputs!AG119</f>
        <v>8.865008640983163E-3</v>
      </c>
      <c r="AJ139" s="376">
        <f>Inputs!AH119</f>
        <v>8.7871108275674459E-3</v>
      </c>
      <c r="AK139" s="319"/>
      <c r="AL139" s="319"/>
      <c r="AM139" s="319"/>
      <c r="AN139" s="319"/>
      <c r="AO139" s="319"/>
    </row>
    <row r="140" spans="2:41" outlineLevel="3">
      <c r="D140" s="239"/>
      <c r="E140" s="76"/>
      <c r="G140" s="319"/>
      <c r="H140" s="319"/>
      <c r="I140" s="319"/>
      <c r="J140" s="319"/>
      <c r="K140" s="319"/>
      <c r="L140" s="319"/>
      <c r="M140" s="319"/>
      <c r="N140" s="319"/>
      <c r="O140" s="319"/>
      <c r="P140" s="319"/>
      <c r="Q140" s="319"/>
      <c r="R140" s="319"/>
      <c r="S140" s="319"/>
      <c r="T140" s="319"/>
      <c r="U140" s="319"/>
      <c r="V140" s="319"/>
      <c r="W140" s="319"/>
      <c r="X140" s="319"/>
      <c r="Y140" s="319"/>
      <c r="Z140" s="319"/>
      <c r="AA140" s="319"/>
      <c r="AB140" s="319"/>
      <c r="AC140" s="319"/>
      <c r="AD140" s="319"/>
      <c r="AE140" s="319"/>
      <c r="AF140" s="319"/>
      <c r="AG140" s="319"/>
      <c r="AH140" s="319"/>
      <c r="AI140" s="319"/>
      <c r="AJ140" s="319"/>
      <c r="AK140" s="319"/>
      <c r="AL140" s="319"/>
      <c r="AM140" s="319"/>
      <c r="AN140" s="319"/>
      <c r="AO140" s="319"/>
    </row>
    <row r="141" spans="2:41" outlineLevel="3">
      <c r="B141" s="309">
        <v>1</v>
      </c>
      <c r="C141" s="266" t="str">
        <f>Inputs!C97</f>
        <v>Residenciais Frequência Semanal - 6 vezes</v>
      </c>
      <c r="D141" s="858">
        <f>ROUND((1799*95%),0)</f>
        <v>1709</v>
      </c>
      <c r="E141" s="265" t="s">
        <v>404</v>
      </c>
      <c r="F141" s="23">
        <f>SUM(G141:AJ141)</f>
        <v>60570</v>
      </c>
      <c r="G141" s="319">
        <f>ROUND(D141*(1+G$139),0)</f>
        <v>1729</v>
      </c>
      <c r="H141" s="319">
        <f>ROUND(G141*(1+H$139),0)</f>
        <v>1749</v>
      </c>
      <c r="I141" s="319">
        <f t="shared" ref="I141:AJ141" si="26">ROUND(H141*(1+I$139),0)</f>
        <v>1769</v>
      </c>
      <c r="J141" s="319">
        <f t="shared" si="26"/>
        <v>1789</v>
      </c>
      <c r="K141" s="319">
        <f t="shared" si="26"/>
        <v>1809</v>
      </c>
      <c r="L141" s="319">
        <f t="shared" si="26"/>
        <v>1829</v>
      </c>
      <c r="M141" s="319">
        <f t="shared" si="26"/>
        <v>1849</v>
      </c>
      <c r="N141" s="319">
        <f t="shared" si="26"/>
        <v>1869</v>
      </c>
      <c r="O141" s="319">
        <f t="shared" si="26"/>
        <v>1889</v>
      </c>
      <c r="P141" s="319">
        <f t="shared" si="26"/>
        <v>1909</v>
      </c>
      <c r="Q141" s="319">
        <f t="shared" si="26"/>
        <v>1929</v>
      </c>
      <c r="R141" s="319">
        <f t="shared" si="26"/>
        <v>1949</v>
      </c>
      <c r="S141" s="319">
        <f t="shared" si="26"/>
        <v>1969</v>
      </c>
      <c r="T141" s="319">
        <f t="shared" si="26"/>
        <v>1989</v>
      </c>
      <c r="U141" s="319">
        <f t="shared" si="26"/>
        <v>2009</v>
      </c>
      <c r="V141" s="319">
        <f t="shared" si="26"/>
        <v>2029</v>
      </c>
      <c r="W141" s="319">
        <f t="shared" si="26"/>
        <v>2049</v>
      </c>
      <c r="X141" s="319">
        <f t="shared" si="26"/>
        <v>2069</v>
      </c>
      <c r="Y141" s="319">
        <f t="shared" si="26"/>
        <v>2089</v>
      </c>
      <c r="Z141" s="319">
        <f t="shared" si="26"/>
        <v>2109</v>
      </c>
      <c r="AA141" s="319">
        <f t="shared" si="26"/>
        <v>2129</v>
      </c>
      <c r="AB141" s="319">
        <f t="shared" si="26"/>
        <v>2149</v>
      </c>
      <c r="AC141" s="319">
        <f t="shared" si="26"/>
        <v>2169</v>
      </c>
      <c r="AD141" s="319">
        <f t="shared" si="26"/>
        <v>2189</v>
      </c>
      <c r="AE141" s="319">
        <f t="shared" si="26"/>
        <v>2209</v>
      </c>
      <c r="AF141" s="319">
        <f t="shared" si="26"/>
        <v>2229</v>
      </c>
      <c r="AG141" s="319">
        <f t="shared" si="26"/>
        <v>2249</v>
      </c>
      <c r="AH141" s="319">
        <f t="shared" si="26"/>
        <v>2269</v>
      </c>
      <c r="AI141" s="319">
        <f t="shared" si="26"/>
        <v>2289</v>
      </c>
      <c r="AJ141" s="319">
        <f t="shared" si="26"/>
        <v>2309</v>
      </c>
      <c r="AK141" s="319"/>
      <c r="AL141" s="319"/>
      <c r="AM141" s="319"/>
      <c r="AN141" s="319"/>
      <c r="AO141" s="319"/>
    </row>
    <row r="142" spans="2:41" outlineLevel="3">
      <c r="B142" s="309">
        <v>2</v>
      </c>
      <c r="C142" s="266" t="str">
        <f>Inputs!C98</f>
        <v>ResidenciaisFrequência Semanal - 3 vezes</v>
      </c>
      <c r="D142" s="858">
        <f>ROUND(16490*95%,0)</f>
        <v>15666</v>
      </c>
      <c r="E142" s="265" t="s">
        <v>404</v>
      </c>
      <c r="F142" s="23">
        <f t="shared" ref="F142:F147" si="27">SUM(G142:AJ142)</f>
        <v>556005</v>
      </c>
      <c r="G142" s="319">
        <f>ROUND(D142*(1+G$139),0)</f>
        <v>15851</v>
      </c>
      <c r="H142" s="319">
        <f>ROUND(G142*(1+H$139),0)</f>
        <v>16036</v>
      </c>
      <c r="I142" s="319">
        <f t="shared" ref="I142:AJ142" si="28">ROUND(H142*(1+I$139),0)</f>
        <v>16221</v>
      </c>
      <c r="J142" s="319">
        <f t="shared" si="28"/>
        <v>16406</v>
      </c>
      <c r="K142" s="319">
        <f t="shared" si="28"/>
        <v>16591</v>
      </c>
      <c r="L142" s="319">
        <f t="shared" si="28"/>
        <v>16776</v>
      </c>
      <c r="M142" s="319">
        <f t="shared" si="28"/>
        <v>16961</v>
      </c>
      <c r="N142" s="319">
        <f t="shared" si="28"/>
        <v>17146</v>
      </c>
      <c r="O142" s="319">
        <f t="shared" si="28"/>
        <v>17331</v>
      </c>
      <c r="P142" s="319">
        <f t="shared" si="28"/>
        <v>17516</v>
      </c>
      <c r="Q142" s="319">
        <f t="shared" si="28"/>
        <v>17701</v>
      </c>
      <c r="R142" s="319">
        <f t="shared" si="28"/>
        <v>17886</v>
      </c>
      <c r="S142" s="319">
        <f t="shared" si="28"/>
        <v>18071</v>
      </c>
      <c r="T142" s="319">
        <f t="shared" si="28"/>
        <v>18256</v>
      </c>
      <c r="U142" s="319">
        <f t="shared" si="28"/>
        <v>18441</v>
      </c>
      <c r="V142" s="319">
        <f t="shared" si="28"/>
        <v>18626</v>
      </c>
      <c r="W142" s="319">
        <f t="shared" si="28"/>
        <v>18811</v>
      </c>
      <c r="X142" s="319">
        <f t="shared" si="28"/>
        <v>18996</v>
      </c>
      <c r="Y142" s="319">
        <f t="shared" si="28"/>
        <v>19181</v>
      </c>
      <c r="Z142" s="319">
        <f t="shared" si="28"/>
        <v>19366</v>
      </c>
      <c r="AA142" s="319">
        <f t="shared" si="28"/>
        <v>19551</v>
      </c>
      <c r="AB142" s="319">
        <f t="shared" si="28"/>
        <v>19736</v>
      </c>
      <c r="AC142" s="319">
        <f t="shared" si="28"/>
        <v>19921</v>
      </c>
      <c r="AD142" s="319">
        <f t="shared" si="28"/>
        <v>20106</v>
      </c>
      <c r="AE142" s="319">
        <f t="shared" si="28"/>
        <v>20291</v>
      </c>
      <c r="AF142" s="319">
        <f t="shared" si="28"/>
        <v>20476</v>
      </c>
      <c r="AG142" s="319">
        <f t="shared" si="28"/>
        <v>20661</v>
      </c>
      <c r="AH142" s="319">
        <f t="shared" si="28"/>
        <v>20846</v>
      </c>
      <c r="AI142" s="319">
        <f t="shared" si="28"/>
        <v>21031</v>
      </c>
      <c r="AJ142" s="319">
        <f t="shared" si="28"/>
        <v>21216</v>
      </c>
      <c r="AK142" s="319"/>
      <c r="AL142" s="319"/>
      <c r="AM142" s="319"/>
      <c r="AN142" s="319"/>
      <c r="AO142" s="319"/>
    </row>
    <row r="143" spans="2:41" outlineLevel="3">
      <c r="B143" s="309">
        <v>3</v>
      </c>
      <c r="C143" s="266" t="str">
        <f>Inputs!C99</f>
        <v>Residenciais - Tarifa Social</v>
      </c>
      <c r="D143" s="858">
        <f>ROUND(((16490*5%)+(1799*5%)),0)</f>
        <v>914</v>
      </c>
      <c r="E143" s="265" t="s">
        <v>404</v>
      </c>
      <c r="F143" s="23">
        <f t="shared" si="27"/>
        <v>32535</v>
      </c>
      <c r="G143" s="319">
        <f>ROUND(D143*(1+G$139),0)</f>
        <v>925</v>
      </c>
      <c r="H143" s="319">
        <f>ROUND(G143*(1+H$139),0)</f>
        <v>936</v>
      </c>
      <c r="I143" s="319">
        <f t="shared" ref="I143:AJ143" si="29">ROUND(H143*(1+I$139),0)</f>
        <v>947</v>
      </c>
      <c r="J143" s="319">
        <f t="shared" si="29"/>
        <v>958</v>
      </c>
      <c r="K143" s="319">
        <f t="shared" si="29"/>
        <v>969</v>
      </c>
      <c r="L143" s="319">
        <f t="shared" si="29"/>
        <v>980</v>
      </c>
      <c r="M143" s="319">
        <f t="shared" si="29"/>
        <v>991</v>
      </c>
      <c r="N143" s="319">
        <f t="shared" si="29"/>
        <v>1002</v>
      </c>
      <c r="O143" s="319">
        <f t="shared" si="29"/>
        <v>1013</v>
      </c>
      <c r="P143" s="319">
        <f t="shared" si="29"/>
        <v>1024</v>
      </c>
      <c r="Q143" s="319">
        <f t="shared" si="29"/>
        <v>1035</v>
      </c>
      <c r="R143" s="319">
        <f t="shared" si="29"/>
        <v>1046</v>
      </c>
      <c r="S143" s="319">
        <f t="shared" si="29"/>
        <v>1057</v>
      </c>
      <c r="T143" s="319">
        <f t="shared" si="29"/>
        <v>1068</v>
      </c>
      <c r="U143" s="319">
        <f t="shared" si="29"/>
        <v>1079</v>
      </c>
      <c r="V143" s="319">
        <f t="shared" si="29"/>
        <v>1090</v>
      </c>
      <c r="W143" s="319">
        <f t="shared" si="29"/>
        <v>1101</v>
      </c>
      <c r="X143" s="319">
        <f t="shared" si="29"/>
        <v>1112</v>
      </c>
      <c r="Y143" s="319">
        <f t="shared" si="29"/>
        <v>1123</v>
      </c>
      <c r="Z143" s="319">
        <f t="shared" si="29"/>
        <v>1134</v>
      </c>
      <c r="AA143" s="319">
        <f t="shared" si="29"/>
        <v>1145</v>
      </c>
      <c r="AB143" s="319">
        <f t="shared" si="29"/>
        <v>1156</v>
      </c>
      <c r="AC143" s="319">
        <f t="shared" si="29"/>
        <v>1167</v>
      </c>
      <c r="AD143" s="319">
        <f t="shared" si="29"/>
        <v>1178</v>
      </c>
      <c r="AE143" s="319">
        <f t="shared" si="29"/>
        <v>1189</v>
      </c>
      <c r="AF143" s="319">
        <f t="shared" si="29"/>
        <v>1200</v>
      </c>
      <c r="AG143" s="319">
        <f t="shared" si="29"/>
        <v>1211</v>
      </c>
      <c r="AH143" s="319">
        <f t="shared" si="29"/>
        <v>1222</v>
      </c>
      <c r="AI143" s="319">
        <f t="shared" si="29"/>
        <v>1233</v>
      </c>
      <c r="AJ143" s="319">
        <f t="shared" si="29"/>
        <v>1244</v>
      </c>
      <c r="AK143" s="319"/>
      <c r="AL143" s="319"/>
      <c r="AM143" s="319"/>
      <c r="AN143" s="319"/>
      <c r="AO143" s="319"/>
    </row>
    <row r="144" spans="2:41" outlineLevel="3">
      <c r="B144" s="309">
        <v>4</v>
      </c>
      <c r="C144" s="266" t="str">
        <f>Inputs!C100</f>
        <v>Não Residenciais</v>
      </c>
      <c r="D144" s="858">
        <v>1</v>
      </c>
      <c r="E144" s="265" t="s">
        <v>404</v>
      </c>
      <c r="F144" s="23">
        <f t="shared" si="27"/>
        <v>35.483293443196757</v>
      </c>
      <c r="G144" s="319">
        <f t="shared" ref="G144" si="30">$D144*(1+G$139)</f>
        <v>1.0117920289101006</v>
      </c>
      <c r="H144" s="319">
        <f>G144*(1+H$139)</f>
        <v>1.0235840578202011</v>
      </c>
      <c r="I144" s="319">
        <f t="shared" ref="I144" si="31">IF(I$132=0,$D144*(1+I$139),H144*(1+I$139))</f>
        <v>1.0353760867303017</v>
      </c>
      <c r="J144" s="319">
        <f t="shared" ref="J144" si="32">IF(J$132=0,$D144*(1+J$139),I144*(1+J$139))</f>
        <v>1.0471681156404022</v>
      </c>
      <c r="K144" s="319">
        <f t="shared" ref="K144" si="33">IF(K$132=0,$D144*(1+K$139),J144*(1+K$139))</f>
        <v>1.0589601445505028</v>
      </c>
      <c r="L144" s="319">
        <f t="shared" ref="L144" si="34">IF(L$132=0,$D144*(1+L$139),K144*(1+L$139))</f>
        <v>1.0707521734606034</v>
      </c>
      <c r="M144" s="319">
        <f t="shared" ref="M144" si="35">IF(M$132=0,$D144*(1+M$139),L144*(1+M$139))</f>
        <v>1.0825442023707039</v>
      </c>
      <c r="N144" s="319">
        <f t="shared" ref="N144" si="36">IF(N$132=0,$D144*(1+N$139),M144*(1+N$139))</f>
        <v>1.0943362312808045</v>
      </c>
      <c r="O144" s="319">
        <f t="shared" ref="O144" si="37">IF(O$132=0,$D144*(1+O$139),N144*(1+O$139))</f>
        <v>1.106128260190905</v>
      </c>
      <c r="P144" s="319">
        <f t="shared" ref="P144" si="38">IF(P$132=0,$D144*(1+P$139),O144*(1+P$139))</f>
        <v>1.1179202891010056</v>
      </c>
      <c r="Q144" s="319">
        <f t="shared" ref="Q144" si="39">IF(Q$132=0,$D144*(1+Q$139),P144*(1+Q$139))</f>
        <v>1.1297123180111062</v>
      </c>
      <c r="R144" s="319">
        <f t="shared" ref="R144" si="40">IF(R$132=0,$D144*(1+R$139),Q144*(1+R$139))</f>
        <v>1.1415043469212067</v>
      </c>
      <c r="S144" s="319">
        <f t="shared" ref="S144" si="41">IF(S$132=0,$D144*(1+S$139),R144*(1+S$139))</f>
        <v>1.1532963758313073</v>
      </c>
      <c r="T144" s="319">
        <f t="shared" ref="T144" si="42">IF(T$132=0,$D144*(1+T$139),S144*(1+T$139))</f>
        <v>1.1650884047414076</v>
      </c>
      <c r="U144" s="319">
        <f t="shared" ref="U144" si="43">IF(U$132=0,$D144*(1+U$139),T144*(1+U$139))</f>
        <v>1.1768804336515082</v>
      </c>
      <c r="V144" s="319">
        <f t="shared" ref="V144" si="44">IF(V$132=0,$D144*(1+V$139),U144*(1+V$139))</f>
        <v>1.1886724625616087</v>
      </c>
      <c r="W144" s="319">
        <f t="shared" ref="W144" si="45">IF(W$132=0,$D144*(1+W$139),V144*(1+W$139))</f>
        <v>1.2004644914717093</v>
      </c>
      <c r="X144" s="319">
        <f t="shared" ref="X144" si="46">IF(X$132=0,$D144*(1+X$139),W144*(1+X$139))</f>
        <v>1.2122565203818099</v>
      </c>
      <c r="Y144" s="319">
        <f t="shared" ref="Y144" si="47">IF(Y$132=0,$D144*(1+Y$139),X144*(1+Y$139))</f>
        <v>1.2240485492919106</v>
      </c>
      <c r="Z144" s="319">
        <f t="shared" ref="Z144" si="48">IF(Z$132=0,$D144*(1+Z$139),Y144*(1+Z$139))</f>
        <v>1.2358405782020112</v>
      </c>
      <c r="AA144" s="319">
        <f t="shared" ref="AA144" si="49">IF(AA$132=0,$D144*(1+AA$139),Z144*(1+AA$139))</f>
        <v>1.2476326071121118</v>
      </c>
      <c r="AB144" s="319">
        <f t="shared" ref="AB144" si="50">IF(AB$132=0,$D144*(1+AB$139),AA144*(1+AB$139))</f>
        <v>1.2594246360222123</v>
      </c>
      <c r="AC144" s="319">
        <f t="shared" ref="AC144" si="51">IF(AC$132=0,$D144*(1+AC$139),AB144*(1+AC$139))</f>
        <v>1.2712166649323129</v>
      </c>
      <c r="AD144" s="319">
        <f t="shared" ref="AD144" si="52">IF(AD$132=0,$D144*(1+AD$139),AC144*(1+AD$139))</f>
        <v>1.2830086938424135</v>
      </c>
      <c r="AE144" s="319">
        <f t="shared" ref="AE144" si="53">IF(AE$132=0,$D144*(1+AE$139),AD144*(1+AE$139))</f>
        <v>1.294800722752514</v>
      </c>
      <c r="AF144" s="319">
        <f t="shared" ref="AF144" si="54">IF(AF$132=0,$D144*(1+AF$139),AE144*(1+AF$139))</f>
        <v>1.3065927516626146</v>
      </c>
      <c r="AG144" s="319">
        <f t="shared" ref="AG144" si="55">IF(AG$132=0,$D144*(1+AG$139),AF144*(1+AG$139))</f>
        <v>1.3183847805727151</v>
      </c>
      <c r="AH144" s="319">
        <f t="shared" ref="AH144" si="56">IF(AH$132=0,$D144*(1+AH$139),AG144*(1+AH$139))</f>
        <v>1.3301768094828157</v>
      </c>
      <c r="AI144" s="319">
        <f t="shared" ref="AI144" si="57">IF(AI$132=0,$D144*(1+AI$139),AH144*(1+AI$139))</f>
        <v>1.3419688383929163</v>
      </c>
      <c r="AJ144" s="319">
        <f t="shared" ref="AJ144" si="58">IF(AJ$132=0,$D144*(1+AJ$139),AI144*(1+AJ$139))</f>
        <v>1.3537608673030168</v>
      </c>
      <c r="AK144" s="319"/>
      <c r="AL144" s="319"/>
      <c r="AM144" s="319"/>
      <c r="AN144" s="319"/>
      <c r="AO144" s="319"/>
    </row>
    <row r="145" spans="2:41" hidden="1" outlineLevel="3">
      <c r="B145" s="309">
        <v>15</v>
      </c>
      <c r="C145" s="266">
        <f>Inputs!C101</f>
        <v>0</v>
      </c>
      <c r="D145">
        <v>0</v>
      </c>
      <c r="E145" s="265" t="s">
        <v>404</v>
      </c>
      <c r="F145" s="23">
        <f t="shared" si="27"/>
        <v>0</v>
      </c>
      <c r="G145" s="319">
        <f>$D145*(1+G$139)</f>
        <v>0</v>
      </c>
      <c r="H145" s="319">
        <f>G145*(1+H$139)</f>
        <v>0</v>
      </c>
      <c r="I145" s="319">
        <f t="shared" ref="I145:AJ145" si="59">IF(I$132=0,$D145*(1+I$139),H145*(1+I$139))</f>
        <v>0</v>
      </c>
      <c r="J145" s="319">
        <f t="shared" si="59"/>
        <v>0</v>
      </c>
      <c r="K145" s="319">
        <f t="shared" si="59"/>
        <v>0</v>
      </c>
      <c r="L145" s="319">
        <f t="shared" si="59"/>
        <v>0</v>
      </c>
      <c r="M145" s="319">
        <f t="shared" si="59"/>
        <v>0</v>
      </c>
      <c r="N145" s="319">
        <f t="shared" si="59"/>
        <v>0</v>
      </c>
      <c r="O145" s="319">
        <f t="shared" si="59"/>
        <v>0</v>
      </c>
      <c r="P145" s="319">
        <f t="shared" si="59"/>
        <v>0</v>
      </c>
      <c r="Q145" s="319">
        <f t="shared" si="59"/>
        <v>0</v>
      </c>
      <c r="R145" s="319">
        <f t="shared" si="59"/>
        <v>0</v>
      </c>
      <c r="S145" s="319">
        <f t="shared" si="59"/>
        <v>0</v>
      </c>
      <c r="T145" s="319">
        <f t="shared" si="59"/>
        <v>0</v>
      </c>
      <c r="U145" s="319">
        <f t="shared" si="59"/>
        <v>0</v>
      </c>
      <c r="V145" s="319">
        <f t="shared" si="59"/>
        <v>0</v>
      </c>
      <c r="W145" s="319">
        <f t="shared" si="59"/>
        <v>0</v>
      </c>
      <c r="X145" s="319">
        <f t="shared" si="59"/>
        <v>0</v>
      </c>
      <c r="Y145" s="319">
        <f t="shared" si="59"/>
        <v>0</v>
      </c>
      <c r="Z145" s="319">
        <f t="shared" si="59"/>
        <v>0</v>
      </c>
      <c r="AA145" s="319">
        <f t="shared" si="59"/>
        <v>0</v>
      </c>
      <c r="AB145" s="319">
        <f t="shared" si="59"/>
        <v>0</v>
      </c>
      <c r="AC145" s="319">
        <f t="shared" si="59"/>
        <v>0</v>
      </c>
      <c r="AD145" s="319">
        <f t="shared" si="59"/>
        <v>0</v>
      </c>
      <c r="AE145" s="319">
        <f t="shared" si="59"/>
        <v>0</v>
      </c>
      <c r="AF145" s="319">
        <f t="shared" si="59"/>
        <v>0</v>
      </c>
      <c r="AG145" s="319">
        <f t="shared" si="59"/>
        <v>0</v>
      </c>
      <c r="AH145" s="319">
        <f t="shared" si="59"/>
        <v>0</v>
      </c>
      <c r="AI145" s="319">
        <f t="shared" si="59"/>
        <v>0</v>
      </c>
      <c r="AJ145" s="319">
        <f t="shared" si="59"/>
        <v>0</v>
      </c>
      <c r="AK145" s="319"/>
      <c r="AL145" s="319"/>
      <c r="AM145" s="319"/>
      <c r="AN145" s="319"/>
      <c r="AO145" s="319"/>
    </row>
    <row r="146" spans="2:41" hidden="1" outlineLevel="3">
      <c r="B146" s="309">
        <v>16</v>
      </c>
      <c r="C146" s="266">
        <f>Inputs!C102</f>
        <v>0</v>
      </c>
      <c r="D146">
        <v>0</v>
      </c>
      <c r="E146" s="265" t="s">
        <v>404</v>
      </c>
      <c r="F146" s="23">
        <f t="shared" si="27"/>
        <v>0</v>
      </c>
      <c r="G146" s="319">
        <f>$D146*(1+G$139)</f>
        <v>0</v>
      </c>
      <c r="H146" s="319">
        <f>G146*(1+H$139)</f>
        <v>0</v>
      </c>
      <c r="I146" s="319">
        <f t="shared" ref="I146:I147" si="60">IF(I$132=0,$D146*(1+I$139),H146*(1+I$139))</f>
        <v>0</v>
      </c>
      <c r="J146" s="319">
        <f t="shared" ref="J146:J147" si="61">IF(J$132=0,$D146*(1+J$139),I146*(1+J$139))</f>
        <v>0</v>
      </c>
      <c r="K146" s="319">
        <f t="shared" ref="K146:K147" si="62">IF(K$132=0,$D146*(1+K$139),J146*(1+K$139))</f>
        <v>0</v>
      </c>
      <c r="L146" s="319">
        <f t="shared" ref="L146:L147" si="63">IF(L$132=0,$D146*(1+L$139),K146*(1+L$139))</f>
        <v>0</v>
      </c>
      <c r="M146" s="319">
        <f t="shared" ref="M146:M147" si="64">IF(M$132=0,$D146*(1+M$139),L146*(1+M$139))</f>
        <v>0</v>
      </c>
      <c r="N146" s="319">
        <f t="shared" ref="N146:N147" si="65">IF(N$132=0,$D146*(1+N$139),M146*(1+N$139))</f>
        <v>0</v>
      </c>
      <c r="O146" s="319">
        <f t="shared" ref="O146:O147" si="66">IF(O$132=0,$D146*(1+O$139),N146*(1+O$139))</f>
        <v>0</v>
      </c>
      <c r="P146" s="319">
        <f t="shared" ref="P146:P147" si="67">IF(P$132=0,$D146*(1+P$139),O146*(1+P$139))</f>
        <v>0</v>
      </c>
      <c r="Q146" s="319">
        <f t="shared" ref="Q146:Q147" si="68">IF(Q$132=0,$D146*(1+Q$139),P146*(1+Q$139))</f>
        <v>0</v>
      </c>
      <c r="R146" s="319">
        <f t="shared" ref="R146:R147" si="69">IF(R$132=0,$D146*(1+R$139),Q146*(1+R$139))</f>
        <v>0</v>
      </c>
      <c r="S146" s="319">
        <f t="shared" ref="S146:S147" si="70">IF(S$132=0,$D146*(1+S$139),R146*(1+S$139))</f>
        <v>0</v>
      </c>
      <c r="T146" s="319">
        <f t="shared" ref="T146:T147" si="71">IF(T$132=0,$D146*(1+T$139),S146*(1+T$139))</f>
        <v>0</v>
      </c>
      <c r="U146" s="319">
        <f t="shared" ref="U146:U147" si="72">IF(U$132=0,$D146*(1+U$139),T146*(1+U$139))</f>
        <v>0</v>
      </c>
      <c r="V146" s="319">
        <f t="shared" ref="V146:V147" si="73">IF(V$132=0,$D146*(1+V$139),U146*(1+V$139))</f>
        <v>0</v>
      </c>
      <c r="W146" s="319">
        <f t="shared" ref="W146:W147" si="74">IF(W$132=0,$D146*(1+W$139),V146*(1+W$139))</f>
        <v>0</v>
      </c>
      <c r="X146" s="319">
        <f t="shared" ref="X146:X147" si="75">IF(X$132=0,$D146*(1+X$139),W146*(1+X$139))</f>
        <v>0</v>
      </c>
      <c r="Y146" s="319">
        <f t="shared" ref="Y146:Y147" si="76">IF(Y$132=0,$D146*(1+Y$139),X146*(1+Y$139))</f>
        <v>0</v>
      </c>
      <c r="Z146" s="319">
        <f t="shared" ref="Z146:Z147" si="77">IF(Z$132=0,$D146*(1+Z$139),Y146*(1+Z$139))</f>
        <v>0</v>
      </c>
      <c r="AA146" s="319">
        <f t="shared" ref="AA146:AA147" si="78">IF(AA$132=0,$D146*(1+AA$139),Z146*(1+AA$139))</f>
        <v>0</v>
      </c>
      <c r="AB146" s="319">
        <f t="shared" ref="AB146:AB147" si="79">IF(AB$132=0,$D146*(1+AB$139),AA146*(1+AB$139))</f>
        <v>0</v>
      </c>
      <c r="AC146" s="319">
        <f t="shared" ref="AC146:AC147" si="80">IF(AC$132=0,$D146*(1+AC$139),AB146*(1+AC$139))</f>
        <v>0</v>
      </c>
      <c r="AD146" s="319">
        <f t="shared" ref="AD146:AD147" si="81">IF(AD$132=0,$D146*(1+AD$139),AC146*(1+AD$139))</f>
        <v>0</v>
      </c>
      <c r="AE146" s="319">
        <f t="shared" ref="AE146:AE147" si="82">IF(AE$132=0,$D146*(1+AE$139),AD146*(1+AE$139))</f>
        <v>0</v>
      </c>
      <c r="AF146" s="319">
        <f t="shared" ref="AF146:AF147" si="83">IF(AF$132=0,$D146*(1+AF$139),AE146*(1+AF$139))</f>
        <v>0</v>
      </c>
      <c r="AG146" s="319">
        <f t="shared" ref="AG146:AG147" si="84">IF(AG$132=0,$D146*(1+AG$139),AF146*(1+AG$139))</f>
        <v>0</v>
      </c>
      <c r="AH146" s="319">
        <f t="shared" ref="AH146:AH147" si="85">IF(AH$132=0,$D146*(1+AH$139),AG146*(1+AH$139))</f>
        <v>0</v>
      </c>
      <c r="AI146" s="319">
        <f t="shared" ref="AI146:AI147" si="86">IF(AI$132=0,$D146*(1+AI$139),AH146*(1+AI$139))</f>
        <v>0</v>
      </c>
      <c r="AJ146" s="319">
        <f t="shared" ref="AJ146:AJ147" si="87">IF(AJ$132=0,$D146*(1+AJ$139),AI146*(1+AJ$139))</f>
        <v>0</v>
      </c>
      <c r="AK146" s="319"/>
      <c r="AL146" s="319"/>
      <c r="AM146" s="319"/>
      <c r="AN146" s="319"/>
      <c r="AO146" s="319"/>
    </row>
    <row r="147" spans="2:41" hidden="1" outlineLevel="3">
      <c r="B147" s="309">
        <v>17</v>
      </c>
      <c r="C147" s="266">
        <f>Inputs!C103</f>
        <v>0</v>
      </c>
      <c r="D147">
        <v>0</v>
      </c>
      <c r="E147" s="265" t="s">
        <v>404</v>
      </c>
      <c r="F147" s="23">
        <f t="shared" si="27"/>
        <v>0</v>
      </c>
      <c r="G147" s="319">
        <f>$D147*(1+G$139)</f>
        <v>0</v>
      </c>
      <c r="H147" s="319">
        <f>G147*(1+H$139)</f>
        <v>0</v>
      </c>
      <c r="I147" s="319">
        <f t="shared" si="60"/>
        <v>0</v>
      </c>
      <c r="J147" s="319">
        <f t="shared" si="61"/>
        <v>0</v>
      </c>
      <c r="K147" s="319">
        <f t="shared" si="62"/>
        <v>0</v>
      </c>
      <c r="L147" s="319">
        <f t="shared" si="63"/>
        <v>0</v>
      </c>
      <c r="M147" s="319">
        <f t="shared" si="64"/>
        <v>0</v>
      </c>
      <c r="N147" s="319">
        <f t="shared" si="65"/>
        <v>0</v>
      </c>
      <c r="O147" s="319">
        <f t="shared" si="66"/>
        <v>0</v>
      </c>
      <c r="P147" s="319">
        <f t="shared" si="67"/>
        <v>0</v>
      </c>
      <c r="Q147" s="319">
        <f t="shared" si="68"/>
        <v>0</v>
      </c>
      <c r="R147" s="319">
        <f t="shared" si="69"/>
        <v>0</v>
      </c>
      <c r="S147" s="319">
        <f t="shared" si="70"/>
        <v>0</v>
      </c>
      <c r="T147" s="319">
        <f t="shared" si="71"/>
        <v>0</v>
      </c>
      <c r="U147" s="319">
        <f t="shared" si="72"/>
        <v>0</v>
      </c>
      <c r="V147" s="319">
        <f t="shared" si="73"/>
        <v>0</v>
      </c>
      <c r="W147" s="319">
        <f t="shared" si="74"/>
        <v>0</v>
      </c>
      <c r="X147" s="319">
        <f t="shared" si="75"/>
        <v>0</v>
      </c>
      <c r="Y147" s="319">
        <f t="shared" si="76"/>
        <v>0</v>
      </c>
      <c r="Z147" s="319">
        <f t="shared" si="77"/>
        <v>0</v>
      </c>
      <c r="AA147" s="319">
        <f t="shared" si="78"/>
        <v>0</v>
      </c>
      <c r="AB147" s="319">
        <f t="shared" si="79"/>
        <v>0</v>
      </c>
      <c r="AC147" s="319">
        <f t="shared" si="80"/>
        <v>0</v>
      </c>
      <c r="AD147" s="319">
        <f t="shared" si="81"/>
        <v>0</v>
      </c>
      <c r="AE147" s="319">
        <f t="shared" si="82"/>
        <v>0</v>
      </c>
      <c r="AF147" s="319">
        <f t="shared" si="83"/>
        <v>0</v>
      </c>
      <c r="AG147" s="319">
        <f t="shared" si="84"/>
        <v>0</v>
      </c>
      <c r="AH147" s="319">
        <f t="shared" si="85"/>
        <v>0</v>
      </c>
      <c r="AI147" s="319">
        <f t="shared" si="86"/>
        <v>0</v>
      </c>
      <c r="AJ147" s="319">
        <f t="shared" si="87"/>
        <v>0</v>
      </c>
      <c r="AK147" s="319"/>
      <c r="AL147" s="319"/>
      <c r="AM147" s="319"/>
      <c r="AN147" s="319"/>
      <c r="AO147" s="319"/>
    </row>
    <row r="148" spans="2:41" outlineLevel="3">
      <c r="B148" s="309"/>
      <c r="D148"/>
      <c r="E148" s="76"/>
      <c r="G148" s="319"/>
      <c r="H148" s="319"/>
      <c r="I148" s="319"/>
      <c r="J148" s="319"/>
      <c r="K148" s="319"/>
      <c r="L148" s="319"/>
      <c r="M148" s="319"/>
      <c r="N148" s="319"/>
      <c r="O148" s="319"/>
      <c r="P148" s="319"/>
      <c r="Q148" s="319"/>
      <c r="R148" s="319"/>
      <c r="S148" s="319"/>
      <c r="T148" s="319"/>
      <c r="U148" s="319"/>
      <c r="V148" s="319"/>
      <c r="W148" s="319"/>
      <c r="X148" s="319"/>
      <c r="Y148" s="319"/>
      <c r="Z148" s="319"/>
      <c r="AA148" s="319"/>
      <c r="AB148" s="319"/>
      <c r="AC148" s="319"/>
      <c r="AD148" s="319"/>
      <c r="AE148" s="319"/>
      <c r="AF148" s="319"/>
      <c r="AG148" s="319"/>
      <c r="AH148" s="319"/>
      <c r="AI148" s="319"/>
      <c r="AJ148" s="319"/>
      <c r="AK148" s="319"/>
      <c r="AL148" s="319"/>
      <c r="AM148" s="319"/>
      <c r="AN148" s="319"/>
      <c r="AO148" s="319"/>
    </row>
    <row r="149" spans="2:41" outlineLevel="3">
      <c r="B149" s="309">
        <v>1</v>
      </c>
      <c r="C149" s="266" t="str">
        <f>C141</f>
        <v>Residenciais Frequência Semanal - 6 vezes</v>
      </c>
      <c r="D149" s="859">
        <f>Inputs!D97</f>
        <v>633.01649999999995</v>
      </c>
      <c r="E149" s="264" t="s">
        <v>405</v>
      </c>
      <c r="F149" s="145">
        <f>SUM(G149:AN149)</f>
        <v>26312.001819990015</v>
      </c>
      <c r="G149" s="319">
        <f>$D149*(1+G$137)</f>
        <v>633.01649999999995</v>
      </c>
      <c r="H149" s="319">
        <f>G149*(1+H$137)</f>
        <v>633.01649999999995</v>
      </c>
      <c r="I149" s="286">
        <f t="shared" ref="I149:AJ151" si="88">H149*(1+I$137)</f>
        <v>847.29258525</v>
      </c>
      <c r="J149" s="319">
        <f t="shared" si="88"/>
        <v>847.29258525</v>
      </c>
      <c r="K149" s="319">
        <f t="shared" si="88"/>
        <v>847.29258525</v>
      </c>
      <c r="L149" s="319">
        <f t="shared" si="88"/>
        <v>847.29258525</v>
      </c>
      <c r="M149" s="286">
        <f t="shared" si="88"/>
        <v>902.36660329124993</v>
      </c>
      <c r="N149" s="319">
        <f t="shared" si="88"/>
        <v>902.36660329124993</v>
      </c>
      <c r="O149" s="319">
        <f t="shared" si="88"/>
        <v>902.36660329124993</v>
      </c>
      <c r="P149" s="319">
        <f t="shared" si="88"/>
        <v>902.36660329124993</v>
      </c>
      <c r="Q149" s="319">
        <f t="shared" si="88"/>
        <v>902.36660329124993</v>
      </c>
      <c r="R149" s="319">
        <f t="shared" si="88"/>
        <v>902.36660329124993</v>
      </c>
      <c r="S149" s="319">
        <f t="shared" si="88"/>
        <v>902.36660329124993</v>
      </c>
      <c r="T149" s="319">
        <f t="shared" si="88"/>
        <v>902.36660329124993</v>
      </c>
      <c r="U149" s="319">
        <f t="shared" si="88"/>
        <v>902.36660329124993</v>
      </c>
      <c r="V149" s="319">
        <f t="shared" si="88"/>
        <v>902.36660329124993</v>
      </c>
      <c r="W149" s="319">
        <f t="shared" si="88"/>
        <v>902.36660329124993</v>
      </c>
      <c r="X149" s="319">
        <f t="shared" si="88"/>
        <v>902.36660329124993</v>
      </c>
      <c r="Y149" s="319">
        <f t="shared" si="88"/>
        <v>902.36660329124993</v>
      </c>
      <c r="Z149" s="319">
        <f t="shared" si="88"/>
        <v>902.36660329124993</v>
      </c>
      <c r="AA149" s="319">
        <f t="shared" si="88"/>
        <v>902.36660329124993</v>
      </c>
      <c r="AB149" s="319">
        <f t="shared" si="88"/>
        <v>902.36660329124993</v>
      </c>
      <c r="AC149" s="319">
        <f t="shared" si="88"/>
        <v>902.36660329124993</v>
      </c>
      <c r="AD149" s="319">
        <f t="shared" si="88"/>
        <v>902.36660329124993</v>
      </c>
      <c r="AE149" s="319">
        <f t="shared" si="88"/>
        <v>902.36660329124993</v>
      </c>
      <c r="AF149" s="319">
        <f t="shared" si="88"/>
        <v>902.36660329124993</v>
      </c>
      <c r="AG149" s="319">
        <f t="shared" si="88"/>
        <v>902.36660329124993</v>
      </c>
      <c r="AH149" s="319">
        <f t="shared" si="88"/>
        <v>902.36660329124993</v>
      </c>
      <c r="AI149" s="319">
        <f t="shared" si="88"/>
        <v>902.36660329124993</v>
      </c>
      <c r="AJ149" s="319">
        <f t="shared" si="88"/>
        <v>902.36660329124993</v>
      </c>
      <c r="AK149" s="319"/>
      <c r="AL149" s="319"/>
      <c r="AM149" s="319"/>
      <c r="AN149" s="319"/>
      <c r="AO149" s="319"/>
    </row>
    <row r="150" spans="2:41" outlineLevel="3">
      <c r="B150" s="309">
        <v>2</v>
      </c>
      <c r="C150" s="266" t="str">
        <f>C142</f>
        <v>ResidenciaisFrequência Semanal - 3 vezes</v>
      </c>
      <c r="D150" s="859">
        <f>Inputs!D98</f>
        <v>422.01099999999997</v>
      </c>
      <c r="E150" s="264" t="s">
        <v>405</v>
      </c>
      <c r="F150" s="145">
        <f t="shared" ref="F150:F151" si="89">SUM(G150:AN150)</f>
        <v>17541.33454666</v>
      </c>
      <c r="G150" s="319">
        <f t="shared" ref="G150:G155" si="90">$D150*(1+G$137)</f>
        <v>422.01099999999997</v>
      </c>
      <c r="H150" s="319">
        <f t="shared" ref="H150:W151" si="91">G150*(1+H$137)</f>
        <v>422.01099999999997</v>
      </c>
      <c r="I150" s="286">
        <f t="shared" si="91"/>
        <v>564.86172349999993</v>
      </c>
      <c r="J150" s="319">
        <f t="shared" si="91"/>
        <v>564.86172349999993</v>
      </c>
      <c r="K150" s="319">
        <f t="shared" si="91"/>
        <v>564.86172349999993</v>
      </c>
      <c r="L150" s="319">
        <f t="shared" si="91"/>
        <v>564.86172349999993</v>
      </c>
      <c r="M150" s="286">
        <f t="shared" si="91"/>
        <v>601.57773552749984</v>
      </c>
      <c r="N150" s="319">
        <f t="shared" si="91"/>
        <v>601.57773552749984</v>
      </c>
      <c r="O150" s="319">
        <f t="shared" si="91"/>
        <v>601.57773552749984</v>
      </c>
      <c r="P150" s="319">
        <f t="shared" si="91"/>
        <v>601.57773552749984</v>
      </c>
      <c r="Q150" s="319">
        <f t="shared" si="91"/>
        <v>601.57773552749984</v>
      </c>
      <c r="R150" s="319">
        <f t="shared" si="91"/>
        <v>601.57773552749984</v>
      </c>
      <c r="S150" s="319">
        <f t="shared" si="91"/>
        <v>601.57773552749984</v>
      </c>
      <c r="T150" s="319">
        <f t="shared" si="91"/>
        <v>601.57773552749984</v>
      </c>
      <c r="U150" s="319">
        <f t="shared" si="91"/>
        <v>601.57773552749984</v>
      </c>
      <c r="V150" s="319">
        <f t="shared" si="91"/>
        <v>601.57773552749984</v>
      </c>
      <c r="W150" s="319">
        <f t="shared" si="91"/>
        <v>601.57773552749984</v>
      </c>
      <c r="X150" s="319">
        <f t="shared" si="88"/>
        <v>601.57773552749984</v>
      </c>
      <c r="Y150" s="319">
        <f t="shared" si="88"/>
        <v>601.57773552749984</v>
      </c>
      <c r="Z150" s="319">
        <f t="shared" si="88"/>
        <v>601.57773552749984</v>
      </c>
      <c r="AA150" s="319">
        <f t="shared" si="88"/>
        <v>601.57773552749984</v>
      </c>
      <c r="AB150" s="319">
        <f t="shared" si="88"/>
        <v>601.57773552749984</v>
      </c>
      <c r="AC150" s="319">
        <f t="shared" si="88"/>
        <v>601.57773552749984</v>
      </c>
      <c r="AD150" s="319">
        <f t="shared" si="88"/>
        <v>601.57773552749984</v>
      </c>
      <c r="AE150" s="319">
        <f t="shared" si="88"/>
        <v>601.57773552749984</v>
      </c>
      <c r="AF150" s="319">
        <f t="shared" si="88"/>
        <v>601.57773552749984</v>
      </c>
      <c r="AG150" s="319">
        <f t="shared" si="88"/>
        <v>601.57773552749984</v>
      </c>
      <c r="AH150" s="319">
        <f t="shared" si="88"/>
        <v>601.57773552749984</v>
      </c>
      <c r="AI150" s="319">
        <f t="shared" si="88"/>
        <v>601.57773552749984</v>
      </c>
      <c r="AJ150" s="319">
        <f t="shared" si="88"/>
        <v>601.57773552749984</v>
      </c>
      <c r="AK150" s="319"/>
      <c r="AL150" s="319"/>
      <c r="AM150" s="319"/>
      <c r="AN150" s="319"/>
      <c r="AO150" s="319"/>
    </row>
    <row r="151" spans="2:41" outlineLevel="3">
      <c r="B151" s="309">
        <v>3</v>
      </c>
      <c r="C151" s="266" t="str">
        <f t="shared" ref="C151:C152" si="92">C143</f>
        <v>Residenciais - Tarifa Social</v>
      </c>
      <c r="D151" s="859">
        <f>Inputs!D99</f>
        <v>211.00549999999998</v>
      </c>
      <c r="E151" s="264" t="s">
        <v>405</v>
      </c>
      <c r="F151" s="145">
        <f t="shared" si="89"/>
        <v>8770.6672733300002</v>
      </c>
      <c r="G151" s="319">
        <f t="shared" si="90"/>
        <v>211.00549999999998</v>
      </c>
      <c r="H151" s="319">
        <f t="shared" si="91"/>
        <v>211.00549999999998</v>
      </c>
      <c r="I151" s="286">
        <f t="shared" ref="I151" si="93">H151*(1+I$137)</f>
        <v>282.43086174999996</v>
      </c>
      <c r="J151" s="319">
        <f t="shared" ref="J151" si="94">I151*(1+J$137)</f>
        <v>282.43086174999996</v>
      </c>
      <c r="K151" s="319">
        <f t="shared" ref="K151" si="95">J151*(1+K$137)</f>
        <v>282.43086174999996</v>
      </c>
      <c r="L151" s="319">
        <f t="shared" ref="L151" si="96">K151*(1+L$137)</f>
        <v>282.43086174999996</v>
      </c>
      <c r="M151" s="286">
        <f t="shared" ref="M151" si="97">L151*(1+M$137)</f>
        <v>300.78886776374992</v>
      </c>
      <c r="N151" s="319">
        <f t="shared" ref="N151" si="98">M151*(1+N$137)</f>
        <v>300.78886776374992</v>
      </c>
      <c r="O151" s="319">
        <f t="shared" ref="O151" si="99">N151*(1+O$137)</f>
        <v>300.78886776374992</v>
      </c>
      <c r="P151" s="319">
        <f t="shared" ref="P151" si="100">O151*(1+P$137)</f>
        <v>300.78886776374992</v>
      </c>
      <c r="Q151" s="319">
        <f t="shared" ref="Q151" si="101">P151*(1+Q$137)</f>
        <v>300.78886776374992</v>
      </c>
      <c r="R151" s="319">
        <f t="shared" ref="R151" si="102">Q151*(1+R$137)</f>
        <v>300.78886776374992</v>
      </c>
      <c r="S151" s="319">
        <f t="shared" ref="S151" si="103">R151*(1+S$137)</f>
        <v>300.78886776374992</v>
      </c>
      <c r="T151" s="319">
        <f t="shared" ref="T151" si="104">S151*(1+T$137)</f>
        <v>300.78886776374992</v>
      </c>
      <c r="U151" s="319">
        <f t="shared" ref="U151" si="105">T151*(1+U$137)</f>
        <v>300.78886776374992</v>
      </c>
      <c r="V151" s="319">
        <f t="shared" ref="V151" si="106">U151*(1+V$137)</f>
        <v>300.78886776374992</v>
      </c>
      <c r="W151" s="319">
        <f t="shared" ref="W151" si="107">V151*(1+W$137)</f>
        <v>300.78886776374992</v>
      </c>
      <c r="X151" s="319">
        <f t="shared" si="88"/>
        <v>300.78886776374992</v>
      </c>
      <c r="Y151" s="319">
        <f t="shared" si="88"/>
        <v>300.78886776374992</v>
      </c>
      <c r="Z151" s="319">
        <f t="shared" si="88"/>
        <v>300.78886776374992</v>
      </c>
      <c r="AA151" s="319">
        <f t="shared" si="88"/>
        <v>300.78886776374992</v>
      </c>
      <c r="AB151" s="319">
        <f t="shared" si="88"/>
        <v>300.78886776374992</v>
      </c>
      <c r="AC151" s="319">
        <f t="shared" si="88"/>
        <v>300.78886776374992</v>
      </c>
      <c r="AD151" s="319">
        <f t="shared" si="88"/>
        <v>300.78886776374992</v>
      </c>
      <c r="AE151" s="319">
        <f t="shared" si="88"/>
        <v>300.78886776374992</v>
      </c>
      <c r="AF151" s="319">
        <f t="shared" si="88"/>
        <v>300.78886776374992</v>
      </c>
      <c r="AG151" s="319">
        <f t="shared" si="88"/>
        <v>300.78886776374992</v>
      </c>
      <c r="AH151" s="319">
        <f t="shared" si="88"/>
        <v>300.78886776374992</v>
      </c>
      <c r="AI151" s="319">
        <f t="shared" si="88"/>
        <v>300.78886776374992</v>
      </c>
      <c r="AJ151" s="319">
        <f t="shared" si="88"/>
        <v>300.78886776374992</v>
      </c>
      <c r="AK151" s="319"/>
      <c r="AL151" s="319"/>
      <c r="AM151" s="319"/>
      <c r="AN151" s="319"/>
      <c r="AO151" s="319"/>
    </row>
    <row r="152" spans="2:41" outlineLevel="3">
      <c r="B152" s="309">
        <v>4</v>
      </c>
      <c r="C152" s="266" t="str">
        <f t="shared" si="92"/>
        <v>Não Residenciais</v>
      </c>
      <c r="D152" s="859">
        <f>Inputs!D100</f>
        <v>3601987.9052099995</v>
      </c>
      <c r="E152" s="264" t="s">
        <v>405</v>
      </c>
      <c r="F152" s="145">
        <f t="shared" ref="F152" si="108">SUM(G152:AN152)</f>
        <v>149720445.38723317</v>
      </c>
      <c r="G152" s="319">
        <f t="shared" si="90"/>
        <v>3601987.9052099995</v>
      </c>
      <c r="H152" s="319">
        <f t="shared" ref="H152" si="109">G152*(1+H$137)</f>
        <v>3601987.9052099995</v>
      </c>
      <c r="I152" s="319">
        <f t="shared" ref="I152" si="110">H152*(1+I$137)</f>
        <v>4821260.8111235844</v>
      </c>
      <c r="J152" s="319">
        <f t="shared" ref="J152" si="111">I152*(1+J$137)</f>
        <v>4821260.8111235844</v>
      </c>
      <c r="K152" s="319">
        <f t="shared" ref="K152" si="112">J152*(1+K$137)</f>
        <v>4821260.8111235844</v>
      </c>
      <c r="L152" s="319">
        <f t="shared" ref="L152" si="113">K152*(1+L$137)</f>
        <v>4821260.8111235844</v>
      </c>
      <c r="M152" s="319">
        <f t="shared" ref="M152" si="114">L152*(1+M$137)</f>
        <v>5134642.7638466172</v>
      </c>
      <c r="N152" s="319">
        <f t="shared" ref="N152" si="115">M152*(1+N$137)</f>
        <v>5134642.7638466172</v>
      </c>
      <c r="O152" s="319">
        <f t="shared" ref="O152" si="116">N152*(1+O$137)</f>
        <v>5134642.7638466172</v>
      </c>
      <c r="P152" s="319">
        <f t="shared" ref="P152" si="117">O152*(1+P$137)</f>
        <v>5134642.7638466172</v>
      </c>
      <c r="Q152" s="319">
        <f t="shared" ref="Q152" si="118">P152*(1+Q$137)</f>
        <v>5134642.7638466172</v>
      </c>
      <c r="R152" s="319">
        <f t="shared" ref="R152" si="119">Q152*(1+R$137)</f>
        <v>5134642.7638466172</v>
      </c>
      <c r="S152" s="319">
        <f t="shared" ref="S152" si="120">R152*(1+S$137)</f>
        <v>5134642.7638466172</v>
      </c>
      <c r="T152" s="319">
        <f t="shared" ref="T152" si="121">S152*(1+T$137)</f>
        <v>5134642.7638466172</v>
      </c>
      <c r="U152" s="319">
        <f t="shared" ref="U152" si="122">T152*(1+U$137)</f>
        <v>5134642.7638466172</v>
      </c>
      <c r="V152" s="319">
        <f t="shared" ref="V152" si="123">U152*(1+V$137)</f>
        <v>5134642.7638466172</v>
      </c>
      <c r="W152" s="319">
        <f t="shared" ref="W152" si="124">V152*(1+W$137)</f>
        <v>5134642.7638466172</v>
      </c>
      <c r="X152" s="319">
        <f t="shared" ref="X152" si="125">W152*(1+X$137)</f>
        <v>5134642.7638466172</v>
      </c>
      <c r="Y152" s="319">
        <f t="shared" ref="Y152" si="126">X152*(1+Y$137)</f>
        <v>5134642.7638466172</v>
      </c>
      <c r="Z152" s="319">
        <f t="shared" ref="Z152" si="127">Y152*(1+Z$137)</f>
        <v>5134642.7638466172</v>
      </c>
      <c r="AA152" s="319">
        <f t="shared" ref="AA152" si="128">Z152*(1+AA$137)</f>
        <v>5134642.7638466172</v>
      </c>
      <c r="AB152" s="319">
        <f t="shared" ref="AB152" si="129">AA152*(1+AB$137)</f>
        <v>5134642.7638466172</v>
      </c>
      <c r="AC152" s="319">
        <f t="shared" ref="AC152" si="130">AB152*(1+AC$137)</f>
        <v>5134642.7638466172</v>
      </c>
      <c r="AD152" s="319">
        <f t="shared" ref="AD152" si="131">AC152*(1+AD$137)</f>
        <v>5134642.7638466172</v>
      </c>
      <c r="AE152" s="319">
        <f t="shared" ref="AE152" si="132">AD152*(1+AE$137)</f>
        <v>5134642.7638466172</v>
      </c>
      <c r="AF152" s="319">
        <f t="shared" ref="AF152" si="133">AE152*(1+AF$137)</f>
        <v>5134642.7638466172</v>
      </c>
      <c r="AG152" s="319">
        <f t="shared" ref="AG152" si="134">AF152*(1+AG$137)</f>
        <v>5134642.7638466172</v>
      </c>
      <c r="AH152" s="319">
        <f t="shared" ref="AH152" si="135">AG152*(1+AH$137)</f>
        <v>5134642.7638466172</v>
      </c>
      <c r="AI152" s="319">
        <f t="shared" ref="AI152" si="136">AH152*(1+AI$137)</f>
        <v>5134642.7638466172</v>
      </c>
      <c r="AJ152" s="319">
        <f t="shared" ref="AJ152" si="137">AI152*(1+AJ$137)</f>
        <v>5134642.7638466172</v>
      </c>
      <c r="AK152" s="319"/>
      <c r="AL152" s="319"/>
      <c r="AM152" s="319"/>
      <c r="AN152" s="319"/>
      <c r="AO152" s="319"/>
    </row>
    <row r="153" spans="2:41" hidden="1" outlineLevel="3">
      <c r="B153" s="309">
        <v>15</v>
      </c>
      <c r="C153" s="266">
        <f>C145</f>
        <v>0</v>
      </c>
      <c r="D153">
        <f>Inputs!D101</f>
        <v>0</v>
      </c>
      <c r="E153" s="264" t="s">
        <v>405</v>
      </c>
      <c r="F153" s="145">
        <f t="shared" ref="F153" si="138">SUM(G153:AN153)</f>
        <v>0</v>
      </c>
      <c r="G153" s="319">
        <f t="shared" si="90"/>
        <v>0</v>
      </c>
      <c r="H153" s="319">
        <f t="shared" ref="H153" si="139">G153*(1+H$137)</f>
        <v>0</v>
      </c>
      <c r="I153" s="319">
        <f t="shared" ref="I153" si="140">H153*(1+I$137)</f>
        <v>0</v>
      </c>
      <c r="J153" s="319">
        <f t="shared" ref="J153" si="141">I153*(1+J$137)</f>
        <v>0</v>
      </c>
      <c r="K153" s="319">
        <f t="shared" ref="K153" si="142">J153*(1+K$137)</f>
        <v>0</v>
      </c>
      <c r="L153" s="319">
        <f t="shared" ref="L153" si="143">K153*(1+L$137)</f>
        <v>0</v>
      </c>
      <c r="M153" s="319">
        <f t="shared" ref="M153" si="144">L153*(1+M$137)</f>
        <v>0</v>
      </c>
      <c r="N153" s="319">
        <f t="shared" ref="N153" si="145">M153*(1+N$137)</f>
        <v>0</v>
      </c>
      <c r="O153" s="319">
        <f t="shared" ref="O153" si="146">N153*(1+O$137)</f>
        <v>0</v>
      </c>
      <c r="P153" s="319">
        <f t="shared" ref="P153" si="147">O153*(1+P$137)</f>
        <v>0</v>
      </c>
      <c r="Q153" s="319">
        <f t="shared" ref="Q153" si="148">P153*(1+Q$137)</f>
        <v>0</v>
      </c>
      <c r="R153" s="319">
        <f t="shared" ref="R153" si="149">Q153*(1+R$137)</f>
        <v>0</v>
      </c>
      <c r="S153" s="319">
        <f t="shared" ref="S153" si="150">R153*(1+S$137)</f>
        <v>0</v>
      </c>
      <c r="T153" s="319">
        <f t="shared" ref="T153" si="151">S153*(1+T$137)</f>
        <v>0</v>
      </c>
      <c r="U153" s="319">
        <f t="shared" ref="U153" si="152">T153*(1+U$137)</f>
        <v>0</v>
      </c>
      <c r="V153" s="319">
        <f t="shared" ref="V153" si="153">U153*(1+V$137)</f>
        <v>0</v>
      </c>
      <c r="W153" s="319">
        <f t="shared" ref="W153" si="154">V153*(1+W$137)</f>
        <v>0</v>
      </c>
      <c r="X153" s="319">
        <f t="shared" ref="X153" si="155">W153*(1+X$137)</f>
        <v>0</v>
      </c>
      <c r="Y153" s="319">
        <f t="shared" ref="Y153" si="156">X153*(1+Y$137)</f>
        <v>0</v>
      </c>
      <c r="Z153" s="319">
        <f t="shared" ref="Z153" si="157">Y153*(1+Z$137)</f>
        <v>0</v>
      </c>
      <c r="AA153" s="319">
        <f t="shared" ref="AA153" si="158">Z153*(1+AA$137)</f>
        <v>0</v>
      </c>
      <c r="AB153" s="319">
        <f t="shared" ref="AB153" si="159">AA153*(1+AB$137)</f>
        <v>0</v>
      </c>
      <c r="AC153" s="319">
        <f t="shared" ref="AC153" si="160">AB153*(1+AC$137)</f>
        <v>0</v>
      </c>
      <c r="AD153" s="319">
        <f t="shared" ref="AD153" si="161">AC153*(1+AD$137)</f>
        <v>0</v>
      </c>
      <c r="AE153" s="319">
        <f t="shared" ref="AE153" si="162">AD153*(1+AE$137)</f>
        <v>0</v>
      </c>
      <c r="AF153" s="319">
        <f t="shared" ref="AF153" si="163">AE153*(1+AF$137)</f>
        <v>0</v>
      </c>
      <c r="AG153" s="319">
        <f t="shared" ref="AG153" si="164">AF153*(1+AG$137)</f>
        <v>0</v>
      </c>
      <c r="AH153" s="319">
        <f t="shared" ref="AH153" si="165">AG153*(1+AH$137)</f>
        <v>0</v>
      </c>
      <c r="AI153" s="319">
        <f t="shared" ref="AI153" si="166">AH153*(1+AI$137)</f>
        <v>0</v>
      </c>
      <c r="AJ153" s="319">
        <f t="shared" ref="AJ153" si="167">AI153*(1+AJ$137)</f>
        <v>0</v>
      </c>
      <c r="AK153" s="319"/>
      <c r="AL153" s="319"/>
      <c r="AM153" s="319"/>
      <c r="AN153" s="319"/>
      <c r="AO153" s="319"/>
    </row>
    <row r="154" spans="2:41" hidden="1" outlineLevel="3">
      <c r="B154" s="309">
        <v>16</v>
      </c>
      <c r="C154" s="266">
        <f>C146</f>
        <v>0</v>
      </c>
      <c r="D154">
        <f>Inputs!D102</f>
        <v>0</v>
      </c>
      <c r="E154" s="264" t="s">
        <v>405</v>
      </c>
      <c r="F154" s="145">
        <f t="shared" ref="F154:F155" si="168">SUM(G154:AN154)</f>
        <v>0</v>
      </c>
      <c r="G154" s="319">
        <f t="shared" si="90"/>
        <v>0</v>
      </c>
      <c r="H154" s="319">
        <f t="shared" ref="H154:H155" si="169">G154*(1+H$137)</f>
        <v>0</v>
      </c>
      <c r="I154" s="319">
        <f t="shared" ref="I154:I155" si="170">H154*(1+I$137)</f>
        <v>0</v>
      </c>
      <c r="J154" s="319">
        <f t="shared" ref="J154:J155" si="171">I154*(1+J$137)</f>
        <v>0</v>
      </c>
      <c r="K154" s="319">
        <f t="shared" ref="K154:K155" si="172">J154*(1+K$137)</f>
        <v>0</v>
      </c>
      <c r="L154" s="319">
        <f t="shared" ref="L154:L155" si="173">K154*(1+L$137)</f>
        <v>0</v>
      </c>
      <c r="M154" s="319">
        <f t="shared" ref="M154:M155" si="174">L154*(1+M$137)</f>
        <v>0</v>
      </c>
      <c r="N154" s="319">
        <f t="shared" ref="N154:N155" si="175">M154*(1+N$137)</f>
        <v>0</v>
      </c>
      <c r="O154" s="319">
        <f t="shared" ref="O154:O155" si="176">N154*(1+O$137)</f>
        <v>0</v>
      </c>
      <c r="P154" s="319">
        <f t="shared" ref="P154:P155" si="177">O154*(1+P$137)</f>
        <v>0</v>
      </c>
      <c r="Q154" s="319">
        <f t="shared" ref="Q154:Q155" si="178">P154*(1+Q$137)</f>
        <v>0</v>
      </c>
      <c r="R154" s="319">
        <f t="shared" ref="R154:R155" si="179">Q154*(1+R$137)</f>
        <v>0</v>
      </c>
      <c r="S154" s="319">
        <f t="shared" ref="S154:S155" si="180">R154*(1+S$137)</f>
        <v>0</v>
      </c>
      <c r="T154" s="319">
        <f t="shared" ref="T154:T155" si="181">S154*(1+T$137)</f>
        <v>0</v>
      </c>
      <c r="U154" s="319">
        <f t="shared" ref="U154:U155" si="182">T154*(1+U$137)</f>
        <v>0</v>
      </c>
      <c r="V154" s="319">
        <f t="shared" ref="V154:V155" si="183">U154*(1+V$137)</f>
        <v>0</v>
      </c>
      <c r="W154" s="319">
        <f t="shared" ref="W154:W155" si="184">V154*(1+W$137)</f>
        <v>0</v>
      </c>
      <c r="X154" s="319">
        <f t="shared" ref="X154:X155" si="185">W154*(1+X$137)</f>
        <v>0</v>
      </c>
      <c r="Y154" s="319">
        <f t="shared" ref="Y154:Y155" si="186">X154*(1+Y$137)</f>
        <v>0</v>
      </c>
      <c r="Z154" s="319">
        <f t="shared" ref="Z154:Z155" si="187">Y154*(1+Z$137)</f>
        <v>0</v>
      </c>
      <c r="AA154" s="319">
        <f t="shared" ref="AA154:AA155" si="188">Z154*(1+AA$137)</f>
        <v>0</v>
      </c>
      <c r="AB154" s="319">
        <f t="shared" ref="AB154:AB155" si="189">AA154*(1+AB$137)</f>
        <v>0</v>
      </c>
      <c r="AC154" s="319">
        <f t="shared" ref="AC154:AC155" si="190">AB154*(1+AC$137)</f>
        <v>0</v>
      </c>
      <c r="AD154" s="319">
        <f t="shared" ref="AD154:AD155" si="191">AC154*(1+AD$137)</f>
        <v>0</v>
      </c>
      <c r="AE154" s="319">
        <f t="shared" ref="AE154:AE155" si="192">AD154*(1+AE$137)</f>
        <v>0</v>
      </c>
      <c r="AF154" s="319">
        <f t="shared" ref="AF154:AF155" si="193">AE154*(1+AF$137)</f>
        <v>0</v>
      </c>
      <c r="AG154" s="319">
        <f t="shared" ref="AG154:AG155" si="194">AF154*(1+AG$137)</f>
        <v>0</v>
      </c>
      <c r="AH154" s="319">
        <f t="shared" ref="AH154:AH155" si="195">AG154*(1+AH$137)</f>
        <v>0</v>
      </c>
      <c r="AI154" s="319">
        <f t="shared" ref="AI154:AI155" si="196">AH154*(1+AI$137)</f>
        <v>0</v>
      </c>
      <c r="AJ154" s="319">
        <f t="shared" ref="AJ154:AJ155" si="197">AI154*(1+AJ$137)</f>
        <v>0</v>
      </c>
      <c r="AK154" s="319"/>
      <c r="AL154" s="319"/>
      <c r="AM154" s="319"/>
      <c r="AN154" s="319"/>
      <c r="AO154" s="319"/>
    </row>
    <row r="155" spans="2:41" hidden="1" outlineLevel="3">
      <c r="B155" s="309">
        <v>17</v>
      </c>
      <c r="C155" s="266">
        <f>C147</f>
        <v>0</v>
      </c>
      <c r="D155">
        <f>Inputs!D103</f>
        <v>0</v>
      </c>
      <c r="E155" s="264" t="s">
        <v>405</v>
      </c>
      <c r="F155" s="145">
        <f t="shared" si="168"/>
        <v>0</v>
      </c>
      <c r="G155" s="319">
        <f t="shared" si="90"/>
        <v>0</v>
      </c>
      <c r="H155" s="319">
        <f t="shared" si="169"/>
        <v>0</v>
      </c>
      <c r="I155" s="319">
        <f t="shared" si="170"/>
        <v>0</v>
      </c>
      <c r="J155" s="319">
        <f t="shared" si="171"/>
        <v>0</v>
      </c>
      <c r="K155" s="319">
        <f t="shared" si="172"/>
        <v>0</v>
      </c>
      <c r="L155" s="319">
        <f t="shared" si="173"/>
        <v>0</v>
      </c>
      <c r="M155" s="319">
        <f t="shared" si="174"/>
        <v>0</v>
      </c>
      <c r="N155" s="319">
        <f t="shared" si="175"/>
        <v>0</v>
      </c>
      <c r="O155" s="319">
        <f t="shared" si="176"/>
        <v>0</v>
      </c>
      <c r="P155" s="319">
        <f t="shared" si="177"/>
        <v>0</v>
      </c>
      <c r="Q155" s="319">
        <f t="shared" si="178"/>
        <v>0</v>
      </c>
      <c r="R155" s="319">
        <f t="shared" si="179"/>
        <v>0</v>
      </c>
      <c r="S155" s="319">
        <f t="shared" si="180"/>
        <v>0</v>
      </c>
      <c r="T155" s="319">
        <f t="shared" si="181"/>
        <v>0</v>
      </c>
      <c r="U155" s="319">
        <f t="shared" si="182"/>
        <v>0</v>
      </c>
      <c r="V155" s="319">
        <f t="shared" si="183"/>
        <v>0</v>
      </c>
      <c r="W155" s="319">
        <f t="shared" si="184"/>
        <v>0</v>
      </c>
      <c r="X155" s="319">
        <f t="shared" si="185"/>
        <v>0</v>
      </c>
      <c r="Y155" s="319">
        <f t="shared" si="186"/>
        <v>0</v>
      </c>
      <c r="Z155" s="319">
        <f t="shared" si="187"/>
        <v>0</v>
      </c>
      <c r="AA155" s="319">
        <f t="shared" si="188"/>
        <v>0</v>
      </c>
      <c r="AB155" s="319">
        <f t="shared" si="189"/>
        <v>0</v>
      </c>
      <c r="AC155" s="319">
        <f t="shared" si="190"/>
        <v>0</v>
      </c>
      <c r="AD155" s="319">
        <f t="shared" si="191"/>
        <v>0</v>
      </c>
      <c r="AE155" s="319">
        <f t="shared" si="192"/>
        <v>0</v>
      </c>
      <c r="AF155" s="319">
        <f t="shared" si="193"/>
        <v>0</v>
      </c>
      <c r="AG155" s="319">
        <f t="shared" si="194"/>
        <v>0</v>
      </c>
      <c r="AH155" s="319">
        <f t="shared" si="195"/>
        <v>0</v>
      </c>
      <c r="AI155" s="319">
        <f t="shared" si="196"/>
        <v>0</v>
      </c>
      <c r="AJ155" s="319">
        <f t="shared" si="197"/>
        <v>0</v>
      </c>
      <c r="AK155" s="319"/>
      <c r="AL155" s="319"/>
      <c r="AM155" s="319"/>
      <c r="AN155" s="319"/>
      <c r="AO155" s="319"/>
    </row>
    <row r="156" spans="2:41" outlineLevel="3">
      <c r="B156" s="309"/>
      <c r="D156"/>
      <c r="E156" s="76"/>
      <c r="G156" s="319"/>
      <c r="H156" s="319"/>
      <c r="I156" s="319"/>
      <c r="J156" s="319"/>
      <c r="K156" s="319"/>
      <c r="L156" s="319"/>
      <c r="M156" s="319"/>
      <c r="N156" s="319"/>
      <c r="O156" s="319"/>
      <c r="P156" s="319"/>
      <c r="Q156" s="319"/>
      <c r="R156" s="319"/>
      <c r="S156" s="319"/>
      <c r="T156" s="319"/>
      <c r="U156" s="319"/>
      <c r="V156" s="319"/>
      <c r="W156" s="319"/>
      <c r="X156" s="319"/>
      <c r="Y156" s="319"/>
      <c r="Z156" s="319"/>
      <c r="AA156" s="319"/>
      <c r="AB156" s="319"/>
      <c r="AC156" s="319"/>
      <c r="AD156" s="319"/>
      <c r="AE156" s="319"/>
      <c r="AF156" s="319"/>
      <c r="AG156" s="319"/>
      <c r="AH156" s="319"/>
      <c r="AI156" s="319"/>
      <c r="AJ156" s="319"/>
      <c r="AK156" s="319"/>
      <c r="AL156" s="319"/>
      <c r="AM156" s="319"/>
      <c r="AN156" s="319"/>
      <c r="AO156" s="319"/>
    </row>
    <row r="157" spans="2:41" outlineLevel="3">
      <c r="B157" s="309">
        <v>1</v>
      </c>
      <c r="C157" s="266" t="str">
        <f>C141</f>
        <v>Residenciais Frequência Semanal - 6 vezes</v>
      </c>
      <c r="D157" s="859">
        <f t="shared" ref="D157:D163" si="198">D141*D149/1000</f>
        <v>1081.8251984999999</v>
      </c>
      <c r="E157" s="264" t="s">
        <v>406</v>
      </c>
      <c r="F157" s="145">
        <f>SUM(G157:AN157)</f>
        <v>53323.232868279207</v>
      </c>
      <c r="G157" s="319">
        <f t="shared" ref="G157:AJ157" si="199">(G141*G149)/1000</f>
        <v>1094.4855285000001</v>
      </c>
      <c r="H157" s="319">
        <f t="shared" si="199"/>
        <v>1107.1458584999998</v>
      </c>
      <c r="I157" s="319">
        <f t="shared" si="199"/>
        <v>1498.86058330725</v>
      </c>
      <c r="J157" s="319">
        <f t="shared" si="199"/>
        <v>1515.8064350122499</v>
      </c>
      <c r="K157" s="319">
        <f t="shared" si="199"/>
        <v>1532.7522867172499</v>
      </c>
      <c r="L157" s="319">
        <f t="shared" si="199"/>
        <v>1549.6981384222499</v>
      </c>
      <c r="M157" s="319">
        <f t="shared" si="199"/>
        <v>1668.4758494855212</v>
      </c>
      <c r="N157" s="319">
        <f t="shared" si="199"/>
        <v>1686.5231815513462</v>
      </c>
      <c r="O157" s="319">
        <f t="shared" si="199"/>
        <v>1704.5705136171712</v>
      </c>
      <c r="P157" s="319">
        <f t="shared" si="199"/>
        <v>1722.6178456829962</v>
      </c>
      <c r="Q157" s="319">
        <f t="shared" si="199"/>
        <v>1740.6651777488212</v>
      </c>
      <c r="R157" s="319">
        <f t="shared" si="199"/>
        <v>1758.7125098146462</v>
      </c>
      <c r="S157" s="319">
        <f t="shared" si="199"/>
        <v>1776.7598418804712</v>
      </c>
      <c r="T157" s="319">
        <f t="shared" si="199"/>
        <v>1794.8071739462962</v>
      </c>
      <c r="U157" s="319">
        <f t="shared" si="199"/>
        <v>1812.8545060121212</v>
      </c>
      <c r="V157" s="319">
        <f t="shared" si="199"/>
        <v>1830.9018380779462</v>
      </c>
      <c r="W157" s="319">
        <f t="shared" si="199"/>
        <v>1848.9491701437712</v>
      </c>
      <c r="X157" s="319">
        <f t="shared" si="199"/>
        <v>1866.9965022095962</v>
      </c>
      <c r="Y157" s="319">
        <f t="shared" si="199"/>
        <v>1885.0438342754212</v>
      </c>
      <c r="Z157" s="319">
        <f t="shared" si="199"/>
        <v>1903.0911663412462</v>
      </c>
      <c r="AA157" s="319">
        <f t="shared" si="199"/>
        <v>1921.138498407071</v>
      </c>
      <c r="AB157" s="319">
        <f t="shared" si="199"/>
        <v>1939.1858304728962</v>
      </c>
      <c r="AC157" s="319">
        <f t="shared" si="199"/>
        <v>1957.233162538721</v>
      </c>
      <c r="AD157" s="319">
        <f t="shared" si="199"/>
        <v>1975.2804946045462</v>
      </c>
      <c r="AE157" s="319">
        <f t="shared" si="199"/>
        <v>1993.327826670371</v>
      </c>
      <c r="AF157" s="319">
        <f t="shared" si="199"/>
        <v>2011.3751587361962</v>
      </c>
      <c r="AG157" s="319">
        <f t="shared" si="199"/>
        <v>2029.422490802021</v>
      </c>
      <c r="AH157" s="319">
        <f t="shared" si="199"/>
        <v>2047.469822867846</v>
      </c>
      <c r="AI157" s="319">
        <f t="shared" si="199"/>
        <v>2065.517154933671</v>
      </c>
      <c r="AJ157" s="319">
        <f t="shared" si="199"/>
        <v>2083.5644869994962</v>
      </c>
      <c r="AK157" s="319"/>
      <c r="AL157" s="319"/>
      <c r="AM157" s="319"/>
      <c r="AN157" s="319"/>
      <c r="AO157" s="319"/>
    </row>
    <row r="158" spans="2:41" outlineLevel="3">
      <c r="B158" s="309">
        <v>2</v>
      </c>
      <c r="C158" s="266" t="str">
        <f>C142</f>
        <v>ResidenciaisFrequência Semanal - 3 vezes</v>
      </c>
      <c r="D158" s="859">
        <f t="shared" si="198"/>
        <v>6611.2243259999996</v>
      </c>
      <c r="E158" s="264" t="s">
        <v>406</v>
      </c>
      <c r="F158" s="145">
        <f t="shared" ref="F158:F159" si="200">SUM(G158:AN158)</f>
        <v>326331.34784845926</v>
      </c>
      <c r="G158" s="319">
        <f t="shared" ref="G158:AJ159" si="201">(G142*G150)/1000</f>
        <v>6689.2963609999997</v>
      </c>
      <c r="H158" s="319">
        <f t="shared" si="201"/>
        <v>6767.3683959999998</v>
      </c>
      <c r="I158" s="319">
        <f t="shared" si="201"/>
        <v>9162.6220168934979</v>
      </c>
      <c r="J158" s="319">
        <f t="shared" si="201"/>
        <v>9267.1214357409972</v>
      </c>
      <c r="K158" s="319">
        <f t="shared" si="201"/>
        <v>9371.6208545885002</v>
      </c>
      <c r="L158" s="319">
        <f t="shared" si="201"/>
        <v>9476.1202734359995</v>
      </c>
      <c r="M158" s="319">
        <f t="shared" si="201"/>
        <v>10203.359972281925</v>
      </c>
      <c r="N158" s="319">
        <f t="shared" si="201"/>
        <v>10314.651853354511</v>
      </c>
      <c r="O158" s="319">
        <f t="shared" si="201"/>
        <v>10425.943734427101</v>
      </c>
      <c r="P158" s="319">
        <f t="shared" si="201"/>
        <v>10537.235615499687</v>
      </c>
      <c r="Q158" s="319">
        <f t="shared" si="201"/>
        <v>10648.527496572275</v>
      </c>
      <c r="R158" s="319">
        <f t="shared" si="201"/>
        <v>10759.819377644862</v>
      </c>
      <c r="S158" s="319">
        <f t="shared" si="201"/>
        <v>10871.11125871745</v>
      </c>
      <c r="T158" s="319">
        <f t="shared" si="201"/>
        <v>10982.403139790038</v>
      </c>
      <c r="U158" s="319">
        <f t="shared" si="201"/>
        <v>11093.695020862624</v>
      </c>
      <c r="V158" s="319">
        <f t="shared" si="201"/>
        <v>11204.986901935212</v>
      </c>
      <c r="W158" s="319">
        <f t="shared" si="201"/>
        <v>11316.2787830078</v>
      </c>
      <c r="X158" s="319">
        <f t="shared" si="201"/>
        <v>11427.570664080387</v>
      </c>
      <c r="Y158" s="319">
        <f t="shared" si="201"/>
        <v>11538.862545152975</v>
      </c>
      <c r="Z158" s="319">
        <f t="shared" si="201"/>
        <v>11650.154426225561</v>
      </c>
      <c r="AA158" s="319">
        <f t="shared" si="201"/>
        <v>11761.446307298151</v>
      </c>
      <c r="AB158" s="319">
        <f t="shared" si="201"/>
        <v>11872.738188370737</v>
      </c>
      <c r="AC158" s="319">
        <f t="shared" si="201"/>
        <v>11984.030069443324</v>
      </c>
      <c r="AD158" s="319">
        <f t="shared" si="201"/>
        <v>12095.32195051591</v>
      </c>
      <c r="AE158" s="319">
        <f t="shared" si="201"/>
        <v>12206.6138315885</v>
      </c>
      <c r="AF158" s="319">
        <f t="shared" si="201"/>
        <v>12317.905712661088</v>
      </c>
      <c r="AG158" s="319">
        <f t="shared" si="201"/>
        <v>12429.197593733674</v>
      </c>
      <c r="AH158" s="319">
        <f t="shared" si="201"/>
        <v>12540.489474806262</v>
      </c>
      <c r="AI158" s="319">
        <f t="shared" si="201"/>
        <v>12651.781355878849</v>
      </c>
      <c r="AJ158" s="319">
        <f t="shared" si="201"/>
        <v>12763.073236951437</v>
      </c>
      <c r="AK158" s="319"/>
      <c r="AL158" s="319"/>
      <c r="AM158" s="319"/>
      <c r="AN158" s="319"/>
      <c r="AO158" s="319"/>
    </row>
    <row r="159" spans="2:41" outlineLevel="3">
      <c r="B159" s="309">
        <v>3</v>
      </c>
      <c r="C159" s="266" t="str">
        <f t="shared" ref="C159:C160" si="202">C143</f>
        <v>Residenciais - Tarifa Social</v>
      </c>
      <c r="D159" s="859">
        <f t="shared" si="198"/>
        <v>192.85902699999997</v>
      </c>
      <c r="E159" s="264" t="s">
        <v>406</v>
      </c>
      <c r="F159" s="145">
        <f t="shared" si="200"/>
        <v>9548.327210108273</v>
      </c>
      <c r="G159" s="319">
        <f t="shared" si="201"/>
        <v>195.18008749999998</v>
      </c>
      <c r="H159" s="319">
        <f t="shared" si="201"/>
        <v>197.501148</v>
      </c>
      <c r="I159" s="319">
        <f t="shared" si="201"/>
        <v>267.46202607724996</v>
      </c>
      <c r="J159" s="319">
        <f t="shared" si="201"/>
        <v>270.56876555649995</v>
      </c>
      <c r="K159" s="319">
        <f t="shared" si="201"/>
        <v>273.67550503575001</v>
      </c>
      <c r="L159" s="319">
        <f t="shared" si="201"/>
        <v>276.78224451499995</v>
      </c>
      <c r="M159" s="319">
        <f t="shared" si="201"/>
        <v>298.08176795387618</v>
      </c>
      <c r="N159" s="319">
        <f t="shared" si="201"/>
        <v>301.39044549927746</v>
      </c>
      <c r="O159" s="319">
        <f t="shared" si="201"/>
        <v>304.69912304467863</v>
      </c>
      <c r="P159" s="319">
        <f t="shared" si="201"/>
        <v>308.00780059007991</v>
      </c>
      <c r="Q159" s="319">
        <f t="shared" si="201"/>
        <v>311.31647813548119</v>
      </c>
      <c r="R159" s="319">
        <f t="shared" si="201"/>
        <v>314.62515568088241</v>
      </c>
      <c r="S159" s="319">
        <f t="shared" si="201"/>
        <v>317.93383322628364</v>
      </c>
      <c r="T159" s="319">
        <f t="shared" si="201"/>
        <v>321.24251077168492</v>
      </c>
      <c r="U159" s="319">
        <f t="shared" si="201"/>
        <v>324.55118831708614</v>
      </c>
      <c r="V159" s="319">
        <f t="shared" si="201"/>
        <v>327.85986586248742</v>
      </c>
      <c r="W159" s="319">
        <f t="shared" si="201"/>
        <v>331.16854340788865</v>
      </c>
      <c r="X159" s="319">
        <f t="shared" si="201"/>
        <v>334.47722095328987</v>
      </c>
      <c r="Y159" s="319">
        <f t="shared" si="201"/>
        <v>337.78589849869115</v>
      </c>
      <c r="Z159" s="319">
        <f t="shared" si="201"/>
        <v>341.09457604409243</v>
      </c>
      <c r="AA159" s="319">
        <f t="shared" si="201"/>
        <v>344.4032535894936</v>
      </c>
      <c r="AB159" s="319">
        <f t="shared" si="201"/>
        <v>347.71193113489488</v>
      </c>
      <c r="AC159" s="319">
        <f t="shared" si="201"/>
        <v>351.02060868029616</v>
      </c>
      <c r="AD159" s="319">
        <f t="shared" si="201"/>
        <v>354.32928622569744</v>
      </c>
      <c r="AE159" s="319">
        <f t="shared" si="201"/>
        <v>357.63796377109867</v>
      </c>
      <c r="AF159" s="319">
        <f t="shared" si="201"/>
        <v>360.94664131649989</v>
      </c>
      <c r="AG159" s="319">
        <f t="shared" si="201"/>
        <v>364.25531886190117</v>
      </c>
      <c r="AH159" s="319">
        <f t="shared" si="201"/>
        <v>367.5639964073024</v>
      </c>
      <c r="AI159" s="319">
        <f t="shared" si="201"/>
        <v>370.87267395270368</v>
      </c>
      <c r="AJ159" s="319">
        <f t="shared" si="201"/>
        <v>374.1813514981049</v>
      </c>
      <c r="AK159" s="319"/>
      <c r="AL159" s="319"/>
      <c r="AM159" s="319"/>
      <c r="AN159" s="319"/>
      <c r="AO159" s="319"/>
    </row>
    <row r="160" spans="2:41" outlineLevel="3">
      <c r="B160" s="309">
        <v>4</v>
      </c>
      <c r="C160" s="266" t="str">
        <f t="shared" si="202"/>
        <v>Não Residenciais</v>
      </c>
      <c r="D160" s="859">
        <f t="shared" si="198"/>
        <v>3601.9879052099996</v>
      </c>
      <c r="E160" s="264" t="s">
        <v>406</v>
      </c>
      <c r="F160" s="145">
        <f t="shared" ref="F160" si="203">SUM(G160:AN160)</f>
        <v>177754.4616933488</v>
      </c>
      <c r="G160" s="319">
        <f t="shared" ref="G160:AJ160" si="204">(G144*G152)/1000</f>
        <v>3644.4626507220682</v>
      </c>
      <c r="H160" s="319">
        <f t="shared" si="204"/>
        <v>3686.9373962341374</v>
      </c>
      <c r="I160" s="319">
        <f t="shared" si="204"/>
        <v>4991.8181517272969</v>
      </c>
      <c r="J160" s="319">
        <f t="shared" si="204"/>
        <v>5048.6705985952012</v>
      </c>
      <c r="K160" s="319">
        <f t="shared" si="204"/>
        <v>5105.5230454631055</v>
      </c>
      <c r="L160" s="319">
        <f t="shared" si="204"/>
        <v>5162.3754923310098</v>
      </c>
      <c r="M160" s="319">
        <f t="shared" si="204"/>
        <v>5558.4777552468431</v>
      </c>
      <c r="N160" s="319">
        <f t="shared" si="204"/>
        <v>5619.0256111611616</v>
      </c>
      <c r="O160" s="319">
        <f t="shared" si="204"/>
        <v>5679.5734670754791</v>
      </c>
      <c r="P160" s="319">
        <f t="shared" si="204"/>
        <v>5740.1213229897967</v>
      </c>
      <c r="Q160" s="319">
        <f t="shared" si="204"/>
        <v>5800.6691789041142</v>
      </c>
      <c r="R160" s="319">
        <f t="shared" si="204"/>
        <v>5861.2170348184327</v>
      </c>
      <c r="S160" s="319">
        <f t="shared" si="204"/>
        <v>5921.7648907327502</v>
      </c>
      <c r="T160" s="319">
        <f t="shared" si="204"/>
        <v>5982.3127466470678</v>
      </c>
      <c r="U160" s="319">
        <f t="shared" si="204"/>
        <v>6042.8606025613853</v>
      </c>
      <c r="V160" s="319">
        <f t="shared" si="204"/>
        <v>6103.4084584757038</v>
      </c>
      <c r="W160" s="319">
        <f t="shared" si="204"/>
        <v>6163.9563143900214</v>
      </c>
      <c r="X160" s="319">
        <f t="shared" si="204"/>
        <v>6224.5041703043398</v>
      </c>
      <c r="Y160" s="319">
        <f t="shared" si="204"/>
        <v>6285.0520262186583</v>
      </c>
      <c r="Z160" s="319">
        <f t="shared" si="204"/>
        <v>6345.5998821329767</v>
      </c>
      <c r="AA160" s="319">
        <f t="shared" si="204"/>
        <v>6406.1477380472943</v>
      </c>
      <c r="AB160" s="319">
        <f t="shared" si="204"/>
        <v>6466.6955939616128</v>
      </c>
      <c r="AC160" s="319">
        <f t="shared" si="204"/>
        <v>6527.2434498759303</v>
      </c>
      <c r="AD160" s="319">
        <f t="shared" si="204"/>
        <v>6587.7913057902488</v>
      </c>
      <c r="AE160" s="319">
        <f t="shared" si="204"/>
        <v>6648.3391617045663</v>
      </c>
      <c r="AF160" s="319">
        <f t="shared" si="204"/>
        <v>6708.8870176188848</v>
      </c>
      <c r="AG160" s="319">
        <f t="shared" si="204"/>
        <v>6769.4348735332023</v>
      </c>
      <c r="AH160" s="319">
        <f t="shared" si="204"/>
        <v>6829.9827294475199</v>
      </c>
      <c r="AI160" s="319">
        <f t="shared" si="204"/>
        <v>6890.5305853618383</v>
      </c>
      <c r="AJ160" s="319">
        <f t="shared" si="204"/>
        <v>6951.078441276155</v>
      </c>
      <c r="AK160" s="319"/>
      <c r="AL160" s="319"/>
      <c r="AM160" s="319"/>
      <c r="AN160" s="319"/>
      <c r="AO160" s="319"/>
    </row>
    <row r="161" spans="2:41" hidden="1" outlineLevel="3">
      <c r="B161" s="309">
        <v>15</v>
      </c>
      <c r="C161" s="266">
        <f>C145</f>
        <v>0</v>
      </c>
      <c r="D161">
        <f t="shared" si="198"/>
        <v>0</v>
      </c>
      <c r="E161" s="264" t="s">
        <v>406</v>
      </c>
      <c r="F161" s="145">
        <f t="shared" ref="F161" si="205">SUM(G161:AN161)</f>
        <v>0</v>
      </c>
      <c r="G161" s="319">
        <f t="shared" ref="G161:AJ161" si="206">(G145*G153)/1000</f>
        <v>0</v>
      </c>
      <c r="H161" s="319">
        <f t="shared" si="206"/>
        <v>0</v>
      </c>
      <c r="I161" s="319">
        <f t="shared" si="206"/>
        <v>0</v>
      </c>
      <c r="J161" s="319">
        <f t="shared" si="206"/>
        <v>0</v>
      </c>
      <c r="K161" s="319">
        <f t="shared" si="206"/>
        <v>0</v>
      </c>
      <c r="L161" s="319">
        <f t="shared" si="206"/>
        <v>0</v>
      </c>
      <c r="M161" s="319">
        <f t="shared" si="206"/>
        <v>0</v>
      </c>
      <c r="N161" s="319">
        <f t="shared" si="206"/>
        <v>0</v>
      </c>
      <c r="O161" s="319">
        <f t="shared" si="206"/>
        <v>0</v>
      </c>
      <c r="P161" s="319">
        <f t="shared" si="206"/>
        <v>0</v>
      </c>
      <c r="Q161" s="319">
        <f t="shared" si="206"/>
        <v>0</v>
      </c>
      <c r="R161" s="319">
        <f t="shared" si="206"/>
        <v>0</v>
      </c>
      <c r="S161" s="319">
        <f t="shared" si="206"/>
        <v>0</v>
      </c>
      <c r="T161" s="319">
        <f t="shared" si="206"/>
        <v>0</v>
      </c>
      <c r="U161" s="319">
        <f t="shared" si="206"/>
        <v>0</v>
      </c>
      <c r="V161" s="319">
        <f t="shared" si="206"/>
        <v>0</v>
      </c>
      <c r="W161" s="319">
        <f t="shared" si="206"/>
        <v>0</v>
      </c>
      <c r="X161" s="319">
        <f t="shared" si="206"/>
        <v>0</v>
      </c>
      <c r="Y161" s="319">
        <f t="shared" si="206"/>
        <v>0</v>
      </c>
      <c r="Z161" s="319">
        <f t="shared" si="206"/>
        <v>0</v>
      </c>
      <c r="AA161" s="319">
        <f t="shared" si="206"/>
        <v>0</v>
      </c>
      <c r="AB161" s="319">
        <f t="shared" si="206"/>
        <v>0</v>
      </c>
      <c r="AC161" s="319">
        <f t="shared" si="206"/>
        <v>0</v>
      </c>
      <c r="AD161" s="319">
        <f t="shared" si="206"/>
        <v>0</v>
      </c>
      <c r="AE161" s="319">
        <f t="shared" si="206"/>
        <v>0</v>
      </c>
      <c r="AF161" s="319">
        <f t="shared" si="206"/>
        <v>0</v>
      </c>
      <c r="AG161" s="319">
        <f t="shared" si="206"/>
        <v>0</v>
      </c>
      <c r="AH161" s="319">
        <f t="shared" si="206"/>
        <v>0</v>
      </c>
      <c r="AI161" s="319">
        <f t="shared" si="206"/>
        <v>0</v>
      </c>
      <c r="AJ161" s="319">
        <f t="shared" si="206"/>
        <v>0</v>
      </c>
      <c r="AK161" s="319"/>
      <c r="AL161" s="319"/>
      <c r="AM161" s="319"/>
      <c r="AN161" s="319"/>
      <c r="AO161" s="319"/>
    </row>
    <row r="162" spans="2:41" hidden="1" outlineLevel="3">
      <c r="B162" s="309">
        <v>16</v>
      </c>
      <c r="C162" s="266">
        <f>C146</f>
        <v>0</v>
      </c>
      <c r="D162">
        <f t="shared" si="198"/>
        <v>0</v>
      </c>
      <c r="E162" s="264" t="s">
        <v>406</v>
      </c>
      <c r="F162" s="145">
        <f t="shared" ref="F162:F163" si="207">SUM(G162:AN162)</f>
        <v>0</v>
      </c>
      <c r="G162" s="319">
        <f t="shared" ref="G162:AJ162" si="208">(G146*G154)/1000</f>
        <v>0</v>
      </c>
      <c r="H162" s="319">
        <f t="shared" si="208"/>
        <v>0</v>
      </c>
      <c r="I162" s="319">
        <f t="shared" si="208"/>
        <v>0</v>
      </c>
      <c r="J162" s="319">
        <f t="shared" si="208"/>
        <v>0</v>
      </c>
      <c r="K162" s="319">
        <f t="shared" si="208"/>
        <v>0</v>
      </c>
      <c r="L162" s="319">
        <f t="shared" si="208"/>
        <v>0</v>
      </c>
      <c r="M162" s="319">
        <f t="shared" si="208"/>
        <v>0</v>
      </c>
      <c r="N162" s="319">
        <f t="shared" si="208"/>
        <v>0</v>
      </c>
      <c r="O162" s="319">
        <f t="shared" si="208"/>
        <v>0</v>
      </c>
      <c r="P162" s="319">
        <f t="shared" si="208"/>
        <v>0</v>
      </c>
      <c r="Q162" s="319">
        <f t="shared" si="208"/>
        <v>0</v>
      </c>
      <c r="R162" s="319">
        <f t="shared" si="208"/>
        <v>0</v>
      </c>
      <c r="S162" s="319">
        <f t="shared" si="208"/>
        <v>0</v>
      </c>
      <c r="T162" s="319">
        <f t="shared" si="208"/>
        <v>0</v>
      </c>
      <c r="U162" s="319">
        <f t="shared" si="208"/>
        <v>0</v>
      </c>
      <c r="V162" s="319">
        <f t="shared" si="208"/>
        <v>0</v>
      </c>
      <c r="W162" s="319">
        <f t="shared" si="208"/>
        <v>0</v>
      </c>
      <c r="X162" s="319">
        <f t="shared" si="208"/>
        <v>0</v>
      </c>
      <c r="Y162" s="319">
        <f t="shared" si="208"/>
        <v>0</v>
      </c>
      <c r="Z162" s="319">
        <f t="shared" si="208"/>
        <v>0</v>
      </c>
      <c r="AA162" s="319">
        <f t="shared" si="208"/>
        <v>0</v>
      </c>
      <c r="AB162" s="319">
        <f t="shared" si="208"/>
        <v>0</v>
      </c>
      <c r="AC162" s="319">
        <f t="shared" si="208"/>
        <v>0</v>
      </c>
      <c r="AD162" s="319">
        <f t="shared" si="208"/>
        <v>0</v>
      </c>
      <c r="AE162" s="319">
        <f t="shared" si="208"/>
        <v>0</v>
      </c>
      <c r="AF162" s="319">
        <f t="shared" si="208"/>
        <v>0</v>
      </c>
      <c r="AG162" s="319">
        <f t="shared" si="208"/>
        <v>0</v>
      </c>
      <c r="AH162" s="319">
        <f t="shared" si="208"/>
        <v>0</v>
      </c>
      <c r="AI162" s="319">
        <f t="shared" si="208"/>
        <v>0</v>
      </c>
      <c r="AJ162" s="319">
        <f t="shared" si="208"/>
        <v>0</v>
      </c>
      <c r="AK162" s="319"/>
      <c r="AL162" s="319"/>
      <c r="AM162" s="319"/>
      <c r="AN162" s="319"/>
      <c r="AO162" s="319"/>
    </row>
    <row r="163" spans="2:41" hidden="1" outlineLevel="3">
      <c r="B163" s="309">
        <v>17</v>
      </c>
      <c r="C163" s="266">
        <f>C147</f>
        <v>0</v>
      </c>
      <c r="D163">
        <f t="shared" si="198"/>
        <v>0</v>
      </c>
      <c r="E163" s="264" t="s">
        <v>406</v>
      </c>
      <c r="F163" s="145">
        <f t="shared" si="207"/>
        <v>0</v>
      </c>
      <c r="G163" s="319">
        <f t="shared" ref="G163:AJ163" si="209">(G147*G155)/1000</f>
        <v>0</v>
      </c>
      <c r="H163" s="319">
        <f t="shared" si="209"/>
        <v>0</v>
      </c>
      <c r="I163" s="319">
        <f t="shared" si="209"/>
        <v>0</v>
      </c>
      <c r="J163" s="319">
        <f t="shared" si="209"/>
        <v>0</v>
      </c>
      <c r="K163" s="319">
        <f t="shared" si="209"/>
        <v>0</v>
      </c>
      <c r="L163" s="319">
        <f t="shared" si="209"/>
        <v>0</v>
      </c>
      <c r="M163" s="319">
        <f t="shared" si="209"/>
        <v>0</v>
      </c>
      <c r="N163" s="319">
        <f t="shared" si="209"/>
        <v>0</v>
      </c>
      <c r="O163" s="319">
        <f t="shared" si="209"/>
        <v>0</v>
      </c>
      <c r="P163" s="319">
        <f t="shared" si="209"/>
        <v>0</v>
      </c>
      <c r="Q163" s="319">
        <f t="shared" si="209"/>
        <v>0</v>
      </c>
      <c r="R163" s="319">
        <f t="shared" si="209"/>
        <v>0</v>
      </c>
      <c r="S163" s="319">
        <f t="shared" si="209"/>
        <v>0</v>
      </c>
      <c r="T163" s="319">
        <f t="shared" si="209"/>
        <v>0</v>
      </c>
      <c r="U163" s="319">
        <f t="shared" si="209"/>
        <v>0</v>
      </c>
      <c r="V163" s="319">
        <f t="shared" si="209"/>
        <v>0</v>
      </c>
      <c r="W163" s="319">
        <f t="shared" si="209"/>
        <v>0</v>
      </c>
      <c r="X163" s="319">
        <f t="shared" si="209"/>
        <v>0</v>
      </c>
      <c r="Y163" s="319">
        <f t="shared" si="209"/>
        <v>0</v>
      </c>
      <c r="Z163" s="319">
        <f t="shared" si="209"/>
        <v>0</v>
      </c>
      <c r="AA163" s="319">
        <f t="shared" si="209"/>
        <v>0</v>
      </c>
      <c r="AB163" s="319">
        <f t="shared" si="209"/>
        <v>0</v>
      </c>
      <c r="AC163" s="319">
        <f t="shared" si="209"/>
        <v>0</v>
      </c>
      <c r="AD163" s="319">
        <f t="shared" si="209"/>
        <v>0</v>
      </c>
      <c r="AE163" s="319">
        <f t="shared" si="209"/>
        <v>0</v>
      </c>
      <c r="AF163" s="319">
        <f t="shared" si="209"/>
        <v>0</v>
      </c>
      <c r="AG163" s="319">
        <f t="shared" si="209"/>
        <v>0</v>
      </c>
      <c r="AH163" s="319">
        <f t="shared" si="209"/>
        <v>0</v>
      </c>
      <c r="AI163" s="319">
        <f t="shared" si="209"/>
        <v>0</v>
      </c>
      <c r="AJ163" s="319">
        <f t="shared" si="209"/>
        <v>0</v>
      </c>
      <c r="AK163" s="319"/>
      <c r="AL163" s="319"/>
      <c r="AM163" s="319"/>
      <c r="AN163" s="319"/>
      <c r="AO163" s="319"/>
    </row>
    <row r="164" spans="2:41" outlineLevel="3">
      <c r="D164" s="266"/>
      <c r="E164" s="76"/>
      <c r="G164" s="319"/>
      <c r="H164" s="319"/>
      <c r="I164" s="319"/>
      <c r="J164" s="319"/>
      <c r="K164" s="319"/>
      <c r="L164" s="319"/>
      <c r="M164" s="319"/>
      <c r="N164" s="319"/>
      <c r="O164" s="319"/>
      <c r="P164" s="319"/>
      <c r="Q164" s="319"/>
      <c r="R164" s="319"/>
      <c r="S164" s="319"/>
      <c r="T164" s="319"/>
      <c r="U164" s="319"/>
      <c r="V164" s="319"/>
      <c r="W164" s="319"/>
      <c r="X164" s="319"/>
      <c r="Y164" s="319"/>
      <c r="Z164" s="319"/>
      <c r="AA164" s="319"/>
      <c r="AB164" s="319"/>
      <c r="AC164" s="319"/>
      <c r="AD164" s="319"/>
      <c r="AE164" s="319"/>
      <c r="AF164" s="319"/>
      <c r="AG164" s="319"/>
      <c r="AH164" s="319"/>
      <c r="AI164" s="319"/>
      <c r="AJ164" s="319"/>
      <c r="AK164" s="319"/>
      <c r="AL164" s="319"/>
      <c r="AM164" s="319"/>
      <c r="AN164" s="319"/>
      <c r="AO164" s="319"/>
    </row>
    <row r="165" spans="2:41" outlineLevel="2">
      <c r="D165" s="266"/>
      <c r="E165" s="240"/>
      <c r="G165" s="319"/>
      <c r="H165" s="319"/>
      <c r="I165" s="319"/>
      <c r="J165" s="319"/>
      <c r="K165" s="319"/>
      <c r="L165" s="319"/>
      <c r="M165" s="319"/>
      <c r="N165" s="319"/>
      <c r="O165" s="319"/>
      <c r="P165" s="319"/>
      <c r="Q165" s="319"/>
      <c r="R165" s="319"/>
      <c r="S165" s="319"/>
      <c r="T165" s="319"/>
      <c r="U165" s="319"/>
      <c r="V165" s="319"/>
      <c r="W165" s="319"/>
      <c r="X165" s="319"/>
      <c r="Y165" s="319"/>
      <c r="Z165" s="319"/>
      <c r="AA165" s="319"/>
      <c r="AB165" s="319"/>
      <c r="AC165" s="319"/>
      <c r="AD165" s="319"/>
      <c r="AE165" s="319"/>
      <c r="AF165" s="319"/>
      <c r="AG165" s="319"/>
      <c r="AH165" s="319"/>
      <c r="AI165" s="319"/>
      <c r="AJ165" s="319"/>
      <c r="AK165" s="319"/>
      <c r="AL165" s="319"/>
      <c r="AM165" s="319"/>
      <c r="AN165" s="319"/>
      <c r="AO165" s="319"/>
    </row>
    <row r="166" spans="2:41" outlineLevel="2">
      <c r="C166" s="11" t="s">
        <v>183</v>
      </c>
      <c r="D166" s="461"/>
      <c r="E166" s="240"/>
      <c r="G166" s="319"/>
      <c r="H166" s="319"/>
      <c r="I166" s="319"/>
      <c r="J166" s="319"/>
      <c r="K166" s="319"/>
      <c r="L166" s="319"/>
      <c r="M166" s="319"/>
      <c r="N166" s="319"/>
      <c r="O166" s="319"/>
      <c r="P166" s="319"/>
      <c r="Q166" s="319"/>
      <c r="R166" s="319"/>
      <c r="S166" s="319"/>
      <c r="T166" s="319"/>
      <c r="U166" s="319"/>
      <c r="V166" s="319"/>
      <c r="W166" s="319"/>
      <c r="X166" s="319"/>
      <c r="Y166" s="319"/>
      <c r="Z166" s="319"/>
      <c r="AA166" s="319"/>
      <c r="AB166" s="319"/>
      <c r="AC166" s="319"/>
      <c r="AD166" s="319"/>
      <c r="AE166" s="319"/>
      <c r="AF166" s="319"/>
      <c r="AG166" s="319"/>
      <c r="AH166" s="319"/>
      <c r="AI166" s="319"/>
      <c r="AJ166" s="319"/>
      <c r="AK166" s="319"/>
      <c r="AL166" s="319"/>
      <c r="AM166" s="319"/>
      <c r="AN166" s="319"/>
      <c r="AO166" s="319"/>
    </row>
    <row r="167" spans="2:41" outlineLevel="3">
      <c r="C167" s="266" t="s">
        <v>407</v>
      </c>
      <c r="D167" s="768">
        <f>SUM(D157:D163)</f>
        <v>11487.896456709997</v>
      </c>
      <c r="E167" s="76" t="s">
        <v>408</v>
      </c>
      <c r="F167" s="23">
        <f>SUM(G167:AN167)</f>
        <v>555333.9449924737</v>
      </c>
      <c r="G167" s="319">
        <f t="shared" ref="G167:AN167" si="210">IF(G132=0,0,SUM(G157:G163))</f>
        <v>0</v>
      </c>
      <c r="H167" s="319">
        <f t="shared" si="210"/>
        <v>11758.952798734137</v>
      </c>
      <c r="I167" s="319">
        <f t="shared" si="210"/>
        <v>15920.762778005295</v>
      </c>
      <c r="J167" s="319">
        <f t="shared" si="210"/>
        <v>16102.167234904948</v>
      </c>
      <c r="K167" s="319">
        <f t="shared" si="210"/>
        <v>16283.571691804606</v>
      </c>
      <c r="L167" s="319">
        <f t="shared" si="210"/>
        <v>16464.97614870426</v>
      </c>
      <c r="M167" s="319">
        <f t="shared" si="210"/>
        <v>17728.395344968165</v>
      </c>
      <c r="N167" s="319">
        <f t="shared" si="210"/>
        <v>17921.591091566297</v>
      </c>
      <c r="O167" s="319">
        <f t="shared" si="210"/>
        <v>18114.786838164429</v>
      </c>
      <c r="P167" s="319">
        <f t="shared" si="210"/>
        <v>18307.982584762562</v>
      </c>
      <c r="Q167" s="319">
        <f t="shared" si="210"/>
        <v>18501.17833136069</v>
      </c>
      <c r="R167" s="319">
        <f t="shared" si="210"/>
        <v>18694.374077958822</v>
      </c>
      <c r="S167" s="319">
        <f t="shared" si="210"/>
        <v>18887.569824556955</v>
      </c>
      <c r="T167" s="319">
        <f t="shared" si="210"/>
        <v>19080.765571155087</v>
      </c>
      <c r="U167" s="319">
        <f t="shared" si="210"/>
        <v>19273.961317753216</v>
      </c>
      <c r="V167" s="319">
        <f t="shared" si="210"/>
        <v>19467.157064351348</v>
      </c>
      <c r="W167" s="319">
        <f t="shared" si="210"/>
        <v>19660.35281094948</v>
      </c>
      <c r="X167" s="319">
        <f t="shared" si="210"/>
        <v>19853.548557547612</v>
      </c>
      <c r="Y167" s="319">
        <f t="shared" si="210"/>
        <v>20046.744304145745</v>
      </c>
      <c r="Z167" s="319">
        <f t="shared" si="210"/>
        <v>20239.940050743877</v>
      </c>
      <c r="AA167" s="319">
        <f t="shared" si="210"/>
        <v>20433.135797342009</v>
      </c>
      <c r="AB167" s="319">
        <f t="shared" si="210"/>
        <v>20626.331543940141</v>
      </c>
      <c r="AC167" s="319">
        <f t="shared" si="210"/>
        <v>20819.527290538274</v>
      </c>
      <c r="AD167" s="319">
        <f t="shared" si="210"/>
        <v>21012.723037136402</v>
      </c>
      <c r="AE167" s="319">
        <f t="shared" si="210"/>
        <v>21205.918783734534</v>
      </c>
      <c r="AF167" s="319">
        <f t="shared" si="210"/>
        <v>21399.11453033267</v>
      </c>
      <c r="AG167" s="319">
        <f t="shared" si="210"/>
        <v>21592.310276930795</v>
      </c>
      <c r="AH167" s="319">
        <f t="shared" si="210"/>
        <v>21785.506023528927</v>
      </c>
      <c r="AI167" s="319">
        <f t="shared" si="210"/>
        <v>21978.701770127063</v>
      </c>
      <c r="AJ167" s="319">
        <f t="shared" si="210"/>
        <v>22171.897516725192</v>
      </c>
      <c r="AK167" s="319">
        <f t="shared" si="210"/>
        <v>0</v>
      </c>
      <c r="AL167" s="319">
        <f t="shared" si="210"/>
        <v>0</v>
      </c>
      <c r="AM167" s="319">
        <f t="shared" si="210"/>
        <v>0</v>
      </c>
      <c r="AN167" s="319">
        <f t="shared" si="210"/>
        <v>0</v>
      </c>
      <c r="AO167" s="319"/>
    </row>
    <row r="168" spans="2:41" outlineLevel="2">
      <c r="D168" s="266"/>
      <c r="E168" s="309"/>
      <c r="G168" s="319"/>
    </row>
    <row r="169" spans="2:41" outlineLevel="2">
      <c r="D169" s="266"/>
      <c r="E169" s="309"/>
      <c r="G169" s="376"/>
      <c r="H169" s="376"/>
    </row>
    <row r="170" spans="2:41" outlineLevel="1">
      <c r="D170" s="266"/>
      <c r="E170" s="309"/>
    </row>
    <row r="171" spans="2:41" outlineLevel="1">
      <c r="C171" s="11" t="s">
        <v>409</v>
      </c>
      <c r="D171" s="266"/>
      <c r="E171" s="309"/>
    </row>
    <row r="172" spans="2:41" outlineLevel="2">
      <c r="C172" s="11"/>
      <c r="D172" s="266"/>
      <c r="E172" s="309"/>
    </row>
    <row r="173" spans="2:41" outlineLevel="2">
      <c r="C173" s="320" t="str">
        <f>Flags!C50</f>
        <v>Flag de operação</v>
      </c>
      <c r="D173" s="266"/>
      <c r="E173" s="32" t="str">
        <f>Flags!E50</f>
        <v>Flag</v>
      </c>
      <c r="F173" s="23">
        <f>Flags!F50</f>
        <v>29</v>
      </c>
      <c r="G173" s="25">
        <f>Flags!G50</f>
        <v>0</v>
      </c>
      <c r="H173" s="25">
        <f>Flags!H50</f>
        <v>1</v>
      </c>
      <c r="I173" s="25">
        <f>Flags!I50</f>
        <v>1</v>
      </c>
      <c r="J173" s="25">
        <f>Flags!J50</f>
        <v>1</v>
      </c>
      <c r="K173" s="25">
        <f>Flags!K50</f>
        <v>1</v>
      </c>
      <c r="L173" s="25">
        <f>Flags!L50</f>
        <v>1</v>
      </c>
      <c r="M173" s="25">
        <f>Flags!M50</f>
        <v>1</v>
      </c>
      <c r="N173" s="25">
        <f>Flags!N50</f>
        <v>1</v>
      </c>
      <c r="O173" s="25">
        <f>Flags!O50</f>
        <v>1</v>
      </c>
      <c r="P173" s="25">
        <f>Flags!P50</f>
        <v>1</v>
      </c>
      <c r="Q173" s="25">
        <f>Flags!Q50</f>
        <v>1</v>
      </c>
      <c r="R173" s="25">
        <f>Flags!R50</f>
        <v>1</v>
      </c>
      <c r="S173" s="25">
        <f>Flags!S50</f>
        <v>1</v>
      </c>
      <c r="T173" s="25">
        <f>Flags!T50</f>
        <v>1</v>
      </c>
      <c r="U173" s="25">
        <f>Flags!U50</f>
        <v>1</v>
      </c>
      <c r="V173" s="25">
        <f>Flags!V50</f>
        <v>1</v>
      </c>
      <c r="W173" s="25">
        <f>Flags!W50</f>
        <v>1</v>
      </c>
      <c r="X173" s="25">
        <f>Flags!X50</f>
        <v>1</v>
      </c>
      <c r="Y173" s="25">
        <f>Flags!Y50</f>
        <v>1</v>
      </c>
      <c r="Z173" s="25">
        <f>Flags!Z50</f>
        <v>1</v>
      </c>
      <c r="AA173" s="25">
        <f>Flags!AA50</f>
        <v>1</v>
      </c>
      <c r="AB173" s="25">
        <f>Flags!AB50</f>
        <v>1</v>
      </c>
      <c r="AC173" s="25">
        <f>Flags!AC50</f>
        <v>1</v>
      </c>
      <c r="AD173" s="25">
        <f>Flags!AD50</f>
        <v>1</v>
      </c>
      <c r="AE173" s="25">
        <f>Flags!AE50</f>
        <v>1</v>
      </c>
      <c r="AF173" s="25">
        <f>Flags!AF50</f>
        <v>1</v>
      </c>
      <c r="AG173" s="25">
        <f>Flags!AG50</f>
        <v>1</v>
      </c>
      <c r="AH173" s="25">
        <f>Flags!AH50</f>
        <v>1</v>
      </c>
      <c r="AI173" s="25">
        <f>Flags!AI50</f>
        <v>1</v>
      </c>
      <c r="AJ173" s="25">
        <f>Flags!AJ50</f>
        <v>1</v>
      </c>
      <c r="AK173" s="25">
        <f>Flags!AK50</f>
        <v>0</v>
      </c>
      <c r="AL173" s="25">
        <f>Flags!AL50</f>
        <v>0</v>
      </c>
      <c r="AM173" s="25">
        <f>Flags!AM50</f>
        <v>0</v>
      </c>
      <c r="AN173" s="25">
        <f>Flags!AN50</f>
        <v>0</v>
      </c>
    </row>
    <row r="174" spans="2:41" outlineLevel="2">
      <c r="C174" s="11"/>
      <c r="D174" s="266"/>
      <c r="E174" s="309"/>
    </row>
    <row r="175" spans="2:41" outlineLevel="2">
      <c r="C175" s="320" t="str">
        <f>Inputs!C111</f>
        <v>Receitas acessórias esperadas</v>
      </c>
      <c r="D175" s="38">
        <f>Inputs!D111</f>
        <v>0</v>
      </c>
      <c r="E175" s="41"/>
      <c r="G175">
        <f t="shared" ref="G175:AN175" si="211">G173*$D$175</f>
        <v>0</v>
      </c>
      <c r="H175">
        <f t="shared" si="211"/>
        <v>0</v>
      </c>
      <c r="I175">
        <f t="shared" si="211"/>
        <v>0</v>
      </c>
      <c r="J175">
        <f t="shared" si="211"/>
        <v>0</v>
      </c>
      <c r="K175">
        <f t="shared" si="211"/>
        <v>0</v>
      </c>
      <c r="L175">
        <f t="shared" si="211"/>
        <v>0</v>
      </c>
      <c r="M175">
        <f t="shared" si="211"/>
        <v>0</v>
      </c>
      <c r="N175">
        <f t="shared" si="211"/>
        <v>0</v>
      </c>
      <c r="O175">
        <f t="shared" si="211"/>
        <v>0</v>
      </c>
      <c r="P175">
        <f t="shared" si="211"/>
        <v>0</v>
      </c>
      <c r="Q175">
        <f t="shared" si="211"/>
        <v>0</v>
      </c>
      <c r="R175">
        <f t="shared" si="211"/>
        <v>0</v>
      </c>
      <c r="S175">
        <f t="shared" si="211"/>
        <v>0</v>
      </c>
      <c r="T175">
        <f t="shared" si="211"/>
        <v>0</v>
      </c>
      <c r="U175">
        <f t="shared" si="211"/>
        <v>0</v>
      </c>
      <c r="V175">
        <f t="shared" si="211"/>
        <v>0</v>
      </c>
      <c r="W175">
        <f t="shared" si="211"/>
        <v>0</v>
      </c>
      <c r="X175">
        <f t="shared" si="211"/>
        <v>0</v>
      </c>
      <c r="Y175">
        <f t="shared" si="211"/>
        <v>0</v>
      </c>
      <c r="Z175">
        <f t="shared" si="211"/>
        <v>0</v>
      </c>
      <c r="AA175">
        <f t="shared" si="211"/>
        <v>0</v>
      </c>
      <c r="AB175">
        <f t="shared" si="211"/>
        <v>0</v>
      </c>
      <c r="AC175">
        <f t="shared" si="211"/>
        <v>0</v>
      </c>
      <c r="AD175">
        <f t="shared" si="211"/>
        <v>0</v>
      </c>
      <c r="AE175">
        <f t="shared" si="211"/>
        <v>0</v>
      </c>
      <c r="AF175">
        <f t="shared" si="211"/>
        <v>0</v>
      </c>
      <c r="AG175">
        <f t="shared" si="211"/>
        <v>0</v>
      </c>
      <c r="AH175">
        <f t="shared" si="211"/>
        <v>0</v>
      </c>
      <c r="AI175">
        <f t="shared" si="211"/>
        <v>0</v>
      </c>
      <c r="AJ175">
        <f t="shared" si="211"/>
        <v>0</v>
      </c>
      <c r="AK175">
        <f t="shared" si="211"/>
        <v>0</v>
      </c>
      <c r="AL175">
        <f t="shared" si="211"/>
        <v>0</v>
      </c>
      <c r="AM175">
        <f t="shared" si="211"/>
        <v>0</v>
      </c>
      <c r="AN175">
        <f t="shared" si="211"/>
        <v>0</v>
      </c>
    </row>
    <row r="176" spans="2:41" outlineLevel="2">
      <c r="D176" s="266"/>
    </row>
    <row r="177" spans="3:41" outlineLevel="2">
      <c r="C177" s="11" t="s">
        <v>398</v>
      </c>
      <c r="D177" s="266"/>
    </row>
    <row r="178" spans="3:41" outlineLevel="2">
      <c r="C178" s="320" t="str">
        <f>Flags!C$14</f>
        <v>Counter</v>
      </c>
      <c r="D178" s="266"/>
      <c r="E178" s="32" t="str">
        <f>Flags!E$14</f>
        <v>Counter</v>
      </c>
      <c r="F178" s="266">
        <f>Flags!F$14</f>
        <v>0</v>
      </c>
      <c r="G178" s="266">
        <f>Flags!G$14</f>
        <v>1</v>
      </c>
      <c r="H178" s="266">
        <f>Flags!H$14</f>
        <v>2</v>
      </c>
      <c r="I178" s="266">
        <f>Flags!I$14</f>
        <v>3</v>
      </c>
      <c r="J178" s="266">
        <f>Flags!J$14</f>
        <v>4</v>
      </c>
      <c r="K178" s="266">
        <f>Flags!K$14</f>
        <v>5</v>
      </c>
      <c r="L178" s="266">
        <f>Flags!L$14</f>
        <v>6</v>
      </c>
      <c r="M178" s="266">
        <f>Flags!M$14</f>
        <v>7</v>
      </c>
      <c r="N178" s="266">
        <f>Flags!N$14</f>
        <v>8</v>
      </c>
      <c r="O178" s="266">
        <f>Flags!O$14</f>
        <v>9</v>
      </c>
      <c r="P178" s="266">
        <f>Flags!P$14</f>
        <v>10</v>
      </c>
      <c r="Q178" s="266">
        <f>Flags!Q$14</f>
        <v>11</v>
      </c>
      <c r="R178" s="266">
        <f>Flags!R$14</f>
        <v>12</v>
      </c>
      <c r="S178" s="266">
        <f>Flags!S$14</f>
        <v>13</v>
      </c>
      <c r="T178" s="266">
        <f>Flags!T$14</f>
        <v>14</v>
      </c>
      <c r="U178" s="266">
        <f>Flags!U$14</f>
        <v>15</v>
      </c>
      <c r="V178" s="266">
        <f>Flags!V$14</f>
        <v>16</v>
      </c>
      <c r="W178" s="266">
        <f>Flags!W$14</f>
        <v>17</v>
      </c>
      <c r="X178" s="266">
        <f>Flags!X$14</f>
        <v>18</v>
      </c>
      <c r="Y178" s="266">
        <f>Flags!Y$14</f>
        <v>19</v>
      </c>
      <c r="Z178" s="266">
        <f>Flags!Z$14</f>
        <v>20</v>
      </c>
      <c r="AA178" s="266">
        <f>Flags!AA$14</f>
        <v>21</v>
      </c>
      <c r="AB178" s="266">
        <f>Flags!AB$14</f>
        <v>22</v>
      </c>
      <c r="AC178" s="266">
        <f>Flags!AC$14</f>
        <v>23</v>
      </c>
      <c r="AD178" s="266">
        <f>Flags!AD$14</f>
        <v>24</v>
      </c>
      <c r="AE178" s="266">
        <f>Flags!AE$14</f>
        <v>25</v>
      </c>
      <c r="AF178" s="266">
        <f>Flags!AF$14</f>
        <v>26</v>
      </c>
      <c r="AG178" s="266">
        <f>Flags!AG$14</f>
        <v>27</v>
      </c>
      <c r="AH178" s="266">
        <f>Flags!AH$14</f>
        <v>28</v>
      </c>
      <c r="AI178" s="266">
        <f>Flags!AI$14</f>
        <v>29</v>
      </c>
      <c r="AJ178" s="266">
        <f>Flags!AJ$14</f>
        <v>30</v>
      </c>
      <c r="AK178" s="266">
        <f>Flags!AK$14</f>
        <v>31</v>
      </c>
      <c r="AL178" s="266">
        <f>Flags!AL$14</f>
        <v>32</v>
      </c>
      <c r="AM178" s="266">
        <f>Flags!AM$14</f>
        <v>33</v>
      </c>
      <c r="AN178" s="266">
        <f>Flags!AN$14</f>
        <v>34</v>
      </c>
    </row>
    <row r="179" spans="3:41" outlineLevel="2">
      <c r="C179" s="320" t="s">
        <v>398</v>
      </c>
      <c r="D179" s="266"/>
      <c r="E179" s="32" t="s">
        <v>399</v>
      </c>
      <c r="G179" s="25">
        <f t="shared" ref="G179:AN179" si="212">IF(G178=1,0,1)</f>
        <v>0</v>
      </c>
      <c r="H179" s="25">
        <f t="shared" si="212"/>
        <v>1</v>
      </c>
      <c r="I179" s="25">
        <f t="shared" si="212"/>
        <v>1</v>
      </c>
      <c r="J179" s="25">
        <f t="shared" si="212"/>
        <v>1</v>
      </c>
      <c r="K179" s="25">
        <f t="shared" si="212"/>
        <v>1</v>
      </c>
      <c r="L179" s="25">
        <f t="shared" si="212"/>
        <v>1</v>
      </c>
      <c r="M179" s="25">
        <f t="shared" si="212"/>
        <v>1</v>
      </c>
      <c r="N179" s="25">
        <f t="shared" si="212"/>
        <v>1</v>
      </c>
      <c r="O179" s="25">
        <f t="shared" si="212"/>
        <v>1</v>
      </c>
      <c r="P179" s="25">
        <f t="shared" si="212"/>
        <v>1</v>
      </c>
      <c r="Q179" s="25">
        <f t="shared" si="212"/>
        <v>1</v>
      </c>
      <c r="R179" s="25">
        <f t="shared" si="212"/>
        <v>1</v>
      </c>
      <c r="S179" s="25">
        <f t="shared" si="212"/>
        <v>1</v>
      </c>
      <c r="T179" s="25">
        <f t="shared" si="212"/>
        <v>1</v>
      </c>
      <c r="U179" s="25">
        <f t="shared" si="212"/>
        <v>1</v>
      </c>
      <c r="V179" s="25">
        <f t="shared" si="212"/>
        <v>1</v>
      </c>
      <c r="W179" s="25">
        <f t="shared" si="212"/>
        <v>1</v>
      </c>
      <c r="X179" s="25">
        <f t="shared" si="212"/>
        <v>1</v>
      </c>
      <c r="Y179" s="25">
        <f t="shared" si="212"/>
        <v>1</v>
      </c>
      <c r="Z179" s="25">
        <f t="shared" si="212"/>
        <v>1</v>
      </c>
      <c r="AA179" s="25">
        <f t="shared" si="212"/>
        <v>1</v>
      </c>
      <c r="AB179" s="25">
        <f t="shared" si="212"/>
        <v>1</v>
      </c>
      <c r="AC179" s="25">
        <f t="shared" si="212"/>
        <v>1</v>
      </c>
      <c r="AD179" s="25">
        <f t="shared" si="212"/>
        <v>1</v>
      </c>
      <c r="AE179" s="25">
        <f t="shared" si="212"/>
        <v>1</v>
      </c>
      <c r="AF179" s="25">
        <f t="shared" si="212"/>
        <v>1</v>
      </c>
      <c r="AG179" s="25">
        <f t="shared" si="212"/>
        <v>1</v>
      </c>
      <c r="AH179" s="25">
        <f t="shared" si="212"/>
        <v>1</v>
      </c>
      <c r="AI179" s="25">
        <f t="shared" si="212"/>
        <v>1</v>
      </c>
      <c r="AJ179" s="25">
        <f t="shared" si="212"/>
        <v>1</v>
      </c>
      <c r="AK179" s="25">
        <f t="shared" si="212"/>
        <v>1</v>
      </c>
      <c r="AL179" s="25">
        <f t="shared" si="212"/>
        <v>1</v>
      </c>
      <c r="AM179" s="25">
        <f t="shared" si="212"/>
        <v>1</v>
      </c>
      <c r="AN179" s="25">
        <f t="shared" si="212"/>
        <v>1</v>
      </c>
      <c r="AO179" s="118"/>
    </row>
    <row r="180" spans="3:41" outlineLevel="2">
      <c r="C180" s="320" t="s">
        <v>363</v>
      </c>
      <c r="D180" s="266"/>
      <c r="E180" s="32" t="s">
        <v>181</v>
      </c>
      <c r="F180" s="496">
        <v>1</v>
      </c>
      <c r="G180">
        <f t="shared" ref="G180" si="213">IF(G179=1,G$39,F180)</f>
        <v>1</v>
      </c>
      <c r="H180" s="319">
        <f t="shared" ref="H180" si="214">IF(H179=1,H$39,G180)</f>
        <v>1.0712249999999999</v>
      </c>
      <c r="I180" s="319">
        <f t="shared" ref="I180" si="215">IF(I179=1,I$39,H180)</f>
        <v>1.1087178749999997</v>
      </c>
      <c r="J180" s="319">
        <f t="shared" ref="J180" si="216">IF(J179=1,J$39,I180)</f>
        <v>1.1475230006249997</v>
      </c>
      <c r="K180" s="319">
        <f t="shared" ref="K180" si="217">IF(K179=1,K$39,J180)</f>
        <v>1.1876863056468745</v>
      </c>
      <c r="L180" s="319">
        <f t="shared" ref="L180" si="218">IF(L179=1,L$39,K180)</f>
        <v>1.229255326344515</v>
      </c>
      <c r="M180" s="319">
        <f t="shared" ref="M180" si="219">IF(M179=1,M$39,L180)</f>
        <v>1.2722792627665729</v>
      </c>
      <c r="N180" s="319">
        <f t="shared" ref="N180" si="220">IF(N179=1,N$39,M180)</f>
        <v>1.3168090369634029</v>
      </c>
      <c r="O180" s="319">
        <f t="shared" ref="O180" si="221">IF(O179=1,O$39,N180)</f>
        <v>1.3628973532571218</v>
      </c>
      <c r="P180" s="319">
        <f t="shared" ref="P180" si="222">IF(P179=1,P$39,O180)</f>
        <v>1.410598760621121</v>
      </c>
      <c r="Q180" s="319">
        <f t="shared" ref="Q180" si="223">IF(Q179=1,Q$39,P180)</f>
        <v>1.4599697172428601</v>
      </c>
      <c r="R180" s="319">
        <f t="shared" ref="R180" si="224">IF(R179=1,R$39,Q180)</f>
        <v>1.5110686573463601</v>
      </c>
      <c r="S180" s="319">
        <f t="shared" ref="S180" si="225">IF(S179=1,S$39,R180)</f>
        <v>1.5639560603534826</v>
      </c>
      <c r="T180" s="319">
        <f t="shared" ref="T180" si="226">IF(T179=1,T$39,S180)</f>
        <v>1.6186945224658542</v>
      </c>
      <c r="U180" s="319">
        <f t="shared" ref="U180" si="227">IF(U179=1,U$39,T180)</f>
        <v>1.6753488307521589</v>
      </c>
      <c r="V180" s="319">
        <f t="shared" ref="V180" si="228">IF(V179=1,V$39,U180)</f>
        <v>1.7339860398284843</v>
      </c>
      <c r="W180" s="319">
        <f t="shared" ref="W180" si="229">IF(W179=1,W$39,V180)</f>
        <v>1.7946755512224812</v>
      </c>
      <c r="X180" s="319">
        <f t="shared" ref="X180" si="230">IF(X179=1,X$39,W180)</f>
        <v>1.8574891955152679</v>
      </c>
      <c r="Y180" s="319">
        <f t="shared" ref="Y180" si="231">IF(Y179=1,Y$39,X180)</f>
        <v>1.9225013173583021</v>
      </c>
      <c r="Z180" s="319">
        <f t="shared" ref="Z180" si="232">IF(Z179=1,Z$39,Y180)</f>
        <v>1.9897888634658425</v>
      </c>
      <c r="AA180" s="319">
        <f t="shared" ref="AA180" si="233">IF(AA179=1,AA$39,Z180)</f>
        <v>2.0594314736871469</v>
      </c>
      <c r="AB180" s="319">
        <f t="shared" ref="AB180" si="234">IF(AB179=1,AB$39,AA180)</f>
        <v>2.1315115752661966</v>
      </c>
      <c r="AC180" s="319">
        <f t="shared" ref="AC180" si="235">IF(AC179=1,AC$39,AB180)</f>
        <v>2.2061144804005135</v>
      </c>
      <c r="AD180" s="319">
        <f t="shared" ref="AD180" si="236">IF(AD179=1,AD$39,AC180)</f>
        <v>2.2833284872145314</v>
      </c>
      <c r="AE180" s="319">
        <f t="shared" ref="AE180" si="237">IF(AE179=1,AE$39,AD180)</f>
        <v>2.3632449842670398</v>
      </c>
      <c r="AF180" s="319">
        <f t="shared" ref="AF180" si="238">IF(AF179=1,AF$39,AE180)</f>
        <v>2.4459585587163861</v>
      </c>
      <c r="AG180" s="319">
        <f t="shared" ref="AG180" si="239">IF(AG179=1,AG$39,AF180)</f>
        <v>2.5315671082714593</v>
      </c>
      <c r="AH180" s="319">
        <f t="shared" ref="AH180" si="240">IF(AH179=1,AH$39,AG180)</f>
        <v>2.6201719570609603</v>
      </c>
      <c r="AI180" s="319">
        <f t="shared" ref="AI180" si="241">IF(AI179=1,AI$39,AH180)</f>
        <v>2.7118779755580937</v>
      </c>
      <c r="AJ180" s="319">
        <f t="shared" ref="AJ180" si="242">IF(AJ179=1,AJ$39,AI180)</f>
        <v>2.8067937047026268</v>
      </c>
      <c r="AK180" s="319">
        <f t="shared" ref="AK180" si="243">IF(AK179=1,AK$39,AJ180)</f>
        <v>2.9050314843672185</v>
      </c>
      <c r="AL180" s="319">
        <f t="shared" ref="AL180" si="244">IF(AL179=1,AL$39,AK180)</f>
        <v>3.0067075863200707</v>
      </c>
      <c r="AM180" s="319">
        <f t="shared" ref="AM180" si="245">IF(AM179=1,AM$39,AL180)</f>
        <v>3.111942351841273</v>
      </c>
      <c r="AN180" s="319">
        <f t="shared" ref="AN180" si="246">IF(AN179=1,AN$39,AM180)</f>
        <v>1</v>
      </c>
    </row>
    <row r="181" spans="3:41" outlineLevel="2">
      <c r="C181" s="11"/>
      <c r="D181" s="266"/>
      <c r="E181" s="309"/>
    </row>
    <row r="182" spans="3:41" outlineLevel="2">
      <c r="C182" s="28" t="s">
        <v>410</v>
      </c>
      <c r="D182" s="275"/>
      <c r="E182" s="83" t="s">
        <v>20</v>
      </c>
      <c r="F182" s="23">
        <f>SUM(G182:AN182)</f>
        <v>0</v>
      </c>
      <c r="G182" s="287">
        <f>IF(Inputs!$E$19=2,G175,G175*G180)</f>
        <v>0</v>
      </c>
      <c r="H182" s="287">
        <f>IF(Inputs!$E$19=2,H175,H175*H180)</f>
        <v>0</v>
      </c>
      <c r="I182" s="287">
        <f>IF(Inputs!$E$19=2,I175,I175*I180)</f>
        <v>0</v>
      </c>
      <c r="J182" s="287">
        <f>IF(Inputs!$E$19=2,J175,J175*J180)</f>
        <v>0</v>
      </c>
      <c r="K182" s="287">
        <f>IF(Inputs!$E$19=2,K175,K175*K180)</f>
        <v>0</v>
      </c>
      <c r="L182" s="287">
        <f>IF(Inputs!$E$19=2,L175,L175*L180)</f>
        <v>0</v>
      </c>
      <c r="M182" s="287">
        <f>IF(Inputs!$E$19=2,M175,M175*M180)</f>
        <v>0</v>
      </c>
      <c r="N182" s="287">
        <f>IF(Inputs!$E$19=2,N175,N175*N180)</f>
        <v>0</v>
      </c>
      <c r="O182" s="287">
        <f>IF(Inputs!$E$19=2,O175,O175*O180)</f>
        <v>0</v>
      </c>
      <c r="P182" s="287">
        <f>IF(Inputs!$E$19=2,P175,P175*P180)</f>
        <v>0</v>
      </c>
      <c r="Q182" s="287">
        <f>IF(Inputs!$E$19=2,Q175,Q175*Q180)</f>
        <v>0</v>
      </c>
      <c r="R182" s="287">
        <f>IF(Inputs!$E$19=2,R175,R175*R180)</f>
        <v>0</v>
      </c>
      <c r="S182" s="287">
        <f>IF(Inputs!$E$19=2,S175,S175*S180)</f>
        <v>0</v>
      </c>
      <c r="T182" s="287">
        <f>IF(Inputs!$E$19=2,T175,T175*T180)</f>
        <v>0</v>
      </c>
      <c r="U182" s="287">
        <f>IF(Inputs!$E$19=2,U175,U175*U180)</f>
        <v>0</v>
      </c>
      <c r="V182" s="287">
        <f>IF(Inputs!$E$19=2,V175,V175*V180)</f>
        <v>0</v>
      </c>
      <c r="W182" s="287">
        <f>IF(Inputs!$E$19=2,W175,W175*W180)</f>
        <v>0</v>
      </c>
      <c r="X182" s="287">
        <f>IF(Inputs!$E$19=2,X175,X175*X180)</f>
        <v>0</v>
      </c>
      <c r="Y182" s="287">
        <f>IF(Inputs!$E$19=2,Y175,Y175*Y180)</f>
        <v>0</v>
      </c>
      <c r="Z182" s="287">
        <f>IF(Inputs!$E$19=2,Z175,Z175*Z180)</f>
        <v>0</v>
      </c>
      <c r="AA182" s="287">
        <f>IF(Inputs!$E$19=2,AA175,AA175*AA180)</f>
        <v>0</v>
      </c>
      <c r="AB182" s="287">
        <f>IF(Inputs!$E$19=2,AB175,AB175*AB180)</f>
        <v>0</v>
      </c>
      <c r="AC182" s="287">
        <f>IF(Inputs!$E$19=2,AC175,AC175*AC180)</f>
        <v>0</v>
      </c>
      <c r="AD182" s="287">
        <f>IF(Inputs!$E$19=2,AD175,AD175*AD180)</f>
        <v>0</v>
      </c>
      <c r="AE182" s="287">
        <f>IF(Inputs!$E$19=2,AE175,AE175*AE180)</f>
        <v>0</v>
      </c>
      <c r="AF182" s="287">
        <f>IF(Inputs!$E$19=2,AF175,AF175*AF180)</f>
        <v>0</v>
      </c>
      <c r="AG182" s="287">
        <f>IF(Inputs!$E$19=2,AG175,AG175*AG180)</f>
        <v>0</v>
      </c>
      <c r="AH182" s="287">
        <f>IF(Inputs!$E$19=2,AH175,AH175*AH180)</f>
        <v>0</v>
      </c>
      <c r="AI182" s="287">
        <f>IF(Inputs!$E$19=2,AI175,AI175*AI180)</f>
        <v>0</v>
      </c>
      <c r="AJ182" s="287">
        <f>IF(Inputs!$E$19=2,AJ175,AJ175*AJ180)</f>
        <v>0</v>
      </c>
      <c r="AK182" s="287">
        <f>IF(Inputs!$E$19=2,AK175,AK175*AK180)</f>
        <v>0</v>
      </c>
      <c r="AL182" s="287">
        <f>IF(Inputs!$E$19=2,AL175,AL175*AL180)</f>
        <v>0</v>
      </c>
      <c r="AM182" s="287">
        <f>IF(Inputs!$E$19=2,AM175,AM175*AM180)</f>
        <v>0</v>
      </c>
      <c r="AN182" s="287">
        <f>IF(Inputs!$E$19=2,AN175,AN175*AN180)</f>
        <v>0</v>
      </c>
    </row>
    <row r="183" spans="3:41" outlineLevel="2">
      <c r="C183" s="11"/>
      <c r="D183" s="266"/>
      <c r="E183" s="309"/>
    </row>
    <row r="184" spans="3:41" outlineLevel="1">
      <c r="C184" s="11" t="s">
        <v>44</v>
      </c>
      <c r="D184" s="266"/>
      <c r="E184" s="309"/>
    </row>
    <row r="185" spans="3:41" outlineLevel="2">
      <c r="C185" s="266" t="str">
        <f>C127</f>
        <v>Contraprestação anual</v>
      </c>
      <c r="D185" s="266"/>
      <c r="E185" s="98" t="s">
        <v>20</v>
      </c>
      <c r="F185" s="23">
        <f t="shared" ref="F185:F187" si="247">SUM(G185:AN185)</f>
        <v>225809.85502067092</v>
      </c>
      <c r="G185" s="319">
        <f t="shared" ref="G185:AN185" si="248">G127</f>
        <v>15451.717165367998</v>
      </c>
      <c r="H185" s="319">
        <f t="shared" si="248"/>
        <v>6334.3740971543702</v>
      </c>
      <c r="I185" s="319">
        <f t="shared" si="248"/>
        <v>6406.5075084297869</v>
      </c>
      <c r="J185" s="319">
        <f t="shared" si="248"/>
        <v>6477.8193831813778</v>
      </c>
      <c r="K185" s="319">
        <f t="shared" si="248"/>
        <v>6548.32822384881</v>
      </c>
      <c r="L185" s="319">
        <f t="shared" si="248"/>
        <v>6618.0519147711393</v>
      </c>
      <c r="M185" s="319">
        <f t="shared" si="248"/>
        <v>6687.0077494149991</v>
      </c>
      <c r="N185" s="319">
        <f t="shared" si="248"/>
        <v>6755.2124561198252</v>
      </c>
      <c r="O185" s="319">
        <f t="shared" si="248"/>
        <v>6822.6822224559801</v>
      </c>
      <c r="P185" s="319">
        <f t="shared" si="248"/>
        <v>6889.43271828452</v>
      </c>
      <c r="Q185" s="319">
        <f t="shared" si="248"/>
        <v>6955.4791176007702</v>
      </c>
      <c r="R185" s="319">
        <f t="shared" si="248"/>
        <v>7020.8361192378707</v>
      </c>
      <c r="S185" s="319">
        <f t="shared" si="248"/>
        <v>7085.5179665009537</v>
      </c>
      <c r="T185" s="319">
        <f t="shared" si="248"/>
        <v>7149.5384657975737</v>
      </c>
      <c r="U185" s="319">
        <f t="shared" si="248"/>
        <v>7212.9110043253195</v>
      </c>
      <c r="V185" s="319">
        <f t="shared" si="248"/>
        <v>7275.6485668732985</v>
      </c>
      <c r="W185" s="319">
        <f t="shared" si="248"/>
        <v>7337.7637517902504</v>
      </c>
      <c r="X185" s="319">
        <f t="shared" si="248"/>
        <v>7399.2687861683899</v>
      </c>
      <c r="Y185" s="319">
        <f t="shared" si="248"/>
        <v>7460.1755402887547</v>
      </c>
      <c r="Z185" s="319">
        <f t="shared" si="248"/>
        <v>7520.4955413707503</v>
      </c>
      <c r="AA185" s="319">
        <f t="shared" si="248"/>
        <v>7580.2399866657288</v>
      </c>
      <c r="AB185" s="319">
        <f t="shared" si="248"/>
        <v>7639.4197559317854</v>
      </c>
      <c r="AC185" s="319">
        <f t="shared" si="248"/>
        <v>7698.04542332456</v>
      </c>
      <c r="AD185" s="319">
        <f t="shared" si="248"/>
        <v>7756.1272687365181</v>
      </c>
      <c r="AE185" s="319">
        <f t="shared" si="248"/>
        <v>7813.6752886151517</v>
      </c>
      <c r="AF185" s="319">
        <f t="shared" si="248"/>
        <v>7870.6992062885556</v>
      </c>
      <c r="AG185" s="319">
        <f t="shared" si="248"/>
        <v>7927.2084818250605</v>
      </c>
      <c r="AH185" s="319">
        <f t="shared" si="248"/>
        <v>7983.2123214519324</v>
      </c>
      <c r="AI185" s="319">
        <f t="shared" si="248"/>
        <v>8038.7196865565847</v>
      </c>
      <c r="AJ185" s="319">
        <f t="shared" si="248"/>
        <v>8093.7393022923152</v>
      </c>
      <c r="AK185" s="319">
        <f t="shared" si="248"/>
        <v>0</v>
      </c>
      <c r="AL185" s="319">
        <f t="shared" si="248"/>
        <v>0</v>
      </c>
      <c r="AM185" s="319">
        <f t="shared" si="248"/>
        <v>0</v>
      </c>
      <c r="AN185" s="319">
        <f t="shared" si="248"/>
        <v>0</v>
      </c>
    </row>
    <row r="186" spans="3:41" outlineLevel="2">
      <c r="C186" s="266" t="s">
        <v>407</v>
      </c>
      <c r="D186" s="266"/>
      <c r="E186" s="98" t="s">
        <v>20</v>
      </c>
      <c r="F186" s="23">
        <f>SUM(G186:AN186)</f>
        <v>555333.9449924737</v>
      </c>
      <c r="G186" s="319">
        <f t="shared" ref="G186:AN186" si="249">SUM(G167:G167)</f>
        <v>0</v>
      </c>
      <c r="H186" s="319">
        <f t="shared" si="249"/>
        <v>11758.952798734137</v>
      </c>
      <c r="I186" s="319">
        <f t="shared" si="249"/>
        <v>15920.762778005295</v>
      </c>
      <c r="J186" s="319">
        <f t="shared" si="249"/>
        <v>16102.167234904948</v>
      </c>
      <c r="K186" s="319">
        <f t="shared" si="249"/>
        <v>16283.571691804606</v>
      </c>
      <c r="L186" s="319">
        <f t="shared" si="249"/>
        <v>16464.97614870426</v>
      </c>
      <c r="M186" s="319">
        <f t="shared" si="249"/>
        <v>17728.395344968165</v>
      </c>
      <c r="N186" s="319">
        <f t="shared" si="249"/>
        <v>17921.591091566297</v>
      </c>
      <c r="O186" s="319">
        <f t="shared" si="249"/>
        <v>18114.786838164429</v>
      </c>
      <c r="P186" s="319">
        <f t="shared" si="249"/>
        <v>18307.982584762562</v>
      </c>
      <c r="Q186" s="319">
        <f t="shared" si="249"/>
        <v>18501.17833136069</v>
      </c>
      <c r="R186" s="319">
        <f t="shared" si="249"/>
        <v>18694.374077958822</v>
      </c>
      <c r="S186" s="319">
        <f t="shared" si="249"/>
        <v>18887.569824556955</v>
      </c>
      <c r="T186" s="319">
        <f t="shared" si="249"/>
        <v>19080.765571155087</v>
      </c>
      <c r="U186" s="319">
        <f t="shared" si="249"/>
        <v>19273.961317753216</v>
      </c>
      <c r="V186" s="319">
        <f t="shared" si="249"/>
        <v>19467.157064351348</v>
      </c>
      <c r="W186" s="319">
        <f t="shared" si="249"/>
        <v>19660.35281094948</v>
      </c>
      <c r="X186" s="319">
        <f t="shared" si="249"/>
        <v>19853.548557547612</v>
      </c>
      <c r="Y186" s="319">
        <f t="shared" si="249"/>
        <v>20046.744304145745</v>
      </c>
      <c r="Z186" s="319">
        <f t="shared" si="249"/>
        <v>20239.940050743877</v>
      </c>
      <c r="AA186" s="319">
        <f t="shared" si="249"/>
        <v>20433.135797342009</v>
      </c>
      <c r="AB186" s="319">
        <f t="shared" si="249"/>
        <v>20626.331543940141</v>
      </c>
      <c r="AC186" s="319">
        <f t="shared" si="249"/>
        <v>20819.527290538274</v>
      </c>
      <c r="AD186" s="319">
        <f t="shared" si="249"/>
        <v>21012.723037136402</v>
      </c>
      <c r="AE186" s="319">
        <f t="shared" si="249"/>
        <v>21205.918783734534</v>
      </c>
      <c r="AF186" s="319">
        <f t="shared" si="249"/>
        <v>21399.11453033267</v>
      </c>
      <c r="AG186" s="319">
        <f t="shared" si="249"/>
        <v>21592.310276930795</v>
      </c>
      <c r="AH186" s="319">
        <f t="shared" si="249"/>
        <v>21785.506023528927</v>
      </c>
      <c r="AI186" s="319">
        <f t="shared" si="249"/>
        <v>21978.701770127063</v>
      </c>
      <c r="AJ186" s="319">
        <f t="shared" si="249"/>
        <v>22171.897516725192</v>
      </c>
      <c r="AK186" s="319">
        <f t="shared" si="249"/>
        <v>0</v>
      </c>
      <c r="AL186" s="319">
        <f t="shared" si="249"/>
        <v>0</v>
      </c>
      <c r="AM186" s="319">
        <f t="shared" si="249"/>
        <v>0</v>
      </c>
      <c r="AN186" s="319">
        <f t="shared" si="249"/>
        <v>0</v>
      </c>
    </row>
    <row r="187" spans="3:41" outlineLevel="2">
      <c r="C187" s="266" t="s">
        <v>191</v>
      </c>
      <c r="D187" s="266"/>
      <c r="E187" s="98" t="s">
        <v>20</v>
      </c>
      <c r="F187" s="23">
        <f t="shared" si="247"/>
        <v>0</v>
      </c>
      <c r="G187" s="319">
        <f t="shared" ref="G187:AN187" si="250">G182</f>
        <v>0</v>
      </c>
      <c r="H187" s="319">
        <f t="shared" si="250"/>
        <v>0</v>
      </c>
      <c r="I187" s="319">
        <f t="shared" si="250"/>
        <v>0</v>
      </c>
      <c r="J187" s="319">
        <f t="shared" si="250"/>
        <v>0</v>
      </c>
      <c r="K187" s="319">
        <f t="shared" si="250"/>
        <v>0</v>
      </c>
      <c r="L187" s="319">
        <f t="shared" si="250"/>
        <v>0</v>
      </c>
      <c r="M187" s="319">
        <f t="shared" si="250"/>
        <v>0</v>
      </c>
      <c r="N187" s="319">
        <f t="shared" si="250"/>
        <v>0</v>
      </c>
      <c r="O187" s="319">
        <f t="shared" si="250"/>
        <v>0</v>
      </c>
      <c r="P187" s="319">
        <f t="shared" si="250"/>
        <v>0</v>
      </c>
      <c r="Q187" s="319">
        <f t="shared" si="250"/>
        <v>0</v>
      </c>
      <c r="R187" s="319">
        <f t="shared" si="250"/>
        <v>0</v>
      </c>
      <c r="S187" s="319">
        <f t="shared" si="250"/>
        <v>0</v>
      </c>
      <c r="T187" s="319">
        <f t="shared" si="250"/>
        <v>0</v>
      </c>
      <c r="U187" s="319">
        <f t="shared" si="250"/>
        <v>0</v>
      </c>
      <c r="V187" s="319">
        <f t="shared" si="250"/>
        <v>0</v>
      </c>
      <c r="W187" s="319">
        <f t="shared" si="250"/>
        <v>0</v>
      </c>
      <c r="X187" s="319">
        <f t="shared" si="250"/>
        <v>0</v>
      </c>
      <c r="Y187" s="319">
        <f t="shared" si="250"/>
        <v>0</v>
      </c>
      <c r="Z187" s="319">
        <f t="shared" si="250"/>
        <v>0</v>
      </c>
      <c r="AA187" s="319">
        <f t="shared" si="250"/>
        <v>0</v>
      </c>
      <c r="AB187" s="319">
        <f t="shared" si="250"/>
        <v>0</v>
      </c>
      <c r="AC187" s="319">
        <f t="shared" si="250"/>
        <v>0</v>
      </c>
      <c r="AD187" s="319">
        <f t="shared" si="250"/>
        <v>0</v>
      </c>
      <c r="AE187" s="319">
        <f t="shared" si="250"/>
        <v>0</v>
      </c>
      <c r="AF187" s="319">
        <f t="shared" si="250"/>
        <v>0</v>
      </c>
      <c r="AG187" s="319">
        <f t="shared" si="250"/>
        <v>0</v>
      </c>
      <c r="AH187" s="319">
        <f t="shared" si="250"/>
        <v>0</v>
      </c>
      <c r="AI187" s="319">
        <f t="shared" si="250"/>
        <v>0</v>
      </c>
      <c r="AJ187" s="319">
        <f t="shared" si="250"/>
        <v>0</v>
      </c>
      <c r="AK187" s="319">
        <f t="shared" si="250"/>
        <v>0</v>
      </c>
      <c r="AL187" s="319">
        <f t="shared" si="250"/>
        <v>0</v>
      </c>
      <c r="AM187" s="319">
        <f t="shared" si="250"/>
        <v>0</v>
      </c>
      <c r="AN187" s="319">
        <f t="shared" si="250"/>
        <v>0</v>
      </c>
    </row>
    <row r="188" spans="3:41" outlineLevel="2">
      <c r="D188" s="266"/>
      <c r="E188" s="309"/>
    </row>
    <row r="189" spans="3:41" outlineLevel="2">
      <c r="C189" s="266" t="s">
        <v>411</v>
      </c>
      <c r="D189" s="266"/>
      <c r="E189" s="98" t="s">
        <v>20</v>
      </c>
      <c r="F189" s="23">
        <f>SUM(G189:AN189)</f>
        <v>781143.8000131445</v>
      </c>
      <c r="G189" s="278">
        <f t="shared" ref="G189:AN189" si="251">SUM(G185:G188)</f>
        <v>15451.717165367998</v>
      </c>
      <c r="H189" s="278">
        <f t="shared" si="251"/>
        <v>18093.326895888509</v>
      </c>
      <c r="I189" s="278">
        <f t="shared" si="251"/>
        <v>22327.270286435083</v>
      </c>
      <c r="J189" s="278">
        <f t="shared" si="251"/>
        <v>22579.986618086325</v>
      </c>
      <c r="K189" s="278">
        <f t="shared" si="251"/>
        <v>22831.899915653416</v>
      </c>
      <c r="L189" s="278">
        <f t="shared" si="251"/>
        <v>23083.028063475398</v>
      </c>
      <c r="M189" s="278">
        <f t="shared" si="251"/>
        <v>24415.403094383164</v>
      </c>
      <c r="N189" s="278">
        <f t="shared" si="251"/>
        <v>24676.803547686122</v>
      </c>
      <c r="O189" s="278">
        <f t="shared" si="251"/>
        <v>24937.469060620409</v>
      </c>
      <c r="P189" s="278">
        <f t="shared" si="251"/>
        <v>25197.415303047081</v>
      </c>
      <c r="Q189" s="278">
        <f t="shared" si="251"/>
        <v>25456.657448961461</v>
      </c>
      <c r="R189" s="278">
        <f t="shared" si="251"/>
        <v>25715.210197196691</v>
      </c>
      <c r="S189" s="278">
        <f t="shared" si="251"/>
        <v>25973.087791057907</v>
      </c>
      <c r="T189" s="278">
        <f t="shared" si="251"/>
        <v>26230.304036952661</v>
      </c>
      <c r="U189" s="278">
        <f t="shared" si="251"/>
        <v>26486.872322078536</v>
      </c>
      <c r="V189" s="278">
        <f t="shared" si="251"/>
        <v>26742.805631224648</v>
      </c>
      <c r="W189" s="278">
        <f t="shared" si="251"/>
        <v>26998.116562739731</v>
      </c>
      <c r="X189" s="278">
        <f t="shared" si="251"/>
        <v>27252.817343716</v>
      </c>
      <c r="Y189" s="278">
        <f t="shared" si="251"/>
        <v>27506.919844434498</v>
      </c>
      <c r="Z189" s="278">
        <f t="shared" si="251"/>
        <v>27760.435592114627</v>
      </c>
      <c r="AA189" s="278">
        <f t="shared" si="251"/>
        <v>28013.375784007738</v>
      </c>
      <c r="AB189" s="278">
        <f t="shared" si="251"/>
        <v>28265.751299871925</v>
      </c>
      <c r="AC189" s="278">
        <f t="shared" si="251"/>
        <v>28517.572713862835</v>
      </c>
      <c r="AD189" s="278">
        <f t="shared" si="251"/>
        <v>28768.850305872918</v>
      </c>
      <c r="AE189" s="278">
        <f t="shared" si="251"/>
        <v>29019.594072349686</v>
      </c>
      <c r="AF189" s="278">
        <f t="shared" si="251"/>
        <v>29269.813736621225</v>
      </c>
      <c r="AG189" s="278">
        <f t="shared" si="251"/>
        <v>29519.518758755854</v>
      </c>
      <c r="AH189" s="278">
        <f t="shared" si="251"/>
        <v>29768.718344980858</v>
      </c>
      <c r="AI189" s="278">
        <f t="shared" si="251"/>
        <v>30017.421456683649</v>
      </c>
      <c r="AJ189" s="278">
        <f t="shared" si="251"/>
        <v>30265.636819017505</v>
      </c>
      <c r="AK189" s="278">
        <f t="shared" si="251"/>
        <v>0</v>
      </c>
      <c r="AL189" s="278">
        <f t="shared" si="251"/>
        <v>0</v>
      </c>
      <c r="AM189" s="278">
        <f t="shared" si="251"/>
        <v>0</v>
      </c>
      <c r="AN189" s="278">
        <f t="shared" si="251"/>
        <v>0</v>
      </c>
    </row>
    <row r="190" spans="3:41" outlineLevel="2">
      <c r="D190" s="266"/>
      <c r="E190" s="201"/>
      <c r="G190" s="278">
        <f>(G189+G196)*1000</f>
        <v>15451717.165367998</v>
      </c>
      <c r="H190" s="278">
        <f t="shared" ref="H190:AJ190" si="252">(H189+H196)*1000</f>
        <v>15741536.336141681</v>
      </c>
      <c r="I190" s="278">
        <f t="shared" si="252"/>
        <v>20637428.266267542</v>
      </c>
      <c r="J190" s="278">
        <f t="shared" si="252"/>
        <v>21436508.510522008</v>
      </c>
      <c r="K190" s="278">
        <f t="shared" si="252"/>
        <v>21840373.257593166</v>
      </c>
      <c r="L190" s="278">
        <f t="shared" si="252"/>
        <v>22247080.944057208</v>
      </c>
      <c r="M190" s="278">
        <f t="shared" si="252"/>
        <v>23630462.128808603</v>
      </c>
      <c r="N190" s="278">
        <f t="shared" si="252"/>
        <v>24129496.027609229</v>
      </c>
      <c r="O190" s="278">
        <f t="shared" si="252"/>
        <v>24567445.493993197</v>
      </c>
      <c r="P190" s="278">
        <f t="shared" si="252"/>
        <v>24642379.953106262</v>
      </c>
      <c r="Q190" s="278">
        <f t="shared" si="252"/>
        <v>24895826.226622697</v>
      </c>
      <c r="R190" s="278">
        <f t="shared" si="252"/>
        <v>25148583.102459982</v>
      </c>
      <c r="S190" s="278">
        <f t="shared" si="252"/>
        <v>25400664.823923256</v>
      </c>
      <c r="T190" s="278">
        <f t="shared" si="252"/>
        <v>25652085.197420064</v>
      </c>
      <c r="U190" s="278">
        <f t="shared" si="252"/>
        <v>25902857.610147994</v>
      </c>
      <c r="V190" s="278">
        <f t="shared" si="252"/>
        <v>26152995.046896163</v>
      </c>
      <c r="W190" s="278">
        <f t="shared" si="252"/>
        <v>26402510.106013302</v>
      </c>
      <c r="X190" s="278">
        <f t="shared" si="252"/>
        <v>26651415.014591627</v>
      </c>
      <c r="Y190" s="278">
        <f t="shared" si="252"/>
        <v>26899721.642912183</v>
      </c>
      <c r="Z190" s="278">
        <f t="shared" si="252"/>
        <v>27147441.518194366</v>
      </c>
      <c r="AA190" s="278">
        <f t="shared" si="252"/>
        <v>27394585.837689534</v>
      </c>
      <c r="AB190" s="278">
        <f t="shared" si="252"/>
        <v>27641165.481155775</v>
      </c>
      <c r="AC190" s="278">
        <f t="shared" si="252"/>
        <v>27887191.022748742</v>
      </c>
      <c r="AD190" s="278">
        <f t="shared" si="252"/>
        <v>28132672.742360882</v>
      </c>
      <c r="AE190" s="278">
        <f t="shared" si="252"/>
        <v>28377620.636439707</v>
      </c>
      <c r="AF190" s="278">
        <f t="shared" si="252"/>
        <v>28622044.4283133</v>
      </c>
      <c r="AG190" s="278">
        <f t="shared" si="252"/>
        <v>28865953.578049988</v>
      </c>
      <c r="AH190" s="278">
        <f t="shared" si="252"/>
        <v>29109357.291877043</v>
      </c>
      <c r="AI190" s="278">
        <f t="shared" si="252"/>
        <v>29352264.531181894</v>
      </c>
      <c r="AJ190" s="278">
        <f t="shared" si="252"/>
        <v>29594684.021117806</v>
      </c>
    </row>
    <row r="191" spans="3:41" outlineLevel="2">
      <c r="D191" s="266"/>
      <c r="E191" s="98"/>
      <c r="F191" s="182"/>
      <c r="G191" s="273"/>
      <c r="H191" s="273"/>
      <c r="I191" s="273"/>
      <c r="J191" s="273"/>
      <c r="K191" s="273"/>
      <c r="L191" s="273"/>
      <c r="M191" s="273"/>
      <c r="N191" s="273"/>
      <c r="O191" s="273"/>
      <c r="P191" s="273"/>
      <c r="Q191" s="273"/>
      <c r="R191" s="273"/>
      <c r="S191" s="273"/>
      <c r="T191" s="273"/>
      <c r="U191" s="273"/>
      <c r="V191" s="273"/>
      <c r="W191" s="273"/>
      <c r="X191" s="273"/>
      <c r="Y191" s="273"/>
      <c r="Z191" s="273"/>
      <c r="AA191" s="273"/>
      <c r="AB191" s="273"/>
      <c r="AC191" s="273"/>
      <c r="AD191" s="273"/>
      <c r="AE191" s="273"/>
      <c r="AF191" s="273"/>
      <c r="AG191" s="273"/>
      <c r="AH191" s="273"/>
      <c r="AI191" s="273"/>
      <c r="AJ191" s="273"/>
    </row>
    <row r="192" spans="3:41" outlineLevel="2">
      <c r="C192" s="266" t="str">
        <f>Inputs!C125</f>
        <v>Imposto s/ serviço - (ISS)</v>
      </c>
      <c r="D192" s="891">
        <f>Inputs!D125</f>
        <v>0.03</v>
      </c>
      <c r="E192" s="98" t="s">
        <v>20</v>
      </c>
      <c r="F192" s="23">
        <f t="shared" ref="F192:F196" si="253">SUM(G192:AN192)</f>
        <v>-23434.314000394334</v>
      </c>
      <c r="G192" s="273">
        <f>(G$189)*-$D192</f>
        <v>-463.55151496103991</v>
      </c>
      <c r="H192" s="273">
        <f t="shared" ref="H192:AN192" si="254">(H$189)*-$D192</f>
        <v>-542.79980687665523</v>
      </c>
      <c r="I192" s="273">
        <f t="shared" si="254"/>
        <v>-669.81810859305244</v>
      </c>
      <c r="J192" s="273">
        <f t="shared" si="254"/>
        <v>-677.39959854258973</v>
      </c>
      <c r="K192" s="273">
        <f t="shared" si="254"/>
        <v>-684.95699746960247</v>
      </c>
      <c r="L192" s="273">
        <f t="shared" si="254"/>
        <v>-692.49084190426197</v>
      </c>
      <c r="M192" s="273">
        <f t="shared" si="254"/>
        <v>-732.46209283149494</v>
      </c>
      <c r="N192" s="273">
        <f t="shared" si="254"/>
        <v>-740.3041064305836</v>
      </c>
      <c r="O192" s="273">
        <f t="shared" si="254"/>
        <v>-748.12407181861226</v>
      </c>
      <c r="P192" s="273">
        <f t="shared" si="254"/>
        <v>-755.92245909141241</v>
      </c>
      <c r="Q192" s="273">
        <f t="shared" si="254"/>
        <v>-763.69972346884379</v>
      </c>
      <c r="R192" s="273">
        <f t="shared" si="254"/>
        <v>-771.45630591590066</v>
      </c>
      <c r="S192" s="273">
        <f t="shared" si="254"/>
        <v>-779.19263373173715</v>
      </c>
      <c r="T192" s="273">
        <f t="shared" si="254"/>
        <v>-786.90912110857982</v>
      </c>
      <c r="U192" s="273">
        <f t="shared" si="254"/>
        <v>-794.60616966235602</v>
      </c>
      <c r="V192" s="273">
        <f t="shared" si="254"/>
        <v>-802.28416893673943</v>
      </c>
      <c r="W192" s="273">
        <f t="shared" si="254"/>
        <v>-809.94349688219188</v>
      </c>
      <c r="X192" s="273">
        <f t="shared" si="254"/>
        <v>-817.58452031147999</v>
      </c>
      <c r="Y192" s="273">
        <f t="shared" si="254"/>
        <v>-825.20759533303487</v>
      </c>
      <c r="Z192" s="273">
        <f t="shared" si="254"/>
        <v>-832.81306776343877</v>
      </c>
      <c r="AA192" s="273">
        <f t="shared" si="254"/>
        <v>-840.40127352023205</v>
      </c>
      <c r="AB192" s="273">
        <f t="shared" si="254"/>
        <v>-847.97253899615771</v>
      </c>
      <c r="AC192" s="273">
        <f t="shared" si="254"/>
        <v>-855.52718141588502</v>
      </c>
      <c r="AD192" s="273">
        <f t="shared" si="254"/>
        <v>-863.06550917618756</v>
      </c>
      <c r="AE192" s="273">
        <f t="shared" si="254"/>
        <v>-870.58782217049054</v>
      </c>
      <c r="AF192" s="273">
        <f t="shared" si="254"/>
        <v>-878.09441209863667</v>
      </c>
      <c r="AG192" s="273">
        <f t="shared" si="254"/>
        <v>-885.58556276267564</v>
      </c>
      <c r="AH192" s="273">
        <f t="shared" si="254"/>
        <v>-893.06155034942572</v>
      </c>
      <c r="AI192" s="273">
        <f t="shared" si="254"/>
        <v>-900.52264370050943</v>
      </c>
      <c r="AJ192" s="273">
        <f t="shared" si="254"/>
        <v>-907.96910457052513</v>
      </c>
      <c r="AK192" s="273">
        <f t="shared" si="254"/>
        <v>0</v>
      </c>
      <c r="AL192" s="273">
        <f t="shared" si="254"/>
        <v>0</v>
      </c>
      <c r="AM192" s="273">
        <f t="shared" si="254"/>
        <v>0</v>
      </c>
      <c r="AN192" s="273">
        <f t="shared" si="254"/>
        <v>0</v>
      </c>
    </row>
    <row r="193" spans="3:40" outlineLevel="2">
      <c r="C193" s="266" t="str">
        <f>Inputs!C126</f>
        <v>Programa Integração Social - (PIS)</v>
      </c>
      <c r="D193" s="891">
        <f>Inputs!D126</f>
        <v>1.6500000000000001E-2</v>
      </c>
      <c r="E193" s="98" t="s">
        <v>20</v>
      </c>
      <c r="F193" s="23">
        <f t="shared" si="253"/>
        <v>-12888.872700216885</v>
      </c>
      <c r="G193" s="273">
        <f>G$189*-$D193</f>
        <v>-254.95333322857198</v>
      </c>
      <c r="H193" s="273">
        <f t="shared" ref="H193:P194" si="255">H$189*-$D193</f>
        <v>-298.53989378216039</v>
      </c>
      <c r="I193" s="273">
        <f t="shared" si="255"/>
        <v>-368.39995972617891</v>
      </c>
      <c r="J193" s="273">
        <f t="shared" si="255"/>
        <v>-372.56977919842438</v>
      </c>
      <c r="K193" s="273">
        <f t="shared" si="255"/>
        <v>-376.7263486082814</v>
      </c>
      <c r="L193" s="273">
        <f t="shared" si="255"/>
        <v>-380.86996304734407</v>
      </c>
      <c r="M193" s="273">
        <f t="shared" si="255"/>
        <v>-402.85415105732221</v>
      </c>
      <c r="N193" s="273">
        <f t="shared" si="255"/>
        <v>-407.16725853682101</v>
      </c>
      <c r="O193" s="273">
        <f t="shared" si="255"/>
        <v>-411.46823950023679</v>
      </c>
      <c r="P193" s="273">
        <f t="shared" si="255"/>
        <v>-415.75735250027685</v>
      </c>
      <c r="Q193" s="273">
        <f t="shared" ref="Q193:Z194" si="256">Q$189*-$D193</f>
        <v>-420.0348479078641</v>
      </c>
      <c r="R193" s="273">
        <f t="shared" si="256"/>
        <v>-424.30096825374545</v>
      </c>
      <c r="S193" s="273">
        <f t="shared" si="256"/>
        <v>-428.5559485524555</v>
      </c>
      <c r="T193" s="273">
        <f t="shared" si="256"/>
        <v>-432.80001660971891</v>
      </c>
      <c r="U193" s="273">
        <f t="shared" si="256"/>
        <v>-437.03339331429584</v>
      </c>
      <c r="V193" s="273">
        <f t="shared" si="256"/>
        <v>-441.2562929152067</v>
      </c>
      <c r="W193" s="273">
        <f t="shared" si="256"/>
        <v>-445.46892328520556</v>
      </c>
      <c r="X193" s="273">
        <f t="shared" si="256"/>
        <v>-449.67148617131403</v>
      </c>
      <c r="Y193" s="273">
        <f t="shared" si="256"/>
        <v>-453.86417743316923</v>
      </c>
      <c r="Z193" s="273">
        <f t="shared" si="256"/>
        <v>-458.04718726989137</v>
      </c>
      <c r="AA193" s="273">
        <f t="shared" ref="AA193:AN194" si="257">AA$189*-$D193</f>
        <v>-462.22070043612769</v>
      </c>
      <c r="AB193" s="273">
        <f t="shared" si="257"/>
        <v>-466.38489644788677</v>
      </c>
      <c r="AC193" s="273">
        <f t="shared" si="257"/>
        <v>-470.5399497787368</v>
      </c>
      <c r="AD193" s="273">
        <f t="shared" si="257"/>
        <v>-474.68603004690317</v>
      </c>
      <c r="AE193" s="273">
        <f t="shared" si="257"/>
        <v>-478.82330219376985</v>
      </c>
      <c r="AF193" s="273">
        <f t="shared" si="257"/>
        <v>-482.95192665425026</v>
      </c>
      <c r="AG193" s="273">
        <f t="shared" si="257"/>
        <v>-487.07205951947162</v>
      </c>
      <c r="AH193" s="273">
        <f t="shared" si="257"/>
        <v>-491.18385269218419</v>
      </c>
      <c r="AI193" s="273">
        <f t="shared" si="257"/>
        <v>-495.28745403528023</v>
      </c>
      <c r="AJ193" s="273">
        <f t="shared" si="257"/>
        <v>-499.38300751378887</v>
      </c>
      <c r="AK193" s="273">
        <f t="shared" si="257"/>
        <v>0</v>
      </c>
      <c r="AL193" s="273">
        <f t="shared" si="257"/>
        <v>0</v>
      </c>
      <c r="AM193" s="273">
        <f t="shared" si="257"/>
        <v>0</v>
      </c>
      <c r="AN193" s="273">
        <f t="shared" si="257"/>
        <v>0</v>
      </c>
    </row>
    <row r="194" spans="3:40" outlineLevel="2">
      <c r="C194" s="266" t="str">
        <f>Inputs!C127</f>
        <v>Contribuição para Financiamento de Seguridade Social - (COFINS)</v>
      </c>
      <c r="D194" s="891">
        <f>Inputs!D127</f>
        <v>7.5999999999999998E-2</v>
      </c>
      <c r="E194" s="98" t="s">
        <v>20</v>
      </c>
      <c r="F194" s="23">
        <f t="shared" si="253"/>
        <v>-59366.928800998983</v>
      </c>
      <c r="G194" s="273">
        <f>G$189*-$D194</f>
        <v>-1174.3305045679679</v>
      </c>
      <c r="H194" s="273">
        <f t="shared" si="255"/>
        <v>-1375.0928440875266</v>
      </c>
      <c r="I194" s="273">
        <f t="shared" si="255"/>
        <v>-1696.8725417690662</v>
      </c>
      <c r="J194" s="273">
        <f t="shared" si="255"/>
        <v>-1716.0789829745606</v>
      </c>
      <c r="K194" s="273">
        <f t="shared" si="255"/>
        <v>-1735.2243935896595</v>
      </c>
      <c r="L194" s="273">
        <f t="shared" si="255"/>
        <v>-1754.3101328241303</v>
      </c>
      <c r="M194" s="273">
        <f t="shared" si="255"/>
        <v>-1855.5706351731203</v>
      </c>
      <c r="N194" s="273">
        <f t="shared" si="255"/>
        <v>-1875.4370696241454</v>
      </c>
      <c r="O194" s="273">
        <f t="shared" si="255"/>
        <v>-1895.2476486071512</v>
      </c>
      <c r="P194" s="273">
        <f t="shared" si="255"/>
        <v>-1915.0035630315781</v>
      </c>
      <c r="Q194" s="273">
        <f t="shared" si="256"/>
        <v>-1934.705966121071</v>
      </c>
      <c r="R194" s="273">
        <f t="shared" si="256"/>
        <v>-1954.3559749869485</v>
      </c>
      <c r="S194" s="273">
        <f t="shared" si="256"/>
        <v>-1973.954672120401</v>
      </c>
      <c r="T194" s="273">
        <f t="shared" si="256"/>
        <v>-1993.5031068084022</v>
      </c>
      <c r="U194" s="273">
        <f t="shared" si="256"/>
        <v>-2013.0022964779687</v>
      </c>
      <c r="V194" s="273">
        <f t="shared" si="256"/>
        <v>-2032.4532279730731</v>
      </c>
      <c r="W194" s="273">
        <f t="shared" si="256"/>
        <v>-2051.8568587682194</v>
      </c>
      <c r="X194" s="273">
        <f t="shared" si="256"/>
        <v>-2071.214118122416</v>
      </c>
      <c r="Y194" s="273">
        <f t="shared" si="256"/>
        <v>-2090.5259081770218</v>
      </c>
      <c r="Z194" s="273">
        <f t="shared" si="256"/>
        <v>-2109.7931050007114</v>
      </c>
      <c r="AA194" s="273">
        <f t="shared" si="257"/>
        <v>-2129.0165595845879</v>
      </c>
      <c r="AB194" s="273">
        <f t="shared" si="257"/>
        <v>-2148.1970987902664</v>
      </c>
      <c r="AC194" s="273">
        <f t="shared" si="257"/>
        <v>-2167.3355262535756</v>
      </c>
      <c r="AD194" s="273">
        <f t="shared" si="257"/>
        <v>-2186.4326232463418</v>
      </c>
      <c r="AE194" s="273">
        <f t="shared" si="257"/>
        <v>-2205.4891494985759</v>
      </c>
      <c r="AF194" s="273">
        <f t="shared" si="257"/>
        <v>-2224.5058439832133</v>
      </c>
      <c r="AG194" s="273">
        <f t="shared" si="257"/>
        <v>-2243.4834256654449</v>
      </c>
      <c r="AH194" s="273">
        <f t="shared" si="257"/>
        <v>-2262.4225942185453</v>
      </c>
      <c r="AI194" s="273">
        <f t="shared" si="257"/>
        <v>-2281.3240307079573</v>
      </c>
      <c r="AJ194" s="273">
        <f t="shared" si="257"/>
        <v>-2300.1883982453305</v>
      </c>
      <c r="AK194" s="273">
        <f t="shared" si="257"/>
        <v>0</v>
      </c>
      <c r="AL194" s="273">
        <f t="shared" si="257"/>
        <v>0</v>
      </c>
      <c r="AM194" s="273">
        <f t="shared" si="257"/>
        <v>0</v>
      </c>
      <c r="AN194" s="273">
        <f t="shared" si="257"/>
        <v>0</v>
      </c>
    </row>
    <row r="195" spans="3:40" outlineLevel="2">
      <c r="C195" s="266" t="s">
        <v>412</v>
      </c>
      <c r="D195" s="266"/>
      <c r="E195" s="98" t="s">
        <v>20</v>
      </c>
      <c r="F195" s="23">
        <f t="shared" si="253"/>
        <v>52633.042969922222</v>
      </c>
      <c r="G195" s="293">
        <f>G233</f>
        <v>2317.1260030095368</v>
      </c>
      <c r="H195" s="293">
        <f>H233</f>
        <v>1526.3200327450268</v>
      </c>
      <c r="I195" s="273">
        <f t="shared" ref="I195:AN195" si="258">I233</f>
        <v>1592.4791290893656</v>
      </c>
      <c r="J195" s="273">
        <f t="shared" si="258"/>
        <v>1505.1049109536286</v>
      </c>
      <c r="K195" s="273">
        <f t="shared" si="258"/>
        <v>1543.6733538846468</v>
      </c>
      <c r="L195" s="273">
        <f t="shared" si="258"/>
        <v>2615.8049813834023</v>
      </c>
      <c r="M195" s="273">
        <f t="shared" si="258"/>
        <v>1592.7806048616553</v>
      </c>
      <c r="N195" s="273">
        <f t="shared" si="258"/>
        <v>2252.6773484109708</v>
      </c>
      <c r="O195" s="273">
        <f t="shared" si="258"/>
        <v>1500.913400031204</v>
      </c>
      <c r="P195" s="273">
        <f t="shared" si="258"/>
        <v>1582.640949294637</v>
      </c>
      <c r="Q195" s="273">
        <f t="shared" si="258"/>
        <v>1640.5268521821069</v>
      </c>
      <c r="R195" s="273">
        <f t="shared" si="258"/>
        <v>1609.5805543057772</v>
      </c>
      <c r="S195" s="273">
        <f t="shared" si="258"/>
        <v>1583.3781335644294</v>
      </c>
      <c r="T195" s="273">
        <f t="shared" si="258"/>
        <v>1527.8296499229864</v>
      </c>
      <c r="U195" s="273">
        <f t="shared" si="258"/>
        <v>2269.7119796540692</v>
      </c>
      <c r="V195" s="273">
        <f t="shared" si="258"/>
        <v>1759.6751061533469</v>
      </c>
      <c r="W195" s="273">
        <f t="shared" si="258"/>
        <v>1588.9542502445347</v>
      </c>
      <c r="X195" s="273">
        <f t="shared" si="258"/>
        <v>1550.725831714768</v>
      </c>
      <c r="Y195" s="273">
        <f t="shared" si="258"/>
        <v>1632.1969192787346</v>
      </c>
      <c r="Z195" s="273">
        <f t="shared" si="258"/>
        <v>1562.0753008739675</v>
      </c>
      <c r="AA195" s="273">
        <f t="shared" si="258"/>
        <v>1676.7994983005872</v>
      </c>
      <c r="AB195" s="273">
        <f t="shared" si="258"/>
        <v>2357.5532535809739</v>
      </c>
      <c r="AC195" s="273">
        <f t="shared" si="258"/>
        <v>1630.6912976437598</v>
      </c>
      <c r="AD195" s="273">
        <f t="shared" si="258"/>
        <v>1634.4647381340328</v>
      </c>
      <c r="AE195" s="273">
        <f t="shared" si="258"/>
        <v>1602.9494654792654</v>
      </c>
      <c r="AF195" s="273">
        <f t="shared" si="258"/>
        <v>1874.9138348168638</v>
      </c>
      <c r="AG195" s="273">
        <f t="shared" si="258"/>
        <v>1581.2460780920653</v>
      </c>
      <c r="AH195" s="273">
        <f t="shared" si="258"/>
        <v>1761.8259749305821</v>
      </c>
      <c r="AI195" s="273">
        <f t="shared" si="258"/>
        <v>2172.0508744325316</v>
      </c>
      <c r="AJ195" s="273">
        <f t="shared" si="258"/>
        <v>1586.3726629527644</v>
      </c>
      <c r="AK195" s="273">
        <f t="shared" si="258"/>
        <v>0</v>
      </c>
      <c r="AL195" s="273">
        <f t="shared" si="258"/>
        <v>0</v>
      </c>
      <c r="AM195" s="273">
        <f t="shared" si="258"/>
        <v>0</v>
      </c>
      <c r="AN195" s="273">
        <f t="shared" si="258"/>
        <v>0</v>
      </c>
    </row>
    <row r="196" spans="3:40" outlineLevel="2">
      <c r="C196" s="266" t="s">
        <v>234</v>
      </c>
      <c r="D196" s="266"/>
      <c r="E196" s="98" t="s">
        <v>20</v>
      </c>
      <c r="F196" s="23">
        <f t="shared" si="253"/>
        <v>-21587.732069561262</v>
      </c>
      <c r="G196" s="273">
        <f>G248</f>
        <v>0</v>
      </c>
      <c r="H196" s="273">
        <f>H248</f>
        <v>-2351.7905597468275</v>
      </c>
      <c r="I196" s="273">
        <f>I248</f>
        <v>-1689.8420201675397</v>
      </c>
      <c r="J196" s="273">
        <f t="shared" ref="J196:AN196" si="259">J248</f>
        <v>-1143.4781075643155</v>
      </c>
      <c r="K196" s="273">
        <f t="shared" si="259"/>
        <v>-991.52665806024947</v>
      </c>
      <c r="L196" s="273">
        <f t="shared" si="259"/>
        <v>-835.947119418189</v>
      </c>
      <c r="M196" s="273">
        <f t="shared" si="259"/>
        <v>-784.94096557456123</v>
      </c>
      <c r="N196" s="273">
        <f t="shared" si="259"/>
        <v>-547.3075200768958</v>
      </c>
      <c r="O196" s="273">
        <f t="shared" si="259"/>
        <v>-370.02356662721411</v>
      </c>
      <c r="P196" s="273">
        <f t="shared" si="259"/>
        <v>-555.03534994082111</v>
      </c>
      <c r="Q196" s="273">
        <f t="shared" si="259"/>
        <v>-560.83122233876486</v>
      </c>
      <c r="R196" s="273">
        <f t="shared" si="259"/>
        <v>-566.62709473670873</v>
      </c>
      <c r="S196" s="273">
        <f t="shared" si="259"/>
        <v>-572.42296713465282</v>
      </c>
      <c r="T196" s="273">
        <f t="shared" si="259"/>
        <v>-578.2188395325968</v>
      </c>
      <c r="U196" s="273">
        <f t="shared" si="259"/>
        <v>-584.01471193054056</v>
      </c>
      <c r="V196" s="273">
        <f t="shared" si="259"/>
        <v>-589.81058432848465</v>
      </c>
      <c r="W196" s="273">
        <f t="shared" si="259"/>
        <v>-595.60645672642863</v>
      </c>
      <c r="X196" s="273">
        <f t="shared" si="259"/>
        <v>-601.40232912437261</v>
      </c>
      <c r="Y196" s="273">
        <f t="shared" si="259"/>
        <v>-607.19820152231659</v>
      </c>
      <c r="Z196" s="273">
        <f t="shared" si="259"/>
        <v>-612.99407392026058</v>
      </c>
      <c r="AA196" s="273">
        <f t="shared" si="259"/>
        <v>-618.78994631820456</v>
      </c>
      <c r="AB196" s="273">
        <f t="shared" si="259"/>
        <v>-624.58581871614854</v>
      </c>
      <c r="AC196" s="273">
        <f t="shared" si="259"/>
        <v>-630.38169111409229</v>
      </c>
      <c r="AD196" s="273">
        <f t="shared" si="259"/>
        <v>-636.17756351203616</v>
      </c>
      <c r="AE196" s="273">
        <f t="shared" si="259"/>
        <v>-641.97343590998025</v>
      </c>
      <c r="AF196" s="273">
        <f t="shared" si="259"/>
        <v>-647.76930830792446</v>
      </c>
      <c r="AG196" s="273">
        <f t="shared" si="259"/>
        <v>-653.56518070586787</v>
      </c>
      <c r="AH196" s="273">
        <f t="shared" si="259"/>
        <v>-659.36105310381208</v>
      </c>
      <c r="AI196" s="273">
        <f t="shared" si="259"/>
        <v>-665.15692550175629</v>
      </c>
      <c r="AJ196" s="273">
        <f t="shared" si="259"/>
        <v>-670.95279789969993</v>
      </c>
      <c r="AK196" s="273">
        <f t="shared" si="259"/>
        <v>0</v>
      </c>
      <c r="AL196" s="273">
        <f t="shared" si="259"/>
        <v>0</v>
      </c>
      <c r="AM196" s="273">
        <f t="shared" si="259"/>
        <v>0</v>
      </c>
      <c r="AN196" s="273">
        <f t="shared" si="259"/>
        <v>0</v>
      </c>
    </row>
    <row r="197" spans="3:40" outlineLevel="2">
      <c r="D197" s="266"/>
      <c r="E197" s="309"/>
    </row>
    <row r="198" spans="3:40" outlineLevel="2">
      <c r="C198" s="266" t="s">
        <v>413</v>
      </c>
      <c r="D198" s="266"/>
      <c r="E198" s="98" t="s">
        <v>20</v>
      </c>
      <c r="F198" s="23">
        <f>SUM(G198:AN198)</f>
        <v>-64644.804601249227</v>
      </c>
      <c r="G198" s="278">
        <f>SUM(G192:G197)</f>
        <v>424.290650251957</v>
      </c>
      <c r="H198" s="278">
        <f t="shared" ref="H198:AJ198" si="260">SUM(H191:H197)</f>
        <v>-3041.9030717481432</v>
      </c>
      <c r="I198" s="278">
        <f t="shared" si="260"/>
        <v>-2832.4535011664716</v>
      </c>
      <c r="J198" s="278">
        <f t="shared" si="260"/>
        <v>-2404.4215573262618</v>
      </c>
      <c r="K198" s="278">
        <f t="shared" si="260"/>
        <v>-2244.7610438431461</v>
      </c>
      <c r="L198" s="278">
        <f t="shared" si="260"/>
        <v>-1047.8130758105228</v>
      </c>
      <c r="M198" s="278">
        <f t="shared" si="260"/>
        <v>-2183.0472397748431</v>
      </c>
      <c r="N198" s="278">
        <f t="shared" si="260"/>
        <v>-1317.5386062574748</v>
      </c>
      <c r="O198" s="278">
        <f t="shared" si="260"/>
        <v>-1923.9501265220101</v>
      </c>
      <c r="P198" s="278">
        <f t="shared" si="260"/>
        <v>-2059.0777752694512</v>
      </c>
      <c r="Q198" s="278">
        <f t="shared" si="260"/>
        <v>-2038.7449076544367</v>
      </c>
      <c r="R198" s="278">
        <f t="shared" si="260"/>
        <v>-2107.1597895875261</v>
      </c>
      <c r="S198" s="278">
        <f t="shared" si="260"/>
        <v>-2170.7480879748173</v>
      </c>
      <c r="T198" s="278">
        <f t="shared" si="260"/>
        <v>-2263.6014341363116</v>
      </c>
      <c r="U198" s="278">
        <f t="shared" si="260"/>
        <v>-1558.9445917310918</v>
      </c>
      <c r="V198" s="278">
        <f t="shared" si="260"/>
        <v>-2106.1291680001568</v>
      </c>
      <c r="W198" s="278">
        <f t="shared" si="260"/>
        <v>-2313.9214854175107</v>
      </c>
      <c r="X198" s="278">
        <f t="shared" si="260"/>
        <v>-2389.1466220148145</v>
      </c>
      <c r="Y198" s="278">
        <f t="shared" si="260"/>
        <v>-2344.5989631868079</v>
      </c>
      <c r="Z198" s="278">
        <f t="shared" si="260"/>
        <v>-2451.5721330803349</v>
      </c>
      <c r="AA198" s="278">
        <f t="shared" si="260"/>
        <v>-2373.6289815585651</v>
      </c>
      <c r="AB198" s="278">
        <f t="shared" si="260"/>
        <v>-1729.5870993694857</v>
      </c>
      <c r="AC198" s="278">
        <f t="shared" si="260"/>
        <v>-2493.09305091853</v>
      </c>
      <c r="AD198" s="278">
        <f t="shared" si="260"/>
        <v>-2525.8969878474359</v>
      </c>
      <c r="AE198" s="278">
        <f t="shared" si="260"/>
        <v>-2593.9242442935511</v>
      </c>
      <c r="AF198" s="278">
        <f t="shared" si="260"/>
        <v>-2358.4076562271607</v>
      </c>
      <c r="AG198" s="278">
        <f t="shared" si="260"/>
        <v>-2688.4601505613946</v>
      </c>
      <c r="AH198" s="278">
        <f t="shared" si="260"/>
        <v>-2544.203075433385</v>
      </c>
      <c r="AI198" s="278">
        <f t="shared" si="260"/>
        <v>-2170.2401795129713</v>
      </c>
      <c r="AJ198" s="278">
        <f t="shared" si="260"/>
        <v>-2792.1206452765796</v>
      </c>
      <c r="AK198" s="278">
        <f>SUM(AK192:AK197)</f>
        <v>0</v>
      </c>
      <c r="AL198" s="278">
        <f>SUM(AL192:AL197)</f>
        <v>0</v>
      </c>
      <c r="AM198" s="278">
        <f>SUM(AM192:AM197)</f>
        <v>0</v>
      </c>
      <c r="AN198" s="278">
        <f>SUM(AN192:AN197)</f>
        <v>0</v>
      </c>
    </row>
    <row r="199" spans="3:40" outlineLevel="2">
      <c r="D199" s="266"/>
      <c r="E199" s="309"/>
    </row>
    <row r="200" spans="3:40" outlineLevel="2">
      <c r="C200" s="11" t="s">
        <v>412</v>
      </c>
      <c r="D200" s="266"/>
      <c r="E200" s="309"/>
    </row>
    <row r="201" spans="3:40" outlineLevel="3">
      <c r="D201" s="266"/>
      <c r="E201" s="309"/>
    </row>
    <row r="202" spans="3:40" outlineLevel="3">
      <c r="C202" s="11" t="s">
        <v>414</v>
      </c>
      <c r="D202" s="266"/>
      <c r="E202" s="309"/>
    </row>
    <row r="203" spans="3:40" outlineLevel="4">
      <c r="C203" s="319" t="str">
        <f>Ops!C414</f>
        <v>CAPEX Total</v>
      </c>
      <c r="D203">
        <v>1</v>
      </c>
      <c r="E203" s="194"/>
      <c r="F203" s="23">
        <f>Ops!F414</f>
        <v>76776.486292563059</v>
      </c>
      <c r="G203" s="319">
        <f>Ops!G414</f>
        <v>10775.031120895999</v>
      </c>
      <c r="H203" s="319">
        <f>Ops!H414</f>
        <v>1472.4358093250448</v>
      </c>
      <c r="I203" s="319">
        <f>Ops!I414</f>
        <v>1743.4786958342002</v>
      </c>
      <c r="J203" s="319">
        <f>Ops!J414</f>
        <v>397.26424167419998</v>
      </c>
      <c r="K203" s="319">
        <f>Ops!K414</f>
        <v>763.15204167420006</v>
      </c>
      <c r="L203" s="319">
        <f>Ops!L414</f>
        <v>12305.51313337047</v>
      </c>
      <c r="M203" s="319">
        <f>Ops!M414</f>
        <v>241.59493295294399</v>
      </c>
      <c r="N203" s="319">
        <f>Ops!N414</f>
        <v>8189.1826116742004</v>
      </c>
      <c r="O203" s="319">
        <f>Ops!O414</f>
        <v>43.404541674200004</v>
      </c>
      <c r="P203" s="319">
        <f>Ops!P414</f>
        <v>845.77904167420013</v>
      </c>
      <c r="Q203" s="319">
        <f>Ops!Q414</f>
        <v>1452.9584045185595</v>
      </c>
      <c r="R203" s="319">
        <f>Ops!R414</f>
        <v>1099.803583204369</v>
      </c>
      <c r="S203" s="319">
        <f>Ops!S414</f>
        <v>797.93392010620016</v>
      </c>
      <c r="T203" s="319">
        <f>Ops!T414</f>
        <v>178.80952295294401</v>
      </c>
      <c r="U203" s="319">
        <f>Ops!U414</f>
        <v>8180.5448516742008</v>
      </c>
      <c r="V203" s="319">
        <f>Ops!V414</f>
        <v>2648.0324560422537</v>
      </c>
      <c r="W203" s="319">
        <f>Ops!W414</f>
        <v>783.53025167420014</v>
      </c>
      <c r="X203" s="319">
        <f>Ops!X414</f>
        <v>351.64980167419998</v>
      </c>
      <c r="Y203" s="319">
        <f>Ops!Y414</f>
        <v>825.99884167420009</v>
      </c>
      <c r="Z203" s="319">
        <f>Ops!Z414</f>
        <v>49.327041674200004</v>
      </c>
      <c r="AA203" s="319">
        <f>Ops!AA414</f>
        <v>1270.9883857973036</v>
      </c>
      <c r="AB203" s="319">
        <f>Ops!AB414</f>
        <v>8611.8881932043696</v>
      </c>
      <c r="AC203" s="319">
        <f>Ops!AC414</f>
        <v>735.3069201062001</v>
      </c>
      <c r="AD203" s="319">
        <f>Ops!AD414</f>
        <v>757.22954167420005</v>
      </c>
      <c r="AE203" s="319">
        <f>Ops!AE414</f>
        <v>397.92364167419998</v>
      </c>
      <c r="AF203" s="319">
        <f>Ops!AF414</f>
        <v>3319.4787361862541</v>
      </c>
      <c r="AG203" s="319">
        <f>Ops!AG414</f>
        <v>63.7827516742</v>
      </c>
      <c r="AH203" s="319">
        <f>Ops!AH414</f>
        <v>1997.3976029529438</v>
      </c>
      <c r="AI203" s="319">
        <f>Ops!AI414</f>
        <v>6413.6611316742001</v>
      </c>
      <c r="AJ203" s="319">
        <f>Ops!AJ414</f>
        <v>63.404541674200004</v>
      </c>
      <c r="AK203" s="319">
        <f>Ops!AK414</f>
        <v>0</v>
      </c>
      <c r="AL203" s="319">
        <f>Ops!AL414</f>
        <v>0</v>
      </c>
      <c r="AM203" s="319">
        <f>Ops!AM414</f>
        <v>0</v>
      </c>
      <c r="AN203" s="319">
        <f>Ops!AN414</f>
        <v>0</v>
      </c>
    </row>
    <row r="204" spans="3:40" outlineLevel="4">
      <c r="D204" s="266"/>
      <c r="E204" s="309"/>
      <c r="G204" s="319"/>
      <c r="H204" s="319"/>
      <c r="I204" s="319"/>
      <c r="J204" s="319"/>
      <c r="K204" s="319"/>
      <c r="L204" s="319"/>
      <c r="M204" s="319"/>
      <c r="N204" s="319"/>
      <c r="O204" s="319"/>
      <c r="P204" s="319"/>
      <c r="Q204" s="319"/>
      <c r="R204" s="319"/>
      <c r="S204" s="319"/>
      <c r="T204" s="319"/>
      <c r="U204" s="319"/>
      <c r="V204" s="319"/>
      <c r="W204" s="319"/>
      <c r="X204" s="319"/>
      <c r="Y204" s="319"/>
      <c r="Z204" s="319"/>
      <c r="AA204" s="319"/>
      <c r="AB204" s="319"/>
      <c r="AC204" s="319"/>
      <c r="AD204" s="319"/>
      <c r="AE204" s="319"/>
      <c r="AF204" s="319"/>
      <c r="AG204" s="319"/>
      <c r="AH204" s="319"/>
      <c r="AI204" s="319"/>
      <c r="AJ204" s="319"/>
      <c r="AK204" s="319"/>
      <c r="AL204" s="319"/>
      <c r="AM204" s="319"/>
      <c r="AN204" s="319"/>
    </row>
    <row r="205" spans="3:40" outlineLevel="4">
      <c r="C205" s="266" t="s">
        <v>415</v>
      </c>
      <c r="D205" s="266"/>
      <c r="E205" s="98" t="s">
        <v>20</v>
      </c>
      <c r="F205" s="23">
        <f>SUM(G205:AN205)</f>
        <v>76776.486292563059</v>
      </c>
      <c r="G205" s="319">
        <f t="shared" ref="G205:AN205" si="261">SUMPRODUCT(G203:G203,$D$203:$D$203)</f>
        <v>10775.031120895999</v>
      </c>
      <c r="H205" s="319">
        <f t="shared" si="261"/>
        <v>1472.4358093250448</v>
      </c>
      <c r="I205" s="319">
        <f t="shared" si="261"/>
        <v>1743.4786958342002</v>
      </c>
      <c r="J205" s="319">
        <f t="shared" si="261"/>
        <v>397.26424167419998</v>
      </c>
      <c r="K205" s="319">
        <f t="shared" si="261"/>
        <v>763.15204167420006</v>
      </c>
      <c r="L205" s="319">
        <f t="shared" si="261"/>
        <v>12305.51313337047</v>
      </c>
      <c r="M205" s="319">
        <f t="shared" si="261"/>
        <v>241.59493295294399</v>
      </c>
      <c r="N205" s="319">
        <f t="shared" si="261"/>
        <v>8189.1826116742004</v>
      </c>
      <c r="O205" s="319">
        <f t="shared" si="261"/>
        <v>43.404541674200004</v>
      </c>
      <c r="P205" s="319">
        <f t="shared" si="261"/>
        <v>845.77904167420013</v>
      </c>
      <c r="Q205" s="319">
        <f t="shared" si="261"/>
        <v>1452.9584045185595</v>
      </c>
      <c r="R205" s="319">
        <f t="shared" si="261"/>
        <v>1099.803583204369</v>
      </c>
      <c r="S205" s="319">
        <f t="shared" si="261"/>
        <v>797.93392010620016</v>
      </c>
      <c r="T205" s="319">
        <f t="shared" si="261"/>
        <v>178.80952295294401</v>
      </c>
      <c r="U205" s="319">
        <f t="shared" si="261"/>
        <v>8180.5448516742008</v>
      </c>
      <c r="V205" s="319">
        <f t="shared" si="261"/>
        <v>2648.0324560422537</v>
      </c>
      <c r="W205" s="319">
        <f t="shared" si="261"/>
        <v>783.53025167420014</v>
      </c>
      <c r="X205" s="319">
        <f t="shared" si="261"/>
        <v>351.64980167419998</v>
      </c>
      <c r="Y205" s="319">
        <f t="shared" si="261"/>
        <v>825.99884167420009</v>
      </c>
      <c r="Z205" s="319">
        <f t="shared" si="261"/>
        <v>49.327041674200004</v>
      </c>
      <c r="AA205" s="319">
        <f t="shared" si="261"/>
        <v>1270.9883857973036</v>
      </c>
      <c r="AB205" s="319">
        <f t="shared" si="261"/>
        <v>8611.8881932043696</v>
      </c>
      <c r="AC205" s="319">
        <f t="shared" si="261"/>
        <v>735.3069201062001</v>
      </c>
      <c r="AD205" s="319">
        <f t="shared" si="261"/>
        <v>757.22954167420005</v>
      </c>
      <c r="AE205" s="319">
        <f t="shared" si="261"/>
        <v>397.92364167419998</v>
      </c>
      <c r="AF205" s="319">
        <f t="shared" si="261"/>
        <v>3319.4787361862541</v>
      </c>
      <c r="AG205" s="319">
        <f t="shared" si="261"/>
        <v>63.7827516742</v>
      </c>
      <c r="AH205" s="319">
        <f t="shared" si="261"/>
        <v>1997.3976029529438</v>
      </c>
      <c r="AI205" s="319">
        <f t="shared" si="261"/>
        <v>6413.6611316742001</v>
      </c>
      <c r="AJ205" s="319">
        <f t="shared" si="261"/>
        <v>63.404541674200004</v>
      </c>
      <c r="AK205" s="319">
        <f t="shared" si="261"/>
        <v>0</v>
      </c>
      <c r="AL205" s="319">
        <f t="shared" si="261"/>
        <v>0</v>
      </c>
      <c r="AM205" s="319">
        <f t="shared" si="261"/>
        <v>0</v>
      </c>
      <c r="AN205" s="319">
        <f t="shared" si="261"/>
        <v>0</v>
      </c>
    </row>
    <row r="206" spans="3:40" outlineLevel="4">
      <c r="D206" s="266"/>
      <c r="E206" s="98"/>
      <c r="F206" s="118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</row>
    <row r="207" spans="3:40" outlineLevel="3">
      <c r="D207" s="266"/>
      <c r="E207" s="98"/>
    </row>
    <row r="208" spans="3:40" outlineLevel="3">
      <c r="C208" s="11" t="s">
        <v>416</v>
      </c>
      <c r="D208" s="266"/>
      <c r="E208" s="98"/>
    </row>
    <row r="209" spans="3:40" outlineLevel="4">
      <c r="D209" s="266"/>
      <c r="E209" s="98"/>
    </row>
    <row r="210" spans="3:40" outlineLevel="4">
      <c r="C210" s="319" t="str">
        <f t="shared" ref="C210:C211" si="262">C335</f>
        <v>Coleta Manual E Conteinerizada Resíduos Comuns</v>
      </c>
      <c r="D210">
        <f>Inputs!$D$129</f>
        <v>1</v>
      </c>
      <c r="E210" s="98" t="str">
        <f t="shared" ref="E210:E211" si="263">E335</f>
        <v>$ 000s</v>
      </c>
      <c r="F210" s="23">
        <f t="shared" ref="F210:F221" si="264">SUM(G210:AN210)</f>
        <v>119618.57126399549</v>
      </c>
      <c r="G210" s="319">
        <f>G335</f>
        <v>3802.4182892478507</v>
      </c>
      <c r="H210" s="319">
        <f t="shared" ref="H210:AN210" si="265">H335</f>
        <v>3802.4182892478507</v>
      </c>
      <c r="I210" s="319">
        <f t="shared" si="265"/>
        <v>3832.3822892478506</v>
      </c>
      <c r="J210" s="319">
        <f t="shared" si="265"/>
        <v>3862.3462892478506</v>
      </c>
      <c r="K210" s="319">
        <f t="shared" si="265"/>
        <v>3862.3462892478506</v>
      </c>
      <c r="L210" s="319">
        <f t="shared" si="265"/>
        <v>3862.3462892478506</v>
      </c>
      <c r="M210" s="319">
        <f t="shared" si="265"/>
        <v>3862.3462892478506</v>
      </c>
      <c r="N210" s="319">
        <f t="shared" si="265"/>
        <v>3862.3462892478506</v>
      </c>
      <c r="O210" s="319">
        <f t="shared" si="265"/>
        <v>3862.3462892478506</v>
      </c>
      <c r="P210" s="319">
        <f t="shared" si="265"/>
        <v>3862.3462892478506</v>
      </c>
      <c r="Q210" s="319">
        <f t="shared" si="265"/>
        <v>3862.3462892478506</v>
      </c>
      <c r="R210" s="319">
        <f t="shared" si="265"/>
        <v>3862.3462892478506</v>
      </c>
      <c r="S210" s="319">
        <f t="shared" si="265"/>
        <v>3862.3462892478506</v>
      </c>
      <c r="T210" s="319">
        <f t="shared" si="265"/>
        <v>3862.3462892478506</v>
      </c>
      <c r="U210" s="319">
        <f t="shared" si="265"/>
        <v>3862.3462892478506</v>
      </c>
      <c r="V210" s="319">
        <f t="shared" si="265"/>
        <v>3862.3462892478506</v>
      </c>
      <c r="W210" s="319">
        <f t="shared" si="265"/>
        <v>3862.3462892478506</v>
      </c>
      <c r="X210" s="319">
        <f t="shared" si="265"/>
        <v>3862.3462892478506</v>
      </c>
      <c r="Y210" s="319">
        <f t="shared" si="265"/>
        <v>4187.1798381278504</v>
      </c>
      <c r="Z210" s="319">
        <f t="shared" si="265"/>
        <v>4187.1798381278504</v>
      </c>
      <c r="AA210" s="319">
        <f t="shared" si="265"/>
        <v>4187.1798381278504</v>
      </c>
      <c r="AB210" s="319">
        <f t="shared" si="265"/>
        <v>4187.1798381278504</v>
      </c>
      <c r="AC210" s="319">
        <f t="shared" si="265"/>
        <v>4187.1798381278504</v>
      </c>
      <c r="AD210" s="319">
        <f t="shared" si="265"/>
        <v>4187.1798381278504</v>
      </c>
      <c r="AE210" s="319">
        <f t="shared" si="265"/>
        <v>4187.1798381278504</v>
      </c>
      <c r="AF210" s="319">
        <f t="shared" si="265"/>
        <v>4187.1798381278504</v>
      </c>
      <c r="AG210" s="319">
        <f t="shared" si="265"/>
        <v>4187.1798381278504</v>
      </c>
      <c r="AH210" s="319">
        <f t="shared" si="265"/>
        <v>4187.1798381278504</v>
      </c>
      <c r="AI210" s="319">
        <f t="shared" si="265"/>
        <v>4187.1798381278504</v>
      </c>
      <c r="AJ210" s="319">
        <f t="shared" si="265"/>
        <v>4187.1798381278504</v>
      </c>
      <c r="AK210" s="319">
        <f t="shared" si="265"/>
        <v>0</v>
      </c>
      <c r="AL210" s="319">
        <f t="shared" si="265"/>
        <v>0</v>
      </c>
      <c r="AM210" s="319">
        <f t="shared" si="265"/>
        <v>0</v>
      </c>
      <c r="AN210" s="319">
        <f t="shared" si="265"/>
        <v>0</v>
      </c>
    </row>
    <row r="211" spans="3:40" outlineLevel="4">
      <c r="C211" s="319" t="str">
        <f t="shared" si="262"/>
        <v>Coleta Materias Recicláveis</v>
      </c>
      <c r="D211">
        <f>Inputs!$D$129</f>
        <v>1</v>
      </c>
      <c r="E211" s="98" t="str">
        <f t="shared" si="263"/>
        <v>$ 000s</v>
      </c>
      <c r="F211" s="23">
        <f t="shared" si="264"/>
        <v>45195.221764716509</v>
      </c>
      <c r="G211" s="319">
        <f t="shared" ref="G211:AN211" si="266">G336</f>
        <v>1214.1571981652173</v>
      </c>
      <c r="H211" s="319">
        <f t="shared" si="266"/>
        <v>1214.1571981652173</v>
      </c>
      <c r="I211" s="319">
        <f t="shared" si="266"/>
        <v>1214.1571981652173</v>
      </c>
      <c r="J211" s="319">
        <f t="shared" si="266"/>
        <v>1538.9907470452174</v>
      </c>
      <c r="K211" s="319">
        <f t="shared" si="266"/>
        <v>1538.9907470452174</v>
      </c>
      <c r="L211" s="319">
        <f t="shared" si="266"/>
        <v>1538.9907470452174</v>
      </c>
      <c r="M211" s="319">
        <f t="shared" si="266"/>
        <v>1538.9907470452174</v>
      </c>
      <c r="N211" s="319">
        <f t="shared" si="266"/>
        <v>1538.9907470452174</v>
      </c>
      <c r="O211" s="319">
        <f t="shared" si="266"/>
        <v>1538.9907470452174</v>
      </c>
      <c r="P211" s="319">
        <f t="shared" si="266"/>
        <v>1538.9907470452174</v>
      </c>
      <c r="Q211" s="319">
        <f t="shared" si="266"/>
        <v>1538.9907470452174</v>
      </c>
      <c r="R211" s="319">
        <f t="shared" si="266"/>
        <v>1538.9907470452174</v>
      </c>
      <c r="S211" s="319">
        <f t="shared" si="266"/>
        <v>1538.9907470452174</v>
      </c>
      <c r="T211" s="319">
        <f t="shared" si="266"/>
        <v>1538.9907470452174</v>
      </c>
      <c r="U211" s="319">
        <f t="shared" si="266"/>
        <v>1538.9907470452174</v>
      </c>
      <c r="V211" s="319">
        <f t="shared" si="266"/>
        <v>1538.9907470452174</v>
      </c>
      <c r="W211" s="319">
        <f t="shared" si="266"/>
        <v>1538.9907470452174</v>
      </c>
      <c r="X211" s="319">
        <f t="shared" si="266"/>
        <v>1538.9907470452174</v>
      </c>
      <c r="Y211" s="319">
        <f t="shared" si="266"/>
        <v>1538.9907470452174</v>
      </c>
      <c r="Z211" s="319">
        <f t="shared" si="266"/>
        <v>1538.9907470452174</v>
      </c>
      <c r="AA211" s="319">
        <f t="shared" si="266"/>
        <v>1538.9907470452174</v>
      </c>
      <c r="AB211" s="319">
        <f t="shared" si="266"/>
        <v>1538.9907470452174</v>
      </c>
      <c r="AC211" s="319">
        <f t="shared" si="266"/>
        <v>1538.9907470452174</v>
      </c>
      <c r="AD211" s="319">
        <f t="shared" si="266"/>
        <v>1538.9907470452174</v>
      </c>
      <c r="AE211" s="319">
        <f t="shared" si="266"/>
        <v>1538.9907470452174</v>
      </c>
      <c r="AF211" s="319">
        <f t="shared" si="266"/>
        <v>1538.9907470452174</v>
      </c>
      <c r="AG211" s="319">
        <f t="shared" si="266"/>
        <v>1538.9907470452174</v>
      </c>
      <c r="AH211" s="319">
        <f t="shared" si="266"/>
        <v>1538.9907470452174</v>
      </c>
      <c r="AI211" s="319">
        <f t="shared" si="266"/>
        <v>1538.9907470452174</v>
      </c>
      <c r="AJ211" s="319">
        <f t="shared" si="266"/>
        <v>1538.9907470452174</v>
      </c>
      <c r="AK211" s="319">
        <f t="shared" si="266"/>
        <v>0</v>
      </c>
      <c r="AL211" s="319">
        <f t="shared" si="266"/>
        <v>0</v>
      </c>
      <c r="AM211" s="319">
        <f t="shared" si="266"/>
        <v>0</v>
      </c>
      <c r="AN211" s="319">
        <f t="shared" si="266"/>
        <v>0</v>
      </c>
    </row>
    <row r="212" spans="3:40" outlineLevel="4">
      <c r="C212" s="319" t="str">
        <f>C337</f>
        <v>Transporte E Destinação - Resíduos Dos  Pevs</v>
      </c>
      <c r="D212">
        <f>Inputs!$D$129</f>
        <v>1</v>
      </c>
      <c r="E212" s="98" t="str">
        <f t="shared" ref="E212:E215" si="267">E337</f>
        <v>$ 000s</v>
      </c>
      <c r="F212" s="23">
        <f t="shared" si="264"/>
        <v>7369.9807028168852</v>
      </c>
      <c r="G212" s="319">
        <f t="shared" ref="G212:AN212" si="268">G337</f>
        <v>0</v>
      </c>
      <c r="H212" s="319">
        <f t="shared" si="268"/>
        <v>0</v>
      </c>
      <c r="I212" s="319">
        <f t="shared" si="268"/>
        <v>263.21359652917431</v>
      </c>
      <c r="J212" s="319">
        <f t="shared" si="268"/>
        <v>263.21359652917431</v>
      </c>
      <c r="K212" s="319">
        <f t="shared" si="268"/>
        <v>263.21359652917431</v>
      </c>
      <c r="L212" s="319">
        <f t="shared" si="268"/>
        <v>263.21359652917431</v>
      </c>
      <c r="M212" s="319">
        <f t="shared" si="268"/>
        <v>263.21359652917431</v>
      </c>
      <c r="N212" s="319">
        <f t="shared" si="268"/>
        <v>263.21359652917431</v>
      </c>
      <c r="O212" s="319">
        <f t="shared" si="268"/>
        <v>263.21359652917431</v>
      </c>
      <c r="P212" s="319">
        <f t="shared" si="268"/>
        <v>263.21359652917431</v>
      </c>
      <c r="Q212" s="319">
        <f t="shared" si="268"/>
        <v>263.21359652917431</v>
      </c>
      <c r="R212" s="319">
        <f t="shared" si="268"/>
        <v>263.21359652917431</v>
      </c>
      <c r="S212" s="319">
        <f t="shared" si="268"/>
        <v>263.21359652917431</v>
      </c>
      <c r="T212" s="319">
        <f t="shared" si="268"/>
        <v>263.21359652917431</v>
      </c>
      <c r="U212" s="319">
        <f t="shared" si="268"/>
        <v>263.21359652917431</v>
      </c>
      <c r="V212" s="319">
        <f t="shared" si="268"/>
        <v>263.21359652917431</v>
      </c>
      <c r="W212" s="319">
        <f t="shared" si="268"/>
        <v>263.21359652917431</v>
      </c>
      <c r="X212" s="319">
        <f t="shared" si="268"/>
        <v>263.21359652917431</v>
      </c>
      <c r="Y212" s="319">
        <f t="shared" si="268"/>
        <v>263.21359652917431</v>
      </c>
      <c r="Z212" s="319">
        <f t="shared" si="268"/>
        <v>263.21359652917431</v>
      </c>
      <c r="AA212" s="319">
        <f t="shared" si="268"/>
        <v>263.21359652917431</v>
      </c>
      <c r="AB212" s="319">
        <f t="shared" si="268"/>
        <v>263.21359652917431</v>
      </c>
      <c r="AC212" s="319">
        <f t="shared" si="268"/>
        <v>263.21359652917431</v>
      </c>
      <c r="AD212" s="319">
        <f t="shared" si="268"/>
        <v>263.21359652917431</v>
      </c>
      <c r="AE212" s="319">
        <f t="shared" si="268"/>
        <v>263.21359652917431</v>
      </c>
      <c r="AF212" s="319">
        <f t="shared" si="268"/>
        <v>263.21359652917431</v>
      </c>
      <c r="AG212" s="319">
        <f t="shared" si="268"/>
        <v>263.21359652917431</v>
      </c>
      <c r="AH212" s="319">
        <f t="shared" si="268"/>
        <v>263.21359652917431</v>
      </c>
      <c r="AI212" s="319">
        <f t="shared" si="268"/>
        <v>263.21359652917431</v>
      </c>
      <c r="AJ212" s="319">
        <f t="shared" si="268"/>
        <v>263.21359652917431</v>
      </c>
      <c r="AK212" s="319">
        <f t="shared" si="268"/>
        <v>0</v>
      </c>
      <c r="AL212" s="319">
        <f t="shared" si="268"/>
        <v>0</v>
      </c>
      <c r="AM212" s="319">
        <f t="shared" si="268"/>
        <v>0</v>
      </c>
      <c r="AN212" s="319">
        <f t="shared" si="268"/>
        <v>0</v>
      </c>
    </row>
    <row r="213" spans="3:40" outlineLevel="4">
      <c r="C213" s="319" t="str">
        <f>C338</f>
        <v>Coleta Programada De Volumosos</v>
      </c>
      <c r="D213">
        <f>Inputs!$D$129</f>
        <v>1</v>
      </c>
      <c r="E213" s="98" t="str">
        <f t="shared" si="267"/>
        <v>$ 000s</v>
      </c>
      <c r="F213" s="23">
        <f t="shared" si="264"/>
        <v>20103.279886275312</v>
      </c>
      <c r="G213" s="319">
        <f t="shared" ref="G213:AN213" si="269">G338</f>
        <v>670.10932954251052</v>
      </c>
      <c r="H213" s="319">
        <f t="shared" si="269"/>
        <v>670.10932954251052</v>
      </c>
      <c r="I213" s="319">
        <f t="shared" si="269"/>
        <v>670.10932954251052</v>
      </c>
      <c r="J213" s="319">
        <f t="shared" si="269"/>
        <v>670.10932954251052</v>
      </c>
      <c r="K213" s="319">
        <f t="shared" si="269"/>
        <v>670.10932954251052</v>
      </c>
      <c r="L213" s="319">
        <f t="shared" si="269"/>
        <v>670.10932954251052</v>
      </c>
      <c r="M213" s="319">
        <f t="shared" si="269"/>
        <v>670.10932954251052</v>
      </c>
      <c r="N213" s="319">
        <f t="shared" si="269"/>
        <v>670.10932954251052</v>
      </c>
      <c r="O213" s="319">
        <f t="shared" si="269"/>
        <v>670.10932954251052</v>
      </c>
      <c r="P213" s="319">
        <f t="shared" si="269"/>
        <v>670.10932954251052</v>
      </c>
      <c r="Q213" s="319">
        <f t="shared" si="269"/>
        <v>670.10932954251052</v>
      </c>
      <c r="R213" s="319">
        <f t="shared" si="269"/>
        <v>670.10932954251052</v>
      </c>
      <c r="S213" s="319">
        <f t="shared" si="269"/>
        <v>670.10932954251052</v>
      </c>
      <c r="T213" s="319">
        <f t="shared" si="269"/>
        <v>670.10932954251052</v>
      </c>
      <c r="U213" s="319">
        <f t="shared" si="269"/>
        <v>670.10932954251052</v>
      </c>
      <c r="V213" s="319">
        <f t="shared" si="269"/>
        <v>670.10932954251052</v>
      </c>
      <c r="W213" s="319">
        <f t="shared" si="269"/>
        <v>670.10932954251052</v>
      </c>
      <c r="X213" s="319">
        <f t="shared" si="269"/>
        <v>670.10932954251052</v>
      </c>
      <c r="Y213" s="319">
        <f t="shared" si="269"/>
        <v>670.10932954251052</v>
      </c>
      <c r="Z213" s="319">
        <f t="shared" si="269"/>
        <v>670.10932954251052</v>
      </c>
      <c r="AA213" s="319">
        <f t="shared" si="269"/>
        <v>670.10932954251052</v>
      </c>
      <c r="AB213" s="319">
        <f t="shared" si="269"/>
        <v>670.10932954251052</v>
      </c>
      <c r="AC213" s="319">
        <f t="shared" si="269"/>
        <v>670.10932954251052</v>
      </c>
      <c r="AD213" s="319">
        <f t="shared" si="269"/>
        <v>670.10932954251052</v>
      </c>
      <c r="AE213" s="319">
        <f t="shared" si="269"/>
        <v>670.10932954251052</v>
      </c>
      <c r="AF213" s="319">
        <f t="shared" si="269"/>
        <v>670.10932954251052</v>
      </c>
      <c r="AG213" s="319">
        <f t="shared" si="269"/>
        <v>670.10932954251052</v>
      </c>
      <c r="AH213" s="319">
        <f t="shared" si="269"/>
        <v>670.10932954251052</v>
      </c>
      <c r="AI213" s="319">
        <f t="shared" si="269"/>
        <v>670.10932954251052</v>
      </c>
      <c r="AJ213" s="319">
        <f t="shared" si="269"/>
        <v>670.10932954251052</v>
      </c>
      <c r="AK213" s="319">
        <f t="shared" si="269"/>
        <v>0</v>
      </c>
      <c r="AL213" s="319">
        <f t="shared" si="269"/>
        <v>0</v>
      </c>
      <c r="AM213" s="319">
        <f t="shared" si="269"/>
        <v>0</v>
      </c>
      <c r="AN213" s="319">
        <f t="shared" si="269"/>
        <v>0</v>
      </c>
    </row>
    <row r="214" spans="3:40" outlineLevel="4">
      <c r="C214" s="319" t="str">
        <f>C339</f>
        <v>Varrição Manual</v>
      </c>
      <c r="D214">
        <f>Inputs!$D$129</f>
        <v>1</v>
      </c>
      <c r="E214" s="98" t="str">
        <f t="shared" si="267"/>
        <v>$ 000s</v>
      </c>
      <c r="F214" s="23">
        <f t="shared" si="264"/>
        <v>33008.94178978345</v>
      </c>
      <c r="G214" s="319">
        <f t="shared" ref="G214:AN214" si="270">G339</f>
        <v>902.85758976611521</v>
      </c>
      <c r="H214" s="319">
        <f t="shared" si="270"/>
        <v>1027.1445066461151</v>
      </c>
      <c r="I214" s="319">
        <f t="shared" si="270"/>
        <v>1027.4155866461151</v>
      </c>
      <c r="J214" s="319">
        <f t="shared" si="270"/>
        <v>1027.4155866461151</v>
      </c>
      <c r="K214" s="319">
        <f t="shared" si="270"/>
        <v>1027.4155866461151</v>
      </c>
      <c r="L214" s="319">
        <f t="shared" si="270"/>
        <v>1027.4155866461151</v>
      </c>
      <c r="M214" s="319">
        <f t="shared" si="270"/>
        <v>1027.4155866461151</v>
      </c>
      <c r="N214" s="319">
        <f t="shared" si="270"/>
        <v>1027.4155866461151</v>
      </c>
      <c r="O214" s="319">
        <f t="shared" si="270"/>
        <v>1027.4155866461151</v>
      </c>
      <c r="P214" s="319">
        <f t="shared" si="270"/>
        <v>1089.8466100861149</v>
      </c>
      <c r="Q214" s="319">
        <f t="shared" si="270"/>
        <v>1089.8466100861149</v>
      </c>
      <c r="R214" s="319">
        <f t="shared" si="270"/>
        <v>1089.8466100861149</v>
      </c>
      <c r="S214" s="319">
        <f t="shared" si="270"/>
        <v>1089.8466100861149</v>
      </c>
      <c r="T214" s="319">
        <f t="shared" si="270"/>
        <v>1089.8466100861149</v>
      </c>
      <c r="U214" s="319">
        <f t="shared" si="270"/>
        <v>1089.8466100861149</v>
      </c>
      <c r="V214" s="319">
        <f t="shared" si="270"/>
        <v>1089.8466100861149</v>
      </c>
      <c r="W214" s="319">
        <f t="shared" si="270"/>
        <v>1090.1176900861149</v>
      </c>
      <c r="X214" s="319">
        <f t="shared" si="270"/>
        <v>1090.1176900861149</v>
      </c>
      <c r="Y214" s="319">
        <f t="shared" si="270"/>
        <v>1152.2776335261151</v>
      </c>
      <c r="Z214" s="319">
        <f t="shared" si="270"/>
        <v>1152.2776335261151</v>
      </c>
      <c r="AA214" s="319">
        <f t="shared" si="270"/>
        <v>1152.2776335261151</v>
      </c>
      <c r="AB214" s="319">
        <f t="shared" si="270"/>
        <v>1152.2776335261151</v>
      </c>
      <c r="AC214" s="319">
        <f t="shared" si="270"/>
        <v>1152.2776335261151</v>
      </c>
      <c r="AD214" s="319">
        <f t="shared" si="270"/>
        <v>1152.5487135261151</v>
      </c>
      <c r="AE214" s="319">
        <f t="shared" si="270"/>
        <v>1152.5487135261151</v>
      </c>
      <c r="AF214" s="319">
        <f t="shared" si="270"/>
        <v>1152.5487135261151</v>
      </c>
      <c r="AG214" s="319">
        <f t="shared" si="270"/>
        <v>1214.7086569661151</v>
      </c>
      <c r="AH214" s="319">
        <f t="shared" si="270"/>
        <v>1214.7086569661151</v>
      </c>
      <c r="AI214" s="319">
        <f t="shared" si="270"/>
        <v>1214.7086569661151</v>
      </c>
      <c r="AJ214" s="319">
        <f t="shared" si="270"/>
        <v>1214.7086569661151</v>
      </c>
      <c r="AK214" s="319">
        <f t="shared" si="270"/>
        <v>0</v>
      </c>
      <c r="AL214" s="319">
        <f t="shared" si="270"/>
        <v>0</v>
      </c>
      <c r="AM214" s="319">
        <f t="shared" si="270"/>
        <v>0</v>
      </c>
      <c r="AN214" s="319">
        <f t="shared" si="270"/>
        <v>0</v>
      </c>
    </row>
    <row r="215" spans="3:40" outlineLevel="4">
      <c r="C215" s="319" t="str">
        <f>C340</f>
        <v>Serviços Gerais (Tipos I E II)</v>
      </c>
      <c r="D215">
        <f>Inputs!$D$129</f>
        <v>1</v>
      </c>
      <c r="E215" s="98" t="str">
        <f t="shared" si="267"/>
        <v>$ 000s</v>
      </c>
      <c r="F215" s="23">
        <f t="shared" si="264"/>
        <v>74397.325471316275</v>
      </c>
      <c r="G215" s="319">
        <f t="shared" ref="G215:AN215" si="271">G340</f>
        <v>2479.9108490438762</v>
      </c>
      <c r="H215" s="319">
        <f t="shared" si="271"/>
        <v>2479.9108490438762</v>
      </c>
      <c r="I215" s="319">
        <f t="shared" si="271"/>
        <v>2479.9108490438762</v>
      </c>
      <c r="J215" s="319">
        <f t="shared" si="271"/>
        <v>2479.9108490438762</v>
      </c>
      <c r="K215" s="319">
        <f t="shared" si="271"/>
        <v>2479.9108490438762</v>
      </c>
      <c r="L215" s="319">
        <f t="shared" si="271"/>
        <v>2479.9108490438762</v>
      </c>
      <c r="M215" s="319">
        <f t="shared" si="271"/>
        <v>2479.9108490438762</v>
      </c>
      <c r="N215" s="319">
        <f t="shared" si="271"/>
        <v>2479.9108490438762</v>
      </c>
      <c r="O215" s="319">
        <f t="shared" si="271"/>
        <v>2479.9108490438762</v>
      </c>
      <c r="P215" s="319">
        <f t="shared" si="271"/>
        <v>2479.9108490438762</v>
      </c>
      <c r="Q215" s="319">
        <f t="shared" si="271"/>
        <v>2479.9108490438762</v>
      </c>
      <c r="R215" s="319">
        <f t="shared" si="271"/>
        <v>2479.9108490438762</v>
      </c>
      <c r="S215" s="319">
        <f t="shared" si="271"/>
        <v>2479.9108490438762</v>
      </c>
      <c r="T215" s="319">
        <f t="shared" si="271"/>
        <v>2479.9108490438762</v>
      </c>
      <c r="U215" s="319">
        <f t="shared" si="271"/>
        <v>2479.9108490438762</v>
      </c>
      <c r="V215" s="319">
        <f t="shared" si="271"/>
        <v>2479.9108490438762</v>
      </c>
      <c r="W215" s="319">
        <f t="shared" si="271"/>
        <v>2479.9108490438762</v>
      </c>
      <c r="X215" s="319">
        <f t="shared" si="271"/>
        <v>2479.9108490438762</v>
      </c>
      <c r="Y215" s="319">
        <f t="shared" si="271"/>
        <v>2479.9108490438762</v>
      </c>
      <c r="Z215" s="319">
        <f t="shared" si="271"/>
        <v>2479.9108490438762</v>
      </c>
      <c r="AA215" s="319">
        <f t="shared" si="271"/>
        <v>2479.9108490438762</v>
      </c>
      <c r="AB215" s="319">
        <f t="shared" si="271"/>
        <v>2479.9108490438762</v>
      </c>
      <c r="AC215" s="319">
        <f t="shared" si="271"/>
        <v>2479.9108490438762</v>
      </c>
      <c r="AD215" s="319">
        <f t="shared" si="271"/>
        <v>2479.9108490438762</v>
      </c>
      <c r="AE215" s="319">
        <f t="shared" si="271"/>
        <v>2479.9108490438762</v>
      </c>
      <c r="AF215" s="319">
        <f t="shared" si="271"/>
        <v>2479.9108490438762</v>
      </c>
      <c r="AG215" s="319">
        <f t="shared" si="271"/>
        <v>2479.9108490438762</v>
      </c>
      <c r="AH215" s="319">
        <f t="shared" si="271"/>
        <v>2479.9108490438762</v>
      </c>
      <c r="AI215" s="319">
        <f t="shared" si="271"/>
        <v>2479.9108490438762</v>
      </c>
      <c r="AJ215" s="319">
        <f t="shared" si="271"/>
        <v>2479.9108490438762</v>
      </c>
      <c r="AK215" s="319">
        <f t="shared" si="271"/>
        <v>0</v>
      </c>
      <c r="AL215" s="319">
        <f t="shared" si="271"/>
        <v>0</v>
      </c>
      <c r="AM215" s="319">
        <f t="shared" si="271"/>
        <v>0</v>
      </c>
      <c r="AN215" s="319">
        <f t="shared" si="271"/>
        <v>0</v>
      </c>
    </row>
    <row r="216" spans="3:40" outlineLevel="4">
      <c r="C216" s="319" t="str">
        <f t="shared" ref="C216:C221" si="272">C342</f>
        <v xml:space="preserve">Destinação Final </v>
      </c>
      <c r="D216">
        <f>Inputs!$D$129</f>
        <v>1</v>
      </c>
      <c r="E216" s="98" t="str">
        <f>E342</f>
        <v>$ 000s</v>
      </c>
      <c r="F216" s="23">
        <f t="shared" si="264"/>
        <v>131414.70517089235</v>
      </c>
      <c r="G216" s="319">
        <f t="shared" ref="G216:AN216" si="273">G342</f>
        <v>3730.3440009626115</v>
      </c>
      <c r="H216" s="319">
        <f t="shared" si="273"/>
        <v>3844.8985269753866</v>
      </c>
      <c r="I216" s="319">
        <f t="shared" si="273"/>
        <v>3992.6100238902841</v>
      </c>
      <c r="J216" s="319">
        <f t="shared" si="273"/>
        <v>4036.0044731226894</v>
      </c>
      <c r="K216" s="319">
        <f t="shared" si="273"/>
        <v>4084.3129988778605</v>
      </c>
      <c r="L216" s="319">
        <f t="shared" si="273"/>
        <v>4129.8042823176957</v>
      </c>
      <c r="M216" s="319">
        <f t="shared" si="273"/>
        <v>5098.4926465873132</v>
      </c>
      <c r="N216" s="319">
        <f t="shared" si="273"/>
        <v>4282.1640030082226</v>
      </c>
      <c r="O216" s="319">
        <f t="shared" si="273"/>
        <v>4298.0044386467944</v>
      </c>
      <c r="P216" s="319">
        <f t="shared" si="273"/>
        <v>4313.8448742853661</v>
      </c>
      <c r="Q216" s="319">
        <f t="shared" si="273"/>
        <v>4329.699242130785</v>
      </c>
      <c r="R216" s="319">
        <f t="shared" si="273"/>
        <v>4345.5396777693559</v>
      </c>
      <c r="S216" s="319">
        <f t="shared" si="273"/>
        <v>4361.3801134079267</v>
      </c>
      <c r="T216" s="319">
        <f t="shared" si="273"/>
        <v>4377.2205490464985</v>
      </c>
      <c r="U216" s="319">
        <f t="shared" si="273"/>
        <v>4393.0749168919174</v>
      </c>
      <c r="V216" s="319">
        <f t="shared" si="273"/>
        <v>4408.9153525304882</v>
      </c>
      <c r="W216" s="319">
        <f t="shared" si="273"/>
        <v>4424.75578816906</v>
      </c>
      <c r="X216" s="319">
        <f t="shared" si="273"/>
        <v>4440.5962238076308</v>
      </c>
      <c r="Y216" s="319">
        <f t="shared" si="273"/>
        <v>4456.4505916530507</v>
      </c>
      <c r="Z216" s="319">
        <f t="shared" si="273"/>
        <v>4472.2910272916215</v>
      </c>
      <c r="AA216" s="319">
        <f t="shared" si="273"/>
        <v>4488.1314629301924</v>
      </c>
      <c r="AB216" s="319">
        <f t="shared" si="273"/>
        <v>4503.9718985687632</v>
      </c>
      <c r="AC216" s="319">
        <f t="shared" si="273"/>
        <v>4519.826266414183</v>
      </c>
      <c r="AD216" s="319">
        <f t="shared" si="273"/>
        <v>4535.6667020527539</v>
      </c>
      <c r="AE216" s="319">
        <f t="shared" si="273"/>
        <v>4551.5071376913247</v>
      </c>
      <c r="AF216" s="319">
        <f t="shared" si="273"/>
        <v>4567.3475733298965</v>
      </c>
      <c r="AG216" s="319">
        <f t="shared" si="273"/>
        <v>4583.2019411753163</v>
      </c>
      <c r="AH216" s="319">
        <f t="shared" si="273"/>
        <v>4599.0423768138862</v>
      </c>
      <c r="AI216" s="319">
        <f t="shared" si="273"/>
        <v>4614.882812452458</v>
      </c>
      <c r="AJ216" s="319">
        <f t="shared" si="273"/>
        <v>4630.7232480910288</v>
      </c>
      <c r="AK216" s="319">
        <f t="shared" si="273"/>
        <v>0</v>
      </c>
      <c r="AL216" s="319">
        <f t="shared" si="273"/>
        <v>0</v>
      </c>
      <c r="AM216" s="319">
        <f t="shared" si="273"/>
        <v>0</v>
      </c>
      <c r="AN216" s="319">
        <f t="shared" si="273"/>
        <v>0</v>
      </c>
    </row>
    <row r="217" spans="3:40" outlineLevel="4">
      <c r="C217" s="319" t="str">
        <f t="shared" si="272"/>
        <v>Educaçao Ambiental</v>
      </c>
      <c r="D217">
        <f>Inputs!$D$129</f>
        <v>1</v>
      </c>
      <c r="E217" s="98" t="str">
        <f>E343</f>
        <v>$ 000s</v>
      </c>
      <c r="F217" s="23">
        <f t="shared" si="264"/>
        <v>6398.1914396639986</v>
      </c>
      <c r="G217" s="319">
        <f t="shared" ref="G217:AN217" si="274">G343</f>
        <v>266.27880593759994</v>
      </c>
      <c r="H217" s="319">
        <f t="shared" si="274"/>
        <v>266.27880593759994</v>
      </c>
      <c r="I217" s="319">
        <f t="shared" si="274"/>
        <v>266.27880593759994</v>
      </c>
      <c r="J217" s="319">
        <f t="shared" si="274"/>
        <v>266.27880593759994</v>
      </c>
      <c r="K217" s="319">
        <f t="shared" si="274"/>
        <v>266.27880593759994</v>
      </c>
      <c r="L217" s="319">
        <f t="shared" si="274"/>
        <v>266.27880593759994</v>
      </c>
      <c r="M217" s="319">
        <f t="shared" si="274"/>
        <v>200.02160850159999</v>
      </c>
      <c r="N217" s="319">
        <f t="shared" si="274"/>
        <v>200.02160850159999</v>
      </c>
      <c r="O217" s="319">
        <f t="shared" si="274"/>
        <v>200.02160850159999</v>
      </c>
      <c r="P217" s="319">
        <f t="shared" si="274"/>
        <v>200.02160850159999</v>
      </c>
      <c r="Q217" s="319">
        <f t="shared" si="274"/>
        <v>200.02160850159999</v>
      </c>
      <c r="R217" s="319">
        <f t="shared" si="274"/>
        <v>200.02160850159999</v>
      </c>
      <c r="S217" s="319">
        <f t="shared" si="274"/>
        <v>200.02160850159999</v>
      </c>
      <c r="T217" s="319">
        <f t="shared" si="274"/>
        <v>200.02160850159999</v>
      </c>
      <c r="U217" s="319">
        <f t="shared" si="274"/>
        <v>200.02160850159999</v>
      </c>
      <c r="V217" s="319">
        <f t="shared" si="274"/>
        <v>200.02160850159999</v>
      </c>
      <c r="W217" s="319">
        <f t="shared" si="274"/>
        <v>200.02160850159999</v>
      </c>
      <c r="X217" s="319">
        <f t="shared" si="274"/>
        <v>200.02160850159999</v>
      </c>
      <c r="Y217" s="319">
        <f t="shared" si="274"/>
        <v>200.02160850159999</v>
      </c>
      <c r="Z217" s="319">
        <f t="shared" si="274"/>
        <v>200.02160850159999</v>
      </c>
      <c r="AA217" s="319">
        <f t="shared" si="274"/>
        <v>200.02160850159999</v>
      </c>
      <c r="AB217" s="319">
        <f t="shared" si="274"/>
        <v>200.02160850159999</v>
      </c>
      <c r="AC217" s="319">
        <f t="shared" si="274"/>
        <v>200.02160850159999</v>
      </c>
      <c r="AD217" s="319">
        <f t="shared" si="274"/>
        <v>200.02160850159999</v>
      </c>
      <c r="AE217" s="319">
        <f t="shared" si="274"/>
        <v>200.02160850159999</v>
      </c>
      <c r="AF217" s="319">
        <f t="shared" si="274"/>
        <v>200.02160850159999</v>
      </c>
      <c r="AG217" s="319">
        <f t="shared" si="274"/>
        <v>200.02160850159999</v>
      </c>
      <c r="AH217" s="319">
        <f t="shared" si="274"/>
        <v>200.02160850159999</v>
      </c>
      <c r="AI217" s="319">
        <f t="shared" si="274"/>
        <v>200.02160850159999</v>
      </c>
      <c r="AJ217" s="319">
        <f t="shared" si="274"/>
        <v>200.02160850159999</v>
      </c>
      <c r="AK217" s="319">
        <f t="shared" si="274"/>
        <v>0</v>
      </c>
      <c r="AL217" s="319">
        <f t="shared" si="274"/>
        <v>0</v>
      </c>
      <c r="AM217" s="319">
        <f t="shared" si="274"/>
        <v>0</v>
      </c>
      <c r="AN217" s="319">
        <f t="shared" si="274"/>
        <v>0</v>
      </c>
    </row>
    <row r="218" spans="3:40" outlineLevel="4">
      <c r="C218" s="319" t="str">
        <f t="shared" si="272"/>
        <v>Relação Com O Usuário</v>
      </c>
      <c r="D218">
        <f>Inputs!$D$129</f>
        <v>1</v>
      </c>
      <c r="E218" s="98" t="str">
        <f>E344</f>
        <v>$ 000s</v>
      </c>
      <c r="F218" s="23">
        <f t="shared" si="264"/>
        <v>28189.118632024802</v>
      </c>
      <c r="G218" s="319">
        <f t="shared" ref="G218:AN218" si="275">G344</f>
        <v>405.37059451200003</v>
      </c>
      <c r="H218" s="319">
        <f t="shared" si="275"/>
        <v>919.42288060088424</v>
      </c>
      <c r="I218" s="319">
        <f t="shared" si="275"/>
        <v>922.18269464050775</v>
      </c>
      <c r="J218" s="319">
        <f t="shared" si="275"/>
        <v>924.94250868013125</v>
      </c>
      <c r="K218" s="319">
        <f t="shared" si="275"/>
        <v>927.70232271975499</v>
      </c>
      <c r="L218" s="319">
        <f t="shared" si="275"/>
        <v>930.4621367593785</v>
      </c>
      <c r="M218" s="319">
        <f t="shared" si="275"/>
        <v>933.221950799002</v>
      </c>
      <c r="N218" s="319">
        <f t="shared" si="275"/>
        <v>935.98176483862551</v>
      </c>
      <c r="O218" s="319">
        <f t="shared" si="275"/>
        <v>938.74157887824902</v>
      </c>
      <c r="P218" s="319">
        <f t="shared" si="275"/>
        <v>941.50139291787275</v>
      </c>
      <c r="Q218" s="319">
        <f t="shared" si="275"/>
        <v>944.26120695749626</v>
      </c>
      <c r="R218" s="319">
        <f t="shared" si="275"/>
        <v>947.02102099711976</v>
      </c>
      <c r="S218" s="319">
        <f t="shared" si="275"/>
        <v>949.78083503674327</v>
      </c>
      <c r="T218" s="319">
        <f t="shared" si="275"/>
        <v>952.540649076367</v>
      </c>
      <c r="U218" s="319">
        <f t="shared" si="275"/>
        <v>955.30046311599028</v>
      </c>
      <c r="V218" s="319">
        <f t="shared" si="275"/>
        <v>958.06027715561402</v>
      </c>
      <c r="W218" s="319">
        <f t="shared" si="275"/>
        <v>960.82009119523752</v>
      </c>
      <c r="X218" s="319">
        <f t="shared" si="275"/>
        <v>963.57990523486103</v>
      </c>
      <c r="Y218" s="319">
        <f t="shared" si="275"/>
        <v>966.33971927448454</v>
      </c>
      <c r="Z218" s="319">
        <f t="shared" si="275"/>
        <v>969.09953331410827</v>
      </c>
      <c r="AA218" s="319">
        <f t="shared" si="275"/>
        <v>971.85934735373178</v>
      </c>
      <c r="AB218" s="319">
        <f t="shared" si="275"/>
        <v>974.61916139335551</v>
      </c>
      <c r="AC218" s="319">
        <f t="shared" si="275"/>
        <v>977.37897543297879</v>
      </c>
      <c r="AD218" s="319">
        <f t="shared" si="275"/>
        <v>980.13878947260253</v>
      </c>
      <c r="AE218" s="319">
        <f t="shared" si="275"/>
        <v>982.89860351222603</v>
      </c>
      <c r="AF218" s="319">
        <f t="shared" si="275"/>
        <v>985.65841755184954</v>
      </c>
      <c r="AG218" s="319">
        <f t="shared" si="275"/>
        <v>988.41823159147305</v>
      </c>
      <c r="AH218" s="319">
        <f t="shared" si="275"/>
        <v>991.17804563109678</v>
      </c>
      <c r="AI218" s="319">
        <f t="shared" si="275"/>
        <v>993.93785967072029</v>
      </c>
      <c r="AJ218" s="319">
        <f t="shared" si="275"/>
        <v>996.69767371034379</v>
      </c>
      <c r="AK218" s="319">
        <f t="shared" si="275"/>
        <v>0</v>
      </c>
      <c r="AL218" s="319">
        <f t="shared" si="275"/>
        <v>0</v>
      </c>
      <c r="AM218" s="319">
        <f t="shared" si="275"/>
        <v>0</v>
      </c>
      <c r="AN218" s="319">
        <f t="shared" si="275"/>
        <v>0</v>
      </c>
    </row>
    <row r="219" spans="3:40" outlineLevel="4">
      <c r="C219" s="319" t="str">
        <f t="shared" si="272"/>
        <v>Administração Local</v>
      </c>
      <c r="D219">
        <f>Inputs!$D$129</f>
        <v>1</v>
      </c>
      <c r="E219" s="98" t="str">
        <f>E345</f>
        <v>$ 000s</v>
      </c>
      <c r="F219" s="23">
        <f t="shared" si="264"/>
        <v>24230.75294228</v>
      </c>
      <c r="G219" s="319">
        <f t="shared" ref="G219:AN219" si="276">G345</f>
        <v>726.75657898000009</v>
      </c>
      <c r="H219" s="319">
        <f t="shared" si="276"/>
        <v>727.20442897999999</v>
      </c>
      <c r="I219" s="319">
        <f t="shared" si="276"/>
        <v>727.47502898000005</v>
      </c>
      <c r="J219" s="319">
        <f t="shared" si="276"/>
        <v>728.15152898000008</v>
      </c>
      <c r="K219" s="319">
        <f t="shared" si="276"/>
        <v>728.15152898000008</v>
      </c>
      <c r="L219" s="319">
        <f t="shared" si="276"/>
        <v>728.15152898000008</v>
      </c>
      <c r="M219" s="319">
        <f t="shared" si="276"/>
        <v>827.15575910000007</v>
      </c>
      <c r="N219" s="319">
        <f t="shared" si="276"/>
        <v>827.15575910000007</v>
      </c>
      <c r="O219" s="319">
        <f t="shared" si="276"/>
        <v>827.15575910000007</v>
      </c>
      <c r="P219" s="319">
        <f t="shared" si="276"/>
        <v>827.29105909999998</v>
      </c>
      <c r="Q219" s="319">
        <f t="shared" si="276"/>
        <v>827.29105909999998</v>
      </c>
      <c r="R219" s="319">
        <f t="shared" si="276"/>
        <v>827.29105909999998</v>
      </c>
      <c r="S219" s="319">
        <f t="shared" si="276"/>
        <v>827.29105909999998</v>
      </c>
      <c r="T219" s="319">
        <f t="shared" si="276"/>
        <v>827.29105909999998</v>
      </c>
      <c r="U219" s="319">
        <f t="shared" si="276"/>
        <v>827.29105909999998</v>
      </c>
      <c r="V219" s="319">
        <f t="shared" si="276"/>
        <v>827.29105909999998</v>
      </c>
      <c r="W219" s="319">
        <f t="shared" si="276"/>
        <v>827.29105909999998</v>
      </c>
      <c r="X219" s="319">
        <f t="shared" si="276"/>
        <v>827.29105909999998</v>
      </c>
      <c r="Y219" s="319">
        <f t="shared" si="276"/>
        <v>828.10285909999993</v>
      </c>
      <c r="Z219" s="319">
        <f t="shared" si="276"/>
        <v>828.10285909999993</v>
      </c>
      <c r="AA219" s="319">
        <f t="shared" si="276"/>
        <v>828.10285909999993</v>
      </c>
      <c r="AB219" s="319">
        <f t="shared" si="276"/>
        <v>828.10285909999993</v>
      </c>
      <c r="AC219" s="319">
        <f t="shared" si="276"/>
        <v>828.10285909999993</v>
      </c>
      <c r="AD219" s="319">
        <f t="shared" si="276"/>
        <v>828.10285909999993</v>
      </c>
      <c r="AE219" s="319">
        <f t="shared" si="276"/>
        <v>828.10285909999993</v>
      </c>
      <c r="AF219" s="319">
        <f t="shared" si="276"/>
        <v>828.10285909999993</v>
      </c>
      <c r="AG219" s="319">
        <f t="shared" si="276"/>
        <v>828.23815910000008</v>
      </c>
      <c r="AH219" s="319">
        <f t="shared" si="276"/>
        <v>828.23815910000008</v>
      </c>
      <c r="AI219" s="319">
        <f t="shared" si="276"/>
        <v>828.23815910000008</v>
      </c>
      <c r="AJ219" s="319">
        <f t="shared" si="276"/>
        <v>828.23815910000008</v>
      </c>
      <c r="AK219" s="319">
        <f t="shared" si="276"/>
        <v>0</v>
      </c>
      <c r="AL219" s="319">
        <f t="shared" si="276"/>
        <v>0</v>
      </c>
      <c r="AM219" s="319">
        <f t="shared" si="276"/>
        <v>0</v>
      </c>
      <c r="AN219" s="319">
        <f t="shared" si="276"/>
        <v>0</v>
      </c>
    </row>
    <row r="220" spans="3:40" outlineLevel="4">
      <c r="C220" s="319" t="str">
        <f t="shared" si="272"/>
        <v>Administração Central</v>
      </c>
      <c r="D220">
        <f>Inputs!$D$129</f>
        <v>1</v>
      </c>
      <c r="E220" s="98" t="str">
        <f>E346</f>
        <v>$ 000s</v>
      </c>
      <c r="F220" s="23">
        <f t="shared" si="264"/>
        <v>0</v>
      </c>
      <c r="G220" s="319">
        <f t="shared" ref="G220:AN220" si="277">G346</f>
        <v>0</v>
      </c>
      <c r="H220" s="319">
        <f t="shared" si="277"/>
        <v>0</v>
      </c>
      <c r="I220" s="319">
        <f t="shared" si="277"/>
        <v>0</v>
      </c>
      <c r="J220" s="319">
        <f t="shared" si="277"/>
        <v>0</v>
      </c>
      <c r="K220" s="319">
        <f t="shared" si="277"/>
        <v>0</v>
      </c>
      <c r="L220" s="319">
        <f t="shared" si="277"/>
        <v>0</v>
      </c>
      <c r="M220" s="319">
        <f t="shared" si="277"/>
        <v>0</v>
      </c>
      <c r="N220" s="319">
        <f t="shared" si="277"/>
        <v>0</v>
      </c>
      <c r="O220" s="319">
        <f t="shared" si="277"/>
        <v>0</v>
      </c>
      <c r="P220" s="319">
        <f t="shared" si="277"/>
        <v>0</v>
      </c>
      <c r="Q220" s="319">
        <f t="shared" si="277"/>
        <v>0</v>
      </c>
      <c r="R220" s="319">
        <f t="shared" si="277"/>
        <v>0</v>
      </c>
      <c r="S220" s="319">
        <f t="shared" si="277"/>
        <v>0</v>
      </c>
      <c r="T220" s="319">
        <f t="shared" si="277"/>
        <v>0</v>
      </c>
      <c r="U220" s="319">
        <f t="shared" si="277"/>
        <v>0</v>
      </c>
      <c r="V220" s="319">
        <f t="shared" si="277"/>
        <v>0</v>
      </c>
      <c r="W220" s="319">
        <f t="shared" si="277"/>
        <v>0</v>
      </c>
      <c r="X220" s="319">
        <f t="shared" si="277"/>
        <v>0</v>
      </c>
      <c r="Y220" s="319">
        <f t="shared" si="277"/>
        <v>0</v>
      </c>
      <c r="Z220" s="319">
        <f t="shared" si="277"/>
        <v>0</v>
      </c>
      <c r="AA220" s="319">
        <f t="shared" si="277"/>
        <v>0</v>
      </c>
      <c r="AB220" s="319">
        <f t="shared" si="277"/>
        <v>0</v>
      </c>
      <c r="AC220" s="319">
        <f t="shared" si="277"/>
        <v>0</v>
      </c>
      <c r="AD220" s="319">
        <f t="shared" si="277"/>
        <v>0</v>
      </c>
      <c r="AE220" s="319">
        <f t="shared" si="277"/>
        <v>0</v>
      </c>
      <c r="AF220" s="319">
        <f t="shared" si="277"/>
        <v>0</v>
      </c>
      <c r="AG220" s="319">
        <f t="shared" si="277"/>
        <v>0</v>
      </c>
      <c r="AH220" s="319">
        <f t="shared" si="277"/>
        <v>0</v>
      </c>
      <c r="AI220" s="319">
        <f t="shared" si="277"/>
        <v>0</v>
      </c>
      <c r="AJ220" s="319">
        <f t="shared" si="277"/>
        <v>0</v>
      </c>
      <c r="AK220" s="319">
        <f t="shared" si="277"/>
        <v>0</v>
      </c>
      <c r="AL220" s="319">
        <f t="shared" si="277"/>
        <v>0</v>
      </c>
      <c r="AM220" s="319">
        <f t="shared" si="277"/>
        <v>0</v>
      </c>
      <c r="AN220" s="319">
        <f t="shared" si="277"/>
        <v>0</v>
      </c>
    </row>
    <row r="221" spans="3:40" outlineLevel="4">
      <c r="C221" s="319" t="str">
        <f t="shared" si="272"/>
        <v>Gerencialmento Contrato</v>
      </c>
      <c r="D221">
        <f>Inputs!$D$129</f>
        <v>1</v>
      </c>
      <c r="E221" s="98"/>
      <c r="F221" s="23">
        <f t="shared" si="264"/>
        <v>2303.2945887768924</v>
      </c>
      <c r="G221" s="319">
        <f t="shared" ref="G221:AN221" si="278">G347</f>
        <v>76.776486292563064</v>
      </c>
      <c r="H221" s="319">
        <f t="shared" si="278"/>
        <v>76.776486292563064</v>
      </c>
      <c r="I221" s="319">
        <f t="shared" si="278"/>
        <v>76.776486292563064</v>
      </c>
      <c r="J221" s="319">
        <f t="shared" si="278"/>
        <v>76.776486292563064</v>
      </c>
      <c r="K221" s="319">
        <f t="shared" si="278"/>
        <v>76.776486292563064</v>
      </c>
      <c r="L221" s="319">
        <f t="shared" si="278"/>
        <v>76.776486292563064</v>
      </c>
      <c r="M221" s="319">
        <f t="shared" si="278"/>
        <v>76.776486292563064</v>
      </c>
      <c r="N221" s="319">
        <f t="shared" si="278"/>
        <v>76.776486292563064</v>
      </c>
      <c r="O221" s="319">
        <f t="shared" si="278"/>
        <v>76.776486292563064</v>
      </c>
      <c r="P221" s="319">
        <f t="shared" si="278"/>
        <v>76.776486292563064</v>
      </c>
      <c r="Q221" s="319">
        <f t="shared" si="278"/>
        <v>76.776486292563064</v>
      </c>
      <c r="R221" s="319">
        <f t="shared" si="278"/>
        <v>76.776486292563064</v>
      </c>
      <c r="S221" s="319">
        <f t="shared" si="278"/>
        <v>76.776486292563064</v>
      </c>
      <c r="T221" s="319">
        <f t="shared" si="278"/>
        <v>76.776486292563064</v>
      </c>
      <c r="U221" s="319">
        <f t="shared" si="278"/>
        <v>76.776486292563064</v>
      </c>
      <c r="V221" s="319">
        <f t="shared" si="278"/>
        <v>76.776486292563064</v>
      </c>
      <c r="W221" s="319">
        <f t="shared" si="278"/>
        <v>76.776486292563064</v>
      </c>
      <c r="X221" s="319">
        <f t="shared" si="278"/>
        <v>76.776486292563064</v>
      </c>
      <c r="Y221" s="319">
        <f t="shared" si="278"/>
        <v>76.776486292563064</v>
      </c>
      <c r="Z221" s="319">
        <f t="shared" si="278"/>
        <v>76.776486292563064</v>
      </c>
      <c r="AA221" s="319">
        <f t="shared" si="278"/>
        <v>76.776486292563064</v>
      </c>
      <c r="AB221" s="319">
        <f t="shared" si="278"/>
        <v>76.776486292563064</v>
      </c>
      <c r="AC221" s="319">
        <f t="shared" si="278"/>
        <v>76.776486292563064</v>
      </c>
      <c r="AD221" s="319">
        <f t="shared" si="278"/>
        <v>76.776486292563064</v>
      </c>
      <c r="AE221" s="319">
        <f t="shared" si="278"/>
        <v>76.776486292563064</v>
      </c>
      <c r="AF221" s="319">
        <f t="shared" si="278"/>
        <v>76.776486292563064</v>
      </c>
      <c r="AG221" s="319">
        <f t="shared" si="278"/>
        <v>76.776486292563064</v>
      </c>
      <c r="AH221" s="319">
        <f t="shared" si="278"/>
        <v>76.776486292563064</v>
      </c>
      <c r="AI221" s="319">
        <f t="shared" si="278"/>
        <v>76.776486292563064</v>
      </c>
      <c r="AJ221" s="319">
        <f t="shared" si="278"/>
        <v>76.776486292563064</v>
      </c>
      <c r="AK221" s="319">
        <f t="shared" si="278"/>
        <v>0</v>
      </c>
      <c r="AL221" s="319">
        <f t="shared" si="278"/>
        <v>0</v>
      </c>
      <c r="AM221" s="319">
        <f t="shared" si="278"/>
        <v>0</v>
      </c>
      <c r="AN221" s="319">
        <f t="shared" si="278"/>
        <v>0</v>
      </c>
    </row>
    <row r="222" spans="3:40" outlineLevel="4">
      <c r="D222" s="266"/>
      <c r="E222" s="98"/>
    </row>
    <row r="223" spans="3:40" outlineLevel="4">
      <c r="C223" s="266" t="s">
        <v>417</v>
      </c>
      <c r="D223" s="266"/>
      <c r="E223" s="98" t="s">
        <v>20</v>
      </c>
      <c r="F223" s="23">
        <f>SUM(G223:AN223)</f>
        <v>492229.3836525419</v>
      </c>
      <c r="G223" s="319">
        <f>SUMPRODUCT(G210:G221,$D$210:$D$221)</f>
        <v>14274.979722450344</v>
      </c>
      <c r="H223" s="319">
        <f t="shared" ref="H223:AN223" si="279">SUMPRODUCT(H210:H221,$D$210:$D$221)</f>
        <v>15028.321301432004</v>
      </c>
      <c r="I223" s="319">
        <f t="shared" si="279"/>
        <v>15472.511888915698</v>
      </c>
      <c r="J223" s="319">
        <f t="shared" si="279"/>
        <v>15874.14020106773</v>
      </c>
      <c r="K223" s="319">
        <f t="shared" si="279"/>
        <v>15925.208540862524</v>
      </c>
      <c r="L223" s="319">
        <f t="shared" si="279"/>
        <v>15973.459638341983</v>
      </c>
      <c r="M223" s="319">
        <f t="shared" si="279"/>
        <v>16977.654849335224</v>
      </c>
      <c r="N223" s="319">
        <f t="shared" si="279"/>
        <v>16164.086019795757</v>
      </c>
      <c r="O223" s="319">
        <f t="shared" si="279"/>
        <v>16182.686269473952</v>
      </c>
      <c r="P223" s="319">
        <f t="shared" si="279"/>
        <v>16263.852842592147</v>
      </c>
      <c r="Q223" s="319">
        <f t="shared" si="279"/>
        <v>16282.46702447719</v>
      </c>
      <c r="R223" s="319">
        <f t="shared" si="279"/>
        <v>16301.067274155384</v>
      </c>
      <c r="S223" s="319">
        <f t="shared" si="279"/>
        <v>16319.667523833577</v>
      </c>
      <c r="T223" s="319">
        <f t="shared" si="279"/>
        <v>16338.267773511774</v>
      </c>
      <c r="U223" s="319">
        <f t="shared" si="279"/>
        <v>16356.881955396817</v>
      </c>
      <c r="V223" s="319">
        <f t="shared" si="279"/>
        <v>16375.48220507501</v>
      </c>
      <c r="W223" s="319">
        <f t="shared" si="279"/>
        <v>16394.353534753202</v>
      </c>
      <c r="X223" s="319">
        <f t="shared" si="279"/>
        <v>16412.9537844314</v>
      </c>
      <c r="Y223" s="319">
        <f t="shared" si="279"/>
        <v>16819.373258636442</v>
      </c>
      <c r="Z223" s="319">
        <f t="shared" si="279"/>
        <v>16837.973508314637</v>
      </c>
      <c r="AA223" s="319">
        <f t="shared" si="279"/>
        <v>16856.573757992828</v>
      </c>
      <c r="AB223" s="319">
        <f t="shared" si="279"/>
        <v>16875.174007671023</v>
      </c>
      <c r="AC223" s="319">
        <f t="shared" si="279"/>
        <v>16893.788189556068</v>
      </c>
      <c r="AD223" s="319">
        <f t="shared" si="279"/>
        <v>16912.659519234261</v>
      </c>
      <c r="AE223" s="319">
        <f t="shared" si="279"/>
        <v>16931.259768912456</v>
      </c>
      <c r="AF223" s="319">
        <f t="shared" si="279"/>
        <v>16949.860018590651</v>
      </c>
      <c r="AG223" s="319">
        <f t="shared" si="279"/>
        <v>17030.769443915695</v>
      </c>
      <c r="AH223" s="319">
        <f t="shared" si="279"/>
        <v>17049.36969359389</v>
      </c>
      <c r="AI223" s="319">
        <f t="shared" si="279"/>
        <v>17067.969943272084</v>
      </c>
      <c r="AJ223" s="319">
        <f t="shared" si="279"/>
        <v>17086.570192950279</v>
      </c>
      <c r="AK223" s="319">
        <f t="shared" si="279"/>
        <v>0</v>
      </c>
      <c r="AL223" s="319">
        <f t="shared" si="279"/>
        <v>0</v>
      </c>
      <c r="AM223" s="319">
        <f t="shared" si="279"/>
        <v>0</v>
      </c>
      <c r="AN223" s="319">
        <f t="shared" si="279"/>
        <v>0</v>
      </c>
    </row>
    <row r="224" spans="3:40" outlineLevel="4">
      <c r="D224" s="266"/>
      <c r="E224" s="98"/>
    </row>
    <row r="225" spans="3:40" outlineLevel="3">
      <c r="D225" s="266"/>
      <c r="E225" s="309"/>
    </row>
    <row r="226" spans="3:40" outlineLevel="3">
      <c r="C226" s="11" t="s">
        <v>418</v>
      </c>
      <c r="D226" s="266"/>
      <c r="E226" s="98"/>
    </row>
    <row r="227" spans="3:40" outlineLevel="4">
      <c r="D227" s="266"/>
      <c r="E227" s="98"/>
    </row>
    <row r="228" spans="3:40" outlineLevel="4">
      <c r="C228" s="266" t="s">
        <v>419</v>
      </c>
      <c r="D228" s="148">
        <f>SUM($D$193:$D$194)</f>
        <v>9.2499999999999999E-2</v>
      </c>
      <c r="E228" s="98"/>
    </row>
    <row r="229" spans="3:40" outlineLevel="4">
      <c r="D229" s="266"/>
      <c r="E229" s="98"/>
    </row>
    <row r="230" spans="3:40" outlineLevel="4">
      <c r="C230" s="266" t="str">
        <f>C205</f>
        <v>Aproveitamento fiscal CAPEX</v>
      </c>
      <c r="D230" s="266"/>
      <c r="E230" s="98" t="str">
        <f>E223</f>
        <v>R$</v>
      </c>
      <c r="F230" s="23">
        <f>SUM(G230:AN230)</f>
        <v>76776.486292563059</v>
      </c>
      <c r="G230" s="319">
        <f t="shared" ref="G230:AN230" si="280">G205</f>
        <v>10775.031120895999</v>
      </c>
      <c r="H230" s="319">
        <f t="shared" si="280"/>
        <v>1472.4358093250448</v>
      </c>
      <c r="I230" s="319">
        <f t="shared" si="280"/>
        <v>1743.4786958342002</v>
      </c>
      <c r="J230" s="319">
        <f t="shared" si="280"/>
        <v>397.26424167419998</v>
      </c>
      <c r="K230" s="319">
        <f t="shared" si="280"/>
        <v>763.15204167420006</v>
      </c>
      <c r="L230" s="319">
        <f t="shared" si="280"/>
        <v>12305.51313337047</v>
      </c>
      <c r="M230" s="319">
        <f t="shared" si="280"/>
        <v>241.59493295294399</v>
      </c>
      <c r="N230" s="319">
        <f t="shared" si="280"/>
        <v>8189.1826116742004</v>
      </c>
      <c r="O230" s="319">
        <f t="shared" si="280"/>
        <v>43.404541674200004</v>
      </c>
      <c r="P230" s="319">
        <f t="shared" si="280"/>
        <v>845.77904167420013</v>
      </c>
      <c r="Q230" s="319">
        <f t="shared" si="280"/>
        <v>1452.9584045185595</v>
      </c>
      <c r="R230" s="319">
        <f t="shared" si="280"/>
        <v>1099.803583204369</v>
      </c>
      <c r="S230" s="319">
        <f t="shared" si="280"/>
        <v>797.93392010620016</v>
      </c>
      <c r="T230" s="319">
        <f t="shared" si="280"/>
        <v>178.80952295294401</v>
      </c>
      <c r="U230" s="319">
        <f t="shared" si="280"/>
        <v>8180.5448516742008</v>
      </c>
      <c r="V230" s="319">
        <f t="shared" si="280"/>
        <v>2648.0324560422537</v>
      </c>
      <c r="W230" s="319">
        <f t="shared" si="280"/>
        <v>783.53025167420014</v>
      </c>
      <c r="X230" s="319">
        <f t="shared" si="280"/>
        <v>351.64980167419998</v>
      </c>
      <c r="Y230" s="319">
        <f t="shared" si="280"/>
        <v>825.99884167420009</v>
      </c>
      <c r="Z230" s="319">
        <f t="shared" si="280"/>
        <v>49.327041674200004</v>
      </c>
      <c r="AA230" s="319">
        <f t="shared" si="280"/>
        <v>1270.9883857973036</v>
      </c>
      <c r="AB230" s="319">
        <f t="shared" si="280"/>
        <v>8611.8881932043696</v>
      </c>
      <c r="AC230" s="319">
        <f t="shared" si="280"/>
        <v>735.3069201062001</v>
      </c>
      <c r="AD230" s="319">
        <f t="shared" si="280"/>
        <v>757.22954167420005</v>
      </c>
      <c r="AE230" s="319">
        <f t="shared" si="280"/>
        <v>397.92364167419998</v>
      </c>
      <c r="AF230" s="319">
        <f t="shared" si="280"/>
        <v>3319.4787361862541</v>
      </c>
      <c r="AG230" s="319">
        <f t="shared" si="280"/>
        <v>63.7827516742</v>
      </c>
      <c r="AH230" s="319">
        <f t="shared" si="280"/>
        <v>1997.3976029529438</v>
      </c>
      <c r="AI230" s="319">
        <f t="shared" si="280"/>
        <v>6413.6611316742001</v>
      </c>
      <c r="AJ230" s="319">
        <f t="shared" si="280"/>
        <v>63.404541674200004</v>
      </c>
      <c r="AK230" s="319">
        <f t="shared" si="280"/>
        <v>0</v>
      </c>
      <c r="AL230" s="319">
        <f t="shared" si="280"/>
        <v>0</v>
      </c>
      <c r="AM230" s="319">
        <f t="shared" si="280"/>
        <v>0</v>
      </c>
      <c r="AN230" s="319">
        <f t="shared" si="280"/>
        <v>0</v>
      </c>
    </row>
    <row r="231" spans="3:40" outlineLevel="4">
      <c r="C231" s="266" t="str">
        <f>C223</f>
        <v>Aproveitamento fiscal OPEX</v>
      </c>
      <c r="D231" s="266"/>
      <c r="E231" s="98" t="str">
        <f>E223</f>
        <v>R$</v>
      </c>
      <c r="F231" s="23">
        <f>SUM(G231:AN231)</f>
        <v>492229.3836525419</v>
      </c>
      <c r="G231" s="319">
        <f t="shared" ref="G231:AN231" si="281">G223</f>
        <v>14274.979722450344</v>
      </c>
      <c r="H231" s="319">
        <f t="shared" si="281"/>
        <v>15028.321301432004</v>
      </c>
      <c r="I231" s="319">
        <f t="shared" si="281"/>
        <v>15472.511888915698</v>
      </c>
      <c r="J231" s="319">
        <f t="shared" si="281"/>
        <v>15874.14020106773</v>
      </c>
      <c r="K231" s="319">
        <f t="shared" si="281"/>
        <v>15925.208540862524</v>
      </c>
      <c r="L231" s="319">
        <f t="shared" si="281"/>
        <v>15973.459638341983</v>
      </c>
      <c r="M231" s="319">
        <f t="shared" si="281"/>
        <v>16977.654849335224</v>
      </c>
      <c r="N231" s="319">
        <f t="shared" si="281"/>
        <v>16164.086019795757</v>
      </c>
      <c r="O231" s="319">
        <f t="shared" si="281"/>
        <v>16182.686269473952</v>
      </c>
      <c r="P231" s="319">
        <f t="shared" si="281"/>
        <v>16263.852842592147</v>
      </c>
      <c r="Q231" s="319">
        <f t="shared" si="281"/>
        <v>16282.46702447719</v>
      </c>
      <c r="R231" s="319">
        <f t="shared" si="281"/>
        <v>16301.067274155384</v>
      </c>
      <c r="S231" s="319">
        <f t="shared" si="281"/>
        <v>16319.667523833577</v>
      </c>
      <c r="T231" s="319">
        <f t="shared" si="281"/>
        <v>16338.267773511774</v>
      </c>
      <c r="U231" s="319">
        <f t="shared" si="281"/>
        <v>16356.881955396817</v>
      </c>
      <c r="V231" s="319">
        <f t="shared" si="281"/>
        <v>16375.48220507501</v>
      </c>
      <c r="W231" s="319">
        <f t="shared" si="281"/>
        <v>16394.353534753202</v>
      </c>
      <c r="X231" s="319">
        <f t="shared" si="281"/>
        <v>16412.9537844314</v>
      </c>
      <c r="Y231" s="319">
        <f t="shared" si="281"/>
        <v>16819.373258636442</v>
      </c>
      <c r="Z231" s="319">
        <f t="shared" si="281"/>
        <v>16837.973508314637</v>
      </c>
      <c r="AA231" s="319">
        <f t="shared" si="281"/>
        <v>16856.573757992828</v>
      </c>
      <c r="AB231" s="319">
        <f t="shared" si="281"/>
        <v>16875.174007671023</v>
      </c>
      <c r="AC231" s="319">
        <f t="shared" si="281"/>
        <v>16893.788189556068</v>
      </c>
      <c r="AD231" s="319">
        <f t="shared" si="281"/>
        <v>16912.659519234261</v>
      </c>
      <c r="AE231" s="319">
        <f t="shared" si="281"/>
        <v>16931.259768912456</v>
      </c>
      <c r="AF231" s="319">
        <f t="shared" si="281"/>
        <v>16949.860018590651</v>
      </c>
      <c r="AG231" s="319">
        <f t="shared" si="281"/>
        <v>17030.769443915695</v>
      </c>
      <c r="AH231" s="319">
        <f t="shared" si="281"/>
        <v>17049.36969359389</v>
      </c>
      <c r="AI231" s="319">
        <f t="shared" si="281"/>
        <v>17067.969943272084</v>
      </c>
      <c r="AJ231" s="319">
        <f t="shared" si="281"/>
        <v>17086.570192950279</v>
      </c>
      <c r="AK231" s="319">
        <f t="shared" si="281"/>
        <v>0</v>
      </c>
      <c r="AL231" s="319">
        <f t="shared" si="281"/>
        <v>0</v>
      </c>
      <c r="AM231" s="319">
        <f t="shared" si="281"/>
        <v>0</v>
      </c>
      <c r="AN231" s="319">
        <f t="shared" si="281"/>
        <v>0</v>
      </c>
    </row>
    <row r="232" spans="3:40" outlineLevel="4">
      <c r="D232" s="266"/>
      <c r="E232" s="98"/>
      <c r="F232" s="118"/>
      <c r="G232" s="319"/>
      <c r="H232" s="319"/>
      <c r="I232" s="319"/>
      <c r="J232" s="319"/>
      <c r="K232" s="319"/>
      <c r="L232" s="319"/>
      <c r="M232" s="319"/>
      <c r="N232" s="319"/>
      <c r="O232" s="319"/>
      <c r="P232" s="319"/>
      <c r="Q232" s="319"/>
      <c r="R232" s="319"/>
      <c r="S232" s="319"/>
      <c r="T232" s="319"/>
      <c r="U232" s="319"/>
      <c r="V232" s="319"/>
      <c r="W232" s="319"/>
      <c r="X232" s="319"/>
      <c r="Y232" s="319"/>
      <c r="Z232" s="319"/>
      <c r="AA232" s="319"/>
      <c r="AB232" s="319"/>
      <c r="AC232" s="319"/>
      <c r="AD232" s="319"/>
      <c r="AE232" s="319"/>
      <c r="AF232" s="319"/>
      <c r="AG232" s="319"/>
      <c r="AH232" s="319"/>
      <c r="AI232" s="319"/>
      <c r="AJ232" s="319"/>
      <c r="AK232" s="319"/>
      <c r="AL232" s="319"/>
      <c r="AM232" s="319"/>
      <c r="AN232" s="319"/>
    </row>
    <row r="233" spans="3:40" outlineLevel="4">
      <c r="C233" s="266" t="s">
        <v>420</v>
      </c>
      <c r="D233" s="266"/>
      <c r="E233" s="309"/>
      <c r="F233" s="23">
        <f t="shared" ref="F233" si="282">F226</f>
        <v>0</v>
      </c>
      <c r="G233" s="319">
        <f t="shared" ref="G233:AN233" si="283">IF(G185=0,0,SUM(G230:G231)*$D$228)</f>
        <v>2317.1260030095368</v>
      </c>
      <c r="H233" s="319">
        <f t="shared" si="283"/>
        <v>1526.3200327450268</v>
      </c>
      <c r="I233" s="319">
        <f t="shared" si="283"/>
        <v>1592.4791290893656</v>
      </c>
      <c r="J233" s="319">
        <f t="shared" si="283"/>
        <v>1505.1049109536286</v>
      </c>
      <c r="K233" s="319">
        <f t="shared" si="283"/>
        <v>1543.6733538846468</v>
      </c>
      <c r="L233" s="319">
        <f t="shared" si="283"/>
        <v>2615.8049813834023</v>
      </c>
      <c r="M233" s="319">
        <f t="shared" si="283"/>
        <v>1592.7806048616553</v>
      </c>
      <c r="N233" s="319">
        <f t="shared" si="283"/>
        <v>2252.6773484109708</v>
      </c>
      <c r="O233" s="319">
        <f t="shared" si="283"/>
        <v>1500.913400031204</v>
      </c>
      <c r="P233" s="319">
        <f t="shared" si="283"/>
        <v>1582.640949294637</v>
      </c>
      <c r="Q233" s="319">
        <f t="shared" si="283"/>
        <v>1640.5268521821069</v>
      </c>
      <c r="R233" s="319">
        <f t="shared" si="283"/>
        <v>1609.5805543057772</v>
      </c>
      <c r="S233" s="319">
        <f t="shared" si="283"/>
        <v>1583.3781335644294</v>
      </c>
      <c r="T233" s="319">
        <f t="shared" si="283"/>
        <v>1527.8296499229864</v>
      </c>
      <c r="U233" s="319">
        <f t="shared" si="283"/>
        <v>2269.7119796540692</v>
      </c>
      <c r="V233" s="319">
        <f t="shared" si="283"/>
        <v>1759.6751061533469</v>
      </c>
      <c r="W233" s="319">
        <f t="shared" si="283"/>
        <v>1588.9542502445347</v>
      </c>
      <c r="X233" s="319">
        <f t="shared" si="283"/>
        <v>1550.725831714768</v>
      </c>
      <c r="Y233" s="319">
        <f t="shared" si="283"/>
        <v>1632.1969192787346</v>
      </c>
      <c r="Z233" s="319">
        <f t="shared" si="283"/>
        <v>1562.0753008739675</v>
      </c>
      <c r="AA233" s="319">
        <f t="shared" si="283"/>
        <v>1676.7994983005872</v>
      </c>
      <c r="AB233" s="319">
        <f t="shared" si="283"/>
        <v>2357.5532535809739</v>
      </c>
      <c r="AC233" s="319">
        <f t="shared" si="283"/>
        <v>1630.6912976437598</v>
      </c>
      <c r="AD233" s="319">
        <f t="shared" si="283"/>
        <v>1634.4647381340328</v>
      </c>
      <c r="AE233" s="319">
        <f t="shared" si="283"/>
        <v>1602.9494654792654</v>
      </c>
      <c r="AF233" s="319">
        <f t="shared" si="283"/>
        <v>1874.9138348168638</v>
      </c>
      <c r="AG233" s="319">
        <f t="shared" si="283"/>
        <v>1581.2460780920653</v>
      </c>
      <c r="AH233" s="319">
        <f t="shared" si="283"/>
        <v>1761.8259749305821</v>
      </c>
      <c r="AI233" s="319">
        <f t="shared" si="283"/>
        <v>2172.0508744325316</v>
      </c>
      <c r="AJ233" s="319">
        <f t="shared" si="283"/>
        <v>1586.3726629527644</v>
      </c>
      <c r="AK233" s="319">
        <f t="shared" si="283"/>
        <v>0</v>
      </c>
      <c r="AL233" s="319">
        <f t="shared" si="283"/>
        <v>0</v>
      </c>
      <c r="AM233" s="319">
        <f t="shared" si="283"/>
        <v>0</v>
      </c>
      <c r="AN233" s="319">
        <f t="shared" si="283"/>
        <v>0</v>
      </c>
    </row>
    <row r="234" spans="3:40" outlineLevel="4">
      <c r="D234" s="266"/>
      <c r="E234" s="309"/>
    </row>
    <row r="235" spans="3:40" outlineLevel="3">
      <c r="D235" s="266"/>
      <c r="E235" s="309"/>
    </row>
    <row r="236" spans="3:40" outlineLevel="2">
      <c r="D236" s="266"/>
      <c r="E236" s="309"/>
    </row>
    <row r="237" spans="3:40" outlineLevel="2">
      <c r="C237" s="11" t="s">
        <v>234</v>
      </c>
      <c r="D237" s="266"/>
      <c r="E237" s="309"/>
    </row>
    <row r="238" spans="3:40" outlineLevel="5">
      <c r="D238" s="266"/>
      <c r="E238" s="309"/>
    </row>
    <row r="239" spans="3:40" outlineLevel="5">
      <c r="C239" s="266" t="str">
        <f>Flags!C15</f>
        <v>Counter Concessão</v>
      </c>
      <c r="D239" s="266"/>
      <c r="E239" s="309" t="str">
        <f>Flags!E15</f>
        <v>Ano</v>
      </c>
      <c r="G239" s="321">
        <f>Flags!G15</f>
        <v>1</v>
      </c>
      <c r="H239" s="321">
        <f>Flags!H15</f>
        <v>2</v>
      </c>
      <c r="I239" s="321">
        <f>Flags!I15</f>
        <v>3</v>
      </c>
      <c r="J239" s="321">
        <f>Flags!J15</f>
        <v>4</v>
      </c>
      <c r="K239" s="321">
        <f>Flags!K15</f>
        <v>5</v>
      </c>
      <c r="L239" s="321">
        <f>Flags!L15</f>
        <v>6</v>
      </c>
      <c r="M239" s="321">
        <f>Flags!M15</f>
        <v>7</v>
      </c>
      <c r="N239" s="321">
        <f>Flags!N15</f>
        <v>8</v>
      </c>
      <c r="O239" s="321">
        <f>Flags!O15</f>
        <v>9</v>
      </c>
      <c r="P239" s="321">
        <f>Flags!P15</f>
        <v>10</v>
      </c>
      <c r="Q239" s="321">
        <f>Flags!Q15</f>
        <v>11</v>
      </c>
      <c r="R239" s="321">
        <f>Flags!R15</f>
        <v>12</v>
      </c>
      <c r="S239" s="321">
        <f>Flags!S15</f>
        <v>13</v>
      </c>
      <c r="T239" s="321">
        <f>Flags!T15</f>
        <v>14</v>
      </c>
      <c r="U239" s="321">
        <f>Flags!U15</f>
        <v>15</v>
      </c>
      <c r="V239" s="321">
        <f>Flags!V15</f>
        <v>16</v>
      </c>
      <c r="W239" s="321">
        <f>Flags!W15</f>
        <v>17</v>
      </c>
      <c r="X239" s="321">
        <f>Flags!X15</f>
        <v>18</v>
      </c>
      <c r="Y239" s="321">
        <f>Flags!Y15</f>
        <v>19</v>
      </c>
      <c r="Z239" s="321">
        <f>Flags!Z15</f>
        <v>20</v>
      </c>
      <c r="AA239" s="321">
        <f>Flags!AA15</f>
        <v>21</v>
      </c>
      <c r="AB239" s="321">
        <f>Flags!AB15</f>
        <v>22</v>
      </c>
      <c r="AC239" s="321">
        <f>Flags!AC15</f>
        <v>23</v>
      </c>
      <c r="AD239" s="321">
        <f>Flags!AD15</f>
        <v>24</v>
      </c>
      <c r="AE239" s="321">
        <f>Flags!AE15</f>
        <v>25</v>
      </c>
      <c r="AF239" s="321">
        <f>Flags!AF15</f>
        <v>26</v>
      </c>
      <c r="AG239" s="321">
        <f>Flags!AG15</f>
        <v>27</v>
      </c>
      <c r="AH239" s="321">
        <f>Flags!AH15</f>
        <v>28</v>
      </c>
      <c r="AI239" s="321">
        <f>Flags!AI15</f>
        <v>29</v>
      </c>
      <c r="AJ239" s="321">
        <f>Flags!AJ15</f>
        <v>30</v>
      </c>
      <c r="AK239" s="321">
        <f>Flags!AK15</f>
        <v>31</v>
      </c>
      <c r="AL239" s="321">
        <f>Flags!AL15</f>
        <v>32</v>
      </c>
      <c r="AM239" s="321">
        <f>Flags!AM15</f>
        <v>33</v>
      </c>
      <c r="AN239" s="321">
        <f>Flags!AN15</f>
        <v>34</v>
      </c>
    </row>
    <row r="240" spans="3:40" outlineLevel="5">
      <c r="C240" s="266" t="s">
        <v>421</v>
      </c>
      <c r="D240" s="266"/>
      <c r="E240" s="98" t="s">
        <v>20</v>
      </c>
      <c r="F240" s="23">
        <f>SUM(G240:AN240)</f>
        <v>555333.9449924737</v>
      </c>
      <c r="G240" s="278">
        <f t="shared" ref="G240:AN240" si="284">G186</f>
        <v>0</v>
      </c>
      <c r="H240" s="278">
        <f t="shared" si="284"/>
        <v>11758.952798734137</v>
      </c>
      <c r="I240" s="278">
        <f t="shared" si="284"/>
        <v>15920.762778005295</v>
      </c>
      <c r="J240" s="278">
        <f t="shared" si="284"/>
        <v>16102.167234904948</v>
      </c>
      <c r="K240" s="278">
        <f t="shared" si="284"/>
        <v>16283.571691804606</v>
      </c>
      <c r="L240" s="278">
        <f t="shared" si="284"/>
        <v>16464.97614870426</v>
      </c>
      <c r="M240" s="278">
        <f t="shared" si="284"/>
        <v>17728.395344968165</v>
      </c>
      <c r="N240" s="278">
        <f t="shared" si="284"/>
        <v>17921.591091566297</v>
      </c>
      <c r="O240" s="278">
        <f t="shared" si="284"/>
        <v>18114.786838164429</v>
      </c>
      <c r="P240" s="278">
        <f t="shared" si="284"/>
        <v>18307.982584762562</v>
      </c>
      <c r="Q240" s="278">
        <f t="shared" si="284"/>
        <v>18501.17833136069</v>
      </c>
      <c r="R240" s="278">
        <f t="shared" si="284"/>
        <v>18694.374077958822</v>
      </c>
      <c r="S240" s="278">
        <f t="shared" si="284"/>
        <v>18887.569824556955</v>
      </c>
      <c r="T240" s="278">
        <f t="shared" si="284"/>
        <v>19080.765571155087</v>
      </c>
      <c r="U240" s="278">
        <f t="shared" si="284"/>
        <v>19273.961317753216</v>
      </c>
      <c r="V240" s="278">
        <f t="shared" si="284"/>
        <v>19467.157064351348</v>
      </c>
      <c r="W240" s="278">
        <f t="shared" si="284"/>
        <v>19660.35281094948</v>
      </c>
      <c r="X240" s="278">
        <f t="shared" si="284"/>
        <v>19853.548557547612</v>
      </c>
      <c r="Y240" s="278">
        <f t="shared" si="284"/>
        <v>20046.744304145745</v>
      </c>
      <c r="Z240" s="278">
        <f t="shared" si="284"/>
        <v>20239.940050743877</v>
      </c>
      <c r="AA240" s="278">
        <f t="shared" si="284"/>
        <v>20433.135797342009</v>
      </c>
      <c r="AB240" s="278">
        <f t="shared" si="284"/>
        <v>20626.331543940141</v>
      </c>
      <c r="AC240" s="278">
        <f t="shared" si="284"/>
        <v>20819.527290538274</v>
      </c>
      <c r="AD240" s="278">
        <f t="shared" si="284"/>
        <v>21012.723037136402</v>
      </c>
      <c r="AE240" s="278">
        <f t="shared" si="284"/>
        <v>21205.918783734534</v>
      </c>
      <c r="AF240" s="278">
        <f t="shared" si="284"/>
        <v>21399.11453033267</v>
      </c>
      <c r="AG240" s="278">
        <f t="shared" si="284"/>
        <v>21592.310276930795</v>
      </c>
      <c r="AH240" s="278">
        <f t="shared" si="284"/>
        <v>21785.506023528927</v>
      </c>
      <c r="AI240" s="278">
        <f t="shared" si="284"/>
        <v>21978.701770127063</v>
      </c>
      <c r="AJ240" s="278">
        <f t="shared" si="284"/>
        <v>22171.897516725192</v>
      </c>
      <c r="AK240" s="278">
        <f t="shared" si="284"/>
        <v>0</v>
      </c>
      <c r="AL240" s="278">
        <f t="shared" si="284"/>
        <v>0</v>
      </c>
      <c r="AM240" s="278">
        <f t="shared" si="284"/>
        <v>0</v>
      </c>
      <c r="AN240" s="278">
        <f t="shared" si="284"/>
        <v>0</v>
      </c>
    </row>
    <row r="241" spans="3:40" outlineLevel="5">
      <c r="C241" s="266" t="s">
        <v>422</v>
      </c>
      <c r="D241" s="266"/>
      <c r="E241" s="98" t="s">
        <v>23</v>
      </c>
      <c r="F241">
        <f>AVERAGE(G241:AJ241)</f>
        <v>7.6666666666666702E-2</v>
      </c>
      <c r="G241">
        <f>IFERROR(LOOKUP(G$239,Inputs!$D$131:$J$131,Inputs!$D$132:$J$132),0)</f>
        <v>0</v>
      </c>
      <c r="H241">
        <f>IFERROR(LOOKUP(H$239,Inputs!$D$131:$N$131,Inputs!$D$132:$N$132),0)</f>
        <v>0.2</v>
      </c>
      <c r="I241">
        <f>IFERROR(LOOKUP(I$239,Inputs!$D$131:$N$131,Inputs!$D$132:$N$132),0)</f>
        <v>0.18000000000000002</v>
      </c>
      <c r="J241">
        <f>IFERROR(LOOKUP(J$239,Inputs!$D$131:$N$131,Inputs!$D$132:$N$132),0)</f>
        <v>0.16000000000000003</v>
      </c>
      <c r="K241">
        <f>IFERROR(LOOKUP(K$239,Inputs!$D$131:$N$131,Inputs!$D$132:$N$132),0)</f>
        <v>0.14000000000000004</v>
      </c>
      <c r="L241">
        <f>IFERROR(LOOKUP(L$239,Inputs!$D$131:$N$131,Inputs!$D$132:$N$132),0)</f>
        <v>0.12000000000000004</v>
      </c>
      <c r="M241">
        <f>IFERROR(LOOKUP(M$239,Inputs!$D$131:$N$131,Inputs!$D$132:$N$132),0)</f>
        <v>0.10000000000000003</v>
      </c>
      <c r="N241">
        <f>IFERROR(LOOKUP(N$239,Inputs!$D$131:$N$131,Inputs!$D$132:$N$132),0)</f>
        <v>8.0000000000000029E-2</v>
      </c>
      <c r="O241">
        <f>IFERROR(LOOKUP(O$239,Inputs!$D$131:$N$131,Inputs!$D$132:$N$132),0)</f>
        <v>6.0000000000000026E-2</v>
      </c>
      <c r="P241">
        <f>IFERROR(LOOKUP(P$239,Inputs!$D$131:$N$131,Inputs!$D$132:$N$132),0)</f>
        <v>6.0000000000000026E-2</v>
      </c>
      <c r="Q241">
        <f>IFERROR(LOOKUP(Q$239,Inputs!$D$131:$N$131,Inputs!$D$132:$N$132),0)</f>
        <v>6.0000000000000026E-2</v>
      </c>
      <c r="R241">
        <f>IFERROR(LOOKUP(R$239,Inputs!$D$131:$N$131,Inputs!$D$132:$N$132),0)</f>
        <v>6.0000000000000026E-2</v>
      </c>
      <c r="S241">
        <f>IFERROR(LOOKUP(S$239,Inputs!$D$131:$N$131,Inputs!$D$132:$N$132),0)</f>
        <v>6.0000000000000026E-2</v>
      </c>
      <c r="T241">
        <f>IFERROR(LOOKUP(T$239,Inputs!$D$131:$N$131,Inputs!$D$132:$N$132),0)</f>
        <v>6.0000000000000026E-2</v>
      </c>
      <c r="U241">
        <f>IFERROR(LOOKUP(U$239,Inputs!$D$131:$N$131,Inputs!$D$132:$N$132),0)</f>
        <v>6.0000000000000026E-2</v>
      </c>
      <c r="V241">
        <f>IFERROR(LOOKUP(V$239,Inputs!$D$131:$N$131,Inputs!$D$132:$N$132),0)</f>
        <v>6.0000000000000026E-2</v>
      </c>
      <c r="W241">
        <f>IFERROR(LOOKUP(W$239,Inputs!$D$131:$N$131,Inputs!$D$132:$N$132),0)</f>
        <v>6.0000000000000026E-2</v>
      </c>
      <c r="X241">
        <f>IFERROR(LOOKUP(X$239,Inputs!$D$131:$N$131,Inputs!$D$132:$N$132),0)</f>
        <v>6.0000000000000026E-2</v>
      </c>
      <c r="Y241">
        <f>IFERROR(LOOKUP(Y$239,Inputs!$D$131:$N$131,Inputs!$D$132:$N$132),0)</f>
        <v>6.0000000000000026E-2</v>
      </c>
      <c r="Z241">
        <f>IFERROR(LOOKUP(Z$239,Inputs!$D$131:$N$131,Inputs!$D$132:$N$132),0)</f>
        <v>6.0000000000000026E-2</v>
      </c>
      <c r="AA241">
        <f>IFERROR(LOOKUP(AA$239,Inputs!$D$131:$N$131,Inputs!$D$132:$N$132),0)</f>
        <v>6.0000000000000026E-2</v>
      </c>
      <c r="AB241">
        <f>IFERROR(LOOKUP(AB$239,Inputs!$D$131:$N$131,Inputs!$D$132:$N$132),0)</f>
        <v>6.0000000000000026E-2</v>
      </c>
      <c r="AC241">
        <f>IFERROR(LOOKUP(AC$239,Inputs!$D$131:$N$131,Inputs!$D$132:$N$132),0)</f>
        <v>6.0000000000000026E-2</v>
      </c>
      <c r="AD241">
        <f>IFERROR(LOOKUP(AD$239,Inputs!$D$131:$N$131,Inputs!$D$132:$N$132),0)</f>
        <v>6.0000000000000026E-2</v>
      </c>
      <c r="AE241">
        <f>IFERROR(LOOKUP(AE$239,Inputs!$D$131:$N$131,Inputs!$D$132:$N$132),0)</f>
        <v>6.0000000000000026E-2</v>
      </c>
      <c r="AF241">
        <f>IFERROR(LOOKUP(AF$239,Inputs!$D$131:$N$131,Inputs!$D$132:$N$132),0)</f>
        <v>6.0000000000000026E-2</v>
      </c>
      <c r="AG241">
        <f>IFERROR(LOOKUP(AG$239,Inputs!$D$131:$N$131,Inputs!$D$132:$N$132),0)</f>
        <v>6.0000000000000026E-2</v>
      </c>
      <c r="AH241">
        <f>IFERROR(LOOKUP(AH$239,Inputs!$D$131:$N$131,Inputs!$D$132:$N$132),0)</f>
        <v>6.0000000000000026E-2</v>
      </c>
      <c r="AI241">
        <f>IFERROR(LOOKUP(AI$239,Inputs!$D$131:$N$131,Inputs!$D$132:$N$132),0)</f>
        <v>6.0000000000000026E-2</v>
      </c>
      <c r="AJ241">
        <f>IFERROR(LOOKUP(AJ$239,Inputs!$D$131:$N$131,Inputs!$D$132:$N$132),0)</f>
        <v>6.0000000000000026E-2</v>
      </c>
      <c r="AK241">
        <v>0</v>
      </c>
      <c r="AL241">
        <v>0</v>
      </c>
      <c r="AM241">
        <v>0</v>
      </c>
      <c r="AN241">
        <v>0</v>
      </c>
    </row>
    <row r="242" spans="3:40" outlineLevel="5">
      <c r="C242" s="266" t="s">
        <v>423</v>
      </c>
      <c r="D242" s="266"/>
      <c r="E242" s="98" t="s">
        <v>23</v>
      </c>
      <c r="F242">
        <f>AVERAGE(G242:AJ242)</f>
        <v>0.46666666666666667</v>
      </c>
      <c r="G242">
        <v>0</v>
      </c>
      <c r="H242">
        <v>0</v>
      </c>
      <c r="I242">
        <f>Inputs!D134</f>
        <v>0.5</v>
      </c>
      <c r="J242">
        <f>I242</f>
        <v>0.5</v>
      </c>
      <c r="K242">
        <f t="shared" ref="K242:AJ242" si="285">J242</f>
        <v>0.5</v>
      </c>
      <c r="L242">
        <f t="shared" si="285"/>
        <v>0.5</v>
      </c>
      <c r="M242">
        <f t="shared" si="285"/>
        <v>0.5</v>
      </c>
      <c r="N242">
        <f t="shared" si="285"/>
        <v>0.5</v>
      </c>
      <c r="O242">
        <f t="shared" si="285"/>
        <v>0.5</v>
      </c>
      <c r="P242">
        <f t="shared" si="285"/>
        <v>0.5</v>
      </c>
      <c r="Q242">
        <f t="shared" si="285"/>
        <v>0.5</v>
      </c>
      <c r="R242">
        <f t="shared" si="285"/>
        <v>0.5</v>
      </c>
      <c r="S242">
        <f t="shared" si="285"/>
        <v>0.5</v>
      </c>
      <c r="T242">
        <f t="shared" si="285"/>
        <v>0.5</v>
      </c>
      <c r="U242">
        <f t="shared" si="285"/>
        <v>0.5</v>
      </c>
      <c r="V242">
        <f t="shared" si="285"/>
        <v>0.5</v>
      </c>
      <c r="W242">
        <f t="shared" si="285"/>
        <v>0.5</v>
      </c>
      <c r="X242">
        <f t="shared" si="285"/>
        <v>0.5</v>
      </c>
      <c r="Y242">
        <f t="shared" si="285"/>
        <v>0.5</v>
      </c>
      <c r="Z242">
        <f t="shared" si="285"/>
        <v>0.5</v>
      </c>
      <c r="AA242">
        <f t="shared" si="285"/>
        <v>0.5</v>
      </c>
      <c r="AB242">
        <f t="shared" si="285"/>
        <v>0.5</v>
      </c>
      <c r="AC242">
        <f t="shared" si="285"/>
        <v>0.5</v>
      </c>
      <c r="AD242">
        <f t="shared" si="285"/>
        <v>0.5</v>
      </c>
      <c r="AE242">
        <f t="shared" si="285"/>
        <v>0.5</v>
      </c>
      <c r="AF242">
        <f t="shared" si="285"/>
        <v>0.5</v>
      </c>
      <c r="AG242">
        <f t="shared" si="285"/>
        <v>0.5</v>
      </c>
      <c r="AH242">
        <f t="shared" si="285"/>
        <v>0.5</v>
      </c>
      <c r="AI242">
        <f t="shared" si="285"/>
        <v>0.5</v>
      </c>
      <c r="AJ242">
        <f t="shared" si="285"/>
        <v>0.5</v>
      </c>
      <c r="AK242">
        <v>0</v>
      </c>
      <c r="AL242">
        <v>0</v>
      </c>
      <c r="AM242">
        <v>0</v>
      </c>
      <c r="AN242">
        <v>0</v>
      </c>
    </row>
    <row r="243" spans="3:40" outlineLevel="5">
      <c r="D243" s="266"/>
      <c r="E243" s="745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</row>
    <row r="244" spans="3:40" outlineLevel="5">
      <c r="C244" s="266" t="s">
        <v>424</v>
      </c>
      <c r="D244" s="266"/>
      <c r="E244" s="98" t="s">
        <v>20</v>
      </c>
      <c r="F244" s="23">
        <f>SUM(G244:AN244)</f>
        <v>20257.418218557756</v>
      </c>
      <c r="G244">
        <v>0</v>
      </c>
      <c r="H244" s="273">
        <v>0</v>
      </c>
      <c r="I244" s="273">
        <f>(H240*H241)*I242</f>
        <v>1175.8952798734138</v>
      </c>
      <c r="J244" s="273">
        <f t="shared" ref="J244:AN244" si="286">(I240*I241)*J242</f>
        <v>1432.8686500204767</v>
      </c>
      <c r="K244" s="273">
        <f t="shared" si="286"/>
        <v>1288.1733787923961</v>
      </c>
      <c r="L244" s="273">
        <f t="shared" si="286"/>
        <v>1139.8500184263228</v>
      </c>
      <c r="M244" s="273">
        <f t="shared" si="286"/>
        <v>987.89856892225589</v>
      </c>
      <c r="N244" s="273">
        <f t="shared" si="286"/>
        <v>886.41976724840856</v>
      </c>
      <c r="O244" s="273">
        <f t="shared" si="286"/>
        <v>716.86364366265218</v>
      </c>
      <c r="P244" s="273">
        <f t="shared" si="286"/>
        <v>543.44360514493314</v>
      </c>
      <c r="Q244" s="273">
        <f t="shared" si="286"/>
        <v>549.23947754287713</v>
      </c>
      <c r="R244" s="273">
        <f t="shared" si="286"/>
        <v>555.03534994082099</v>
      </c>
      <c r="S244" s="273">
        <f t="shared" si="286"/>
        <v>560.83122233876486</v>
      </c>
      <c r="T244" s="273">
        <f t="shared" si="286"/>
        <v>566.62709473670884</v>
      </c>
      <c r="U244" s="273">
        <f t="shared" si="286"/>
        <v>572.42296713465282</v>
      </c>
      <c r="V244" s="273">
        <f t="shared" si="286"/>
        <v>578.21883953259669</v>
      </c>
      <c r="W244" s="273">
        <f t="shared" si="286"/>
        <v>584.01471193054067</v>
      </c>
      <c r="X244" s="273">
        <f t="shared" si="286"/>
        <v>589.81058432848465</v>
      </c>
      <c r="Y244" s="273">
        <f t="shared" si="286"/>
        <v>595.60645672642863</v>
      </c>
      <c r="Z244" s="273">
        <f t="shared" si="286"/>
        <v>601.40232912437261</v>
      </c>
      <c r="AA244" s="273">
        <f t="shared" si="286"/>
        <v>607.19820152231659</v>
      </c>
      <c r="AB244" s="273">
        <f t="shared" si="286"/>
        <v>612.99407392026058</v>
      </c>
      <c r="AC244" s="273">
        <f t="shared" si="286"/>
        <v>618.78994631820456</v>
      </c>
      <c r="AD244" s="273">
        <f t="shared" si="286"/>
        <v>624.58581871614842</v>
      </c>
      <c r="AE244" s="273">
        <f t="shared" si="286"/>
        <v>630.38169111409229</v>
      </c>
      <c r="AF244" s="273">
        <f t="shared" si="286"/>
        <v>636.17756351203627</v>
      </c>
      <c r="AG244" s="273">
        <f t="shared" si="286"/>
        <v>641.97343590998037</v>
      </c>
      <c r="AH244" s="273">
        <f t="shared" si="286"/>
        <v>647.76930830792412</v>
      </c>
      <c r="AI244" s="273">
        <f t="shared" si="286"/>
        <v>653.5651807058681</v>
      </c>
      <c r="AJ244" s="273">
        <f t="shared" si="286"/>
        <v>659.3610531038122</v>
      </c>
      <c r="AK244" s="273">
        <f t="shared" si="286"/>
        <v>0</v>
      </c>
      <c r="AL244" s="273">
        <f t="shared" si="286"/>
        <v>0</v>
      </c>
      <c r="AM244" s="273">
        <f t="shared" si="286"/>
        <v>0</v>
      </c>
      <c r="AN244" s="273">
        <f t="shared" si="286"/>
        <v>0</v>
      </c>
    </row>
    <row r="245" spans="3:40" outlineLevel="5">
      <c r="D245" s="266"/>
      <c r="E245" s="7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</row>
    <row r="246" spans="3:40" outlineLevel="5">
      <c r="C246" s="266" t="s">
        <v>234</v>
      </c>
      <c r="D246" s="266"/>
      <c r="E246" s="98" t="s">
        <v>20</v>
      </c>
      <c r="F246" s="23">
        <f>SUM(G246:AN246)</f>
        <v>-41845.150288119024</v>
      </c>
      <c r="G246" s="273">
        <f>G238*-G239</f>
        <v>0</v>
      </c>
      <c r="H246" s="273">
        <f t="shared" ref="H246:AN246" si="287">H240*-H241</f>
        <v>-2351.7905597468275</v>
      </c>
      <c r="I246" s="273">
        <f t="shared" si="287"/>
        <v>-2865.7373000409534</v>
      </c>
      <c r="J246" s="273">
        <f t="shared" si="287"/>
        <v>-2576.3467575847922</v>
      </c>
      <c r="K246" s="273">
        <f t="shared" si="287"/>
        <v>-2279.7000368526456</v>
      </c>
      <c r="L246" s="273">
        <f t="shared" si="287"/>
        <v>-1975.7971378445118</v>
      </c>
      <c r="M246" s="273">
        <f t="shared" si="287"/>
        <v>-1772.8395344968171</v>
      </c>
      <c r="N246" s="273">
        <f t="shared" si="287"/>
        <v>-1433.7272873253044</v>
      </c>
      <c r="O246" s="273">
        <f t="shared" si="287"/>
        <v>-1086.8872102898663</v>
      </c>
      <c r="P246" s="273">
        <f t="shared" si="287"/>
        <v>-1098.4789550857543</v>
      </c>
      <c r="Q246" s="273">
        <f t="shared" si="287"/>
        <v>-1110.070699881642</v>
      </c>
      <c r="R246" s="273">
        <f t="shared" si="287"/>
        <v>-1121.6624446775297</v>
      </c>
      <c r="S246" s="273">
        <f t="shared" si="287"/>
        <v>-1133.2541894734177</v>
      </c>
      <c r="T246" s="273">
        <f t="shared" si="287"/>
        <v>-1144.8459342693056</v>
      </c>
      <c r="U246" s="273">
        <f t="shared" si="287"/>
        <v>-1156.4376790651934</v>
      </c>
      <c r="V246" s="273">
        <f t="shared" si="287"/>
        <v>-1168.0294238610813</v>
      </c>
      <c r="W246" s="273">
        <f t="shared" si="287"/>
        <v>-1179.6211686569693</v>
      </c>
      <c r="X246" s="273">
        <f t="shared" si="287"/>
        <v>-1191.2129134528573</v>
      </c>
      <c r="Y246" s="273">
        <f t="shared" si="287"/>
        <v>-1202.8046582487452</v>
      </c>
      <c r="Z246" s="273">
        <f t="shared" si="287"/>
        <v>-1214.3964030446332</v>
      </c>
      <c r="AA246" s="273">
        <f t="shared" si="287"/>
        <v>-1225.9881478405212</v>
      </c>
      <c r="AB246" s="273">
        <f t="shared" si="287"/>
        <v>-1237.5798926364091</v>
      </c>
      <c r="AC246" s="273">
        <f t="shared" si="287"/>
        <v>-1249.1716374322968</v>
      </c>
      <c r="AD246" s="273">
        <f t="shared" si="287"/>
        <v>-1260.7633822281846</v>
      </c>
      <c r="AE246" s="273">
        <f t="shared" si="287"/>
        <v>-1272.3551270240725</v>
      </c>
      <c r="AF246" s="273">
        <f t="shared" si="287"/>
        <v>-1283.9468718199607</v>
      </c>
      <c r="AG246" s="273">
        <f t="shared" si="287"/>
        <v>-1295.5386166158482</v>
      </c>
      <c r="AH246" s="273">
        <f t="shared" si="287"/>
        <v>-1307.1303614117362</v>
      </c>
      <c r="AI246" s="273">
        <f t="shared" si="287"/>
        <v>-1318.7221062076244</v>
      </c>
      <c r="AJ246" s="273">
        <f t="shared" si="287"/>
        <v>-1330.3138510035121</v>
      </c>
      <c r="AK246" s="273">
        <f t="shared" si="287"/>
        <v>0</v>
      </c>
      <c r="AL246" s="273">
        <f t="shared" si="287"/>
        <v>0</v>
      </c>
      <c r="AM246" s="273">
        <f t="shared" si="287"/>
        <v>0</v>
      </c>
      <c r="AN246" s="273">
        <f t="shared" si="287"/>
        <v>0</v>
      </c>
    </row>
    <row r="247" spans="3:40" outlineLevel="5">
      <c r="D247" s="266"/>
      <c r="E247" s="309"/>
      <c r="F247"/>
    </row>
    <row r="248" spans="3:40" outlineLevel="5">
      <c r="C248" s="266" t="s">
        <v>425</v>
      </c>
      <c r="D248" s="266"/>
      <c r="E248" s="98" t="s">
        <v>20</v>
      </c>
      <c r="F248" s="23">
        <f>SUM(G248:AN248)</f>
        <v>-21587.732069561262</v>
      </c>
      <c r="G248" s="273">
        <f>G240*-G241</f>
        <v>0</v>
      </c>
      <c r="H248" s="273">
        <f>H246</f>
        <v>-2351.7905597468275</v>
      </c>
      <c r="I248" s="273">
        <f>I246+I244</f>
        <v>-1689.8420201675397</v>
      </c>
      <c r="J248" s="273">
        <f t="shared" ref="J248:AN248" si="288">J246+J244</f>
        <v>-1143.4781075643155</v>
      </c>
      <c r="K248" s="273">
        <f t="shared" si="288"/>
        <v>-991.52665806024947</v>
      </c>
      <c r="L248" s="273">
        <f t="shared" si="288"/>
        <v>-835.947119418189</v>
      </c>
      <c r="M248" s="273">
        <f t="shared" si="288"/>
        <v>-784.94096557456123</v>
      </c>
      <c r="N248" s="273">
        <f t="shared" si="288"/>
        <v>-547.3075200768958</v>
      </c>
      <c r="O248" s="273">
        <f t="shared" si="288"/>
        <v>-370.02356662721411</v>
      </c>
      <c r="P248" s="273">
        <f t="shared" si="288"/>
        <v>-555.03534994082111</v>
      </c>
      <c r="Q248" s="273">
        <f t="shared" si="288"/>
        <v>-560.83122233876486</v>
      </c>
      <c r="R248" s="273">
        <f t="shared" si="288"/>
        <v>-566.62709473670873</v>
      </c>
      <c r="S248" s="273">
        <f t="shared" si="288"/>
        <v>-572.42296713465282</v>
      </c>
      <c r="T248" s="273">
        <f t="shared" si="288"/>
        <v>-578.2188395325968</v>
      </c>
      <c r="U248" s="273">
        <f t="shared" si="288"/>
        <v>-584.01471193054056</v>
      </c>
      <c r="V248" s="273">
        <f t="shared" si="288"/>
        <v>-589.81058432848465</v>
      </c>
      <c r="W248" s="273">
        <f t="shared" si="288"/>
        <v>-595.60645672642863</v>
      </c>
      <c r="X248" s="273">
        <f t="shared" si="288"/>
        <v>-601.40232912437261</v>
      </c>
      <c r="Y248" s="273">
        <f t="shared" si="288"/>
        <v>-607.19820152231659</v>
      </c>
      <c r="Z248" s="273">
        <f t="shared" si="288"/>
        <v>-612.99407392026058</v>
      </c>
      <c r="AA248" s="273">
        <f t="shared" si="288"/>
        <v>-618.78994631820456</v>
      </c>
      <c r="AB248" s="273">
        <f t="shared" si="288"/>
        <v>-624.58581871614854</v>
      </c>
      <c r="AC248" s="273">
        <f t="shared" si="288"/>
        <v>-630.38169111409229</v>
      </c>
      <c r="AD248" s="273">
        <f t="shared" si="288"/>
        <v>-636.17756351203616</v>
      </c>
      <c r="AE248" s="273">
        <f t="shared" si="288"/>
        <v>-641.97343590998025</v>
      </c>
      <c r="AF248" s="273">
        <f t="shared" si="288"/>
        <v>-647.76930830792446</v>
      </c>
      <c r="AG248" s="273">
        <f t="shared" si="288"/>
        <v>-653.56518070586787</v>
      </c>
      <c r="AH248" s="273">
        <f t="shared" si="288"/>
        <v>-659.36105310381208</v>
      </c>
      <c r="AI248" s="273">
        <f t="shared" si="288"/>
        <v>-665.15692550175629</v>
      </c>
      <c r="AJ248" s="273">
        <f t="shared" si="288"/>
        <v>-670.95279789969993</v>
      </c>
      <c r="AK248" s="273">
        <f t="shared" si="288"/>
        <v>0</v>
      </c>
      <c r="AL248" s="273">
        <f t="shared" si="288"/>
        <v>0</v>
      </c>
      <c r="AM248" s="273">
        <f t="shared" si="288"/>
        <v>0</v>
      </c>
      <c r="AN248" s="273">
        <f t="shared" si="288"/>
        <v>0</v>
      </c>
    </row>
    <row r="249" spans="3:40" outlineLevel="4">
      <c r="D249" s="266"/>
      <c r="E249" s="98"/>
      <c r="F249" s="183"/>
      <c r="G249" s="273"/>
      <c r="H249" s="273"/>
      <c r="I249" s="273"/>
      <c r="J249" s="273"/>
      <c r="K249" s="273"/>
      <c r="L249" s="273"/>
      <c r="M249" s="273"/>
      <c r="N249" s="273"/>
      <c r="O249" s="273"/>
      <c r="P249" s="273"/>
      <c r="Q249" s="273"/>
      <c r="R249" s="273"/>
      <c r="S249" s="273"/>
      <c r="T249" s="273"/>
      <c r="U249" s="273"/>
      <c r="V249" s="273"/>
      <c r="W249" s="273"/>
      <c r="X249" s="273"/>
      <c r="Y249" s="273"/>
      <c r="Z249" s="273"/>
      <c r="AA249" s="273"/>
      <c r="AB249" s="273"/>
      <c r="AC249" s="273"/>
      <c r="AD249" s="273"/>
      <c r="AE249" s="273"/>
      <c r="AF249" s="273"/>
      <c r="AG249" s="273"/>
      <c r="AH249" s="273"/>
      <c r="AI249" s="273"/>
      <c r="AJ249" s="273"/>
      <c r="AK249" s="273"/>
      <c r="AL249" s="273"/>
      <c r="AM249" s="273"/>
      <c r="AN249" s="273"/>
    </row>
    <row r="250" spans="3:40" outlineLevel="1">
      <c r="D250" s="266"/>
      <c r="E250" s="309"/>
      <c r="I250" s="307" t="s">
        <v>426</v>
      </c>
    </row>
    <row r="251" spans="3:40">
      <c r="D251" s="266"/>
      <c r="E251" s="309"/>
    </row>
    <row r="252" spans="3:40" ht="16.2" thickBot="1">
      <c r="C252" s="394" t="s">
        <v>427</v>
      </c>
      <c r="D252" s="395"/>
      <c r="E252" s="396"/>
      <c r="F252" s="395"/>
      <c r="G252" s="395"/>
      <c r="H252" s="395"/>
      <c r="I252" s="395"/>
      <c r="J252" s="395"/>
      <c r="K252" s="395"/>
      <c r="L252" s="395"/>
      <c r="M252" s="395"/>
      <c r="N252" s="395"/>
      <c r="O252" s="395"/>
      <c r="P252" s="395"/>
      <c r="Q252" s="395"/>
      <c r="R252" s="395"/>
      <c r="S252" s="395"/>
      <c r="T252" s="395"/>
      <c r="U252" s="395"/>
      <c r="V252" s="395"/>
      <c r="W252" s="395"/>
      <c r="X252" s="395"/>
      <c r="Y252" s="395"/>
      <c r="Z252" s="395"/>
      <c r="AA252" s="395"/>
      <c r="AB252" s="395"/>
      <c r="AC252" s="395"/>
      <c r="AD252" s="395"/>
      <c r="AE252" s="395"/>
      <c r="AF252" s="395"/>
      <c r="AG252" s="395"/>
      <c r="AH252" s="395"/>
      <c r="AI252" s="395"/>
      <c r="AJ252" s="395"/>
      <c r="AK252" s="8"/>
      <c r="AL252" s="8"/>
      <c r="AM252" s="8"/>
      <c r="AN252" s="8"/>
    </row>
    <row r="253" spans="3:40" outlineLevel="1">
      <c r="D253" s="266"/>
      <c r="E253" s="309"/>
    </row>
    <row r="254" spans="3:40" outlineLevel="1">
      <c r="C254" s="5" t="s">
        <v>428</v>
      </c>
      <c r="D254" s="266"/>
      <c r="E254" s="309"/>
    </row>
    <row r="255" spans="3:40" outlineLevel="2">
      <c r="D255" s="266"/>
      <c r="E255" s="309"/>
    </row>
    <row r="256" spans="3:40" outlineLevel="2">
      <c r="C256" s="266" t="str">
        <f>Flags!C72</f>
        <v>Cons + Ops Flag</v>
      </c>
      <c r="D256" s="266"/>
      <c r="E256" s="32" t="str">
        <f>Flags!E72</f>
        <v>Flag</v>
      </c>
      <c r="F256" s="23">
        <f>Flags!F72</f>
        <v>30</v>
      </c>
      <c r="G256" s="25">
        <f>Flags!G72</f>
        <v>1</v>
      </c>
      <c r="H256" s="25">
        <f>Flags!H72</f>
        <v>1</v>
      </c>
      <c r="I256" s="25">
        <f>Flags!I72</f>
        <v>1</v>
      </c>
      <c r="J256" s="25">
        <f>Flags!J72</f>
        <v>1</v>
      </c>
      <c r="K256" s="25">
        <f>Flags!K72</f>
        <v>1</v>
      </c>
      <c r="L256" s="25">
        <f>Flags!L72</f>
        <v>1</v>
      </c>
      <c r="M256" s="25">
        <f>Flags!M72</f>
        <v>1</v>
      </c>
      <c r="N256" s="25">
        <f>Flags!N72</f>
        <v>1</v>
      </c>
      <c r="O256" s="25">
        <f>Flags!O72</f>
        <v>1</v>
      </c>
      <c r="P256" s="25">
        <f>Flags!P72</f>
        <v>1</v>
      </c>
      <c r="Q256" s="25">
        <f>Flags!Q72</f>
        <v>1</v>
      </c>
      <c r="R256" s="25">
        <f>Flags!R72</f>
        <v>1</v>
      </c>
      <c r="S256" s="25">
        <f>Flags!S72</f>
        <v>1</v>
      </c>
      <c r="T256" s="25">
        <f>Flags!T72</f>
        <v>1</v>
      </c>
      <c r="U256" s="25">
        <f>Flags!U72</f>
        <v>1</v>
      </c>
      <c r="V256" s="25">
        <f>Flags!V72</f>
        <v>1</v>
      </c>
      <c r="W256" s="25">
        <f>Flags!W72</f>
        <v>1</v>
      </c>
      <c r="X256" s="25">
        <f>Flags!X72</f>
        <v>1</v>
      </c>
      <c r="Y256" s="25">
        <f>Flags!Y72</f>
        <v>1</v>
      </c>
      <c r="Z256" s="25">
        <f>Flags!Z72</f>
        <v>1</v>
      </c>
      <c r="AA256" s="25">
        <f>Flags!AA72</f>
        <v>1</v>
      </c>
      <c r="AB256" s="25">
        <f>Flags!AB72</f>
        <v>1</v>
      </c>
      <c r="AC256" s="25">
        <f>Flags!AC72</f>
        <v>1</v>
      </c>
      <c r="AD256" s="25">
        <f>Flags!AD72</f>
        <v>1</v>
      </c>
      <c r="AE256" s="25">
        <f>Flags!AE72</f>
        <v>1</v>
      </c>
      <c r="AF256" s="25">
        <f>Flags!AF72</f>
        <v>1</v>
      </c>
      <c r="AG256" s="25">
        <f>Flags!AG72</f>
        <v>1</v>
      </c>
      <c r="AH256" s="25">
        <f>Flags!AH72</f>
        <v>1</v>
      </c>
      <c r="AI256" s="25">
        <f>Flags!AI72</f>
        <v>1</v>
      </c>
      <c r="AJ256" s="25">
        <f>Flags!AJ72</f>
        <v>1</v>
      </c>
      <c r="AK256" s="25">
        <f>Flags!AK72</f>
        <v>0</v>
      </c>
      <c r="AL256" s="25">
        <f>Flags!AL72</f>
        <v>0</v>
      </c>
      <c r="AM256" s="25">
        <f>Flags!AM72</f>
        <v>0</v>
      </c>
      <c r="AN256" s="25">
        <f>Flags!AN72</f>
        <v>0</v>
      </c>
    </row>
    <row r="257" spans="3:40" outlineLevel="2">
      <c r="D257" s="266"/>
      <c r="E257" s="309"/>
    </row>
    <row r="258" spans="3:40" outlineLevel="2">
      <c r="D258" s="266"/>
      <c r="E258" s="309"/>
    </row>
    <row r="259" spans="3:40" outlineLevel="2">
      <c r="C259" s="266" t="str">
        <f>Inputs!C147</f>
        <v>Coleta Manual E Conteinerizada Resíduos Comuns</v>
      </c>
      <c r="D259" s="266"/>
      <c r="E259" s="76" t="s">
        <v>13</v>
      </c>
      <c r="F259" s="23">
        <f t="shared" ref="F259:F271" si="289">SUM(G259:AN259)</f>
        <v>119618.57126399549</v>
      </c>
      <c r="G259" s="319">
        <f>Inputs!D147*Ops!G$256</f>
        <v>3802.4182892478507</v>
      </c>
      <c r="H259" s="319">
        <f>Inputs!E147*Ops!H$256</f>
        <v>3802.4182892478507</v>
      </c>
      <c r="I259" s="319">
        <f>Inputs!F147*Ops!I$256</f>
        <v>3832.3822892478506</v>
      </c>
      <c r="J259" s="319">
        <f>Inputs!G147*Ops!J$256</f>
        <v>3862.3462892478506</v>
      </c>
      <c r="K259" s="319">
        <f>Inputs!H147*Ops!K$256</f>
        <v>3862.3462892478506</v>
      </c>
      <c r="L259" s="319">
        <f>Inputs!I147*Ops!L$256</f>
        <v>3862.3462892478506</v>
      </c>
      <c r="M259" s="319">
        <f>Inputs!J147*Ops!M$256</f>
        <v>3862.3462892478506</v>
      </c>
      <c r="N259" s="319">
        <f>Inputs!K147*Ops!N$256</f>
        <v>3862.3462892478506</v>
      </c>
      <c r="O259" s="319">
        <f>Inputs!L147*Ops!O$256</f>
        <v>3862.3462892478506</v>
      </c>
      <c r="P259" s="319">
        <f>Inputs!M147*Ops!P$256</f>
        <v>3862.3462892478506</v>
      </c>
      <c r="Q259" s="319">
        <f>Inputs!N147*Ops!Q$256</f>
        <v>3862.3462892478506</v>
      </c>
      <c r="R259" s="319">
        <f>Inputs!O147*Ops!R$256</f>
        <v>3862.3462892478506</v>
      </c>
      <c r="S259" s="319">
        <f>Inputs!P147*Ops!S$256</f>
        <v>3862.3462892478506</v>
      </c>
      <c r="T259" s="319">
        <f>Inputs!Q147*Ops!T$256</f>
        <v>3862.3462892478506</v>
      </c>
      <c r="U259" s="319">
        <f>Inputs!R147*Ops!U$256</f>
        <v>3862.3462892478506</v>
      </c>
      <c r="V259" s="319">
        <f>Inputs!S147*Ops!V$256</f>
        <v>3862.3462892478506</v>
      </c>
      <c r="W259" s="319">
        <f>Inputs!T147*Ops!W$256</f>
        <v>3862.3462892478506</v>
      </c>
      <c r="X259" s="319">
        <f>Inputs!U147*Ops!X$256</f>
        <v>3862.3462892478506</v>
      </c>
      <c r="Y259" s="319">
        <f>Inputs!V147*Ops!Y$256</f>
        <v>4187.1798381278504</v>
      </c>
      <c r="Z259" s="319">
        <f>Inputs!W147*Ops!Z$256</f>
        <v>4187.1798381278504</v>
      </c>
      <c r="AA259" s="319">
        <f>Inputs!X147*Ops!AA$256</f>
        <v>4187.1798381278504</v>
      </c>
      <c r="AB259" s="319">
        <f>Inputs!Y147*Ops!AB$256</f>
        <v>4187.1798381278504</v>
      </c>
      <c r="AC259" s="319">
        <f>Inputs!Z147*Ops!AC$256</f>
        <v>4187.1798381278504</v>
      </c>
      <c r="AD259" s="319">
        <f>Inputs!AA147*Ops!AD$256</f>
        <v>4187.1798381278504</v>
      </c>
      <c r="AE259" s="319">
        <f>Inputs!AB147*Ops!AE$256</f>
        <v>4187.1798381278504</v>
      </c>
      <c r="AF259" s="319">
        <f>Inputs!AC147*Ops!AF$256</f>
        <v>4187.1798381278504</v>
      </c>
      <c r="AG259" s="319">
        <f>Inputs!AD147*Ops!AG$256</f>
        <v>4187.1798381278504</v>
      </c>
      <c r="AH259" s="319">
        <f>Inputs!AE147*Ops!AH$256</f>
        <v>4187.1798381278504</v>
      </c>
      <c r="AI259" s="319">
        <f>Inputs!AF147*Ops!AI$256</f>
        <v>4187.1798381278504</v>
      </c>
      <c r="AJ259" s="319">
        <f>Inputs!AG147*Ops!AJ$256</f>
        <v>4187.1798381278504</v>
      </c>
      <c r="AK259" s="319">
        <f>Inputs!AH147*Ops!AK$256</f>
        <v>0</v>
      </c>
      <c r="AL259" s="319">
        <f>Inputs!AI147*Ops!AL$256</f>
        <v>0</v>
      </c>
      <c r="AM259" s="319">
        <f>Inputs!AJ147*Ops!AM$256</f>
        <v>0</v>
      </c>
      <c r="AN259" s="319">
        <f>Inputs!AK147*Ops!AN$256</f>
        <v>0</v>
      </c>
    </row>
    <row r="260" spans="3:40" outlineLevel="2">
      <c r="C260" s="266" t="str">
        <f>Inputs!C148</f>
        <v>Coleta Materias Recicláveis</v>
      </c>
      <c r="D260" s="266"/>
      <c r="E260" s="76" t="s">
        <v>13</v>
      </c>
      <c r="F260" s="23">
        <f t="shared" si="289"/>
        <v>45195.221764716509</v>
      </c>
      <c r="G260" s="319">
        <f>Inputs!D148*Ops!G$256</f>
        <v>1214.1571981652173</v>
      </c>
      <c r="H260" s="319">
        <f>Inputs!E148*Ops!H$256</f>
        <v>1214.1571981652173</v>
      </c>
      <c r="I260" s="319">
        <f>Inputs!F148*Ops!I$256</f>
        <v>1214.1571981652173</v>
      </c>
      <c r="J260" s="319">
        <f>Inputs!G148*Ops!J$256</f>
        <v>1538.9907470452174</v>
      </c>
      <c r="K260" s="319">
        <f>Inputs!H148*Ops!K$256</f>
        <v>1538.9907470452174</v>
      </c>
      <c r="L260" s="319">
        <f>Inputs!I148*Ops!L$256</f>
        <v>1538.9907470452174</v>
      </c>
      <c r="M260" s="319">
        <f>Inputs!J148*Ops!M$256</f>
        <v>1538.9907470452174</v>
      </c>
      <c r="N260" s="319">
        <f>Inputs!K148*Ops!N$256</f>
        <v>1538.9907470452174</v>
      </c>
      <c r="O260" s="319">
        <f>Inputs!L148*Ops!O$256</f>
        <v>1538.9907470452174</v>
      </c>
      <c r="P260" s="319">
        <f>Inputs!M148*Ops!P$256</f>
        <v>1538.9907470452174</v>
      </c>
      <c r="Q260" s="319">
        <f>Inputs!N148*Ops!Q$256</f>
        <v>1538.9907470452174</v>
      </c>
      <c r="R260" s="319">
        <f>Inputs!O148*Ops!R$256</f>
        <v>1538.9907470452174</v>
      </c>
      <c r="S260" s="319">
        <f>Inputs!P148*Ops!S$256</f>
        <v>1538.9907470452174</v>
      </c>
      <c r="T260" s="319">
        <f>Inputs!Q148*Ops!T$256</f>
        <v>1538.9907470452174</v>
      </c>
      <c r="U260" s="319">
        <f>Inputs!R148*Ops!U$256</f>
        <v>1538.9907470452174</v>
      </c>
      <c r="V260" s="319">
        <f>Inputs!S148*Ops!V$256</f>
        <v>1538.9907470452174</v>
      </c>
      <c r="W260" s="319">
        <f>Inputs!T148*Ops!W$256</f>
        <v>1538.9907470452174</v>
      </c>
      <c r="X260" s="319">
        <f>Inputs!U148*Ops!X$256</f>
        <v>1538.9907470452174</v>
      </c>
      <c r="Y260" s="319">
        <f>Inputs!V148*Ops!Y$256</f>
        <v>1538.9907470452174</v>
      </c>
      <c r="Z260" s="319">
        <f>Inputs!W148*Ops!Z$256</f>
        <v>1538.9907470452174</v>
      </c>
      <c r="AA260" s="319">
        <f>Inputs!X148*Ops!AA$256</f>
        <v>1538.9907470452174</v>
      </c>
      <c r="AB260" s="319">
        <f>Inputs!Y148*Ops!AB$256</f>
        <v>1538.9907470452174</v>
      </c>
      <c r="AC260" s="319">
        <f>Inputs!Z148*Ops!AC$256</f>
        <v>1538.9907470452174</v>
      </c>
      <c r="AD260" s="319">
        <f>Inputs!AA148*Ops!AD$256</f>
        <v>1538.9907470452174</v>
      </c>
      <c r="AE260" s="319">
        <f>Inputs!AB148*Ops!AE$256</f>
        <v>1538.9907470452174</v>
      </c>
      <c r="AF260" s="319">
        <f>Inputs!AC148*Ops!AF$256</f>
        <v>1538.9907470452174</v>
      </c>
      <c r="AG260" s="319">
        <f>Inputs!AD148*Ops!AG$256</f>
        <v>1538.9907470452174</v>
      </c>
      <c r="AH260" s="319">
        <f>Inputs!AE148*Ops!AH$256</f>
        <v>1538.9907470452174</v>
      </c>
      <c r="AI260" s="319">
        <f>Inputs!AF148*Ops!AI$256</f>
        <v>1538.9907470452174</v>
      </c>
      <c r="AJ260" s="319">
        <f>Inputs!AG148*Ops!AJ$256</f>
        <v>1538.9907470452174</v>
      </c>
      <c r="AK260" s="319">
        <f>Inputs!AH148*Ops!AK$256</f>
        <v>0</v>
      </c>
      <c r="AL260" s="319">
        <f>Inputs!AI148*Ops!AL$256</f>
        <v>0</v>
      </c>
      <c r="AM260" s="319">
        <f>Inputs!AJ148*Ops!AM$256</f>
        <v>0</v>
      </c>
      <c r="AN260" s="319">
        <f>Inputs!AK148*Ops!AN$256</f>
        <v>0</v>
      </c>
    </row>
    <row r="261" spans="3:40" outlineLevel="2">
      <c r="C261" s="266" t="str">
        <f>Inputs!C149</f>
        <v>Transporte E Destinação - Resíduos Dos  Pevs</v>
      </c>
      <c r="D261" s="266"/>
      <c r="E261" s="76" t="s">
        <v>13</v>
      </c>
      <c r="F261" s="23">
        <f t="shared" si="289"/>
        <v>7369.9807028168852</v>
      </c>
      <c r="G261" s="319">
        <f>Inputs!D149*Ops!G$256</f>
        <v>0</v>
      </c>
      <c r="H261" s="319">
        <f>Inputs!E149*Ops!H$256</f>
        <v>0</v>
      </c>
      <c r="I261" s="319">
        <f>Inputs!F149*Ops!I$256</f>
        <v>263.21359652917431</v>
      </c>
      <c r="J261" s="319">
        <f>Inputs!G149*Ops!J$256</f>
        <v>263.21359652917431</v>
      </c>
      <c r="K261" s="319">
        <f>Inputs!H149*Ops!K$256</f>
        <v>263.21359652917431</v>
      </c>
      <c r="L261" s="319">
        <f>Inputs!I149*Ops!L$256</f>
        <v>263.21359652917431</v>
      </c>
      <c r="M261" s="319">
        <f>Inputs!J149*Ops!M$256</f>
        <v>263.21359652917431</v>
      </c>
      <c r="N261" s="319">
        <f>Inputs!K149*Ops!N$256</f>
        <v>263.21359652917431</v>
      </c>
      <c r="O261" s="319">
        <f>Inputs!L149*Ops!O$256</f>
        <v>263.21359652917431</v>
      </c>
      <c r="P261" s="319">
        <f>Inputs!M149*Ops!P$256</f>
        <v>263.21359652917431</v>
      </c>
      <c r="Q261" s="319">
        <f>Inputs!N149*Ops!Q$256</f>
        <v>263.21359652917431</v>
      </c>
      <c r="R261" s="319">
        <f>Inputs!O149*Ops!R$256</f>
        <v>263.21359652917431</v>
      </c>
      <c r="S261" s="319">
        <f>Inputs!P149*Ops!S$256</f>
        <v>263.21359652917431</v>
      </c>
      <c r="T261" s="319">
        <f>Inputs!Q149*Ops!T$256</f>
        <v>263.21359652917431</v>
      </c>
      <c r="U261" s="319">
        <f>Inputs!R149*Ops!U$256</f>
        <v>263.21359652917431</v>
      </c>
      <c r="V261" s="319">
        <f>Inputs!S149*Ops!V$256</f>
        <v>263.21359652917431</v>
      </c>
      <c r="W261" s="319">
        <f>Inputs!T149*Ops!W$256</f>
        <v>263.21359652917431</v>
      </c>
      <c r="X261" s="319">
        <f>Inputs!U149*Ops!X$256</f>
        <v>263.21359652917431</v>
      </c>
      <c r="Y261" s="319">
        <f>Inputs!V149*Ops!Y$256</f>
        <v>263.21359652917431</v>
      </c>
      <c r="Z261" s="319">
        <f>Inputs!W149*Ops!Z$256</f>
        <v>263.21359652917431</v>
      </c>
      <c r="AA261" s="319">
        <f>Inputs!X149*Ops!AA$256</f>
        <v>263.21359652917431</v>
      </c>
      <c r="AB261" s="319">
        <f>Inputs!Y149*Ops!AB$256</f>
        <v>263.21359652917431</v>
      </c>
      <c r="AC261" s="319">
        <f>Inputs!Z149*Ops!AC$256</f>
        <v>263.21359652917431</v>
      </c>
      <c r="AD261" s="319">
        <f>Inputs!AA149*Ops!AD$256</f>
        <v>263.21359652917431</v>
      </c>
      <c r="AE261" s="319">
        <f>Inputs!AB149*Ops!AE$256</f>
        <v>263.21359652917431</v>
      </c>
      <c r="AF261" s="319">
        <f>Inputs!AC149*Ops!AF$256</f>
        <v>263.21359652917431</v>
      </c>
      <c r="AG261" s="319">
        <f>Inputs!AD149*Ops!AG$256</f>
        <v>263.21359652917431</v>
      </c>
      <c r="AH261" s="319">
        <f>Inputs!AE149*Ops!AH$256</f>
        <v>263.21359652917431</v>
      </c>
      <c r="AI261" s="319">
        <f>Inputs!AF149*Ops!AI$256</f>
        <v>263.21359652917431</v>
      </c>
      <c r="AJ261" s="319">
        <f>Inputs!AG149*Ops!AJ$256</f>
        <v>263.21359652917431</v>
      </c>
      <c r="AK261" s="319">
        <f>Inputs!AH149*Ops!AK$256</f>
        <v>0</v>
      </c>
      <c r="AL261" s="319">
        <f>Inputs!AI149*Ops!AL$256</f>
        <v>0</v>
      </c>
      <c r="AM261" s="319">
        <f>Inputs!AJ149*Ops!AM$256</f>
        <v>0</v>
      </c>
      <c r="AN261" s="319">
        <f>Inputs!AK149*Ops!AN$256</f>
        <v>0</v>
      </c>
    </row>
    <row r="262" spans="3:40" outlineLevel="2">
      <c r="C262" s="266" t="str">
        <f>Inputs!C150</f>
        <v>Coleta Programada De Volumosos</v>
      </c>
      <c r="D262" s="266"/>
      <c r="E262" s="76" t="s">
        <v>13</v>
      </c>
      <c r="F262" s="23">
        <f t="shared" si="289"/>
        <v>20103.279886275312</v>
      </c>
      <c r="G262" s="319">
        <f>Inputs!D150*Ops!G$256</f>
        <v>670.10932954251052</v>
      </c>
      <c r="H262" s="319">
        <f>Inputs!E150*Ops!H$256</f>
        <v>670.10932954251052</v>
      </c>
      <c r="I262" s="319">
        <f>Inputs!F150*Ops!I$256</f>
        <v>670.10932954251052</v>
      </c>
      <c r="J262" s="319">
        <f>Inputs!G150*Ops!J$256</f>
        <v>670.10932954251052</v>
      </c>
      <c r="K262" s="319">
        <f>Inputs!H150*Ops!K$256</f>
        <v>670.10932954251052</v>
      </c>
      <c r="L262" s="319">
        <f>Inputs!I150*Ops!L$256</f>
        <v>670.10932954251052</v>
      </c>
      <c r="M262" s="319">
        <f>Inputs!J150*Ops!M$256</f>
        <v>670.10932954251052</v>
      </c>
      <c r="N262" s="319">
        <f>Inputs!K150*Ops!N$256</f>
        <v>670.10932954251052</v>
      </c>
      <c r="O262" s="319">
        <f>Inputs!L150*Ops!O$256</f>
        <v>670.10932954251052</v>
      </c>
      <c r="P262" s="319">
        <f>Inputs!M150*Ops!P$256</f>
        <v>670.10932954251052</v>
      </c>
      <c r="Q262" s="319">
        <f>Inputs!N150*Ops!Q$256</f>
        <v>670.10932954251052</v>
      </c>
      <c r="R262" s="319">
        <f>Inputs!O150*Ops!R$256</f>
        <v>670.10932954251052</v>
      </c>
      <c r="S262" s="319">
        <f>Inputs!P150*Ops!S$256</f>
        <v>670.10932954251052</v>
      </c>
      <c r="T262" s="319">
        <f>Inputs!Q150*Ops!T$256</f>
        <v>670.10932954251052</v>
      </c>
      <c r="U262" s="319">
        <f>Inputs!R150*Ops!U$256</f>
        <v>670.10932954251052</v>
      </c>
      <c r="V262" s="319">
        <f>Inputs!S150*Ops!V$256</f>
        <v>670.10932954251052</v>
      </c>
      <c r="W262" s="319">
        <f>Inputs!T150*Ops!W$256</f>
        <v>670.10932954251052</v>
      </c>
      <c r="X262" s="319">
        <f>Inputs!U150*Ops!X$256</f>
        <v>670.10932954251052</v>
      </c>
      <c r="Y262" s="319">
        <f>Inputs!V150*Ops!Y$256</f>
        <v>670.10932954251052</v>
      </c>
      <c r="Z262" s="319">
        <f>Inputs!W150*Ops!Z$256</f>
        <v>670.10932954251052</v>
      </c>
      <c r="AA262" s="319">
        <f>Inputs!X150*Ops!AA$256</f>
        <v>670.10932954251052</v>
      </c>
      <c r="AB262" s="319">
        <f>Inputs!Y150*Ops!AB$256</f>
        <v>670.10932954251052</v>
      </c>
      <c r="AC262" s="319">
        <f>Inputs!Z150*Ops!AC$256</f>
        <v>670.10932954251052</v>
      </c>
      <c r="AD262" s="319">
        <f>Inputs!AA150*Ops!AD$256</f>
        <v>670.10932954251052</v>
      </c>
      <c r="AE262" s="319">
        <f>Inputs!AB150*Ops!AE$256</f>
        <v>670.10932954251052</v>
      </c>
      <c r="AF262" s="319">
        <f>Inputs!AC150*Ops!AF$256</f>
        <v>670.10932954251052</v>
      </c>
      <c r="AG262" s="319">
        <f>Inputs!AD150*Ops!AG$256</f>
        <v>670.10932954251052</v>
      </c>
      <c r="AH262" s="319">
        <f>Inputs!AE150*Ops!AH$256</f>
        <v>670.10932954251052</v>
      </c>
      <c r="AI262" s="319">
        <f>Inputs!AF150*Ops!AI$256</f>
        <v>670.10932954251052</v>
      </c>
      <c r="AJ262" s="319">
        <f>Inputs!AG150*Ops!AJ$256</f>
        <v>670.10932954251052</v>
      </c>
      <c r="AK262" s="319">
        <f>Inputs!AH150*Ops!AK$256</f>
        <v>0</v>
      </c>
      <c r="AL262" s="319">
        <f>Inputs!AI150*Ops!AL$256</f>
        <v>0</v>
      </c>
      <c r="AM262" s="319">
        <f>Inputs!AJ150*Ops!AM$256</f>
        <v>0</v>
      </c>
      <c r="AN262" s="319">
        <f>Inputs!AK150*Ops!AN$256</f>
        <v>0</v>
      </c>
    </row>
    <row r="263" spans="3:40" outlineLevel="2">
      <c r="C263" s="266" t="str">
        <f>Inputs!C151</f>
        <v>Varrição Manual</v>
      </c>
      <c r="D263" s="266"/>
      <c r="E263" s="76" t="s">
        <v>13</v>
      </c>
      <c r="F263" s="23">
        <f t="shared" si="289"/>
        <v>33008.94178978345</v>
      </c>
      <c r="G263" s="319">
        <f>Inputs!D151*Ops!G$256</f>
        <v>902.85758976611521</v>
      </c>
      <c r="H263" s="319">
        <f>Inputs!E151*Ops!H$256</f>
        <v>1027.1445066461151</v>
      </c>
      <c r="I263" s="319">
        <f>Inputs!F151*Ops!I$256</f>
        <v>1027.4155866461151</v>
      </c>
      <c r="J263" s="319">
        <f>Inputs!G151*Ops!J$256</f>
        <v>1027.4155866461151</v>
      </c>
      <c r="K263" s="319">
        <f>Inputs!H151*Ops!K$256</f>
        <v>1027.4155866461151</v>
      </c>
      <c r="L263" s="319">
        <f>Inputs!I151*Ops!L$256</f>
        <v>1027.4155866461151</v>
      </c>
      <c r="M263" s="319">
        <f>Inputs!J151*Ops!M$256</f>
        <v>1027.4155866461151</v>
      </c>
      <c r="N263" s="319">
        <f>Inputs!K151*Ops!N$256</f>
        <v>1027.4155866461151</v>
      </c>
      <c r="O263" s="319">
        <f>Inputs!L151*Ops!O$256</f>
        <v>1027.4155866461151</v>
      </c>
      <c r="P263" s="319">
        <f>Inputs!M151*Ops!P$256</f>
        <v>1089.8466100861149</v>
      </c>
      <c r="Q263" s="319">
        <f>Inputs!N151*Ops!Q$256</f>
        <v>1089.8466100861149</v>
      </c>
      <c r="R263" s="319">
        <f>Inputs!O151*Ops!R$256</f>
        <v>1089.8466100861149</v>
      </c>
      <c r="S263" s="319">
        <f>Inputs!P151*Ops!S$256</f>
        <v>1089.8466100861149</v>
      </c>
      <c r="T263" s="319">
        <f>Inputs!Q151*Ops!T$256</f>
        <v>1089.8466100861149</v>
      </c>
      <c r="U263" s="319">
        <f>Inputs!R151*Ops!U$256</f>
        <v>1089.8466100861149</v>
      </c>
      <c r="V263" s="319">
        <f>Inputs!S151*Ops!V$256</f>
        <v>1089.8466100861149</v>
      </c>
      <c r="W263" s="319">
        <f>Inputs!T151*Ops!W$256</f>
        <v>1090.1176900861149</v>
      </c>
      <c r="X263" s="319">
        <f>Inputs!U151*Ops!X$256</f>
        <v>1090.1176900861149</v>
      </c>
      <c r="Y263" s="319">
        <f>Inputs!V151*Ops!Y$256</f>
        <v>1152.2776335261151</v>
      </c>
      <c r="Z263" s="319">
        <f>Inputs!W151*Ops!Z$256</f>
        <v>1152.2776335261151</v>
      </c>
      <c r="AA263" s="319">
        <f>Inputs!X151*Ops!AA$256</f>
        <v>1152.2776335261151</v>
      </c>
      <c r="AB263" s="319">
        <f>Inputs!Y151*Ops!AB$256</f>
        <v>1152.2776335261151</v>
      </c>
      <c r="AC263" s="319">
        <f>Inputs!Z151*Ops!AC$256</f>
        <v>1152.2776335261151</v>
      </c>
      <c r="AD263" s="319">
        <f>Inputs!AA151*Ops!AD$256</f>
        <v>1152.5487135261151</v>
      </c>
      <c r="AE263" s="319">
        <f>Inputs!AB151*Ops!AE$256</f>
        <v>1152.5487135261151</v>
      </c>
      <c r="AF263" s="319">
        <f>Inputs!AC151*Ops!AF$256</f>
        <v>1152.5487135261151</v>
      </c>
      <c r="AG263" s="319">
        <f>Inputs!AD151*Ops!AG$256</f>
        <v>1214.7086569661151</v>
      </c>
      <c r="AH263" s="319">
        <f>Inputs!AE151*Ops!AH$256</f>
        <v>1214.7086569661151</v>
      </c>
      <c r="AI263" s="319">
        <f>Inputs!AF151*Ops!AI$256</f>
        <v>1214.7086569661151</v>
      </c>
      <c r="AJ263" s="319">
        <f>Inputs!AG151*Ops!AJ$256</f>
        <v>1214.7086569661151</v>
      </c>
      <c r="AK263" s="319">
        <f>Inputs!AH151*Ops!AK$256</f>
        <v>0</v>
      </c>
      <c r="AL263" s="319">
        <f>Inputs!AI151*Ops!AL$256</f>
        <v>0</v>
      </c>
      <c r="AM263" s="319">
        <f>Inputs!AJ151*Ops!AM$256</f>
        <v>0</v>
      </c>
      <c r="AN263" s="319">
        <f>Inputs!AK151*Ops!AN$256</f>
        <v>0</v>
      </c>
    </row>
    <row r="264" spans="3:40" outlineLevel="2">
      <c r="C264" s="266" t="str">
        <f>Inputs!C152</f>
        <v>Serviços Gerais (Tipos I E II)</v>
      </c>
      <c r="D264" s="266"/>
      <c r="E264" s="76" t="s">
        <v>13</v>
      </c>
      <c r="F264" s="23">
        <f t="shared" si="289"/>
        <v>74397.325471316275</v>
      </c>
      <c r="G264" s="319">
        <f>Inputs!D152*Ops!G$256</f>
        <v>2479.9108490438762</v>
      </c>
      <c r="H264" s="319">
        <f>Inputs!E152*Ops!H$256</f>
        <v>2479.9108490438762</v>
      </c>
      <c r="I264" s="319">
        <f>Inputs!F152*Ops!I$256</f>
        <v>2479.9108490438762</v>
      </c>
      <c r="J264" s="319">
        <f>Inputs!G152*Ops!J$256</f>
        <v>2479.9108490438762</v>
      </c>
      <c r="K264" s="319">
        <f>Inputs!H152*Ops!K$256</f>
        <v>2479.9108490438762</v>
      </c>
      <c r="L264" s="319">
        <f>Inputs!I152*Ops!L$256</f>
        <v>2479.9108490438762</v>
      </c>
      <c r="M264" s="319">
        <f>Inputs!J152*Ops!M$256</f>
        <v>2479.9108490438762</v>
      </c>
      <c r="N264" s="319">
        <f>Inputs!K152*Ops!N$256</f>
        <v>2479.9108490438762</v>
      </c>
      <c r="O264" s="319">
        <f>Inputs!L152*Ops!O$256</f>
        <v>2479.9108490438762</v>
      </c>
      <c r="P264" s="319">
        <f>Inputs!M152*Ops!P$256</f>
        <v>2479.9108490438762</v>
      </c>
      <c r="Q264" s="319">
        <f>Inputs!N152*Ops!Q$256</f>
        <v>2479.9108490438762</v>
      </c>
      <c r="R264" s="319">
        <f>Inputs!O152*Ops!R$256</f>
        <v>2479.9108490438762</v>
      </c>
      <c r="S264" s="319">
        <f>Inputs!P152*Ops!S$256</f>
        <v>2479.9108490438762</v>
      </c>
      <c r="T264" s="319">
        <f>Inputs!Q152*Ops!T$256</f>
        <v>2479.9108490438762</v>
      </c>
      <c r="U264" s="319">
        <f>Inputs!R152*Ops!U$256</f>
        <v>2479.9108490438762</v>
      </c>
      <c r="V264" s="319">
        <f>Inputs!S152*Ops!V$256</f>
        <v>2479.9108490438762</v>
      </c>
      <c r="W264" s="319">
        <f>Inputs!T152*Ops!W$256</f>
        <v>2479.9108490438762</v>
      </c>
      <c r="X264" s="319">
        <f>Inputs!U152*Ops!X$256</f>
        <v>2479.9108490438762</v>
      </c>
      <c r="Y264" s="319">
        <f>Inputs!V152*Ops!Y$256</f>
        <v>2479.9108490438762</v>
      </c>
      <c r="Z264" s="319">
        <f>Inputs!W152*Ops!Z$256</f>
        <v>2479.9108490438762</v>
      </c>
      <c r="AA264" s="319">
        <f>Inputs!X152*Ops!AA$256</f>
        <v>2479.9108490438762</v>
      </c>
      <c r="AB264" s="319">
        <f>Inputs!Y152*Ops!AB$256</f>
        <v>2479.9108490438762</v>
      </c>
      <c r="AC264" s="319">
        <f>Inputs!Z152*Ops!AC$256</f>
        <v>2479.9108490438762</v>
      </c>
      <c r="AD264" s="319">
        <f>Inputs!AA152*Ops!AD$256</f>
        <v>2479.9108490438762</v>
      </c>
      <c r="AE264" s="319">
        <f>Inputs!AB152*Ops!AE$256</f>
        <v>2479.9108490438762</v>
      </c>
      <c r="AF264" s="319">
        <f>Inputs!AC152*Ops!AF$256</f>
        <v>2479.9108490438762</v>
      </c>
      <c r="AG264" s="319">
        <f>Inputs!AD152*Ops!AG$256</f>
        <v>2479.9108490438762</v>
      </c>
      <c r="AH264" s="319">
        <f>Inputs!AE152*Ops!AH$256</f>
        <v>2479.9108490438762</v>
      </c>
      <c r="AI264" s="319">
        <f>Inputs!AF152*Ops!AI$256</f>
        <v>2479.9108490438762</v>
      </c>
      <c r="AJ264" s="319">
        <f>Inputs!AG152*Ops!AJ$256</f>
        <v>2479.9108490438762</v>
      </c>
      <c r="AK264" s="319">
        <f>Inputs!AH152*Ops!AK$256</f>
        <v>0</v>
      </c>
      <c r="AL264" s="319">
        <f>Inputs!AI152*Ops!AL$256</f>
        <v>0</v>
      </c>
      <c r="AM264" s="319">
        <f>Inputs!AJ152*Ops!AM$256</f>
        <v>0</v>
      </c>
      <c r="AN264" s="319">
        <f>Inputs!AK152*Ops!AN$256</f>
        <v>0</v>
      </c>
    </row>
    <row r="265" spans="3:40" outlineLevel="2">
      <c r="C265" s="266" t="str">
        <f>Inputs!C153</f>
        <v>Roçada</v>
      </c>
      <c r="D265" s="266"/>
      <c r="E265" s="76" t="s">
        <v>13</v>
      </c>
      <c r="F265" s="23">
        <f t="shared" ref="F265" si="290">SUM(G265:AN265)</f>
        <v>42142.108850209821</v>
      </c>
      <c r="G265" s="319">
        <f>Inputs!D153*Ops!G$256</f>
        <v>1404.7369616736601</v>
      </c>
      <c r="H265" s="319">
        <f>Inputs!E153*Ops!H$256</f>
        <v>1404.7369616736601</v>
      </c>
      <c r="I265" s="319">
        <f>Inputs!F153*Ops!I$256</f>
        <v>1404.7369616736601</v>
      </c>
      <c r="J265" s="319">
        <f>Inputs!G153*Ops!J$256</f>
        <v>1404.7369616736601</v>
      </c>
      <c r="K265" s="319">
        <f>Inputs!H153*Ops!K$256</f>
        <v>1404.7369616736601</v>
      </c>
      <c r="L265" s="319">
        <f>Inputs!I153*Ops!L$256</f>
        <v>1404.7369616736601</v>
      </c>
      <c r="M265" s="319">
        <f>Inputs!J153*Ops!M$256</f>
        <v>1404.7369616736601</v>
      </c>
      <c r="N265" s="319">
        <f>Inputs!K153*Ops!N$256</f>
        <v>1404.7369616736601</v>
      </c>
      <c r="O265" s="319">
        <f>Inputs!L153*Ops!O$256</f>
        <v>1404.7369616736601</v>
      </c>
      <c r="P265" s="319">
        <f>Inputs!M153*Ops!P$256</f>
        <v>1404.7369616736601</v>
      </c>
      <c r="Q265" s="319">
        <f>Inputs!N153*Ops!Q$256</f>
        <v>1404.7369616736601</v>
      </c>
      <c r="R265" s="319">
        <f>Inputs!O153*Ops!R$256</f>
        <v>1404.7369616736601</v>
      </c>
      <c r="S265" s="319">
        <f>Inputs!P153*Ops!S$256</f>
        <v>1404.7369616736601</v>
      </c>
      <c r="T265" s="319">
        <f>Inputs!Q153*Ops!T$256</f>
        <v>1404.7369616736601</v>
      </c>
      <c r="U265" s="319">
        <f>Inputs!R153*Ops!U$256</f>
        <v>1404.7369616736601</v>
      </c>
      <c r="V265" s="319">
        <f>Inputs!S153*Ops!V$256</f>
        <v>1404.7369616736601</v>
      </c>
      <c r="W265" s="319">
        <f>Inputs!T153*Ops!W$256</f>
        <v>1404.7369616736601</v>
      </c>
      <c r="X265" s="319">
        <f>Inputs!U153*Ops!X$256</f>
        <v>1404.7369616736601</v>
      </c>
      <c r="Y265" s="319">
        <f>Inputs!V153*Ops!Y$256</f>
        <v>1404.7369616736601</v>
      </c>
      <c r="Z265" s="319">
        <f>Inputs!W153*Ops!Z$256</f>
        <v>1404.7369616736601</v>
      </c>
      <c r="AA265" s="319">
        <f>Inputs!X153*Ops!AA$256</f>
        <v>1404.7369616736601</v>
      </c>
      <c r="AB265" s="319">
        <f>Inputs!Y153*Ops!AB$256</f>
        <v>1404.7369616736601</v>
      </c>
      <c r="AC265" s="319">
        <f>Inputs!Z153*Ops!AC$256</f>
        <v>1404.7369616736601</v>
      </c>
      <c r="AD265" s="319">
        <f>Inputs!AA153*Ops!AD$256</f>
        <v>1404.7369616736601</v>
      </c>
      <c r="AE265" s="319">
        <f>Inputs!AB153*Ops!AE$256</f>
        <v>1404.7369616736601</v>
      </c>
      <c r="AF265" s="319">
        <f>Inputs!AC153*Ops!AF$256</f>
        <v>1404.7369616736601</v>
      </c>
      <c r="AG265" s="319">
        <f>Inputs!AD153*Ops!AG$256</f>
        <v>1404.7369616736601</v>
      </c>
      <c r="AH265" s="319">
        <f>Inputs!AE153*Ops!AH$256</f>
        <v>1404.7369616736601</v>
      </c>
      <c r="AI265" s="319">
        <f>Inputs!AF153*Ops!AI$256</f>
        <v>1404.7369616736601</v>
      </c>
      <c r="AJ265" s="319">
        <f>Inputs!AG153*Ops!AJ$256</f>
        <v>1404.7369616736601</v>
      </c>
      <c r="AK265" s="319">
        <f>Inputs!AH153*Ops!AK$256</f>
        <v>0</v>
      </c>
      <c r="AL265" s="319">
        <f>Inputs!AI153*Ops!AL$256</f>
        <v>0</v>
      </c>
      <c r="AM265" s="319">
        <f>Inputs!AJ153*Ops!AM$256</f>
        <v>0</v>
      </c>
      <c r="AN265" s="319">
        <f>Inputs!AK153*Ops!AN$256</f>
        <v>0</v>
      </c>
    </row>
    <row r="266" spans="3:40" outlineLevel="2">
      <c r="C266" s="266" t="str">
        <f>Inputs!C154</f>
        <v xml:space="preserve">Destinação Final </v>
      </c>
      <c r="D266" s="266"/>
      <c r="E266" s="76" t="s">
        <v>13</v>
      </c>
      <c r="F266" s="23">
        <f t="shared" si="289"/>
        <v>131414.70517089235</v>
      </c>
      <c r="G266" s="319">
        <f>Inputs!D154*Ops!G$256</f>
        <v>3730.3440009626115</v>
      </c>
      <c r="H266" s="319">
        <f>Inputs!E154*Ops!H$256</f>
        <v>3844.8985269753866</v>
      </c>
      <c r="I266" s="319">
        <f>Inputs!F154*Ops!I$256</f>
        <v>3992.6100238902841</v>
      </c>
      <c r="J266" s="319">
        <f>Inputs!G154*Ops!J$256</f>
        <v>4036.0044731226894</v>
      </c>
      <c r="K266" s="319">
        <f>Inputs!H154*Ops!K$256</f>
        <v>4084.3129988778605</v>
      </c>
      <c r="L266" s="319">
        <f>Inputs!I154*Ops!L$256</f>
        <v>4129.8042823176957</v>
      </c>
      <c r="M266" s="319">
        <f>Inputs!J154*Ops!M$256</f>
        <v>5098.4926465873132</v>
      </c>
      <c r="N266" s="319">
        <f>Inputs!K154*Ops!N$256</f>
        <v>4282.1640030082226</v>
      </c>
      <c r="O266" s="319">
        <f>Inputs!L154*Ops!O$256</f>
        <v>4298.0044386467944</v>
      </c>
      <c r="P266" s="319">
        <f>Inputs!M154*Ops!P$256</f>
        <v>4313.8448742853661</v>
      </c>
      <c r="Q266" s="319">
        <f>Inputs!N154*Ops!Q$256</f>
        <v>4329.699242130785</v>
      </c>
      <c r="R266" s="319">
        <f>Inputs!O154*Ops!R$256</f>
        <v>4345.5396777693559</v>
      </c>
      <c r="S266" s="319">
        <f>Inputs!P154*Ops!S$256</f>
        <v>4361.3801134079267</v>
      </c>
      <c r="T266" s="319">
        <f>Inputs!Q154*Ops!T$256</f>
        <v>4377.2205490464985</v>
      </c>
      <c r="U266" s="319">
        <f>Inputs!R154*Ops!U$256</f>
        <v>4393.0749168919174</v>
      </c>
      <c r="V266" s="319">
        <f>Inputs!S154*Ops!V$256</f>
        <v>4408.9153525304882</v>
      </c>
      <c r="W266" s="319">
        <f>Inputs!T154*Ops!W$256</f>
        <v>4424.75578816906</v>
      </c>
      <c r="X266" s="319">
        <f>Inputs!U154*Ops!X$256</f>
        <v>4440.5962238076308</v>
      </c>
      <c r="Y266" s="319">
        <f>Inputs!V154*Ops!Y$256</f>
        <v>4456.4505916530507</v>
      </c>
      <c r="Z266" s="319">
        <f>Inputs!W154*Ops!Z$256</f>
        <v>4472.2910272916215</v>
      </c>
      <c r="AA266" s="319">
        <f>Inputs!X154*Ops!AA$256</f>
        <v>4488.1314629301924</v>
      </c>
      <c r="AB266" s="319">
        <f>Inputs!Y154*Ops!AB$256</f>
        <v>4503.9718985687632</v>
      </c>
      <c r="AC266" s="319">
        <f>Inputs!Z154*Ops!AC$256</f>
        <v>4519.826266414183</v>
      </c>
      <c r="AD266" s="319">
        <f>Inputs!AA154*Ops!AD$256</f>
        <v>4535.6667020527539</v>
      </c>
      <c r="AE266" s="319">
        <f>Inputs!AB154*Ops!AE$256</f>
        <v>4551.5071376913247</v>
      </c>
      <c r="AF266" s="319">
        <f>Inputs!AC154*Ops!AF$256</f>
        <v>4567.3475733298965</v>
      </c>
      <c r="AG266" s="319">
        <f>Inputs!AD154*Ops!AG$256</f>
        <v>4583.2019411753163</v>
      </c>
      <c r="AH266" s="319">
        <f>Inputs!AE154*Ops!AH$256</f>
        <v>4599.0423768138862</v>
      </c>
      <c r="AI266" s="319">
        <f>Inputs!AF154*Ops!AI$256</f>
        <v>4614.882812452458</v>
      </c>
      <c r="AJ266" s="319">
        <f>Inputs!AG154*Ops!AJ$256</f>
        <v>4630.7232480910288</v>
      </c>
      <c r="AK266" s="319">
        <f>Inputs!AH154*Ops!AK$256</f>
        <v>0</v>
      </c>
      <c r="AL266" s="319">
        <f>Inputs!AI154*Ops!AL$256</f>
        <v>0</v>
      </c>
      <c r="AM266" s="319">
        <f>Inputs!AJ154*Ops!AM$256</f>
        <v>0</v>
      </c>
      <c r="AN266" s="319">
        <f>Inputs!AK154*Ops!AN$256</f>
        <v>0</v>
      </c>
    </row>
    <row r="267" spans="3:40" outlineLevel="2">
      <c r="C267" s="266" t="str">
        <f>Inputs!C155</f>
        <v>Educaçao Ambiental</v>
      </c>
      <c r="D267" s="266"/>
      <c r="E267" s="76" t="s">
        <v>13</v>
      </c>
      <c r="F267" s="23">
        <f t="shared" si="289"/>
        <v>6398.1914396639986</v>
      </c>
      <c r="G267" s="319">
        <f>Inputs!D155*Ops!G$256</f>
        <v>266.27880593759994</v>
      </c>
      <c r="H267" s="319">
        <f>Inputs!E155*Ops!H$256</f>
        <v>266.27880593759994</v>
      </c>
      <c r="I267" s="319">
        <f>Inputs!F155*Ops!I$256</f>
        <v>266.27880593759994</v>
      </c>
      <c r="J267" s="319">
        <f>Inputs!G155*Ops!J$256</f>
        <v>266.27880593759994</v>
      </c>
      <c r="K267" s="319">
        <f>Inputs!H155*Ops!K$256</f>
        <v>266.27880593759994</v>
      </c>
      <c r="L267" s="319">
        <f>Inputs!I155*Ops!L$256</f>
        <v>266.27880593759994</v>
      </c>
      <c r="M267" s="319">
        <f>Inputs!J155*Ops!M$256</f>
        <v>200.02160850159999</v>
      </c>
      <c r="N267" s="319">
        <f>Inputs!K155*Ops!N$256</f>
        <v>200.02160850159999</v>
      </c>
      <c r="O267" s="319">
        <f>Inputs!L155*Ops!O$256</f>
        <v>200.02160850159999</v>
      </c>
      <c r="P267" s="319">
        <f>Inputs!M155*Ops!P$256</f>
        <v>200.02160850159999</v>
      </c>
      <c r="Q267" s="319">
        <f>Inputs!N155*Ops!Q$256</f>
        <v>200.02160850159999</v>
      </c>
      <c r="R267" s="319">
        <f>Inputs!O155*Ops!R$256</f>
        <v>200.02160850159999</v>
      </c>
      <c r="S267" s="319">
        <f>Inputs!P155*Ops!S$256</f>
        <v>200.02160850159999</v>
      </c>
      <c r="T267" s="319">
        <f>Inputs!Q155*Ops!T$256</f>
        <v>200.02160850159999</v>
      </c>
      <c r="U267" s="319">
        <f>Inputs!R155*Ops!U$256</f>
        <v>200.02160850159999</v>
      </c>
      <c r="V267" s="319">
        <f>Inputs!S155*Ops!V$256</f>
        <v>200.02160850159999</v>
      </c>
      <c r="W267" s="319">
        <f>Inputs!T155*Ops!W$256</f>
        <v>200.02160850159999</v>
      </c>
      <c r="X267" s="319">
        <f>Inputs!U155*Ops!X$256</f>
        <v>200.02160850159999</v>
      </c>
      <c r="Y267" s="319">
        <f>Inputs!V155*Ops!Y$256</f>
        <v>200.02160850159999</v>
      </c>
      <c r="Z267" s="319">
        <f>Inputs!W155*Ops!Z$256</f>
        <v>200.02160850159999</v>
      </c>
      <c r="AA267" s="319">
        <f>Inputs!X155*Ops!AA$256</f>
        <v>200.02160850159999</v>
      </c>
      <c r="AB267" s="319">
        <f>Inputs!Y155*Ops!AB$256</f>
        <v>200.02160850159999</v>
      </c>
      <c r="AC267" s="319">
        <f>Inputs!Z155*Ops!AC$256</f>
        <v>200.02160850159999</v>
      </c>
      <c r="AD267" s="319">
        <f>Inputs!AA155*Ops!AD$256</f>
        <v>200.02160850159999</v>
      </c>
      <c r="AE267" s="319">
        <f>Inputs!AB155*Ops!AE$256</f>
        <v>200.02160850159999</v>
      </c>
      <c r="AF267" s="319">
        <f>Inputs!AC155*Ops!AF$256</f>
        <v>200.02160850159999</v>
      </c>
      <c r="AG267" s="319">
        <f>Inputs!AD155*Ops!AG$256</f>
        <v>200.02160850159999</v>
      </c>
      <c r="AH267" s="319">
        <f>Inputs!AE155*Ops!AH$256</f>
        <v>200.02160850159999</v>
      </c>
      <c r="AI267" s="319">
        <f>Inputs!AF155*Ops!AI$256</f>
        <v>200.02160850159999</v>
      </c>
      <c r="AJ267" s="319">
        <f>Inputs!AG155*Ops!AJ$256</f>
        <v>200.02160850159999</v>
      </c>
      <c r="AK267" s="319">
        <f>Inputs!AH155*Ops!AK$256</f>
        <v>0</v>
      </c>
      <c r="AL267" s="319">
        <f>Inputs!AI155*Ops!AL$256</f>
        <v>0</v>
      </c>
      <c r="AM267" s="319">
        <f>Inputs!AJ155*Ops!AM$256</f>
        <v>0</v>
      </c>
      <c r="AN267" s="319">
        <f>Inputs!AK155*Ops!AN$256</f>
        <v>0</v>
      </c>
    </row>
    <row r="268" spans="3:40" outlineLevel="2">
      <c r="C268" s="266" t="str">
        <f>Inputs!C156</f>
        <v>Relação Com O Usuário</v>
      </c>
      <c r="D268" s="266"/>
      <c r="E268" s="76" t="s">
        <v>13</v>
      </c>
      <c r="F268" s="23">
        <f t="shared" si="289"/>
        <v>28189.118632024802</v>
      </c>
      <c r="G268" s="319">
        <f>Inputs!D156*Ops!G$256</f>
        <v>405.37059451200003</v>
      </c>
      <c r="H268" s="319">
        <f>Inputs!E156*Ops!H$256</f>
        <v>919.42288060088424</v>
      </c>
      <c r="I268" s="319">
        <f>Inputs!F156*Ops!I$256</f>
        <v>922.18269464050775</v>
      </c>
      <c r="J268" s="319">
        <f>Inputs!G156*Ops!J$256</f>
        <v>924.94250868013125</v>
      </c>
      <c r="K268" s="319">
        <f>Inputs!H156*Ops!K$256</f>
        <v>927.70232271975499</v>
      </c>
      <c r="L268" s="319">
        <f>Inputs!I156*Ops!L$256</f>
        <v>930.4621367593785</v>
      </c>
      <c r="M268" s="319">
        <f>Inputs!J156*Ops!M$256</f>
        <v>933.221950799002</v>
      </c>
      <c r="N268" s="319">
        <f>Inputs!K156*Ops!N$256</f>
        <v>935.98176483862551</v>
      </c>
      <c r="O268" s="319">
        <f>Inputs!L156*Ops!O$256</f>
        <v>938.74157887824902</v>
      </c>
      <c r="P268" s="319">
        <f>Inputs!M156*Ops!P$256</f>
        <v>941.50139291787275</v>
      </c>
      <c r="Q268" s="319">
        <f>Inputs!N156*Ops!Q$256</f>
        <v>944.26120695749626</v>
      </c>
      <c r="R268" s="319">
        <f>Inputs!O156*Ops!R$256</f>
        <v>947.02102099711976</v>
      </c>
      <c r="S268" s="319">
        <f>Inputs!P156*Ops!S$256</f>
        <v>949.78083503674327</v>
      </c>
      <c r="T268" s="319">
        <f>Inputs!Q156*Ops!T$256</f>
        <v>952.540649076367</v>
      </c>
      <c r="U268" s="319">
        <f>Inputs!R156*Ops!U$256</f>
        <v>955.30046311599028</v>
      </c>
      <c r="V268" s="319">
        <f>Inputs!S156*Ops!V$256</f>
        <v>958.06027715561402</v>
      </c>
      <c r="W268" s="319">
        <f>Inputs!T156*Ops!W$256</f>
        <v>960.82009119523752</v>
      </c>
      <c r="X268" s="319">
        <f>Inputs!U156*Ops!X$256</f>
        <v>963.57990523486103</v>
      </c>
      <c r="Y268" s="319">
        <f>Inputs!V156*Ops!Y$256</f>
        <v>966.33971927448454</v>
      </c>
      <c r="Z268" s="319">
        <f>Inputs!W156*Ops!Z$256</f>
        <v>969.09953331410827</v>
      </c>
      <c r="AA268" s="319">
        <f>Inputs!X156*Ops!AA$256</f>
        <v>971.85934735373178</v>
      </c>
      <c r="AB268" s="319">
        <f>Inputs!Y156*Ops!AB$256</f>
        <v>974.61916139335551</v>
      </c>
      <c r="AC268" s="319">
        <f>Inputs!Z156*Ops!AC$256</f>
        <v>977.37897543297879</v>
      </c>
      <c r="AD268" s="319">
        <f>Inputs!AA156*Ops!AD$256</f>
        <v>980.13878947260253</v>
      </c>
      <c r="AE268" s="319">
        <f>Inputs!AB156*Ops!AE$256</f>
        <v>982.89860351222603</v>
      </c>
      <c r="AF268" s="319">
        <f>Inputs!AC156*Ops!AF$256</f>
        <v>985.65841755184954</v>
      </c>
      <c r="AG268" s="319">
        <f>Inputs!AD156*Ops!AG$256</f>
        <v>988.41823159147305</v>
      </c>
      <c r="AH268" s="319">
        <f>Inputs!AE156*Ops!AH$256</f>
        <v>991.17804563109678</v>
      </c>
      <c r="AI268" s="319">
        <f>Inputs!AF156*Ops!AI$256</f>
        <v>993.93785967072029</v>
      </c>
      <c r="AJ268" s="319">
        <f>Inputs!AG156*Ops!AJ$256</f>
        <v>996.69767371034379</v>
      </c>
      <c r="AK268" s="319">
        <f>Inputs!AH156*Ops!AK$256</f>
        <v>0</v>
      </c>
      <c r="AL268" s="319">
        <f>Inputs!AI156*Ops!AL$256</f>
        <v>0</v>
      </c>
      <c r="AM268" s="319">
        <f>Inputs!AJ156*Ops!AM$256</f>
        <v>0</v>
      </c>
      <c r="AN268" s="319">
        <f>Inputs!AK156*Ops!AN$256</f>
        <v>0</v>
      </c>
    </row>
    <row r="269" spans="3:40" outlineLevel="2">
      <c r="C269" s="266" t="str">
        <f>Inputs!C157</f>
        <v>Administração Local</v>
      </c>
      <c r="D269" s="266"/>
      <c r="E269" s="76" t="s">
        <v>13</v>
      </c>
      <c r="F269" s="23">
        <f t="shared" si="289"/>
        <v>24230.75294228</v>
      </c>
      <c r="G269" s="319">
        <f>Inputs!D157*Ops!G$256</f>
        <v>726.75657898000009</v>
      </c>
      <c r="H269" s="319">
        <f>Inputs!E157*Ops!H$256</f>
        <v>727.20442897999999</v>
      </c>
      <c r="I269" s="319">
        <f>Inputs!F157*Ops!I$256</f>
        <v>727.47502898000005</v>
      </c>
      <c r="J269" s="319">
        <f>Inputs!G157*Ops!J$256</f>
        <v>728.15152898000008</v>
      </c>
      <c r="K269" s="319">
        <f>Inputs!H157*Ops!K$256</f>
        <v>728.15152898000008</v>
      </c>
      <c r="L269" s="319">
        <f>Inputs!I157*Ops!L$256</f>
        <v>728.15152898000008</v>
      </c>
      <c r="M269" s="319">
        <f>Inputs!J157*Ops!M$256</f>
        <v>827.15575910000007</v>
      </c>
      <c r="N269" s="319">
        <f>Inputs!K157*Ops!N$256</f>
        <v>827.15575910000007</v>
      </c>
      <c r="O269" s="319">
        <f>Inputs!L157*Ops!O$256</f>
        <v>827.15575910000007</v>
      </c>
      <c r="P269" s="319">
        <f>Inputs!M157*Ops!P$256</f>
        <v>827.29105909999998</v>
      </c>
      <c r="Q269" s="319">
        <f>Inputs!N157*Ops!Q$256</f>
        <v>827.29105909999998</v>
      </c>
      <c r="R269" s="319">
        <f>Inputs!O157*Ops!R$256</f>
        <v>827.29105909999998</v>
      </c>
      <c r="S269" s="319">
        <f>Inputs!P157*Ops!S$256</f>
        <v>827.29105909999998</v>
      </c>
      <c r="T269" s="319">
        <f>Inputs!Q157*Ops!T$256</f>
        <v>827.29105909999998</v>
      </c>
      <c r="U269" s="319">
        <f>Inputs!R157*Ops!U$256</f>
        <v>827.29105909999998</v>
      </c>
      <c r="V269" s="319">
        <f>Inputs!S157*Ops!V$256</f>
        <v>827.29105909999998</v>
      </c>
      <c r="W269" s="319">
        <f>Inputs!T157*Ops!W$256</f>
        <v>827.29105909999998</v>
      </c>
      <c r="X269" s="319">
        <f>Inputs!U157*Ops!X$256</f>
        <v>827.29105909999998</v>
      </c>
      <c r="Y269" s="319">
        <f>Inputs!V157*Ops!Y$256</f>
        <v>828.10285909999993</v>
      </c>
      <c r="Z269" s="319">
        <f>Inputs!W157*Ops!Z$256</f>
        <v>828.10285909999993</v>
      </c>
      <c r="AA269" s="319">
        <f>Inputs!X157*Ops!AA$256</f>
        <v>828.10285909999993</v>
      </c>
      <c r="AB269" s="319">
        <f>Inputs!Y157*Ops!AB$256</f>
        <v>828.10285909999993</v>
      </c>
      <c r="AC269" s="319">
        <f>Inputs!Z157*Ops!AC$256</f>
        <v>828.10285909999993</v>
      </c>
      <c r="AD269" s="319">
        <f>Inputs!AA157*Ops!AD$256</f>
        <v>828.10285909999993</v>
      </c>
      <c r="AE269" s="319">
        <f>Inputs!AB157*Ops!AE$256</f>
        <v>828.10285909999993</v>
      </c>
      <c r="AF269" s="319">
        <f>Inputs!AC157*Ops!AF$256</f>
        <v>828.10285909999993</v>
      </c>
      <c r="AG269" s="319">
        <f>Inputs!AD157*Ops!AG$256</f>
        <v>828.23815910000008</v>
      </c>
      <c r="AH269" s="319">
        <f>Inputs!AE157*Ops!AH$256</f>
        <v>828.23815910000008</v>
      </c>
      <c r="AI269" s="319">
        <f>Inputs!AF157*Ops!AI$256</f>
        <v>828.23815910000008</v>
      </c>
      <c r="AJ269" s="319">
        <f>Inputs!AG157*Ops!AJ$256</f>
        <v>828.23815910000008</v>
      </c>
      <c r="AK269" s="319">
        <f>Inputs!AH157*Ops!AK$256</f>
        <v>0</v>
      </c>
      <c r="AL269" s="319">
        <f>Inputs!AI157*Ops!AL$256</f>
        <v>0</v>
      </c>
      <c r="AM269" s="319">
        <f>Inputs!AJ157*Ops!AM$256</f>
        <v>0</v>
      </c>
      <c r="AN269" s="319">
        <f>Inputs!AK157*Ops!AN$256</f>
        <v>0</v>
      </c>
    </row>
    <row r="270" spans="3:40" outlineLevel="2">
      <c r="C270" s="266" t="str">
        <f>Inputs!C158</f>
        <v>Administração Central</v>
      </c>
      <c r="D270" s="266"/>
      <c r="E270" s="76" t="s">
        <v>13</v>
      </c>
      <c r="F270" s="23">
        <f t="shared" si="289"/>
        <v>0</v>
      </c>
      <c r="G270" s="319">
        <f>Inputs!D158*Ops!G$256</f>
        <v>0</v>
      </c>
      <c r="H270" s="319">
        <f>Inputs!E158*Ops!H$256</f>
        <v>0</v>
      </c>
      <c r="I270" s="319">
        <f>Inputs!F158*Ops!I$256</f>
        <v>0</v>
      </c>
      <c r="J270" s="319">
        <f>Inputs!G158*Ops!J$256</f>
        <v>0</v>
      </c>
      <c r="K270" s="319">
        <f>Inputs!H158*Ops!K$256</f>
        <v>0</v>
      </c>
      <c r="L270" s="319">
        <f>Inputs!I158*Ops!L$256</f>
        <v>0</v>
      </c>
      <c r="M270" s="319">
        <f>Inputs!J158*Ops!M$256</f>
        <v>0</v>
      </c>
      <c r="N270" s="319">
        <f>Inputs!K158*Ops!N$256</f>
        <v>0</v>
      </c>
      <c r="O270" s="319">
        <f>Inputs!L158*Ops!O$256</f>
        <v>0</v>
      </c>
      <c r="P270" s="319">
        <f>Inputs!M158*Ops!P$256</f>
        <v>0</v>
      </c>
      <c r="Q270" s="319">
        <f>Inputs!N158*Ops!Q$256</f>
        <v>0</v>
      </c>
      <c r="R270" s="319">
        <f>Inputs!O158*Ops!R$256</f>
        <v>0</v>
      </c>
      <c r="S270" s="319">
        <f>Inputs!P158*Ops!S$256</f>
        <v>0</v>
      </c>
      <c r="T270" s="319">
        <f>Inputs!Q158*Ops!T$256</f>
        <v>0</v>
      </c>
      <c r="U270" s="319">
        <f>Inputs!R158*Ops!U$256</f>
        <v>0</v>
      </c>
      <c r="V270" s="319">
        <f>Inputs!S158*Ops!V$256</f>
        <v>0</v>
      </c>
      <c r="W270" s="319">
        <f>Inputs!T158*Ops!W$256</f>
        <v>0</v>
      </c>
      <c r="X270" s="319">
        <f>Inputs!U158*Ops!X$256</f>
        <v>0</v>
      </c>
      <c r="Y270" s="319">
        <f>Inputs!V158*Ops!Y$256</f>
        <v>0</v>
      </c>
      <c r="Z270" s="319">
        <f>Inputs!W158*Ops!Z$256</f>
        <v>0</v>
      </c>
      <c r="AA270" s="319">
        <f>Inputs!X158*Ops!AA$256</f>
        <v>0</v>
      </c>
      <c r="AB270" s="319">
        <f>Inputs!Y158*Ops!AB$256</f>
        <v>0</v>
      </c>
      <c r="AC270" s="319">
        <f>Inputs!Z158*Ops!AC$256</f>
        <v>0</v>
      </c>
      <c r="AD270" s="319">
        <f>Inputs!AA158*Ops!AD$256</f>
        <v>0</v>
      </c>
      <c r="AE270" s="319">
        <f>Inputs!AB158*Ops!AE$256</f>
        <v>0</v>
      </c>
      <c r="AF270" s="319">
        <f>Inputs!AC158*Ops!AF$256</f>
        <v>0</v>
      </c>
      <c r="AG270" s="319">
        <f>Inputs!AD158*Ops!AG$256</f>
        <v>0</v>
      </c>
      <c r="AH270" s="319">
        <f>Inputs!AE158*Ops!AH$256</f>
        <v>0</v>
      </c>
      <c r="AI270" s="319">
        <f>Inputs!AF158*Ops!AI$256</f>
        <v>0</v>
      </c>
      <c r="AJ270" s="319">
        <f>Inputs!AG158*Ops!AJ$256</f>
        <v>0</v>
      </c>
      <c r="AK270" s="319">
        <f>Inputs!AH158*Ops!AK$256</f>
        <v>0</v>
      </c>
      <c r="AL270" s="319">
        <f>Inputs!AI158*Ops!AL$256</f>
        <v>0</v>
      </c>
      <c r="AM270" s="319">
        <f>Inputs!AJ158*Ops!AM$256</f>
        <v>0</v>
      </c>
      <c r="AN270" s="319">
        <f>Inputs!AK158*Ops!AN$256</f>
        <v>0</v>
      </c>
    </row>
    <row r="271" spans="3:40" outlineLevel="2">
      <c r="C271" s="266" t="str">
        <f>Inputs!C159</f>
        <v>Gerencialmento Contrato</v>
      </c>
      <c r="D271" s="266"/>
      <c r="E271" s="76" t="s">
        <v>13</v>
      </c>
      <c r="F271" s="23">
        <f t="shared" si="289"/>
        <v>2303.2945887768924</v>
      </c>
      <c r="G271" s="319">
        <f>Inputs!D159*Ops!G$256</f>
        <v>76.776486292563064</v>
      </c>
      <c r="H271" s="319">
        <f>Inputs!E159*Ops!H$256</f>
        <v>76.776486292563064</v>
      </c>
      <c r="I271" s="319">
        <f>Inputs!F159*Ops!I$256</f>
        <v>76.776486292563064</v>
      </c>
      <c r="J271" s="319">
        <f>Inputs!G159*Ops!J$256</f>
        <v>76.776486292563064</v>
      </c>
      <c r="K271" s="319">
        <f>Inputs!H159*Ops!K$256</f>
        <v>76.776486292563064</v>
      </c>
      <c r="L271" s="319">
        <f>Inputs!I159*Ops!L$256</f>
        <v>76.776486292563064</v>
      </c>
      <c r="M271" s="319">
        <f>Inputs!J159*Ops!M$256</f>
        <v>76.776486292563064</v>
      </c>
      <c r="N271" s="319">
        <f>Inputs!K159*Ops!N$256</f>
        <v>76.776486292563064</v>
      </c>
      <c r="O271" s="319">
        <f>Inputs!L159*Ops!O$256</f>
        <v>76.776486292563064</v>
      </c>
      <c r="P271" s="319">
        <f>Inputs!M159*Ops!P$256</f>
        <v>76.776486292563064</v>
      </c>
      <c r="Q271" s="319">
        <f>Inputs!N159*Ops!Q$256</f>
        <v>76.776486292563064</v>
      </c>
      <c r="R271" s="319">
        <f>Inputs!O159*Ops!R$256</f>
        <v>76.776486292563064</v>
      </c>
      <c r="S271" s="319">
        <f>Inputs!P159*Ops!S$256</f>
        <v>76.776486292563064</v>
      </c>
      <c r="T271" s="319">
        <f>Inputs!Q159*Ops!T$256</f>
        <v>76.776486292563064</v>
      </c>
      <c r="U271" s="319">
        <f>Inputs!R159*Ops!U$256</f>
        <v>76.776486292563064</v>
      </c>
      <c r="V271" s="319">
        <f>Inputs!S159*Ops!V$256</f>
        <v>76.776486292563064</v>
      </c>
      <c r="W271" s="319">
        <f>Inputs!T159*Ops!W$256</f>
        <v>76.776486292563064</v>
      </c>
      <c r="X271" s="319">
        <f>Inputs!U159*Ops!X$256</f>
        <v>76.776486292563064</v>
      </c>
      <c r="Y271" s="319">
        <f>Inputs!V159*Ops!Y$256</f>
        <v>76.776486292563064</v>
      </c>
      <c r="Z271" s="319">
        <f>Inputs!W159*Ops!Z$256</f>
        <v>76.776486292563064</v>
      </c>
      <c r="AA271" s="319">
        <f>Inputs!X159*Ops!AA$256</f>
        <v>76.776486292563064</v>
      </c>
      <c r="AB271" s="319">
        <f>Inputs!Y159*Ops!AB$256</f>
        <v>76.776486292563064</v>
      </c>
      <c r="AC271" s="319">
        <f>Inputs!Z159*Ops!AC$256</f>
        <v>76.776486292563064</v>
      </c>
      <c r="AD271" s="319">
        <f>Inputs!AA159*Ops!AD$256</f>
        <v>76.776486292563064</v>
      </c>
      <c r="AE271" s="319">
        <f>Inputs!AB159*Ops!AE$256</f>
        <v>76.776486292563064</v>
      </c>
      <c r="AF271" s="319">
        <f>Inputs!AC159*Ops!AF$256</f>
        <v>76.776486292563064</v>
      </c>
      <c r="AG271" s="319">
        <f>Inputs!AD159*Ops!AG$256</f>
        <v>76.776486292563064</v>
      </c>
      <c r="AH271" s="319">
        <f>Inputs!AE159*Ops!AH$256</f>
        <v>76.776486292563064</v>
      </c>
      <c r="AI271" s="319">
        <f>Inputs!AF159*Ops!AI$256</f>
        <v>76.776486292563064</v>
      </c>
      <c r="AJ271" s="319">
        <f>Inputs!AG159*Ops!AJ$256</f>
        <v>76.776486292563064</v>
      </c>
      <c r="AK271" s="319">
        <f>Inputs!AH159*Ops!AK$256</f>
        <v>0</v>
      </c>
      <c r="AL271" s="319">
        <f>Inputs!AI159*Ops!AL$256</f>
        <v>0</v>
      </c>
      <c r="AM271" s="319">
        <f>Inputs!AJ159*Ops!AM$256</f>
        <v>0</v>
      </c>
      <c r="AN271" s="319">
        <f>Inputs!AK159*Ops!AN$256</f>
        <v>0</v>
      </c>
    </row>
    <row r="272" spans="3:40" outlineLevel="2">
      <c r="D272" s="266"/>
      <c r="E272" s="309"/>
    </row>
    <row r="273" spans="3:40" outlineLevel="2">
      <c r="C273" s="266" t="s">
        <v>429</v>
      </c>
      <c r="D273" s="266"/>
      <c r="E273" s="76" t="s">
        <v>430</v>
      </c>
      <c r="F273" s="23">
        <f>SUM(G273:AN273)</f>
        <v>534371.49250275164</v>
      </c>
      <c r="G273" s="319">
        <f t="shared" ref="G273:AN273" si="291">SUM(G259:G271)</f>
        <v>15679.716684124005</v>
      </c>
      <c r="H273" s="319">
        <f t="shared" si="291"/>
        <v>16433.058263105664</v>
      </c>
      <c r="I273" s="319">
        <f t="shared" si="291"/>
        <v>16877.248850589356</v>
      </c>
      <c r="J273" s="319">
        <f t="shared" si="291"/>
        <v>17278.877162741388</v>
      </c>
      <c r="K273" s="319">
        <f t="shared" si="291"/>
        <v>17329.945502536182</v>
      </c>
      <c r="L273" s="319">
        <f t="shared" si="291"/>
        <v>17378.196600015643</v>
      </c>
      <c r="M273" s="319">
        <f t="shared" si="291"/>
        <v>18382.391811008878</v>
      </c>
      <c r="N273" s="319">
        <f t="shared" si="291"/>
        <v>17568.822981469413</v>
      </c>
      <c r="O273" s="319">
        <f t="shared" si="291"/>
        <v>17587.423231147608</v>
      </c>
      <c r="P273" s="319">
        <f t="shared" si="291"/>
        <v>17668.589804265805</v>
      </c>
      <c r="Q273" s="319">
        <f t="shared" si="291"/>
        <v>17687.203986150849</v>
      </c>
      <c r="R273" s="319">
        <f t="shared" si="291"/>
        <v>17705.80423582904</v>
      </c>
      <c r="S273" s="319">
        <f t="shared" si="291"/>
        <v>17724.404485507239</v>
      </c>
      <c r="T273" s="319">
        <f t="shared" si="291"/>
        <v>17743.00473518543</v>
      </c>
      <c r="U273" s="319">
        <f t="shared" si="291"/>
        <v>17761.618917070475</v>
      </c>
      <c r="V273" s="319">
        <f t="shared" si="291"/>
        <v>17780.21916674867</v>
      </c>
      <c r="W273" s="319">
        <f t="shared" si="291"/>
        <v>17799.090496426863</v>
      </c>
      <c r="X273" s="319">
        <f t="shared" si="291"/>
        <v>17817.690746105054</v>
      </c>
      <c r="Y273" s="319">
        <f t="shared" si="291"/>
        <v>18224.1102203101</v>
      </c>
      <c r="Z273" s="319">
        <f t="shared" si="291"/>
        <v>18242.710469988295</v>
      </c>
      <c r="AA273" s="319">
        <f t="shared" si="291"/>
        <v>18261.31071966649</v>
      </c>
      <c r="AB273" s="319">
        <f t="shared" si="291"/>
        <v>18279.910969344681</v>
      </c>
      <c r="AC273" s="319">
        <f t="shared" si="291"/>
        <v>18298.525151229725</v>
      </c>
      <c r="AD273" s="319">
        <f t="shared" si="291"/>
        <v>18317.396480907923</v>
      </c>
      <c r="AE273" s="319">
        <f t="shared" si="291"/>
        <v>18335.996730586114</v>
      </c>
      <c r="AF273" s="319">
        <f t="shared" si="291"/>
        <v>18354.596980264312</v>
      </c>
      <c r="AG273" s="319">
        <f t="shared" si="291"/>
        <v>18435.506405589356</v>
      </c>
      <c r="AH273" s="319">
        <f t="shared" si="291"/>
        <v>18454.106655267547</v>
      </c>
      <c r="AI273" s="319">
        <f t="shared" si="291"/>
        <v>18472.706904945746</v>
      </c>
      <c r="AJ273" s="319">
        <f t="shared" si="291"/>
        <v>18491.307154623937</v>
      </c>
      <c r="AK273" s="319">
        <f t="shared" si="291"/>
        <v>0</v>
      </c>
      <c r="AL273" s="319">
        <f t="shared" si="291"/>
        <v>0</v>
      </c>
      <c r="AM273" s="319">
        <f t="shared" si="291"/>
        <v>0</v>
      </c>
      <c r="AN273" s="319">
        <f t="shared" si="291"/>
        <v>0</v>
      </c>
    </row>
    <row r="274" spans="3:40" outlineLevel="2">
      <c r="D274" s="266"/>
      <c r="E274" s="309"/>
    </row>
    <row r="275" spans="3:40" outlineLevel="1">
      <c r="D275" s="266"/>
      <c r="E275" s="309"/>
    </row>
    <row r="276" spans="3:40" outlineLevel="1">
      <c r="D276" s="266"/>
      <c r="E276" s="309"/>
    </row>
    <row r="277" spans="3:40" ht="16.2" outlineLevel="1" thickBot="1">
      <c r="C277" s="464" t="s">
        <v>431</v>
      </c>
      <c r="D277" s="395"/>
      <c r="E277" s="396"/>
      <c r="F277" s="395"/>
      <c r="G277" s="395"/>
      <c r="H277" s="395"/>
      <c r="I277" s="395"/>
      <c r="J277" s="395"/>
      <c r="K277" s="395"/>
      <c r="L277" s="395"/>
      <c r="M277" s="395"/>
      <c r="N277" s="395"/>
      <c r="O277" s="395"/>
      <c r="P277" s="395"/>
      <c r="Q277" s="395"/>
      <c r="R277" s="395"/>
      <c r="S277" s="395"/>
      <c r="T277" s="395"/>
      <c r="U277" s="395"/>
      <c r="V277" s="395"/>
      <c r="W277" s="395"/>
      <c r="X277" s="395"/>
      <c r="Y277" s="395"/>
      <c r="Z277" s="395"/>
      <c r="AA277" s="395"/>
      <c r="AB277" s="395"/>
      <c r="AC277" s="395"/>
      <c r="AD277" s="395"/>
      <c r="AE277" s="395"/>
      <c r="AF277" s="395"/>
      <c r="AG277" s="395"/>
      <c r="AH277" s="395"/>
      <c r="AI277" s="395"/>
      <c r="AJ277" s="395"/>
      <c r="AK277" s="8"/>
      <c r="AL277" s="8"/>
      <c r="AM277" s="8"/>
      <c r="AN277" s="8"/>
    </row>
    <row r="278" spans="3:40" outlineLevel="2">
      <c r="D278" s="266"/>
      <c r="E278" s="309"/>
    </row>
    <row r="279" spans="3:40" outlineLevel="2">
      <c r="D279" s="266"/>
      <c r="E279" s="309"/>
    </row>
    <row r="280" spans="3:40" outlineLevel="2">
      <c r="C280" s="266" t="s">
        <v>255</v>
      </c>
      <c r="D280" s="266"/>
      <c r="E280">
        <f>0.02</f>
        <v>0.02</v>
      </c>
      <c r="F280" s="23">
        <f>SUM(G280:AJ280)</f>
        <v>450.09990000000005</v>
      </c>
      <c r="G280">
        <f>(($E$280*Inputs!D192)/1000)*12</f>
        <v>12.834420000000001</v>
      </c>
      <c r="H280">
        <f>(($E$280*Inputs!E192)/1000)*12</f>
        <v>12.984000000000002</v>
      </c>
      <c r="I280">
        <f>(($E$280*Inputs!F192)/1000)*12</f>
        <v>13.13358</v>
      </c>
      <c r="J280">
        <f>(($E$280*Inputs!G192)/1000)*12</f>
        <v>13.283159999999999</v>
      </c>
      <c r="K280">
        <f>(($E$280*Inputs!H192)/1000)*12</f>
        <v>13.432739999999999</v>
      </c>
      <c r="L280">
        <f>(($E$280*Inputs!I192)/1000)*12</f>
        <v>13.582320000000001</v>
      </c>
      <c r="M280">
        <f>(($E$280*Inputs!J192)/1000)*12</f>
        <v>13.7319</v>
      </c>
      <c r="N280">
        <f>(($E$280*Inputs!K192)/1000)*12</f>
        <v>13.88148</v>
      </c>
      <c r="O280">
        <f>(($E$280*Inputs!L192)/1000)*12</f>
        <v>14.031060000000002</v>
      </c>
      <c r="P280">
        <f>(($E$280*Inputs!M192)/1000)*12</f>
        <v>14.18064</v>
      </c>
      <c r="Q280">
        <f>(($E$280*Inputs!N192)/1000)*12</f>
        <v>14.330220000000001</v>
      </c>
      <c r="R280">
        <f>(($E$280*Inputs!O192)/1000)*12</f>
        <v>14.479800000000001</v>
      </c>
      <c r="S280">
        <f>(($E$280*Inputs!P192)/1000)*12</f>
        <v>14.629379999999999</v>
      </c>
      <c r="T280">
        <f>(($E$280*Inputs!Q192)/1000)*12</f>
        <v>14.778959999999998</v>
      </c>
      <c r="U280">
        <f>(($E$280*Inputs!R192)/1000)*12</f>
        <v>14.928540000000002</v>
      </c>
      <c r="V280">
        <f>(($E$280*Inputs!S192)/1000)*12</f>
        <v>15.07812</v>
      </c>
      <c r="W280">
        <f>(($E$280*Inputs!T192)/1000)*12</f>
        <v>15.227700000000002</v>
      </c>
      <c r="X280">
        <f>(($E$280*Inputs!U192)/1000)*12</f>
        <v>15.377280000000003</v>
      </c>
      <c r="Y280">
        <f>(($E$280*Inputs!V192)/1000)*12</f>
        <v>15.526860000000001</v>
      </c>
      <c r="Z280">
        <f>(($E$280*Inputs!W192)/1000)*12</f>
        <v>15.676439999999999</v>
      </c>
      <c r="AA280">
        <f>(($E$280*Inputs!X192)/1000)*12</f>
        <v>15.82602</v>
      </c>
      <c r="AB280">
        <f>(($E$280*Inputs!Y192)/1000)*12</f>
        <v>15.9756</v>
      </c>
      <c r="AC280">
        <f>(($E$280*Inputs!Z192)/1000)*12</f>
        <v>16.12518</v>
      </c>
      <c r="AD280">
        <f>(($E$280*Inputs!AA192)/1000)*12</f>
        <v>16.274760000000001</v>
      </c>
      <c r="AE280">
        <f>(($E$280*Inputs!AB192)/1000)*12</f>
        <v>16.424340000000001</v>
      </c>
      <c r="AF280">
        <f>(($E$280*Inputs!AC192)/1000)*12</f>
        <v>16.573920000000001</v>
      </c>
      <c r="AG280">
        <f>(($E$280*Inputs!AD192)/1000)*12</f>
        <v>16.723499999999998</v>
      </c>
      <c r="AH280">
        <f>(($E$280*Inputs!AE192)/1000)*12</f>
        <v>16.873079999999998</v>
      </c>
      <c r="AI280">
        <f>(($E$280*Inputs!AF192)/1000)*12</f>
        <v>17.022660000000002</v>
      </c>
      <c r="AJ280">
        <f>(($E$280*Inputs!AG192)/1000)*12</f>
        <v>17.172239999999999</v>
      </c>
      <c r="AK280"/>
    </row>
    <row r="281" spans="3:40" outlineLevel="2">
      <c r="D281" s="266"/>
      <c r="E281" s="266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</row>
    <row r="282" spans="3:40" outlineLevel="2">
      <c r="C282" s="266" t="s">
        <v>260</v>
      </c>
      <c r="D282" s="266"/>
      <c r="E282">
        <f>(0.03)</f>
        <v>0.03</v>
      </c>
      <c r="F282" s="23">
        <f>SUM(G282:AJ282)</f>
        <v>675.14985000000001</v>
      </c>
      <c r="G282">
        <f>(($E$282*Inputs!D192)/1000)*12</f>
        <v>19.251629999999999</v>
      </c>
      <c r="H282">
        <f>(($E$282*Inputs!E192)/1000)*12</f>
        <v>19.475999999999999</v>
      </c>
      <c r="I282">
        <f>(($E$282*Inputs!F192)/1000)*12</f>
        <v>19.700369999999999</v>
      </c>
      <c r="J282">
        <f>(($E$282*Inputs!G192)/1000)*12</f>
        <v>19.92474</v>
      </c>
      <c r="K282">
        <f>(($E$282*Inputs!H192)/1000)*12</f>
        <v>20.14911</v>
      </c>
      <c r="L282">
        <f>(($E$282*Inputs!I192)/1000)*12</f>
        <v>20.373480000000001</v>
      </c>
      <c r="M282">
        <f>(($E$282*Inputs!J192)/1000)*12</f>
        <v>20.597850000000001</v>
      </c>
      <c r="N282">
        <f>(($E$282*Inputs!K192)/1000)*12</f>
        <v>20.822220000000002</v>
      </c>
      <c r="O282">
        <f>(($E$282*Inputs!L192)/1000)*12</f>
        <v>21.046590000000002</v>
      </c>
      <c r="P282">
        <f>(($E$282*Inputs!M192)/1000)*12</f>
        <v>21.270959999999999</v>
      </c>
      <c r="Q282">
        <f>(($E$282*Inputs!N192)/1000)*12</f>
        <v>21.495329999999999</v>
      </c>
      <c r="R282">
        <f>(($E$282*Inputs!O192)/1000)*12</f>
        <v>21.7197</v>
      </c>
      <c r="S282">
        <f>(($E$282*Inputs!P192)/1000)*12</f>
        <v>21.94407</v>
      </c>
      <c r="T282">
        <f>(($E$282*Inputs!Q192)/1000)*12</f>
        <v>22.16844</v>
      </c>
      <c r="U282">
        <f>(($E$282*Inputs!R192)/1000)*12</f>
        <v>22.392810000000001</v>
      </c>
      <c r="V282">
        <f>(($E$282*Inputs!S192)/1000)*12</f>
        <v>22.617179999999998</v>
      </c>
      <c r="W282">
        <f>(($E$282*Inputs!T192)/1000)*12</f>
        <v>22.841549999999998</v>
      </c>
      <c r="X282">
        <f>(($E$282*Inputs!U192)/1000)*12</f>
        <v>23.065919999999998</v>
      </c>
      <c r="Y282">
        <f>(($E$282*Inputs!V192)/1000)*12</f>
        <v>23.290289999999999</v>
      </c>
      <c r="Z282">
        <f>(($E$282*Inputs!W192)/1000)*12</f>
        <v>23.514659999999999</v>
      </c>
      <c r="AA282">
        <f>(($E$282*Inputs!X192)/1000)*12</f>
        <v>23.739029999999996</v>
      </c>
      <c r="AB282">
        <f>(($E$282*Inputs!Y192)/1000)*12</f>
        <v>23.963399999999996</v>
      </c>
      <c r="AC282">
        <f>(($E$282*Inputs!Z192)/1000)*12</f>
        <v>24.18777</v>
      </c>
      <c r="AD282">
        <f>(($E$282*Inputs!AA192)/1000)*12</f>
        <v>24.412140000000001</v>
      </c>
      <c r="AE282">
        <f>(($E$282*Inputs!AB192)/1000)*12</f>
        <v>24.636510000000001</v>
      </c>
      <c r="AF282">
        <f>(($E$282*Inputs!AC192)/1000)*12</f>
        <v>24.860879999999995</v>
      </c>
      <c r="AG282">
        <f>(($E$282*Inputs!AD192)/1000)*12</f>
        <v>25.085250000000002</v>
      </c>
      <c r="AH282">
        <f>(($E$282*Inputs!AE192)/1000)*12</f>
        <v>25.309619999999995</v>
      </c>
      <c r="AI282">
        <f>(($E$282*Inputs!AF192)/1000)*12</f>
        <v>25.533989999999996</v>
      </c>
      <c r="AJ282">
        <f>(($E$282*Inputs!AG192)/1000)*12</f>
        <v>25.758359999999996</v>
      </c>
    </row>
    <row r="283" spans="3:40" outlineLevel="2">
      <c r="D283" s="266"/>
      <c r="E283" s="266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</row>
    <row r="284" spans="3:40" outlineLevel="2">
      <c r="C284" s="266" t="s">
        <v>264</v>
      </c>
      <c r="D284" s="266"/>
      <c r="E284">
        <f>(0.01)</f>
        <v>0.01</v>
      </c>
      <c r="F284" s="23">
        <f>SUM(G284:AJ284)</f>
        <v>225.04995000000002</v>
      </c>
      <c r="G284">
        <f>(($E$284*Inputs!D192)/1000)*12</f>
        <v>6.4172100000000007</v>
      </c>
      <c r="H284">
        <f>(($E$284*Inputs!E192)/1000)*12</f>
        <v>6.4920000000000009</v>
      </c>
      <c r="I284">
        <f>(($E$284*Inputs!F192)/1000)*12</f>
        <v>6.5667900000000001</v>
      </c>
      <c r="J284">
        <f>(($E$284*Inputs!G192)/1000)*12</f>
        <v>6.6415799999999994</v>
      </c>
      <c r="K284">
        <f>(($E$284*Inputs!H192)/1000)*12</f>
        <v>6.7163699999999995</v>
      </c>
      <c r="L284">
        <f>(($E$284*Inputs!I192)/1000)*12</f>
        <v>6.7911600000000005</v>
      </c>
      <c r="M284">
        <f>(($E$284*Inputs!J192)/1000)*12</f>
        <v>6.8659499999999998</v>
      </c>
      <c r="N284">
        <f>(($E$284*Inputs!K192)/1000)*12</f>
        <v>6.9407399999999999</v>
      </c>
      <c r="O284">
        <f>(($E$284*Inputs!L192)/1000)*12</f>
        <v>7.0155300000000009</v>
      </c>
      <c r="P284">
        <f>(($E$284*Inputs!M192)/1000)*12</f>
        <v>7.0903200000000002</v>
      </c>
      <c r="Q284">
        <f>(($E$284*Inputs!N192)/1000)*12</f>
        <v>7.1651100000000003</v>
      </c>
      <c r="R284">
        <f>(($E$284*Inputs!O192)/1000)*12</f>
        <v>7.2399000000000004</v>
      </c>
      <c r="S284">
        <f>(($E$284*Inputs!P192)/1000)*12</f>
        <v>7.3146899999999997</v>
      </c>
      <c r="T284">
        <f>(($E$284*Inputs!Q192)/1000)*12</f>
        <v>7.3894799999999989</v>
      </c>
      <c r="U284">
        <f>(($E$284*Inputs!R192)/1000)*12</f>
        <v>7.4642700000000008</v>
      </c>
      <c r="V284">
        <f>(($E$284*Inputs!S192)/1000)*12</f>
        <v>7.5390600000000001</v>
      </c>
      <c r="W284">
        <f>(($E$284*Inputs!T192)/1000)*12</f>
        <v>7.6138500000000011</v>
      </c>
      <c r="X284">
        <f>(($E$284*Inputs!U192)/1000)*12</f>
        <v>7.6886400000000013</v>
      </c>
      <c r="Y284">
        <f>(($E$284*Inputs!V192)/1000)*12</f>
        <v>7.7634300000000005</v>
      </c>
      <c r="Z284">
        <f>(($E$284*Inputs!W192)/1000)*12</f>
        <v>7.8382199999999997</v>
      </c>
      <c r="AA284">
        <f>(($E$284*Inputs!X192)/1000)*12</f>
        <v>7.9130099999999999</v>
      </c>
      <c r="AB284">
        <f>(($E$284*Inputs!Y192)/1000)*12</f>
        <v>7.9878</v>
      </c>
      <c r="AC284">
        <f>(($E$284*Inputs!Z192)/1000)*12</f>
        <v>8.0625900000000001</v>
      </c>
      <c r="AD284">
        <f>(($E$284*Inputs!AA192)/1000)*12</f>
        <v>8.1373800000000003</v>
      </c>
      <c r="AE284">
        <f>(($E$284*Inputs!AB192)/1000)*12</f>
        <v>8.2121700000000004</v>
      </c>
      <c r="AF284">
        <f>(($E$284*Inputs!AC192)/1000)*12</f>
        <v>8.2869600000000005</v>
      </c>
      <c r="AG284">
        <f>(($E$284*Inputs!AD192)/1000)*12</f>
        <v>8.3617499999999989</v>
      </c>
      <c r="AH284">
        <f>(($E$284*Inputs!AE192)/1000)*12</f>
        <v>8.436539999999999</v>
      </c>
      <c r="AI284">
        <f>(($E$284*Inputs!AF192)/1000)*12</f>
        <v>8.511330000000001</v>
      </c>
      <c r="AJ284">
        <f>(($E$284*Inputs!AG192)/1000)*12</f>
        <v>8.5861199999999993</v>
      </c>
    </row>
    <row r="285" spans="3:40" outlineLevel="2">
      <c r="D285" s="266"/>
      <c r="E285" s="266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</row>
    <row r="286" spans="3:40" outlineLevel="2">
      <c r="C286" s="266" t="s">
        <v>268</v>
      </c>
      <c r="D286" s="266"/>
      <c r="E286">
        <f>(0.03)</f>
        <v>0.03</v>
      </c>
      <c r="F286" s="23">
        <f>SUM(G286:AJ286)</f>
        <v>675.14985000000001</v>
      </c>
      <c r="G286">
        <f>(($E$286*Inputs!D192)/1000)*12</f>
        <v>19.251629999999999</v>
      </c>
      <c r="H286">
        <f>(($E$286*Inputs!E192)/1000)*12</f>
        <v>19.475999999999999</v>
      </c>
      <c r="I286">
        <f>(($E$286*Inputs!F192)/1000)*12</f>
        <v>19.700369999999999</v>
      </c>
      <c r="J286">
        <f>(($E$286*Inputs!G192)/1000)*12</f>
        <v>19.92474</v>
      </c>
      <c r="K286">
        <f>(($E$286*Inputs!H192)/1000)*12</f>
        <v>20.14911</v>
      </c>
      <c r="L286">
        <f>(($E$286*Inputs!I192)/1000)*12</f>
        <v>20.373480000000001</v>
      </c>
      <c r="M286">
        <f>(($E$286*Inputs!J192)/1000)*12</f>
        <v>20.597850000000001</v>
      </c>
      <c r="N286">
        <f>(($E$286*Inputs!K192)/1000)*12</f>
        <v>20.822220000000002</v>
      </c>
      <c r="O286">
        <f>(($E$286*Inputs!L192)/1000)*12</f>
        <v>21.046590000000002</v>
      </c>
      <c r="P286">
        <f>(($E$286*Inputs!M192)/1000)*12</f>
        <v>21.270959999999999</v>
      </c>
      <c r="Q286">
        <f>(($E$286*Inputs!N192)/1000)*12</f>
        <v>21.495329999999999</v>
      </c>
      <c r="R286">
        <f>(($E$286*Inputs!O192)/1000)*12</f>
        <v>21.7197</v>
      </c>
      <c r="S286">
        <f>(($E$286*Inputs!P192)/1000)*12</f>
        <v>21.94407</v>
      </c>
      <c r="T286">
        <f>(($E$286*Inputs!Q192)/1000)*12</f>
        <v>22.16844</v>
      </c>
      <c r="U286">
        <f>(($E$286*Inputs!R192)/1000)*12</f>
        <v>22.392810000000001</v>
      </c>
      <c r="V286">
        <f>(($E$286*Inputs!S192)/1000)*12</f>
        <v>22.617179999999998</v>
      </c>
      <c r="W286">
        <f>(($E$286*Inputs!T192)/1000)*12</f>
        <v>22.841549999999998</v>
      </c>
      <c r="X286">
        <f>(($E$286*Inputs!U192)/1000)*12</f>
        <v>23.065919999999998</v>
      </c>
      <c r="Y286">
        <f>(($E$286*Inputs!V192)/1000)*12</f>
        <v>23.290289999999999</v>
      </c>
      <c r="Z286">
        <f>(($E$286*Inputs!W192)/1000)*12</f>
        <v>23.514659999999999</v>
      </c>
      <c r="AA286">
        <f>(($E$286*Inputs!X192)/1000)*12</f>
        <v>23.739029999999996</v>
      </c>
      <c r="AB286">
        <f>(($E$286*Inputs!Y192)/1000)*12</f>
        <v>23.963399999999996</v>
      </c>
      <c r="AC286">
        <f>(($E$286*Inputs!Z192)/1000)*12</f>
        <v>24.18777</v>
      </c>
      <c r="AD286">
        <f>(($E$286*Inputs!AA192)/1000)*12</f>
        <v>24.412140000000001</v>
      </c>
      <c r="AE286">
        <f>(($E$286*Inputs!AB192)/1000)*12</f>
        <v>24.636510000000001</v>
      </c>
      <c r="AF286">
        <f>(($E$286*Inputs!AC192)/1000)*12</f>
        <v>24.860879999999995</v>
      </c>
      <c r="AG286">
        <f>(($E$286*Inputs!AD192)/1000)*12</f>
        <v>25.085250000000002</v>
      </c>
      <c r="AH286">
        <f>(($E$286*Inputs!AE192)/1000)*12</f>
        <v>25.309619999999995</v>
      </c>
      <c r="AI286">
        <f>(($E$286*Inputs!AF192)/1000)*12</f>
        <v>25.533989999999996</v>
      </c>
      <c r="AJ286">
        <f>(($E$286*Inputs!AG192)/1000)*12</f>
        <v>25.758359999999996</v>
      </c>
    </row>
    <row r="287" spans="3:40" outlineLevel="1">
      <c r="D287" s="266"/>
      <c r="E287" s="309"/>
    </row>
    <row r="288" spans="3:40" outlineLevel="1">
      <c r="D288" s="266"/>
      <c r="E288" s="309"/>
    </row>
    <row r="289" spans="3:40" outlineLevel="1">
      <c r="C289" s="147" t="s">
        <v>432</v>
      </c>
      <c r="D289" s="266"/>
      <c r="E289" s="309"/>
    </row>
    <row r="290" spans="3:40" outlineLevel="2">
      <c r="C290" s="266" t="str">
        <f>Flags!C50</f>
        <v>Flag de operação</v>
      </c>
      <c r="D290" s="266"/>
      <c r="E290" s="32" t="str">
        <f>Flags!E$72</f>
        <v>Flag</v>
      </c>
      <c r="F290" s="23">
        <f>Flags!F$72</f>
        <v>30</v>
      </c>
      <c r="G290" s="25">
        <v>1</v>
      </c>
      <c r="H290" s="25">
        <f>Flags!H50</f>
        <v>1</v>
      </c>
      <c r="I290" s="25">
        <f>Flags!I50</f>
        <v>1</v>
      </c>
      <c r="J290" s="25">
        <f>Flags!J50</f>
        <v>1</v>
      </c>
      <c r="K290" s="25">
        <f>Flags!K50</f>
        <v>1</v>
      </c>
      <c r="L290" s="25">
        <f>Flags!L50</f>
        <v>1</v>
      </c>
      <c r="M290" s="25">
        <f>Flags!M50</f>
        <v>1</v>
      </c>
      <c r="N290" s="25">
        <f>Flags!N50</f>
        <v>1</v>
      </c>
      <c r="O290" s="25">
        <f>Flags!O50</f>
        <v>1</v>
      </c>
      <c r="P290" s="25">
        <f>Flags!P50</f>
        <v>1</v>
      </c>
      <c r="Q290" s="25">
        <f>Flags!Q50</f>
        <v>1</v>
      </c>
      <c r="R290" s="25">
        <f>Flags!R50</f>
        <v>1</v>
      </c>
      <c r="S290" s="25">
        <f>Flags!S50</f>
        <v>1</v>
      </c>
      <c r="T290" s="25">
        <f>Flags!T50</f>
        <v>1</v>
      </c>
      <c r="U290" s="25">
        <f>Flags!U50</f>
        <v>1</v>
      </c>
      <c r="V290" s="25">
        <f>Flags!V50</f>
        <v>1</v>
      </c>
      <c r="W290" s="25">
        <f>Flags!W50</f>
        <v>1</v>
      </c>
      <c r="X290" s="25">
        <f>Flags!X50</f>
        <v>1</v>
      </c>
      <c r="Y290" s="25">
        <f>Flags!Y50</f>
        <v>1</v>
      </c>
      <c r="Z290" s="25">
        <f>Flags!Z50</f>
        <v>1</v>
      </c>
      <c r="AA290" s="25">
        <f>Flags!AA50</f>
        <v>1</v>
      </c>
      <c r="AB290" s="25">
        <f>Flags!AB50</f>
        <v>1</v>
      </c>
      <c r="AC290" s="25">
        <f>Flags!AC50</f>
        <v>1</v>
      </c>
      <c r="AD290" s="25">
        <f>Flags!AD50</f>
        <v>1</v>
      </c>
      <c r="AE290" s="25">
        <f>Flags!AE50</f>
        <v>1</v>
      </c>
      <c r="AF290" s="25">
        <f>Flags!AF50</f>
        <v>1</v>
      </c>
      <c r="AG290" s="25">
        <f>Flags!AG50</f>
        <v>1</v>
      </c>
      <c r="AH290" s="25">
        <f>Flags!AH50</f>
        <v>1</v>
      </c>
      <c r="AI290" s="25">
        <f>Flags!AI50</f>
        <v>1</v>
      </c>
      <c r="AJ290" s="25">
        <f>Flags!AJ50</f>
        <v>1</v>
      </c>
      <c r="AK290" s="25">
        <f>Flags!AK50</f>
        <v>0</v>
      </c>
      <c r="AL290" s="25">
        <f>Flags!AL50</f>
        <v>0</v>
      </c>
      <c r="AM290" s="25">
        <f>Flags!AM50</f>
        <v>0</v>
      </c>
      <c r="AN290" s="25">
        <f>Flags!AN50</f>
        <v>0</v>
      </c>
    </row>
    <row r="291" spans="3:40" outlineLevel="2">
      <c r="D291" s="266"/>
      <c r="F291" s="118"/>
      <c r="G291" s="118"/>
      <c r="H291" s="118"/>
      <c r="I291" s="118"/>
      <c r="J291" s="118"/>
      <c r="K291" s="118"/>
      <c r="L291" s="118"/>
      <c r="M291" s="118"/>
      <c r="N291" s="118"/>
      <c r="O291" s="118"/>
      <c r="P291" s="118"/>
      <c r="Q291" s="118"/>
      <c r="R291" s="118"/>
      <c r="S291" s="118"/>
      <c r="T291" s="118"/>
      <c r="U291" s="118"/>
      <c r="V291" s="118"/>
      <c r="W291" s="118"/>
      <c r="X291" s="118"/>
      <c r="Y291" s="118"/>
      <c r="Z291" s="118"/>
      <c r="AA291" s="118"/>
      <c r="AB291" s="118"/>
      <c r="AC291" s="118"/>
      <c r="AD291" s="118"/>
      <c r="AE291" s="118"/>
      <c r="AF291" s="118"/>
      <c r="AG291" s="118"/>
      <c r="AH291" s="118"/>
      <c r="AI291" s="118"/>
      <c r="AJ291" s="118"/>
      <c r="AK291" s="118"/>
      <c r="AL291" s="118"/>
      <c r="AM291" s="118"/>
      <c r="AN291" s="118"/>
    </row>
    <row r="292" spans="3:40" outlineLevel="2">
      <c r="C292" s="266" t="str">
        <f>Inputs!C200</f>
        <v>Despesas com seguros multiriscos</v>
      </c>
      <c r="D292" s="38">
        <f>Inputs!D200</f>
        <v>2.5</v>
      </c>
      <c r="F292" s="118"/>
      <c r="G292" s="118"/>
      <c r="H292" s="118"/>
      <c r="I292" s="118"/>
      <c r="J292" s="118"/>
      <c r="K292" s="118"/>
      <c r="L292" s="118"/>
      <c r="M292" s="118"/>
      <c r="N292" s="118"/>
      <c r="O292" s="118"/>
      <c r="P292" s="118"/>
      <c r="Q292" s="118"/>
      <c r="R292" s="118"/>
      <c r="S292" s="118"/>
      <c r="T292" s="118"/>
      <c r="U292" s="118"/>
      <c r="V292" s="118"/>
      <c r="W292" s="118"/>
      <c r="X292" s="118"/>
      <c r="Y292" s="118"/>
      <c r="Z292" s="118"/>
      <c r="AA292" s="118"/>
      <c r="AB292" s="118"/>
      <c r="AC292" s="118"/>
      <c r="AD292" s="118"/>
      <c r="AE292" s="118"/>
      <c r="AF292" s="118"/>
      <c r="AG292" s="118"/>
      <c r="AH292" s="118"/>
      <c r="AI292" s="118"/>
      <c r="AJ292" s="118"/>
      <c r="AK292" s="118"/>
      <c r="AL292" s="118"/>
      <c r="AM292" s="118"/>
      <c r="AN292" s="118"/>
    </row>
    <row r="293" spans="3:40" outlineLevel="2">
      <c r="D293" s="266"/>
      <c r="F293" s="118"/>
      <c r="G293" s="118"/>
      <c r="H293" s="118"/>
      <c r="I293" s="118"/>
      <c r="J293" s="118"/>
      <c r="K293" s="118"/>
      <c r="L293" s="118"/>
      <c r="M293" s="118"/>
      <c r="N293" s="118"/>
      <c r="O293" s="118"/>
      <c r="P293" s="118"/>
      <c r="Q293" s="118"/>
      <c r="R293" s="118"/>
      <c r="S293" s="118"/>
      <c r="T293" s="118"/>
      <c r="U293" s="118"/>
      <c r="V293" s="118"/>
      <c r="W293" s="118"/>
      <c r="X293" s="118"/>
      <c r="Y293" s="118"/>
      <c r="Z293" s="118"/>
      <c r="AA293" s="118"/>
      <c r="AB293" s="118"/>
      <c r="AC293" s="118"/>
      <c r="AD293" s="118"/>
      <c r="AE293" s="118"/>
      <c r="AF293" s="118"/>
      <c r="AG293" s="118"/>
      <c r="AH293" s="118"/>
      <c r="AI293" s="118"/>
      <c r="AJ293" s="118"/>
      <c r="AK293" s="118"/>
      <c r="AL293" s="118"/>
      <c r="AM293" s="118"/>
      <c r="AN293" s="118"/>
    </row>
    <row r="294" spans="3:40" outlineLevel="2">
      <c r="C294" s="266" t="str">
        <f>Inputs!C200</f>
        <v>Despesas com seguros multiriscos</v>
      </c>
      <c r="D294" s="266"/>
      <c r="E294" s="202" t="s">
        <v>20</v>
      </c>
      <c r="F294" s="23">
        <f>SUM(G294:AN294)</f>
        <v>75</v>
      </c>
      <c r="G294" s="273">
        <f t="shared" ref="G294:AN294" si="292">IF(G290=1,$D$292,0)</f>
        <v>2.5</v>
      </c>
      <c r="H294" s="273">
        <f t="shared" si="292"/>
        <v>2.5</v>
      </c>
      <c r="I294" s="273">
        <f t="shared" si="292"/>
        <v>2.5</v>
      </c>
      <c r="J294" s="273">
        <f t="shared" si="292"/>
        <v>2.5</v>
      </c>
      <c r="K294" s="273">
        <f t="shared" si="292"/>
        <v>2.5</v>
      </c>
      <c r="L294" s="273">
        <f t="shared" si="292"/>
        <v>2.5</v>
      </c>
      <c r="M294" s="273">
        <f t="shared" si="292"/>
        <v>2.5</v>
      </c>
      <c r="N294" s="273">
        <f t="shared" si="292"/>
        <v>2.5</v>
      </c>
      <c r="O294" s="273">
        <f t="shared" si="292"/>
        <v>2.5</v>
      </c>
      <c r="P294" s="273">
        <f t="shared" si="292"/>
        <v>2.5</v>
      </c>
      <c r="Q294" s="273">
        <f t="shared" si="292"/>
        <v>2.5</v>
      </c>
      <c r="R294" s="273">
        <f t="shared" si="292"/>
        <v>2.5</v>
      </c>
      <c r="S294" s="273">
        <f t="shared" si="292"/>
        <v>2.5</v>
      </c>
      <c r="T294" s="273">
        <f t="shared" si="292"/>
        <v>2.5</v>
      </c>
      <c r="U294" s="273">
        <f t="shared" si="292"/>
        <v>2.5</v>
      </c>
      <c r="V294" s="273">
        <f t="shared" si="292"/>
        <v>2.5</v>
      </c>
      <c r="W294" s="273">
        <f t="shared" si="292"/>
        <v>2.5</v>
      </c>
      <c r="X294" s="273">
        <f t="shared" si="292"/>
        <v>2.5</v>
      </c>
      <c r="Y294" s="273">
        <f t="shared" si="292"/>
        <v>2.5</v>
      </c>
      <c r="Z294" s="273">
        <f t="shared" si="292"/>
        <v>2.5</v>
      </c>
      <c r="AA294" s="273">
        <f t="shared" si="292"/>
        <v>2.5</v>
      </c>
      <c r="AB294" s="273">
        <f t="shared" si="292"/>
        <v>2.5</v>
      </c>
      <c r="AC294" s="273">
        <f t="shared" si="292"/>
        <v>2.5</v>
      </c>
      <c r="AD294" s="273">
        <f t="shared" si="292"/>
        <v>2.5</v>
      </c>
      <c r="AE294" s="273">
        <f t="shared" si="292"/>
        <v>2.5</v>
      </c>
      <c r="AF294" s="273">
        <f t="shared" si="292"/>
        <v>2.5</v>
      </c>
      <c r="AG294" s="273">
        <f t="shared" si="292"/>
        <v>2.5</v>
      </c>
      <c r="AH294" s="273">
        <f t="shared" si="292"/>
        <v>2.5</v>
      </c>
      <c r="AI294" s="273">
        <f t="shared" si="292"/>
        <v>2.5</v>
      </c>
      <c r="AJ294" s="273">
        <f t="shared" si="292"/>
        <v>2.5</v>
      </c>
      <c r="AK294" s="273">
        <f t="shared" si="292"/>
        <v>0</v>
      </c>
      <c r="AL294" s="273">
        <f t="shared" si="292"/>
        <v>0</v>
      </c>
      <c r="AM294" s="273">
        <f t="shared" si="292"/>
        <v>0</v>
      </c>
      <c r="AN294" s="273">
        <f t="shared" si="292"/>
        <v>0</v>
      </c>
    </row>
    <row r="295" spans="3:40" outlineLevel="2">
      <c r="D295" s="266"/>
      <c r="E295" s="309"/>
    </row>
    <row r="296" spans="3:40" outlineLevel="1">
      <c r="D296" s="266"/>
      <c r="E296" s="309"/>
    </row>
    <row r="297" spans="3:40" outlineLevel="1">
      <c r="C297" s="147" t="s">
        <v>433</v>
      </c>
      <c r="D297" s="266"/>
      <c r="E297" s="309"/>
    </row>
    <row r="298" spans="3:40" outlineLevel="2">
      <c r="C298" s="266" t="str">
        <f>Flags!C72</f>
        <v>Cons + Ops Flag</v>
      </c>
      <c r="D298" s="266"/>
      <c r="E298" s="32" t="str">
        <f>Flags!E72</f>
        <v>Flag</v>
      </c>
      <c r="F298" s="23">
        <f>Flags!F72</f>
        <v>30</v>
      </c>
      <c r="G298" s="25">
        <f>Flags!G72</f>
        <v>1</v>
      </c>
      <c r="H298" s="25">
        <f>Flags!H72</f>
        <v>1</v>
      </c>
      <c r="I298" s="25">
        <f>Flags!I72</f>
        <v>1</v>
      </c>
      <c r="J298" s="25">
        <f>Flags!J72</f>
        <v>1</v>
      </c>
      <c r="K298" s="25">
        <f>Flags!K72</f>
        <v>1</v>
      </c>
      <c r="L298" s="25">
        <f>Flags!L72</f>
        <v>1</v>
      </c>
      <c r="M298" s="25">
        <f>Flags!M72</f>
        <v>1</v>
      </c>
      <c r="N298" s="25">
        <f>Flags!N72</f>
        <v>1</v>
      </c>
      <c r="O298" s="25">
        <f>Flags!O72</f>
        <v>1</v>
      </c>
      <c r="P298" s="25">
        <f>Flags!P72</f>
        <v>1</v>
      </c>
      <c r="Q298" s="25">
        <f>Flags!Q72</f>
        <v>1</v>
      </c>
      <c r="R298" s="25">
        <f>Flags!R72</f>
        <v>1</v>
      </c>
      <c r="S298" s="25">
        <f>Flags!S72</f>
        <v>1</v>
      </c>
      <c r="T298" s="25">
        <f>Flags!T72</f>
        <v>1</v>
      </c>
      <c r="U298" s="25">
        <f>Flags!U72</f>
        <v>1</v>
      </c>
      <c r="V298" s="25">
        <f>Flags!V72</f>
        <v>1</v>
      </c>
      <c r="W298" s="25">
        <f>Flags!W72</f>
        <v>1</v>
      </c>
      <c r="X298" s="25">
        <f>Flags!X72</f>
        <v>1</v>
      </c>
      <c r="Y298" s="25">
        <f>Flags!Y72</f>
        <v>1</v>
      </c>
      <c r="Z298" s="25">
        <f>Flags!Z72</f>
        <v>1</v>
      </c>
      <c r="AA298" s="25">
        <f>Flags!AA72</f>
        <v>1</v>
      </c>
      <c r="AB298" s="25">
        <f>Flags!AB72</f>
        <v>1</v>
      </c>
      <c r="AC298" s="25">
        <f>Flags!AC72</f>
        <v>1</v>
      </c>
      <c r="AD298" s="25">
        <f>Flags!AD72</f>
        <v>1</v>
      </c>
      <c r="AE298" s="25">
        <f>Flags!AE72</f>
        <v>1</v>
      </c>
      <c r="AF298" s="25">
        <f>Flags!AF72</f>
        <v>1</v>
      </c>
      <c r="AG298" s="25">
        <f>Flags!AG72</f>
        <v>1</v>
      </c>
      <c r="AH298" s="25">
        <f>Flags!AH72</f>
        <v>1</v>
      </c>
      <c r="AI298" s="25">
        <f>Flags!AI72</f>
        <v>1</v>
      </c>
      <c r="AJ298" s="25">
        <f>Flags!AJ72</f>
        <v>1</v>
      </c>
      <c r="AK298" s="25">
        <f>Flags!AK72</f>
        <v>0</v>
      </c>
      <c r="AL298" s="25">
        <f>Flags!AL72</f>
        <v>0</v>
      </c>
      <c r="AM298" s="25">
        <f>Flags!AM72</f>
        <v>0</v>
      </c>
      <c r="AN298" s="25">
        <f>Flags!AN72</f>
        <v>0</v>
      </c>
    </row>
    <row r="299" spans="3:40" outlineLevel="2">
      <c r="C299" s="266" t="str">
        <f>Flags!C$28</f>
        <v>Ano</v>
      </c>
      <c r="D299" s="266"/>
      <c r="E299" s="202" t="str">
        <f>Flags!E$28</f>
        <v>Ano</v>
      </c>
      <c r="G299" s="266">
        <f>Flags!G$28</f>
        <v>2027</v>
      </c>
      <c r="H299" s="266">
        <f>Flags!H$28</f>
        <v>2028</v>
      </c>
      <c r="I299" s="266">
        <f>Flags!I$28</f>
        <v>2029</v>
      </c>
      <c r="J299" s="266">
        <f>Flags!J$28</f>
        <v>2030</v>
      </c>
      <c r="K299" s="266">
        <f>Flags!K$28</f>
        <v>2031</v>
      </c>
      <c r="L299" s="266">
        <f>Flags!L$28</f>
        <v>2032</v>
      </c>
      <c r="M299" s="266">
        <f>Flags!M$28</f>
        <v>2033</v>
      </c>
      <c r="N299" s="266">
        <f>Flags!N$28</f>
        <v>2034</v>
      </c>
      <c r="O299" s="266">
        <f>Flags!O$28</f>
        <v>2035</v>
      </c>
      <c r="P299" s="266">
        <f>Flags!P$28</f>
        <v>2036</v>
      </c>
      <c r="Q299" s="266">
        <f>Flags!Q$28</f>
        <v>2037</v>
      </c>
      <c r="R299" s="266">
        <f>Flags!R$28</f>
        <v>2038</v>
      </c>
      <c r="S299" s="266">
        <f>Flags!S$28</f>
        <v>2039</v>
      </c>
      <c r="T299" s="266">
        <f>Flags!T$28</f>
        <v>2040</v>
      </c>
      <c r="U299" s="266">
        <f>Flags!U$28</f>
        <v>2041</v>
      </c>
      <c r="V299" s="266">
        <f>Flags!V$28</f>
        <v>2042</v>
      </c>
      <c r="W299" s="266">
        <f>Flags!W$28</f>
        <v>2043</v>
      </c>
      <c r="X299" s="266">
        <f>Flags!X$28</f>
        <v>2044</v>
      </c>
      <c r="Y299" s="266">
        <f>Flags!Y$28</f>
        <v>2045</v>
      </c>
      <c r="Z299" s="266">
        <f>Flags!Z$28</f>
        <v>2046</v>
      </c>
      <c r="AA299" s="266">
        <f>Flags!AA$28</f>
        <v>2047</v>
      </c>
      <c r="AB299" s="266">
        <f>Flags!AB$28</f>
        <v>2048</v>
      </c>
      <c r="AC299" s="266">
        <f>Flags!AC$28</f>
        <v>2049</v>
      </c>
      <c r="AD299" s="266">
        <f>Flags!AD$28</f>
        <v>2050</v>
      </c>
      <c r="AE299" s="266">
        <f>Flags!AE$28</f>
        <v>2051</v>
      </c>
      <c r="AF299" s="266">
        <f>Flags!AF$28</f>
        <v>2052</v>
      </c>
      <c r="AG299" s="266">
        <f>Flags!AG$28</f>
        <v>2053</v>
      </c>
      <c r="AH299" s="266">
        <f>Flags!AH$28</f>
        <v>2054</v>
      </c>
      <c r="AI299" s="266">
        <f>Flags!AI$28</f>
        <v>2055</v>
      </c>
      <c r="AJ299" s="266">
        <f>Flags!AJ$28</f>
        <v>2056</v>
      </c>
      <c r="AK299" s="266">
        <f>Flags!AK$28</f>
        <v>2057</v>
      </c>
      <c r="AL299" s="266">
        <f>Flags!AL$28</f>
        <v>2058</v>
      </c>
      <c r="AM299" s="266">
        <f>Flags!AM$28</f>
        <v>2059</v>
      </c>
      <c r="AN299" s="266">
        <f>Flags!AN$28</f>
        <v>2060</v>
      </c>
    </row>
    <row r="300" spans="3:40" outlineLevel="2">
      <c r="C300" s="266" t="s">
        <v>434</v>
      </c>
      <c r="D300" s="266"/>
      <c r="E300" s="202" t="s">
        <v>20</v>
      </c>
      <c r="F300" s="23">
        <f>SUM(G300:AN300)</f>
        <v>82.5</v>
      </c>
      <c r="G300" s="273">
        <f>IF(G298=1,LOOKUP(G$299,Inputs!$D$212:$G$212,Inputs!$D$214:$G$214),0)</f>
        <v>27.5</v>
      </c>
      <c r="H300" s="273">
        <f>IF(H298=1,LOOKUP(H$299,Inputs!$D$212:$G$212,Inputs!$D$214:$G$214),0)</f>
        <v>27.5</v>
      </c>
      <c r="I300" s="273">
        <f>IF(I298=1,LOOKUP(I$299,Inputs!$D$212:$G$212,Inputs!$D$214:$G$214),0)</f>
        <v>27.5</v>
      </c>
      <c r="J300" s="273">
        <f>IF(J298=1,LOOKUP(J$299,Inputs!$D$212:$G$212,Inputs!$D$214:$G$214),0)</f>
        <v>0</v>
      </c>
      <c r="K300" s="273">
        <f>IF(K298=1,LOOKUP(K$299,Inputs!$D$212:$G$212,Inputs!$D$214:$G$214),0)</f>
        <v>0</v>
      </c>
      <c r="L300" s="273">
        <f>IF(L298=1,LOOKUP(L$299,Inputs!$D$212:$G$212,Inputs!$D$214:$G$214),0)</f>
        <v>0</v>
      </c>
      <c r="M300" s="273">
        <f>IF(M298=1,LOOKUP(M$299,Inputs!$D$212:$G$212,Inputs!$D$214:$G$214),0)</f>
        <v>0</v>
      </c>
      <c r="N300" s="273">
        <f>IF(N298=1,LOOKUP(N$299,Inputs!$D$212:$G$212,Inputs!$D$214:$G$214),0)</f>
        <v>0</v>
      </c>
      <c r="O300" s="273">
        <f>IF(O298=1,LOOKUP(O$299,Inputs!$D$212:$G$212,Inputs!$D$214:$G$214),0)</f>
        <v>0</v>
      </c>
      <c r="P300" s="273">
        <f>IF(P298=1,LOOKUP(P$299,Inputs!$D$212:$G$212,Inputs!$D$214:$G$214),0)</f>
        <v>0</v>
      </c>
      <c r="Q300" s="273">
        <f>IF(Q298=1,LOOKUP(Q$299,Inputs!$D$212:$G$212,Inputs!$D$214:$G$214),0)</f>
        <v>0</v>
      </c>
      <c r="R300" s="273">
        <f>IF(R298=1,LOOKUP(R$299,Inputs!$D$212:$G$212,Inputs!$D$214:$G$214),0)</f>
        <v>0</v>
      </c>
      <c r="S300" s="273">
        <f>IF(S298=1,LOOKUP(S$299,Inputs!$D$212:$G$212,Inputs!$D$214:$G$214),0)</f>
        <v>0</v>
      </c>
      <c r="T300" s="273">
        <f>IF(T298=1,LOOKUP(T$299,Inputs!$D$212:$G$212,Inputs!$D$214:$G$214),0)</f>
        <v>0</v>
      </c>
      <c r="U300" s="273">
        <f>IF(U298=1,LOOKUP(U$299,Inputs!$D$212:$G$212,Inputs!$D$214:$G$214),0)</f>
        <v>0</v>
      </c>
      <c r="V300" s="273">
        <f>IF(V298=1,LOOKUP(V$299,Inputs!$D$212:$G$212,Inputs!$D$214:$G$214),0)</f>
        <v>0</v>
      </c>
      <c r="W300" s="273">
        <f>IF(W298=1,LOOKUP(W$299,Inputs!$D$212:$G$212,Inputs!$D$214:$G$214),0)</f>
        <v>0</v>
      </c>
      <c r="X300" s="273">
        <f>IF(X298=1,LOOKUP(X$299,Inputs!$D$212:$G$212,Inputs!$D$214:$G$214),0)</f>
        <v>0</v>
      </c>
      <c r="Y300" s="273">
        <f>IF(Y298=1,LOOKUP(Y$299,Inputs!$D$212:$G$212,Inputs!$D$214:$G$214),0)</f>
        <v>0</v>
      </c>
      <c r="Z300" s="273">
        <f>IF(Z298=1,LOOKUP(Z$299,Inputs!$D$212:$G$212,Inputs!$D$214:$G$214),0)</f>
        <v>0</v>
      </c>
      <c r="AA300" s="273">
        <f>IF(AA298=1,LOOKUP(AA$299,Inputs!$D$212:$G$212,Inputs!$D$214:$G$214),0)</f>
        <v>0</v>
      </c>
      <c r="AB300" s="273">
        <f>IF(AB298=1,LOOKUP(AB$299,Inputs!$D$212:$G$212,Inputs!$D$214:$G$214),0)</f>
        <v>0</v>
      </c>
      <c r="AC300" s="273">
        <f>IF(AC298=1,LOOKUP(AC$299,Inputs!$D$212:$G$212,Inputs!$D$214:$G$214),0)</f>
        <v>0</v>
      </c>
      <c r="AD300" s="273">
        <f>IF(AD298=1,LOOKUP(AD$299,Inputs!$D$212:$G$212,Inputs!$D$214:$G$214),0)</f>
        <v>0</v>
      </c>
      <c r="AE300" s="273">
        <f>IF(AE298=1,LOOKUP(AE$299,Inputs!$D$212:$G$212,Inputs!$D$214:$G$214),0)</f>
        <v>0</v>
      </c>
      <c r="AF300" s="273">
        <f>IF(AF298=1,LOOKUP(AF$299,Inputs!$D$212:$G$212,Inputs!$D$214:$G$214),0)</f>
        <v>0</v>
      </c>
      <c r="AG300" s="273">
        <f>IF(AG298=1,LOOKUP(AG$299,Inputs!$D$212:$G$212,Inputs!$D$214:$G$214),0)</f>
        <v>0</v>
      </c>
      <c r="AH300" s="273">
        <f>IF(AH298=1,LOOKUP(AH$299,Inputs!$D$212:$G$212,Inputs!$D$214:$G$214),0)</f>
        <v>0</v>
      </c>
      <c r="AI300" s="273">
        <f>IF(AI298=1,LOOKUP(AI$299,Inputs!$D$212:$G$212,Inputs!$D$214:$G$214),0)</f>
        <v>0</v>
      </c>
      <c r="AJ300" s="273">
        <f>IF(AJ298=1,LOOKUP(AJ$299,Inputs!$D$212:$G$212,Inputs!$D$214:$G$214),0)</f>
        <v>0</v>
      </c>
      <c r="AK300" s="273">
        <f>IF(AK298=1,LOOKUP(AK$299,Inputs!$D$212:$G$212,Inputs!$D$214:$G$214),0)</f>
        <v>0</v>
      </c>
      <c r="AL300" s="273">
        <f>IF(AL298=1,LOOKUP(AL$299,Inputs!$D$212:$G$212,Inputs!$D$214:$G$214),0)</f>
        <v>0</v>
      </c>
      <c r="AM300" s="273">
        <f>IF(AM298=1,LOOKUP(AM$299,Inputs!$D$212:$G$212,Inputs!$D$214:$G$214),0)</f>
        <v>0</v>
      </c>
      <c r="AN300" s="273">
        <f>IF(AN298=1,LOOKUP(AN$299,Inputs!$D$212:$G$212,Inputs!$D$214:$G$214),0)</f>
        <v>0</v>
      </c>
    </row>
    <row r="301" spans="3:40" outlineLevel="2">
      <c r="D301" s="266"/>
      <c r="E301" s="309"/>
    </row>
    <row r="302" spans="3:40" outlineLevel="1">
      <c r="D302" s="266"/>
      <c r="E302" s="309"/>
    </row>
    <row r="303" spans="3:40" outlineLevel="1">
      <c r="C303" s="147" t="s">
        <v>435</v>
      </c>
      <c r="D303" s="266"/>
      <c r="E303" s="309"/>
    </row>
    <row r="304" spans="3:40" outlineLevel="2">
      <c r="C304" s="266" t="str">
        <f>Flags!C72</f>
        <v>Cons + Ops Flag</v>
      </c>
      <c r="D304" s="266"/>
      <c r="E304" s="32" t="str">
        <f>Flags!E72</f>
        <v>Flag</v>
      </c>
      <c r="F304" s="23">
        <f>Flags!F72</f>
        <v>30</v>
      </c>
      <c r="G304" s="25">
        <f>Flags!G72</f>
        <v>1</v>
      </c>
      <c r="H304" s="25">
        <f>Flags!H72</f>
        <v>1</v>
      </c>
      <c r="I304" s="25">
        <f>Flags!I72</f>
        <v>1</v>
      </c>
      <c r="J304" s="25">
        <f>Flags!J72</f>
        <v>1</v>
      </c>
      <c r="K304" s="25">
        <f>Flags!K72</f>
        <v>1</v>
      </c>
      <c r="L304" s="25">
        <f>Flags!L72</f>
        <v>1</v>
      </c>
      <c r="M304" s="25">
        <f>Flags!M72</f>
        <v>1</v>
      </c>
      <c r="N304" s="25">
        <f>Flags!N72</f>
        <v>1</v>
      </c>
      <c r="O304" s="25">
        <f>Flags!O72</f>
        <v>1</v>
      </c>
      <c r="P304" s="25">
        <f>Flags!P72</f>
        <v>1</v>
      </c>
      <c r="Q304" s="25">
        <f>Flags!Q72</f>
        <v>1</v>
      </c>
      <c r="R304" s="25">
        <f>Flags!R72</f>
        <v>1</v>
      </c>
      <c r="S304" s="25">
        <f>Flags!S72</f>
        <v>1</v>
      </c>
      <c r="T304" s="25">
        <f>Flags!T72</f>
        <v>1</v>
      </c>
      <c r="U304" s="25">
        <f>Flags!U72</f>
        <v>1</v>
      </c>
      <c r="V304" s="25">
        <f>Flags!V72</f>
        <v>1</v>
      </c>
      <c r="W304" s="25">
        <f>Flags!W72</f>
        <v>1</v>
      </c>
      <c r="X304" s="25">
        <f>Flags!X72</f>
        <v>1</v>
      </c>
      <c r="Y304" s="25">
        <f>Flags!Y72</f>
        <v>1</v>
      </c>
      <c r="Z304" s="25">
        <f>Flags!Z72</f>
        <v>1</v>
      </c>
      <c r="AA304" s="25">
        <f>Flags!AA72</f>
        <v>1</v>
      </c>
      <c r="AB304" s="25">
        <f>Flags!AB72</f>
        <v>1</v>
      </c>
      <c r="AC304" s="25">
        <f>Flags!AC72</f>
        <v>1</v>
      </c>
      <c r="AD304" s="25">
        <f>Flags!AD72</f>
        <v>1</v>
      </c>
      <c r="AE304" s="25">
        <f>Flags!AE72</f>
        <v>1</v>
      </c>
      <c r="AF304" s="25">
        <f>Flags!AF72</f>
        <v>1</v>
      </c>
      <c r="AG304" s="25">
        <f>Flags!AG72</f>
        <v>1</v>
      </c>
      <c r="AH304" s="25">
        <f>Flags!AH72</f>
        <v>1</v>
      </c>
      <c r="AI304" s="25">
        <f>Flags!AI72</f>
        <v>1</v>
      </c>
      <c r="AJ304" s="25">
        <f>Flags!AJ72</f>
        <v>1</v>
      </c>
      <c r="AK304" s="25">
        <f>Flags!AK72</f>
        <v>0</v>
      </c>
      <c r="AL304" s="25">
        <f>Flags!AL72</f>
        <v>0</v>
      </c>
      <c r="AM304" s="25">
        <f>Flags!AM72</f>
        <v>0</v>
      </c>
      <c r="AN304" s="25">
        <f>Flags!AN72</f>
        <v>0</v>
      </c>
    </row>
    <row r="305" spans="3:40" outlineLevel="2">
      <c r="C305" s="266" t="s">
        <v>436</v>
      </c>
      <c r="D305" s="38">
        <f>Inputs!D225</f>
        <v>28.791182359711147</v>
      </c>
      <c r="E305" s="202" t="s">
        <v>20</v>
      </c>
      <c r="F305" s="23">
        <f>SUM(G305:AN305)</f>
        <v>863.73547079133425</v>
      </c>
      <c r="G305" s="273">
        <f t="shared" ref="G305:AN305" si="293">IF(G304=1,$D$305,0)</f>
        <v>28.791182359711147</v>
      </c>
      <c r="H305" s="273">
        <f t="shared" si="293"/>
        <v>28.791182359711147</v>
      </c>
      <c r="I305" s="273">
        <f t="shared" si="293"/>
        <v>28.791182359711147</v>
      </c>
      <c r="J305" s="273">
        <f t="shared" si="293"/>
        <v>28.791182359711147</v>
      </c>
      <c r="K305" s="273">
        <f t="shared" si="293"/>
        <v>28.791182359711147</v>
      </c>
      <c r="L305" s="273">
        <f t="shared" si="293"/>
        <v>28.791182359711147</v>
      </c>
      <c r="M305" s="273">
        <f t="shared" si="293"/>
        <v>28.791182359711147</v>
      </c>
      <c r="N305" s="273">
        <f t="shared" si="293"/>
        <v>28.791182359711147</v>
      </c>
      <c r="O305" s="273">
        <f t="shared" si="293"/>
        <v>28.791182359711147</v>
      </c>
      <c r="P305" s="273">
        <f t="shared" si="293"/>
        <v>28.791182359711147</v>
      </c>
      <c r="Q305" s="273">
        <f t="shared" si="293"/>
        <v>28.791182359711147</v>
      </c>
      <c r="R305" s="273">
        <f t="shared" si="293"/>
        <v>28.791182359711147</v>
      </c>
      <c r="S305" s="273">
        <f t="shared" si="293"/>
        <v>28.791182359711147</v>
      </c>
      <c r="T305" s="273">
        <f t="shared" si="293"/>
        <v>28.791182359711147</v>
      </c>
      <c r="U305" s="273">
        <f t="shared" si="293"/>
        <v>28.791182359711147</v>
      </c>
      <c r="V305" s="273">
        <f t="shared" si="293"/>
        <v>28.791182359711147</v>
      </c>
      <c r="W305" s="273">
        <f t="shared" si="293"/>
        <v>28.791182359711147</v>
      </c>
      <c r="X305" s="273">
        <f t="shared" si="293"/>
        <v>28.791182359711147</v>
      </c>
      <c r="Y305" s="273">
        <f t="shared" si="293"/>
        <v>28.791182359711147</v>
      </c>
      <c r="Z305" s="273">
        <f t="shared" si="293"/>
        <v>28.791182359711147</v>
      </c>
      <c r="AA305" s="273">
        <f t="shared" si="293"/>
        <v>28.791182359711147</v>
      </c>
      <c r="AB305" s="273">
        <f t="shared" si="293"/>
        <v>28.791182359711147</v>
      </c>
      <c r="AC305" s="273">
        <f t="shared" si="293"/>
        <v>28.791182359711147</v>
      </c>
      <c r="AD305" s="273">
        <f t="shared" si="293"/>
        <v>28.791182359711147</v>
      </c>
      <c r="AE305" s="273">
        <f t="shared" si="293"/>
        <v>28.791182359711147</v>
      </c>
      <c r="AF305" s="273">
        <f t="shared" si="293"/>
        <v>28.791182359711147</v>
      </c>
      <c r="AG305" s="273">
        <f t="shared" si="293"/>
        <v>28.791182359711147</v>
      </c>
      <c r="AH305" s="273">
        <f t="shared" si="293"/>
        <v>28.791182359711147</v>
      </c>
      <c r="AI305" s="273">
        <f t="shared" si="293"/>
        <v>28.791182359711147</v>
      </c>
      <c r="AJ305" s="273">
        <f t="shared" si="293"/>
        <v>28.791182359711147</v>
      </c>
      <c r="AK305" s="273">
        <f t="shared" si="293"/>
        <v>0</v>
      </c>
      <c r="AL305" s="273">
        <f t="shared" si="293"/>
        <v>0</v>
      </c>
      <c r="AM305" s="273">
        <f t="shared" si="293"/>
        <v>0</v>
      </c>
      <c r="AN305" s="273">
        <f t="shared" si="293"/>
        <v>0</v>
      </c>
    </row>
    <row r="306" spans="3:40" outlineLevel="2">
      <c r="D306" s="266"/>
      <c r="E306" s="309"/>
    </row>
    <row r="307" spans="3:40" outlineLevel="2">
      <c r="D307" s="266"/>
      <c r="E307" s="309"/>
    </row>
    <row r="308" spans="3:40" outlineLevel="2">
      <c r="C308" s="11" t="s">
        <v>437</v>
      </c>
      <c r="D308" s="266"/>
      <c r="E308" s="309"/>
    </row>
    <row r="309" spans="3:40" outlineLevel="2">
      <c r="D309" s="266"/>
      <c r="E309" s="32">
        <f>Flags!E77</f>
        <v>0</v>
      </c>
      <c r="F309" s="23">
        <f>Flags!F77</f>
        <v>0</v>
      </c>
      <c r="G309" s="25">
        <f t="shared" ref="G309:AM309" si="294">G304</f>
        <v>1</v>
      </c>
      <c r="H309" s="25">
        <f t="shared" si="294"/>
        <v>1</v>
      </c>
      <c r="I309" s="25">
        <f t="shared" si="294"/>
        <v>1</v>
      </c>
      <c r="J309" s="25">
        <f t="shared" si="294"/>
        <v>1</v>
      </c>
      <c r="K309" s="25">
        <f t="shared" si="294"/>
        <v>1</v>
      </c>
      <c r="L309" s="25">
        <f t="shared" si="294"/>
        <v>1</v>
      </c>
      <c r="M309" s="25">
        <f t="shared" si="294"/>
        <v>1</v>
      </c>
      <c r="N309" s="25">
        <f t="shared" si="294"/>
        <v>1</v>
      </c>
      <c r="O309" s="25">
        <f t="shared" si="294"/>
        <v>1</v>
      </c>
      <c r="P309" s="25">
        <f t="shared" si="294"/>
        <v>1</v>
      </c>
      <c r="Q309" s="25">
        <f t="shared" si="294"/>
        <v>1</v>
      </c>
      <c r="R309" s="25">
        <f t="shared" si="294"/>
        <v>1</v>
      </c>
      <c r="S309" s="25">
        <f t="shared" si="294"/>
        <v>1</v>
      </c>
      <c r="T309" s="25">
        <f t="shared" si="294"/>
        <v>1</v>
      </c>
      <c r="U309" s="25">
        <f t="shared" si="294"/>
        <v>1</v>
      </c>
      <c r="V309" s="25">
        <f t="shared" si="294"/>
        <v>1</v>
      </c>
      <c r="W309" s="25">
        <f t="shared" si="294"/>
        <v>1</v>
      </c>
      <c r="X309" s="25">
        <f t="shared" si="294"/>
        <v>1</v>
      </c>
      <c r="Y309" s="25">
        <f t="shared" si="294"/>
        <v>1</v>
      </c>
      <c r="Z309" s="25">
        <f t="shared" si="294"/>
        <v>1</v>
      </c>
      <c r="AA309" s="25">
        <f t="shared" si="294"/>
        <v>1</v>
      </c>
      <c r="AB309" s="25">
        <f t="shared" si="294"/>
        <v>1</v>
      </c>
      <c r="AC309" s="25">
        <f t="shared" si="294"/>
        <v>1</v>
      </c>
      <c r="AD309" s="25">
        <f t="shared" si="294"/>
        <v>1</v>
      </c>
      <c r="AE309" s="25">
        <f t="shared" si="294"/>
        <v>1</v>
      </c>
      <c r="AF309" s="25">
        <f t="shared" si="294"/>
        <v>1</v>
      </c>
      <c r="AG309" s="25">
        <f t="shared" si="294"/>
        <v>1</v>
      </c>
      <c r="AH309" s="25">
        <f t="shared" si="294"/>
        <v>1</v>
      </c>
      <c r="AI309" s="25">
        <f t="shared" si="294"/>
        <v>1</v>
      </c>
      <c r="AJ309" s="25">
        <f t="shared" si="294"/>
        <v>1</v>
      </c>
      <c r="AK309" s="25">
        <f t="shared" si="294"/>
        <v>0</v>
      </c>
      <c r="AL309" s="25">
        <f t="shared" si="294"/>
        <v>0</v>
      </c>
      <c r="AM309" s="25">
        <f t="shared" si="294"/>
        <v>0</v>
      </c>
      <c r="AN309" s="25">
        <f>AN304</f>
        <v>0</v>
      </c>
    </row>
    <row r="310" spans="3:40" outlineLevel="2">
      <c r="C310" s="266" t="s">
        <v>438</v>
      </c>
      <c r="D310" s="38">
        <f>SUM(Inputs!D232:AG232)</f>
        <v>76.443648618970684</v>
      </c>
      <c r="E310" s="202" t="s">
        <v>20</v>
      </c>
      <c r="F310" s="23">
        <f>SUM(G310:AN310)</f>
        <v>76.443648618970684</v>
      </c>
      <c r="G310" s="273">
        <f>Inputs!D232</f>
        <v>1.2790064731359931</v>
      </c>
      <c r="H310" s="273">
        <f>Inputs!E232</f>
        <v>4.9382423976376577</v>
      </c>
      <c r="I310" s="273">
        <f>Inputs!F232</f>
        <v>1.3235912754197001</v>
      </c>
      <c r="J310" s="273">
        <f>Inputs!G232</f>
        <v>0.17264464585970002</v>
      </c>
      <c r="K310" s="273">
        <f>Inputs!H232</f>
        <v>0.17264464585970002</v>
      </c>
      <c r="L310" s="273">
        <f>Inputs!I232</f>
        <v>42.703515166796649</v>
      </c>
      <c r="M310" s="273">
        <f>Inputs!J232</f>
        <v>0.5890952653353041</v>
      </c>
      <c r="N310" s="273">
        <f>Inputs!K232</f>
        <v>0.18214805585970001</v>
      </c>
      <c r="O310" s="273">
        <f>Inputs!L232</f>
        <v>0.15191589585970003</v>
      </c>
      <c r="P310" s="273">
        <f>Inputs!M232</f>
        <v>0.24264464585970003</v>
      </c>
      <c r="Q310" s="273">
        <f>Inputs!N232</f>
        <v>0.37581325081495859</v>
      </c>
      <c r="R310" s="273">
        <f>Inputs!O232</f>
        <v>1.2147421062152917</v>
      </c>
      <c r="S310" s="273">
        <f>Inputs!P232</f>
        <v>0.29337756037170004</v>
      </c>
      <c r="T310" s="273">
        <f>Inputs!Q232</f>
        <v>0.62583333033530408</v>
      </c>
      <c r="U310" s="273">
        <f>Inputs!R232</f>
        <v>0.15191589585970003</v>
      </c>
      <c r="V310" s="273">
        <f>Inputs!S232</f>
        <v>8.683138296147888</v>
      </c>
      <c r="W310" s="273">
        <f>Inputs!T232</f>
        <v>0.20590658085970001</v>
      </c>
      <c r="X310" s="273">
        <f>Inputs!U232</f>
        <v>0.23141930585970003</v>
      </c>
      <c r="Y310" s="273">
        <f>Inputs!V232</f>
        <v>0.17264464585970002</v>
      </c>
      <c r="Z310" s="273">
        <f>Inputs!W232</f>
        <v>0.17264464585970002</v>
      </c>
      <c r="AA310" s="273">
        <f>Inputs!X232</f>
        <v>0.73827318529056274</v>
      </c>
      <c r="AB310" s="273">
        <f>Inputs!Y232</f>
        <v>1.3054708562152917</v>
      </c>
      <c r="AC310" s="273">
        <f>Inputs!Z232</f>
        <v>0.29337756037170004</v>
      </c>
      <c r="AD310" s="273">
        <f>Inputs!AA232</f>
        <v>0.15191589585970003</v>
      </c>
      <c r="AE310" s="273">
        <f>Inputs!AB232</f>
        <v>0.17264464585970002</v>
      </c>
      <c r="AF310" s="273">
        <f>Inputs!AC232</f>
        <v>8.7540072766518886</v>
      </c>
      <c r="AG310" s="273">
        <f>Inputs!AD232</f>
        <v>0.18517783085969999</v>
      </c>
      <c r="AH310" s="273">
        <f>Inputs!AE232</f>
        <v>0.56533674033530401</v>
      </c>
      <c r="AI310" s="273">
        <f>Inputs!AF232</f>
        <v>0.17264464585970002</v>
      </c>
      <c r="AJ310" s="273">
        <f>Inputs!AG232</f>
        <v>0.22191589585970001</v>
      </c>
      <c r="AK310" s="273">
        <f>Inputs!AH232</f>
        <v>0</v>
      </c>
      <c r="AL310" s="273">
        <f>Inputs!AI232</f>
        <v>0</v>
      </c>
      <c r="AM310" s="273">
        <f>Inputs!AJ232</f>
        <v>0</v>
      </c>
      <c r="AN310" s="273">
        <f>Inputs!AK232</f>
        <v>0</v>
      </c>
    </row>
    <row r="311" spans="3:40" outlineLevel="2">
      <c r="D311" s="266"/>
      <c r="E311" s="309"/>
    </row>
    <row r="312" spans="3:40" outlineLevel="1">
      <c r="D312" s="266"/>
      <c r="E312" s="309"/>
    </row>
    <row r="313" spans="3:40" outlineLevel="1">
      <c r="C313" s="5" t="s">
        <v>142</v>
      </c>
      <c r="D313" s="266"/>
      <c r="E313" s="309"/>
    </row>
    <row r="314" spans="3:40" outlineLevel="2">
      <c r="C314" t="str">
        <f t="shared" ref="C314:C326" si="295">C259</f>
        <v>Coleta Manual E Conteinerizada Resíduos Comuns</v>
      </c>
      <c r="D314" s="266"/>
      <c r="E314" s="32" t="str">
        <f t="shared" ref="E314:E326" si="296">E259</f>
        <v>$ 000s</v>
      </c>
      <c r="F314" s="23">
        <f>SUM(G314:AN314)</f>
        <v>119618.57126399549</v>
      </c>
      <c r="G314" s="273">
        <f>G259</f>
        <v>3802.4182892478507</v>
      </c>
      <c r="H314" s="273">
        <f t="shared" ref="H314:AN314" si="297">H259</f>
        <v>3802.4182892478507</v>
      </c>
      <c r="I314" s="273">
        <f t="shared" si="297"/>
        <v>3832.3822892478506</v>
      </c>
      <c r="J314" s="273">
        <f t="shared" si="297"/>
        <v>3862.3462892478506</v>
      </c>
      <c r="K314" s="273">
        <f t="shared" si="297"/>
        <v>3862.3462892478506</v>
      </c>
      <c r="L314" s="273">
        <f t="shared" si="297"/>
        <v>3862.3462892478506</v>
      </c>
      <c r="M314" s="273">
        <f t="shared" si="297"/>
        <v>3862.3462892478506</v>
      </c>
      <c r="N314" s="273">
        <f t="shared" si="297"/>
        <v>3862.3462892478506</v>
      </c>
      <c r="O314" s="273">
        <f t="shared" si="297"/>
        <v>3862.3462892478506</v>
      </c>
      <c r="P314" s="273">
        <f t="shared" si="297"/>
        <v>3862.3462892478506</v>
      </c>
      <c r="Q314" s="273">
        <f t="shared" si="297"/>
        <v>3862.3462892478506</v>
      </c>
      <c r="R314" s="273">
        <f t="shared" si="297"/>
        <v>3862.3462892478506</v>
      </c>
      <c r="S314" s="273">
        <f t="shared" si="297"/>
        <v>3862.3462892478506</v>
      </c>
      <c r="T314" s="273">
        <f t="shared" si="297"/>
        <v>3862.3462892478506</v>
      </c>
      <c r="U314" s="273">
        <f t="shared" si="297"/>
        <v>3862.3462892478506</v>
      </c>
      <c r="V314" s="273">
        <f t="shared" si="297"/>
        <v>3862.3462892478506</v>
      </c>
      <c r="W314" s="273">
        <f t="shared" si="297"/>
        <v>3862.3462892478506</v>
      </c>
      <c r="X314" s="273">
        <f t="shared" si="297"/>
        <v>3862.3462892478506</v>
      </c>
      <c r="Y314" s="273">
        <f t="shared" si="297"/>
        <v>4187.1798381278504</v>
      </c>
      <c r="Z314" s="273">
        <f t="shared" si="297"/>
        <v>4187.1798381278504</v>
      </c>
      <c r="AA314" s="273">
        <f t="shared" si="297"/>
        <v>4187.1798381278504</v>
      </c>
      <c r="AB314" s="273">
        <f t="shared" si="297"/>
        <v>4187.1798381278504</v>
      </c>
      <c r="AC314" s="273">
        <f t="shared" si="297"/>
        <v>4187.1798381278504</v>
      </c>
      <c r="AD314" s="273">
        <f t="shared" si="297"/>
        <v>4187.1798381278504</v>
      </c>
      <c r="AE314" s="273">
        <f t="shared" si="297"/>
        <v>4187.1798381278504</v>
      </c>
      <c r="AF314" s="273">
        <f t="shared" si="297"/>
        <v>4187.1798381278504</v>
      </c>
      <c r="AG314" s="273">
        <f t="shared" si="297"/>
        <v>4187.1798381278504</v>
      </c>
      <c r="AH314" s="273">
        <f t="shared" si="297"/>
        <v>4187.1798381278504</v>
      </c>
      <c r="AI314" s="273">
        <f t="shared" si="297"/>
        <v>4187.1798381278504</v>
      </c>
      <c r="AJ314" s="273">
        <f t="shared" si="297"/>
        <v>4187.1798381278504</v>
      </c>
      <c r="AK314" s="273">
        <f t="shared" si="297"/>
        <v>0</v>
      </c>
      <c r="AL314" s="273">
        <f t="shared" si="297"/>
        <v>0</v>
      </c>
      <c r="AM314" s="273">
        <f t="shared" si="297"/>
        <v>0</v>
      </c>
      <c r="AN314" s="273">
        <f t="shared" si="297"/>
        <v>0</v>
      </c>
    </row>
    <row r="315" spans="3:40" outlineLevel="2">
      <c r="C315" t="str">
        <f t="shared" si="295"/>
        <v>Coleta Materias Recicláveis</v>
      </c>
      <c r="D315" s="266"/>
      <c r="E315" s="32" t="str">
        <f t="shared" si="296"/>
        <v>$ 000s</v>
      </c>
      <c r="F315" s="23">
        <f t="shared" ref="F315:F331" si="298">SUM(G315:AN315)</f>
        <v>45195.221764716509</v>
      </c>
      <c r="G315" s="273">
        <f t="shared" ref="G315:AN315" si="299">G260</f>
        <v>1214.1571981652173</v>
      </c>
      <c r="H315" s="273">
        <f t="shared" si="299"/>
        <v>1214.1571981652173</v>
      </c>
      <c r="I315" s="273">
        <f t="shared" si="299"/>
        <v>1214.1571981652173</v>
      </c>
      <c r="J315" s="273">
        <f t="shared" si="299"/>
        <v>1538.9907470452174</v>
      </c>
      <c r="K315" s="273">
        <f t="shared" si="299"/>
        <v>1538.9907470452174</v>
      </c>
      <c r="L315" s="273">
        <f t="shared" si="299"/>
        <v>1538.9907470452174</v>
      </c>
      <c r="M315" s="273">
        <f t="shared" si="299"/>
        <v>1538.9907470452174</v>
      </c>
      <c r="N315" s="273">
        <f t="shared" si="299"/>
        <v>1538.9907470452174</v>
      </c>
      <c r="O315" s="273">
        <f t="shared" si="299"/>
        <v>1538.9907470452174</v>
      </c>
      <c r="P315" s="273">
        <f t="shared" si="299"/>
        <v>1538.9907470452174</v>
      </c>
      <c r="Q315" s="273">
        <f t="shared" si="299"/>
        <v>1538.9907470452174</v>
      </c>
      <c r="R315" s="273">
        <f t="shared" si="299"/>
        <v>1538.9907470452174</v>
      </c>
      <c r="S315" s="273">
        <f t="shared" si="299"/>
        <v>1538.9907470452174</v>
      </c>
      <c r="T315" s="273">
        <f t="shared" si="299"/>
        <v>1538.9907470452174</v>
      </c>
      <c r="U315" s="273">
        <f t="shared" si="299"/>
        <v>1538.9907470452174</v>
      </c>
      <c r="V315" s="273">
        <f t="shared" si="299"/>
        <v>1538.9907470452174</v>
      </c>
      <c r="W315" s="273">
        <f t="shared" si="299"/>
        <v>1538.9907470452174</v>
      </c>
      <c r="X315" s="273">
        <f t="shared" si="299"/>
        <v>1538.9907470452174</v>
      </c>
      <c r="Y315" s="273">
        <f t="shared" si="299"/>
        <v>1538.9907470452174</v>
      </c>
      <c r="Z315" s="273">
        <f t="shared" si="299"/>
        <v>1538.9907470452174</v>
      </c>
      <c r="AA315" s="273">
        <f t="shared" si="299"/>
        <v>1538.9907470452174</v>
      </c>
      <c r="AB315" s="273">
        <f t="shared" si="299"/>
        <v>1538.9907470452174</v>
      </c>
      <c r="AC315" s="273">
        <f t="shared" si="299"/>
        <v>1538.9907470452174</v>
      </c>
      <c r="AD315" s="273">
        <f t="shared" si="299"/>
        <v>1538.9907470452174</v>
      </c>
      <c r="AE315" s="273">
        <f t="shared" si="299"/>
        <v>1538.9907470452174</v>
      </c>
      <c r="AF315" s="273">
        <f t="shared" si="299"/>
        <v>1538.9907470452174</v>
      </c>
      <c r="AG315" s="273">
        <f t="shared" si="299"/>
        <v>1538.9907470452174</v>
      </c>
      <c r="AH315" s="273">
        <f t="shared" si="299"/>
        <v>1538.9907470452174</v>
      </c>
      <c r="AI315" s="273">
        <f t="shared" si="299"/>
        <v>1538.9907470452174</v>
      </c>
      <c r="AJ315" s="273">
        <f t="shared" si="299"/>
        <v>1538.9907470452174</v>
      </c>
      <c r="AK315" s="273">
        <f t="shared" si="299"/>
        <v>0</v>
      </c>
      <c r="AL315" s="273">
        <f t="shared" si="299"/>
        <v>0</v>
      </c>
      <c r="AM315" s="273">
        <f t="shared" si="299"/>
        <v>0</v>
      </c>
      <c r="AN315" s="273">
        <f t="shared" si="299"/>
        <v>0</v>
      </c>
    </row>
    <row r="316" spans="3:40" outlineLevel="2">
      <c r="C316" t="str">
        <f t="shared" si="295"/>
        <v>Transporte E Destinação - Resíduos Dos  Pevs</v>
      </c>
      <c r="D316" s="266"/>
      <c r="E316" s="32" t="str">
        <f t="shared" si="296"/>
        <v>$ 000s</v>
      </c>
      <c r="F316" s="23">
        <f t="shared" si="298"/>
        <v>7369.9807028168852</v>
      </c>
      <c r="G316" s="273">
        <f t="shared" ref="G316:AN316" si="300">G261</f>
        <v>0</v>
      </c>
      <c r="H316" s="273">
        <f t="shared" si="300"/>
        <v>0</v>
      </c>
      <c r="I316" s="273">
        <f t="shared" si="300"/>
        <v>263.21359652917431</v>
      </c>
      <c r="J316" s="273">
        <f t="shared" si="300"/>
        <v>263.21359652917431</v>
      </c>
      <c r="K316" s="273">
        <f t="shared" si="300"/>
        <v>263.21359652917431</v>
      </c>
      <c r="L316" s="273">
        <f t="shared" si="300"/>
        <v>263.21359652917431</v>
      </c>
      <c r="M316" s="273">
        <f t="shared" si="300"/>
        <v>263.21359652917431</v>
      </c>
      <c r="N316" s="273">
        <f t="shared" si="300"/>
        <v>263.21359652917431</v>
      </c>
      <c r="O316" s="273">
        <f t="shared" si="300"/>
        <v>263.21359652917431</v>
      </c>
      <c r="P316" s="273">
        <f t="shared" si="300"/>
        <v>263.21359652917431</v>
      </c>
      <c r="Q316" s="273">
        <f t="shared" si="300"/>
        <v>263.21359652917431</v>
      </c>
      <c r="R316" s="273">
        <f t="shared" si="300"/>
        <v>263.21359652917431</v>
      </c>
      <c r="S316" s="273">
        <f t="shared" si="300"/>
        <v>263.21359652917431</v>
      </c>
      <c r="T316" s="273">
        <f t="shared" si="300"/>
        <v>263.21359652917431</v>
      </c>
      <c r="U316" s="273">
        <f t="shared" si="300"/>
        <v>263.21359652917431</v>
      </c>
      <c r="V316" s="273">
        <f t="shared" si="300"/>
        <v>263.21359652917431</v>
      </c>
      <c r="W316" s="273">
        <f t="shared" si="300"/>
        <v>263.21359652917431</v>
      </c>
      <c r="X316" s="273">
        <f t="shared" si="300"/>
        <v>263.21359652917431</v>
      </c>
      <c r="Y316" s="273">
        <f t="shared" si="300"/>
        <v>263.21359652917431</v>
      </c>
      <c r="Z316" s="273">
        <f t="shared" si="300"/>
        <v>263.21359652917431</v>
      </c>
      <c r="AA316" s="273">
        <f t="shared" si="300"/>
        <v>263.21359652917431</v>
      </c>
      <c r="AB316" s="273">
        <f t="shared" si="300"/>
        <v>263.21359652917431</v>
      </c>
      <c r="AC316" s="273">
        <f t="shared" si="300"/>
        <v>263.21359652917431</v>
      </c>
      <c r="AD316" s="273">
        <f t="shared" si="300"/>
        <v>263.21359652917431</v>
      </c>
      <c r="AE316" s="273">
        <f t="shared" si="300"/>
        <v>263.21359652917431</v>
      </c>
      <c r="AF316" s="273">
        <f t="shared" si="300"/>
        <v>263.21359652917431</v>
      </c>
      <c r="AG316" s="273">
        <f t="shared" si="300"/>
        <v>263.21359652917431</v>
      </c>
      <c r="AH316" s="273">
        <f t="shared" si="300"/>
        <v>263.21359652917431</v>
      </c>
      <c r="AI316" s="273">
        <f t="shared" si="300"/>
        <v>263.21359652917431</v>
      </c>
      <c r="AJ316" s="273">
        <f t="shared" si="300"/>
        <v>263.21359652917431</v>
      </c>
      <c r="AK316" s="273">
        <f t="shared" si="300"/>
        <v>0</v>
      </c>
      <c r="AL316" s="273">
        <f t="shared" si="300"/>
        <v>0</v>
      </c>
      <c r="AM316" s="273">
        <f t="shared" si="300"/>
        <v>0</v>
      </c>
      <c r="AN316" s="273">
        <f t="shared" si="300"/>
        <v>0</v>
      </c>
    </row>
    <row r="317" spans="3:40" outlineLevel="2">
      <c r="C317" t="str">
        <f t="shared" si="295"/>
        <v>Coleta Programada De Volumosos</v>
      </c>
      <c r="D317" s="266"/>
      <c r="E317" s="32" t="str">
        <f t="shared" si="296"/>
        <v>$ 000s</v>
      </c>
      <c r="F317" s="23">
        <f t="shared" si="298"/>
        <v>20103.279886275312</v>
      </c>
      <c r="G317" s="273">
        <f t="shared" ref="G317:AN317" si="301">G262</f>
        <v>670.10932954251052</v>
      </c>
      <c r="H317" s="273">
        <f t="shared" si="301"/>
        <v>670.10932954251052</v>
      </c>
      <c r="I317" s="273">
        <f t="shared" si="301"/>
        <v>670.10932954251052</v>
      </c>
      <c r="J317" s="273">
        <f t="shared" si="301"/>
        <v>670.10932954251052</v>
      </c>
      <c r="K317" s="273">
        <f t="shared" si="301"/>
        <v>670.10932954251052</v>
      </c>
      <c r="L317" s="273">
        <f t="shared" si="301"/>
        <v>670.10932954251052</v>
      </c>
      <c r="M317" s="273">
        <f t="shared" si="301"/>
        <v>670.10932954251052</v>
      </c>
      <c r="N317" s="273">
        <f t="shared" si="301"/>
        <v>670.10932954251052</v>
      </c>
      <c r="O317" s="273">
        <f t="shared" si="301"/>
        <v>670.10932954251052</v>
      </c>
      <c r="P317" s="273">
        <f t="shared" si="301"/>
        <v>670.10932954251052</v>
      </c>
      <c r="Q317" s="273">
        <f t="shared" si="301"/>
        <v>670.10932954251052</v>
      </c>
      <c r="R317" s="273">
        <f t="shared" si="301"/>
        <v>670.10932954251052</v>
      </c>
      <c r="S317" s="273">
        <f t="shared" si="301"/>
        <v>670.10932954251052</v>
      </c>
      <c r="T317" s="273">
        <f t="shared" si="301"/>
        <v>670.10932954251052</v>
      </c>
      <c r="U317" s="273">
        <f t="shared" si="301"/>
        <v>670.10932954251052</v>
      </c>
      <c r="V317" s="273">
        <f t="shared" si="301"/>
        <v>670.10932954251052</v>
      </c>
      <c r="W317" s="273">
        <f t="shared" si="301"/>
        <v>670.10932954251052</v>
      </c>
      <c r="X317" s="273">
        <f t="shared" si="301"/>
        <v>670.10932954251052</v>
      </c>
      <c r="Y317" s="273">
        <f t="shared" si="301"/>
        <v>670.10932954251052</v>
      </c>
      <c r="Z317" s="273">
        <f t="shared" si="301"/>
        <v>670.10932954251052</v>
      </c>
      <c r="AA317" s="273">
        <f t="shared" si="301"/>
        <v>670.10932954251052</v>
      </c>
      <c r="AB317" s="273">
        <f t="shared" si="301"/>
        <v>670.10932954251052</v>
      </c>
      <c r="AC317" s="273">
        <f t="shared" si="301"/>
        <v>670.10932954251052</v>
      </c>
      <c r="AD317" s="273">
        <f t="shared" si="301"/>
        <v>670.10932954251052</v>
      </c>
      <c r="AE317" s="273">
        <f t="shared" si="301"/>
        <v>670.10932954251052</v>
      </c>
      <c r="AF317" s="273">
        <f t="shared" si="301"/>
        <v>670.10932954251052</v>
      </c>
      <c r="AG317" s="273">
        <f t="shared" si="301"/>
        <v>670.10932954251052</v>
      </c>
      <c r="AH317" s="273">
        <f t="shared" si="301"/>
        <v>670.10932954251052</v>
      </c>
      <c r="AI317" s="273">
        <f t="shared" si="301"/>
        <v>670.10932954251052</v>
      </c>
      <c r="AJ317" s="273">
        <f t="shared" si="301"/>
        <v>670.10932954251052</v>
      </c>
      <c r="AK317" s="273">
        <f t="shared" si="301"/>
        <v>0</v>
      </c>
      <c r="AL317" s="273">
        <f t="shared" si="301"/>
        <v>0</v>
      </c>
      <c r="AM317" s="273">
        <f t="shared" si="301"/>
        <v>0</v>
      </c>
      <c r="AN317" s="273">
        <f t="shared" si="301"/>
        <v>0</v>
      </c>
    </row>
    <row r="318" spans="3:40" outlineLevel="2">
      <c r="C318" t="str">
        <f t="shared" si="295"/>
        <v>Varrição Manual</v>
      </c>
      <c r="D318" s="266"/>
      <c r="E318" s="32" t="str">
        <f t="shared" si="296"/>
        <v>$ 000s</v>
      </c>
      <c r="F318" s="23">
        <f t="shared" si="298"/>
        <v>33008.94178978345</v>
      </c>
      <c r="G318" s="273">
        <f t="shared" ref="G318:AN318" si="302">G263</f>
        <v>902.85758976611521</v>
      </c>
      <c r="H318" s="273">
        <f t="shared" si="302"/>
        <v>1027.1445066461151</v>
      </c>
      <c r="I318" s="273">
        <f t="shared" si="302"/>
        <v>1027.4155866461151</v>
      </c>
      <c r="J318" s="273">
        <f t="shared" si="302"/>
        <v>1027.4155866461151</v>
      </c>
      <c r="K318" s="273">
        <f t="shared" si="302"/>
        <v>1027.4155866461151</v>
      </c>
      <c r="L318" s="273">
        <f t="shared" si="302"/>
        <v>1027.4155866461151</v>
      </c>
      <c r="M318" s="273">
        <f t="shared" si="302"/>
        <v>1027.4155866461151</v>
      </c>
      <c r="N318" s="273">
        <f t="shared" si="302"/>
        <v>1027.4155866461151</v>
      </c>
      <c r="O318" s="273">
        <f t="shared" si="302"/>
        <v>1027.4155866461151</v>
      </c>
      <c r="P318" s="273">
        <f t="shared" si="302"/>
        <v>1089.8466100861149</v>
      </c>
      <c r="Q318" s="273">
        <f t="shared" si="302"/>
        <v>1089.8466100861149</v>
      </c>
      <c r="R318" s="273">
        <f t="shared" si="302"/>
        <v>1089.8466100861149</v>
      </c>
      <c r="S318" s="273">
        <f t="shared" si="302"/>
        <v>1089.8466100861149</v>
      </c>
      <c r="T318" s="273">
        <f t="shared" si="302"/>
        <v>1089.8466100861149</v>
      </c>
      <c r="U318" s="273">
        <f t="shared" si="302"/>
        <v>1089.8466100861149</v>
      </c>
      <c r="V318" s="273">
        <f t="shared" si="302"/>
        <v>1089.8466100861149</v>
      </c>
      <c r="W318" s="273">
        <f t="shared" si="302"/>
        <v>1090.1176900861149</v>
      </c>
      <c r="X318" s="273">
        <f t="shared" si="302"/>
        <v>1090.1176900861149</v>
      </c>
      <c r="Y318" s="273">
        <f t="shared" si="302"/>
        <v>1152.2776335261151</v>
      </c>
      <c r="Z318" s="273">
        <f t="shared" si="302"/>
        <v>1152.2776335261151</v>
      </c>
      <c r="AA318" s="273">
        <f t="shared" si="302"/>
        <v>1152.2776335261151</v>
      </c>
      <c r="AB318" s="273">
        <f t="shared" si="302"/>
        <v>1152.2776335261151</v>
      </c>
      <c r="AC318" s="273">
        <f t="shared" si="302"/>
        <v>1152.2776335261151</v>
      </c>
      <c r="AD318" s="273">
        <f t="shared" si="302"/>
        <v>1152.5487135261151</v>
      </c>
      <c r="AE318" s="273">
        <f t="shared" si="302"/>
        <v>1152.5487135261151</v>
      </c>
      <c r="AF318" s="273">
        <f t="shared" si="302"/>
        <v>1152.5487135261151</v>
      </c>
      <c r="AG318" s="273">
        <f t="shared" si="302"/>
        <v>1214.7086569661151</v>
      </c>
      <c r="AH318" s="273">
        <f t="shared" si="302"/>
        <v>1214.7086569661151</v>
      </c>
      <c r="AI318" s="273">
        <f t="shared" si="302"/>
        <v>1214.7086569661151</v>
      </c>
      <c r="AJ318" s="273">
        <f t="shared" si="302"/>
        <v>1214.7086569661151</v>
      </c>
      <c r="AK318" s="273">
        <f t="shared" si="302"/>
        <v>0</v>
      </c>
      <c r="AL318" s="273">
        <f t="shared" si="302"/>
        <v>0</v>
      </c>
      <c r="AM318" s="273">
        <f t="shared" si="302"/>
        <v>0</v>
      </c>
      <c r="AN318" s="273">
        <f t="shared" si="302"/>
        <v>0</v>
      </c>
    </row>
    <row r="319" spans="3:40" outlineLevel="2">
      <c r="C319" t="str">
        <f t="shared" si="295"/>
        <v>Serviços Gerais (Tipos I E II)</v>
      </c>
      <c r="D319" s="266"/>
      <c r="E319" s="32" t="str">
        <f t="shared" si="296"/>
        <v>$ 000s</v>
      </c>
      <c r="F319" s="23">
        <f t="shared" si="298"/>
        <v>74397.325471316275</v>
      </c>
      <c r="G319" s="273">
        <f t="shared" ref="G319:AN319" si="303">G264</f>
        <v>2479.9108490438762</v>
      </c>
      <c r="H319" s="273">
        <f t="shared" si="303"/>
        <v>2479.9108490438762</v>
      </c>
      <c r="I319" s="273">
        <f t="shared" si="303"/>
        <v>2479.9108490438762</v>
      </c>
      <c r="J319" s="273">
        <f t="shared" si="303"/>
        <v>2479.9108490438762</v>
      </c>
      <c r="K319" s="273">
        <f t="shared" si="303"/>
        <v>2479.9108490438762</v>
      </c>
      <c r="L319" s="273">
        <f t="shared" si="303"/>
        <v>2479.9108490438762</v>
      </c>
      <c r="M319" s="273">
        <f t="shared" si="303"/>
        <v>2479.9108490438762</v>
      </c>
      <c r="N319" s="273">
        <f t="shared" si="303"/>
        <v>2479.9108490438762</v>
      </c>
      <c r="O319" s="273">
        <f t="shared" si="303"/>
        <v>2479.9108490438762</v>
      </c>
      <c r="P319" s="273">
        <f t="shared" si="303"/>
        <v>2479.9108490438762</v>
      </c>
      <c r="Q319" s="273">
        <f t="shared" si="303"/>
        <v>2479.9108490438762</v>
      </c>
      <c r="R319" s="273">
        <f t="shared" si="303"/>
        <v>2479.9108490438762</v>
      </c>
      <c r="S319" s="273">
        <f t="shared" si="303"/>
        <v>2479.9108490438762</v>
      </c>
      <c r="T319" s="273">
        <f t="shared" si="303"/>
        <v>2479.9108490438762</v>
      </c>
      <c r="U319" s="273">
        <f t="shared" si="303"/>
        <v>2479.9108490438762</v>
      </c>
      <c r="V319" s="273">
        <f t="shared" si="303"/>
        <v>2479.9108490438762</v>
      </c>
      <c r="W319" s="273">
        <f t="shared" si="303"/>
        <v>2479.9108490438762</v>
      </c>
      <c r="X319" s="273">
        <f t="shared" si="303"/>
        <v>2479.9108490438762</v>
      </c>
      <c r="Y319" s="273">
        <f t="shared" si="303"/>
        <v>2479.9108490438762</v>
      </c>
      <c r="Z319" s="273">
        <f t="shared" si="303"/>
        <v>2479.9108490438762</v>
      </c>
      <c r="AA319" s="273">
        <f t="shared" si="303"/>
        <v>2479.9108490438762</v>
      </c>
      <c r="AB319" s="273">
        <f t="shared" si="303"/>
        <v>2479.9108490438762</v>
      </c>
      <c r="AC319" s="273">
        <f t="shared" si="303"/>
        <v>2479.9108490438762</v>
      </c>
      <c r="AD319" s="273">
        <f t="shared" si="303"/>
        <v>2479.9108490438762</v>
      </c>
      <c r="AE319" s="273">
        <f t="shared" si="303"/>
        <v>2479.9108490438762</v>
      </c>
      <c r="AF319" s="273">
        <f t="shared" si="303"/>
        <v>2479.9108490438762</v>
      </c>
      <c r="AG319" s="273">
        <f t="shared" si="303"/>
        <v>2479.9108490438762</v>
      </c>
      <c r="AH319" s="273">
        <f t="shared" si="303"/>
        <v>2479.9108490438762</v>
      </c>
      <c r="AI319" s="273">
        <f t="shared" si="303"/>
        <v>2479.9108490438762</v>
      </c>
      <c r="AJ319" s="273">
        <f t="shared" si="303"/>
        <v>2479.9108490438762</v>
      </c>
      <c r="AK319" s="273">
        <f t="shared" si="303"/>
        <v>0</v>
      </c>
      <c r="AL319" s="273">
        <f t="shared" si="303"/>
        <v>0</v>
      </c>
      <c r="AM319" s="273">
        <f t="shared" si="303"/>
        <v>0</v>
      </c>
      <c r="AN319" s="273">
        <f t="shared" si="303"/>
        <v>0</v>
      </c>
    </row>
    <row r="320" spans="3:40" outlineLevel="2">
      <c r="C320" t="str">
        <f t="shared" si="295"/>
        <v>Roçada</v>
      </c>
      <c r="D320" s="266"/>
      <c r="E320" s="32" t="str">
        <f t="shared" si="296"/>
        <v>$ 000s</v>
      </c>
      <c r="F320" s="23">
        <f t="shared" ref="F320" si="304">SUM(G320:AN320)</f>
        <v>42142.108850209821</v>
      </c>
      <c r="G320" s="273">
        <f t="shared" ref="G320:AN320" si="305">G265</f>
        <v>1404.7369616736601</v>
      </c>
      <c r="H320" s="273">
        <f t="shared" si="305"/>
        <v>1404.7369616736601</v>
      </c>
      <c r="I320" s="273">
        <f t="shared" si="305"/>
        <v>1404.7369616736601</v>
      </c>
      <c r="J320" s="273">
        <f t="shared" si="305"/>
        <v>1404.7369616736601</v>
      </c>
      <c r="K320" s="273">
        <f t="shared" si="305"/>
        <v>1404.7369616736601</v>
      </c>
      <c r="L320" s="273">
        <f t="shared" si="305"/>
        <v>1404.7369616736601</v>
      </c>
      <c r="M320" s="273">
        <f t="shared" si="305"/>
        <v>1404.7369616736601</v>
      </c>
      <c r="N320" s="273">
        <f t="shared" si="305"/>
        <v>1404.7369616736601</v>
      </c>
      <c r="O320" s="273">
        <f t="shared" si="305"/>
        <v>1404.7369616736601</v>
      </c>
      <c r="P320" s="273">
        <f t="shared" si="305"/>
        <v>1404.7369616736601</v>
      </c>
      <c r="Q320" s="273">
        <f t="shared" si="305"/>
        <v>1404.7369616736601</v>
      </c>
      <c r="R320" s="273">
        <f t="shared" si="305"/>
        <v>1404.7369616736601</v>
      </c>
      <c r="S320" s="273">
        <f t="shared" si="305"/>
        <v>1404.7369616736601</v>
      </c>
      <c r="T320" s="273">
        <f t="shared" si="305"/>
        <v>1404.7369616736601</v>
      </c>
      <c r="U320" s="273">
        <f t="shared" si="305"/>
        <v>1404.7369616736601</v>
      </c>
      <c r="V320" s="273">
        <f t="shared" si="305"/>
        <v>1404.7369616736601</v>
      </c>
      <c r="W320" s="273">
        <f t="shared" si="305"/>
        <v>1404.7369616736601</v>
      </c>
      <c r="X320" s="273">
        <f t="shared" si="305"/>
        <v>1404.7369616736601</v>
      </c>
      <c r="Y320" s="273">
        <f t="shared" si="305"/>
        <v>1404.7369616736601</v>
      </c>
      <c r="Z320" s="273">
        <f t="shared" si="305"/>
        <v>1404.7369616736601</v>
      </c>
      <c r="AA320" s="273">
        <f t="shared" si="305"/>
        <v>1404.7369616736601</v>
      </c>
      <c r="AB320" s="273">
        <f t="shared" si="305"/>
        <v>1404.7369616736601</v>
      </c>
      <c r="AC320" s="273">
        <f t="shared" si="305"/>
        <v>1404.7369616736601</v>
      </c>
      <c r="AD320" s="273">
        <f t="shared" si="305"/>
        <v>1404.7369616736601</v>
      </c>
      <c r="AE320" s="273">
        <f t="shared" si="305"/>
        <v>1404.7369616736601</v>
      </c>
      <c r="AF320" s="273">
        <f t="shared" si="305"/>
        <v>1404.7369616736601</v>
      </c>
      <c r="AG320" s="273">
        <f t="shared" si="305"/>
        <v>1404.7369616736601</v>
      </c>
      <c r="AH320" s="273">
        <f t="shared" si="305"/>
        <v>1404.7369616736601</v>
      </c>
      <c r="AI320" s="273">
        <f t="shared" si="305"/>
        <v>1404.7369616736601</v>
      </c>
      <c r="AJ320" s="273">
        <f t="shared" si="305"/>
        <v>1404.7369616736601</v>
      </c>
      <c r="AK320" s="273">
        <f t="shared" si="305"/>
        <v>0</v>
      </c>
      <c r="AL320" s="273">
        <f t="shared" si="305"/>
        <v>0</v>
      </c>
      <c r="AM320" s="273">
        <f t="shared" si="305"/>
        <v>0</v>
      </c>
      <c r="AN320" s="273">
        <f t="shared" si="305"/>
        <v>0</v>
      </c>
    </row>
    <row r="321" spans="3:40" outlineLevel="2">
      <c r="C321" t="str">
        <f t="shared" si="295"/>
        <v xml:space="preserve">Destinação Final </v>
      </c>
      <c r="D321" s="266"/>
      <c r="E321" s="32" t="str">
        <f t="shared" si="296"/>
        <v>$ 000s</v>
      </c>
      <c r="F321" s="23">
        <f t="shared" si="298"/>
        <v>131414.70517089235</v>
      </c>
      <c r="G321" s="273">
        <f t="shared" ref="G321:AN321" si="306">G266</f>
        <v>3730.3440009626115</v>
      </c>
      <c r="H321" s="273">
        <f t="shared" si="306"/>
        <v>3844.8985269753866</v>
      </c>
      <c r="I321" s="273">
        <f t="shared" si="306"/>
        <v>3992.6100238902841</v>
      </c>
      <c r="J321" s="273">
        <f t="shared" si="306"/>
        <v>4036.0044731226894</v>
      </c>
      <c r="K321" s="273">
        <f t="shared" si="306"/>
        <v>4084.3129988778605</v>
      </c>
      <c r="L321" s="273">
        <f t="shared" si="306"/>
        <v>4129.8042823176957</v>
      </c>
      <c r="M321" s="273">
        <f t="shared" si="306"/>
        <v>5098.4926465873132</v>
      </c>
      <c r="N321" s="273">
        <f t="shared" si="306"/>
        <v>4282.1640030082226</v>
      </c>
      <c r="O321" s="273">
        <f t="shared" si="306"/>
        <v>4298.0044386467944</v>
      </c>
      <c r="P321" s="273">
        <f t="shared" si="306"/>
        <v>4313.8448742853661</v>
      </c>
      <c r="Q321" s="273">
        <f t="shared" si="306"/>
        <v>4329.699242130785</v>
      </c>
      <c r="R321" s="273">
        <f t="shared" si="306"/>
        <v>4345.5396777693559</v>
      </c>
      <c r="S321" s="273">
        <f t="shared" si="306"/>
        <v>4361.3801134079267</v>
      </c>
      <c r="T321" s="273">
        <f t="shared" si="306"/>
        <v>4377.2205490464985</v>
      </c>
      <c r="U321" s="273">
        <f t="shared" si="306"/>
        <v>4393.0749168919174</v>
      </c>
      <c r="V321" s="273">
        <f t="shared" si="306"/>
        <v>4408.9153525304882</v>
      </c>
      <c r="W321" s="273">
        <f t="shared" si="306"/>
        <v>4424.75578816906</v>
      </c>
      <c r="X321" s="273">
        <f t="shared" si="306"/>
        <v>4440.5962238076308</v>
      </c>
      <c r="Y321" s="273">
        <f t="shared" si="306"/>
        <v>4456.4505916530507</v>
      </c>
      <c r="Z321" s="273">
        <f t="shared" si="306"/>
        <v>4472.2910272916215</v>
      </c>
      <c r="AA321" s="273">
        <f t="shared" si="306"/>
        <v>4488.1314629301924</v>
      </c>
      <c r="AB321" s="273">
        <f t="shared" si="306"/>
        <v>4503.9718985687632</v>
      </c>
      <c r="AC321" s="273">
        <f t="shared" si="306"/>
        <v>4519.826266414183</v>
      </c>
      <c r="AD321" s="273">
        <f t="shared" si="306"/>
        <v>4535.6667020527539</v>
      </c>
      <c r="AE321" s="273">
        <f t="shared" si="306"/>
        <v>4551.5071376913247</v>
      </c>
      <c r="AF321" s="273">
        <f t="shared" si="306"/>
        <v>4567.3475733298965</v>
      </c>
      <c r="AG321" s="273">
        <f t="shared" si="306"/>
        <v>4583.2019411753163</v>
      </c>
      <c r="AH321" s="273">
        <f t="shared" si="306"/>
        <v>4599.0423768138862</v>
      </c>
      <c r="AI321" s="273">
        <f t="shared" si="306"/>
        <v>4614.882812452458</v>
      </c>
      <c r="AJ321" s="273">
        <f t="shared" si="306"/>
        <v>4630.7232480910288</v>
      </c>
      <c r="AK321" s="273">
        <f t="shared" si="306"/>
        <v>0</v>
      </c>
      <c r="AL321" s="273">
        <f t="shared" si="306"/>
        <v>0</v>
      </c>
      <c r="AM321" s="273">
        <f t="shared" si="306"/>
        <v>0</v>
      </c>
      <c r="AN321" s="273">
        <f t="shared" si="306"/>
        <v>0</v>
      </c>
    </row>
    <row r="322" spans="3:40" outlineLevel="2">
      <c r="C322" t="str">
        <f t="shared" si="295"/>
        <v>Educaçao Ambiental</v>
      </c>
      <c r="D322" s="266"/>
      <c r="E322" s="32" t="str">
        <f t="shared" si="296"/>
        <v>$ 000s</v>
      </c>
      <c r="F322" s="23">
        <f t="shared" si="298"/>
        <v>6398.1914396639986</v>
      </c>
      <c r="G322" s="273">
        <f t="shared" ref="G322:AN322" si="307">G267</f>
        <v>266.27880593759994</v>
      </c>
      <c r="H322" s="273">
        <f t="shared" si="307"/>
        <v>266.27880593759994</v>
      </c>
      <c r="I322" s="273">
        <f t="shared" si="307"/>
        <v>266.27880593759994</v>
      </c>
      <c r="J322" s="273">
        <f t="shared" si="307"/>
        <v>266.27880593759994</v>
      </c>
      <c r="K322" s="273">
        <f t="shared" si="307"/>
        <v>266.27880593759994</v>
      </c>
      <c r="L322" s="273">
        <f t="shared" si="307"/>
        <v>266.27880593759994</v>
      </c>
      <c r="M322" s="273">
        <f t="shared" si="307"/>
        <v>200.02160850159999</v>
      </c>
      <c r="N322" s="273">
        <f t="shared" si="307"/>
        <v>200.02160850159999</v>
      </c>
      <c r="O322" s="273">
        <f t="shared" si="307"/>
        <v>200.02160850159999</v>
      </c>
      <c r="P322" s="273">
        <f t="shared" si="307"/>
        <v>200.02160850159999</v>
      </c>
      <c r="Q322" s="273">
        <f t="shared" si="307"/>
        <v>200.02160850159999</v>
      </c>
      <c r="R322" s="273">
        <f t="shared" si="307"/>
        <v>200.02160850159999</v>
      </c>
      <c r="S322" s="273">
        <f t="shared" si="307"/>
        <v>200.02160850159999</v>
      </c>
      <c r="T322" s="273">
        <f t="shared" si="307"/>
        <v>200.02160850159999</v>
      </c>
      <c r="U322" s="273">
        <f t="shared" si="307"/>
        <v>200.02160850159999</v>
      </c>
      <c r="V322" s="273">
        <f t="shared" si="307"/>
        <v>200.02160850159999</v>
      </c>
      <c r="W322" s="273">
        <f t="shared" si="307"/>
        <v>200.02160850159999</v>
      </c>
      <c r="X322" s="273">
        <f t="shared" si="307"/>
        <v>200.02160850159999</v>
      </c>
      <c r="Y322" s="273">
        <f t="shared" si="307"/>
        <v>200.02160850159999</v>
      </c>
      <c r="Z322" s="273">
        <f t="shared" si="307"/>
        <v>200.02160850159999</v>
      </c>
      <c r="AA322" s="273">
        <f t="shared" si="307"/>
        <v>200.02160850159999</v>
      </c>
      <c r="AB322" s="273">
        <f t="shared" si="307"/>
        <v>200.02160850159999</v>
      </c>
      <c r="AC322" s="273">
        <f t="shared" si="307"/>
        <v>200.02160850159999</v>
      </c>
      <c r="AD322" s="273">
        <f t="shared" si="307"/>
        <v>200.02160850159999</v>
      </c>
      <c r="AE322" s="273">
        <f t="shared" si="307"/>
        <v>200.02160850159999</v>
      </c>
      <c r="AF322" s="273">
        <f t="shared" si="307"/>
        <v>200.02160850159999</v>
      </c>
      <c r="AG322" s="273">
        <f t="shared" si="307"/>
        <v>200.02160850159999</v>
      </c>
      <c r="AH322" s="273">
        <f t="shared" si="307"/>
        <v>200.02160850159999</v>
      </c>
      <c r="AI322" s="273">
        <f t="shared" si="307"/>
        <v>200.02160850159999</v>
      </c>
      <c r="AJ322" s="273">
        <f t="shared" si="307"/>
        <v>200.02160850159999</v>
      </c>
      <c r="AK322" s="273">
        <f t="shared" si="307"/>
        <v>0</v>
      </c>
      <c r="AL322" s="273">
        <f t="shared" si="307"/>
        <v>0</v>
      </c>
      <c r="AM322" s="273">
        <f t="shared" si="307"/>
        <v>0</v>
      </c>
      <c r="AN322" s="273">
        <f t="shared" si="307"/>
        <v>0</v>
      </c>
    </row>
    <row r="323" spans="3:40" outlineLevel="2">
      <c r="C323" t="str">
        <f t="shared" si="295"/>
        <v>Relação Com O Usuário</v>
      </c>
      <c r="D323" s="266"/>
      <c r="E323" s="32" t="str">
        <f t="shared" si="296"/>
        <v>$ 000s</v>
      </c>
      <c r="F323" s="23">
        <f t="shared" si="298"/>
        <v>28189.118632024802</v>
      </c>
      <c r="G323" s="273">
        <f t="shared" ref="G323:AN323" si="308">G268</f>
        <v>405.37059451200003</v>
      </c>
      <c r="H323" s="273">
        <f t="shared" si="308"/>
        <v>919.42288060088424</v>
      </c>
      <c r="I323" s="273">
        <f t="shared" si="308"/>
        <v>922.18269464050775</v>
      </c>
      <c r="J323" s="273">
        <f t="shared" si="308"/>
        <v>924.94250868013125</v>
      </c>
      <c r="K323" s="273">
        <f t="shared" si="308"/>
        <v>927.70232271975499</v>
      </c>
      <c r="L323" s="273">
        <f t="shared" si="308"/>
        <v>930.4621367593785</v>
      </c>
      <c r="M323" s="273">
        <f t="shared" si="308"/>
        <v>933.221950799002</v>
      </c>
      <c r="N323" s="273">
        <f t="shared" si="308"/>
        <v>935.98176483862551</v>
      </c>
      <c r="O323" s="273">
        <f t="shared" si="308"/>
        <v>938.74157887824902</v>
      </c>
      <c r="P323" s="273">
        <f t="shared" si="308"/>
        <v>941.50139291787275</v>
      </c>
      <c r="Q323" s="273">
        <f t="shared" si="308"/>
        <v>944.26120695749626</v>
      </c>
      <c r="R323" s="273">
        <f t="shared" si="308"/>
        <v>947.02102099711976</v>
      </c>
      <c r="S323" s="273">
        <f t="shared" si="308"/>
        <v>949.78083503674327</v>
      </c>
      <c r="T323" s="273">
        <f t="shared" si="308"/>
        <v>952.540649076367</v>
      </c>
      <c r="U323" s="273">
        <f t="shared" si="308"/>
        <v>955.30046311599028</v>
      </c>
      <c r="V323" s="273">
        <f t="shared" si="308"/>
        <v>958.06027715561402</v>
      </c>
      <c r="W323" s="273">
        <f t="shared" si="308"/>
        <v>960.82009119523752</v>
      </c>
      <c r="X323" s="273">
        <f t="shared" si="308"/>
        <v>963.57990523486103</v>
      </c>
      <c r="Y323" s="273">
        <f t="shared" si="308"/>
        <v>966.33971927448454</v>
      </c>
      <c r="Z323" s="273">
        <f t="shared" si="308"/>
        <v>969.09953331410827</v>
      </c>
      <c r="AA323" s="273">
        <f t="shared" si="308"/>
        <v>971.85934735373178</v>
      </c>
      <c r="AB323" s="273">
        <f t="shared" si="308"/>
        <v>974.61916139335551</v>
      </c>
      <c r="AC323" s="273">
        <f t="shared" si="308"/>
        <v>977.37897543297879</v>
      </c>
      <c r="AD323" s="273">
        <f t="shared" si="308"/>
        <v>980.13878947260253</v>
      </c>
      <c r="AE323" s="273">
        <f t="shared" si="308"/>
        <v>982.89860351222603</v>
      </c>
      <c r="AF323" s="273">
        <f t="shared" si="308"/>
        <v>985.65841755184954</v>
      </c>
      <c r="AG323" s="273">
        <f t="shared" si="308"/>
        <v>988.41823159147305</v>
      </c>
      <c r="AH323" s="273">
        <f t="shared" si="308"/>
        <v>991.17804563109678</v>
      </c>
      <c r="AI323" s="273">
        <f t="shared" si="308"/>
        <v>993.93785967072029</v>
      </c>
      <c r="AJ323" s="273">
        <f t="shared" si="308"/>
        <v>996.69767371034379</v>
      </c>
      <c r="AK323" s="273">
        <f t="shared" si="308"/>
        <v>0</v>
      </c>
      <c r="AL323" s="273">
        <f t="shared" si="308"/>
        <v>0</v>
      </c>
      <c r="AM323" s="273">
        <f t="shared" si="308"/>
        <v>0</v>
      </c>
      <c r="AN323" s="273">
        <f t="shared" si="308"/>
        <v>0</v>
      </c>
    </row>
    <row r="324" spans="3:40" outlineLevel="2">
      <c r="C324" t="str">
        <f t="shared" si="295"/>
        <v>Administração Local</v>
      </c>
      <c r="D324" s="266"/>
      <c r="E324" s="32" t="str">
        <f t="shared" si="296"/>
        <v>$ 000s</v>
      </c>
      <c r="F324" s="23">
        <f t="shared" si="298"/>
        <v>24230.75294228</v>
      </c>
      <c r="G324" s="273">
        <f t="shared" ref="G324:AN324" si="309">G269</f>
        <v>726.75657898000009</v>
      </c>
      <c r="H324" s="273">
        <f t="shared" si="309"/>
        <v>727.20442897999999</v>
      </c>
      <c r="I324" s="273">
        <f t="shared" si="309"/>
        <v>727.47502898000005</v>
      </c>
      <c r="J324" s="273">
        <f t="shared" si="309"/>
        <v>728.15152898000008</v>
      </c>
      <c r="K324" s="273">
        <f t="shared" si="309"/>
        <v>728.15152898000008</v>
      </c>
      <c r="L324" s="273">
        <f t="shared" si="309"/>
        <v>728.15152898000008</v>
      </c>
      <c r="M324" s="273">
        <f t="shared" si="309"/>
        <v>827.15575910000007</v>
      </c>
      <c r="N324" s="273">
        <f t="shared" si="309"/>
        <v>827.15575910000007</v>
      </c>
      <c r="O324" s="273">
        <f t="shared" si="309"/>
        <v>827.15575910000007</v>
      </c>
      <c r="P324" s="273">
        <f t="shared" si="309"/>
        <v>827.29105909999998</v>
      </c>
      <c r="Q324" s="273">
        <f t="shared" si="309"/>
        <v>827.29105909999998</v>
      </c>
      <c r="R324" s="273">
        <f t="shared" si="309"/>
        <v>827.29105909999998</v>
      </c>
      <c r="S324" s="273">
        <f t="shared" si="309"/>
        <v>827.29105909999998</v>
      </c>
      <c r="T324" s="273">
        <f t="shared" si="309"/>
        <v>827.29105909999998</v>
      </c>
      <c r="U324" s="273">
        <f t="shared" si="309"/>
        <v>827.29105909999998</v>
      </c>
      <c r="V324" s="273">
        <f t="shared" si="309"/>
        <v>827.29105909999998</v>
      </c>
      <c r="W324" s="273">
        <f t="shared" si="309"/>
        <v>827.29105909999998</v>
      </c>
      <c r="X324" s="273">
        <f t="shared" si="309"/>
        <v>827.29105909999998</v>
      </c>
      <c r="Y324" s="273">
        <f t="shared" si="309"/>
        <v>828.10285909999993</v>
      </c>
      <c r="Z324" s="273">
        <f t="shared" si="309"/>
        <v>828.10285909999993</v>
      </c>
      <c r="AA324" s="273">
        <f t="shared" si="309"/>
        <v>828.10285909999993</v>
      </c>
      <c r="AB324" s="273">
        <f t="shared" si="309"/>
        <v>828.10285909999993</v>
      </c>
      <c r="AC324" s="273">
        <f t="shared" si="309"/>
        <v>828.10285909999993</v>
      </c>
      <c r="AD324" s="273">
        <f t="shared" si="309"/>
        <v>828.10285909999993</v>
      </c>
      <c r="AE324" s="273">
        <f t="shared" si="309"/>
        <v>828.10285909999993</v>
      </c>
      <c r="AF324" s="273">
        <f t="shared" si="309"/>
        <v>828.10285909999993</v>
      </c>
      <c r="AG324" s="273">
        <f t="shared" si="309"/>
        <v>828.23815910000008</v>
      </c>
      <c r="AH324" s="273">
        <f t="shared" si="309"/>
        <v>828.23815910000008</v>
      </c>
      <c r="AI324" s="273">
        <f t="shared" si="309"/>
        <v>828.23815910000008</v>
      </c>
      <c r="AJ324" s="273">
        <f t="shared" si="309"/>
        <v>828.23815910000008</v>
      </c>
      <c r="AK324" s="273">
        <f t="shared" si="309"/>
        <v>0</v>
      </c>
      <c r="AL324" s="273">
        <f t="shared" si="309"/>
        <v>0</v>
      </c>
      <c r="AM324" s="273">
        <f t="shared" si="309"/>
        <v>0</v>
      </c>
      <c r="AN324" s="273">
        <f t="shared" si="309"/>
        <v>0</v>
      </c>
    </row>
    <row r="325" spans="3:40" outlineLevel="2">
      <c r="C325" t="str">
        <f t="shared" si="295"/>
        <v>Administração Central</v>
      </c>
      <c r="D325" s="266"/>
      <c r="E325" s="41" t="str">
        <f t="shared" si="296"/>
        <v>$ 000s</v>
      </c>
      <c r="F325" s="23">
        <f t="shared" si="298"/>
        <v>0</v>
      </c>
      <c r="G325" s="273">
        <f t="shared" ref="G325:AN325" si="310">G270</f>
        <v>0</v>
      </c>
      <c r="H325" s="273">
        <f t="shared" si="310"/>
        <v>0</v>
      </c>
      <c r="I325" s="273">
        <f t="shared" si="310"/>
        <v>0</v>
      </c>
      <c r="J325" s="273">
        <f t="shared" si="310"/>
        <v>0</v>
      </c>
      <c r="K325" s="273">
        <f t="shared" si="310"/>
        <v>0</v>
      </c>
      <c r="L325" s="273">
        <f t="shared" si="310"/>
        <v>0</v>
      </c>
      <c r="M325" s="273">
        <f t="shared" si="310"/>
        <v>0</v>
      </c>
      <c r="N325" s="273">
        <f t="shared" si="310"/>
        <v>0</v>
      </c>
      <c r="O325" s="273">
        <f t="shared" si="310"/>
        <v>0</v>
      </c>
      <c r="P325" s="273">
        <f t="shared" si="310"/>
        <v>0</v>
      </c>
      <c r="Q325" s="273">
        <f t="shared" si="310"/>
        <v>0</v>
      </c>
      <c r="R325" s="273">
        <f t="shared" si="310"/>
        <v>0</v>
      </c>
      <c r="S325" s="273">
        <f t="shared" si="310"/>
        <v>0</v>
      </c>
      <c r="T325" s="273">
        <f t="shared" si="310"/>
        <v>0</v>
      </c>
      <c r="U325" s="273">
        <f t="shared" si="310"/>
        <v>0</v>
      </c>
      <c r="V325" s="273">
        <f t="shared" si="310"/>
        <v>0</v>
      </c>
      <c r="W325" s="273">
        <f t="shared" si="310"/>
        <v>0</v>
      </c>
      <c r="X325" s="273">
        <f t="shared" si="310"/>
        <v>0</v>
      </c>
      <c r="Y325" s="273">
        <f t="shared" si="310"/>
        <v>0</v>
      </c>
      <c r="Z325" s="273">
        <f t="shared" si="310"/>
        <v>0</v>
      </c>
      <c r="AA325" s="273">
        <f t="shared" si="310"/>
        <v>0</v>
      </c>
      <c r="AB325" s="273">
        <f t="shared" si="310"/>
        <v>0</v>
      </c>
      <c r="AC325" s="273">
        <f t="shared" si="310"/>
        <v>0</v>
      </c>
      <c r="AD325" s="273">
        <f t="shared" si="310"/>
        <v>0</v>
      </c>
      <c r="AE325" s="273">
        <f t="shared" si="310"/>
        <v>0</v>
      </c>
      <c r="AF325" s="273">
        <f t="shared" si="310"/>
        <v>0</v>
      </c>
      <c r="AG325" s="273">
        <f t="shared" si="310"/>
        <v>0</v>
      </c>
      <c r="AH325" s="273">
        <f t="shared" si="310"/>
        <v>0</v>
      </c>
      <c r="AI325" s="273">
        <f t="shared" si="310"/>
        <v>0</v>
      </c>
      <c r="AJ325" s="273">
        <f t="shared" si="310"/>
        <v>0</v>
      </c>
      <c r="AK325" s="273">
        <f t="shared" si="310"/>
        <v>0</v>
      </c>
      <c r="AL325" s="273">
        <f t="shared" si="310"/>
        <v>0</v>
      </c>
      <c r="AM325" s="273">
        <f t="shared" si="310"/>
        <v>0</v>
      </c>
      <c r="AN325" s="273">
        <f t="shared" si="310"/>
        <v>0</v>
      </c>
    </row>
    <row r="326" spans="3:40" outlineLevel="2">
      <c r="C326" t="str">
        <f t="shared" si="295"/>
        <v>Gerencialmento Contrato</v>
      </c>
      <c r="D326" s="266"/>
      <c r="E326" s="32" t="str">
        <f t="shared" si="296"/>
        <v>$ 000s</v>
      </c>
      <c r="F326" s="23">
        <f t="shared" si="298"/>
        <v>2303.2945887768924</v>
      </c>
      <c r="G326" s="273">
        <f>G271</f>
        <v>76.776486292563064</v>
      </c>
      <c r="H326" s="273">
        <f t="shared" ref="H326:AN326" si="311">H271</f>
        <v>76.776486292563064</v>
      </c>
      <c r="I326" s="273">
        <f t="shared" si="311"/>
        <v>76.776486292563064</v>
      </c>
      <c r="J326" s="273">
        <f t="shared" si="311"/>
        <v>76.776486292563064</v>
      </c>
      <c r="K326" s="273">
        <f t="shared" si="311"/>
        <v>76.776486292563064</v>
      </c>
      <c r="L326" s="273">
        <f t="shared" si="311"/>
        <v>76.776486292563064</v>
      </c>
      <c r="M326" s="273">
        <f t="shared" si="311"/>
        <v>76.776486292563064</v>
      </c>
      <c r="N326" s="273">
        <f t="shared" si="311"/>
        <v>76.776486292563064</v>
      </c>
      <c r="O326" s="273">
        <f t="shared" si="311"/>
        <v>76.776486292563064</v>
      </c>
      <c r="P326" s="273">
        <f t="shared" si="311"/>
        <v>76.776486292563064</v>
      </c>
      <c r="Q326" s="273">
        <f t="shared" si="311"/>
        <v>76.776486292563064</v>
      </c>
      <c r="R326" s="273">
        <f t="shared" si="311"/>
        <v>76.776486292563064</v>
      </c>
      <c r="S326" s="273">
        <f t="shared" si="311"/>
        <v>76.776486292563064</v>
      </c>
      <c r="T326" s="273">
        <f t="shared" si="311"/>
        <v>76.776486292563064</v>
      </c>
      <c r="U326" s="273">
        <f t="shared" si="311"/>
        <v>76.776486292563064</v>
      </c>
      <c r="V326" s="273">
        <f t="shared" si="311"/>
        <v>76.776486292563064</v>
      </c>
      <c r="W326" s="273">
        <f t="shared" si="311"/>
        <v>76.776486292563064</v>
      </c>
      <c r="X326" s="273">
        <f t="shared" si="311"/>
        <v>76.776486292563064</v>
      </c>
      <c r="Y326" s="273">
        <f t="shared" si="311"/>
        <v>76.776486292563064</v>
      </c>
      <c r="Z326" s="273">
        <f t="shared" si="311"/>
        <v>76.776486292563064</v>
      </c>
      <c r="AA326" s="273">
        <f t="shared" si="311"/>
        <v>76.776486292563064</v>
      </c>
      <c r="AB326" s="273">
        <f t="shared" si="311"/>
        <v>76.776486292563064</v>
      </c>
      <c r="AC326" s="273">
        <f t="shared" si="311"/>
        <v>76.776486292563064</v>
      </c>
      <c r="AD326" s="273">
        <f t="shared" si="311"/>
        <v>76.776486292563064</v>
      </c>
      <c r="AE326" s="273">
        <f t="shared" si="311"/>
        <v>76.776486292563064</v>
      </c>
      <c r="AF326" s="273">
        <f t="shared" si="311"/>
        <v>76.776486292563064</v>
      </c>
      <c r="AG326" s="273">
        <f t="shared" si="311"/>
        <v>76.776486292563064</v>
      </c>
      <c r="AH326" s="273">
        <f t="shared" si="311"/>
        <v>76.776486292563064</v>
      </c>
      <c r="AI326" s="273">
        <f t="shared" si="311"/>
        <v>76.776486292563064</v>
      </c>
      <c r="AJ326" s="273">
        <f t="shared" si="311"/>
        <v>76.776486292563064</v>
      </c>
      <c r="AK326" s="273">
        <f t="shared" si="311"/>
        <v>0</v>
      </c>
      <c r="AL326" s="273">
        <f t="shared" si="311"/>
        <v>0</v>
      </c>
      <c r="AM326" s="273">
        <f t="shared" si="311"/>
        <v>0</v>
      </c>
      <c r="AN326" s="273">
        <f t="shared" si="311"/>
        <v>0</v>
      </c>
    </row>
    <row r="327" spans="3:40" outlineLevel="2">
      <c r="C327" t="s">
        <v>439</v>
      </c>
      <c r="D327" s="266"/>
      <c r="E327" s="41" t="str">
        <f>E271</f>
        <v>$ 000s</v>
      </c>
      <c r="F327" s="23">
        <f t="shared" si="298"/>
        <v>2025.4495499999998</v>
      </c>
      <c r="G327" s="273">
        <f t="shared" ref="G327:AN327" si="312">G280+G282+G284+G286</f>
        <v>57.754889999999996</v>
      </c>
      <c r="H327" s="273">
        <f t="shared" si="312"/>
        <v>58.427999999999997</v>
      </c>
      <c r="I327" s="273">
        <f t="shared" si="312"/>
        <v>59.101109999999998</v>
      </c>
      <c r="J327" s="273">
        <f t="shared" si="312"/>
        <v>59.774219999999993</v>
      </c>
      <c r="K327" s="273">
        <f t="shared" si="312"/>
        <v>60.447330000000001</v>
      </c>
      <c r="L327" s="273">
        <f t="shared" si="312"/>
        <v>61.120440000000002</v>
      </c>
      <c r="M327" s="273">
        <f t="shared" si="312"/>
        <v>61.793550000000003</v>
      </c>
      <c r="N327" s="273">
        <f t="shared" si="312"/>
        <v>62.466659999999997</v>
      </c>
      <c r="O327" s="273">
        <f t="shared" si="312"/>
        <v>63.139770000000006</v>
      </c>
      <c r="P327" s="273">
        <f t="shared" si="312"/>
        <v>63.812879999999993</v>
      </c>
      <c r="Q327" s="273">
        <f t="shared" si="312"/>
        <v>64.485990000000001</v>
      </c>
      <c r="R327" s="273">
        <f t="shared" si="312"/>
        <v>65.159099999999995</v>
      </c>
      <c r="S327" s="273">
        <f t="shared" si="312"/>
        <v>65.832210000000003</v>
      </c>
      <c r="T327" s="273">
        <f t="shared" si="312"/>
        <v>66.505319999999998</v>
      </c>
      <c r="U327" s="273">
        <f t="shared" si="312"/>
        <v>67.178430000000006</v>
      </c>
      <c r="V327" s="273">
        <f t="shared" si="312"/>
        <v>67.85154</v>
      </c>
      <c r="W327" s="273">
        <f t="shared" si="312"/>
        <v>68.524649999999994</v>
      </c>
      <c r="X327" s="273">
        <f t="shared" si="312"/>
        <v>69.197760000000002</v>
      </c>
      <c r="Y327" s="273">
        <f t="shared" si="312"/>
        <v>69.870869999999996</v>
      </c>
      <c r="Z327" s="273">
        <f t="shared" si="312"/>
        <v>70.543980000000005</v>
      </c>
      <c r="AA327" s="273">
        <f t="shared" si="312"/>
        <v>71.217089999999999</v>
      </c>
      <c r="AB327" s="273">
        <f t="shared" si="312"/>
        <v>71.890199999999993</v>
      </c>
      <c r="AC327" s="273">
        <f t="shared" si="312"/>
        <v>72.563310000000001</v>
      </c>
      <c r="AD327" s="273">
        <f t="shared" si="312"/>
        <v>73.23642000000001</v>
      </c>
      <c r="AE327" s="273">
        <f t="shared" si="312"/>
        <v>73.909530000000004</v>
      </c>
      <c r="AF327" s="273">
        <f t="shared" si="312"/>
        <v>74.582639999999998</v>
      </c>
      <c r="AG327" s="273">
        <f t="shared" si="312"/>
        <v>75.255750000000006</v>
      </c>
      <c r="AH327" s="273">
        <f t="shared" si="312"/>
        <v>75.928859999999986</v>
      </c>
      <c r="AI327" s="273">
        <f t="shared" si="312"/>
        <v>76.601969999999994</v>
      </c>
      <c r="AJ327" s="273">
        <f t="shared" si="312"/>
        <v>77.275080000000003</v>
      </c>
      <c r="AK327" s="273">
        <f t="shared" si="312"/>
        <v>0</v>
      </c>
      <c r="AL327" s="273">
        <f t="shared" si="312"/>
        <v>0</v>
      </c>
      <c r="AM327" s="273">
        <f t="shared" si="312"/>
        <v>0</v>
      </c>
      <c r="AN327" s="273">
        <f t="shared" si="312"/>
        <v>0</v>
      </c>
    </row>
    <row r="328" spans="3:40" outlineLevel="2">
      <c r="C328" t="str">
        <f>C294</f>
        <v>Despesas com seguros multiriscos</v>
      </c>
      <c r="D328" s="266"/>
      <c r="E328" s="32" t="s">
        <v>13</v>
      </c>
      <c r="F328" s="23">
        <f t="shared" si="298"/>
        <v>75</v>
      </c>
      <c r="G328" s="273">
        <f t="shared" ref="G328:AN328" si="313">G294</f>
        <v>2.5</v>
      </c>
      <c r="H328" s="273">
        <f t="shared" si="313"/>
        <v>2.5</v>
      </c>
      <c r="I328" s="273">
        <f t="shared" si="313"/>
        <v>2.5</v>
      </c>
      <c r="J328" s="273">
        <f t="shared" si="313"/>
        <v>2.5</v>
      </c>
      <c r="K328" s="273">
        <f t="shared" si="313"/>
        <v>2.5</v>
      </c>
      <c r="L328" s="273">
        <f t="shared" si="313"/>
        <v>2.5</v>
      </c>
      <c r="M328" s="273">
        <f t="shared" si="313"/>
        <v>2.5</v>
      </c>
      <c r="N328" s="273">
        <f t="shared" si="313"/>
        <v>2.5</v>
      </c>
      <c r="O328" s="273">
        <f t="shared" si="313"/>
        <v>2.5</v>
      </c>
      <c r="P328" s="273">
        <f t="shared" si="313"/>
        <v>2.5</v>
      </c>
      <c r="Q328" s="273">
        <f t="shared" si="313"/>
        <v>2.5</v>
      </c>
      <c r="R328" s="273">
        <f t="shared" si="313"/>
        <v>2.5</v>
      </c>
      <c r="S328" s="273">
        <f t="shared" si="313"/>
        <v>2.5</v>
      </c>
      <c r="T328" s="273">
        <f t="shared" si="313"/>
        <v>2.5</v>
      </c>
      <c r="U328" s="273">
        <f t="shared" si="313"/>
        <v>2.5</v>
      </c>
      <c r="V328" s="273">
        <f t="shared" si="313"/>
        <v>2.5</v>
      </c>
      <c r="W328" s="273">
        <f t="shared" si="313"/>
        <v>2.5</v>
      </c>
      <c r="X328" s="273">
        <f t="shared" si="313"/>
        <v>2.5</v>
      </c>
      <c r="Y328" s="273">
        <f t="shared" si="313"/>
        <v>2.5</v>
      </c>
      <c r="Z328" s="273">
        <f t="shared" si="313"/>
        <v>2.5</v>
      </c>
      <c r="AA328" s="273">
        <f t="shared" si="313"/>
        <v>2.5</v>
      </c>
      <c r="AB328" s="273">
        <f t="shared" si="313"/>
        <v>2.5</v>
      </c>
      <c r="AC328" s="273">
        <f t="shared" si="313"/>
        <v>2.5</v>
      </c>
      <c r="AD328" s="273">
        <f t="shared" si="313"/>
        <v>2.5</v>
      </c>
      <c r="AE328" s="273">
        <f t="shared" si="313"/>
        <v>2.5</v>
      </c>
      <c r="AF328" s="273">
        <f t="shared" si="313"/>
        <v>2.5</v>
      </c>
      <c r="AG328" s="273">
        <f t="shared" si="313"/>
        <v>2.5</v>
      </c>
      <c r="AH328" s="273">
        <f t="shared" si="313"/>
        <v>2.5</v>
      </c>
      <c r="AI328" s="273">
        <f t="shared" si="313"/>
        <v>2.5</v>
      </c>
      <c r="AJ328" s="273">
        <f t="shared" si="313"/>
        <v>2.5</v>
      </c>
      <c r="AK328" s="273">
        <f t="shared" si="313"/>
        <v>0</v>
      </c>
      <c r="AL328" s="273">
        <f t="shared" si="313"/>
        <v>0</v>
      </c>
      <c r="AM328" s="273">
        <f t="shared" si="313"/>
        <v>0</v>
      </c>
      <c r="AN328" s="273">
        <f t="shared" si="313"/>
        <v>0</v>
      </c>
    </row>
    <row r="329" spans="3:40" outlineLevel="2">
      <c r="C329" t="str">
        <f>C300</f>
        <v>Despesas com seguro de responsabilidade civil</v>
      </c>
      <c r="D329" s="266"/>
      <c r="E329" s="32" t="s">
        <v>13</v>
      </c>
      <c r="F329" s="23">
        <f t="shared" si="298"/>
        <v>82.5</v>
      </c>
      <c r="G329" s="273">
        <f t="shared" ref="G329:AN329" si="314">G300</f>
        <v>27.5</v>
      </c>
      <c r="H329" s="273">
        <f t="shared" si="314"/>
        <v>27.5</v>
      </c>
      <c r="I329" s="273">
        <f t="shared" si="314"/>
        <v>27.5</v>
      </c>
      <c r="J329" s="273">
        <f t="shared" si="314"/>
        <v>0</v>
      </c>
      <c r="K329" s="273">
        <f t="shared" si="314"/>
        <v>0</v>
      </c>
      <c r="L329" s="273">
        <f t="shared" si="314"/>
        <v>0</v>
      </c>
      <c r="M329" s="273">
        <f t="shared" si="314"/>
        <v>0</v>
      </c>
      <c r="N329" s="273">
        <f t="shared" si="314"/>
        <v>0</v>
      </c>
      <c r="O329" s="273">
        <f t="shared" si="314"/>
        <v>0</v>
      </c>
      <c r="P329" s="273">
        <f t="shared" si="314"/>
        <v>0</v>
      </c>
      <c r="Q329" s="273">
        <f t="shared" si="314"/>
        <v>0</v>
      </c>
      <c r="R329" s="273">
        <f t="shared" si="314"/>
        <v>0</v>
      </c>
      <c r="S329" s="273">
        <f t="shared" si="314"/>
        <v>0</v>
      </c>
      <c r="T329" s="273">
        <f t="shared" si="314"/>
        <v>0</v>
      </c>
      <c r="U329" s="273">
        <f t="shared" si="314"/>
        <v>0</v>
      </c>
      <c r="V329" s="273">
        <f t="shared" si="314"/>
        <v>0</v>
      </c>
      <c r="W329" s="273">
        <f t="shared" si="314"/>
        <v>0</v>
      </c>
      <c r="X329" s="273">
        <f t="shared" si="314"/>
        <v>0</v>
      </c>
      <c r="Y329" s="273">
        <f t="shared" si="314"/>
        <v>0</v>
      </c>
      <c r="Z329" s="273">
        <f t="shared" si="314"/>
        <v>0</v>
      </c>
      <c r="AA329" s="273">
        <f t="shared" si="314"/>
        <v>0</v>
      </c>
      <c r="AB329" s="273">
        <f t="shared" si="314"/>
        <v>0</v>
      </c>
      <c r="AC329" s="273">
        <f t="shared" si="314"/>
        <v>0</v>
      </c>
      <c r="AD329" s="273">
        <f t="shared" si="314"/>
        <v>0</v>
      </c>
      <c r="AE329" s="273">
        <f t="shared" si="314"/>
        <v>0</v>
      </c>
      <c r="AF329" s="273">
        <f t="shared" si="314"/>
        <v>0</v>
      </c>
      <c r="AG329" s="273">
        <f t="shared" si="314"/>
        <v>0</v>
      </c>
      <c r="AH329" s="273">
        <f t="shared" si="314"/>
        <v>0</v>
      </c>
      <c r="AI329" s="273">
        <f t="shared" si="314"/>
        <v>0</v>
      </c>
      <c r="AJ329" s="273">
        <f t="shared" si="314"/>
        <v>0</v>
      </c>
      <c r="AK329" s="273">
        <f t="shared" si="314"/>
        <v>0</v>
      </c>
      <c r="AL329" s="273">
        <f t="shared" si="314"/>
        <v>0</v>
      </c>
      <c r="AM329" s="273">
        <f t="shared" si="314"/>
        <v>0</v>
      </c>
      <c r="AN329" s="273">
        <f t="shared" si="314"/>
        <v>0</v>
      </c>
    </row>
    <row r="330" spans="3:40" outlineLevel="2">
      <c r="C330" t="str">
        <f>C305</f>
        <v>Despesas com seguro garantia de execução</v>
      </c>
      <c r="D330" s="266"/>
      <c r="E330" s="32" t="s">
        <v>13</v>
      </c>
      <c r="F330" s="23">
        <f t="shared" si="298"/>
        <v>863.73547079133425</v>
      </c>
      <c r="G330" s="273">
        <f t="shared" ref="G330:AN330" si="315">G305</f>
        <v>28.791182359711147</v>
      </c>
      <c r="H330" s="273">
        <f t="shared" si="315"/>
        <v>28.791182359711147</v>
      </c>
      <c r="I330" s="273">
        <f t="shared" si="315"/>
        <v>28.791182359711147</v>
      </c>
      <c r="J330" s="273">
        <f t="shared" si="315"/>
        <v>28.791182359711147</v>
      </c>
      <c r="K330" s="273">
        <f t="shared" si="315"/>
        <v>28.791182359711147</v>
      </c>
      <c r="L330" s="273">
        <f t="shared" si="315"/>
        <v>28.791182359711147</v>
      </c>
      <c r="M330" s="273">
        <f t="shared" si="315"/>
        <v>28.791182359711147</v>
      </c>
      <c r="N330" s="273">
        <f t="shared" si="315"/>
        <v>28.791182359711147</v>
      </c>
      <c r="O330" s="273">
        <f t="shared" si="315"/>
        <v>28.791182359711147</v>
      </c>
      <c r="P330" s="273">
        <f t="shared" si="315"/>
        <v>28.791182359711147</v>
      </c>
      <c r="Q330" s="273">
        <f t="shared" si="315"/>
        <v>28.791182359711147</v>
      </c>
      <c r="R330" s="273">
        <f t="shared" si="315"/>
        <v>28.791182359711147</v>
      </c>
      <c r="S330" s="273">
        <f t="shared" si="315"/>
        <v>28.791182359711147</v>
      </c>
      <c r="T330" s="273">
        <f t="shared" si="315"/>
        <v>28.791182359711147</v>
      </c>
      <c r="U330" s="273">
        <f t="shared" si="315"/>
        <v>28.791182359711147</v>
      </c>
      <c r="V330" s="273">
        <f t="shared" si="315"/>
        <v>28.791182359711147</v>
      </c>
      <c r="W330" s="273">
        <f t="shared" si="315"/>
        <v>28.791182359711147</v>
      </c>
      <c r="X330" s="273">
        <f t="shared" si="315"/>
        <v>28.791182359711147</v>
      </c>
      <c r="Y330" s="273">
        <f t="shared" si="315"/>
        <v>28.791182359711147</v>
      </c>
      <c r="Z330" s="273">
        <f t="shared" si="315"/>
        <v>28.791182359711147</v>
      </c>
      <c r="AA330" s="273">
        <f t="shared" si="315"/>
        <v>28.791182359711147</v>
      </c>
      <c r="AB330" s="273">
        <f t="shared" si="315"/>
        <v>28.791182359711147</v>
      </c>
      <c r="AC330" s="273">
        <f t="shared" si="315"/>
        <v>28.791182359711147</v>
      </c>
      <c r="AD330" s="273">
        <f t="shared" si="315"/>
        <v>28.791182359711147</v>
      </c>
      <c r="AE330" s="273">
        <f t="shared" si="315"/>
        <v>28.791182359711147</v>
      </c>
      <c r="AF330" s="273">
        <f t="shared" si="315"/>
        <v>28.791182359711147</v>
      </c>
      <c r="AG330" s="273">
        <f t="shared" si="315"/>
        <v>28.791182359711147</v>
      </c>
      <c r="AH330" s="273">
        <f t="shared" si="315"/>
        <v>28.791182359711147</v>
      </c>
      <c r="AI330" s="273">
        <f t="shared" si="315"/>
        <v>28.791182359711147</v>
      </c>
      <c r="AJ330" s="273">
        <f t="shared" si="315"/>
        <v>28.791182359711147</v>
      </c>
      <c r="AK330" s="273">
        <f t="shared" si="315"/>
        <v>0</v>
      </c>
      <c r="AL330" s="273">
        <f t="shared" si="315"/>
        <v>0</v>
      </c>
      <c r="AM330" s="273">
        <f t="shared" si="315"/>
        <v>0</v>
      </c>
      <c r="AN330" s="273">
        <f t="shared" si="315"/>
        <v>0</v>
      </c>
    </row>
    <row r="331" spans="3:40" outlineLevel="2">
      <c r="C331" t="str">
        <f>C310</f>
        <v>Despesas com seguro de engenharia</v>
      </c>
      <c r="D331" s="266"/>
      <c r="E331" s="32" t="s">
        <v>13</v>
      </c>
      <c r="F331" s="23">
        <f t="shared" si="298"/>
        <v>76.443648618970684</v>
      </c>
      <c r="G331" s="273">
        <f t="shared" ref="G331:AN331" si="316">G310</f>
        <v>1.2790064731359931</v>
      </c>
      <c r="H331" s="273">
        <f t="shared" si="316"/>
        <v>4.9382423976376577</v>
      </c>
      <c r="I331" s="273">
        <f t="shared" si="316"/>
        <v>1.3235912754197001</v>
      </c>
      <c r="J331" s="273">
        <f t="shared" si="316"/>
        <v>0.17264464585970002</v>
      </c>
      <c r="K331" s="273">
        <f t="shared" si="316"/>
        <v>0.17264464585970002</v>
      </c>
      <c r="L331" s="273">
        <f t="shared" si="316"/>
        <v>42.703515166796649</v>
      </c>
      <c r="M331" s="273">
        <f t="shared" si="316"/>
        <v>0.5890952653353041</v>
      </c>
      <c r="N331" s="273">
        <f t="shared" si="316"/>
        <v>0.18214805585970001</v>
      </c>
      <c r="O331" s="273">
        <f t="shared" si="316"/>
        <v>0.15191589585970003</v>
      </c>
      <c r="P331" s="273">
        <f t="shared" si="316"/>
        <v>0.24264464585970003</v>
      </c>
      <c r="Q331" s="273">
        <f t="shared" si="316"/>
        <v>0.37581325081495859</v>
      </c>
      <c r="R331" s="273">
        <f t="shared" si="316"/>
        <v>1.2147421062152917</v>
      </c>
      <c r="S331" s="273">
        <f t="shared" si="316"/>
        <v>0.29337756037170004</v>
      </c>
      <c r="T331" s="273">
        <f t="shared" si="316"/>
        <v>0.62583333033530408</v>
      </c>
      <c r="U331" s="273">
        <f t="shared" si="316"/>
        <v>0.15191589585970003</v>
      </c>
      <c r="V331" s="273">
        <f t="shared" si="316"/>
        <v>8.683138296147888</v>
      </c>
      <c r="W331" s="273">
        <f t="shared" si="316"/>
        <v>0.20590658085970001</v>
      </c>
      <c r="X331" s="273">
        <f t="shared" si="316"/>
        <v>0.23141930585970003</v>
      </c>
      <c r="Y331" s="273">
        <f t="shared" si="316"/>
        <v>0.17264464585970002</v>
      </c>
      <c r="Z331" s="273">
        <f t="shared" si="316"/>
        <v>0.17264464585970002</v>
      </c>
      <c r="AA331" s="273">
        <f t="shared" si="316"/>
        <v>0.73827318529056274</v>
      </c>
      <c r="AB331" s="273">
        <f t="shared" si="316"/>
        <v>1.3054708562152917</v>
      </c>
      <c r="AC331" s="273">
        <f t="shared" si="316"/>
        <v>0.29337756037170004</v>
      </c>
      <c r="AD331" s="273">
        <f t="shared" si="316"/>
        <v>0.15191589585970003</v>
      </c>
      <c r="AE331" s="273">
        <f t="shared" si="316"/>
        <v>0.17264464585970002</v>
      </c>
      <c r="AF331" s="273">
        <f t="shared" si="316"/>
        <v>8.7540072766518886</v>
      </c>
      <c r="AG331" s="273">
        <f t="shared" si="316"/>
        <v>0.18517783085969999</v>
      </c>
      <c r="AH331" s="273">
        <f t="shared" si="316"/>
        <v>0.56533674033530401</v>
      </c>
      <c r="AI331" s="273">
        <f t="shared" si="316"/>
        <v>0.17264464585970002</v>
      </c>
      <c r="AJ331" s="273">
        <f t="shared" si="316"/>
        <v>0.22191589585970001</v>
      </c>
      <c r="AK331" s="273">
        <f t="shared" si="316"/>
        <v>0</v>
      </c>
      <c r="AL331" s="273">
        <f t="shared" si="316"/>
        <v>0</v>
      </c>
      <c r="AM331" s="273">
        <f t="shared" si="316"/>
        <v>0</v>
      </c>
      <c r="AN331" s="273">
        <f t="shared" si="316"/>
        <v>0</v>
      </c>
    </row>
    <row r="332" spans="3:40" outlineLevel="2">
      <c r="C332" t="s">
        <v>440</v>
      </c>
      <c r="D332" s="275"/>
      <c r="E332" s="108" t="s">
        <v>13</v>
      </c>
      <c r="F332" s="26">
        <f t="shared" ref="F332" si="317">SUM(G332:AN332)</f>
        <v>537494.62117216201</v>
      </c>
      <c r="G332" s="317">
        <f t="shared" ref="G332:AN332" si="318">SUM(G314:G331)</f>
        <v>15797.541762956853</v>
      </c>
      <c r="H332" s="317">
        <f t="shared" si="318"/>
        <v>16555.215687863012</v>
      </c>
      <c r="I332" s="317">
        <f t="shared" si="318"/>
        <v>16996.464734224486</v>
      </c>
      <c r="J332" s="317">
        <f t="shared" si="318"/>
        <v>17370.115209746957</v>
      </c>
      <c r="K332" s="317">
        <f t="shared" si="318"/>
        <v>17421.856659541751</v>
      </c>
      <c r="L332" s="317">
        <f t="shared" si="318"/>
        <v>17513.311737542146</v>
      </c>
      <c r="M332" s="317">
        <f t="shared" si="318"/>
        <v>18476.065638633921</v>
      </c>
      <c r="N332" s="317">
        <f t="shared" si="318"/>
        <v>17662.762971884982</v>
      </c>
      <c r="O332" s="317">
        <f t="shared" si="318"/>
        <v>17682.006099403177</v>
      </c>
      <c r="P332" s="317">
        <f t="shared" si="318"/>
        <v>17763.936511271375</v>
      </c>
      <c r="Q332" s="317">
        <f t="shared" si="318"/>
        <v>17783.356971761375</v>
      </c>
      <c r="R332" s="317">
        <f t="shared" si="318"/>
        <v>17803.469260294965</v>
      </c>
      <c r="S332" s="317">
        <f t="shared" si="318"/>
        <v>17821.82125542732</v>
      </c>
      <c r="T332" s="317">
        <f t="shared" si="318"/>
        <v>17841.427070875474</v>
      </c>
      <c r="U332" s="317">
        <f t="shared" si="318"/>
        <v>17860.240445326042</v>
      </c>
      <c r="V332" s="317">
        <f t="shared" si="318"/>
        <v>17888.045027404525</v>
      </c>
      <c r="W332" s="317">
        <f t="shared" si="318"/>
        <v>17899.112235367433</v>
      </c>
      <c r="X332" s="317">
        <f t="shared" si="318"/>
        <v>17918.411107770622</v>
      </c>
      <c r="Y332" s="317">
        <f t="shared" si="318"/>
        <v>18325.444917315668</v>
      </c>
      <c r="Z332" s="317">
        <f t="shared" si="318"/>
        <v>18344.718276993863</v>
      </c>
      <c r="AA332" s="317">
        <f t="shared" si="318"/>
        <v>18364.55726521149</v>
      </c>
      <c r="AB332" s="317">
        <f t="shared" si="318"/>
        <v>18384.397822560608</v>
      </c>
      <c r="AC332" s="317">
        <f t="shared" si="318"/>
        <v>18402.673021149807</v>
      </c>
      <c r="AD332" s="317">
        <f t="shared" si="318"/>
        <v>18422.075999163491</v>
      </c>
      <c r="AE332" s="317">
        <f t="shared" si="318"/>
        <v>18441.370087591684</v>
      </c>
      <c r="AF332" s="317">
        <f t="shared" si="318"/>
        <v>18469.224809900676</v>
      </c>
      <c r="AG332" s="317">
        <f t="shared" si="318"/>
        <v>18542.238515779925</v>
      </c>
      <c r="AH332" s="317">
        <f t="shared" si="318"/>
        <v>18561.892034367593</v>
      </c>
      <c r="AI332" s="317">
        <f t="shared" si="318"/>
        <v>18580.772701951315</v>
      </c>
      <c r="AJ332" s="317">
        <f t="shared" si="318"/>
        <v>18600.095332879508</v>
      </c>
      <c r="AK332" s="317">
        <f t="shared" si="318"/>
        <v>0</v>
      </c>
      <c r="AL332" s="317">
        <f t="shared" si="318"/>
        <v>0</v>
      </c>
      <c r="AM332" s="317">
        <f t="shared" si="318"/>
        <v>0</v>
      </c>
      <c r="AN332" s="317">
        <f t="shared" si="318"/>
        <v>0</v>
      </c>
    </row>
    <row r="333" spans="3:40" outlineLevel="1">
      <c r="C333" s="2"/>
      <c r="D333" s="266"/>
      <c r="E333" s="309"/>
    </row>
    <row r="334" spans="3:40" outlineLevel="1">
      <c r="C334" s="5" t="s">
        <v>441</v>
      </c>
      <c r="D334" s="266"/>
      <c r="E334" s="309"/>
    </row>
    <row r="335" spans="3:40" outlineLevel="2">
      <c r="C335" t="str">
        <f t="shared" ref="C335:C352" si="319">C314</f>
        <v>Coleta Manual E Conteinerizada Resíduos Comuns</v>
      </c>
      <c r="D335" s="118"/>
      <c r="E335" s="32" t="s">
        <v>13</v>
      </c>
      <c r="F335" s="23">
        <f t="shared" ref="F335:F349" si="320">SUM(G335:AN335)</f>
        <v>119618.57126399549</v>
      </c>
      <c r="G335" s="273">
        <f>IF(Inputs!$E$19=1,G$39*G314,Ops!G314)*(1+$D$354)</f>
        <v>3802.4182892478507</v>
      </c>
      <c r="H335" s="273">
        <f>IF(Inputs!$E$19=1,H$39*H314,Ops!H314)*(1+$D$354)</f>
        <v>3802.4182892478507</v>
      </c>
      <c r="I335" s="273">
        <f>IF(Inputs!$E$19=1,I$39*I314,Ops!I314)*(1+$D$354)</f>
        <v>3832.3822892478506</v>
      </c>
      <c r="J335" s="273">
        <f>IF(Inputs!$E$19=1,J$39*J314,Ops!J314)*(1+$D$354)</f>
        <v>3862.3462892478506</v>
      </c>
      <c r="K335" s="273">
        <f>IF(Inputs!$E$19=1,K$39*K314,Ops!K314)*(1+$D$354)</f>
        <v>3862.3462892478506</v>
      </c>
      <c r="L335" s="273">
        <f>IF(Inputs!$E$19=1,L$39*L314,Ops!L314)*(1+$D$354)</f>
        <v>3862.3462892478506</v>
      </c>
      <c r="M335" s="273">
        <f>IF(Inputs!$E$19=1,M$39*M314,Ops!M314)*(1+$D$354)</f>
        <v>3862.3462892478506</v>
      </c>
      <c r="N335" s="273">
        <f>IF(Inputs!$E$19=1,N$39*N314,Ops!N314)*(1+$D$354)</f>
        <v>3862.3462892478506</v>
      </c>
      <c r="O335" s="273">
        <f>IF(Inputs!$E$19=1,O$39*O314,Ops!O314)*(1+$D$354)</f>
        <v>3862.3462892478506</v>
      </c>
      <c r="P335" s="273">
        <f>IF(Inputs!$E$19=1,P$39*P314,Ops!P314)*(1+$D$354)</f>
        <v>3862.3462892478506</v>
      </c>
      <c r="Q335" s="273">
        <f>IF(Inputs!$E$19=1,Q$39*Q314,Ops!Q314)*(1+$D$354)</f>
        <v>3862.3462892478506</v>
      </c>
      <c r="R335" s="273">
        <f>IF(Inputs!$E$19=1,R$39*R314,Ops!R314)*(1+$D$354)</f>
        <v>3862.3462892478506</v>
      </c>
      <c r="S335" s="273">
        <f>IF(Inputs!$E$19=1,S$39*S314,Ops!S314)*(1+$D$354)</f>
        <v>3862.3462892478506</v>
      </c>
      <c r="T335" s="273">
        <f>IF(Inputs!$E$19=1,T$39*T314,Ops!T314)*(1+$D$354)</f>
        <v>3862.3462892478506</v>
      </c>
      <c r="U335" s="273">
        <f>IF(Inputs!$E$19=1,U$39*U314,Ops!U314)*(1+$D$354)</f>
        <v>3862.3462892478506</v>
      </c>
      <c r="V335" s="273">
        <f>IF(Inputs!$E$19=1,V$39*V314,Ops!V314)*(1+$D$354)</f>
        <v>3862.3462892478506</v>
      </c>
      <c r="W335" s="273">
        <f>IF(Inputs!$E$19=1,W$39*W314,Ops!W314)*(1+$D$354)</f>
        <v>3862.3462892478506</v>
      </c>
      <c r="X335" s="273">
        <f>IF(Inputs!$E$19=1,X$39*X314,Ops!X314)*(1+$D$354)</f>
        <v>3862.3462892478506</v>
      </c>
      <c r="Y335" s="273">
        <f>IF(Inputs!$E$19=1,Y$39*Y314,Ops!Y314)*(1+$D$354)</f>
        <v>4187.1798381278504</v>
      </c>
      <c r="Z335" s="273">
        <f>IF(Inputs!$E$19=1,Z$39*Z314,Ops!Z314)*(1+$D$354)</f>
        <v>4187.1798381278504</v>
      </c>
      <c r="AA335" s="273">
        <f>IF(Inputs!$E$19=1,AA$39*AA314,Ops!AA314)*(1+$D$354)</f>
        <v>4187.1798381278504</v>
      </c>
      <c r="AB335" s="273">
        <f>IF(Inputs!$E$19=1,AB$39*AB314,Ops!AB314)*(1+$D$354)</f>
        <v>4187.1798381278504</v>
      </c>
      <c r="AC335" s="273">
        <f>IF(Inputs!$E$19=1,AC$39*AC314,Ops!AC314)*(1+$D$354)</f>
        <v>4187.1798381278504</v>
      </c>
      <c r="AD335" s="273">
        <f>IF(Inputs!$E$19=1,AD$39*AD314,Ops!AD314)*(1+$D$354)</f>
        <v>4187.1798381278504</v>
      </c>
      <c r="AE335" s="273">
        <f>IF(Inputs!$E$19=1,AE$39*AE314,Ops!AE314)*(1+$D$354)</f>
        <v>4187.1798381278504</v>
      </c>
      <c r="AF335" s="273">
        <f>IF(Inputs!$E$19=1,AF$39*AF314,Ops!AF314)*(1+$D$354)</f>
        <v>4187.1798381278504</v>
      </c>
      <c r="AG335" s="273">
        <f>IF(Inputs!$E$19=1,AG$39*AG314,Ops!AG314)*(1+$D$354)</f>
        <v>4187.1798381278504</v>
      </c>
      <c r="AH335" s="273">
        <f>IF(Inputs!$E$19=1,AH$39*AH314,Ops!AH314)*(1+$D$354)</f>
        <v>4187.1798381278504</v>
      </c>
      <c r="AI335" s="273">
        <f>IF(Inputs!$E$19=1,AI$39*AI314,Ops!AI314)*(1+$D$354)</f>
        <v>4187.1798381278504</v>
      </c>
      <c r="AJ335" s="273">
        <f>IF(Inputs!$E$19=1,AJ$39*AJ314,Ops!AJ314)*(1+$D$354)</f>
        <v>4187.1798381278504</v>
      </c>
      <c r="AK335" s="273">
        <f>IF(Inputs!$E$19=1,AK$39*AK314,Ops!AK314)*(1+$D$354)</f>
        <v>0</v>
      </c>
      <c r="AL335" s="273">
        <f>IF(Inputs!$E$19=1,AL$39*AL314,Ops!AL314)*(1+$D$354)</f>
        <v>0</v>
      </c>
      <c r="AM335" s="273">
        <f>IF(Inputs!$E$19=1,AM$39*AM314,Ops!AM314)*(1+$D$354)</f>
        <v>0</v>
      </c>
      <c r="AN335" s="273">
        <f>IF(Inputs!$E$19=1,AN$39*AN314,Ops!AN314)*(1+$D$354)</f>
        <v>0</v>
      </c>
    </row>
    <row r="336" spans="3:40" outlineLevel="2">
      <c r="C336" t="str">
        <f t="shared" si="319"/>
        <v>Coleta Materias Recicláveis</v>
      </c>
      <c r="D336" s="118"/>
      <c r="E336" s="32" t="s">
        <v>13</v>
      </c>
      <c r="F336" s="23">
        <f t="shared" si="320"/>
        <v>45195.221764716509</v>
      </c>
      <c r="G336" s="273">
        <f>IF(Inputs!$E$19=1,G$39*G315,Ops!G315)*(1+$D$354)</f>
        <v>1214.1571981652173</v>
      </c>
      <c r="H336" s="273">
        <f>IF(Inputs!$E$19=1,H$39*H315,Ops!H315)*(1+$D$354)</f>
        <v>1214.1571981652173</v>
      </c>
      <c r="I336" s="273">
        <f>IF(Inputs!$E$19=1,I$39*I315,Ops!I315)*(1+$D$354)</f>
        <v>1214.1571981652173</v>
      </c>
      <c r="J336" s="273">
        <f>IF(Inputs!$E$19=1,J$39*J315,Ops!J315)*(1+$D$354)</f>
        <v>1538.9907470452174</v>
      </c>
      <c r="K336" s="273">
        <f>IF(Inputs!$E$19=1,K$39*K315,Ops!K315)*(1+$D$354)</f>
        <v>1538.9907470452174</v>
      </c>
      <c r="L336" s="273">
        <f>IF(Inputs!$E$19=1,L$39*L315,Ops!L315)*(1+$D$354)</f>
        <v>1538.9907470452174</v>
      </c>
      <c r="M336" s="273">
        <f>IF(Inputs!$E$19=1,M$39*M315,Ops!M315)*(1+$D$354)</f>
        <v>1538.9907470452174</v>
      </c>
      <c r="N336" s="273">
        <f>IF(Inputs!$E$19=1,N$39*N315,Ops!N315)*(1+$D$354)</f>
        <v>1538.9907470452174</v>
      </c>
      <c r="O336" s="273">
        <f>IF(Inputs!$E$19=1,O$39*O315,Ops!O315)*(1+$D$354)</f>
        <v>1538.9907470452174</v>
      </c>
      <c r="P336" s="273">
        <f>IF(Inputs!$E$19=1,P$39*P315,Ops!P315)*(1+$D$354)</f>
        <v>1538.9907470452174</v>
      </c>
      <c r="Q336" s="273">
        <f>IF(Inputs!$E$19=1,Q$39*Q315,Ops!Q315)*(1+$D$354)</f>
        <v>1538.9907470452174</v>
      </c>
      <c r="R336" s="273">
        <f>IF(Inputs!$E$19=1,R$39*R315,Ops!R315)*(1+$D$354)</f>
        <v>1538.9907470452174</v>
      </c>
      <c r="S336" s="273">
        <f>IF(Inputs!$E$19=1,S$39*S315,Ops!S315)*(1+$D$354)</f>
        <v>1538.9907470452174</v>
      </c>
      <c r="T336" s="273">
        <f>IF(Inputs!$E$19=1,T$39*T315,Ops!T315)*(1+$D$354)</f>
        <v>1538.9907470452174</v>
      </c>
      <c r="U336" s="273">
        <f>IF(Inputs!$E$19=1,U$39*U315,Ops!U315)*(1+$D$354)</f>
        <v>1538.9907470452174</v>
      </c>
      <c r="V336" s="273">
        <f>IF(Inputs!$E$19=1,V$39*V315,Ops!V315)*(1+$D$354)</f>
        <v>1538.9907470452174</v>
      </c>
      <c r="W336" s="273">
        <f>IF(Inputs!$E$19=1,W$39*W315,Ops!W315)*(1+$D$354)</f>
        <v>1538.9907470452174</v>
      </c>
      <c r="X336" s="273">
        <f>IF(Inputs!$E$19=1,X$39*X315,Ops!X315)*(1+$D$354)</f>
        <v>1538.9907470452174</v>
      </c>
      <c r="Y336" s="273">
        <f>IF(Inputs!$E$19=1,Y$39*Y315,Ops!Y315)*(1+$D$354)</f>
        <v>1538.9907470452174</v>
      </c>
      <c r="Z336" s="273">
        <f>IF(Inputs!$E$19=1,Z$39*Z315,Ops!Z315)*(1+$D$354)</f>
        <v>1538.9907470452174</v>
      </c>
      <c r="AA336" s="273">
        <f>IF(Inputs!$E$19=1,AA$39*AA315,Ops!AA315)*(1+$D$354)</f>
        <v>1538.9907470452174</v>
      </c>
      <c r="AB336" s="273">
        <f>IF(Inputs!$E$19=1,AB$39*AB315,Ops!AB315)*(1+$D$354)</f>
        <v>1538.9907470452174</v>
      </c>
      <c r="AC336" s="273">
        <f>IF(Inputs!$E$19=1,AC$39*AC315,Ops!AC315)*(1+$D$354)</f>
        <v>1538.9907470452174</v>
      </c>
      <c r="AD336" s="273">
        <f>IF(Inputs!$E$19=1,AD$39*AD315,Ops!AD315)*(1+$D$354)</f>
        <v>1538.9907470452174</v>
      </c>
      <c r="AE336" s="273">
        <f>IF(Inputs!$E$19=1,AE$39*AE315,Ops!AE315)*(1+$D$354)</f>
        <v>1538.9907470452174</v>
      </c>
      <c r="AF336" s="273">
        <f>IF(Inputs!$E$19=1,AF$39*AF315,Ops!AF315)*(1+$D$354)</f>
        <v>1538.9907470452174</v>
      </c>
      <c r="AG336" s="273">
        <f>IF(Inputs!$E$19=1,AG$39*AG315,Ops!AG315)*(1+$D$354)</f>
        <v>1538.9907470452174</v>
      </c>
      <c r="AH336" s="273">
        <f>IF(Inputs!$E$19=1,AH$39*AH315,Ops!AH315)*(1+$D$354)</f>
        <v>1538.9907470452174</v>
      </c>
      <c r="AI336" s="273">
        <f>IF(Inputs!$E$19=1,AI$39*AI315,Ops!AI315)*(1+$D$354)</f>
        <v>1538.9907470452174</v>
      </c>
      <c r="AJ336" s="273">
        <f>IF(Inputs!$E$19=1,AJ$39*AJ315,Ops!AJ315)*(1+$D$354)</f>
        <v>1538.9907470452174</v>
      </c>
      <c r="AK336" s="273">
        <f>IF(Inputs!$E$19=1,AK$39*AK315,Ops!AK315)*(1+$D$354)</f>
        <v>0</v>
      </c>
      <c r="AL336" s="273">
        <f>IF(Inputs!$E$19=1,AL$39*AL315,Ops!AL315)*(1+$D$354)</f>
        <v>0</v>
      </c>
      <c r="AM336" s="273">
        <f>IF(Inputs!$E$19=1,AM$39*AM315,Ops!AM315)*(1+$D$354)</f>
        <v>0</v>
      </c>
      <c r="AN336" s="273">
        <f>IF(Inputs!$E$19=1,AN$39*AN315,Ops!AN315)*(1+$D$354)</f>
        <v>0</v>
      </c>
    </row>
    <row r="337" spans="3:40" outlineLevel="2">
      <c r="C337" t="str">
        <f t="shared" si="319"/>
        <v>Transporte E Destinação - Resíduos Dos  Pevs</v>
      </c>
      <c r="D337" s="118"/>
      <c r="E337" s="32" t="s">
        <v>13</v>
      </c>
      <c r="F337" s="23">
        <f t="shared" si="320"/>
        <v>7369.9807028168852</v>
      </c>
      <c r="G337" s="273">
        <f>IF(Inputs!$E$19=1,G$39*G316,Ops!G316)*(1+$D$354)</f>
        <v>0</v>
      </c>
      <c r="H337" s="273">
        <f>IF(Inputs!$E$19=1,H$39*H316,Ops!H316)*(1+$D$354)</f>
        <v>0</v>
      </c>
      <c r="I337" s="273">
        <f>IF(Inputs!$E$19=1,I$39*I316,Ops!I316)*(1+$D$354)</f>
        <v>263.21359652917431</v>
      </c>
      <c r="J337" s="273">
        <f>IF(Inputs!$E$19=1,J$39*J316,Ops!J316)*(1+$D$354)</f>
        <v>263.21359652917431</v>
      </c>
      <c r="K337" s="273">
        <f>IF(Inputs!$E$19=1,K$39*K316,Ops!K316)*(1+$D$354)</f>
        <v>263.21359652917431</v>
      </c>
      <c r="L337" s="273">
        <f>IF(Inputs!$E$19=1,L$39*L316,Ops!L316)*(1+$D$354)</f>
        <v>263.21359652917431</v>
      </c>
      <c r="M337" s="273">
        <f>IF(Inputs!$E$19=1,M$39*M316,Ops!M316)*(1+$D$354)</f>
        <v>263.21359652917431</v>
      </c>
      <c r="N337" s="273">
        <f>IF(Inputs!$E$19=1,N$39*N316,Ops!N316)*(1+$D$354)</f>
        <v>263.21359652917431</v>
      </c>
      <c r="O337" s="273">
        <f>IF(Inputs!$E$19=1,O$39*O316,Ops!O316)*(1+$D$354)</f>
        <v>263.21359652917431</v>
      </c>
      <c r="P337" s="273">
        <f>IF(Inputs!$E$19=1,P$39*P316,Ops!P316)*(1+$D$354)</f>
        <v>263.21359652917431</v>
      </c>
      <c r="Q337" s="273">
        <f>IF(Inputs!$E$19=1,Q$39*Q316,Ops!Q316)*(1+$D$354)</f>
        <v>263.21359652917431</v>
      </c>
      <c r="R337" s="273">
        <f>IF(Inputs!$E$19=1,R$39*R316,Ops!R316)*(1+$D$354)</f>
        <v>263.21359652917431</v>
      </c>
      <c r="S337" s="273">
        <f>IF(Inputs!$E$19=1,S$39*S316,Ops!S316)*(1+$D$354)</f>
        <v>263.21359652917431</v>
      </c>
      <c r="T337" s="273">
        <f>IF(Inputs!$E$19=1,T$39*T316,Ops!T316)*(1+$D$354)</f>
        <v>263.21359652917431</v>
      </c>
      <c r="U337" s="273">
        <f>IF(Inputs!$E$19=1,U$39*U316,Ops!U316)*(1+$D$354)</f>
        <v>263.21359652917431</v>
      </c>
      <c r="V337" s="273">
        <f>IF(Inputs!$E$19=1,V$39*V316,Ops!V316)*(1+$D$354)</f>
        <v>263.21359652917431</v>
      </c>
      <c r="W337" s="273">
        <f>IF(Inputs!$E$19=1,W$39*W316,Ops!W316)*(1+$D$354)</f>
        <v>263.21359652917431</v>
      </c>
      <c r="X337" s="273">
        <f>IF(Inputs!$E$19=1,X$39*X316,Ops!X316)*(1+$D$354)</f>
        <v>263.21359652917431</v>
      </c>
      <c r="Y337" s="273">
        <f>IF(Inputs!$E$19=1,Y$39*Y316,Ops!Y316)*(1+$D$354)</f>
        <v>263.21359652917431</v>
      </c>
      <c r="Z337" s="273">
        <f>IF(Inputs!$E$19=1,Z$39*Z316,Ops!Z316)*(1+$D$354)</f>
        <v>263.21359652917431</v>
      </c>
      <c r="AA337" s="273">
        <f>IF(Inputs!$E$19=1,AA$39*AA316,Ops!AA316)*(1+$D$354)</f>
        <v>263.21359652917431</v>
      </c>
      <c r="AB337" s="273">
        <f>IF(Inputs!$E$19=1,AB$39*AB316,Ops!AB316)*(1+$D$354)</f>
        <v>263.21359652917431</v>
      </c>
      <c r="AC337" s="273">
        <f>IF(Inputs!$E$19=1,AC$39*AC316,Ops!AC316)*(1+$D$354)</f>
        <v>263.21359652917431</v>
      </c>
      <c r="AD337" s="273">
        <f>IF(Inputs!$E$19=1,AD$39*AD316,Ops!AD316)*(1+$D$354)</f>
        <v>263.21359652917431</v>
      </c>
      <c r="AE337" s="273">
        <f>IF(Inputs!$E$19=1,AE$39*AE316,Ops!AE316)*(1+$D$354)</f>
        <v>263.21359652917431</v>
      </c>
      <c r="AF337" s="273">
        <f>IF(Inputs!$E$19=1,AF$39*AF316,Ops!AF316)*(1+$D$354)</f>
        <v>263.21359652917431</v>
      </c>
      <c r="AG337" s="273">
        <f>IF(Inputs!$E$19=1,AG$39*AG316,Ops!AG316)*(1+$D$354)</f>
        <v>263.21359652917431</v>
      </c>
      <c r="AH337" s="273">
        <f>IF(Inputs!$E$19=1,AH$39*AH316,Ops!AH316)*(1+$D$354)</f>
        <v>263.21359652917431</v>
      </c>
      <c r="AI337" s="273">
        <f>IF(Inputs!$E$19=1,AI$39*AI316,Ops!AI316)*(1+$D$354)</f>
        <v>263.21359652917431</v>
      </c>
      <c r="AJ337" s="273">
        <f>IF(Inputs!$E$19=1,AJ$39*AJ316,Ops!AJ316)*(1+$D$354)</f>
        <v>263.21359652917431</v>
      </c>
      <c r="AK337" s="273">
        <f>IF(Inputs!$E$19=1,AK$39*AK316,Ops!AK316)*(1+$D$354)</f>
        <v>0</v>
      </c>
      <c r="AL337" s="273">
        <f>IF(Inputs!$E$19=1,AL$39*AL316,Ops!AL316)*(1+$D$354)</f>
        <v>0</v>
      </c>
      <c r="AM337" s="273">
        <f>IF(Inputs!$E$19=1,AM$39*AM316,Ops!AM316)*(1+$D$354)</f>
        <v>0</v>
      </c>
      <c r="AN337" s="273">
        <f>IF(Inputs!$E$19=1,AN$39*AN316,Ops!AN316)*(1+$D$354)</f>
        <v>0</v>
      </c>
    </row>
    <row r="338" spans="3:40" outlineLevel="2">
      <c r="C338" t="str">
        <f t="shared" si="319"/>
        <v>Coleta Programada De Volumosos</v>
      </c>
      <c r="D338" s="118"/>
      <c r="E338" s="32" t="s">
        <v>13</v>
      </c>
      <c r="F338" s="23">
        <f>SUM(G338:AN338)</f>
        <v>20103.279886275312</v>
      </c>
      <c r="G338" s="273">
        <f>IF(Inputs!$E$19=1,G$39*G317,Ops!G317)*(1+$D$354)</f>
        <v>670.10932954251052</v>
      </c>
      <c r="H338" s="273">
        <f>IF(Inputs!$E$19=1,H$39*H317,Ops!H317)*(1+$D$354)</f>
        <v>670.10932954251052</v>
      </c>
      <c r="I338" s="273">
        <f>IF(Inputs!$E$19=1,I$39*I317,Ops!I317)*(1+$D$354)</f>
        <v>670.10932954251052</v>
      </c>
      <c r="J338" s="273">
        <f>IF(Inputs!$E$19=1,J$39*J317,Ops!J317)*(1+$D$354)</f>
        <v>670.10932954251052</v>
      </c>
      <c r="K338" s="273">
        <f>IF(Inputs!$E$19=1,K$39*K317,Ops!K317)*(1+$D$354)</f>
        <v>670.10932954251052</v>
      </c>
      <c r="L338" s="273">
        <f>IF(Inputs!$E$19=1,L$39*L317,Ops!L317)*(1+$D$354)</f>
        <v>670.10932954251052</v>
      </c>
      <c r="M338" s="273">
        <f>IF(Inputs!$E$19=1,M$39*M317,Ops!M317)*(1+$D$354)</f>
        <v>670.10932954251052</v>
      </c>
      <c r="N338" s="273">
        <f>IF(Inputs!$E$19=1,N$39*N317,Ops!N317)*(1+$D$354)</f>
        <v>670.10932954251052</v>
      </c>
      <c r="O338" s="273">
        <f>IF(Inputs!$E$19=1,O$39*O317,Ops!O317)*(1+$D$354)</f>
        <v>670.10932954251052</v>
      </c>
      <c r="P338" s="273">
        <f>IF(Inputs!$E$19=1,P$39*P317,Ops!P317)*(1+$D$354)</f>
        <v>670.10932954251052</v>
      </c>
      <c r="Q338" s="273">
        <f>IF(Inputs!$E$19=1,Q$39*Q317,Ops!Q317)*(1+$D$354)</f>
        <v>670.10932954251052</v>
      </c>
      <c r="R338" s="273">
        <f>IF(Inputs!$E$19=1,R$39*R317,Ops!R317)*(1+$D$354)</f>
        <v>670.10932954251052</v>
      </c>
      <c r="S338" s="273">
        <f>IF(Inputs!$E$19=1,S$39*S317,Ops!S317)*(1+$D$354)</f>
        <v>670.10932954251052</v>
      </c>
      <c r="T338" s="273">
        <f>IF(Inputs!$E$19=1,T$39*T317,Ops!T317)*(1+$D$354)</f>
        <v>670.10932954251052</v>
      </c>
      <c r="U338" s="273">
        <f>IF(Inputs!$E$19=1,U$39*U317,Ops!U317)*(1+$D$354)</f>
        <v>670.10932954251052</v>
      </c>
      <c r="V338" s="273">
        <f>IF(Inputs!$E$19=1,V$39*V317,Ops!V317)*(1+$D$354)</f>
        <v>670.10932954251052</v>
      </c>
      <c r="W338" s="273">
        <f>IF(Inputs!$E$19=1,W$39*W317,Ops!W317)*(1+$D$354)</f>
        <v>670.10932954251052</v>
      </c>
      <c r="X338" s="273">
        <f>IF(Inputs!$E$19=1,X$39*X317,Ops!X317)*(1+$D$354)</f>
        <v>670.10932954251052</v>
      </c>
      <c r="Y338" s="273">
        <f>IF(Inputs!$E$19=1,Y$39*Y317,Ops!Y317)*(1+$D$354)</f>
        <v>670.10932954251052</v>
      </c>
      <c r="Z338" s="273">
        <f>IF(Inputs!$E$19=1,Z$39*Z317,Ops!Z317)*(1+$D$354)</f>
        <v>670.10932954251052</v>
      </c>
      <c r="AA338" s="273">
        <f>IF(Inputs!$E$19=1,AA$39*AA317,Ops!AA317)*(1+$D$354)</f>
        <v>670.10932954251052</v>
      </c>
      <c r="AB338" s="273">
        <f>IF(Inputs!$E$19=1,AB$39*AB317,Ops!AB317)*(1+$D$354)</f>
        <v>670.10932954251052</v>
      </c>
      <c r="AC338" s="273">
        <f>IF(Inputs!$E$19=1,AC$39*AC317,Ops!AC317)*(1+$D$354)</f>
        <v>670.10932954251052</v>
      </c>
      <c r="AD338" s="273">
        <f>IF(Inputs!$E$19=1,AD$39*AD317,Ops!AD317)*(1+$D$354)</f>
        <v>670.10932954251052</v>
      </c>
      <c r="AE338" s="273">
        <f>IF(Inputs!$E$19=1,AE$39*AE317,Ops!AE317)*(1+$D$354)</f>
        <v>670.10932954251052</v>
      </c>
      <c r="AF338" s="273">
        <f>IF(Inputs!$E$19=1,AF$39*AF317,Ops!AF317)*(1+$D$354)</f>
        <v>670.10932954251052</v>
      </c>
      <c r="AG338" s="273">
        <f>IF(Inputs!$E$19=1,AG$39*AG317,Ops!AG317)*(1+$D$354)</f>
        <v>670.10932954251052</v>
      </c>
      <c r="AH338" s="273">
        <f>IF(Inputs!$E$19=1,AH$39*AH317,Ops!AH317)*(1+$D$354)</f>
        <v>670.10932954251052</v>
      </c>
      <c r="AI338" s="273">
        <f>IF(Inputs!$E$19=1,AI$39*AI317,Ops!AI317)*(1+$D$354)</f>
        <v>670.10932954251052</v>
      </c>
      <c r="AJ338" s="273">
        <f>IF(Inputs!$E$19=1,AJ$39*AJ317,Ops!AJ317)*(1+$D$354)</f>
        <v>670.10932954251052</v>
      </c>
      <c r="AK338" s="273">
        <f>IF(Inputs!$E$19=1,AK$39*AK317,Ops!AK317)*(1+$D$354)</f>
        <v>0</v>
      </c>
      <c r="AL338" s="273">
        <f>IF(Inputs!$E$19=1,AL$39*AL317,Ops!AL317)*(1+$D$354)</f>
        <v>0</v>
      </c>
      <c r="AM338" s="273">
        <f>IF(Inputs!$E$19=1,AM$39*AM317,Ops!AM317)*(1+$D$354)</f>
        <v>0</v>
      </c>
      <c r="AN338" s="273">
        <f>IF(Inputs!$E$19=1,AN$39*AN317,Ops!AN317)*(1+$D$354)</f>
        <v>0</v>
      </c>
    </row>
    <row r="339" spans="3:40" outlineLevel="2">
      <c r="C339" t="str">
        <f t="shared" si="319"/>
        <v>Varrição Manual</v>
      </c>
      <c r="D339" s="118"/>
      <c r="E339" s="32" t="s">
        <v>13</v>
      </c>
      <c r="F339" s="23">
        <f t="shared" si="320"/>
        <v>33008.94178978345</v>
      </c>
      <c r="G339" s="273">
        <f>IF(Inputs!$E$19=1,G$39*G318,Ops!G318)*(1+$D$354)</f>
        <v>902.85758976611521</v>
      </c>
      <c r="H339" s="273">
        <f>IF(Inputs!$E$19=1,H$39*H318,Ops!H318)*(1+$D$354)</f>
        <v>1027.1445066461151</v>
      </c>
      <c r="I339" s="273">
        <f>IF(Inputs!$E$19=1,I$39*I318,Ops!I318)*(1+$D$354)</f>
        <v>1027.4155866461151</v>
      </c>
      <c r="J339" s="273">
        <f>IF(Inputs!$E$19=1,J$39*J318,Ops!J318)*(1+$D$354)</f>
        <v>1027.4155866461151</v>
      </c>
      <c r="K339" s="273">
        <f>IF(Inputs!$E$19=1,K$39*K318,Ops!K318)*(1+$D$354)</f>
        <v>1027.4155866461151</v>
      </c>
      <c r="L339" s="273">
        <f>IF(Inputs!$E$19=1,L$39*L318,Ops!L318)*(1+$D$354)</f>
        <v>1027.4155866461151</v>
      </c>
      <c r="M339" s="273">
        <f>IF(Inputs!$E$19=1,M$39*M318,Ops!M318)*(1+$D$354)</f>
        <v>1027.4155866461151</v>
      </c>
      <c r="N339" s="273">
        <f>IF(Inputs!$E$19=1,N$39*N318,Ops!N318)*(1+$D$354)</f>
        <v>1027.4155866461151</v>
      </c>
      <c r="O339" s="273">
        <f>IF(Inputs!$E$19=1,O$39*O318,Ops!O318)*(1+$D$354)</f>
        <v>1027.4155866461151</v>
      </c>
      <c r="P339" s="273">
        <f>IF(Inputs!$E$19=1,P$39*P318,Ops!P318)*(1+$D$354)</f>
        <v>1089.8466100861149</v>
      </c>
      <c r="Q339" s="273">
        <f>IF(Inputs!$E$19=1,Q$39*Q318,Ops!Q318)*(1+$D$354)</f>
        <v>1089.8466100861149</v>
      </c>
      <c r="R339" s="273">
        <f>IF(Inputs!$E$19=1,R$39*R318,Ops!R318)*(1+$D$354)</f>
        <v>1089.8466100861149</v>
      </c>
      <c r="S339" s="273">
        <f>IF(Inputs!$E$19=1,S$39*S318,Ops!S318)*(1+$D$354)</f>
        <v>1089.8466100861149</v>
      </c>
      <c r="T339" s="273">
        <f>IF(Inputs!$E$19=1,T$39*T318,Ops!T318)*(1+$D$354)</f>
        <v>1089.8466100861149</v>
      </c>
      <c r="U339" s="273">
        <f>IF(Inputs!$E$19=1,U$39*U318,Ops!U318)*(1+$D$354)</f>
        <v>1089.8466100861149</v>
      </c>
      <c r="V339" s="273">
        <f>IF(Inputs!$E$19=1,V$39*V318,Ops!V318)*(1+$D$354)</f>
        <v>1089.8466100861149</v>
      </c>
      <c r="W339" s="273">
        <f>IF(Inputs!$E$19=1,W$39*W318,Ops!W318)*(1+$D$354)</f>
        <v>1090.1176900861149</v>
      </c>
      <c r="X339" s="273">
        <f>IF(Inputs!$E$19=1,X$39*X318,Ops!X318)*(1+$D$354)</f>
        <v>1090.1176900861149</v>
      </c>
      <c r="Y339" s="273">
        <f>IF(Inputs!$E$19=1,Y$39*Y318,Ops!Y318)*(1+$D$354)</f>
        <v>1152.2776335261151</v>
      </c>
      <c r="Z339" s="273">
        <f>IF(Inputs!$E$19=1,Z$39*Z318,Ops!Z318)*(1+$D$354)</f>
        <v>1152.2776335261151</v>
      </c>
      <c r="AA339" s="273">
        <f>IF(Inputs!$E$19=1,AA$39*AA318,Ops!AA318)*(1+$D$354)</f>
        <v>1152.2776335261151</v>
      </c>
      <c r="AB339" s="273">
        <f>IF(Inputs!$E$19=1,AB$39*AB318,Ops!AB318)*(1+$D$354)</f>
        <v>1152.2776335261151</v>
      </c>
      <c r="AC339" s="273">
        <f>IF(Inputs!$E$19=1,AC$39*AC318,Ops!AC318)*(1+$D$354)</f>
        <v>1152.2776335261151</v>
      </c>
      <c r="AD339" s="273">
        <f>IF(Inputs!$E$19=1,AD$39*AD318,Ops!AD318)*(1+$D$354)</f>
        <v>1152.5487135261151</v>
      </c>
      <c r="AE339" s="273">
        <f>IF(Inputs!$E$19=1,AE$39*AE318,Ops!AE318)*(1+$D$354)</f>
        <v>1152.5487135261151</v>
      </c>
      <c r="AF339" s="273">
        <f>IF(Inputs!$E$19=1,AF$39*AF318,Ops!AF318)*(1+$D$354)</f>
        <v>1152.5487135261151</v>
      </c>
      <c r="AG339" s="273">
        <f>IF(Inputs!$E$19=1,AG$39*AG318,Ops!AG318)*(1+$D$354)</f>
        <v>1214.7086569661151</v>
      </c>
      <c r="AH339" s="273">
        <f>IF(Inputs!$E$19=1,AH$39*AH318,Ops!AH318)*(1+$D$354)</f>
        <v>1214.7086569661151</v>
      </c>
      <c r="AI339" s="273">
        <f>IF(Inputs!$E$19=1,AI$39*AI318,Ops!AI318)*(1+$D$354)</f>
        <v>1214.7086569661151</v>
      </c>
      <c r="AJ339" s="273">
        <f>IF(Inputs!$E$19=1,AJ$39*AJ318,Ops!AJ318)*(1+$D$354)</f>
        <v>1214.7086569661151</v>
      </c>
      <c r="AK339" s="273">
        <f>IF(Inputs!$E$19=1,AK$39*AK318,Ops!AK318)*(1+$D$354)</f>
        <v>0</v>
      </c>
      <c r="AL339" s="273">
        <f>IF(Inputs!$E$19=1,AL$39*AL318,Ops!AL318)*(1+$D$354)</f>
        <v>0</v>
      </c>
      <c r="AM339" s="273">
        <f>IF(Inputs!$E$19=1,AM$39*AM318,Ops!AM318)*(1+$D$354)</f>
        <v>0</v>
      </c>
      <c r="AN339" s="273">
        <f>IF(Inputs!$E$19=1,AN$39*AN318,Ops!AN318)*(1+$D$354)</f>
        <v>0</v>
      </c>
    </row>
    <row r="340" spans="3:40" outlineLevel="2">
      <c r="C340" t="str">
        <f t="shared" si="319"/>
        <v>Serviços Gerais (Tipos I E II)</v>
      </c>
      <c r="D340" s="118"/>
      <c r="E340" s="32" t="s">
        <v>13</v>
      </c>
      <c r="F340" s="23">
        <f t="shared" si="320"/>
        <v>74397.325471316275</v>
      </c>
      <c r="G340" s="273">
        <f>IF(Inputs!$E$19=1,G$39*G319,Ops!G319)*(1+$D$354)</f>
        <v>2479.9108490438762</v>
      </c>
      <c r="H340" s="273">
        <f>IF(Inputs!$E$19=1,H$39*H319,Ops!H319)*(1+$D$354)</f>
        <v>2479.9108490438762</v>
      </c>
      <c r="I340" s="273">
        <f>IF(Inputs!$E$19=1,I$39*I319,Ops!I319)*(1+$D$354)</f>
        <v>2479.9108490438762</v>
      </c>
      <c r="J340" s="273">
        <f>IF(Inputs!$E$19=1,J$39*J319,Ops!J319)*(1+$D$354)</f>
        <v>2479.9108490438762</v>
      </c>
      <c r="K340" s="273">
        <f>IF(Inputs!$E$19=1,K$39*K319,Ops!K319)*(1+$D$354)</f>
        <v>2479.9108490438762</v>
      </c>
      <c r="L340" s="273">
        <f>IF(Inputs!$E$19=1,L$39*L319,Ops!L319)*(1+$D$354)</f>
        <v>2479.9108490438762</v>
      </c>
      <c r="M340" s="273">
        <f>IF(Inputs!$E$19=1,M$39*M319,Ops!M319)*(1+$D$354)</f>
        <v>2479.9108490438762</v>
      </c>
      <c r="N340" s="273">
        <f>IF(Inputs!$E$19=1,N$39*N319,Ops!N319)*(1+$D$354)</f>
        <v>2479.9108490438762</v>
      </c>
      <c r="O340" s="273">
        <f>IF(Inputs!$E$19=1,O$39*O319,Ops!O319)*(1+$D$354)</f>
        <v>2479.9108490438762</v>
      </c>
      <c r="P340" s="273">
        <f>IF(Inputs!$E$19=1,P$39*P319,Ops!P319)*(1+$D$354)</f>
        <v>2479.9108490438762</v>
      </c>
      <c r="Q340" s="273">
        <f>IF(Inputs!$E$19=1,Q$39*Q319,Ops!Q319)*(1+$D$354)</f>
        <v>2479.9108490438762</v>
      </c>
      <c r="R340" s="273">
        <f>IF(Inputs!$E$19=1,R$39*R319,Ops!R319)*(1+$D$354)</f>
        <v>2479.9108490438762</v>
      </c>
      <c r="S340" s="273">
        <f>IF(Inputs!$E$19=1,S$39*S319,Ops!S319)*(1+$D$354)</f>
        <v>2479.9108490438762</v>
      </c>
      <c r="T340" s="273">
        <f>IF(Inputs!$E$19=1,T$39*T319,Ops!T319)*(1+$D$354)</f>
        <v>2479.9108490438762</v>
      </c>
      <c r="U340" s="273">
        <f>IF(Inputs!$E$19=1,U$39*U319,Ops!U319)*(1+$D$354)</f>
        <v>2479.9108490438762</v>
      </c>
      <c r="V340" s="273">
        <f>IF(Inputs!$E$19=1,V$39*V319,Ops!V319)*(1+$D$354)</f>
        <v>2479.9108490438762</v>
      </c>
      <c r="W340" s="273">
        <f>IF(Inputs!$E$19=1,W$39*W319,Ops!W319)*(1+$D$354)</f>
        <v>2479.9108490438762</v>
      </c>
      <c r="X340" s="273">
        <f>IF(Inputs!$E$19=1,X$39*X319,Ops!X319)*(1+$D$354)</f>
        <v>2479.9108490438762</v>
      </c>
      <c r="Y340" s="273">
        <f>IF(Inputs!$E$19=1,Y$39*Y319,Ops!Y319)*(1+$D$354)</f>
        <v>2479.9108490438762</v>
      </c>
      <c r="Z340" s="273">
        <f>IF(Inputs!$E$19=1,Z$39*Z319,Ops!Z319)*(1+$D$354)</f>
        <v>2479.9108490438762</v>
      </c>
      <c r="AA340" s="273">
        <f>IF(Inputs!$E$19=1,AA$39*AA319,Ops!AA319)*(1+$D$354)</f>
        <v>2479.9108490438762</v>
      </c>
      <c r="AB340" s="273">
        <f>IF(Inputs!$E$19=1,AB$39*AB319,Ops!AB319)*(1+$D$354)</f>
        <v>2479.9108490438762</v>
      </c>
      <c r="AC340" s="273">
        <f>IF(Inputs!$E$19=1,AC$39*AC319,Ops!AC319)*(1+$D$354)</f>
        <v>2479.9108490438762</v>
      </c>
      <c r="AD340" s="273">
        <f>IF(Inputs!$E$19=1,AD$39*AD319,Ops!AD319)*(1+$D$354)</f>
        <v>2479.9108490438762</v>
      </c>
      <c r="AE340" s="273">
        <f>IF(Inputs!$E$19=1,AE$39*AE319,Ops!AE319)*(1+$D$354)</f>
        <v>2479.9108490438762</v>
      </c>
      <c r="AF340" s="273">
        <f>IF(Inputs!$E$19=1,AF$39*AF319,Ops!AF319)*(1+$D$354)</f>
        <v>2479.9108490438762</v>
      </c>
      <c r="AG340" s="273">
        <f>IF(Inputs!$E$19=1,AG$39*AG319,Ops!AG319)*(1+$D$354)</f>
        <v>2479.9108490438762</v>
      </c>
      <c r="AH340" s="273">
        <f>IF(Inputs!$E$19=1,AH$39*AH319,Ops!AH319)*(1+$D$354)</f>
        <v>2479.9108490438762</v>
      </c>
      <c r="AI340" s="273">
        <f>IF(Inputs!$E$19=1,AI$39*AI319,Ops!AI319)*(1+$D$354)</f>
        <v>2479.9108490438762</v>
      </c>
      <c r="AJ340" s="273">
        <f>IF(Inputs!$E$19=1,AJ$39*AJ319,Ops!AJ319)*(1+$D$354)</f>
        <v>2479.9108490438762</v>
      </c>
      <c r="AK340" s="273">
        <f>IF(Inputs!$E$19=1,AK$39*AK319,Ops!AK319)*(1+$D$354)</f>
        <v>0</v>
      </c>
      <c r="AL340" s="273">
        <f>IF(Inputs!$E$19=1,AL$39*AL319,Ops!AL319)*(1+$D$354)</f>
        <v>0</v>
      </c>
      <c r="AM340" s="273">
        <f>IF(Inputs!$E$19=1,AM$39*AM319,Ops!AM319)*(1+$D$354)</f>
        <v>0</v>
      </c>
      <c r="AN340" s="273">
        <f>IF(Inputs!$E$19=1,AN$39*AN319,Ops!AN319)*(1+$D$354)</f>
        <v>0</v>
      </c>
    </row>
    <row r="341" spans="3:40" outlineLevel="2">
      <c r="C341" t="str">
        <f t="shared" si="319"/>
        <v>Roçada</v>
      </c>
      <c r="D341" s="118"/>
      <c r="E341" s="32" t="s">
        <v>13</v>
      </c>
      <c r="F341" s="23">
        <f t="shared" ref="F341" si="321">SUM(G341:AN341)</f>
        <v>42142.108850209821</v>
      </c>
      <c r="G341" s="273">
        <f>IF(Inputs!$E$19=1,G$39*G320,Ops!G320)*(1+$D$354)</f>
        <v>1404.7369616736601</v>
      </c>
      <c r="H341" s="273">
        <f>IF(Inputs!$E$19=1,H$39*H320,Ops!H320)*(1+$D$354)</f>
        <v>1404.7369616736601</v>
      </c>
      <c r="I341" s="273">
        <f>IF(Inputs!$E$19=1,I$39*I320,Ops!I320)*(1+$D$354)</f>
        <v>1404.7369616736601</v>
      </c>
      <c r="J341" s="273">
        <f>IF(Inputs!$E$19=1,J$39*J320,Ops!J320)*(1+$D$354)</f>
        <v>1404.7369616736601</v>
      </c>
      <c r="K341" s="273">
        <f>IF(Inputs!$E$19=1,K$39*K320,Ops!K320)*(1+$D$354)</f>
        <v>1404.7369616736601</v>
      </c>
      <c r="L341" s="273">
        <f>IF(Inputs!$E$19=1,L$39*L320,Ops!L320)*(1+$D$354)</f>
        <v>1404.7369616736601</v>
      </c>
      <c r="M341" s="273">
        <f>IF(Inputs!$E$19=1,M$39*M320,Ops!M320)*(1+$D$354)</f>
        <v>1404.7369616736601</v>
      </c>
      <c r="N341" s="273">
        <f>IF(Inputs!$E$19=1,N$39*N320,Ops!N320)*(1+$D$354)</f>
        <v>1404.7369616736601</v>
      </c>
      <c r="O341" s="273">
        <f>IF(Inputs!$E$19=1,O$39*O320,Ops!O320)*(1+$D$354)</f>
        <v>1404.7369616736601</v>
      </c>
      <c r="P341" s="273">
        <f>IF(Inputs!$E$19=1,P$39*P320,Ops!P320)*(1+$D$354)</f>
        <v>1404.7369616736601</v>
      </c>
      <c r="Q341" s="273">
        <f>IF(Inputs!$E$19=1,Q$39*Q320,Ops!Q320)*(1+$D$354)</f>
        <v>1404.7369616736601</v>
      </c>
      <c r="R341" s="273">
        <f>IF(Inputs!$E$19=1,R$39*R320,Ops!R320)*(1+$D$354)</f>
        <v>1404.7369616736601</v>
      </c>
      <c r="S341" s="273">
        <f>IF(Inputs!$E$19=1,S$39*S320,Ops!S320)*(1+$D$354)</f>
        <v>1404.7369616736601</v>
      </c>
      <c r="T341" s="273">
        <f>IF(Inputs!$E$19=1,T$39*T320,Ops!T320)*(1+$D$354)</f>
        <v>1404.7369616736601</v>
      </c>
      <c r="U341" s="273">
        <f>IF(Inputs!$E$19=1,U$39*U320,Ops!U320)*(1+$D$354)</f>
        <v>1404.7369616736601</v>
      </c>
      <c r="V341" s="273">
        <f>IF(Inputs!$E$19=1,V$39*V320,Ops!V320)*(1+$D$354)</f>
        <v>1404.7369616736601</v>
      </c>
      <c r="W341" s="273">
        <f>IF(Inputs!$E$19=1,W$39*W320,Ops!W320)*(1+$D$354)</f>
        <v>1404.7369616736601</v>
      </c>
      <c r="X341" s="273">
        <f>IF(Inputs!$E$19=1,X$39*X320,Ops!X320)*(1+$D$354)</f>
        <v>1404.7369616736601</v>
      </c>
      <c r="Y341" s="273">
        <f>IF(Inputs!$E$19=1,Y$39*Y320,Ops!Y320)*(1+$D$354)</f>
        <v>1404.7369616736601</v>
      </c>
      <c r="Z341" s="273">
        <f>IF(Inputs!$E$19=1,Z$39*Z320,Ops!Z320)*(1+$D$354)</f>
        <v>1404.7369616736601</v>
      </c>
      <c r="AA341" s="273">
        <f>IF(Inputs!$E$19=1,AA$39*AA320,Ops!AA320)*(1+$D$354)</f>
        <v>1404.7369616736601</v>
      </c>
      <c r="AB341" s="273">
        <f>IF(Inputs!$E$19=1,AB$39*AB320,Ops!AB320)*(1+$D$354)</f>
        <v>1404.7369616736601</v>
      </c>
      <c r="AC341" s="273">
        <f>IF(Inputs!$E$19=1,AC$39*AC320,Ops!AC320)*(1+$D$354)</f>
        <v>1404.7369616736601</v>
      </c>
      <c r="AD341" s="273">
        <f>IF(Inputs!$E$19=1,AD$39*AD320,Ops!AD320)*(1+$D$354)</f>
        <v>1404.7369616736601</v>
      </c>
      <c r="AE341" s="273">
        <f>IF(Inputs!$E$19=1,AE$39*AE320,Ops!AE320)*(1+$D$354)</f>
        <v>1404.7369616736601</v>
      </c>
      <c r="AF341" s="273">
        <f>IF(Inputs!$E$19=1,AF$39*AF320,Ops!AF320)*(1+$D$354)</f>
        <v>1404.7369616736601</v>
      </c>
      <c r="AG341" s="273">
        <f>IF(Inputs!$E$19=1,AG$39*AG320,Ops!AG320)*(1+$D$354)</f>
        <v>1404.7369616736601</v>
      </c>
      <c r="AH341" s="273">
        <f>IF(Inputs!$E$19=1,AH$39*AH320,Ops!AH320)*(1+$D$354)</f>
        <v>1404.7369616736601</v>
      </c>
      <c r="AI341" s="273">
        <f>IF(Inputs!$E$19=1,AI$39*AI320,Ops!AI320)*(1+$D$354)</f>
        <v>1404.7369616736601</v>
      </c>
      <c r="AJ341" s="273">
        <f>IF(Inputs!$E$19=1,AJ$39*AJ320,Ops!AJ320)*(1+$D$354)</f>
        <v>1404.7369616736601</v>
      </c>
      <c r="AK341" s="273">
        <f>IF(Inputs!$E$19=1,AK$39*AK320,Ops!AK320)*(1+$D$354)</f>
        <v>0</v>
      </c>
      <c r="AL341" s="273">
        <f>IF(Inputs!$E$19=1,AL$39*AL320,Ops!AL320)*(1+$D$354)</f>
        <v>0</v>
      </c>
      <c r="AM341" s="273">
        <f>IF(Inputs!$E$19=1,AM$39*AM320,Ops!AM320)*(1+$D$354)</f>
        <v>0</v>
      </c>
      <c r="AN341" s="273">
        <f>IF(Inputs!$E$19=1,AN$39*AN320,Ops!AN320)*(1+$D$354)</f>
        <v>0</v>
      </c>
    </row>
    <row r="342" spans="3:40" outlineLevel="2">
      <c r="C342" t="str">
        <f t="shared" si="319"/>
        <v xml:space="preserve">Destinação Final </v>
      </c>
      <c r="D342" s="118"/>
      <c r="E342" s="32" t="s">
        <v>13</v>
      </c>
      <c r="F342" s="23">
        <f t="shared" si="320"/>
        <v>131414.70517089235</v>
      </c>
      <c r="G342" s="273">
        <f>IF(Inputs!$E$19=1,G$39*G321,Ops!G321)*(1+$D$354)</f>
        <v>3730.3440009626115</v>
      </c>
      <c r="H342" s="273">
        <f>IF(Inputs!$E$19=1,H$39*H321,Ops!H321)*(1+$D$354)</f>
        <v>3844.8985269753866</v>
      </c>
      <c r="I342" s="273">
        <f>IF(Inputs!$E$19=1,I$39*I321,Ops!I321)*(1+$D$354)</f>
        <v>3992.6100238902841</v>
      </c>
      <c r="J342" s="273">
        <f>IF(Inputs!$E$19=1,J$39*J321,Ops!J321)*(1+$D$354)</f>
        <v>4036.0044731226894</v>
      </c>
      <c r="K342" s="273">
        <f>IF(Inputs!$E$19=1,K$39*K321,Ops!K321)*(1+$D$354)</f>
        <v>4084.3129988778605</v>
      </c>
      <c r="L342" s="273">
        <f>IF(Inputs!$E$19=1,L$39*L321,Ops!L321)*(1+$D$354)</f>
        <v>4129.8042823176957</v>
      </c>
      <c r="M342" s="273">
        <f>IF(Inputs!$E$19=1,M$39*M321,Ops!M321)*(1+$D$354)</f>
        <v>5098.4926465873132</v>
      </c>
      <c r="N342" s="273">
        <f>IF(Inputs!$E$19=1,N$39*N321,Ops!N321)*(1+$D$354)</f>
        <v>4282.1640030082226</v>
      </c>
      <c r="O342" s="273">
        <f>IF(Inputs!$E$19=1,O$39*O321,Ops!O321)*(1+$D$354)</f>
        <v>4298.0044386467944</v>
      </c>
      <c r="P342" s="273">
        <f>IF(Inputs!$E$19=1,P$39*P321,Ops!P321)*(1+$D$354)</f>
        <v>4313.8448742853661</v>
      </c>
      <c r="Q342" s="273">
        <f>IF(Inputs!$E$19=1,Q$39*Q321,Ops!Q321)*(1+$D$354)</f>
        <v>4329.699242130785</v>
      </c>
      <c r="R342" s="273">
        <f>IF(Inputs!$E$19=1,R$39*R321,Ops!R321)*(1+$D$354)</f>
        <v>4345.5396777693559</v>
      </c>
      <c r="S342" s="273">
        <f>IF(Inputs!$E$19=1,S$39*S321,Ops!S321)*(1+$D$354)</f>
        <v>4361.3801134079267</v>
      </c>
      <c r="T342" s="273">
        <f>IF(Inputs!$E$19=1,T$39*T321,Ops!T321)*(1+$D$354)</f>
        <v>4377.2205490464985</v>
      </c>
      <c r="U342" s="273">
        <f>IF(Inputs!$E$19=1,U$39*U321,Ops!U321)*(1+$D$354)</f>
        <v>4393.0749168919174</v>
      </c>
      <c r="V342" s="273">
        <f>IF(Inputs!$E$19=1,V$39*V321,Ops!V321)*(1+$D$354)</f>
        <v>4408.9153525304882</v>
      </c>
      <c r="W342" s="273">
        <f>IF(Inputs!$E$19=1,W$39*W321,Ops!W321)*(1+$D$354)</f>
        <v>4424.75578816906</v>
      </c>
      <c r="X342" s="273">
        <f>IF(Inputs!$E$19=1,X$39*X321,Ops!X321)*(1+$D$354)</f>
        <v>4440.5962238076308</v>
      </c>
      <c r="Y342" s="273">
        <f>IF(Inputs!$E$19=1,Y$39*Y321,Ops!Y321)*(1+$D$354)</f>
        <v>4456.4505916530507</v>
      </c>
      <c r="Z342" s="273">
        <f>IF(Inputs!$E$19=1,Z$39*Z321,Ops!Z321)*(1+$D$354)</f>
        <v>4472.2910272916215</v>
      </c>
      <c r="AA342" s="273">
        <f>IF(Inputs!$E$19=1,AA$39*AA321,Ops!AA321)*(1+$D$354)</f>
        <v>4488.1314629301924</v>
      </c>
      <c r="AB342" s="273">
        <f>IF(Inputs!$E$19=1,AB$39*AB321,Ops!AB321)*(1+$D$354)</f>
        <v>4503.9718985687632</v>
      </c>
      <c r="AC342" s="273">
        <f>IF(Inputs!$E$19=1,AC$39*AC321,Ops!AC321)*(1+$D$354)</f>
        <v>4519.826266414183</v>
      </c>
      <c r="AD342" s="273">
        <f>IF(Inputs!$E$19=1,AD$39*AD321,Ops!AD321)*(1+$D$354)</f>
        <v>4535.6667020527539</v>
      </c>
      <c r="AE342" s="273">
        <f>IF(Inputs!$E$19=1,AE$39*AE321,Ops!AE321)*(1+$D$354)</f>
        <v>4551.5071376913247</v>
      </c>
      <c r="AF342" s="273">
        <f>IF(Inputs!$E$19=1,AF$39*AF321,Ops!AF321)*(1+$D$354)</f>
        <v>4567.3475733298965</v>
      </c>
      <c r="AG342" s="273">
        <f>IF(Inputs!$E$19=1,AG$39*AG321,Ops!AG321)*(1+$D$354)</f>
        <v>4583.2019411753163</v>
      </c>
      <c r="AH342" s="273">
        <f>IF(Inputs!$E$19=1,AH$39*AH321,Ops!AH321)*(1+$D$354)</f>
        <v>4599.0423768138862</v>
      </c>
      <c r="AI342" s="273">
        <f>IF(Inputs!$E$19=1,AI$39*AI321,Ops!AI321)*(1+$D$354)</f>
        <v>4614.882812452458</v>
      </c>
      <c r="AJ342" s="273">
        <f>IF(Inputs!$E$19=1,AJ$39*AJ321,Ops!AJ321)*(1+$D$354)</f>
        <v>4630.7232480910288</v>
      </c>
      <c r="AK342" s="273">
        <f>IF(Inputs!$E$19=1,AK$39*AK321,Ops!AK321)*(1+$D$354)</f>
        <v>0</v>
      </c>
      <c r="AL342" s="273">
        <f>IF(Inputs!$E$19=1,AL$39*AL321,Ops!AL321)*(1+$D$354)</f>
        <v>0</v>
      </c>
      <c r="AM342" s="273">
        <f>IF(Inputs!$E$19=1,AM$39*AM321,Ops!AM321)*(1+$D$354)</f>
        <v>0</v>
      </c>
      <c r="AN342" s="273">
        <f>IF(Inputs!$E$19=1,AN$39*AN321,Ops!AN321)*(1+$D$354)</f>
        <v>0</v>
      </c>
    </row>
    <row r="343" spans="3:40" outlineLevel="2">
      <c r="C343" t="str">
        <f t="shared" si="319"/>
        <v>Educaçao Ambiental</v>
      </c>
      <c r="D343" s="118"/>
      <c r="E343" s="32" t="s">
        <v>13</v>
      </c>
      <c r="F343" s="23">
        <f t="shared" si="320"/>
        <v>6398.1914396639986</v>
      </c>
      <c r="G343" s="273">
        <f>IF(Inputs!$E$19=1,G$39*G322,Ops!G322)*(1+$D$354)</f>
        <v>266.27880593759994</v>
      </c>
      <c r="H343" s="273">
        <f>IF(Inputs!$E$19=1,H$39*H322,Ops!H322)*(1+$D$354)</f>
        <v>266.27880593759994</v>
      </c>
      <c r="I343" s="273">
        <f>IF(Inputs!$E$19=1,I$39*I322,Ops!I322)*(1+$D$354)</f>
        <v>266.27880593759994</v>
      </c>
      <c r="J343" s="273">
        <f>IF(Inputs!$E$19=1,J$39*J322,Ops!J322)*(1+$D$354)</f>
        <v>266.27880593759994</v>
      </c>
      <c r="K343" s="273">
        <f>IF(Inputs!$E$19=1,K$39*K322,Ops!K322)*(1+$D$354)</f>
        <v>266.27880593759994</v>
      </c>
      <c r="L343" s="273">
        <f>IF(Inputs!$E$19=1,L$39*L322,Ops!L322)*(1+$D$354)</f>
        <v>266.27880593759994</v>
      </c>
      <c r="M343" s="273">
        <f>IF(Inputs!$E$19=1,M$39*M322,Ops!M322)*(1+$D$354)</f>
        <v>200.02160850159999</v>
      </c>
      <c r="N343" s="273">
        <f>IF(Inputs!$E$19=1,N$39*N322,Ops!N322)*(1+$D$354)</f>
        <v>200.02160850159999</v>
      </c>
      <c r="O343" s="273">
        <f>IF(Inputs!$E$19=1,O$39*O322,Ops!O322)*(1+$D$354)</f>
        <v>200.02160850159999</v>
      </c>
      <c r="P343" s="273">
        <f>IF(Inputs!$E$19=1,P$39*P322,Ops!P322)*(1+$D$354)</f>
        <v>200.02160850159999</v>
      </c>
      <c r="Q343" s="273">
        <f>IF(Inputs!$E$19=1,Q$39*Q322,Ops!Q322)*(1+$D$354)</f>
        <v>200.02160850159999</v>
      </c>
      <c r="R343" s="273">
        <f>IF(Inputs!$E$19=1,R$39*R322,Ops!R322)*(1+$D$354)</f>
        <v>200.02160850159999</v>
      </c>
      <c r="S343" s="273">
        <f>IF(Inputs!$E$19=1,S$39*S322,Ops!S322)*(1+$D$354)</f>
        <v>200.02160850159999</v>
      </c>
      <c r="T343" s="273">
        <f>IF(Inputs!$E$19=1,T$39*T322,Ops!T322)*(1+$D$354)</f>
        <v>200.02160850159999</v>
      </c>
      <c r="U343" s="273">
        <f>IF(Inputs!$E$19=1,U$39*U322,Ops!U322)*(1+$D$354)</f>
        <v>200.02160850159999</v>
      </c>
      <c r="V343" s="273">
        <f>IF(Inputs!$E$19=1,V$39*V322,Ops!V322)*(1+$D$354)</f>
        <v>200.02160850159999</v>
      </c>
      <c r="W343" s="273">
        <f>IF(Inputs!$E$19=1,W$39*W322,Ops!W322)*(1+$D$354)</f>
        <v>200.02160850159999</v>
      </c>
      <c r="X343" s="273">
        <f>IF(Inputs!$E$19=1,X$39*X322,Ops!X322)*(1+$D$354)</f>
        <v>200.02160850159999</v>
      </c>
      <c r="Y343" s="273">
        <f>IF(Inputs!$E$19=1,Y$39*Y322,Ops!Y322)*(1+$D$354)</f>
        <v>200.02160850159999</v>
      </c>
      <c r="Z343" s="273">
        <f>IF(Inputs!$E$19=1,Z$39*Z322,Ops!Z322)*(1+$D$354)</f>
        <v>200.02160850159999</v>
      </c>
      <c r="AA343" s="273">
        <f>IF(Inputs!$E$19=1,AA$39*AA322,Ops!AA322)*(1+$D$354)</f>
        <v>200.02160850159999</v>
      </c>
      <c r="AB343" s="273">
        <f>IF(Inputs!$E$19=1,AB$39*AB322,Ops!AB322)*(1+$D$354)</f>
        <v>200.02160850159999</v>
      </c>
      <c r="AC343" s="273">
        <f>IF(Inputs!$E$19=1,AC$39*AC322,Ops!AC322)*(1+$D$354)</f>
        <v>200.02160850159999</v>
      </c>
      <c r="AD343" s="273">
        <f>IF(Inputs!$E$19=1,AD$39*AD322,Ops!AD322)*(1+$D$354)</f>
        <v>200.02160850159999</v>
      </c>
      <c r="AE343" s="273">
        <f>IF(Inputs!$E$19=1,AE$39*AE322,Ops!AE322)*(1+$D$354)</f>
        <v>200.02160850159999</v>
      </c>
      <c r="AF343" s="273">
        <f>IF(Inputs!$E$19=1,AF$39*AF322,Ops!AF322)*(1+$D$354)</f>
        <v>200.02160850159999</v>
      </c>
      <c r="AG343" s="273">
        <f>IF(Inputs!$E$19=1,AG$39*AG322,Ops!AG322)*(1+$D$354)</f>
        <v>200.02160850159999</v>
      </c>
      <c r="AH343" s="273">
        <f>IF(Inputs!$E$19=1,AH$39*AH322,Ops!AH322)*(1+$D$354)</f>
        <v>200.02160850159999</v>
      </c>
      <c r="AI343" s="273">
        <f>IF(Inputs!$E$19=1,AI$39*AI322,Ops!AI322)*(1+$D$354)</f>
        <v>200.02160850159999</v>
      </c>
      <c r="AJ343" s="273">
        <f>IF(Inputs!$E$19=1,AJ$39*AJ322,Ops!AJ322)*(1+$D$354)</f>
        <v>200.02160850159999</v>
      </c>
      <c r="AK343" s="273">
        <f>IF(Inputs!$E$19=1,AK$39*AK322,Ops!AK322)*(1+$D$354)</f>
        <v>0</v>
      </c>
      <c r="AL343" s="273">
        <f>IF(Inputs!$E$19=1,AL$39*AL322,Ops!AL322)*(1+$D$354)</f>
        <v>0</v>
      </c>
      <c r="AM343" s="273">
        <f>IF(Inputs!$E$19=1,AM$39*AM322,Ops!AM322)*(1+$D$354)</f>
        <v>0</v>
      </c>
      <c r="AN343" s="273">
        <f>IF(Inputs!$E$19=1,AN$39*AN322,Ops!AN322)*(1+$D$354)</f>
        <v>0</v>
      </c>
    </row>
    <row r="344" spans="3:40" outlineLevel="2">
      <c r="C344" t="str">
        <f t="shared" si="319"/>
        <v>Relação Com O Usuário</v>
      </c>
      <c r="D344" s="118"/>
      <c r="E344" s="32" t="s">
        <v>13</v>
      </c>
      <c r="F344" s="23">
        <f t="shared" si="320"/>
        <v>28189.118632024802</v>
      </c>
      <c r="G344" s="273">
        <f>IF(Inputs!$E$19=1,G$39*G323,Ops!G323)*(1+$D$354)</f>
        <v>405.37059451200003</v>
      </c>
      <c r="H344" s="273">
        <f>IF(Inputs!$E$19=1,H$39*H323,Ops!H323)*(1+$D$354)</f>
        <v>919.42288060088424</v>
      </c>
      <c r="I344" s="273">
        <f>IF(Inputs!$E$19=1,I$39*I323,Ops!I323)*(1+$D$354)</f>
        <v>922.18269464050775</v>
      </c>
      <c r="J344" s="273">
        <f>IF(Inputs!$E$19=1,J$39*J323,Ops!J323)*(1+$D$354)</f>
        <v>924.94250868013125</v>
      </c>
      <c r="K344" s="273">
        <f>IF(Inputs!$E$19=1,K$39*K323,Ops!K323)*(1+$D$354)</f>
        <v>927.70232271975499</v>
      </c>
      <c r="L344" s="273">
        <f>IF(Inputs!$E$19=1,L$39*L323,Ops!L323)*(1+$D$354)</f>
        <v>930.4621367593785</v>
      </c>
      <c r="M344" s="273">
        <f>IF(Inputs!$E$19=1,M$39*M323,Ops!M323)*(1+$D$354)</f>
        <v>933.221950799002</v>
      </c>
      <c r="N344" s="273">
        <f>IF(Inputs!$E$19=1,N$39*N323,Ops!N323)*(1+$D$354)</f>
        <v>935.98176483862551</v>
      </c>
      <c r="O344" s="273">
        <f>IF(Inputs!$E$19=1,O$39*O323,Ops!O323)*(1+$D$354)</f>
        <v>938.74157887824902</v>
      </c>
      <c r="P344" s="273">
        <f>IF(Inputs!$E$19=1,P$39*P323,Ops!P323)*(1+$D$354)</f>
        <v>941.50139291787275</v>
      </c>
      <c r="Q344" s="273">
        <f>IF(Inputs!$E$19=1,Q$39*Q323,Ops!Q323)*(1+$D$354)</f>
        <v>944.26120695749626</v>
      </c>
      <c r="R344" s="273">
        <f>IF(Inputs!$E$19=1,R$39*R323,Ops!R323)*(1+$D$354)</f>
        <v>947.02102099711976</v>
      </c>
      <c r="S344" s="273">
        <f>IF(Inputs!$E$19=1,S$39*S323,Ops!S323)*(1+$D$354)</f>
        <v>949.78083503674327</v>
      </c>
      <c r="T344" s="273">
        <f>IF(Inputs!$E$19=1,T$39*T323,Ops!T323)*(1+$D$354)</f>
        <v>952.540649076367</v>
      </c>
      <c r="U344" s="273">
        <f>IF(Inputs!$E$19=1,U$39*U323,Ops!U323)*(1+$D$354)</f>
        <v>955.30046311599028</v>
      </c>
      <c r="V344" s="273">
        <f>IF(Inputs!$E$19=1,V$39*V323,Ops!V323)*(1+$D$354)</f>
        <v>958.06027715561402</v>
      </c>
      <c r="W344" s="273">
        <f>IF(Inputs!$E$19=1,W$39*W323,Ops!W323)*(1+$D$354)</f>
        <v>960.82009119523752</v>
      </c>
      <c r="X344" s="273">
        <f>IF(Inputs!$E$19=1,X$39*X323,Ops!X323)*(1+$D$354)</f>
        <v>963.57990523486103</v>
      </c>
      <c r="Y344" s="273">
        <f>IF(Inputs!$E$19=1,Y$39*Y323,Ops!Y323)*(1+$D$354)</f>
        <v>966.33971927448454</v>
      </c>
      <c r="Z344" s="273">
        <f>IF(Inputs!$E$19=1,Z$39*Z323,Ops!Z323)*(1+$D$354)</f>
        <v>969.09953331410827</v>
      </c>
      <c r="AA344" s="273">
        <f>IF(Inputs!$E$19=1,AA$39*AA323,Ops!AA323)*(1+$D$354)</f>
        <v>971.85934735373178</v>
      </c>
      <c r="AB344" s="273">
        <f>IF(Inputs!$E$19=1,AB$39*AB323,Ops!AB323)*(1+$D$354)</f>
        <v>974.61916139335551</v>
      </c>
      <c r="AC344" s="273">
        <f>IF(Inputs!$E$19=1,AC$39*AC323,Ops!AC323)*(1+$D$354)</f>
        <v>977.37897543297879</v>
      </c>
      <c r="AD344" s="273">
        <f>IF(Inputs!$E$19=1,AD$39*AD323,Ops!AD323)*(1+$D$354)</f>
        <v>980.13878947260253</v>
      </c>
      <c r="AE344" s="273">
        <f>IF(Inputs!$E$19=1,AE$39*AE323,Ops!AE323)*(1+$D$354)</f>
        <v>982.89860351222603</v>
      </c>
      <c r="AF344" s="273">
        <f>IF(Inputs!$E$19=1,AF$39*AF323,Ops!AF323)*(1+$D$354)</f>
        <v>985.65841755184954</v>
      </c>
      <c r="AG344" s="273">
        <f>IF(Inputs!$E$19=1,AG$39*AG323,Ops!AG323)*(1+$D$354)</f>
        <v>988.41823159147305</v>
      </c>
      <c r="AH344" s="273">
        <f>IF(Inputs!$E$19=1,AH$39*AH323,Ops!AH323)*(1+$D$354)</f>
        <v>991.17804563109678</v>
      </c>
      <c r="AI344" s="273">
        <f>IF(Inputs!$E$19=1,AI$39*AI323,Ops!AI323)*(1+$D$354)</f>
        <v>993.93785967072029</v>
      </c>
      <c r="AJ344" s="273">
        <f>IF(Inputs!$E$19=1,AJ$39*AJ323,Ops!AJ323)*(1+$D$354)</f>
        <v>996.69767371034379</v>
      </c>
      <c r="AK344" s="273">
        <f>IF(Inputs!$E$19=1,AK$39*AK323,Ops!AK323)*(1+$D$354)</f>
        <v>0</v>
      </c>
      <c r="AL344" s="273">
        <f>IF(Inputs!$E$19=1,AL$39*AL323,Ops!AL323)*(1+$D$354)</f>
        <v>0</v>
      </c>
      <c r="AM344" s="273">
        <f>IF(Inputs!$E$19=1,AM$39*AM323,Ops!AM323)*(1+$D$354)</f>
        <v>0</v>
      </c>
      <c r="AN344" s="273">
        <f>IF(Inputs!$E$19=1,AN$39*AN323,Ops!AN323)*(1+$D$354)</f>
        <v>0</v>
      </c>
    </row>
    <row r="345" spans="3:40" outlineLevel="2">
      <c r="C345" t="str">
        <f t="shared" si="319"/>
        <v>Administração Local</v>
      </c>
      <c r="D345" s="118"/>
      <c r="E345" s="32" t="s">
        <v>13</v>
      </c>
      <c r="F345" s="23">
        <f t="shared" si="320"/>
        <v>24230.75294228</v>
      </c>
      <c r="G345" s="273">
        <f>IF(Inputs!$E$19=1,G$39*G324,Ops!G324)*(1+$D$354)</f>
        <v>726.75657898000009</v>
      </c>
      <c r="H345" s="273">
        <f>IF(Inputs!$E$19=1,H$39*H324,Ops!H324)*(1+$D$354)</f>
        <v>727.20442897999999</v>
      </c>
      <c r="I345" s="273">
        <f>IF(Inputs!$E$19=1,I$39*I324,Ops!I324)*(1+$D$354)</f>
        <v>727.47502898000005</v>
      </c>
      <c r="J345" s="273">
        <f>IF(Inputs!$E$19=1,J$39*J324,Ops!J324)*(1+$D$354)</f>
        <v>728.15152898000008</v>
      </c>
      <c r="K345" s="273">
        <f>IF(Inputs!$E$19=1,K$39*K324,Ops!K324)*(1+$D$354)</f>
        <v>728.15152898000008</v>
      </c>
      <c r="L345" s="273">
        <f>IF(Inputs!$E$19=1,L$39*L324,Ops!L324)*(1+$D$354)</f>
        <v>728.15152898000008</v>
      </c>
      <c r="M345" s="273">
        <f>IF(Inputs!$E$19=1,M$39*M324,Ops!M324)*(1+$D$354)</f>
        <v>827.15575910000007</v>
      </c>
      <c r="N345" s="273">
        <f>IF(Inputs!$E$19=1,N$39*N324,Ops!N324)*(1+$D$354)</f>
        <v>827.15575910000007</v>
      </c>
      <c r="O345" s="273">
        <f>IF(Inputs!$E$19=1,O$39*O324,Ops!O324)*(1+$D$354)</f>
        <v>827.15575910000007</v>
      </c>
      <c r="P345" s="273">
        <f>IF(Inputs!$E$19=1,P$39*P324,Ops!P324)*(1+$D$354)</f>
        <v>827.29105909999998</v>
      </c>
      <c r="Q345" s="273">
        <f>IF(Inputs!$E$19=1,Q$39*Q324,Ops!Q324)*(1+$D$354)</f>
        <v>827.29105909999998</v>
      </c>
      <c r="R345" s="273">
        <f>IF(Inputs!$E$19=1,R$39*R324,Ops!R324)*(1+$D$354)</f>
        <v>827.29105909999998</v>
      </c>
      <c r="S345" s="273">
        <f>IF(Inputs!$E$19=1,S$39*S324,Ops!S324)*(1+$D$354)</f>
        <v>827.29105909999998</v>
      </c>
      <c r="T345" s="273">
        <f>IF(Inputs!$E$19=1,T$39*T324,Ops!T324)*(1+$D$354)</f>
        <v>827.29105909999998</v>
      </c>
      <c r="U345" s="273">
        <f>IF(Inputs!$E$19=1,U$39*U324,Ops!U324)*(1+$D$354)</f>
        <v>827.29105909999998</v>
      </c>
      <c r="V345" s="273">
        <f>IF(Inputs!$E$19=1,V$39*V324,Ops!V324)*(1+$D$354)</f>
        <v>827.29105909999998</v>
      </c>
      <c r="W345" s="273">
        <f>IF(Inputs!$E$19=1,W$39*W324,Ops!W324)*(1+$D$354)</f>
        <v>827.29105909999998</v>
      </c>
      <c r="X345" s="273">
        <f>IF(Inputs!$E$19=1,X$39*X324,Ops!X324)*(1+$D$354)</f>
        <v>827.29105909999998</v>
      </c>
      <c r="Y345" s="273">
        <f>IF(Inputs!$E$19=1,Y$39*Y324,Ops!Y324)*(1+$D$354)</f>
        <v>828.10285909999993</v>
      </c>
      <c r="Z345" s="273">
        <f>IF(Inputs!$E$19=1,Z$39*Z324,Ops!Z324)*(1+$D$354)</f>
        <v>828.10285909999993</v>
      </c>
      <c r="AA345" s="273">
        <f>IF(Inputs!$E$19=1,AA$39*AA324,Ops!AA324)*(1+$D$354)</f>
        <v>828.10285909999993</v>
      </c>
      <c r="AB345" s="273">
        <f>IF(Inputs!$E$19=1,AB$39*AB324,Ops!AB324)*(1+$D$354)</f>
        <v>828.10285909999993</v>
      </c>
      <c r="AC345" s="273">
        <f>IF(Inputs!$E$19=1,AC$39*AC324,Ops!AC324)*(1+$D$354)</f>
        <v>828.10285909999993</v>
      </c>
      <c r="AD345" s="273">
        <f>IF(Inputs!$E$19=1,AD$39*AD324,Ops!AD324)*(1+$D$354)</f>
        <v>828.10285909999993</v>
      </c>
      <c r="AE345" s="273">
        <f>IF(Inputs!$E$19=1,AE$39*AE324,Ops!AE324)*(1+$D$354)</f>
        <v>828.10285909999993</v>
      </c>
      <c r="AF345" s="273">
        <f>IF(Inputs!$E$19=1,AF$39*AF324,Ops!AF324)*(1+$D$354)</f>
        <v>828.10285909999993</v>
      </c>
      <c r="AG345" s="273">
        <f>IF(Inputs!$E$19=1,AG$39*AG324,Ops!AG324)*(1+$D$354)</f>
        <v>828.23815910000008</v>
      </c>
      <c r="AH345" s="273">
        <f>IF(Inputs!$E$19=1,AH$39*AH324,Ops!AH324)*(1+$D$354)</f>
        <v>828.23815910000008</v>
      </c>
      <c r="AI345" s="273">
        <f>IF(Inputs!$E$19=1,AI$39*AI324,Ops!AI324)*(1+$D$354)</f>
        <v>828.23815910000008</v>
      </c>
      <c r="AJ345" s="273">
        <f>IF(Inputs!$E$19=1,AJ$39*AJ324,Ops!AJ324)*(1+$D$354)</f>
        <v>828.23815910000008</v>
      </c>
      <c r="AK345" s="273">
        <f>IF(Inputs!$E$19=1,AK$39*AK324,Ops!AK324)*(1+$D$354)</f>
        <v>0</v>
      </c>
      <c r="AL345" s="273">
        <f>IF(Inputs!$E$19=1,AL$39*AL324,Ops!AL324)*(1+$D$354)</f>
        <v>0</v>
      </c>
      <c r="AM345" s="273">
        <f>IF(Inputs!$E$19=1,AM$39*AM324,Ops!AM324)*(1+$D$354)</f>
        <v>0</v>
      </c>
      <c r="AN345" s="273">
        <f>IF(Inputs!$E$19=1,AN$39*AN324,Ops!AN324)*(1+$D$354)</f>
        <v>0</v>
      </c>
    </row>
    <row r="346" spans="3:40" outlineLevel="2">
      <c r="C346" t="str">
        <f t="shared" si="319"/>
        <v>Administração Central</v>
      </c>
      <c r="D346" s="118"/>
      <c r="E346" s="32" t="s">
        <v>13</v>
      </c>
      <c r="F346" s="23">
        <f t="shared" si="320"/>
        <v>0</v>
      </c>
      <c r="G346" s="273">
        <f>IF(Inputs!$E$19=1,G$39*G325,Ops!G325)*(1+$D$354)</f>
        <v>0</v>
      </c>
      <c r="H346" s="273">
        <f>IF(Inputs!$E$19=1,H$39*H325,Ops!H325)*(1+$D$354)</f>
        <v>0</v>
      </c>
      <c r="I346" s="273">
        <f>IF(Inputs!$E$19=1,I$39*I325,Ops!I325)*(1+$D$354)</f>
        <v>0</v>
      </c>
      <c r="J346" s="273">
        <f>IF(Inputs!$E$19=1,J$39*J325,Ops!J325)*(1+$D$354)</f>
        <v>0</v>
      </c>
      <c r="K346" s="273">
        <f>IF(Inputs!$E$19=1,K$39*K325,Ops!K325)*(1+$D$354)</f>
        <v>0</v>
      </c>
      <c r="L346" s="273">
        <f>IF(Inputs!$E$19=1,L$39*L325,Ops!L325)*(1+$D$354)</f>
        <v>0</v>
      </c>
      <c r="M346" s="273">
        <f>IF(Inputs!$E$19=1,M$39*M325,Ops!M325)*(1+$D$354)</f>
        <v>0</v>
      </c>
      <c r="N346" s="273">
        <f>IF(Inputs!$E$19=1,N$39*N325,Ops!N325)*(1+$D$354)</f>
        <v>0</v>
      </c>
      <c r="O346" s="273">
        <f>IF(Inputs!$E$19=1,O$39*O325,Ops!O325)*(1+$D$354)</f>
        <v>0</v>
      </c>
      <c r="P346" s="273">
        <f>IF(Inputs!$E$19=1,P$39*P325,Ops!P325)*(1+$D$354)</f>
        <v>0</v>
      </c>
      <c r="Q346" s="273">
        <f>IF(Inputs!$E$19=1,Q$39*Q325,Ops!Q325)*(1+$D$354)</f>
        <v>0</v>
      </c>
      <c r="R346" s="273">
        <f>IF(Inputs!$E$19=1,R$39*R325,Ops!R325)*(1+$D$354)</f>
        <v>0</v>
      </c>
      <c r="S346" s="273">
        <f>IF(Inputs!$E$19=1,S$39*S325,Ops!S325)*(1+$D$354)</f>
        <v>0</v>
      </c>
      <c r="T346" s="273">
        <f>IF(Inputs!$E$19=1,T$39*T325,Ops!T325)*(1+$D$354)</f>
        <v>0</v>
      </c>
      <c r="U346" s="273">
        <f>IF(Inputs!$E$19=1,U$39*U325,Ops!U325)*(1+$D$354)</f>
        <v>0</v>
      </c>
      <c r="V346" s="273">
        <f>IF(Inputs!$E$19=1,V$39*V325,Ops!V325)*(1+$D$354)</f>
        <v>0</v>
      </c>
      <c r="W346" s="273">
        <f>IF(Inputs!$E$19=1,W$39*W325,Ops!W325)*(1+$D$354)</f>
        <v>0</v>
      </c>
      <c r="X346" s="273">
        <f>IF(Inputs!$E$19=1,X$39*X325,Ops!X325)*(1+$D$354)</f>
        <v>0</v>
      </c>
      <c r="Y346" s="273">
        <f>IF(Inputs!$E$19=1,Y$39*Y325,Ops!Y325)*(1+$D$354)</f>
        <v>0</v>
      </c>
      <c r="Z346" s="273">
        <f>IF(Inputs!$E$19=1,Z$39*Z325,Ops!Z325)*(1+$D$354)</f>
        <v>0</v>
      </c>
      <c r="AA346" s="273">
        <f>IF(Inputs!$E$19=1,AA$39*AA325,Ops!AA325)*(1+$D$354)</f>
        <v>0</v>
      </c>
      <c r="AB346" s="273">
        <f>IF(Inputs!$E$19=1,AB$39*AB325,Ops!AB325)*(1+$D$354)</f>
        <v>0</v>
      </c>
      <c r="AC346" s="273">
        <f>IF(Inputs!$E$19=1,AC$39*AC325,Ops!AC325)*(1+$D$354)</f>
        <v>0</v>
      </c>
      <c r="AD346" s="273">
        <f>IF(Inputs!$E$19=1,AD$39*AD325,Ops!AD325)*(1+$D$354)</f>
        <v>0</v>
      </c>
      <c r="AE346" s="273">
        <f>IF(Inputs!$E$19=1,AE$39*AE325,Ops!AE325)*(1+$D$354)</f>
        <v>0</v>
      </c>
      <c r="AF346" s="273">
        <f>IF(Inputs!$E$19=1,AF$39*AF325,Ops!AF325)*(1+$D$354)</f>
        <v>0</v>
      </c>
      <c r="AG346" s="273">
        <f>IF(Inputs!$E$19=1,AG$39*AG325,Ops!AG325)*(1+$D$354)</f>
        <v>0</v>
      </c>
      <c r="AH346" s="273">
        <f>IF(Inputs!$E$19=1,AH$39*AH325,Ops!AH325)*(1+$D$354)</f>
        <v>0</v>
      </c>
      <c r="AI346" s="273">
        <f>IF(Inputs!$E$19=1,AI$39*AI325,Ops!AI325)*(1+$D$354)</f>
        <v>0</v>
      </c>
      <c r="AJ346" s="273">
        <f>IF(Inputs!$E$19=1,AJ$39*AJ325,Ops!AJ325)*(1+$D$354)</f>
        <v>0</v>
      </c>
      <c r="AK346" s="273">
        <f>IF(Inputs!$E$19=1,AK$39*AK325,Ops!AK325)*(1+$D$354)</f>
        <v>0</v>
      </c>
      <c r="AL346" s="273">
        <f>IF(Inputs!$E$19=1,AL$39*AL325,Ops!AL325)*(1+$D$354)</f>
        <v>0</v>
      </c>
      <c r="AM346" s="273">
        <f>IF(Inputs!$E$19=1,AM$39*AM325,Ops!AM325)*(1+$D$354)</f>
        <v>0</v>
      </c>
      <c r="AN346" s="273">
        <f>IF(Inputs!$E$19=1,AN$39*AN325,Ops!AN325)*(1+$D$354)</f>
        <v>0</v>
      </c>
    </row>
    <row r="347" spans="3:40" outlineLevel="2">
      <c r="C347" t="str">
        <f t="shared" si="319"/>
        <v>Gerencialmento Contrato</v>
      </c>
      <c r="D347" s="118"/>
      <c r="E347" s="32" t="s">
        <v>13</v>
      </c>
      <c r="F347" s="23">
        <f t="shared" si="320"/>
        <v>2303.2945887768924</v>
      </c>
      <c r="G347" s="273">
        <f>IF(Inputs!$E$19=1,G$39*G326,Ops!G326)*(1+$D$354)</f>
        <v>76.776486292563064</v>
      </c>
      <c r="H347" s="273">
        <f>IF(Inputs!$E$19=1,H$39*H326,Ops!H326)*(1+$D$354)</f>
        <v>76.776486292563064</v>
      </c>
      <c r="I347" s="273">
        <f>IF(Inputs!$E$19=1,I$39*I326,Ops!I326)*(1+$D$354)</f>
        <v>76.776486292563064</v>
      </c>
      <c r="J347" s="273">
        <f>IF(Inputs!$E$19=1,J$39*J326,Ops!J326)*(1+$D$354)</f>
        <v>76.776486292563064</v>
      </c>
      <c r="K347" s="273">
        <f>IF(Inputs!$E$19=1,K$39*K326,Ops!K326)*(1+$D$354)</f>
        <v>76.776486292563064</v>
      </c>
      <c r="L347" s="273">
        <f>IF(Inputs!$E$19=1,L$39*L326,Ops!L326)*(1+$D$354)</f>
        <v>76.776486292563064</v>
      </c>
      <c r="M347" s="273">
        <f>IF(Inputs!$E$19=1,M$39*M326,Ops!M326)*(1+$D$354)</f>
        <v>76.776486292563064</v>
      </c>
      <c r="N347" s="273">
        <f>IF(Inputs!$E$19=1,N$39*N326,Ops!N326)*(1+$D$354)</f>
        <v>76.776486292563064</v>
      </c>
      <c r="O347" s="273">
        <f>IF(Inputs!$E$19=1,O$39*O326,Ops!O326)*(1+$D$354)</f>
        <v>76.776486292563064</v>
      </c>
      <c r="P347" s="273">
        <f>IF(Inputs!$E$19=1,P$39*P326,Ops!P326)*(1+$D$354)</f>
        <v>76.776486292563064</v>
      </c>
      <c r="Q347" s="273">
        <f>IF(Inputs!$E$19=1,Q$39*Q326,Ops!Q326)*(1+$D$354)</f>
        <v>76.776486292563064</v>
      </c>
      <c r="R347" s="273">
        <f>IF(Inputs!$E$19=1,R$39*R326,Ops!R326)*(1+$D$354)</f>
        <v>76.776486292563064</v>
      </c>
      <c r="S347" s="273">
        <f>IF(Inputs!$E$19=1,S$39*S326,Ops!S326)*(1+$D$354)</f>
        <v>76.776486292563064</v>
      </c>
      <c r="T347" s="273">
        <f>IF(Inputs!$E$19=1,T$39*T326,Ops!T326)*(1+$D$354)</f>
        <v>76.776486292563064</v>
      </c>
      <c r="U347" s="273">
        <f>IF(Inputs!$E$19=1,U$39*U326,Ops!U326)*(1+$D$354)</f>
        <v>76.776486292563064</v>
      </c>
      <c r="V347" s="273">
        <f>IF(Inputs!$E$19=1,V$39*V326,Ops!V326)*(1+$D$354)</f>
        <v>76.776486292563064</v>
      </c>
      <c r="W347" s="273">
        <f>IF(Inputs!$E$19=1,W$39*W326,Ops!W326)*(1+$D$354)</f>
        <v>76.776486292563064</v>
      </c>
      <c r="X347" s="273">
        <f>IF(Inputs!$E$19=1,X$39*X326,Ops!X326)*(1+$D$354)</f>
        <v>76.776486292563064</v>
      </c>
      <c r="Y347" s="273">
        <f>IF(Inputs!$E$19=1,Y$39*Y326,Ops!Y326)*(1+$D$354)</f>
        <v>76.776486292563064</v>
      </c>
      <c r="Z347" s="273">
        <f>IF(Inputs!$E$19=1,Z$39*Z326,Ops!Z326)*(1+$D$354)</f>
        <v>76.776486292563064</v>
      </c>
      <c r="AA347" s="273">
        <f>IF(Inputs!$E$19=1,AA$39*AA326,Ops!AA326)*(1+$D$354)</f>
        <v>76.776486292563064</v>
      </c>
      <c r="AB347" s="273">
        <f>IF(Inputs!$E$19=1,AB$39*AB326,Ops!AB326)*(1+$D$354)</f>
        <v>76.776486292563064</v>
      </c>
      <c r="AC347" s="273">
        <f>IF(Inputs!$E$19=1,AC$39*AC326,Ops!AC326)*(1+$D$354)</f>
        <v>76.776486292563064</v>
      </c>
      <c r="AD347" s="273">
        <f>IF(Inputs!$E$19=1,AD$39*AD326,Ops!AD326)*(1+$D$354)</f>
        <v>76.776486292563064</v>
      </c>
      <c r="AE347" s="273">
        <f>IF(Inputs!$E$19=1,AE$39*AE326,Ops!AE326)*(1+$D$354)</f>
        <v>76.776486292563064</v>
      </c>
      <c r="AF347" s="273">
        <f>IF(Inputs!$E$19=1,AF$39*AF326,Ops!AF326)*(1+$D$354)</f>
        <v>76.776486292563064</v>
      </c>
      <c r="AG347" s="273">
        <f>IF(Inputs!$E$19=1,AG$39*AG326,Ops!AG326)*(1+$D$354)</f>
        <v>76.776486292563064</v>
      </c>
      <c r="AH347" s="273">
        <f>IF(Inputs!$E$19=1,AH$39*AH326,Ops!AH326)*(1+$D$354)</f>
        <v>76.776486292563064</v>
      </c>
      <c r="AI347" s="273">
        <f>IF(Inputs!$E$19=1,AI$39*AI326,Ops!AI326)*(1+$D$354)</f>
        <v>76.776486292563064</v>
      </c>
      <c r="AJ347" s="273">
        <f>IF(Inputs!$E$19=1,AJ$39*AJ326,Ops!AJ326)*(1+$D$354)</f>
        <v>76.776486292563064</v>
      </c>
      <c r="AK347" s="273">
        <f>IF(Inputs!$E$19=1,AK$39*AK326,Ops!AK326)*(1+$D$354)</f>
        <v>0</v>
      </c>
      <c r="AL347" s="273">
        <f>IF(Inputs!$E$19=1,AL$39*AL326,Ops!AL326)*(1+$D$354)</f>
        <v>0</v>
      </c>
      <c r="AM347" s="273">
        <f>IF(Inputs!$E$19=1,AM$39*AM326,Ops!AM326)*(1+$D$354)</f>
        <v>0</v>
      </c>
      <c r="AN347" s="273">
        <f>IF(Inputs!$E$19=1,AN$39*AN326,Ops!AN326)*(1+$D$354)</f>
        <v>0</v>
      </c>
    </row>
    <row r="348" spans="3:40" outlineLevel="2">
      <c r="C348" t="str">
        <f t="shared" si="319"/>
        <v>Taxa de regulação ARIS</v>
      </c>
      <c r="D348" s="118"/>
      <c r="E348" s="32" t="s">
        <v>13</v>
      </c>
      <c r="F348" s="23">
        <f t="shared" ref="F348" si="322">SUM(G348:AN348)</f>
        <v>2025.4495499999998</v>
      </c>
      <c r="G348" s="273">
        <f>IF(Inputs!$E$19=1,G$39*G327,Ops!G327)*(1+$D$354)</f>
        <v>57.754889999999996</v>
      </c>
      <c r="H348" s="273">
        <f>IF(Inputs!$E$19=1,H$39*H327,Ops!H327)*(1+$D$354)</f>
        <v>58.427999999999997</v>
      </c>
      <c r="I348" s="273">
        <f>IF(Inputs!$E$19=1,I$39*I327,Ops!I327)*(1+$D$354)</f>
        <v>59.101109999999998</v>
      </c>
      <c r="J348" s="273">
        <f>IF(Inputs!$E$19=1,J$39*J327,Ops!J327)*(1+$D$354)</f>
        <v>59.774219999999993</v>
      </c>
      <c r="K348" s="273">
        <f>IF(Inputs!$E$19=1,K$39*K327,Ops!K327)*(1+$D$354)</f>
        <v>60.447330000000001</v>
      </c>
      <c r="L348" s="273">
        <f>IF(Inputs!$E$19=1,L$39*L327,Ops!L327)*(1+$D$354)</f>
        <v>61.120440000000002</v>
      </c>
      <c r="M348" s="273">
        <f>IF(Inputs!$E$19=1,M$39*M327,Ops!M327)*(1+$D$354)</f>
        <v>61.793550000000003</v>
      </c>
      <c r="N348" s="273">
        <f>IF(Inputs!$E$19=1,N$39*N327,Ops!N327)*(1+$D$354)</f>
        <v>62.466659999999997</v>
      </c>
      <c r="O348" s="273">
        <f>IF(Inputs!$E$19=1,O$39*O327,Ops!O327)*(1+$D$354)</f>
        <v>63.139770000000006</v>
      </c>
      <c r="P348" s="273">
        <f>IF(Inputs!$E$19=1,P$39*P327,Ops!P327)*(1+$D$354)</f>
        <v>63.812879999999993</v>
      </c>
      <c r="Q348" s="273">
        <f>IF(Inputs!$E$19=1,Q$39*Q327,Ops!Q327)*(1+$D$354)</f>
        <v>64.485990000000001</v>
      </c>
      <c r="R348" s="273">
        <f>IF(Inputs!$E$19=1,R$39*R327,Ops!R327)*(1+$D$354)</f>
        <v>65.159099999999995</v>
      </c>
      <c r="S348" s="273">
        <f>IF(Inputs!$E$19=1,S$39*S327,Ops!S327)*(1+$D$354)</f>
        <v>65.832210000000003</v>
      </c>
      <c r="T348" s="273">
        <f>IF(Inputs!$E$19=1,T$39*T327,Ops!T327)*(1+$D$354)</f>
        <v>66.505319999999998</v>
      </c>
      <c r="U348" s="273">
        <f>IF(Inputs!$E$19=1,U$39*U327,Ops!U327)*(1+$D$354)</f>
        <v>67.178430000000006</v>
      </c>
      <c r="V348" s="273">
        <f>IF(Inputs!$E$19=1,V$39*V327,Ops!V327)*(1+$D$354)</f>
        <v>67.85154</v>
      </c>
      <c r="W348" s="273">
        <f>IF(Inputs!$E$19=1,W$39*W327,Ops!W327)*(1+$D$354)</f>
        <v>68.524649999999994</v>
      </c>
      <c r="X348" s="273">
        <f>IF(Inputs!$E$19=1,X$39*X327,Ops!X327)*(1+$D$354)</f>
        <v>69.197760000000002</v>
      </c>
      <c r="Y348" s="273">
        <f>IF(Inputs!$E$19=1,Y$39*Y327,Ops!Y327)*(1+$D$354)</f>
        <v>69.870869999999996</v>
      </c>
      <c r="Z348" s="273">
        <f>IF(Inputs!$E$19=1,Z$39*Z327,Ops!Z327)*(1+$D$354)</f>
        <v>70.543980000000005</v>
      </c>
      <c r="AA348" s="273">
        <f>IF(Inputs!$E$19=1,AA$39*AA327,Ops!AA327)*(1+$D$354)</f>
        <v>71.217089999999999</v>
      </c>
      <c r="AB348" s="273">
        <f>IF(Inputs!$E$19=1,AB$39*AB327,Ops!AB327)*(1+$D$354)</f>
        <v>71.890199999999993</v>
      </c>
      <c r="AC348" s="273">
        <f>IF(Inputs!$E$19=1,AC$39*AC327,Ops!AC327)*(1+$D$354)</f>
        <v>72.563310000000001</v>
      </c>
      <c r="AD348" s="273">
        <f>IF(Inputs!$E$19=1,AD$39*AD327,Ops!AD327)*(1+$D$354)</f>
        <v>73.23642000000001</v>
      </c>
      <c r="AE348" s="273">
        <f>IF(Inputs!$E$19=1,AE$39*AE327,Ops!AE327)*(1+$D$354)</f>
        <v>73.909530000000004</v>
      </c>
      <c r="AF348" s="273">
        <f>IF(Inputs!$E$19=1,AF$39*AF327,Ops!AF327)*(1+$D$354)</f>
        <v>74.582639999999998</v>
      </c>
      <c r="AG348" s="273">
        <f>IF(Inputs!$E$19=1,AG$39*AG327,Ops!AG327)*(1+$D$354)</f>
        <v>75.255750000000006</v>
      </c>
      <c r="AH348" s="273">
        <f>IF(Inputs!$E$19=1,AH$39*AH327,Ops!AH327)*(1+$D$354)</f>
        <v>75.928859999999986</v>
      </c>
      <c r="AI348" s="273">
        <f>IF(Inputs!$E$19=1,AI$39*AI327,Ops!AI327)*(1+$D$354)</f>
        <v>76.601969999999994</v>
      </c>
      <c r="AJ348" s="273">
        <f>IF(Inputs!$E$19=1,AJ$39*AJ327,Ops!AJ327)*(1+$D$354)</f>
        <v>77.275080000000003</v>
      </c>
      <c r="AK348" s="273">
        <f>IF(Inputs!$E$19=1,AK$39*AK327,Ops!AK327)*(1+$D$354)</f>
        <v>0</v>
      </c>
      <c r="AL348" s="273">
        <f>IF(Inputs!$E$19=1,AL$39*AL327,Ops!AL327)*(1+$D$354)</f>
        <v>0</v>
      </c>
      <c r="AM348" s="273">
        <f>IF(Inputs!$E$19=1,AM$39*AM327,Ops!AM327)*(1+$D$354)</f>
        <v>0</v>
      </c>
      <c r="AN348" s="273">
        <f>IF(Inputs!$E$19=1,AN$39*AN327,Ops!AN327)*(1+$D$354)</f>
        <v>0</v>
      </c>
    </row>
    <row r="349" spans="3:40" outlineLevel="2">
      <c r="C349" t="str">
        <f t="shared" si="319"/>
        <v>Despesas com seguros multiriscos</v>
      </c>
      <c r="D349" s="118"/>
      <c r="E349" s="32" t="s">
        <v>13</v>
      </c>
      <c r="F349" s="23">
        <f t="shared" si="320"/>
        <v>75</v>
      </c>
      <c r="G349" s="273">
        <f>IF(Inputs!$E$19=1,G$39*G328,Ops!G328)*(1+$D$354)</f>
        <v>2.5</v>
      </c>
      <c r="H349" s="273">
        <f>IF(Inputs!$E$19=1,H$39*H328,Ops!H328)*(1+$D$354)</f>
        <v>2.5</v>
      </c>
      <c r="I349" s="273">
        <f>IF(Inputs!$E$19=1,I$39*I328,Ops!I328)*(1+$D$354)</f>
        <v>2.5</v>
      </c>
      <c r="J349" s="273">
        <f>IF(Inputs!$E$19=1,J$39*J328,Ops!J328)*(1+$D$354)</f>
        <v>2.5</v>
      </c>
      <c r="K349" s="273">
        <f>IF(Inputs!$E$19=1,K$39*K328,Ops!K328)*(1+$D$354)</f>
        <v>2.5</v>
      </c>
      <c r="L349" s="273">
        <f>IF(Inputs!$E$19=1,L$39*L328,Ops!L328)*(1+$D$354)</f>
        <v>2.5</v>
      </c>
      <c r="M349" s="273">
        <f>IF(Inputs!$E$19=1,M$39*M328,Ops!M328)*(1+$D$354)</f>
        <v>2.5</v>
      </c>
      <c r="N349" s="273">
        <f>IF(Inputs!$E$19=1,N$39*N328,Ops!N328)*(1+$D$354)</f>
        <v>2.5</v>
      </c>
      <c r="O349" s="273">
        <f>IF(Inputs!$E$19=1,O$39*O328,Ops!O328)*(1+$D$354)</f>
        <v>2.5</v>
      </c>
      <c r="P349" s="273">
        <f>IF(Inputs!$E$19=1,P$39*P328,Ops!P328)*(1+$D$354)</f>
        <v>2.5</v>
      </c>
      <c r="Q349" s="273">
        <f>IF(Inputs!$E$19=1,Q$39*Q328,Ops!Q328)*(1+$D$354)</f>
        <v>2.5</v>
      </c>
      <c r="R349" s="273">
        <f>IF(Inputs!$E$19=1,R$39*R328,Ops!R328)*(1+$D$354)</f>
        <v>2.5</v>
      </c>
      <c r="S349" s="273">
        <f>IF(Inputs!$E$19=1,S$39*S328,Ops!S328)*(1+$D$354)</f>
        <v>2.5</v>
      </c>
      <c r="T349" s="273">
        <f>IF(Inputs!$E$19=1,T$39*T328,Ops!T328)*(1+$D$354)</f>
        <v>2.5</v>
      </c>
      <c r="U349" s="273">
        <f>IF(Inputs!$E$19=1,U$39*U328,Ops!U328)*(1+$D$354)</f>
        <v>2.5</v>
      </c>
      <c r="V349" s="273">
        <f>IF(Inputs!$E$19=1,V$39*V328,Ops!V328)*(1+$D$354)</f>
        <v>2.5</v>
      </c>
      <c r="W349" s="273">
        <f>IF(Inputs!$E$19=1,W$39*W328,Ops!W328)*(1+$D$354)</f>
        <v>2.5</v>
      </c>
      <c r="X349" s="273">
        <f>IF(Inputs!$E$19=1,X$39*X328,Ops!X328)*(1+$D$354)</f>
        <v>2.5</v>
      </c>
      <c r="Y349" s="273">
        <f>IF(Inputs!$E$19=1,Y$39*Y328,Ops!Y328)*(1+$D$354)</f>
        <v>2.5</v>
      </c>
      <c r="Z349" s="273">
        <f>IF(Inputs!$E$19=1,Z$39*Z328,Ops!Z328)*(1+$D$354)</f>
        <v>2.5</v>
      </c>
      <c r="AA349" s="273">
        <f>IF(Inputs!$E$19=1,AA$39*AA328,Ops!AA328)*(1+$D$354)</f>
        <v>2.5</v>
      </c>
      <c r="AB349" s="273">
        <f>IF(Inputs!$E$19=1,AB$39*AB328,Ops!AB328)*(1+$D$354)</f>
        <v>2.5</v>
      </c>
      <c r="AC349" s="273">
        <f>IF(Inputs!$E$19=1,AC$39*AC328,Ops!AC328)*(1+$D$354)</f>
        <v>2.5</v>
      </c>
      <c r="AD349" s="273">
        <f>IF(Inputs!$E$19=1,AD$39*AD328,Ops!AD328)*(1+$D$354)</f>
        <v>2.5</v>
      </c>
      <c r="AE349" s="273">
        <f>IF(Inputs!$E$19=1,AE$39*AE328,Ops!AE328)*(1+$D$354)</f>
        <v>2.5</v>
      </c>
      <c r="AF349" s="273">
        <f>IF(Inputs!$E$19=1,AF$39*AF328,Ops!AF328)*(1+$D$354)</f>
        <v>2.5</v>
      </c>
      <c r="AG349" s="273">
        <f>IF(Inputs!$E$19=1,AG$39*AG328,Ops!AG328)*(1+$D$354)</f>
        <v>2.5</v>
      </c>
      <c r="AH349" s="273">
        <f>IF(Inputs!$E$19=1,AH$39*AH328,Ops!AH328)*(1+$D$354)</f>
        <v>2.5</v>
      </c>
      <c r="AI349" s="273">
        <f>IF(Inputs!$E$19=1,AI$39*AI328,Ops!AI328)*(1+$D$354)</f>
        <v>2.5</v>
      </c>
      <c r="AJ349" s="273">
        <f>IF(Inputs!$E$19=1,AJ$39*AJ328,Ops!AJ328)*(1+$D$354)</f>
        <v>2.5</v>
      </c>
      <c r="AK349" s="273">
        <f>IF(Inputs!$E$19=1,AK$39*AK328,Ops!AK328)*(1+$D$354)</f>
        <v>0</v>
      </c>
      <c r="AL349" s="273">
        <f>IF(Inputs!$E$19=1,AL$39*AL328,Ops!AL328)*(1+$D$354)</f>
        <v>0</v>
      </c>
      <c r="AM349" s="273">
        <f>IF(Inputs!$E$19=1,AM$39*AM328,Ops!AM328)*(1+$D$354)</f>
        <v>0</v>
      </c>
      <c r="AN349" s="273">
        <f>IF(Inputs!$E$19=1,AN$39*AN328,Ops!AN328)*(1+$D$354)</f>
        <v>0</v>
      </c>
    </row>
    <row r="350" spans="3:40" outlineLevel="2">
      <c r="C350" t="str">
        <f t="shared" si="319"/>
        <v>Despesas com seguro de responsabilidade civil</v>
      </c>
      <c r="D350" s="118"/>
      <c r="E350" s="32" t="s">
        <v>13</v>
      </c>
      <c r="F350" s="23">
        <f t="shared" ref="F350:F352" si="323">SUM(G350:AN350)</f>
        <v>82.5</v>
      </c>
      <c r="G350" s="273">
        <f>IF(Inputs!$E$19=1,G$39*G329,Ops!G329)*(1+$D$354)</f>
        <v>27.5</v>
      </c>
      <c r="H350" s="273">
        <f>IF(Inputs!$E$19=1,H$39*H329,Ops!H329)*(1+$D$354)</f>
        <v>27.5</v>
      </c>
      <c r="I350" s="273">
        <f>IF(Inputs!$E$19=1,I$39*I329,Ops!I329)*(1+$D$354)</f>
        <v>27.5</v>
      </c>
      <c r="J350" s="273">
        <f>IF(Inputs!$E$19=1,J$39*J329,Ops!J329)*(1+$D$354)</f>
        <v>0</v>
      </c>
      <c r="K350" s="273">
        <f>IF(Inputs!$E$19=1,K$39*K329,Ops!K329)*(1+$D$354)</f>
        <v>0</v>
      </c>
      <c r="L350" s="273">
        <f>IF(Inputs!$E$19=1,L$39*L329,Ops!L329)*(1+$D$354)</f>
        <v>0</v>
      </c>
      <c r="M350" s="273">
        <f>IF(Inputs!$E$19=1,M$39*M329,Ops!M329)*(1+$D$354)</f>
        <v>0</v>
      </c>
      <c r="N350" s="273">
        <f>IF(Inputs!$E$19=1,N$39*N329,Ops!N329)*(1+$D$354)</f>
        <v>0</v>
      </c>
      <c r="O350" s="273">
        <f>IF(Inputs!$E$19=1,O$39*O329,Ops!O329)*(1+$D$354)</f>
        <v>0</v>
      </c>
      <c r="P350" s="273">
        <f>IF(Inputs!$E$19=1,P$39*P329,Ops!P329)*(1+$D$354)</f>
        <v>0</v>
      </c>
      <c r="Q350" s="273">
        <f>IF(Inputs!$E$19=1,Q$39*Q329,Ops!Q329)*(1+$D$354)</f>
        <v>0</v>
      </c>
      <c r="R350" s="273">
        <f>IF(Inputs!$E$19=1,R$39*R329,Ops!R329)*(1+$D$354)</f>
        <v>0</v>
      </c>
      <c r="S350" s="273">
        <f>IF(Inputs!$E$19=1,S$39*S329,Ops!S329)*(1+$D$354)</f>
        <v>0</v>
      </c>
      <c r="T350" s="273">
        <f>IF(Inputs!$E$19=1,T$39*T329,Ops!T329)*(1+$D$354)</f>
        <v>0</v>
      </c>
      <c r="U350" s="273">
        <f>IF(Inputs!$E$19=1,U$39*U329,Ops!U329)*(1+$D$354)</f>
        <v>0</v>
      </c>
      <c r="V350" s="273">
        <f>IF(Inputs!$E$19=1,V$39*V329,Ops!V329)*(1+$D$354)</f>
        <v>0</v>
      </c>
      <c r="W350" s="273">
        <f>IF(Inputs!$E$19=1,W$39*W329,Ops!W329)*(1+$D$354)</f>
        <v>0</v>
      </c>
      <c r="X350" s="273">
        <f>IF(Inputs!$E$19=1,X$39*X329,Ops!X329)*(1+$D$354)</f>
        <v>0</v>
      </c>
      <c r="Y350" s="273">
        <f>IF(Inputs!$E$19=1,Y$39*Y329,Ops!Y329)*(1+$D$354)</f>
        <v>0</v>
      </c>
      <c r="Z350" s="273">
        <f>IF(Inputs!$E$19=1,Z$39*Z329,Ops!Z329)*(1+$D$354)</f>
        <v>0</v>
      </c>
      <c r="AA350" s="273">
        <f>IF(Inputs!$E$19=1,AA$39*AA329,Ops!AA329)*(1+$D$354)</f>
        <v>0</v>
      </c>
      <c r="AB350" s="273">
        <f>IF(Inputs!$E$19=1,AB$39*AB329,Ops!AB329)*(1+$D$354)</f>
        <v>0</v>
      </c>
      <c r="AC350" s="273">
        <f>IF(Inputs!$E$19=1,AC$39*AC329,Ops!AC329)*(1+$D$354)</f>
        <v>0</v>
      </c>
      <c r="AD350" s="273">
        <f>IF(Inputs!$E$19=1,AD$39*AD329,Ops!AD329)*(1+$D$354)</f>
        <v>0</v>
      </c>
      <c r="AE350" s="273">
        <f>IF(Inputs!$E$19=1,AE$39*AE329,Ops!AE329)*(1+$D$354)</f>
        <v>0</v>
      </c>
      <c r="AF350" s="273">
        <f>IF(Inputs!$E$19=1,AF$39*AF329,Ops!AF329)*(1+$D$354)</f>
        <v>0</v>
      </c>
      <c r="AG350" s="273">
        <f>IF(Inputs!$E$19=1,AG$39*AG329,Ops!AG329)*(1+$D$354)</f>
        <v>0</v>
      </c>
      <c r="AH350" s="273">
        <f>IF(Inputs!$E$19=1,AH$39*AH329,Ops!AH329)*(1+$D$354)</f>
        <v>0</v>
      </c>
      <c r="AI350" s="273">
        <f>IF(Inputs!$E$19=1,AI$39*AI329,Ops!AI329)*(1+$D$354)</f>
        <v>0</v>
      </c>
      <c r="AJ350" s="273">
        <f>IF(Inputs!$E$19=1,AJ$39*AJ329,Ops!AJ329)*(1+$D$354)</f>
        <v>0</v>
      </c>
      <c r="AK350" s="273">
        <f>IF(Inputs!$E$19=1,AK$39*AK329,Ops!AK329)*(1+$D$354)</f>
        <v>0</v>
      </c>
      <c r="AL350" s="273">
        <f>IF(Inputs!$E$19=1,AL$39*AL329,Ops!AL329)*(1+$D$354)</f>
        <v>0</v>
      </c>
      <c r="AM350" s="273">
        <f>IF(Inputs!$E$19=1,AM$39*AM329,Ops!AM329)*(1+$D$354)</f>
        <v>0</v>
      </c>
      <c r="AN350" s="273">
        <f>IF(Inputs!$E$19=1,AN$39*AN329,Ops!AN329)*(1+$D$354)</f>
        <v>0</v>
      </c>
    </row>
    <row r="351" spans="3:40" outlineLevel="2">
      <c r="C351" t="str">
        <f t="shared" si="319"/>
        <v>Despesas com seguro garantia de execução</v>
      </c>
      <c r="D351" s="118"/>
      <c r="E351" s="32" t="s">
        <v>13</v>
      </c>
      <c r="F351" s="23">
        <f t="shared" si="323"/>
        <v>863.73547079133425</v>
      </c>
      <c r="G351" s="273">
        <f>IF(Inputs!$E$19=1,G$39*G330,Ops!G330)*(1+$D$354)</f>
        <v>28.791182359711147</v>
      </c>
      <c r="H351" s="273">
        <f>IF(Inputs!$E$19=1,H$39*H330,Ops!H330)*(1+$D$354)</f>
        <v>28.791182359711147</v>
      </c>
      <c r="I351" s="273">
        <f>IF(Inputs!$E$19=1,I$39*I330,Ops!I330)*(1+$D$354)</f>
        <v>28.791182359711147</v>
      </c>
      <c r="J351" s="273">
        <f>IF(Inputs!$E$19=1,J$39*J330,Ops!J330)*(1+$D$354)</f>
        <v>28.791182359711147</v>
      </c>
      <c r="K351" s="273">
        <f>IF(Inputs!$E$19=1,K$39*K330,Ops!K330)*(1+$D$354)</f>
        <v>28.791182359711147</v>
      </c>
      <c r="L351" s="273">
        <f>IF(Inputs!$E$19=1,L$39*L330,Ops!L330)*(1+$D$354)</f>
        <v>28.791182359711147</v>
      </c>
      <c r="M351" s="273">
        <f>IF(Inputs!$E$19=1,M$39*M330,Ops!M330)*(1+$D$354)</f>
        <v>28.791182359711147</v>
      </c>
      <c r="N351" s="273">
        <f>IF(Inputs!$E$19=1,N$39*N330,Ops!N330)*(1+$D$354)</f>
        <v>28.791182359711147</v>
      </c>
      <c r="O351" s="273">
        <f>IF(Inputs!$E$19=1,O$39*O330,Ops!O330)*(1+$D$354)</f>
        <v>28.791182359711147</v>
      </c>
      <c r="P351" s="273">
        <f>IF(Inputs!$E$19=1,P$39*P330,Ops!P330)*(1+$D$354)</f>
        <v>28.791182359711147</v>
      </c>
      <c r="Q351" s="273">
        <f>IF(Inputs!$E$19=1,Q$39*Q330,Ops!Q330)*(1+$D$354)</f>
        <v>28.791182359711147</v>
      </c>
      <c r="R351" s="273">
        <f>IF(Inputs!$E$19=1,R$39*R330,Ops!R330)*(1+$D$354)</f>
        <v>28.791182359711147</v>
      </c>
      <c r="S351" s="273">
        <f>IF(Inputs!$E$19=1,S$39*S330,Ops!S330)*(1+$D$354)</f>
        <v>28.791182359711147</v>
      </c>
      <c r="T351" s="273">
        <f>IF(Inputs!$E$19=1,T$39*T330,Ops!T330)*(1+$D$354)</f>
        <v>28.791182359711147</v>
      </c>
      <c r="U351" s="273">
        <f>IF(Inputs!$E$19=1,U$39*U330,Ops!U330)*(1+$D$354)</f>
        <v>28.791182359711147</v>
      </c>
      <c r="V351" s="273">
        <f>IF(Inputs!$E$19=1,V$39*V330,Ops!V330)*(1+$D$354)</f>
        <v>28.791182359711147</v>
      </c>
      <c r="W351" s="273">
        <f>IF(Inputs!$E$19=1,W$39*W330,Ops!W330)*(1+$D$354)</f>
        <v>28.791182359711147</v>
      </c>
      <c r="X351" s="273">
        <f>IF(Inputs!$E$19=1,X$39*X330,Ops!X330)*(1+$D$354)</f>
        <v>28.791182359711147</v>
      </c>
      <c r="Y351" s="273">
        <f>IF(Inputs!$E$19=1,Y$39*Y330,Ops!Y330)*(1+$D$354)</f>
        <v>28.791182359711147</v>
      </c>
      <c r="Z351" s="273">
        <f>IF(Inputs!$E$19=1,Z$39*Z330,Ops!Z330)*(1+$D$354)</f>
        <v>28.791182359711147</v>
      </c>
      <c r="AA351" s="273">
        <f>IF(Inputs!$E$19=1,AA$39*AA330,Ops!AA330)*(1+$D$354)</f>
        <v>28.791182359711147</v>
      </c>
      <c r="AB351" s="273">
        <f>IF(Inputs!$E$19=1,AB$39*AB330,Ops!AB330)*(1+$D$354)</f>
        <v>28.791182359711147</v>
      </c>
      <c r="AC351" s="273">
        <f>IF(Inputs!$E$19=1,AC$39*AC330,Ops!AC330)*(1+$D$354)</f>
        <v>28.791182359711147</v>
      </c>
      <c r="AD351" s="273">
        <f>IF(Inputs!$E$19=1,AD$39*AD330,Ops!AD330)*(1+$D$354)</f>
        <v>28.791182359711147</v>
      </c>
      <c r="AE351" s="273">
        <f>IF(Inputs!$E$19=1,AE$39*AE330,Ops!AE330)*(1+$D$354)</f>
        <v>28.791182359711147</v>
      </c>
      <c r="AF351" s="273">
        <f>IF(Inputs!$E$19=1,AF$39*AF330,Ops!AF330)*(1+$D$354)</f>
        <v>28.791182359711147</v>
      </c>
      <c r="AG351" s="273">
        <f>IF(Inputs!$E$19=1,AG$39*AG330,Ops!AG330)*(1+$D$354)</f>
        <v>28.791182359711147</v>
      </c>
      <c r="AH351" s="273">
        <f>IF(Inputs!$E$19=1,AH$39*AH330,Ops!AH330)*(1+$D$354)</f>
        <v>28.791182359711147</v>
      </c>
      <c r="AI351" s="273">
        <f>IF(Inputs!$E$19=1,AI$39*AI330,Ops!AI330)*(1+$D$354)</f>
        <v>28.791182359711147</v>
      </c>
      <c r="AJ351" s="273">
        <f>IF(Inputs!$E$19=1,AJ$39*AJ330,Ops!AJ330)*(1+$D$354)</f>
        <v>28.791182359711147</v>
      </c>
      <c r="AK351" s="273">
        <f>IF(Inputs!$E$19=1,AK$39*AK330,Ops!AK330)*(1+$D$354)</f>
        <v>0</v>
      </c>
      <c r="AL351" s="273">
        <f>IF(Inputs!$E$19=1,AL$39*AL330,Ops!AL330)*(1+$D$354)</f>
        <v>0</v>
      </c>
      <c r="AM351" s="273">
        <f>IF(Inputs!$E$19=1,AM$39*AM330,Ops!AM330)*(1+$D$354)</f>
        <v>0</v>
      </c>
      <c r="AN351" s="273">
        <f>IF(Inputs!$E$19=1,AN$39*AN330,Ops!AN330)*(1+$D$354)</f>
        <v>0</v>
      </c>
    </row>
    <row r="352" spans="3:40" s="118" customFormat="1" outlineLevel="2">
      <c r="C352" t="str">
        <f t="shared" si="319"/>
        <v>Despesas com seguro de engenharia</v>
      </c>
      <c r="D352" s="266"/>
      <c r="E352" s="32" t="s">
        <v>13</v>
      </c>
      <c r="F352" s="23">
        <f t="shared" si="323"/>
        <v>76.443648618970684</v>
      </c>
      <c r="G352" s="273">
        <f>IF(Inputs!$E$19=1,G$39*G331,Ops!G331)*(1+$D$354)</f>
        <v>1.2790064731359931</v>
      </c>
      <c r="H352" s="273">
        <f>IF(Inputs!$E$19=1,H$39*H331,Ops!H331)*(1+$D$354)</f>
        <v>4.9382423976376577</v>
      </c>
      <c r="I352" s="273">
        <f>IF(Inputs!$E$19=1,I$39*I331,Ops!I331)*(1+$D$354)</f>
        <v>1.3235912754197001</v>
      </c>
      <c r="J352" s="273">
        <f>IF(Inputs!$E$19=1,J$39*J331,Ops!J331)*(1+$D$354)</f>
        <v>0.17264464585970002</v>
      </c>
      <c r="K352" s="273">
        <f>IF(Inputs!$E$19=1,K$39*K331,Ops!K331)*(1+$D$354)</f>
        <v>0.17264464585970002</v>
      </c>
      <c r="L352" s="273">
        <f>IF(Inputs!$E$19=1,L$39*L331,Ops!L331)*(1+$D$354)</f>
        <v>42.703515166796649</v>
      </c>
      <c r="M352" s="273">
        <f>IF(Inputs!$E$19=1,M$39*M331,Ops!M331)*(1+$D$354)</f>
        <v>0.5890952653353041</v>
      </c>
      <c r="N352" s="273">
        <f>IF(Inputs!$E$19=1,N$39*N331,Ops!N331)*(1+$D$354)</f>
        <v>0.18214805585970001</v>
      </c>
      <c r="O352" s="273">
        <f>IF(Inputs!$E$19=1,O$39*O331,Ops!O331)*(1+$D$354)</f>
        <v>0.15191589585970003</v>
      </c>
      <c r="P352" s="273">
        <f>IF(Inputs!$E$19=1,P$39*P331,Ops!P331)*(1+$D$354)</f>
        <v>0.24264464585970003</v>
      </c>
      <c r="Q352" s="273">
        <f>IF(Inputs!$E$19=1,Q$39*Q331,Ops!Q331)*(1+$D$354)</f>
        <v>0.37581325081495859</v>
      </c>
      <c r="R352" s="273">
        <f>IF(Inputs!$E$19=1,R$39*R331,Ops!R331)*(1+$D$354)</f>
        <v>1.2147421062152917</v>
      </c>
      <c r="S352" s="273">
        <f>IF(Inputs!$E$19=1,S$39*S331,Ops!S331)*(1+$D$354)</f>
        <v>0.29337756037170004</v>
      </c>
      <c r="T352" s="273">
        <f>IF(Inputs!$E$19=1,T$39*T331,Ops!T331)*(1+$D$354)</f>
        <v>0.62583333033530408</v>
      </c>
      <c r="U352" s="273">
        <f>IF(Inputs!$E$19=1,U$39*U331,Ops!U331)*(1+$D$354)</f>
        <v>0.15191589585970003</v>
      </c>
      <c r="V352" s="273">
        <f>IF(Inputs!$E$19=1,V$39*V331,Ops!V331)*(1+$D$354)</f>
        <v>8.683138296147888</v>
      </c>
      <c r="W352" s="273">
        <f>IF(Inputs!$E$19=1,W$39*W331,Ops!W331)*(1+$D$354)</f>
        <v>0.20590658085970001</v>
      </c>
      <c r="X352" s="273">
        <f>IF(Inputs!$E$19=1,X$39*X331,Ops!X331)*(1+$D$354)</f>
        <v>0.23141930585970003</v>
      </c>
      <c r="Y352" s="273">
        <f>IF(Inputs!$E$19=1,Y$39*Y331,Ops!Y331)*(1+$D$354)</f>
        <v>0.17264464585970002</v>
      </c>
      <c r="Z352" s="273">
        <f>IF(Inputs!$E$19=1,Z$39*Z331,Ops!Z331)*(1+$D$354)</f>
        <v>0.17264464585970002</v>
      </c>
      <c r="AA352" s="273">
        <f>IF(Inputs!$E$19=1,AA$39*AA331,Ops!AA331)*(1+$D$354)</f>
        <v>0.73827318529056274</v>
      </c>
      <c r="AB352" s="273">
        <f>IF(Inputs!$E$19=1,AB$39*AB331,Ops!AB331)*(1+$D$354)</f>
        <v>1.3054708562152917</v>
      </c>
      <c r="AC352" s="273">
        <f>IF(Inputs!$E$19=1,AC$39*AC331,Ops!AC331)*(1+$D$354)</f>
        <v>0.29337756037170004</v>
      </c>
      <c r="AD352" s="273">
        <f>IF(Inputs!$E$19=1,AD$39*AD331,Ops!AD331)*(1+$D$354)</f>
        <v>0.15191589585970003</v>
      </c>
      <c r="AE352" s="273">
        <f>IF(Inputs!$E$19=1,AE$39*AE331,Ops!AE331)*(1+$D$354)</f>
        <v>0.17264464585970002</v>
      </c>
      <c r="AF352" s="273">
        <f>IF(Inputs!$E$19=1,AF$39*AF331,Ops!AF331)*(1+$D$354)</f>
        <v>8.7540072766518886</v>
      </c>
      <c r="AG352" s="273">
        <f>IF(Inputs!$E$19=1,AG$39*AG331,Ops!AG331)*(1+$D$354)</f>
        <v>0.18517783085969999</v>
      </c>
      <c r="AH352" s="273">
        <f>IF(Inputs!$E$19=1,AH$39*AH331,Ops!AH331)*(1+$D$354)</f>
        <v>0.56533674033530401</v>
      </c>
      <c r="AI352" s="273">
        <f>IF(Inputs!$E$19=1,AI$39*AI331,Ops!AI331)*(1+$D$354)</f>
        <v>0.17264464585970002</v>
      </c>
      <c r="AJ352" s="273">
        <f>IF(Inputs!$E$19=1,AJ$39*AJ331,Ops!AJ331)*(1+$D$354)</f>
        <v>0.22191589585970001</v>
      </c>
      <c r="AK352" s="273">
        <f>IF(Inputs!$E$19=1,AK$39*AK331,Ops!AK331)*(1+$D$354)</f>
        <v>0</v>
      </c>
      <c r="AL352" s="273">
        <f>IF(Inputs!$E$19=1,AL$39*AL331,Ops!AL331)*(1+$D$354)</f>
        <v>0</v>
      </c>
      <c r="AM352" s="273">
        <f>IF(Inputs!$E$19=1,AM$39*AM331,Ops!AM331)*(1+$D$354)</f>
        <v>0</v>
      </c>
      <c r="AN352" s="273">
        <f>IF(Inputs!$E$19=1,AN$39*AN331,Ops!AN331)*(1+$D$354)</f>
        <v>0</v>
      </c>
    </row>
    <row r="353" spans="3:40" outlineLevel="2">
      <c r="C353" t="s">
        <v>442</v>
      </c>
      <c r="D353" s="266"/>
      <c r="E353" s="497"/>
      <c r="F353" s="24">
        <f>SUM(G353:AN353)</f>
        <v>537494.62117216201</v>
      </c>
      <c r="G353" s="273">
        <f t="shared" ref="G353:AN353" si="324">SUM(G335:G352)</f>
        <v>15797.541762956853</v>
      </c>
      <c r="H353" s="273">
        <f t="shared" si="324"/>
        <v>16555.215687863012</v>
      </c>
      <c r="I353" s="273">
        <f t="shared" si="324"/>
        <v>16996.464734224486</v>
      </c>
      <c r="J353" s="273">
        <f t="shared" si="324"/>
        <v>17370.115209746957</v>
      </c>
      <c r="K353" s="273">
        <f t="shared" si="324"/>
        <v>17421.856659541751</v>
      </c>
      <c r="L353" s="273">
        <f t="shared" si="324"/>
        <v>17513.311737542146</v>
      </c>
      <c r="M353" s="273">
        <f t="shared" si="324"/>
        <v>18476.065638633921</v>
      </c>
      <c r="N353" s="273">
        <f t="shared" si="324"/>
        <v>17662.762971884982</v>
      </c>
      <c r="O353" s="273">
        <f t="shared" si="324"/>
        <v>17682.006099403177</v>
      </c>
      <c r="P353" s="273">
        <f t="shared" si="324"/>
        <v>17763.936511271375</v>
      </c>
      <c r="Q353" s="273">
        <f t="shared" si="324"/>
        <v>17783.356971761375</v>
      </c>
      <c r="R353" s="273">
        <f t="shared" si="324"/>
        <v>17803.469260294965</v>
      </c>
      <c r="S353" s="273">
        <f t="shared" si="324"/>
        <v>17821.82125542732</v>
      </c>
      <c r="T353" s="273">
        <f t="shared" si="324"/>
        <v>17841.427070875474</v>
      </c>
      <c r="U353" s="273">
        <f t="shared" si="324"/>
        <v>17860.240445326042</v>
      </c>
      <c r="V353" s="273">
        <f t="shared" si="324"/>
        <v>17888.045027404525</v>
      </c>
      <c r="W353" s="273">
        <f t="shared" si="324"/>
        <v>17899.112235367433</v>
      </c>
      <c r="X353" s="273">
        <f t="shared" si="324"/>
        <v>17918.411107770622</v>
      </c>
      <c r="Y353" s="273">
        <f t="shared" si="324"/>
        <v>18325.444917315668</v>
      </c>
      <c r="Z353" s="273">
        <f t="shared" si="324"/>
        <v>18344.718276993863</v>
      </c>
      <c r="AA353" s="273">
        <f t="shared" si="324"/>
        <v>18364.55726521149</v>
      </c>
      <c r="AB353" s="273">
        <f t="shared" si="324"/>
        <v>18384.397822560608</v>
      </c>
      <c r="AC353" s="273">
        <f t="shared" si="324"/>
        <v>18402.673021149807</v>
      </c>
      <c r="AD353" s="273">
        <f t="shared" si="324"/>
        <v>18422.075999163491</v>
      </c>
      <c r="AE353" s="273">
        <f t="shared" si="324"/>
        <v>18441.370087591684</v>
      </c>
      <c r="AF353" s="273">
        <f t="shared" si="324"/>
        <v>18469.224809900676</v>
      </c>
      <c r="AG353" s="273">
        <f t="shared" si="324"/>
        <v>18542.238515779925</v>
      </c>
      <c r="AH353" s="273">
        <f t="shared" si="324"/>
        <v>18561.892034367593</v>
      </c>
      <c r="AI353" s="273">
        <f t="shared" si="324"/>
        <v>18580.772701951315</v>
      </c>
      <c r="AJ353" s="273">
        <f t="shared" si="324"/>
        <v>18600.095332879508</v>
      </c>
      <c r="AK353" s="273">
        <f t="shared" si="324"/>
        <v>0</v>
      </c>
      <c r="AL353" s="273">
        <f t="shared" si="324"/>
        <v>0</v>
      </c>
      <c r="AM353" s="273">
        <f t="shared" si="324"/>
        <v>0</v>
      </c>
      <c r="AN353" s="273">
        <f t="shared" si="324"/>
        <v>0</v>
      </c>
    </row>
    <row r="354" spans="3:40" outlineLevel="2">
      <c r="C354" t="s">
        <v>240</v>
      </c>
      <c r="D354">
        <f>OPEX_Sens</f>
        <v>0</v>
      </c>
      <c r="E354" s="32" t="s">
        <v>23</v>
      </c>
      <c r="F354" s="118"/>
      <c r="G354" s="273"/>
      <c r="H354" s="273"/>
      <c r="I354" s="273"/>
      <c r="J354" s="273"/>
      <c r="K354" s="273"/>
      <c r="L354" s="273"/>
      <c r="M354" s="273"/>
      <c r="N354" s="273"/>
      <c r="O354" s="273"/>
      <c r="P354" s="273"/>
      <c r="Q354" s="273"/>
      <c r="R354" s="273"/>
      <c r="S354" s="273"/>
      <c r="T354" s="273"/>
      <c r="U354" s="273"/>
      <c r="V354" s="273"/>
      <c r="W354" s="273"/>
      <c r="X354" s="273"/>
      <c r="Y354" s="273"/>
      <c r="Z354" s="273"/>
      <c r="AA354" s="273"/>
      <c r="AB354" s="273"/>
      <c r="AC354" s="273"/>
      <c r="AD354" s="273"/>
      <c r="AE354" s="273"/>
      <c r="AF354" s="273"/>
      <c r="AG354" s="273"/>
      <c r="AH354" s="273"/>
      <c r="AI354" s="273"/>
      <c r="AJ354" s="273"/>
      <c r="AK354" s="273"/>
      <c r="AL354" s="273"/>
      <c r="AM354" s="273"/>
      <c r="AN354" s="273"/>
    </row>
    <row r="355" spans="3:40" s="118" customFormat="1" outlineLevel="2">
      <c r="D355" s="266"/>
      <c r="E355" s="497"/>
    </row>
    <row r="356" spans="3:40" outlineLevel="2">
      <c r="C356" t="s">
        <v>78</v>
      </c>
      <c r="D356" s="275"/>
      <c r="E356" s="108" t="s">
        <v>20</v>
      </c>
      <c r="F356" s="26">
        <f>SUM(G356:AN356)</f>
        <v>537494.62117216201</v>
      </c>
      <c r="G356" s="317">
        <f t="shared" ref="G356:AN356" si="325">G353</f>
        <v>15797.541762956853</v>
      </c>
      <c r="H356" s="317">
        <f t="shared" si="325"/>
        <v>16555.215687863012</v>
      </c>
      <c r="I356" s="317">
        <f t="shared" si="325"/>
        <v>16996.464734224486</v>
      </c>
      <c r="J356" s="317">
        <f t="shared" si="325"/>
        <v>17370.115209746957</v>
      </c>
      <c r="K356" s="317">
        <f t="shared" si="325"/>
        <v>17421.856659541751</v>
      </c>
      <c r="L356" s="317">
        <f t="shared" si="325"/>
        <v>17513.311737542146</v>
      </c>
      <c r="M356" s="317">
        <f t="shared" si="325"/>
        <v>18476.065638633921</v>
      </c>
      <c r="N356" s="317">
        <f t="shared" si="325"/>
        <v>17662.762971884982</v>
      </c>
      <c r="O356" s="317">
        <f t="shared" si="325"/>
        <v>17682.006099403177</v>
      </c>
      <c r="P356" s="317">
        <f t="shared" si="325"/>
        <v>17763.936511271375</v>
      </c>
      <c r="Q356" s="317">
        <f t="shared" si="325"/>
        <v>17783.356971761375</v>
      </c>
      <c r="R356" s="317">
        <f t="shared" si="325"/>
        <v>17803.469260294965</v>
      </c>
      <c r="S356" s="317">
        <f t="shared" si="325"/>
        <v>17821.82125542732</v>
      </c>
      <c r="T356" s="317">
        <f t="shared" si="325"/>
        <v>17841.427070875474</v>
      </c>
      <c r="U356" s="317">
        <f t="shared" si="325"/>
        <v>17860.240445326042</v>
      </c>
      <c r="V356" s="317">
        <f t="shared" si="325"/>
        <v>17888.045027404525</v>
      </c>
      <c r="W356" s="317">
        <f t="shared" si="325"/>
        <v>17899.112235367433</v>
      </c>
      <c r="X356" s="317">
        <f t="shared" si="325"/>
        <v>17918.411107770622</v>
      </c>
      <c r="Y356" s="317">
        <f t="shared" si="325"/>
        <v>18325.444917315668</v>
      </c>
      <c r="Z356" s="317">
        <f t="shared" si="325"/>
        <v>18344.718276993863</v>
      </c>
      <c r="AA356" s="317">
        <f t="shared" si="325"/>
        <v>18364.55726521149</v>
      </c>
      <c r="AB356" s="317">
        <f t="shared" si="325"/>
        <v>18384.397822560608</v>
      </c>
      <c r="AC356" s="317">
        <f t="shared" si="325"/>
        <v>18402.673021149807</v>
      </c>
      <c r="AD356" s="317">
        <f t="shared" si="325"/>
        <v>18422.075999163491</v>
      </c>
      <c r="AE356" s="317">
        <f t="shared" si="325"/>
        <v>18441.370087591684</v>
      </c>
      <c r="AF356" s="317">
        <f t="shared" si="325"/>
        <v>18469.224809900676</v>
      </c>
      <c r="AG356" s="317">
        <f t="shared" si="325"/>
        <v>18542.238515779925</v>
      </c>
      <c r="AH356" s="317">
        <f t="shared" si="325"/>
        <v>18561.892034367593</v>
      </c>
      <c r="AI356" s="317">
        <f t="shared" si="325"/>
        <v>18580.772701951315</v>
      </c>
      <c r="AJ356" s="317">
        <f t="shared" si="325"/>
        <v>18600.095332879508</v>
      </c>
      <c r="AK356" s="317">
        <f t="shared" si="325"/>
        <v>0</v>
      </c>
      <c r="AL356" s="317">
        <f t="shared" si="325"/>
        <v>0</v>
      </c>
      <c r="AM356" s="317">
        <f t="shared" si="325"/>
        <v>0</v>
      </c>
      <c r="AN356" s="317">
        <f t="shared" si="325"/>
        <v>0</v>
      </c>
    </row>
    <row r="357" spans="3:40" outlineLevel="1">
      <c r="D357" s="266"/>
      <c r="E357" s="309"/>
    </row>
    <row r="358" spans="3:40">
      <c r="D358" s="266"/>
      <c r="E358" s="309"/>
    </row>
    <row r="359" spans="3:40" ht="16.2" thickBot="1">
      <c r="C359" s="394" t="s">
        <v>123</v>
      </c>
      <c r="D359" s="395"/>
      <c r="E359" s="396"/>
      <c r="F359" s="395"/>
      <c r="G359" s="395"/>
      <c r="H359" s="395"/>
      <c r="I359" s="395"/>
      <c r="J359" s="395"/>
      <c r="K359" s="395"/>
      <c r="L359" s="395"/>
      <c r="M359" s="395"/>
      <c r="N359" s="395"/>
      <c r="O359" s="395"/>
      <c r="P359" s="395"/>
      <c r="Q359" s="395"/>
      <c r="R359" s="395"/>
      <c r="S359" s="395"/>
      <c r="T359" s="395"/>
      <c r="U359" s="395"/>
      <c r="V359" s="395"/>
      <c r="W359" s="395"/>
      <c r="X359" s="395"/>
      <c r="Y359" s="395"/>
      <c r="Z359" s="395"/>
      <c r="AA359" s="395"/>
      <c r="AB359" s="395"/>
      <c r="AC359" s="395"/>
      <c r="AD359" s="395"/>
      <c r="AE359" s="395"/>
      <c r="AF359" s="395"/>
      <c r="AG359" s="395"/>
      <c r="AH359" s="395"/>
      <c r="AI359" s="395"/>
      <c r="AJ359" s="395"/>
      <c r="AK359" s="8"/>
      <c r="AL359" s="8"/>
      <c r="AM359" s="8"/>
      <c r="AN359" s="8"/>
    </row>
    <row r="360" spans="3:40" outlineLevel="1">
      <c r="E360" s="76"/>
    </row>
    <row r="361" spans="3:40" outlineLevel="1">
      <c r="C361" s="303" t="str">
        <f>Flags!C80</f>
        <v>Flag último dia de operação</v>
      </c>
      <c r="D361" s="319">
        <f>Flags!D80</f>
        <v>0</v>
      </c>
      <c r="E361" s="41" t="str">
        <f>Flags!E80</f>
        <v>Flag</v>
      </c>
      <c r="F361" s="23">
        <f>Flags!F80</f>
        <v>1</v>
      </c>
      <c r="G361" s="25">
        <f>Flags!G80</f>
        <v>0</v>
      </c>
      <c r="H361" s="25">
        <f>Flags!H80</f>
        <v>0</v>
      </c>
      <c r="I361" s="25">
        <f>Flags!I80</f>
        <v>0</v>
      </c>
      <c r="J361" s="25">
        <f>Flags!J80</f>
        <v>0</v>
      </c>
      <c r="K361" s="25">
        <f>Flags!K80</f>
        <v>0</v>
      </c>
      <c r="L361" s="25">
        <f>Flags!L80</f>
        <v>0</v>
      </c>
      <c r="M361" s="25">
        <f>Flags!M80</f>
        <v>0</v>
      </c>
      <c r="N361" s="25">
        <f>Flags!N80</f>
        <v>0</v>
      </c>
      <c r="O361" s="25">
        <f>Flags!O80</f>
        <v>0</v>
      </c>
      <c r="P361" s="25">
        <f>Flags!P80</f>
        <v>0</v>
      </c>
      <c r="Q361" s="25">
        <f>Flags!Q80</f>
        <v>0</v>
      </c>
      <c r="R361" s="25">
        <f>Flags!R80</f>
        <v>0</v>
      </c>
      <c r="S361" s="25">
        <f>Flags!S80</f>
        <v>0</v>
      </c>
      <c r="T361" s="25">
        <f>Flags!T80</f>
        <v>0</v>
      </c>
      <c r="U361" s="25">
        <f>Flags!U80</f>
        <v>0</v>
      </c>
      <c r="V361" s="25">
        <f>Flags!V80</f>
        <v>0</v>
      </c>
      <c r="W361" s="25">
        <f>Flags!W80</f>
        <v>0</v>
      </c>
      <c r="X361" s="25">
        <f>Flags!X80</f>
        <v>0</v>
      </c>
      <c r="Y361" s="25">
        <f>Flags!Y80</f>
        <v>0</v>
      </c>
      <c r="Z361" s="25">
        <f>Flags!Z80</f>
        <v>0</v>
      </c>
      <c r="AA361" s="25">
        <f>Flags!AA80</f>
        <v>0</v>
      </c>
      <c r="AB361" s="25">
        <f>Flags!AB80</f>
        <v>0</v>
      </c>
      <c r="AC361" s="25">
        <f>Flags!AC80</f>
        <v>0</v>
      </c>
      <c r="AD361" s="25">
        <f>Flags!AD80</f>
        <v>0</v>
      </c>
      <c r="AE361" s="25">
        <f>Flags!AE80</f>
        <v>0</v>
      </c>
      <c r="AF361" s="25">
        <f>Flags!AF80</f>
        <v>0</v>
      </c>
      <c r="AG361" s="25">
        <f>Flags!AG80</f>
        <v>0</v>
      </c>
      <c r="AH361" s="25">
        <f>Flags!AH80</f>
        <v>0</v>
      </c>
      <c r="AI361" s="25">
        <f>Flags!AI80</f>
        <v>0</v>
      </c>
      <c r="AJ361" s="25">
        <f>Flags!AJ80</f>
        <v>1</v>
      </c>
      <c r="AK361" s="25">
        <f>Flags!AK80</f>
        <v>0</v>
      </c>
      <c r="AL361" s="25">
        <f>Flags!AL80</f>
        <v>0</v>
      </c>
      <c r="AM361" s="25">
        <f>Flags!AM80</f>
        <v>0</v>
      </c>
      <c r="AN361" s="25">
        <f>Flags!AN80</f>
        <v>0</v>
      </c>
    </row>
    <row r="362" spans="3:40" outlineLevel="1">
      <c r="E362" s="76"/>
    </row>
    <row r="363" spans="3:40" outlineLevel="1">
      <c r="C363" t="s">
        <v>305</v>
      </c>
      <c r="D363"/>
      <c r="E363"/>
    </row>
    <row r="364" spans="3:40" outlineLevel="2">
      <c r="C364" t="s">
        <v>443</v>
      </c>
      <c r="D364" s="38">
        <f>Inputs!E268</f>
        <v>30</v>
      </c>
      <c r="E364" s="202" t="s">
        <v>304</v>
      </c>
    </row>
    <row r="365" spans="3:40" outlineLevel="2">
      <c r="C365" t="s">
        <v>374</v>
      </c>
      <c r="D365" s="266"/>
      <c r="E365" s="32" t="s">
        <v>304</v>
      </c>
      <c r="G365" s="266">
        <f>Flags!G26</f>
        <v>365</v>
      </c>
      <c r="H365" s="266">
        <f>Flags!H26</f>
        <v>366</v>
      </c>
      <c r="I365" s="266">
        <f>Flags!I26</f>
        <v>365</v>
      </c>
      <c r="J365" s="266">
        <f>Flags!J26</f>
        <v>365</v>
      </c>
      <c r="K365" s="266">
        <f>Flags!K26</f>
        <v>365</v>
      </c>
      <c r="L365" s="266">
        <f>Flags!L26</f>
        <v>366</v>
      </c>
      <c r="M365" s="266">
        <f>Flags!M26</f>
        <v>365</v>
      </c>
      <c r="N365" s="266">
        <f>Flags!N26</f>
        <v>365</v>
      </c>
      <c r="O365" s="266">
        <f>Flags!O26</f>
        <v>365</v>
      </c>
      <c r="P365" s="266">
        <f>Flags!P26</f>
        <v>366</v>
      </c>
      <c r="Q365" s="266">
        <f>Flags!Q26</f>
        <v>365</v>
      </c>
      <c r="R365" s="266">
        <f>Flags!R26</f>
        <v>365</v>
      </c>
      <c r="S365" s="266">
        <f>Flags!S26</f>
        <v>365</v>
      </c>
      <c r="T365" s="266">
        <f>Flags!T26</f>
        <v>366</v>
      </c>
      <c r="U365" s="266">
        <f>Flags!U26</f>
        <v>365</v>
      </c>
      <c r="V365" s="266">
        <f>Flags!V26</f>
        <v>365</v>
      </c>
      <c r="W365" s="266">
        <f>Flags!W26</f>
        <v>365</v>
      </c>
      <c r="X365" s="266">
        <f>Flags!X26</f>
        <v>366</v>
      </c>
      <c r="Y365" s="266">
        <f>Flags!Y26</f>
        <v>365</v>
      </c>
      <c r="Z365" s="266">
        <f>Flags!Z26</f>
        <v>365</v>
      </c>
      <c r="AA365" s="266">
        <f>Flags!AA26</f>
        <v>365</v>
      </c>
      <c r="AB365" s="266">
        <f>Flags!AB26</f>
        <v>366</v>
      </c>
      <c r="AC365" s="266">
        <f>Flags!AC26</f>
        <v>365</v>
      </c>
      <c r="AD365" s="266">
        <f>Flags!AD26</f>
        <v>365</v>
      </c>
      <c r="AE365" s="266">
        <f>Flags!AE26</f>
        <v>365</v>
      </c>
      <c r="AF365" s="266">
        <f>Flags!AF26</f>
        <v>366</v>
      </c>
      <c r="AG365" s="266">
        <f>Flags!AG26</f>
        <v>365</v>
      </c>
      <c r="AH365" s="266">
        <f>Flags!AH26</f>
        <v>365</v>
      </c>
      <c r="AI365" s="266">
        <f>Flags!AI26</f>
        <v>365</v>
      </c>
      <c r="AJ365" s="266">
        <f>Flags!AJ26</f>
        <v>366</v>
      </c>
      <c r="AK365" s="266">
        <f>Flags!AK26</f>
        <v>365</v>
      </c>
      <c r="AL365" s="266">
        <f>Flags!AL26</f>
        <v>365</v>
      </c>
      <c r="AM365" s="266">
        <f>Flags!AM26</f>
        <v>365</v>
      </c>
      <c r="AN365" s="266">
        <f>Flags!AN26</f>
        <v>366</v>
      </c>
    </row>
    <row r="366" spans="3:40" outlineLevel="2">
      <c r="C366" t="s">
        <v>444</v>
      </c>
      <c r="D366"/>
      <c r="E366" s="202" t="s">
        <v>13</v>
      </c>
      <c r="F366" s="26">
        <f>SUM(G366:AN366)</f>
        <v>716498.99541189522</v>
      </c>
      <c r="G366" s="319">
        <f>DFs!G19</f>
        <v>15876.007815619954</v>
      </c>
      <c r="H366" s="319">
        <f>DFs!H19</f>
        <v>15051.423824140365</v>
      </c>
      <c r="I366" s="319">
        <f>DFs!I19</f>
        <v>19494.816785268613</v>
      </c>
      <c r="J366" s="319">
        <f>DFs!J19</f>
        <v>20175.565060760062</v>
      </c>
      <c r="K366" s="319">
        <f>DFs!K19</f>
        <v>20587.138871810268</v>
      </c>
      <c r="L366" s="319">
        <f>DFs!L19</f>
        <v>22035.214987664876</v>
      </c>
      <c r="M366" s="319">
        <f>DFs!M19</f>
        <v>22232.355854608322</v>
      </c>
      <c r="N366" s="319">
        <f>DFs!N19</f>
        <v>23359.264941428646</v>
      </c>
      <c r="O366" s="319">
        <f>DFs!O19</f>
        <v>23013.5189340984</v>
      </c>
      <c r="P366" s="319">
        <f>DFs!P19</f>
        <v>23138.337527777629</v>
      </c>
      <c r="Q366" s="319">
        <f>DFs!Q19</f>
        <v>23417.912541307025</v>
      </c>
      <c r="R366" s="319">
        <f>DFs!R19</f>
        <v>23608.050407609164</v>
      </c>
      <c r="S366" s="319">
        <f>DFs!S19</f>
        <v>23802.339703083089</v>
      </c>
      <c r="T366" s="319">
        <f>DFs!T19</f>
        <v>23966.702602816349</v>
      </c>
      <c r="U366" s="319">
        <f>DFs!U19</f>
        <v>24927.927730347445</v>
      </c>
      <c r="V366" s="319">
        <f>DFs!V19</f>
        <v>24636.676463224492</v>
      </c>
      <c r="W366" s="319">
        <f>DFs!W19</f>
        <v>24684.19507732222</v>
      </c>
      <c r="X366" s="319">
        <f>DFs!X19</f>
        <v>24863.670721701186</v>
      </c>
      <c r="Y366" s="319">
        <f>DFs!Y19</f>
        <v>25162.320881247691</v>
      </c>
      <c r="Z366" s="319">
        <f>DFs!Z19</f>
        <v>25308.863459034292</v>
      </c>
      <c r="AA366" s="319">
        <f>DFs!AA19</f>
        <v>25639.746802449172</v>
      </c>
      <c r="AB366" s="319">
        <f>DFs!AB19</f>
        <v>26536.164200502441</v>
      </c>
      <c r="AC366" s="319">
        <f>DFs!AC19</f>
        <v>26024.479662944304</v>
      </c>
      <c r="AD366" s="319">
        <f>DFs!AD19</f>
        <v>26242.953318025484</v>
      </c>
      <c r="AE366" s="319">
        <f>DFs!AE19</f>
        <v>26425.669828056136</v>
      </c>
      <c r="AF366" s="319">
        <f>DFs!AF19</f>
        <v>26911.406080394063</v>
      </c>
      <c r="AG366" s="319">
        <f>DFs!AG19</f>
        <v>26831.05860819446</v>
      </c>
      <c r="AH366" s="319">
        <f>DFs!AH19</f>
        <v>27224.515269547472</v>
      </c>
      <c r="AI366" s="319">
        <f>DFs!AI19</f>
        <v>27847.181277170679</v>
      </c>
      <c r="AJ366" s="319">
        <f>DFs!AJ19</f>
        <v>27473.516173740925</v>
      </c>
      <c r="AK366" s="319">
        <f>DFs!AK19</f>
        <v>0</v>
      </c>
      <c r="AL366" s="319">
        <f>DFs!AL19</f>
        <v>0</v>
      </c>
      <c r="AM366" s="319">
        <f>DFs!AM19</f>
        <v>0</v>
      </c>
      <c r="AN366" s="319">
        <f>DFs!AN19</f>
        <v>0</v>
      </c>
    </row>
    <row r="367" spans="3:40" outlineLevel="2">
      <c r="C367" t="s">
        <v>445</v>
      </c>
      <c r="D367"/>
      <c r="E367" s="202" t="s">
        <v>13</v>
      </c>
      <c r="G367" s="273">
        <f>(G366/G365)*$D364</f>
        <v>1304.8773547084893</v>
      </c>
      <c r="H367" s="273">
        <f t="shared" ref="H367:AN367" si="326">(H366/H365)*$D364</f>
        <v>1233.7232642738004</v>
      </c>
      <c r="I367" s="273">
        <f t="shared" si="326"/>
        <v>1602.3137083782422</v>
      </c>
      <c r="J367" s="273">
        <f t="shared" si="326"/>
        <v>1658.2656214323338</v>
      </c>
      <c r="K367" s="273">
        <f t="shared" si="326"/>
        <v>1692.0936059022138</v>
      </c>
      <c r="L367" s="273">
        <f t="shared" si="326"/>
        <v>1806.1651629233506</v>
      </c>
      <c r="M367" s="273">
        <f t="shared" si="326"/>
        <v>1827.3169195568485</v>
      </c>
      <c r="N367" s="273">
        <f t="shared" si="326"/>
        <v>1919.9395842270121</v>
      </c>
      <c r="O367" s="273">
        <f t="shared" si="326"/>
        <v>1891.5221041724712</v>
      </c>
      <c r="P367" s="273">
        <f t="shared" si="326"/>
        <v>1896.5850432604614</v>
      </c>
      <c r="Q367" s="273">
        <f t="shared" si="326"/>
        <v>1924.7599349019472</v>
      </c>
      <c r="R367" s="273">
        <f t="shared" si="326"/>
        <v>1940.3877047349999</v>
      </c>
      <c r="S367" s="273">
        <f t="shared" si="326"/>
        <v>1956.3566879246373</v>
      </c>
      <c r="T367" s="273">
        <f t="shared" si="326"/>
        <v>1964.4838199029793</v>
      </c>
      <c r="U367" s="273">
        <f t="shared" si="326"/>
        <v>2048.8707723573243</v>
      </c>
      <c r="V367" s="273">
        <f t="shared" si="326"/>
        <v>2024.9323120458489</v>
      </c>
      <c r="W367" s="273">
        <f t="shared" si="326"/>
        <v>2028.8379515607305</v>
      </c>
      <c r="X367" s="273">
        <f t="shared" si="326"/>
        <v>2038.0057968607528</v>
      </c>
      <c r="Y367" s="273">
        <f t="shared" si="326"/>
        <v>2068.1359628422761</v>
      </c>
      <c r="Z367" s="273">
        <f t="shared" si="326"/>
        <v>2080.1805582767911</v>
      </c>
      <c r="AA367" s="273">
        <f t="shared" si="326"/>
        <v>2107.37644951637</v>
      </c>
      <c r="AB367" s="273">
        <f t="shared" si="326"/>
        <v>2175.0954262706919</v>
      </c>
      <c r="AC367" s="273">
        <f t="shared" si="326"/>
        <v>2138.9983284611758</v>
      </c>
      <c r="AD367" s="273">
        <f t="shared" si="326"/>
        <v>2156.9550672349715</v>
      </c>
      <c r="AE367" s="273">
        <f t="shared" si="326"/>
        <v>2171.9728625799567</v>
      </c>
      <c r="AF367" s="273">
        <f t="shared" si="326"/>
        <v>2205.8529574093495</v>
      </c>
      <c r="AG367" s="273">
        <f t="shared" si="326"/>
        <v>2205.2924883447499</v>
      </c>
      <c r="AH367" s="273">
        <f t="shared" si="326"/>
        <v>2237.6313920176003</v>
      </c>
      <c r="AI367" s="273">
        <f t="shared" si="326"/>
        <v>2288.8094200414257</v>
      </c>
      <c r="AJ367" s="273">
        <f t="shared" si="326"/>
        <v>2251.9275552246659</v>
      </c>
      <c r="AK367" s="273">
        <f t="shared" si="326"/>
        <v>0</v>
      </c>
      <c r="AL367" s="273">
        <f t="shared" si="326"/>
        <v>0</v>
      </c>
      <c r="AM367" s="273">
        <f t="shared" si="326"/>
        <v>0</v>
      </c>
      <c r="AN367" s="273">
        <f t="shared" si="326"/>
        <v>0</v>
      </c>
    </row>
    <row r="368" spans="3:40" outlineLevel="2">
      <c r="C368" t="s">
        <v>305</v>
      </c>
      <c r="D368"/>
      <c r="E368" s="202" t="s">
        <v>13</v>
      </c>
      <c r="G368" s="278">
        <f t="shared" ref="G368" si="327">IF(G$361=1,0,G367)</f>
        <v>1304.8773547084893</v>
      </c>
      <c r="H368" s="278">
        <f t="shared" ref="H368" si="328">IF(H$361=1,0,H367)</f>
        <v>1233.7232642738004</v>
      </c>
      <c r="I368" s="278">
        <f t="shared" ref="I368" si="329">IF(I$361=1,0,I367)</f>
        <v>1602.3137083782422</v>
      </c>
      <c r="J368" s="278">
        <f t="shared" ref="J368" si="330">IF(J$361=1,0,J367)</f>
        <v>1658.2656214323338</v>
      </c>
      <c r="K368" s="278">
        <f t="shared" ref="K368" si="331">IF(K$361=1,0,K367)</f>
        <v>1692.0936059022138</v>
      </c>
      <c r="L368" s="278">
        <f t="shared" ref="L368" si="332">IF(L$361=1,0,L367)</f>
        <v>1806.1651629233506</v>
      </c>
      <c r="M368" s="278">
        <f t="shared" ref="M368" si="333">IF(M$361=1,0,M367)</f>
        <v>1827.3169195568485</v>
      </c>
      <c r="N368" s="278">
        <f t="shared" ref="N368" si="334">IF(N$361=1,0,N367)</f>
        <v>1919.9395842270121</v>
      </c>
      <c r="O368" s="278">
        <f t="shared" ref="O368" si="335">IF(O$361=1,0,O367)</f>
        <v>1891.5221041724712</v>
      </c>
      <c r="P368" s="278">
        <f t="shared" ref="P368" si="336">IF(P$361=1,0,P367)</f>
        <v>1896.5850432604614</v>
      </c>
      <c r="Q368" s="278">
        <f t="shared" ref="Q368" si="337">IF(Q$361=1,0,Q367)</f>
        <v>1924.7599349019472</v>
      </c>
      <c r="R368" s="278">
        <f t="shared" ref="R368" si="338">IF(R$361=1,0,R367)</f>
        <v>1940.3877047349999</v>
      </c>
      <c r="S368" s="278">
        <f t="shared" ref="S368" si="339">IF(S$361=1,0,S367)</f>
        <v>1956.3566879246373</v>
      </c>
      <c r="T368" s="278">
        <f t="shared" ref="T368" si="340">IF(T$361=1,0,T367)</f>
        <v>1964.4838199029793</v>
      </c>
      <c r="U368" s="278">
        <f t="shared" ref="U368" si="341">IF(U$361=1,0,U367)</f>
        <v>2048.8707723573243</v>
      </c>
      <c r="V368" s="278">
        <f t="shared" ref="V368" si="342">IF(V$361=1,0,V367)</f>
        <v>2024.9323120458489</v>
      </c>
      <c r="W368" s="278">
        <f t="shared" ref="W368" si="343">IF(W$361=1,0,W367)</f>
        <v>2028.8379515607305</v>
      </c>
      <c r="X368" s="278">
        <f t="shared" ref="X368" si="344">IF(X$361=1,0,X367)</f>
        <v>2038.0057968607528</v>
      </c>
      <c r="Y368" s="278">
        <f t="shared" ref="Y368" si="345">IF(Y$361=1,0,Y367)</f>
        <v>2068.1359628422761</v>
      </c>
      <c r="Z368" s="278">
        <f t="shared" ref="Z368" si="346">IF(Z$361=1,0,Z367)</f>
        <v>2080.1805582767911</v>
      </c>
      <c r="AA368" s="278">
        <f t="shared" ref="AA368" si="347">IF(AA$361=1,0,AA367)</f>
        <v>2107.37644951637</v>
      </c>
      <c r="AB368" s="278">
        <f t="shared" ref="AB368" si="348">IF(AB$361=1,0,AB367)</f>
        <v>2175.0954262706919</v>
      </c>
      <c r="AC368" s="278">
        <f t="shared" ref="AC368" si="349">IF(AC$361=1,0,AC367)</f>
        <v>2138.9983284611758</v>
      </c>
      <c r="AD368" s="278">
        <f t="shared" ref="AD368" si="350">IF(AD$361=1,0,AD367)</f>
        <v>2156.9550672349715</v>
      </c>
      <c r="AE368" s="278">
        <f t="shared" ref="AE368" si="351">IF(AE$361=1,0,AE367)</f>
        <v>2171.9728625799567</v>
      </c>
      <c r="AF368" s="278">
        <f t="shared" ref="AF368" si="352">IF(AF$361=1,0,AF367)</f>
        <v>2205.8529574093495</v>
      </c>
      <c r="AG368" s="278">
        <f t="shared" ref="AG368" si="353">IF(AG$361=1,0,AG367)</f>
        <v>2205.2924883447499</v>
      </c>
      <c r="AH368" s="278">
        <f t="shared" ref="AH368" si="354">IF(AH$361=1,0,AH367)</f>
        <v>2237.6313920176003</v>
      </c>
      <c r="AI368" s="278">
        <f t="shared" ref="AI368" si="355">IF(AI$361=1,0,AI367)</f>
        <v>2288.8094200414257</v>
      </c>
      <c r="AJ368" s="278">
        <f t="shared" ref="AJ368" si="356">IF(AJ$361=1,0,AJ367)</f>
        <v>0</v>
      </c>
      <c r="AK368" s="278">
        <f t="shared" ref="AK368" si="357">IF(AK$361=1,0,AK367)</f>
        <v>0</v>
      </c>
      <c r="AL368" s="278">
        <f t="shared" ref="AL368" si="358">IF(AL$361=1,0,AL367)</f>
        <v>0</v>
      </c>
      <c r="AM368" s="278">
        <f t="shared" ref="AM368" si="359">IF(AM$361=1,0,AM367)</f>
        <v>0</v>
      </c>
      <c r="AN368" s="278">
        <f t="shared" ref="AN368" si="360">IF(AN$361=1,0,AN367)</f>
        <v>0</v>
      </c>
    </row>
    <row r="369" spans="3:40" outlineLevel="2">
      <c r="C369" t="s">
        <v>446</v>
      </c>
      <c r="D369"/>
      <c r="E369" s="83" t="s">
        <v>13</v>
      </c>
      <c r="F369" s="275"/>
      <c r="G369" s="317">
        <f t="shared" ref="G369:AL369" si="361">F368-G368</f>
        <v>-1304.8773547084893</v>
      </c>
      <c r="H369" s="317">
        <f>G368-H368</f>
        <v>71.154090434688896</v>
      </c>
      <c r="I369" s="317">
        <f>H368-I368</f>
        <v>-368.59044410444176</v>
      </c>
      <c r="J369" s="317">
        <f>I368-J368</f>
        <v>-55.951913054091619</v>
      </c>
      <c r="K369" s="317">
        <f t="shared" si="361"/>
        <v>-33.827984469879993</v>
      </c>
      <c r="L369" s="317">
        <f t="shared" si="361"/>
        <v>-114.07155702113687</v>
      </c>
      <c r="M369" s="317">
        <f t="shared" si="361"/>
        <v>-21.151756633497826</v>
      </c>
      <c r="N369" s="317">
        <f t="shared" si="361"/>
        <v>-92.622664670163658</v>
      </c>
      <c r="O369" s="317">
        <f t="shared" si="361"/>
        <v>28.417480054540874</v>
      </c>
      <c r="P369" s="317">
        <f t="shared" si="361"/>
        <v>-5.0629390879901166</v>
      </c>
      <c r="Q369" s="317">
        <f t="shared" si="361"/>
        <v>-28.174891641485829</v>
      </c>
      <c r="R369" s="317">
        <f t="shared" si="361"/>
        <v>-15.627769833052753</v>
      </c>
      <c r="S369" s="317">
        <f t="shared" si="361"/>
        <v>-15.968983189637356</v>
      </c>
      <c r="T369" s="317">
        <f t="shared" si="361"/>
        <v>-8.1271319783420495</v>
      </c>
      <c r="U369" s="317">
        <f t="shared" si="361"/>
        <v>-84.386952454344964</v>
      </c>
      <c r="V369" s="317">
        <f t="shared" si="361"/>
        <v>23.93846031147541</v>
      </c>
      <c r="W369" s="317">
        <f t="shared" si="361"/>
        <v>-3.9056395148816136</v>
      </c>
      <c r="X369" s="317">
        <f t="shared" si="361"/>
        <v>-9.1678453000222362</v>
      </c>
      <c r="Y369" s="317">
        <f t="shared" si="361"/>
        <v>-30.130165981523305</v>
      </c>
      <c r="Z369" s="317">
        <f t="shared" si="361"/>
        <v>-12.044595434515031</v>
      </c>
      <c r="AA369" s="317">
        <f t="shared" si="361"/>
        <v>-27.195891239578941</v>
      </c>
      <c r="AB369" s="317">
        <f t="shared" si="361"/>
        <v>-67.71897675432183</v>
      </c>
      <c r="AC369" s="317">
        <f t="shared" si="361"/>
        <v>36.097097809516072</v>
      </c>
      <c r="AD369" s="317">
        <f t="shared" si="361"/>
        <v>-17.956738773795678</v>
      </c>
      <c r="AE369" s="317">
        <f t="shared" si="361"/>
        <v>-15.017795344985188</v>
      </c>
      <c r="AF369" s="317">
        <f t="shared" si="361"/>
        <v>-33.880094829392874</v>
      </c>
      <c r="AG369" s="317">
        <f t="shared" si="361"/>
        <v>0.56046906459960155</v>
      </c>
      <c r="AH369" s="317">
        <f t="shared" si="361"/>
        <v>-32.338903672850392</v>
      </c>
      <c r="AI369" s="317">
        <f t="shared" si="361"/>
        <v>-51.178028023825391</v>
      </c>
      <c r="AJ369" s="317">
        <f t="shared" si="361"/>
        <v>2288.8094200414257</v>
      </c>
      <c r="AK369" s="317">
        <f t="shared" si="361"/>
        <v>0</v>
      </c>
      <c r="AL369" s="317">
        <f t="shared" si="361"/>
        <v>0</v>
      </c>
      <c r="AM369" s="317">
        <f t="shared" ref="AM369:AN369" si="362">AL368-AM368</f>
        <v>0</v>
      </c>
      <c r="AN369" s="317">
        <f t="shared" si="362"/>
        <v>0</v>
      </c>
    </row>
    <row r="370" spans="3:40" outlineLevel="1">
      <c r="C370"/>
      <c r="D370"/>
      <c r="E370"/>
    </row>
    <row r="371" spans="3:40" outlineLevel="1">
      <c r="C371" t="s">
        <v>108</v>
      </c>
      <c r="D371"/>
      <c r="E371"/>
    </row>
    <row r="372" spans="3:40" outlineLevel="2">
      <c r="C372" t="s">
        <v>447</v>
      </c>
      <c r="D372" s="38">
        <f>Inputs!E270</f>
        <v>45</v>
      </c>
      <c r="E372" s="202" t="s">
        <v>304</v>
      </c>
    </row>
    <row r="373" spans="3:40" outlineLevel="2">
      <c r="C373" t="str">
        <f>C365</f>
        <v>Dias no período</v>
      </c>
      <c r="D373"/>
      <c r="E373" s="202" t="s">
        <v>304</v>
      </c>
      <c r="F373" s="319"/>
      <c r="G373" s="319">
        <f t="shared" ref="G373:AN373" si="363">G365</f>
        <v>365</v>
      </c>
      <c r="H373" s="319">
        <f t="shared" si="363"/>
        <v>366</v>
      </c>
      <c r="I373" s="319">
        <f t="shared" si="363"/>
        <v>365</v>
      </c>
      <c r="J373" s="319">
        <f t="shared" si="363"/>
        <v>365</v>
      </c>
      <c r="K373" s="319">
        <f t="shared" si="363"/>
        <v>365</v>
      </c>
      <c r="L373" s="319">
        <f t="shared" si="363"/>
        <v>366</v>
      </c>
      <c r="M373" s="319">
        <f t="shared" si="363"/>
        <v>365</v>
      </c>
      <c r="N373" s="319">
        <f t="shared" si="363"/>
        <v>365</v>
      </c>
      <c r="O373" s="319">
        <f t="shared" si="363"/>
        <v>365</v>
      </c>
      <c r="P373" s="319">
        <f t="shared" si="363"/>
        <v>366</v>
      </c>
      <c r="Q373" s="319">
        <f t="shared" si="363"/>
        <v>365</v>
      </c>
      <c r="R373" s="319">
        <f t="shared" si="363"/>
        <v>365</v>
      </c>
      <c r="S373" s="319">
        <f t="shared" si="363"/>
        <v>365</v>
      </c>
      <c r="T373" s="319">
        <f t="shared" si="363"/>
        <v>366</v>
      </c>
      <c r="U373" s="319">
        <f t="shared" si="363"/>
        <v>365</v>
      </c>
      <c r="V373" s="319">
        <f t="shared" si="363"/>
        <v>365</v>
      </c>
      <c r="W373" s="319">
        <f t="shared" si="363"/>
        <v>365</v>
      </c>
      <c r="X373" s="319">
        <f t="shared" si="363"/>
        <v>366</v>
      </c>
      <c r="Y373" s="319">
        <f t="shared" si="363"/>
        <v>365</v>
      </c>
      <c r="Z373" s="319">
        <f t="shared" si="363"/>
        <v>365</v>
      </c>
      <c r="AA373" s="319">
        <f t="shared" si="363"/>
        <v>365</v>
      </c>
      <c r="AB373" s="319">
        <f t="shared" si="363"/>
        <v>366</v>
      </c>
      <c r="AC373" s="319">
        <f t="shared" si="363"/>
        <v>365</v>
      </c>
      <c r="AD373" s="319">
        <f t="shared" si="363"/>
        <v>365</v>
      </c>
      <c r="AE373" s="319">
        <f t="shared" si="363"/>
        <v>365</v>
      </c>
      <c r="AF373" s="319">
        <f t="shared" si="363"/>
        <v>366</v>
      </c>
      <c r="AG373" s="319">
        <f t="shared" si="363"/>
        <v>365</v>
      </c>
      <c r="AH373" s="319">
        <f t="shared" si="363"/>
        <v>365</v>
      </c>
      <c r="AI373" s="319">
        <f t="shared" si="363"/>
        <v>365</v>
      </c>
      <c r="AJ373" s="319">
        <f t="shared" si="363"/>
        <v>366</v>
      </c>
      <c r="AK373" s="319">
        <f t="shared" si="363"/>
        <v>365</v>
      </c>
      <c r="AL373" s="319">
        <f t="shared" si="363"/>
        <v>365</v>
      </c>
      <c r="AM373" s="319">
        <f t="shared" si="363"/>
        <v>365</v>
      </c>
      <c r="AN373" s="319">
        <f t="shared" si="363"/>
        <v>366</v>
      </c>
    </row>
    <row r="374" spans="3:40" outlineLevel="2">
      <c r="C374" t="s">
        <v>448</v>
      </c>
      <c r="D374"/>
      <c r="E374" s="202" t="s">
        <v>20</v>
      </c>
      <c r="F374" s="26">
        <f>SUM(G374:AN374)</f>
        <v>147091.83185308773</v>
      </c>
      <c r="G374" s="319">
        <f t="shared" ref="G374:AN374" si="364">G335+G337+G338</f>
        <v>4472.527618790361</v>
      </c>
      <c r="H374" s="319">
        <f t="shared" si="364"/>
        <v>4472.527618790361</v>
      </c>
      <c r="I374" s="319">
        <f t="shared" si="364"/>
        <v>4765.7052153195355</v>
      </c>
      <c r="J374" s="319">
        <f t="shared" si="364"/>
        <v>4795.6692153195354</v>
      </c>
      <c r="K374" s="319">
        <f t="shared" si="364"/>
        <v>4795.6692153195354</v>
      </c>
      <c r="L374" s="319">
        <f t="shared" si="364"/>
        <v>4795.6692153195354</v>
      </c>
      <c r="M374" s="319">
        <f t="shared" si="364"/>
        <v>4795.6692153195354</v>
      </c>
      <c r="N374" s="319">
        <f t="shared" si="364"/>
        <v>4795.6692153195354</v>
      </c>
      <c r="O374" s="319">
        <f t="shared" si="364"/>
        <v>4795.6692153195354</v>
      </c>
      <c r="P374" s="319">
        <f t="shared" si="364"/>
        <v>4795.6692153195354</v>
      </c>
      <c r="Q374" s="319">
        <f t="shared" si="364"/>
        <v>4795.6692153195354</v>
      </c>
      <c r="R374" s="319">
        <f t="shared" si="364"/>
        <v>4795.6692153195354</v>
      </c>
      <c r="S374" s="319">
        <f t="shared" si="364"/>
        <v>4795.6692153195354</v>
      </c>
      <c r="T374" s="319">
        <f t="shared" si="364"/>
        <v>4795.6692153195354</v>
      </c>
      <c r="U374" s="319">
        <f t="shared" si="364"/>
        <v>4795.6692153195354</v>
      </c>
      <c r="V374" s="319">
        <f t="shared" si="364"/>
        <v>4795.6692153195354</v>
      </c>
      <c r="W374" s="319">
        <f t="shared" si="364"/>
        <v>4795.6692153195354</v>
      </c>
      <c r="X374" s="319">
        <f t="shared" si="364"/>
        <v>4795.6692153195354</v>
      </c>
      <c r="Y374" s="319">
        <f t="shared" si="364"/>
        <v>5120.5027641995357</v>
      </c>
      <c r="Z374" s="319">
        <f t="shared" si="364"/>
        <v>5120.5027641995357</v>
      </c>
      <c r="AA374" s="319">
        <f t="shared" si="364"/>
        <v>5120.5027641995357</v>
      </c>
      <c r="AB374" s="319">
        <f t="shared" si="364"/>
        <v>5120.5027641995357</v>
      </c>
      <c r="AC374" s="319">
        <f t="shared" si="364"/>
        <v>5120.5027641995357</v>
      </c>
      <c r="AD374" s="319">
        <f t="shared" si="364"/>
        <v>5120.5027641995357</v>
      </c>
      <c r="AE374" s="319">
        <f t="shared" si="364"/>
        <v>5120.5027641995357</v>
      </c>
      <c r="AF374" s="319">
        <f t="shared" si="364"/>
        <v>5120.5027641995357</v>
      </c>
      <c r="AG374" s="319">
        <f t="shared" si="364"/>
        <v>5120.5027641995357</v>
      </c>
      <c r="AH374" s="319">
        <f t="shared" si="364"/>
        <v>5120.5027641995357</v>
      </c>
      <c r="AI374" s="319">
        <f t="shared" si="364"/>
        <v>5120.5027641995357</v>
      </c>
      <c r="AJ374" s="319">
        <f t="shared" si="364"/>
        <v>5120.5027641995357</v>
      </c>
      <c r="AK374" s="319">
        <f t="shared" si="364"/>
        <v>0</v>
      </c>
      <c r="AL374" s="319">
        <f t="shared" si="364"/>
        <v>0</v>
      </c>
      <c r="AM374" s="319">
        <f t="shared" si="364"/>
        <v>0</v>
      </c>
      <c r="AN374" s="319">
        <f t="shared" si="364"/>
        <v>0</v>
      </c>
    </row>
    <row r="375" spans="3:40" outlineLevel="2">
      <c r="C375" t="s">
        <v>449</v>
      </c>
      <c r="D375"/>
      <c r="E375" s="202" t="s">
        <v>13</v>
      </c>
      <c r="G375" s="273">
        <f>(G374/G373)*$D372</f>
        <v>551.40751464538698</v>
      </c>
      <c r="H375" s="273">
        <f t="shared" ref="H375:AN375" si="365">(H374/H373)*$D372</f>
        <v>549.90093673651984</v>
      </c>
      <c r="I375" s="273">
        <f t="shared" si="365"/>
        <v>587.55269777912076</v>
      </c>
      <c r="J375" s="273">
        <f t="shared" si="365"/>
        <v>591.2468895599427</v>
      </c>
      <c r="K375" s="273">
        <f t="shared" si="365"/>
        <v>591.2468895599427</v>
      </c>
      <c r="L375" s="273">
        <f t="shared" si="365"/>
        <v>589.63146089994291</v>
      </c>
      <c r="M375" s="273">
        <f t="shared" si="365"/>
        <v>591.2468895599427</v>
      </c>
      <c r="N375" s="273">
        <f t="shared" si="365"/>
        <v>591.2468895599427</v>
      </c>
      <c r="O375" s="273">
        <f t="shared" si="365"/>
        <v>591.2468895599427</v>
      </c>
      <c r="P375" s="273">
        <f t="shared" si="365"/>
        <v>589.63146089994291</v>
      </c>
      <c r="Q375" s="273">
        <f t="shared" si="365"/>
        <v>591.2468895599427</v>
      </c>
      <c r="R375" s="273">
        <f t="shared" si="365"/>
        <v>591.2468895599427</v>
      </c>
      <c r="S375" s="273">
        <f t="shared" si="365"/>
        <v>591.2468895599427</v>
      </c>
      <c r="T375" s="273">
        <f t="shared" si="365"/>
        <v>589.63146089994291</v>
      </c>
      <c r="U375" s="273">
        <f t="shared" si="365"/>
        <v>591.2468895599427</v>
      </c>
      <c r="V375" s="273">
        <f t="shared" si="365"/>
        <v>591.2468895599427</v>
      </c>
      <c r="W375" s="273">
        <f t="shared" si="365"/>
        <v>591.2468895599427</v>
      </c>
      <c r="X375" s="273">
        <f t="shared" si="365"/>
        <v>589.63146089994291</v>
      </c>
      <c r="Y375" s="273">
        <f t="shared" si="365"/>
        <v>631.29486133966884</v>
      </c>
      <c r="Z375" s="273">
        <f t="shared" si="365"/>
        <v>631.29486133966884</v>
      </c>
      <c r="AA375" s="273">
        <f t="shared" si="365"/>
        <v>631.29486133966884</v>
      </c>
      <c r="AB375" s="273">
        <f t="shared" si="365"/>
        <v>629.57001199174624</v>
      </c>
      <c r="AC375" s="273">
        <f t="shared" si="365"/>
        <v>631.29486133966884</v>
      </c>
      <c r="AD375" s="273">
        <f t="shared" si="365"/>
        <v>631.29486133966884</v>
      </c>
      <c r="AE375" s="273">
        <f t="shared" si="365"/>
        <v>631.29486133966884</v>
      </c>
      <c r="AF375" s="273">
        <f t="shared" si="365"/>
        <v>629.57001199174624</v>
      </c>
      <c r="AG375" s="273">
        <f t="shared" si="365"/>
        <v>631.29486133966884</v>
      </c>
      <c r="AH375" s="273">
        <f t="shared" si="365"/>
        <v>631.29486133966884</v>
      </c>
      <c r="AI375" s="273">
        <f t="shared" si="365"/>
        <v>631.29486133966884</v>
      </c>
      <c r="AJ375" s="273">
        <f t="shared" si="365"/>
        <v>629.57001199174624</v>
      </c>
      <c r="AK375" s="273">
        <f t="shared" si="365"/>
        <v>0</v>
      </c>
      <c r="AL375" s="273">
        <f t="shared" si="365"/>
        <v>0</v>
      </c>
      <c r="AM375" s="273">
        <f t="shared" si="365"/>
        <v>0</v>
      </c>
      <c r="AN375" s="273">
        <f t="shared" si="365"/>
        <v>0</v>
      </c>
    </row>
    <row r="376" spans="3:40" outlineLevel="2">
      <c r="C376" t="s">
        <v>108</v>
      </c>
      <c r="D376"/>
      <c r="E376" s="202" t="s">
        <v>20</v>
      </c>
      <c r="G376" s="278">
        <f t="shared" ref="G376:AN376" si="366">IF(G$361=1,0,G375)</f>
        <v>551.40751464538698</v>
      </c>
      <c r="H376" s="278">
        <f t="shared" si="366"/>
        <v>549.90093673651984</v>
      </c>
      <c r="I376" s="278">
        <f t="shared" si="366"/>
        <v>587.55269777912076</v>
      </c>
      <c r="J376" s="278">
        <f t="shared" si="366"/>
        <v>591.2468895599427</v>
      </c>
      <c r="K376" s="278">
        <f t="shared" si="366"/>
        <v>591.2468895599427</v>
      </c>
      <c r="L376" s="278">
        <f t="shared" si="366"/>
        <v>589.63146089994291</v>
      </c>
      <c r="M376" s="278">
        <f t="shared" si="366"/>
        <v>591.2468895599427</v>
      </c>
      <c r="N376" s="278">
        <f t="shared" si="366"/>
        <v>591.2468895599427</v>
      </c>
      <c r="O376" s="278">
        <f t="shared" si="366"/>
        <v>591.2468895599427</v>
      </c>
      <c r="P376" s="278">
        <f t="shared" si="366"/>
        <v>589.63146089994291</v>
      </c>
      <c r="Q376" s="278">
        <f t="shared" si="366"/>
        <v>591.2468895599427</v>
      </c>
      <c r="R376" s="278">
        <f t="shared" si="366"/>
        <v>591.2468895599427</v>
      </c>
      <c r="S376" s="278">
        <f t="shared" si="366"/>
        <v>591.2468895599427</v>
      </c>
      <c r="T376" s="278">
        <f t="shared" si="366"/>
        <v>589.63146089994291</v>
      </c>
      <c r="U376" s="278">
        <f t="shared" si="366"/>
        <v>591.2468895599427</v>
      </c>
      <c r="V376" s="278">
        <f t="shared" si="366"/>
        <v>591.2468895599427</v>
      </c>
      <c r="W376" s="278">
        <f t="shared" si="366"/>
        <v>591.2468895599427</v>
      </c>
      <c r="X376" s="278">
        <f t="shared" si="366"/>
        <v>589.63146089994291</v>
      </c>
      <c r="Y376" s="278">
        <f t="shared" si="366"/>
        <v>631.29486133966884</v>
      </c>
      <c r="Z376" s="278">
        <f t="shared" si="366"/>
        <v>631.29486133966884</v>
      </c>
      <c r="AA376" s="278">
        <f t="shared" si="366"/>
        <v>631.29486133966884</v>
      </c>
      <c r="AB376" s="278">
        <f t="shared" si="366"/>
        <v>629.57001199174624</v>
      </c>
      <c r="AC376" s="278">
        <f t="shared" si="366"/>
        <v>631.29486133966884</v>
      </c>
      <c r="AD376" s="278">
        <f t="shared" si="366"/>
        <v>631.29486133966884</v>
      </c>
      <c r="AE376" s="278">
        <f t="shared" si="366"/>
        <v>631.29486133966884</v>
      </c>
      <c r="AF376" s="278">
        <f t="shared" si="366"/>
        <v>629.57001199174624</v>
      </c>
      <c r="AG376" s="278">
        <f t="shared" si="366"/>
        <v>631.29486133966884</v>
      </c>
      <c r="AH376" s="278">
        <f t="shared" si="366"/>
        <v>631.29486133966884</v>
      </c>
      <c r="AI376" s="278">
        <f t="shared" si="366"/>
        <v>631.29486133966884</v>
      </c>
      <c r="AJ376" s="278">
        <f t="shared" si="366"/>
        <v>0</v>
      </c>
      <c r="AK376" s="278">
        <f t="shared" si="366"/>
        <v>0</v>
      </c>
      <c r="AL376" s="278">
        <f t="shared" si="366"/>
        <v>0</v>
      </c>
      <c r="AM376" s="278">
        <f t="shared" si="366"/>
        <v>0</v>
      </c>
      <c r="AN376" s="278">
        <f t="shared" si="366"/>
        <v>0</v>
      </c>
    </row>
    <row r="377" spans="3:40" outlineLevel="2">
      <c r="C377" t="s">
        <v>450</v>
      </c>
      <c r="D377"/>
      <c r="E377" s="83" t="s">
        <v>20</v>
      </c>
      <c r="F377" s="275"/>
      <c r="G377" s="317">
        <f t="shared" ref="G377:AL377" si="367">G376-F376</f>
        <v>551.40751464538698</v>
      </c>
      <c r="H377" s="317">
        <f t="shared" si="367"/>
        <v>-1.5065779088671434</v>
      </c>
      <c r="I377" s="317">
        <f t="shared" si="367"/>
        <v>37.651761042600924</v>
      </c>
      <c r="J377" s="317">
        <f t="shared" si="367"/>
        <v>3.6941917808219387</v>
      </c>
      <c r="K377" s="317">
        <f t="shared" si="367"/>
        <v>0</v>
      </c>
      <c r="L377" s="317">
        <f t="shared" si="367"/>
        <v>-1.6154286599997931</v>
      </c>
      <c r="M377" s="317">
        <f t="shared" si="367"/>
        <v>1.6154286599997931</v>
      </c>
      <c r="N377" s="317">
        <f t="shared" si="367"/>
        <v>0</v>
      </c>
      <c r="O377" s="317">
        <f t="shared" si="367"/>
        <v>0</v>
      </c>
      <c r="P377" s="317">
        <f t="shared" si="367"/>
        <v>-1.6154286599997931</v>
      </c>
      <c r="Q377" s="317">
        <f t="shared" si="367"/>
        <v>1.6154286599997931</v>
      </c>
      <c r="R377" s="317">
        <f t="shared" si="367"/>
        <v>0</v>
      </c>
      <c r="S377" s="317">
        <f t="shared" si="367"/>
        <v>0</v>
      </c>
      <c r="T377" s="317">
        <f t="shared" si="367"/>
        <v>-1.6154286599997931</v>
      </c>
      <c r="U377" s="317">
        <f t="shared" si="367"/>
        <v>1.6154286599997931</v>
      </c>
      <c r="V377" s="317">
        <f t="shared" si="367"/>
        <v>0</v>
      </c>
      <c r="W377" s="317">
        <f t="shared" si="367"/>
        <v>0</v>
      </c>
      <c r="X377" s="317">
        <f t="shared" si="367"/>
        <v>-1.6154286599997931</v>
      </c>
      <c r="Y377" s="317">
        <f t="shared" si="367"/>
        <v>41.663400439725933</v>
      </c>
      <c r="Z377" s="317">
        <f t="shared" si="367"/>
        <v>0</v>
      </c>
      <c r="AA377" s="317">
        <f t="shared" si="367"/>
        <v>0</v>
      </c>
      <c r="AB377" s="317">
        <f t="shared" si="367"/>
        <v>-1.7248493479225999</v>
      </c>
      <c r="AC377" s="317">
        <f t="shared" si="367"/>
        <v>1.7248493479225999</v>
      </c>
      <c r="AD377" s="317">
        <f t="shared" si="367"/>
        <v>0</v>
      </c>
      <c r="AE377" s="317">
        <f t="shared" si="367"/>
        <v>0</v>
      </c>
      <c r="AF377" s="317">
        <f t="shared" si="367"/>
        <v>-1.7248493479225999</v>
      </c>
      <c r="AG377" s="317">
        <f t="shared" si="367"/>
        <v>1.7248493479225999</v>
      </c>
      <c r="AH377" s="317">
        <f t="shared" si="367"/>
        <v>0</v>
      </c>
      <c r="AI377" s="317">
        <f t="shared" si="367"/>
        <v>0</v>
      </c>
      <c r="AJ377" s="317">
        <f t="shared" si="367"/>
        <v>-631.29486133966884</v>
      </c>
      <c r="AK377" s="317">
        <f t="shared" si="367"/>
        <v>0</v>
      </c>
      <c r="AL377" s="317">
        <f t="shared" si="367"/>
        <v>0</v>
      </c>
      <c r="AM377" s="317">
        <f t="shared" ref="AM377:AN377" si="368">AM376-AL376</f>
        <v>0</v>
      </c>
      <c r="AN377" s="317">
        <f t="shared" si="368"/>
        <v>0</v>
      </c>
    </row>
    <row r="378" spans="3:40" outlineLevel="1">
      <c r="C378"/>
      <c r="D378"/>
      <c r="E378"/>
    </row>
    <row r="379" spans="3:40" outlineLevel="1">
      <c r="C379" t="s">
        <v>307</v>
      </c>
      <c r="D379"/>
      <c r="E379"/>
    </row>
    <row r="380" spans="3:40" outlineLevel="2">
      <c r="C380" t="s">
        <v>447</v>
      </c>
      <c r="D380" s="38">
        <f>Inputs!E271</f>
        <v>45</v>
      </c>
      <c r="E380" s="202" t="s">
        <v>304</v>
      </c>
    </row>
    <row r="381" spans="3:40" outlineLevel="2">
      <c r="C381" t="str">
        <f>C373</f>
        <v>Dias no período</v>
      </c>
      <c r="D381"/>
      <c r="E381" s="202" t="s">
        <v>304</v>
      </c>
      <c r="F381" s="319"/>
      <c r="G381" s="319">
        <f t="shared" ref="G381:AN381" si="369">G373</f>
        <v>365</v>
      </c>
      <c r="H381" s="319">
        <f t="shared" si="369"/>
        <v>366</v>
      </c>
      <c r="I381" s="319">
        <f t="shared" si="369"/>
        <v>365</v>
      </c>
      <c r="J381" s="319">
        <f t="shared" si="369"/>
        <v>365</v>
      </c>
      <c r="K381" s="319">
        <f t="shared" si="369"/>
        <v>365</v>
      </c>
      <c r="L381" s="319">
        <f t="shared" si="369"/>
        <v>366</v>
      </c>
      <c r="M381" s="319">
        <f t="shared" si="369"/>
        <v>365</v>
      </c>
      <c r="N381" s="319">
        <f t="shared" si="369"/>
        <v>365</v>
      </c>
      <c r="O381" s="319">
        <f t="shared" si="369"/>
        <v>365</v>
      </c>
      <c r="P381" s="319">
        <f t="shared" si="369"/>
        <v>366</v>
      </c>
      <c r="Q381" s="319">
        <f t="shared" si="369"/>
        <v>365</v>
      </c>
      <c r="R381" s="319">
        <f t="shared" si="369"/>
        <v>365</v>
      </c>
      <c r="S381" s="319">
        <f t="shared" si="369"/>
        <v>365</v>
      </c>
      <c r="T381" s="319">
        <f t="shared" si="369"/>
        <v>366</v>
      </c>
      <c r="U381" s="319">
        <f t="shared" si="369"/>
        <v>365</v>
      </c>
      <c r="V381" s="319">
        <f t="shared" si="369"/>
        <v>365</v>
      </c>
      <c r="W381" s="319">
        <f t="shared" si="369"/>
        <v>365</v>
      </c>
      <c r="X381" s="319">
        <f t="shared" si="369"/>
        <v>366</v>
      </c>
      <c r="Y381" s="319">
        <f t="shared" si="369"/>
        <v>365</v>
      </c>
      <c r="Z381" s="319">
        <f t="shared" si="369"/>
        <v>365</v>
      </c>
      <c r="AA381" s="319">
        <f t="shared" si="369"/>
        <v>365</v>
      </c>
      <c r="AB381" s="319">
        <f t="shared" si="369"/>
        <v>366</v>
      </c>
      <c r="AC381" s="319">
        <f t="shared" si="369"/>
        <v>365</v>
      </c>
      <c r="AD381" s="319">
        <f t="shared" si="369"/>
        <v>365</v>
      </c>
      <c r="AE381" s="319">
        <f t="shared" si="369"/>
        <v>365</v>
      </c>
      <c r="AF381" s="319">
        <f t="shared" si="369"/>
        <v>366</v>
      </c>
      <c r="AG381" s="319">
        <f t="shared" si="369"/>
        <v>365</v>
      </c>
      <c r="AH381" s="319">
        <f t="shared" si="369"/>
        <v>365</v>
      </c>
      <c r="AI381" s="319">
        <f t="shared" si="369"/>
        <v>365</v>
      </c>
      <c r="AJ381" s="319">
        <f t="shared" si="369"/>
        <v>366</v>
      </c>
      <c r="AK381" s="319">
        <f t="shared" si="369"/>
        <v>365</v>
      </c>
      <c r="AL381" s="319">
        <f t="shared" si="369"/>
        <v>365</v>
      </c>
      <c r="AM381" s="319">
        <f t="shared" si="369"/>
        <v>365</v>
      </c>
      <c r="AN381" s="319">
        <f t="shared" si="369"/>
        <v>366</v>
      </c>
    </row>
    <row r="382" spans="3:40" outlineLevel="2">
      <c r="C382" t="str">
        <f>C315</f>
        <v>Coleta Materias Recicláveis</v>
      </c>
      <c r="D382"/>
      <c r="E382" s="202" t="s">
        <v>20</v>
      </c>
      <c r="F382" s="26">
        <f>SUM(G382:AN382)</f>
        <v>45195.221764716509</v>
      </c>
      <c r="G382" s="319">
        <f t="shared" ref="G382:AN382" si="370">G336</f>
        <v>1214.1571981652173</v>
      </c>
      <c r="H382" s="319">
        <f t="shared" si="370"/>
        <v>1214.1571981652173</v>
      </c>
      <c r="I382" s="319">
        <f t="shared" si="370"/>
        <v>1214.1571981652173</v>
      </c>
      <c r="J382" s="319">
        <f t="shared" si="370"/>
        <v>1538.9907470452174</v>
      </c>
      <c r="K382" s="319">
        <f t="shared" si="370"/>
        <v>1538.9907470452174</v>
      </c>
      <c r="L382" s="319">
        <f t="shared" si="370"/>
        <v>1538.9907470452174</v>
      </c>
      <c r="M382" s="319">
        <f t="shared" si="370"/>
        <v>1538.9907470452174</v>
      </c>
      <c r="N382" s="319">
        <f t="shared" si="370"/>
        <v>1538.9907470452174</v>
      </c>
      <c r="O382" s="319">
        <f t="shared" si="370"/>
        <v>1538.9907470452174</v>
      </c>
      <c r="P382" s="319">
        <f t="shared" si="370"/>
        <v>1538.9907470452174</v>
      </c>
      <c r="Q382" s="319">
        <f t="shared" si="370"/>
        <v>1538.9907470452174</v>
      </c>
      <c r="R382" s="319">
        <f t="shared" si="370"/>
        <v>1538.9907470452174</v>
      </c>
      <c r="S382" s="319">
        <f t="shared" si="370"/>
        <v>1538.9907470452174</v>
      </c>
      <c r="T382" s="319">
        <f t="shared" si="370"/>
        <v>1538.9907470452174</v>
      </c>
      <c r="U382" s="319">
        <f t="shared" si="370"/>
        <v>1538.9907470452174</v>
      </c>
      <c r="V382" s="319">
        <f t="shared" si="370"/>
        <v>1538.9907470452174</v>
      </c>
      <c r="W382" s="319">
        <f t="shared" si="370"/>
        <v>1538.9907470452174</v>
      </c>
      <c r="X382" s="319">
        <f t="shared" si="370"/>
        <v>1538.9907470452174</v>
      </c>
      <c r="Y382" s="319">
        <f t="shared" si="370"/>
        <v>1538.9907470452174</v>
      </c>
      <c r="Z382" s="319">
        <f t="shared" si="370"/>
        <v>1538.9907470452174</v>
      </c>
      <c r="AA382" s="319">
        <f t="shared" si="370"/>
        <v>1538.9907470452174</v>
      </c>
      <c r="AB382" s="319">
        <f t="shared" si="370"/>
        <v>1538.9907470452174</v>
      </c>
      <c r="AC382" s="319">
        <f t="shared" si="370"/>
        <v>1538.9907470452174</v>
      </c>
      <c r="AD382" s="319">
        <f t="shared" si="370"/>
        <v>1538.9907470452174</v>
      </c>
      <c r="AE382" s="319">
        <f t="shared" si="370"/>
        <v>1538.9907470452174</v>
      </c>
      <c r="AF382" s="319">
        <f t="shared" si="370"/>
        <v>1538.9907470452174</v>
      </c>
      <c r="AG382" s="319">
        <f t="shared" si="370"/>
        <v>1538.9907470452174</v>
      </c>
      <c r="AH382" s="319">
        <f t="shared" si="370"/>
        <v>1538.9907470452174</v>
      </c>
      <c r="AI382" s="319">
        <f t="shared" si="370"/>
        <v>1538.9907470452174</v>
      </c>
      <c r="AJ382" s="319">
        <f t="shared" si="370"/>
        <v>1538.9907470452174</v>
      </c>
      <c r="AK382" s="319">
        <f t="shared" si="370"/>
        <v>0</v>
      </c>
      <c r="AL382" s="319">
        <f t="shared" si="370"/>
        <v>0</v>
      </c>
      <c r="AM382" s="319">
        <f t="shared" si="370"/>
        <v>0</v>
      </c>
      <c r="AN382" s="319">
        <f t="shared" si="370"/>
        <v>0</v>
      </c>
    </row>
    <row r="383" spans="3:40" outlineLevel="2">
      <c r="C383" t="s">
        <v>449</v>
      </c>
      <c r="D383"/>
      <c r="E383" s="202" t="s">
        <v>20</v>
      </c>
      <c r="G383" s="273">
        <f t="shared" ref="G383:AN383" si="371">(G382/G381)*$D380</f>
        <v>149.69061347242405</v>
      </c>
      <c r="H383" s="273">
        <f t="shared" si="371"/>
        <v>149.28162272523164</v>
      </c>
      <c r="I383" s="273">
        <f t="shared" si="371"/>
        <v>149.69061347242405</v>
      </c>
      <c r="J383" s="273">
        <f t="shared" si="371"/>
        <v>189.7385852521501</v>
      </c>
      <c r="K383" s="273">
        <f t="shared" si="371"/>
        <v>189.7385852521501</v>
      </c>
      <c r="L383" s="273">
        <f t="shared" si="371"/>
        <v>189.22017381703495</v>
      </c>
      <c r="M383" s="273">
        <f t="shared" si="371"/>
        <v>189.7385852521501</v>
      </c>
      <c r="N383" s="273">
        <f t="shared" si="371"/>
        <v>189.7385852521501</v>
      </c>
      <c r="O383" s="273">
        <f t="shared" si="371"/>
        <v>189.7385852521501</v>
      </c>
      <c r="P383" s="273">
        <f t="shared" si="371"/>
        <v>189.22017381703495</v>
      </c>
      <c r="Q383" s="273">
        <f t="shared" si="371"/>
        <v>189.7385852521501</v>
      </c>
      <c r="R383" s="273">
        <f t="shared" si="371"/>
        <v>189.7385852521501</v>
      </c>
      <c r="S383" s="273">
        <f t="shared" si="371"/>
        <v>189.7385852521501</v>
      </c>
      <c r="T383" s="273">
        <f t="shared" si="371"/>
        <v>189.22017381703495</v>
      </c>
      <c r="U383" s="273">
        <f t="shared" si="371"/>
        <v>189.7385852521501</v>
      </c>
      <c r="V383" s="273">
        <f t="shared" si="371"/>
        <v>189.7385852521501</v>
      </c>
      <c r="W383" s="273">
        <f t="shared" si="371"/>
        <v>189.7385852521501</v>
      </c>
      <c r="X383" s="273">
        <f t="shared" si="371"/>
        <v>189.22017381703495</v>
      </c>
      <c r="Y383" s="273">
        <f t="shared" si="371"/>
        <v>189.7385852521501</v>
      </c>
      <c r="Z383" s="273">
        <f t="shared" si="371"/>
        <v>189.7385852521501</v>
      </c>
      <c r="AA383" s="273">
        <f t="shared" si="371"/>
        <v>189.7385852521501</v>
      </c>
      <c r="AB383" s="273">
        <f t="shared" si="371"/>
        <v>189.22017381703495</v>
      </c>
      <c r="AC383" s="273">
        <f t="shared" si="371"/>
        <v>189.7385852521501</v>
      </c>
      <c r="AD383" s="273">
        <f t="shared" si="371"/>
        <v>189.7385852521501</v>
      </c>
      <c r="AE383" s="273">
        <f t="shared" si="371"/>
        <v>189.7385852521501</v>
      </c>
      <c r="AF383" s="273">
        <f t="shared" si="371"/>
        <v>189.22017381703495</v>
      </c>
      <c r="AG383" s="273">
        <f t="shared" si="371"/>
        <v>189.7385852521501</v>
      </c>
      <c r="AH383" s="273">
        <f t="shared" si="371"/>
        <v>189.7385852521501</v>
      </c>
      <c r="AI383" s="273">
        <f t="shared" si="371"/>
        <v>189.7385852521501</v>
      </c>
      <c r="AJ383" s="273">
        <f t="shared" si="371"/>
        <v>189.22017381703495</v>
      </c>
      <c r="AK383" s="273">
        <f t="shared" si="371"/>
        <v>0</v>
      </c>
      <c r="AL383" s="273">
        <f t="shared" si="371"/>
        <v>0</v>
      </c>
      <c r="AM383" s="273">
        <f t="shared" si="371"/>
        <v>0</v>
      </c>
      <c r="AN383" s="273">
        <f t="shared" si="371"/>
        <v>0</v>
      </c>
    </row>
    <row r="384" spans="3:40" outlineLevel="2">
      <c r="C384" t="s">
        <v>307</v>
      </c>
      <c r="D384"/>
      <c r="E384" s="202" t="s">
        <v>20</v>
      </c>
      <c r="G384" s="278">
        <f t="shared" ref="G384" si="372">IF(G$361=1,0,G383)</f>
        <v>149.69061347242405</v>
      </c>
      <c r="H384" s="278">
        <f t="shared" ref="H384" si="373">IF(H$361=1,0,H383)</f>
        <v>149.28162272523164</v>
      </c>
      <c r="I384" s="278">
        <f t="shared" ref="I384" si="374">IF(I$361=1,0,I383)</f>
        <v>149.69061347242405</v>
      </c>
      <c r="J384" s="278">
        <f t="shared" ref="J384" si="375">IF(J$361=1,0,J383)</f>
        <v>189.7385852521501</v>
      </c>
      <c r="K384" s="278">
        <f t="shared" ref="K384" si="376">IF(K$361=1,0,K383)</f>
        <v>189.7385852521501</v>
      </c>
      <c r="L384" s="278">
        <f t="shared" ref="L384" si="377">IF(L$361=1,0,L383)</f>
        <v>189.22017381703495</v>
      </c>
      <c r="M384" s="278">
        <f t="shared" ref="M384" si="378">IF(M$361=1,0,M383)</f>
        <v>189.7385852521501</v>
      </c>
      <c r="N384" s="278">
        <f t="shared" ref="N384" si="379">IF(N$361=1,0,N383)</f>
        <v>189.7385852521501</v>
      </c>
      <c r="O384" s="278">
        <f t="shared" ref="O384" si="380">IF(O$361=1,0,O383)</f>
        <v>189.7385852521501</v>
      </c>
      <c r="P384" s="278">
        <f t="shared" ref="P384" si="381">IF(P$361=1,0,P383)</f>
        <v>189.22017381703495</v>
      </c>
      <c r="Q384" s="278">
        <f t="shared" ref="Q384" si="382">IF(Q$361=1,0,Q383)</f>
        <v>189.7385852521501</v>
      </c>
      <c r="R384" s="278">
        <f t="shared" ref="R384" si="383">IF(R$361=1,0,R383)</f>
        <v>189.7385852521501</v>
      </c>
      <c r="S384" s="278">
        <f t="shared" ref="S384" si="384">IF(S$361=1,0,S383)</f>
        <v>189.7385852521501</v>
      </c>
      <c r="T384" s="278">
        <f t="shared" ref="T384" si="385">IF(T$361=1,0,T383)</f>
        <v>189.22017381703495</v>
      </c>
      <c r="U384" s="278">
        <f t="shared" ref="U384" si="386">IF(U$361=1,0,U383)</f>
        <v>189.7385852521501</v>
      </c>
      <c r="V384" s="278">
        <f t="shared" ref="V384" si="387">IF(V$361=1,0,V383)</f>
        <v>189.7385852521501</v>
      </c>
      <c r="W384" s="278">
        <f t="shared" ref="W384" si="388">IF(W$361=1,0,W383)</f>
        <v>189.7385852521501</v>
      </c>
      <c r="X384" s="278">
        <f t="shared" ref="X384" si="389">IF(X$361=1,0,X383)</f>
        <v>189.22017381703495</v>
      </c>
      <c r="Y384" s="278">
        <f t="shared" ref="Y384" si="390">IF(Y$361=1,0,Y383)</f>
        <v>189.7385852521501</v>
      </c>
      <c r="Z384" s="278">
        <f t="shared" ref="Z384" si="391">IF(Z$361=1,0,Z383)</f>
        <v>189.7385852521501</v>
      </c>
      <c r="AA384" s="278">
        <f t="shared" ref="AA384" si="392">IF(AA$361=1,0,AA383)</f>
        <v>189.7385852521501</v>
      </c>
      <c r="AB384" s="278">
        <f t="shared" ref="AB384" si="393">IF(AB$361=1,0,AB383)</f>
        <v>189.22017381703495</v>
      </c>
      <c r="AC384" s="278">
        <f t="shared" ref="AC384" si="394">IF(AC$361=1,0,AC383)</f>
        <v>189.7385852521501</v>
      </c>
      <c r="AD384" s="278">
        <f t="shared" ref="AD384" si="395">IF(AD$361=1,0,AD383)</f>
        <v>189.7385852521501</v>
      </c>
      <c r="AE384" s="278">
        <f t="shared" ref="AE384" si="396">IF(AE$361=1,0,AE383)</f>
        <v>189.7385852521501</v>
      </c>
      <c r="AF384" s="278">
        <f t="shared" ref="AF384" si="397">IF(AF$361=1,0,AF383)</f>
        <v>189.22017381703495</v>
      </c>
      <c r="AG384" s="278">
        <f t="shared" ref="AG384" si="398">IF(AG$361=1,0,AG383)</f>
        <v>189.7385852521501</v>
      </c>
      <c r="AH384" s="278">
        <f t="shared" ref="AH384" si="399">IF(AH$361=1,0,AH383)</f>
        <v>189.7385852521501</v>
      </c>
      <c r="AI384" s="278">
        <f t="shared" ref="AI384" si="400">IF(AI$361=1,0,AI383)</f>
        <v>189.7385852521501</v>
      </c>
      <c r="AJ384" s="278">
        <f t="shared" ref="AJ384" si="401">IF(AJ$361=1,0,AJ383)</f>
        <v>0</v>
      </c>
      <c r="AK384" s="278">
        <f t="shared" ref="AK384" si="402">IF(AK$361=1,0,AK383)</f>
        <v>0</v>
      </c>
      <c r="AL384" s="278">
        <f t="shared" ref="AL384" si="403">IF(AL$361=1,0,AL383)</f>
        <v>0</v>
      </c>
      <c r="AM384" s="278">
        <f t="shared" ref="AM384" si="404">IF(AM$361=1,0,AM383)</f>
        <v>0</v>
      </c>
      <c r="AN384" s="278">
        <f t="shared" ref="AN384" si="405">IF(AN$361=1,0,AN383)</f>
        <v>0</v>
      </c>
    </row>
    <row r="385" spans="3:40" outlineLevel="2">
      <c r="C385" t="s">
        <v>451</v>
      </c>
      <c r="D385"/>
      <c r="E385" s="83" t="s">
        <v>20</v>
      </c>
      <c r="F385" s="275"/>
      <c r="G385" s="317">
        <f t="shared" ref="G385" si="406">G384-F384</f>
        <v>149.69061347242405</v>
      </c>
      <c r="H385" s="317">
        <f t="shared" ref="H385" si="407">H384-G384</f>
        <v>-0.40899074719240502</v>
      </c>
      <c r="I385" s="317">
        <f t="shared" ref="I385" si="408">I384-H384</f>
        <v>0.40899074719240502</v>
      </c>
      <c r="J385" s="317">
        <f t="shared" ref="J385" si="409">J384-I384</f>
        <v>40.047971779726055</v>
      </c>
      <c r="K385" s="317">
        <f t="shared" ref="K385" si="410">K384-J384</f>
        <v>0</v>
      </c>
      <c r="L385" s="317">
        <f t="shared" ref="L385" si="411">L384-K384</f>
        <v>-0.51841143511515497</v>
      </c>
      <c r="M385" s="317">
        <f t="shared" ref="M385" si="412">M384-L384</f>
        <v>0.51841143511515497</v>
      </c>
      <c r="N385" s="317">
        <f t="shared" ref="N385" si="413">N384-M384</f>
        <v>0</v>
      </c>
      <c r="O385" s="317">
        <f t="shared" ref="O385" si="414">O384-N384</f>
        <v>0</v>
      </c>
      <c r="P385" s="317">
        <f t="shared" ref="P385" si="415">P384-O384</f>
        <v>-0.51841143511515497</v>
      </c>
      <c r="Q385" s="317">
        <f t="shared" ref="Q385" si="416">Q384-P384</f>
        <v>0.51841143511515497</v>
      </c>
      <c r="R385" s="317">
        <f t="shared" ref="R385" si="417">R384-Q384</f>
        <v>0</v>
      </c>
      <c r="S385" s="317">
        <f t="shared" ref="S385" si="418">S384-R384</f>
        <v>0</v>
      </c>
      <c r="T385" s="317">
        <f t="shared" ref="T385" si="419">T384-S384</f>
        <v>-0.51841143511515497</v>
      </c>
      <c r="U385" s="317">
        <f t="shared" ref="U385" si="420">U384-T384</f>
        <v>0.51841143511515497</v>
      </c>
      <c r="V385" s="317">
        <f t="shared" ref="V385" si="421">V384-U384</f>
        <v>0</v>
      </c>
      <c r="W385" s="317">
        <f t="shared" ref="W385" si="422">W384-V384</f>
        <v>0</v>
      </c>
      <c r="X385" s="317">
        <f t="shared" ref="X385" si="423">X384-W384</f>
        <v>-0.51841143511515497</v>
      </c>
      <c r="Y385" s="317">
        <f t="shared" ref="Y385" si="424">Y384-X384</f>
        <v>0.51841143511515497</v>
      </c>
      <c r="Z385" s="317">
        <f t="shared" ref="Z385" si="425">Z384-Y384</f>
        <v>0</v>
      </c>
      <c r="AA385" s="317">
        <f t="shared" ref="AA385" si="426">AA384-Z384</f>
        <v>0</v>
      </c>
      <c r="AB385" s="317">
        <f t="shared" ref="AB385" si="427">AB384-AA384</f>
        <v>-0.51841143511515497</v>
      </c>
      <c r="AC385" s="317">
        <f t="shared" ref="AC385" si="428">AC384-AB384</f>
        <v>0.51841143511515497</v>
      </c>
      <c r="AD385" s="317">
        <f t="shared" ref="AD385" si="429">AD384-AC384</f>
        <v>0</v>
      </c>
      <c r="AE385" s="317">
        <f t="shared" ref="AE385" si="430">AE384-AD384</f>
        <v>0</v>
      </c>
      <c r="AF385" s="317">
        <f t="shared" ref="AF385" si="431">AF384-AE384</f>
        <v>-0.51841143511515497</v>
      </c>
      <c r="AG385" s="317">
        <f t="shared" ref="AG385" si="432">AG384-AF384</f>
        <v>0.51841143511515497</v>
      </c>
      <c r="AH385" s="317">
        <f t="shared" ref="AH385" si="433">AH384-AG384</f>
        <v>0</v>
      </c>
      <c r="AI385" s="317">
        <f t="shared" ref="AI385" si="434">AI384-AH384</f>
        <v>0</v>
      </c>
      <c r="AJ385" s="317">
        <f t="shared" ref="AJ385" si="435">AJ384-AI384</f>
        <v>-189.7385852521501</v>
      </c>
      <c r="AK385" s="317">
        <f t="shared" ref="AK385" si="436">AK384-AJ384</f>
        <v>0</v>
      </c>
      <c r="AL385" s="317">
        <f t="shared" ref="AL385" si="437">AL384-AK384</f>
        <v>0</v>
      </c>
      <c r="AM385" s="317">
        <f t="shared" ref="AM385" si="438">AM384-AL384</f>
        <v>0</v>
      </c>
      <c r="AN385" s="317">
        <f t="shared" ref="AN385" si="439">AN384-AM384</f>
        <v>0</v>
      </c>
    </row>
    <row r="386" spans="3:40" outlineLevel="1">
      <c r="C386"/>
      <c r="D386"/>
      <c r="E386"/>
    </row>
    <row r="387" spans="3:40" outlineLevel="1">
      <c r="C387" t="s">
        <v>452</v>
      </c>
      <c r="D387"/>
      <c r="E387"/>
    </row>
    <row r="388" spans="3:40" outlineLevel="2">
      <c r="C388" t="str">
        <f>C369</f>
        <v>Variação contas a receber</v>
      </c>
      <c r="D388"/>
      <c r="E388" s="32" t="s">
        <v>20</v>
      </c>
      <c r="F388" s="26">
        <f t="shared" ref="F388:F391" si="440">SUM(G388:AN388)</f>
        <v>0</v>
      </c>
      <c r="G388" s="278">
        <f t="shared" ref="G388:AN388" si="441">G369</f>
        <v>-1304.8773547084893</v>
      </c>
      <c r="H388" s="278">
        <f t="shared" si="441"/>
        <v>71.154090434688896</v>
      </c>
      <c r="I388" s="278">
        <f>I369</f>
        <v>-368.59044410444176</v>
      </c>
      <c r="J388" s="278">
        <f t="shared" si="441"/>
        <v>-55.951913054091619</v>
      </c>
      <c r="K388" s="278">
        <f t="shared" si="441"/>
        <v>-33.827984469879993</v>
      </c>
      <c r="L388" s="278">
        <f t="shared" si="441"/>
        <v>-114.07155702113687</v>
      </c>
      <c r="M388" s="278">
        <f t="shared" si="441"/>
        <v>-21.151756633497826</v>
      </c>
      <c r="N388" s="278">
        <f t="shared" si="441"/>
        <v>-92.622664670163658</v>
      </c>
      <c r="O388" s="278">
        <f t="shared" si="441"/>
        <v>28.417480054540874</v>
      </c>
      <c r="P388" s="278">
        <f t="shared" si="441"/>
        <v>-5.0629390879901166</v>
      </c>
      <c r="Q388" s="278">
        <f t="shared" si="441"/>
        <v>-28.174891641485829</v>
      </c>
      <c r="R388" s="278">
        <f t="shared" si="441"/>
        <v>-15.627769833052753</v>
      </c>
      <c r="S388" s="278">
        <f t="shared" si="441"/>
        <v>-15.968983189637356</v>
      </c>
      <c r="T388" s="278">
        <f t="shared" si="441"/>
        <v>-8.1271319783420495</v>
      </c>
      <c r="U388" s="278">
        <f t="shared" si="441"/>
        <v>-84.386952454344964</v>
      </c>
      <c r="V388" s="278">
        <f t="shared" si="441"/>
        <v>23.93846031147541</v>
      </c>
      <c r="W388" s="278">
        <f t="shared" si="441"/>
        <v>-3.9056395148816136</v>
      </c>
      <c r="X388" s="278">
        <f t="shared" si="441"/>
        <v>-9.1678453000222362</v>
      </c>
      <c r="Y388" s="278">
        <f t="shared" si="441"/>
        <v>-30.130165981523305</v>
      </c>
      <c r="Z388" s="278">
        <f t="shared" si="441"/>
        <v>-12.044595434515031</v>
      </c>
      <c r="AA388" s="278">
        <f t="shared" si="441"/>
        <v>-27.195891239578941</v>
      </c>
      <c r="AB388" s="278">
        <f t="shared" si="441"/>
        <v>-67.71897675432183</v>
      </c>
      <c r="AC388" s="278">
        <f t="shared" si="441"/>
        <v>36.097097809516072</v>
      </c>
      <c r="AD388" s="278">
        <f t="shared" si="441"/>
        <v>-17.956738773795678</v>
      </c>
      <c r="AE388" s="278">
        <f t="shared" si="441"/>
        <v>-15.017795344985188</v>
      </c>
      <c r="AF388" s="278">
        <f t="shared" si="441"/>
        <v>-33.880094829392874</v>
      </c>
      <c r="AG388" s="278">
        <f t="shared" si="441"/>
        <v>0.56046906459960155</v>
      </c>
      <c r="AH388" s="278">
        <f t="shared" si="441"/>
        <v>-32.338903672850392</v>
      </c>
      <c r="AI388" s="278">
        <f t="shared" si="441"/>
        <v>-51.178028023825391</v>
      </c>
      <c r="AJ388" s="278">
        <f t="shared" si="441"/>
        <v>2288.8094200414257</v>
      </c>
      <c r="AK388" s="278">
        <f t="shared" si="441"/>
        <v>0</v>
      </c>
      <c r="AL388" s="278">
        <f t="shared" si="441"/>
        <v>0</v>
      </c>
      <c r="AM388" s="278">
        <f t="shared" si="441"/>
        <v>0</v>
      </c>
      <c r="AN388" s="278">
        <f t="shared" si="441"/>
        <v>0</v>
      </c>
    </row>
    <row r="389" spans="3:40" outlineLevel="2">
      <c r="C389" t="str">
        <f>C377</f>
        <v>Variação contas a pagar</v>
      </c>
      <c r="D389"/>
      <c r="E389" s="32" t="s">
        <v>20</v>
      </c>
      <c r="F389" s="26">
        <f t="shared" si="440"/>
        <v>0</v>
      </c>
      <c r="G389" s="278">
        <f t="shared" ref="G389:AN389" si="442">G377</f>
        <v>551.40751464538698</v>
      </c>
      <c r="H389" s="278">
        <f t="shared" si="442"/>
        <v>-1.5065779088671434</v>
      </c>
      <c r="I389" s="278">
        <f>I377</f>
        <v>37.651761042600924</v>
      </c>
      <c r="J389" s="278">
        <f t="shared" si="442"/>
        <v>3.6941917808219387</v>
      </c>
      <c r="K389" s="278">
        <f t="shared" si="442"/>
        <v>0</v>
      </c>
      <c r="L389" s="278">
        <f t="shared" si="442"/>
        <v>-1.6154286599997931</v>
      </c>
      <c r="M389" s="278">
        <f t="shared" si="442"/>
        <v>1.6154286599997931</v>
      </c>
      <c r="N389" s="278">
        <f t="shared" si="442"/>
        <v>0</v>
      </c>
      <c r="O389" s="278">
        <f t="shared" si="442"/>
        <v>0</v>
      </c>
      <c r="P389" s="278">
        <f t="shared" si="442"/>
        <v>-1.6154286599997931</v>
      </c>
      <c r="Q389" s="278">
        <f t="shared" si="442"/>
        <v>1.6154286599997931</v>
      </c>
      <c r="R389" s="278">
        <f t="shared" si="442"/>
        <v>0</v>
      </c>
      <c r="S389" s="278">
        <f t="shared" si="442"/>
        <v>0</v>
      </c>
      <c r="T389" s="278">
        <f t="shared" si="442"/>
        <v>-1.6154286599997931</v>
      </c>
      <c r="U389" s="278">
        <f t="shared" si="442"/>
        <v>1.6154286599997931</v>
      </c>
      <c r="V389" s="278">
        <f t="shared" si="442"/>
        <v>0</v>
      </c>
      <c r="W389" s="278">
        <f t="shared" si="442"/>
        <v>0</v>
      </c>
      <c r="X389" s="278">
        <f t="shared" si="442"/>
        <v>-1.6154286599997931</v>
      </c>
      <c r="Y389" s="278">
        <f t="shared" si="442"/>
        <v>41.663400439725933</v>
      </c>
      <c r="Z389" s="278">
        <f t="shared" si="442"/>
        <v>0</v>
      </c>
      <c r="AA389" s="278">
        <f t="shared" si="442"/>
        <v>0</v>
      </c>
      <c r="AB389" s="278">
        <f t="shared" si="442"/>
        <v>-1.7248493479225999</v>
      </c>
      <c r="AC389" s="278">
        <f t="shared" si="442"/>
        <v>1.7248493479225999</v>
      </c>
      <c r="AD389" s="278">
        <f t="shared" si="442"/>
        <v>0</v>
      </c>
      <c r="AE389" s="278">
        <f t="shared" si="442"/>
        <v>0</v>
      </c>
      <c r="AF389" s="278">
        <f t="shared" si="442"/>
        <v>-1.7248493479225999</v>
      </c>
      <c r="AG389" s="278">
        <f t="shared" si="442"/>
        <v>1.7248493479225999</v>
      </c>
      <c r="AH389" s="278">
        <f t="shared" si="442"/>
        <v>0</v>
      </c>
      <c r="AI389" s="278">
        <f t="shared" si="442"/>
        <v>0</v>
      </c>
      <c r="AJ389" s="278">
        <f t="shared" si="442"/>
        <v>-631.29486133966884</v>
      </c>
      <c r="AK389" s="278">
        <f t="shared" si="442"/>
        <v>0</v>
      </c>
      <c r="AL389" s="278">
        <f t="shared" si="442"/>
        <v>0</v>
      </c>
      <c r="AM389" s="278">
        <f t="shared" si="442"/>
        <v>0</v>
      </c>
      <c r="AN389" s="278">
        <f t="shared" si="442"/>
        <v>0</v>
      </c>
    </row>
    <row r="390" spans="3:40" outlineLevel="2">
      <c r="C390" t="str">
        <f>C385</f>
        <v>Variação Tributos e encargos</v>
      </c>
      <c r="D390"/>
      <c r="E390" s="503" t="s">
        <v>20</v>
      </c>
      <c r="F390" s="26">
        <f t="shared" si="440"/>
        <v>0</v>
      </c>
      <c r="G390" s="278">
        <f t="shared" ref="G390:AN390" si="443">G385</f>
        <v>149.69061347242405</v>
      </c>
      <c r="H390" s="278">
        <f t="shared" si="443"/>
        <v>-0.40899074719240502</v>
      </c>
      <c r="I390" s="278">
        <f>I385</f>
        <v>0.40899074719240502</v>
      </c>
      <c r="J390" s="278">
        <f t="shared" si="443"/>
        <v>40.047971779726055</v>
      </c>
      <c r="K390" s="278">
        <f t="shared" si="443"/>
        <v>0</v>
      </c>
      <c r="L390" s="278">
        <f t="shared" si="443"/>
        <v>-0.51841143511515497</v>
      </c>
      <c r="M390" s="278">
        <f t="shared" si="443"/>
        <v>0.51841143511515497</v>
      </c>
      <c r="N390" s="278">
        <f t="shared" si="443"/>
        <v>0</v>
      </c>
      <c r="O390" s="278">
        <f t="shared" si="443"/>
        <v>0</v>
      </c>
      <c r="P390" s="278">
        <f t="shared" si="443"/>
        <v>-0.51841143511515497</v>
      </c>
      <c r="Q390" s="278">
        <f t="shared" si="443"/>
        <v>0.51841143511515497</v>
      </c>
      <c r="R390" s="278">
        <f t="shared" si="443"/>
        <v>0</v>
      </c>
      <c r="S390" s="278">
        <f t="shared" si="443"/>
        <v>0</v>
      </c>
      <c r="T390" s="278">
        <f t="shared" si="443"/>
        <v>-0.51841143511515497</v>
      </c>
      <c r="U390" s="278">
        <f t="shared" si="443"/>
        <v>0.51841143511515497</v>
      </c>
      <c r="V390" s="278">
        <f t="shared" si="443"/>
        <v>0</v>
      </c>
      <c r="W390" s="278">
        <f t="shared" si="443"/>
        <v>0</v>
      </c>
      <c r="X390" s="278">
        <f t="shared" si="443"/>
        <v>-0.51841143511515497</v>
      </c>
      <c r="Y390" s="278">
        <f t="shared" si="443"/>
        <v>0.51841143511515497</v>
      </c>
      <c r="Z390" s="278">
        <f t="shared" si="443"/>
        <v>0</v>
      </c>
      <c r="AA390" s="278">
        <f t="shared" si="443"/>
        <v>0</v>
      </c>
      <c r="AB390" s="278">
        <f t="shared" si="443"/>
        <v>-0.51841143511515497</v>
      </c>
      <c r="AC390" s="278">
        <f t="shared" si="443"/>
        <v>0.51841143511515497</v>
      </c>
      <c r="AD390" s="278">
        <f t="shared" si="443"/>
        <v>0</v>
      </c>
      <c r="AE390" s="278">
        <f t="shared" si="443"/>
        <v>0</v>
      </c>
      <c r="AF390" s="278">
        <f t="shared" si="443"/>
        <v>-0.51841143511515497</v>
      </c>
      <c r="AG390" s="278">
        <f t="shared" si="443"/>
        <v>0.51841143511515497</v>
      </c>
      <c r="AH390" s="278">
        <f t="shared" si="443"/>
        <v>0</v>
      </c>
      <c r="AI390" s="278">
        <f t="shared" si="443"/>
        <v>0</v>
      </c>
      <c r="AJ390" s="278">
        <f t="shared" si="443"/>
        <v>-189.7385852521501</v>
      </c>
      <c r="AK390" s="278">
        <f t="shared" si="443"/>
        <v>0</v>
      </c>
      <c r="AL390" s="278">
        <f t="shared" si="443"/>
        <v>0</v>
      </c>
      <c r="AM390" s="278">
        <f t="shared" si="443"/>
        <v>0</v>
      </c>
      <c r="AN390" s="278">
        <f t="shared" si="443"/>
        <v>0</v>
      </c>
    </row>
    <row r="391" spans="3:40" outlineLevel="2">
      <c r="C391" t="s">
        <v>453</v>
      </c>
      <c r="D391"/>
      <c r="E391" s="32" t="s">
        <v>20</v>
      </c>
      <c r="F391" s="26">
        <f t="shared" si="440"/>
        <v>-2.2737367544323206E-13</v>
      </c>
      <c r="G391" s="287">
        <f t="shared" ref="G391:AN391" si="444">SUM(G388:G390)</f>
        <v>-603.77922659067826</v>
      </c>
      <c r="H391" s="287">
        <f t="shared" si="444"/>
        <v>69.238521778629348</v>
      </c>
      <c r="I391" s="287">
        <f t="shared" si="444"/>
        <v>-330.5296923146484</v>
      </c>
      <c r="J391" s="287">
        <f t="shared" si="444"/>
        <v>-12.209749493543626</v>
      </c>
      <c r="K391" s="287">
        <f t="shared" si="444"/>
        <v>-33.827984469879993</v>
      </c>
      <c r="L391" s="287">
        <f t="shared" si="444"/>
        <v>-116.20539711625182</v>
      </c>
      <c r="M391" s="287">
        <f t="shared" si="444"/>
        <v>-19.017916538382877</v>
      </c>
      <c r="N391" s="287">
        <f t="shared" si="444"/>
        <v>-92.622664670163658</v>
      </c>
      <c r="O391" s="287">
        <f t="shared" si="444"/>
        <v>28.417480054540874</v>
      </c>
      <c r="P391" s="287">
        <f t="shared" si="444"/>
        <v>-7.1967791831050647</v>
      </c>
      <c r="Q391" s="287">
        <f t="shared" si="444"/>
        <v>-26.04105154637088</v>
      </c>
      <c r="R391" s="287">
        <f t="shared" si="444"/>
        <v>-15.627769833052753</v>
      </c>
      <c r="S391" s="287">
        <f t="shared" si="444"/>
        <v>-15.968983189637356</v>
      </c>
      <c r="T391" s="287">
        <f t="shared" si="444"/>
        <v>-10.260972073456998</v>
      </c>
      <c r="U391" s="287">
        <f t="shared" si="444"/>
        <v>-82.253112359230016</v>
      </c>
      <c r="V391" s="287">
        <f t="shared" si="444"/>
        <v>23.93846031147541</v>
      </c>
      <c r="W391" s="287">
        <f t="shared" si="444"/>
        <v>-3.9056395148816136</v>
      </c>
      <c r="X391" s="287">
        <f t="shared" si="444"/>
        <v>-11.301685395137184</v>
      </c>
      <c r="Y391" s="287">
        <f t="shared" si="444"/>
        <v>12.051645893317783</v>
      </c>
      <c r="Z391" s="287">
        <f t="shared" si="444"/>
        <v>-12.044595434515031</v>
      </c>
      <c r="AA391" s="287">
        <f t="shared" si="444"/>
        <v>-27.195891239578941</v>
      </c>
      <c r="AB391" s="287">
        <f t="shared" si="444"/>
        <v>-69.962237537359584</v>
      </c>
      <c r="AC391" s="287">
        <f t="shared" si="444"/>
        <v>38.340358592553827</v>
      </c>
      <c r="AD391" s="287">
        <f t="shared" si="444"/>
        <v>-17.956738773795678</v>
      </c>
      <c r="AE391" s="287">
        <f t="shared" si="444"/>
        <v>-15.017795344985188</v>
      </c>
      <c r="AF391" s="287">
        <f t="shared" si="444"/>
        <v>-36.123355612430629</v>
      </c>
      <c r="AG391" s="287">
        <f t="shared" si="444"/>
        <v>2.8037298476373564</v>
      </c>
      <c r="AH391" s="287">
        <f t="shared" si="444"/>
        <v>-32.338903672850392</v>
      </c>
      <c r="AI391" s="287">
        <f t="shared" si="444"/>
        <v>-51.178028023825391</v>
      </c>
      <c r="AJ391" s="287">
        <f t="shared" si="444"/>
        <v>1467.7759734496067</v>
      </c>
      <c r="AK391" s="287">
        <f t="shared" si="444"/>
        <v>0</v>
      </c>
      <c r="AL391" s="287">
        <f t="shared" si="444"/>
        <v>0</v>
      </c>
      <c r="AM391" s="287">
        <f t="shared" si="444"/>
        <v>0</v>
      </c>
      <c r="AN391" s="287">
        <f t="shared" si="444"/>
        <v>0</v>
      </c>
    </row>
    <row r="392" spans="3:40" outlineLevel="1">
      <c r="E392" s="76"/>
    </row>
    <row r="393" spans="3:40">
      <c r="E393" s="76"/>
    </row>
    <row r="394" spans="3:40" ht="16.2" thickBot="1">
      <c r="C394" s="394" t="s">
        <v>454</v>
      </c>
      <c r="D394" s="395"/>
      <c r="E394" s="396"/>
      <c r="F394" s="395"/>
      <c r="G394" s="395"/>
      <c r="H394" s="395"/>
      <c r="I394" s="395"/>
      <c r="J394" s="395"/>
      <c r="K394" s="395"/>
      <c r="L394" s="395"/>
      <c r="M394" s="395"/>
      <c r="N394" s="395"/>
      <c r="O394" s="395"/>
      <c r="P394" s="395"/>
      <c r="Q394" s="395"/>
      <c r="R394" s="395"/>
      <c r="S394" s="395"/>
      <c r="T394" s="395"/>
      <c r="U394" s="395"/>
      <c r="V394" s="395"/>
      <c r="W394" s="395"/>
      <c r="X394" s="395"/>
      <c r="Y394" s="395"/>
      <c r="Z394" s="395"/>
      <c r="AA394" s="395"/>
      <c r="AB394" s="395"/>
      <c r="AC394" s="395"/>
      <c r="AD394" s="395"/>
      <c r="AE394" s="395"/>
      <c r="AF394" s="395"/>
      <c r="AG394" s="395"/>
      <c r="AH394" s="395"/>
      <c r="AI394" s="395"/>
      <c r="AJ394" s="395"/>
      <c r="AK394" s="8"/>
      <c r="AL394" s="8"/>
      <c r="AM394" s="8"/>
      <c r="AN394" s="8"/>
    </row>
    <row r="395" spans="3:40" outlineLevel="1">
      <c r="C395"/>
      <c r="D395"/>
      <c r="E395" s="76"/>
      <c r="F395"/>
    </row>
    <row r="396" spans="3:40" outlineLevel="1">
      <c r="C396" t="s">
        <v>289</v>
      </c>
      <c r="D396" s="266"/>
      <c r="E396" s="76"/>
      <c r="F396"/>
    </row>
    <row r="397" spans="3:40" outlineLevel="2">
      <c r="C397"/>
      <c r="D397" s="266"/>
      <c r="E397" s="76"/>
      <c r="F397"/>
    </row>
    <row r="398" spans="3:40" outlineLevel="2">
      <c r="C398" t="s">
        <v>455</v>
      </c>
      <c r="D398" s="266"/>
      <c r="E398" s="76"/>
      <c r="F398"/>
    </row>
    <row r="399" spans="3:40" outlineLevel="3">
      <c r="C399"/>
      <c r="D399" s="266"/>
      <c r="E399" s="76"/>
      <c r="F399"/>
    </row>
    <row r="400" spans="3:40" outlineLevel="3">
      <c r="C400" t="str">
        <f>Inputs!C42</f>
        <v>Coleta Manual E Conteinerizada Rsc</v>
      </c>
      <c r="D400" t="str">
        <f>Inputs!D57</f>
        <v>Divisivel</v>
      </c>
      <c r="E400" s="76" t="s">
        <v>13</v>
      </c>
      <c r="F400" s="23">
        <f t="shared" ref="F400:F410" si="445">SUM(G400:AN400)</f>
        <v>28252.241950000003</v>
      </c>
      <c r="G400" s="319">
        <f>Inputs!D42</f>
        <v>4510.7923900000005</v>
      </c>
      <c r="H400" s="319">
        <f>Inputs!E42</f>
        <v>0</v>
      </c>
      <c r="I400" s="319">
        <f>Inputs!F42</f>
        <v>713.82500000000005</v>
      </c>
      <c r="J400" s="319">
        <f>Inputs!G42</f>
        <v>0</v>
      </c>
      <c r="K400" s="319">
        <f>Inputs!H42</f>
        <v>713.82500000000005</v>
      </c>
      <c r="L400" s="319">
        <f>Inputs!I42</f>
        <v>30</v>
      </c>
      <c r="M400" s="319">
        <f>Inputs!J42</f>
        <v>0</v>
      </c>
      <c r="N400" s="319">
        <f>Inputs!K42</f>
        <v>4459.6323900000007</v>
      </c>
      <c r="O400" s="319">
        <f>Inputs!L42</f>
        <v>0</v>
      </c>
      <c r="P400" s="319">
        <f>Inputs!M42</f>
        <v>713.82500000000005</v>
      </c>
      <c r="Q400" s="319">
        <f>Inputs!N42</f>
        <v>51.16</v>
      </c>
      <c r="R400" s="319">
        <f>Inputs!O42</f>
        <v>713.82500000000005</v>
      </c>
      <c r="S400" s="319">
        <f>Inputs!P42</f>
        <v>0</v>
      </c>
      <c r="T400" s="319">
        <f>Inputs!Q42</f>
        <v>0</v>
      </c>
      <c r="U400" s="319">
        <f>Inputs!R42</f>
        <v>4459.6323900000007</v>
      </c>
      <c r="V400" s="319">
        <f>Inputs!S42</f>
        <v>30</v>
      </c>
      <c r="W400" s="319">
        <f>Inputs!T42</f>
        <v>713.82500000000005</v>
      </c>
      <c r="X400" s="319">
        <f>Inputs!U42</f>
        <v>0</v>
      </c>
      <c r="Y400" s="319">
        <f>Inputs!V42</f>
        <v>713.82500000000005</v>
      </c>
      <c r="Z400" s="319">
        <f>Inputs!W42</f>
        <v>0</v>
      </c>
      <c r="AA400" s="319">
        <f>Inputs!X42</f>
        <v>51.16</v>
      </c>
      <c r="AB400" s="319">
        <f>Inputs!Y42</f>
        <v>4459.6323900000007</v>
      </c>
      <c r="AC400" s="319">
        <f>Inputs!Z42</f>
        <v>0</v>
      </c>
      <c r="AD400" s="319">
        <f>Inputs!AA42</f>
        <v>713.82500000000005</v>
      </c>
      <c r="AE400" s="319">
        <f>Inputs!AB42</f>
        <v>0</v>
      </c>
      <c r="AF400" s="319">
        <f>Inputs!AC42</f>
        <v>743.82500000000005</v>
      </c>
      <c r="AG400" s="319">
        <f>Inputs!AD42</f>
        <v>0</v>
      </c>
      <c r="AH400" s="319">
        <f>Inputs!AE42</f>
        <v>0</v>
      </c>
      <c r="AI400" s="319">
        <f>Inputs!AF42</f>
        <v>4459.6323900000007</v>
      </c>
      <c r="AJ400" s="319">
        <f>Inputs!AG42</f>
        <v>0</v>
      </c>
      <c r="AK400" s="319"/>
      <c r="AL400" s="319"/>
      <c r="AM400" s="319"/>
      <c r="AN400" s="319"/>
    </row>
    <row r="401" spans="3:40" outlineLevel="3">
      <c r="C401" t="str">
        <f>Inputs!C43</f>
        <v>Coleta De Materiais Recicláveis</v>
      </c>
      <c r="D401" t="str">
        <f>Inputs!D58</f>
        <v>Divisivel</v>
      </c>
      <c r="E401" s="76" t="s">
        <v>13</v>
      </c>
      <c r="F401" s="23">
        <f t="shared" si="445"/>
        <v>10006.151100000001</v>
      </c>
      <c r="G401" s="319">
        <f>Inputs!D43</f>
        <v>1772.8062199999999</v>
      </c>
      <c r="H401" s="319">
        <f>Inputs!E43</f>
        <v>0</v>
      </c>
      <c r="I401" s="319">
        <f>Inputs!F43</f>
        <v>0</v>
      </c>
      <c r="J401" s="319">
        <f>Inputs!G43</f>
        <v>285.52999999999997</v>
      </c>
      <c r="K401" s="319">
        <f>Inputs!H43</f>
        <v>0</v>
      </c>
      <c r="L401" s="319">
        <f>Inputs!I43</f>
        <v>0</v>
      </c>
      <c r="M401" s="319">
        <f>Inputs!J43</f>
        <v>0</v>
      </c>
      <c r="N401" s="319">
        <f>Inputs!K43</f>
        <v>1772.8062199999999</v>
      </c>
      <c r="O401" s="319">
        <f>Inputs!L43</f>
        <v>0</v>
      </c>
      <c r="P401" s="319">
        <f>Inputs!M43</f>
        <v>0</v>
      </c>
      <c r="Q401" s="319">
        <f>Inputs!N43</f>
        <v>285.52999999999997</v>
      </c>
      <c r="R401" s="319">
        <f>Inputs!O43</f>
        <v>0</v>
      </c>
      <c r="S401" s="319">
        <f>Inputs!P43</f>
        <v>0</v>
      </c>
      <c r="T401" s="319">
        <f>Inputs!Q43</f>
        <v>0</v>
      </c>
      <c r="U401" s="319">
        <f>Inputs!R43</f>
        <v>1772.8062199999999</v>
      </c>
      <c r="V401" s="319">
        <f>Inputs!S43</f>
        <v>0</v>
      </c>
      <c r="W401" s="319">
        <f>Inputs!T43</f>
        <v>0</v>
      </c>
      <c r="X401" s="319">
        <f>Inputs!U43</f>
        <v>285.52999999999997</v>
      </c>
      <c r="Y401" s="319">
        <f>Inputs!V43</f>
        <v>0</v>
      </c>
      <c r="Z401" s="319">
        <f>Inputs!W43</f>
        <v>0</v>
      </c>
      <c r="AA401" s="319">
        <f>Inputs!X43</f>
        <v>0</v>
      </c>
      <c r="AB401" s="319">
        <f>Inputs!Y43</f>
        <v>1772.8062199999999</v>
      </c>
      <c r="AC401" s="319">
        <f>Inputs!Z43</f>
        <v>0</v>
      </c>
      <c r="AD401" s="319">
        <f>Inputs!AA43</f>
        <v>0</v>
      </c>
      <c r="AE401" s="319">
        <f>Inputs!AB43</f>
        <v>285.52999999999997</v>
      </c>
      <c r="AF401" s="319">
        <f>Inputs!AC43</f>
        <v>0</v>
      </c>
      <c r="AG401" s="319">
        <f>Inputs!AD43</f>
        <v>0</v>
      </c>
      <c r="AH401" s="319">
        <f>Inputs!AE43</f>
        <v>1772.8062199999999</v>
      </c>
      <c r="AI401" s="319">
        <f>Inputs!AF43</f>
        <v>0</v>
      </c>
      <c r="AJ401" s="319">
        <f>Inputs!AG43</f>
        <v>0</v>
      </c>
      <c r="AK401" s="319"/>
      <c r="AL401" s="319"/>
      <c r="AM401" s="319"/>
      <c r="AN401" s="319"/>
    </row>
    <row r="402" spans="3:40" outlineLevel="3">
      <c r="C402" t="str">
        <f>Inputs!C44</f>
        <v>Transporte E Destinação Final - Resíduos Pevs</v>
      </c>
      <c r="D402" t="str">
        <f>Inputs!D60</f>
        <v>Divisivel</v>
      </c>
      <c r="E402" s="76" t="s">
        <v>13</v>
      </c>
      <c r="F402" s="23">
        <f t="shared" si="445"/>
        <v>1954.4542800000002</v>
      </c>
      <c r="G402" s="319">
        <f>Inputs!D44</f>
        <v>0</v>
      </c>
      <c r="H402" s="319">
        <f>Inputs!E44</f>
        <v>0</v>
      </c>
      <c r="I402" s="319">
        <f>Inputs!F44</f>
        <v>651.48476000000005</v>
      </c>
      <c r="J402" s="319">
        <f>Inputs!G44</f>
        <v>0</v>
      </c>
      <c r="K402" s="319">
        <f>Inputs!H44</f>
        <v>0</v>
      </c>
      <c r="L402" s="319">
        <f>Inputs!I44</f>
        <v>0</v>
      </c>
      <c r="M402" s="319">
        <f>Inputs!J44</f>
        <v>0</v>
      </c>
      <c r="N402" s="319">
        <f>Inputs!K44</f>
        <v>0</v>
      </c>
      <c r="O402" s="319">
        <f>Inputs!L44</f>
        <v>0</v>
      </c>
      <c r="P402" s="319">
        <f>Inputs!M44</f>
        <v>0</v>
      </c>
      <c r="Q402" s="319">
        <f>Inputs!N44</f>
        <v>0</v>
      </c>
      <c r="R402" s="319">
        <f>Inputs!O44</f>
        <v>0</v>
      </c>
      <c r="S402" s="319">
        <f>Inputs!P44</f>
        <v>651.48476000000005</v>
      </c>
      <c r="T402" s="319">
        <f>Inputs!Q44</f>
        <v>0</v>
      </c>
      <c r="U402" s="319">
        <f>Inputs!R44</f>
        <v>0</v>
      </c>
      <c r="V402" s="319">
        <f>Inputs!S44</f>
        <v>0</v>
      </c>
      <c r="W402" s="319">
        <f>Inputs!T44</f>
        <v>0</v>
      </c>
      <c r="X402" s="319">
        <f>Inputs!U44</f>
        <v>0</v>
      </c>
      <c r="Y402" s="319">
        <f>Inputs!V44</f>
        <v>0</v>
      </c>
      <c r="Z402" s="319">
        <f>Inputs!W44</f>
        <v>0</v>
      </c>
      <c r="AA402" s="319">
        <f>Inputs!X44</f>
        <v>0</v>
      </c>
      <c r="AB402" s="319">
        <f>Inputs!Y44</f>
        <v>0</v>
      </c>
      <c r="AC402" s="319">
        <f>Inputs!Z44</f>
        <v>651.48476000000005</v>
      </c>
      <c r="AD402" s="319">
        <f>Inputs!AA44</f>
        <v>0</v>
      </c>
      <c r="AE402" s="319">
        <f>Inputs!AB44</f>
        <v>0</v>
      </c>
      <c r="AF402" s="319">
        <f>Inputs!AC44</f>
        <v>0</v>
      </c>
      <c r="AG402" s="319">
        <f>Inputs!AD44</f>
        <v>0</v>
      </c>
      <c r="AH402" s="319">
        <f>Inputs!AE44</f>
        <v>0</v>
      </c>
      <c r="AI402" s="319">
        <f>Inputs!AF44</f>
        <v>0</v>
      </c>
      <c r="AJ402" s="319">
        <f>Inputs!AG44</f>
        <v>0</v>
      </c>
      <c r="AK402" s="319"/>
      <c r="AL402" s="319"/>
      <c r="AM402" s="319"/>
      <c r="AN402" s="319"/>
    </row>
    <row r="403" spans="3:40" outlineLevel="3">
      <c r="C403" t="str">
        <f>Inputs!C45</f>
        <v>Coleta Programada  De Volumosos</v>
      </c>
      <c r="D403" t="str">
        <f>Inputs!D61</f>
        <v>Divisivel</v>
      </c>
      <c r="E403" s="76" t="s">
        <v>13</v>
      </c>
      <c r="F403" s="23">
        <f t="shared" si="445"/>
        <v>9523.5084999999999</v>
      </c>
      <c r="G403" s="319">
        <f>Inputs!D45</f>
        <v>1904.7016999999998</v>
      </c>
      <c r="H403" s="319">
        <f>Inputs!E45</f>
        <v>0</v>
      </c>
      <c r="I403" s="319">
        <f>Inputs!F45</f>
        <v>0</v>
      </c>
      <c r="J403" s="319">
        <f>Inputs!G45</f>
        <v>0</v>
      </c>
      <c r="K403" s="319">
        <f>Inputs!H45</f>
        <v>0</v>
      </c>
      <c r="L403" s="319">
        <f>Inputs!I45</f>
        <v>0</v>
      </c>
      <c r="M403" s="319">
        <f>Inputs!J45</f>
        <v>0</v>
      </c>
      <c r="N403" s="319">
        <f>Inputs!K45</f>
        <v>1904.7016999999998</v>
      </c>
      <c r="O403" s="319">
        <f>Inputs!L45</f>
        <v>0</v>
      </c>
      <c r="P403" s="319">
        <f>Inputs!M45</f>
        <v>0</v>
      </c>
      <c r="Q403" s="319">
        <f>Inputs!N45</f>
        <v>0</v>
      </c>
      <c r="R403" s="319">
        <f>Inputs!O45</f>
        <v>0</v>
      </c>
      <c r="S403" s="319">
        <f>Inputs!P45</f>
        <v>0</v>
      </c>
      <c r="T403" s="319">
        <f>Inputs!Q45</f>
        <v>0</v>
      </c>
      <c r="U403" s="319">
        <f>Inputs!R45</f>
        <v>1904.7016999999998</v>
      </c>
      <c r="V403" s="319">
        <f>Inputs!S45</f>
        <v>0</v>
      </c>
      <c r="W403" s="319">
        <f>Inputs!T45</f>
        <v>0</v>
      </c>
      <c r="X403" s="319">
        <f>Inputs!U45</f>
        <v>0</v>
      </c>
      <c r="Y403" s="319">
        <f>Inputs!V45</f>
        <v>0</v>
      </c>
      <c r="Z403" s="319">
        <f>Inputs!W45</f>
        <v>0</v>
      </c>
      <c r="AA403" s="319">
        <f>Inputs!X45</f>
        <v>0</v>
      </c>
      <c r="AB403" s="319">
        <f>Inputs!Y45</f>
        <v>1904.7016999999998</v>
      </c>
      <c r="AC403" s="319">
        <f>Inputs!Z45</f>
        <v>0</v>
      </c>
      <c r="AD403" s="319">
        <f>Inputs!AA45</f>
        <v>0</v>
      </c>
      <c r="AE403" s="319">
        <f>Inputs!AB45</f>
        <v>0</v>
      </c>
      <c r="AF403" s="319">
        <f>Inputs!AC45</f>
        <v>0</v>
      </c>
      <c r="AG403" s="319">
        <f>Inputs!AD45</f>
        <v>0</v>
      </c>
      <c r="AH403" s="319">
        <f>Inputs!AE45</f>
        <v>0</v>
      </c>
      <c r="AI403" s="319">
        <f>Inputs!AF45</f>
        <v>1904.7016999999998</v>
      </c>
      <c r="AJ403" s="319">
        <f>Inputs!AG45</f>
        <v>0</v>
      </c>
      <c r="AK403" s="319"/>
      <c r="AL403" s="319"/>
      <c r="AM403" s="319"/>
      <c r="AN403" s="319"/>
    </row>
    <row r="404" spans="3:40" outlineLevel="3">
      <c r="C404" t="str">
        <f>Inputs!C46</f>
        <v>Varrição Manual</v>
      </c>
      <c r="D404" t="str">
        <f>Inputs!D62</f>
        <v>Indivisível</v>
      </c>
      <c r="E404" s="76" t="s">
        <v>13</v>
      </c>
      <c r="F404" s="23">
        <f t="shared" si="445"/>
        <v>236.60580000000002</v>
      </c>
      <c r="G404" s="319">
        <f>Inputs!D46</f>
        <v>47.486600000000003</v>
      </c>
      <c r="H404" s="319">
        <f>Inputs!E46</f>
        <v>0</v>
      </c>
      <c r="I404" s="319">
        <f>Inputs!F46</f>
        <v>0</v>
      </c>
      <c r="J404" s="319">
        <f>Inputs!G46</f>
        <v>3.0772000000000004</v>
      </c>
      <c r="K404" s="319">
        <f>Inputs!H46</f>
        <v>0</v>
      </c>
      <c r="L404" s="319">
        <f>Inputs!I46</f>
        <v>23.249400000000001</v>
      </c>
      <c r="M404" s="319">
        <f>Inputs!J46</f>
        <v>3.0772000000000004</v>
      </c>
      <c r="N404" s="319">
        <f>Inputs!K46</f>
        <v>0</v>
      </c>
      <c r="O404" s="319">
        <f>Inputs!L46</f>
        <v>0</v>
      </c>
      <c r="P404" s="319">
        <f>Inputs!M46</f>
        <v>3.2970000000000002</v>
      </c>
      <c r="Q404" s="319">
        <f>Inputs!N46</f>
        <v>44.409400000000005</v>
      </c>
      <c r="R404" s="319">
        <f>Inputs!O46</f>
        <v>0</v>
      </c>
      <c r="S404" s="319">
        <f>Inputs!P46</f>
        <v>3.2970000000000002</v>
      </c>
      <c r="T404" s="319">
        <f>Inputs!Q46</f>
        <v>0</v>
      </c>
      <c r="U404" s="319">
        <f>Inputs!R46</f>
        <v>0</v>
      </c>
      <c r="V404" s="319">
        <f>Inputs!S46</f>
        <v>26.546400000000002</v>
      </c>
      <c r="W404" s="319">
        <f>Inputs!T46</f>
        <v>0</v>
      </c>
      <c r="X404" s="319">
        <f>Inputs!U46</f>
        <v>0</v>
      </c>
      <c r="Y404" s="319">
        <f>Inputs!V46</f>
        <v>3.5168000000000004</v>
      </c>
      <c r="Z404" s="319">
        <f>Inputs!W46</f>
        <v>0</v>
      </c>
      <c r="AA404" s="319">
        <f>Inputs!X46</f>
        <v>44.409400000000005</v>
      </c>
      <c r="AB404" s="319">
        <f>Inputs!Y46</f>
        <v>3.5168000000000004</v>
      </c>
      <c r="AC404" s="319">
        <f>Inputs!Z46</f>
        <v>0</v>
      </c>
      <c r="AD404" s="319">
        <f>Inputs!AA46</f>
        <v>0</v>
      </c>
      <c r="AE404" s="319">
        <f>Inputs!AB46</f>
        <v>3.7366000000000001</v>
      </c>
      <c r="AF404" s="319">
        <f>Inputs!AC46</f>
        <v>23.249400000000001</v>
      </c>
      <c r="AG404" s="319">
        <f>Inputs!AD46</f>
        <v>0</v>
      </c>
      <c r="AH404" s="319">
        <f>Inputs!AE46</f>
        <v>3.7366000000000001</v>
      </c>
      <c r="AI404" s="319">
        <f>Inputs!AF46</f>
        <v>0</v>
      </c>
      <c r="AJ404" s="319">
        <f>Inputs!AG46</f>
        <v>0</v>
      </c>
      <c r="AK404" s="319"/>
      <c r="AL404" s="319"/>
      <c r="AM404" s="319"/>
      <c r="AN404" s="319"/>
    </row>
    <row r="405" spans="3:40" outlineLevel="3">
      <c r="C405" t="str">
        <f>Inputs!C47</f>
        <v>Serviços Gerais</v>
      </c>
      <c r="D405" t="str">
        <f>Inputs!D64</f>
        <v>Indivisível</v>
      </c>
      <c r="E405" s="76" t="s">
        <v>13</v>
      </c>
      <c r="F405" s="23">
        <f t="shared" si="445"/>
        <v>1321.0890000000002</v>
      </c>
      <c r="G405" s="319">
        <f>Inputs!D47</f>
        <v>415.93299999999999</v>
      </c>
      <c r="H405" s="319">
        <f>Inputs!E47</f>
        <v>0</v>
      </c>
      <c r="I405" s="319">
        <f>Inputs!F47</f>
        <v>0</v>
      </c>
      <c r="J405" s="319">
        <f>Inputs!G47</f>
        <v>10.47</v>
      </c>
      <c r="K405" s="319">
        <f>Inputs!H47</f>
        <v>0</v>
      </c>
      <c r="L405" s="319">
        <f>Inputs!I47</f>
        <v>0</v>
      </c>
      <c r="M405" s="319">
        <f>Inputs!J47</f>
        <v>10.47</v>
      </c>
      <c r="N405" s="319">
        <f>Inputs!K47</f>
        <v>0</v>
      </c>
      <c r="O405" s="319">
        <f>Inputs!L47</f>
        <v>0</v>
      </c>
      <c r="P405" s="319">
        <f>Inputs!M47</f>
        <v>10.47</v>
      </c>
      <c r="Q405" s="319">
        <f>Inputs!N47</f>
        <v>405.46300000000002</v>
      </c>
      <c r="R405" s="319">
        <f>Inputs!O47</f>
        <v>0</v>
      </c>
      <c r="S405" s="319">
        <f>Inputs!P47</f>
        <v>10.47</v>
      </c>
      <c r="T405" s="319">
        <f>Inputs!Q47</f>
        <v>0</v>
      </c>
      <c r="U405" s="319">
        <f>Inputs!R47</f>
        <v>0</v>
      </c>
      <c r="V405" s="319">
        <f>Inputs!S47</f>
        <v>10.47</v>
      </c>
      <c r="W405" s="319">
        <f>Inputs!T47</f>
        <v>0</v>
      </c>
      <c r="X405" s="319">
        <f>Inputs!U47</f>
        <v>0</v>
      </c>
      <c r="Y405" s="319">
        <f>Inputs!V47</f>
        <v>10.47</v>
      </c>
      <c r="Z405" s="319">
        <f>Inputs!W47</f>
        <v>0</v>
      </c>
      <c r="AA405" s="319">
        <f>Inputs!X47</f>
        <v>405.46300000000002</v>
      </c>
      <c r="AB405" s="319">
        <f>Inputs!Y47</f>
        <v>10.47</v>
      </c>
      <c r="AC405" s="319">
        <f>Inputs!Z47</f>
        <v>0</v>
      </c>
      <c r="AD405" s="319">
        <f>Inputs!AA47</f>
        <v>0</v>
      </c>
      <c r="AE405" s="319">
        <f>Inputs!AB47</f>
        <v>10.47</v>
      </c>
      <c r="AF405" s="319">
        <f>Inputs!AC47</f>
        <v>0</v>
      </c>
      <c r="AG405" s="319">
        <f>Inputs!AD47</f>
        <v>0</v>
      </c>
      <c r="AH405" s="319">
        <f>Inputs!AE47</f>
        <v>10.47</v>
      </c>
      <c r="AI405" s="319">
        <f>Inputs!AF47</f>
        <v>0</v>
      </c>
      <c r="AJ405" s="319">
        <f>Inputs!AG47</f>
        <v>0</v>
      </c>
      <c r="AK405" s="319"/>
      <c r="AL405" s="319"/>
      <c r="AM405" s="319"/>
      <c r="AN405" s="319"/>
    </row>
    <row r="406" spans="3:40" outlineLevel="3">
      <c r="C406" t="str">
        <f>Inputs!C48</f>
        <v>Roçada</v>
      </c>
      <c r="D406" t="str">
        <f>Inputs!D65</f>
        <v>Divisivel</v>
      </c>
      <c r="E406" s="76" t="s">
        <v>13</v>
      </c>
      <c r="F406" s="23">
        <f t="shared" ref="F406" si="446">SUM(G406:AN406)</f>
        <v>1709.1859999999995</v>
      </c>
      <c r="G406" s="319">
        <f>Inputs!D48</f>
        <v>455.72200000000004</v>
      </c>
      <c r="H406" s="319">
        <f>Inputs!E48</f>
        <v>0</v>
      </c>
      <c r="I406" s="319">
        <f>Inputs!F48</f>
        <v>0</v>
      </c>
      <c r="J406" s="319">
        <f>Inputs!G48</f>
        <v>48.86</v>
      </c>
      <c r="K406" s="319">
        <f>Inputs!H48</f>
        <v>0</v>
      </c>
      <c r="L406" s="319">
        <f>Inputs!I48</f>
        <v>0</v>
      </c>
      <c r="M406" s="319">
        <f>Inputs!J48</f>
        <v>48.86</v>
      </c>
      <c r="N406" s="319">
        <f>Inputs!K48</f>
        <v>0</v>
      </c>
      <c r="O406" s="319">
        <f>Inputs!L48</f>
        <v>0</v>
      </c>
      <c r="P406" s="319">
        <f>Inputs!M48</f>
        <v>48.86</v>
      </c>
      <c r="Q406" s="319">
        <f>Inputs!N48</f>
        <v>406.86200000000002</v>
      </c>
      <c r="R406" s="319">
        <f>Inputs!O48</f>
        <v>0</v>
      </c>
      <c r="S406" s="319">
        <f>Inputs!P48</f>
        <v>48.86</v>
      </c>
      <c r="T406" s="319">
        <f>Inputs!Q48</f>
        <v>0</v>
      </c>
      <c r="U406" s="319">
        <f>Inputs!R48</f>
        <v>0</v>
      </c>
      <c r="V406" s="319">
        <f>Inputs!S48</f>
        <v>48.86</v>
      </c>
      <c r="W406" s="319">
        <f>Inputs!T48</f>
        <v>0</v>
      </c>
      <c r="X406" s="319">
        <f>Inputs!U48</f>
        <v>0</v>
      </c>
      <c r="Y406" s="319">
        <f>Inputs!V48</f>
        <v>48.86</v>
      </c>
      <c r="Z406" s="319">
        <f>Inputs!W48</f>
        <v>0</v>
      </c>
      <c r="AA406" s="319">
        <f>Inputs!X48</f>
        <v>406.86200000000002</v>
      </c>
      <c r="AB406" s="319">
        <f>Inputs!Y48</f>
        <v>48.86</v>
      </c>
      <c r="AC406" s="319">
        <f>Inputs!Z48</f>
        <v>0</v>
      </c>
      <c r="AD406" s="319">
        <f>Inputs!AA48</f>
        <v>0</v>
      </c>
      <c r="AE406" s="319">
        <f>Inputs!AB48</f>
        <v>48.86</v>
      </c>
      <c r="AF406" s="319">
        <f>Inputs!AC48</f>
        <v>0</v>
      </c>
      <c r="AG406" s="319">
        <f>Inputs!AD48</f>
        <v>0</v>
      </c>
      <c r="AH406" s="319">
        <f>Inputs!AE48</f>
        <v>48.86</v>
      </c>
      <c r="AI406" s="319">
        <f>Inputs!AF48</f>
        <v>0</v>
      </c>
      <c r="AJ406" s="319">
        <f>Inputs!AG48</f>
        <v>0</v>
      </c>
      <c r="AK406" s="319"/>
      <c r="AL406" s="319"/>
      <c r="AM406" s="319"/>
      <c r="AN406" s="319"/>
    </row>
    <row r="407" spans="3:40" outlineLevel="3">
      <c r="C407" t="str">
        <f>Inputs!C49</f>
        <v>Investimentos Destinação Final</v>
      </c>
      <c r="D407" t="str">
        <f>Inputs!D65</f>
        <v>Divisivel</v>
      </c>
      <c r="E407" s="76" t="s">
        <v>13</v>
      </c>
      <c r="F407" s="23">
        <f t="shared" si="445"/>
        <v>21841.042462563055</v>
      </c>
      <c r="G407" s="319">
        <f>Inputs!D49</f>
        <v>365.43042089599805</v>
      </c>
      <c r="H407" s="319">
        <f>Inputs!E49</f>
        <v>1410.9263993250449</v>
      </c>
      <c r="I407" s="319">
        <f>Inputs!F49</f>
        <v>378.16893583420006</v>
      </c>
      <c r="J407" s="319">
        <f>Inputs!G49</f>
        <v>49.327041674200004</v>
      </c>
      <c r="K407" s="319">
        <f>Inputs!H49</f>
        <v>49.327041674200004</v>
      </c>
      <c r="L407" s="319">
        <f>Inputs!I49</f>
        <v>12201.004333370471</v>
      </c>
      <c r="M407" s="319">
        <f>Inputs!J49</f>
        <v>168.31293295294401</v>
      </c>
      <c r="N407" s="319">
        <f>Inputs!K49</f>
        <v>52.042301674200004</v>
      </c>
      <c r="O407" s="319">
        <f>Inputs!L49</f>
        <v>43.404541674200004</v>
      </c>
      <c r="P407" s="319">
        <f>Inputs!M49</f>
        <v>69.327041674200004</v>
      </c>
      <c r="Q407" s="319">
        <f>Inputs!N49</f>
        <v>107.3752145185596</v>
      </c>
      <c r="R407" s="319">
        <f>Inputs!O49</f>
        <v>347.06917320436901</v>
      </c>
      <c r="S407" s="319">
        <f>Inputs!P49</f>
        <v>83.822160106200016</v>
      </c>
      <c r="T407" s="319">
        <f>Inputs!Q49</f>
        <v>178.80952295294401</v>
      </c>
      <c r="U407" s="319">
        <f>Inputs!R49</f>
        <v>43.404541674200004</v>
      </c>
      <c r="V407" s="319">
        <f>Inputs!S49</f>
        <v>2480.8966560422537</v>
      </c>
      <c r="W407" s="319">
        <f>Inputs!T49</f>
        <v>58.830451674199999</v>
      </c>
      <c r="X407" s="319">
        <f>Inputs!U49</f>
        <v>66.119801674200005</v>
      </c>
      <c r="Y407" s="319">
        <f>Inputs!V49</f>
        <v>49.327041674200004</v>
      </c>
      <c r="Z407" s="319">
        <f>Inputs!W49</f>
        <v>49.327041674200004</v>
      </c>
      <c r="AA407" s="319">
        <f>Inputs!X49</f>
        <v>210.93519579730363</v>
      </c>
      <c r="AB407" s="319">
        <f>Inputs!Y49</f>
        <v>372.99167320436902</v>
      </c>
      <c r="AC407" s="319">
        <f>Inputs!Z49</f>
        <v>83.822160106200016</v>
      </c>
      <c r="AD407" s="319">
        <f>Inputs!AA49</f>
        <v>43.404541674200004</v>
      </c>
      <c r="AE407" s="319">
        <f>Inputs!AB49</f>
        <v>49.327041674200004</v>
      </c>
      <c r="AF407" s="319">
        <f>Inputs!AC49</f>
        <v>2501.1449361862537</v>
      </c>
      <c r="AG407" s="319">
        <f>Inputs!AD49</f>
        <v>52.9079516742</v>
      </c>
      <c r="AH407" s="319">
        <f>Inputs!AE49</f>
        <v>161.52478295294401</v>
      </c>
      <c r="AI407" s="319">
        <f>Inputs!AF49</f>
        <v>49.327041674200004</v>
      </c>
      <c r="AJ407" s="319">
        <f>Inputs!AG49</f>
        <v>63.404541674200004</v>
      </c>
      <c r="AK407" s="319"/>
      <c r="AL407" s="319"/>
      <c r="AM407" s="319"/>
      <c r="AN407" s="319"/>
    </row>
    <row r="408" spans="3:40" outlineLevel="3">
      <c r="C408" t="str">
        <f>Inputs!C51</f>
        <v>Relação Com O Usuário</v>
      </c>
      <c r="D408" t="str">
        <f>Inputs!D67</f>
        <v>Indivisível</v>
      </c>
      <c r="E408" s="76" t="s">
        <v>13</v>
      </c>
      <c r="F408" s="23">
        <f t="shared" si="445"/>
        <v>473.21202999999997</v>
      </c>
      <c r="G408" s="319">
        <f>Inputs!D51</f>
        <v>175.2099</v>
      </c>
      <c r="H408" s="319">
        <f>Inputs!E51</f>
        <v>61.509409999999995</v>
      </c>
      <c r="I408" s="319">
        <f>Inputs!F51</f>
        <v>0</v>
      </c>
      <c r="J408" s="319">
        <f>Inputs!G51</f>
        <v>0</v>
      </c>
      <c r="K408" s="319">
        <f>Inputs!H51</f>
        <v>0</v>
      </c>
      <c r="L408" s="319">
        <f>Inputs!I51</f>
        <v>25.209900000000001</v>
      </c>
      <c r="M408" s="319">
        <f>Inputs!J51</f>
        <v>10.874799999999999</v>
      </c>
      <c r="N408" s="319">
        <f>Inputs!K51</f>
        <v>0</v>
      </c>
      <c r="O408" s="319">
        <f>Inputs!L51</f>
        <v>0</v>
      </c>
      <c r="P408" s="319">
        <f>Inputs!M51</f>
        <v>0</v>
      </c>
      <c r="Q408" s="319">
        <f>Inputs!N51</f>
        <v>25.209900000000001</v>
      </c>
      <c r="R408" s="319">
        <f>Inputs!O51</f>
        <v>38.909409999999994</v>
      </c>
      <c r="S408" s="319">
        <f>Inputs!P51</f>
        <v>0</v>
      </c>
      <c r="T408" s="319">
        <f>Inputs!Q51</f>
        <v>0</v>
      </c>
      <c r="U408" s="319">
        <f>Inputs!R51</f>
        <v>0</v>
      </c>
      <c r="V408" s="319">
        <f>Inputs!S51</f>
        <v>25.209900000000001</v>
      </c>
      <c r="W408" s="319">
        <f>Inputs!T51</f>
        <v>10.874799999999999</v>
      </c>
      <c r="X408" s="319">
        <f>Inputs!U51</f>
        <v>0</v>
      </c>
      <c r="Y408" s="319">
        <f>Inputs!V51</f>
        <v>0</v>
      </c>
      <c r="Z408" s="319">
        <f>Inputs!W51</f>
        <v>0</v>
      </c>
      <c r="AA408" s="319">
        <f>Inputs!X51</f>
        <v>25.209900000000001</v>
      </c>
      <c r="AB408" s="319">
        <f>Inputs!Y51</f>
        <v>38.909409999999994</v>
      </c>
      <c r="AC408" s="319">
        <f>Inputs!Z51</f>
        <v>0</v>
      </c>
      <c r="AD408" s="319">
        <f>Inputs!AA51</f>
        <v>0</v>
      </c>
      <c r="AE408" s="319">
        <f>Inputs!AB51</f>
        <v>0</v>
      </c>
      <c r="AF408" s="319">
        <f>Inputs!AC51</f>
        <v>25.209900000000001</v>
      </c>
      <c r="AG408" s="319">
        <f>Inputs!AD51</f>
        <v>10.874799999999999</v>
      </c>
      <c r="AH408" s="319">
        <f>Inputs!AE51</f>
        <v>0</v>
      </c>
      <c r="AI408" s="319">
        <f>Inputs!AF51</f>
        <v>0</v>
      </c>
      <c r="AJ408" s="319">
        <f>Inputs!AG51</f>
        <v>0</v>
      </c>
      <c r="AK408" s="319"/>
      <c r="AL408" s="319"/>
      <c r="AM408" s="319"/>
      <c r="AN408" s="319"/>
    </row>
    <row r="409" spans="3:40" outlineLevel="3">
      <c r="C409" t="str">
        <f>Inputs!C52</f>
        <v>Administração Local</v>
      </c>
      <c r="D409" t="str">
        <f>Inputs!D68</f>
        <v>Indivisível</v>
      </c>
      <c r="E409" s="76" t="s">
        <v>13</v>
      </c>
      <c r="F409" s="23">
        <f t="shared" si="445"/>
        <v>458.99517000000003</v>
      </c>
      <c r="G409" s="319">
        <f>Inputs!D52</f>
        <v>126.94889000000001</v>
      </c>
      <c r="H409" s="319">
        <f>Inputs!E52</f>
        <v>0</v>
      </c>
      <c r="I409" s="319">
        <f>Inputs!F52</f>
        <v>0</v>
      </c>
      <c r="J409" s="319">
        <f>Inputs!G52</f>
        <v>0</v>
      </c>
      <c r="K409" s="319">
        <f>Inputs!H52</f>
        <v>0</v>
      </c>
      <c r="L409" s="319">
        <f>Inputs!I52</f>
        <v>26.049499999999998</v>
      </c>
      <c r="M409" s="319">
        <f>Inputs!J52</f>
        <v>0</v>
      </c>
      <c r="N409" s="319">
        <f>Inputs!K52</f>
        <v>0</v>
      </c>
      <c r="O409" s="319">
        <f>Inputs!L52</f>
        <v>0</v>
      </c>
      <c r="P409" s="319">
        <f>Inputs!M52</f>
        <v>0</v>
      </c>
      <c r="Q409" s="319">
        <f>Inputs!N52</f>
        <v>126.94889000000001</v>
      </c>
      <c r="R409" s="319">
        <f>Inputs!O52</f>
        <v>0</v>
      </c>
      <c r="S409" s="319">
        <f>Inputs!P52</f>
        <v>0</v>
      </c>
      <c r="T409" s="319">
        <f>Inputs!Q52</f>
        <v>0</v>
      </c>
      <c r="U409" s="319">
        <f>Inputs!R52</f>
        <v>0</v>
      </c>
      <c r="V409" s="319">
        <f>Inputs!S52</f>
        <v>26.049499999999998</v>
      </c>
      <c r="W409" s="319">
        <f>Inputs!T52</f>
        <v>0</v>
      </c>
      <c r="X409" s="319">
        <f>Inputs!U52</f>
        <v>0</v>
      </c>
      <c r="Y409" s="319">
        <f>Inputs!V52</f>
        <v>0</v>
      </c>
      <c r="Z409" s="319">
        <f>Inputs!W52</f>
        <v>0</v>
      </c>
      <c r="AA409" s="319">
        <f>Inputs!X52</f>
        <v>126.94889000000001</v>
      </c>
      <c r="AB409" s="319">
        <f>Inputs!Y52</f>
        <v>0</v>
      </c>
      <c r="AC409" s="319">
        <f>Inputs!Z52</f>
        <v>0</v>
      </c>
      <c r="AD409" s="319">
        <f>Inputs!AA52</f>
        <v>0</v>
      </c>
      <c r="AE409" s="319">
        <f>Inputs!AB52</f>
        <v>0</v>
      </c>
      <c r="AF409" s="319">
        <f>Inputs!AC52</f>
        <v>26.049499999999998</v>
      </c>
      <c r="AG409" s="319">
        <f>Inputs!AD52</f>
        <v>0</v>
      </c>
      <c r="AH409" s="319">
        <f>Inputs!AE52</f>
        <v>0</v>
      </c>
      <c r="AI409" s="319">
        <f>Inputs!AF52</f>
        <v>0</v>
      </c>
      <c r="AJ409" s="319">
        <f>Inputs!AG52</f>
        <v>0</v>
      </c>
      <c r="AK409" s="319"/>
      <c r="AL409" s="319"/>
      <c r="AM409" s="319"/>
      <c r="AN409" s="319"/>
    </row>
    <row r="410" spans="3:40" outlineLevel="3">
      <c r="C410" t="str">
        <f>Inputs!C53</f>
        <v>Reembolso Do PMI</v>
      </c>
      <c r="D410" t="str">
        <f>Inputs!D69</f>
        <v>Indivisível</v>
      </c>
      <c r="E410" s="76" t="s">
        <v>13</v>
      </c>
      <c r="F410" s="23">
        <f t="shared" si="445"/>
        <v>1000</v>
      </c>
      <c r="G410" s="319">
        <f>Inputs!D53</f>
        <v>1000</v>
      </c>
      <c r="H410" s="319">
        <f>Inputs!E53</f>
        <v>0</v>
      </c>
      <c r="I410" s="319">
        <f>Inputs!F53</f>
        <v>0</v>
      </c>
      <c r="J410" s="319">
        <f>Inputs!G53</f>
        <v>0</v>
      </c>
      <c r="K410" s="319">
        <f>Inputs!H53</f>
        <v>0</v>
      </c>
      <c r="L410" s="319">
        <f>Inputs!I53</f>
        <v>0</v>
      </c>
      <c r="M410" s="319">
        <f>Inputs!J53</f>
        <v>0</v>
      </c>
      <c r="N410" s="319">
        <f>Inputs!K53</f>
        <v>0</v>
      </c>
      <c r="O410" s="319">
        <f>Inputs!L53</f>
        <v>0</v>
      </c>
      <c r="P410" s="319">
        <f>Inputs!M53</f>
        <v>0</v>
      </c>
      <c r="Q410" s="319">
        <f>Inputs!N53</f>
        <v>0</v>
      </c>
      <c r="R410" s="319">
        <f>Inputs!O53</f>
        <v>0</v>
      </c>
      <c r="S410" s="319">
        <f>Inputs!P53</f>
        <v>0</v>
      </c>
      <c r="T410" s="319">
        <f>Inputs!Q53</f>
        <v>0</v>
      </c>
      <c r="U410" s="319">
        <f>Inputs!R53</f>
        <v>0</v>
      </c>
      <c r="V410" s="319">
        <f>Inputs!S53</f>
        <v>0</v>
      </c>
      <c r="W410" s="319">
        <f>Inputs!T53</f>
        <v>0</v>
      </c>
      <c r="X410" s="319">
        <f>Inputs!U53</f>
        <v>0</v>
      </c>
      <c r="Y410" s="319">
        <f>Inputs!V53</f>
        <v>0</v>
      </c>
      <c r="Z410" s="319">
        <f>Inputs!W53</f>
        <v>0</v>
      </c>
      <c r="AA410" s="319">
        <f>Inputs!X53</f>
        <v>0</v>
      </c>
      <c r="AB410" s="319">
        <f>Inputs!Y53</f>
        <v>0</v>
      </c>
      <c r="AC410" s="319">
        <f>Inputs!Z53</f>
        <v>0</v>
      </c>
      <c r="AD410" s="319">
        <f>Inputs!AA53</f>
        <v>0</v>
      </c>
      <c r="AE410" s="319">
        <f>Inputs!AB53</f>
        <v>0</v>
      </c>
      <c r="AF410" s="319">
        <f>Inputs!AC53</f>
        <v>0</v>
      </c>
      <c r="AG410" s="319">
        <f>Inputs!AD53</f>
        <v>0</v>
      </c>
      <c r="AH410" s="319">
        <f>Inputs!AE53</f>
        <v>0</v>
      </c>
      <c r="AI410" s="319">
        <f>Inputs!AF53</f>
        <v>0</v>
      </c>
      <c r="AJ410" s="319">
        <f>Inputs!AG53</f>
        <v>0</v>
      </c>
      <c r="AK410" s="319"/>
      <c r="AL410" s="319"/>
      <c r="AM410" s="319"/>
      <c r="AN410" s="319"/>
    </row>
    <row r="411" spans="3:40" outlineLevel="3">
      <c r="C411"/>
      <c r="D411" s="266"/>
      <c r="E411" s="76"/>
      <c r="F411"/>
      <c r="G411" s="319"/>
      <c r="H411" s="319"/>
      <c r="I411" s="319"/>
      <c r="J411" s="319"/>
      <c r="K411" s="319"/>
      <c r="L411" s="319"/>
      <c r="M411" s="319"/>
      <c r="N411" s="319"/>
      <c r="O411" s="319"/>
      <c r="P411" s="319"/>
      <c r="Q411" s="319"/>
      <c r="R411" s="319"/>
      <c r="S411" s="319"/>
      <c r="T411" s="319"/>
      <c r="U411" s="319"/>
      <c r="V411" s="319"/>
      <c r="W411" s="319"/>
      <c r="X411" s="319"/>
      <c r="Y411" s="319"/>
      <c r="Z411" s="319"/>
      <c r="AA411" s="319"/>
      <c r="AB411" s="319"/>
      <c r="AC411" s="319"/>
      <c r="AD411" s="319"/>
      <c r="AE411" s="319"/>
      <c r="AF411" s="319"/>
      <c r="AG411" s="319"/>
      <c r="AH411" s="319"/>
      <c r="AI411" s="319"/>
      <c r="AJ411" s="319"/>
      <c r="AK411" s="319"/>
      <c r="AL411" s="319"/>
      <c r="AM411" s="319"/>
      <c r="AN411" s="319"/>
    </row>
    <row r="412" spans="3:40" outlineLevel="3">
      <c r="C412" t="s">
        <v>456</v>
      </c>
      <c r="D412" t="s">
        <v>170</v>
      </c>
      <c r="E412" s="76" t="s">
        <v>13</v>
      </c>
      <c r="F412" s="23">
        <f>SUM(G412:AN412)</f>
        <v>73286.584292563057</v>
      </c>
      <c r="G412" s="319">
        <f t="shared" ref="G412:P413" si="447">SUMIF($D$400:$D$410,$D412,G$400:G$410)</f>
        <v>9009.4527308959987</v>
      </c>
      <c r="H412" s="319">
        <f t="shared" si="447"/>
        <v>1410.9263993250449</v>
      </c>
      <c r="I412" s="319">
        <f t="shared" si="447"/>
        <v>1743.4786958342002</v>
      </c>
      <c r="J412" s="319">
        <f t="shared" si="447"/>
        <v>383.7170416742</v>
      </c>
      <c r="K412" s="319">
        <f t="shared" si="447"/>
        <v>763.15204167420006</v>
      </c>
      <c r="L412" s="319">
        <f t="shared" si="447"/>
        <v>12231.004333370471</v>
      </c>
      <c r="M412" s="319">
        <f t="shared" si="447"/>
        <v>217.172932952944</v>
      </c>
      <c r="N412" s="319">
        <f t="shared" si="447"/>
        <v>8189.1826116742004</v>
      </c>
      <c r="O412" s="319">
        <f t="shared" si="447"/>
        <v>43.404541674200004</v>
      </c>
      <c r="P412" s="319">
        <f t="shared" si="447"/>
        <v>832.01204167420008</v>
      </c>
      <c r="Q412" s="319">
        <f t="shared" ref="Q412:Z413" si="448">SUMIF($D$400:$D$410,$D412,Q$400:Q$410)</f>
        <v>850.92721451855948</v>
      </c>
      <c r="R412" s="319">
        <f t="shared" si="448"/>
        <v>1060.8941732043691</v>
      </c>
      <c r="S412" s="319">
        <f t="shared" si="448"/>
        <v>784.16692010620011</v>
      </c>
      <c r="T412" s="319">
        <f t="shared" si="448"/>
        <v>178.80952295294401</v>
      </c>
      <c r="U412" s="319">
        <f t="shared" si="448"/>
        <v>8180.5448516742008</v>
      </c>
      <c r="V412" s="319">
        <f t="shared" si="448"/>
        <v>2559.7566560422538</v>
      </c>
      <c r="W412" s="319">
        <f t="shared" si="448"/>
        <v>772.65545167420009</v>
      </c>
      <c r="X412" s="319">
        <f t="shared" si="448"/>
        <v>351.64980167419998</v>
      </c>
      <c r="Y412" s="319">
        <f t="shared" si="448"/>
        <v>812.01204167420008</v>
      </c>
      <c r="Z412" s="319">
        <f t="shared" si="448"/>
        <v>49.327041674200004</v>
      </c>
      <c r="AA412" s="319">
        <f t="shared" ref="AA412:AN413" si="449">SUMIF($D$400:$D$410,$D412,AA$400:AA$410)</f>
        <v>668.95719579730371</v>
      </c>
      <c r="AB412" s="319">
        <f t="shared" si="449"/>
        <v>8558.9919832043688</v>
      </c>
      <c r="AC412" s="319">
        <f t="shared" si="449"/>
        <v>735.3069201062001</v>
      </c>
      <c r="AD412" s="319">
        <f t="shared" si="449"/>
        <v>757.22954167420005</v>
      </c>
      <c r="AE412" s="319">
        <f t="shared" si="449"/>
        <v>383.7170416742</v>
      </c>
      <c r="AF412" s="319">
        <f t="shared" si="449"/>
        <v>3244.969936186254</v>
      </c>
      <c r="AG412" s="319">
        <f t="shared" si="449"/>
        <v>52.9079516742</v>
      </c>
      <c r="AH412" s="319">
        <f t="shared" si="449"/>
        <v>1983.1910029529438</v>
      </c>
      <c r="AI412" s="319">
        <f t="shared" si="449"/>
        <v>6413.6611316742001</v>
      </c>
      <c r="AJ412" s="319">
        <f t="shared" si="449"/>
        <v>63.404541674200004</v>
      </c>
      <c r="AK412" s="319">
        <f t="shared" si="449"/>
        <v>0</v>
      </c>
      <c r="AL412" s="319">
        <f t="shared" si="449"/>
        <v>0</v>
      </c>
      <c r="AM412" s="319">
        <f t="shared" si="449"/>
        <v>0</v>
      </c>
      <c r="AN412" s="319">
        <f t="shared" si="449"/>
        <v>0</v>
      </c>
    </row>
    <row r="413" spans="3:40" outlineLevel="3">
      <c r="C413" t="s">
        <v>457</v>
      </c>
      <c r="D413" t="s">
        <v>171</v>
      </c>
      <c r="E413" s="76" t="s">
        <v>13</v>
      </c>
      <c r="F413" s="24">
        <f>SUM(G413:AN413)</f>
        <v>3489.9020000000005</v>
      </c>
      <c r="G413" s="319">
        <f t="shared" si="447"/>
        <v>1765.5783900000001</v>
      </c>
      <c r="H413" s="319">
        <f t="shared" si="447"/>
        <v>61.509409999999995</v>
      </c>
      <c r="I413" s="319">
        <f t="shared" si="447"/>
        <v>0</v>
      </c>
      <c r="J413" s="319">
        <f t="shared" si="447"/>
        <v>13.5472</v>
      </c>
      <c r="K413" s="319">
        <f t="shared" si="447"/>
        <v>0</v>
      </c>
      <c r="L413" s="319">
        <f t="shared" si="447"/>
        <v>74.508799999999994</v>
      </c>
      <c r="M413" s="319">
        <f t="shared" si="447"/>
        <v>24.421999999999997</v>
      </c>
      <c r="N413" s="319">
        <f t="shared" si="447"/>
        <v>0</v>
      </c>
      <c r="O413" s="319">
        <f t="shared" si="447"/>
        <v>0</v>
      </c>
      <c r="P413" s="319">
        <f t="shared" si="447"/>
        <v>13.767000000000001</v>
      </c>
      <c r="Q413" s="319">
        <f t="shared" si="448"/>
        <v>602.03119000000004</v>
      </c>
      <c r="R413" s="319">
        <f t="shared" si="448"/>
        <v>38.909409999999994</v>
      </c>
      <c r="S413" s="319">
        <f t="shared" si="448"/>
        <v>13.767000000000001</v>
      </c>
      <c r="T413" s="319">
        <f t="shared" si="448"/>
        <v>0</v>
      </c>
      <c r="U413" s="319">
        <f t="shared" si="448"/>
        <v>0</v>
      </c>
      <c r="V413" s="319">
        <f t="shared" si="448"/>
        <v>88.275800000000004</v>
      </c>
      <c r="W413" s="319">
        <f t="shared" si="448"/>
        <v>10.874799999999999</v>
      </c>
      <c r="X413" s="319">
        <f t="shared" si="448"/>
        <v>0</v>
      </c>
      <c r="Y413" s="319">
        <f t="shared" si="448"/>
        <v>13.986800000000001</v>
      </c>
      <c r="Z413" s="319">
        <f t="shared" si="448"/>
        <v>0</v>
      </c>
      <c r="AA413" s="319">
        <f t="shared" si="449"/>
        <v>602.03119000000004</v>
      </c>
      <c r="AB413" s="319">
        <f t="shared" si="449"/>
        <v>52.896209999999996</v>
      </c>
      <c r="AC413" s="319">
        <f t="shared" si="449"/>
        <v>0</v>
      </c>
      <c r="AD413" s="319">
        <f t="shared" si="449"/>
        <v>0</v>
      </c>
      <c r="AE413" s="319">
        <f t="shared" si="449"/>
        <v>14.206600000000002</v>
      </c>
      <c r="AF413" s="319">
        <f t="shared" si="449"/>
        <v>74.508799999999994</v>
      </c>
      <c r="AG413" s="319">
        <f t="shared" si="449"/>
        <v>10.874799999999999</v>
      </c>
      <c r="AH413" s="319">
        <f t="shared" si="449"/>
        <v>14.206600000000002</v>
      </c>
      <c r="AI413" s="319">
        <f t="shared" si="449"/>
        <v>0</v>
      </c>
      <c r="AJ413" s="319">
        <f t="shared" si="449"/>
        <v>0</v>
      </c>
      <c r="AK413" s="319">
        <f t="shared" si="449"/>
        <v>0</v>
      </c>
      <c r="AL413" s="319">
        <f t="shared" si="449"/>
        <v>0</v>
      </c>
      <c r="AM413" s="319">
        <f t="shared" si="449"/>
        <v>0</v>
      </c>
      <c r="AN413" s="319">
        <f t="shared" si="449"/>
        <v>0</v>
      </c>
    </row>
    <row r="414" spans="3:40" outlineLevel="3">
      <c r="C414" t="s">
        <v>458</v>
      </c>
      <c r="D414" s="275"/>
      <c r="E414" s="203"/>
      <c r="F414" s="23">
        <f>SUM(G414:AN414)</f>
        <v>76776.486292563059</v>
      </c>
      <c r="G414" s="319">
        <f t="shared" ref="G414:AN414" si="450">SUM(G412:G413)</f>
        <v>10775.031120895999</v>
      </c>
      <c r="H414" s="319">
        <f t="shared" si="450"/>
        <v>1472.4358093250448</v>
      </c>
      <c r="I414" s="319">
        <f t="shared" si="450"/>
        <v>1743.4786958342002</v>
      </c>
      <c r="J414" s="319">
        <f t="shared" si="450"/>
        <v>397.26424167419998</v>
      </c>
      <c r="K414" s="319">
        <f t="shared" si="450"/>
        <v>763.15204167420006</v>
      </c>
      <c r="L414" s="319">
        <f t="shared" si="450"/>
        <v>12305.51313337047</v>
      </c>
      <c r="M414" s="319">
        <f t="shared" si="450"/>
        <v>241.59493295294399</v>
      </c>
      <c r="N414" s="319">
        <f t="shared" si="450"/>
        <v>8189.1826116742004</v>
      </c>
      <c r="O414" s="319">
        <f t="shared" si="450"/>
        <v>43.404541674200004</v>
      </c>
      <c r="P414" s="319">
        <f t="shared" si="450"/>
        <v>845.77904167420013</v>
      </c>
      <c r="Q414" s="319">
        <f t="shared" si="450"/>
        <v>1452.9584045185595</v>
      </c>
      <c r="R414" s="319">
        <f t="shared" si="450"/>
        <v>1099.803583204369</v>
      </c>
      <c r="S414" s="319">
        <f t="shared" si="450"/>
        <v>797.93392010620016</v>
      </c>
      <c r="T414" s="319">
        <f t="shared" si="450"/>
        <v>178.80952295294401</v>
      </c>
      <c r="U414" s="319">
        <f t="shared" si="450"/>
        <v>8180.5448516742008</v>
      </c>
      <c r="V414" s="319">
        <f t="shared" si="450"/>
        <v>2648.0324560422537</v>
      </c>
      <c r="W414" s="319">
        <f t="shared" si="450"/>
        <v>783.53025167420014</v>
      </c>
      <c r="X414" s="319">
        <f t="shared" si="450"/>
        <v>351.64980167419998</v>
      </c>
      <c r="Y414" s="319">
        <f t="shared" si="450"/>
        <v>825.99884167420009</v>
      </c>
      <c r="Z414" s="319">
        <f t="shared" si="450"/>
        <v>49.327041674200004</v>
      </c>
      <c r="AA414" s="319">
        <f t="shared" si="450"/>
        <v>1270.9883857973036</v>
      </c>
      <c r="AB414" s="319">
        <f t="shared" si="450"/>
        <v>8611.8881932043696</v>
      </c>
      <c r="AC414" s="319">
        <f t="shared" si="450"/>
        <v>735.3069201062001</v>
      </c>
      <c r="AD414" s="319">
        <f t="shared" si="450"/>
        <v>757.22954167420005</v>
      </c>
      <c r="AE414" s="319">
        <f t="shared" si="450"/>
        <v>397.92364167419998</v>
      </c>
      <c r="AF414" s="319">
        <f t="shared" si="450"/>
        <v>3319.4787361862541</v>
      </c>
      <c r="AG414" s="319">
        <f t="shared" si="450"/>
        <v>63.7827516742</v>
      </c>
      <c r="AH414" s="319">
        <f t="shared" si="450"/>
        <v>1997.3976029529438</v>
      </c>
      <c r="AI414" s="319">
        <f t="shared" si="450"/>
        <v>6413.6611316742001</v>
      </c>
      <c r="AJ414" s="319">
        <f t="shared" si="450"/>
        <v>63.404541674200004</v>
      </c>
      <c r="AK414" s="319">
        <f t="shared" si="450"/>
        <v>0</v>
      </c>
      <c r="AL414" s="319">
        <f t="shared" si="450"/>
        <v>0</v>
      </c>
      <c r="AM414" s="319">
        <f t="shared" si="450"/>
        <v>0</v>
      </c>
      <c r="AN414" s="319">
        <f t="shared" si="450"/>
        <v>0</v>
      </c>
    </row>
    <row r="415" spans="3:40" outlineLevel="2">
      <c r="C415"/>
      <c r="D415" s="266"/>
      <c r="E415" s="76"/>
      <c r="F415"/>
    </row>
    <row r="416" spans="3:40" outlineLevel="1">
      <c r="C416"/>
      <c r="D416" s="266"/>
      <c r="E416" s="76"/>
      <c r="F416"/>
    </row>
    <row r="417" spans="3:40" outlineLevel="1">
      <c r="C417" t="s">
        <v>459</v>
      </c>
      <c r="D417" s="266"/>
      <c r="E417" s="76"/>
      <c r="F417"/>
    </row>
    <row r="418" spans="3:40" outlineLevel="2">
      <c r="C418"/>
      <c r="D418" s="266"/>
      <c r="E418" s="76"/>
      <c r="F418"/>
    </row>
    <row r="419" spans="3:40" outlineLevel="2">
      <c r="C419" t="s">
        <v>460</v>
      </c>
      <c r="D419" s="266"/>
      <c r="E419" s="76"/>
      <c r="F419"/>
    </row>
    <row r="420" spans="3:40" outlineLevel="3">
      <c r="C420"/>
      <c r="D420" s="266"/>
      <c r="E420" s="76"/>
      <c r="F420"/>
    </row>
    <row r="421" spans="3:40" outlineLevel="3">
      <c r="C421"/>
      <c r="D421" s="38" t="str">
        <f>Inputs!C256</f>
        <v>Divisivel</v>
      </c>
      <c r="E421" s="76"/>
      <c r="F421"/>
    </row>
    <row r="422" spans="3:40" outlineLevel="3">
      <c r="C422"/>
      <c r="D422" s="266"/>
      <c r="E422" s="76"/>
      <c r="F422"/>
    </row>
    <row r="423" spans="3:40" outlineLevel="3">
      <c r="C423" t="str">
        <f>Inputs!C249</f>
        <v>Estudos</v>
      </c>
      <c r="D423" s="38" t="str">
        <f>Inputs!C249</f>
        <v>Estudos</v>
      </c>
      <c r="E423" s="76" t="s">
        <v>13</v>
      </c>
      <c r="F423" s="26">
        <f>SUM(G423:AN423)</f>
        <v>180</v>
      </c>
      <c r="G423" s="319">
        <f>SUMIFS('CAPEX - Imobilizado fiscal'!E:E,'CAPEX - Imobilizado fiscal'!$C:$C,Ops!$D423,'CAPEX - Imobilizado fiscal'!$D:$D,Ops!$D$421)</f>
        <v>30</v>
      </c>
      <c r="H423" s="319">
        <f>SUMIFS('CAPEX - Imobilizado fiscal'!F:F,'CAPEX - Imobilizado fiscal'!$C:$C,Ops!$D423,'CAPEX - Imobilizado fiscal'!$D:$D,Ops!$D$421)</f>
        <v>0</v>
      </c>
      <c r="I423" s="319">
        <f>SUMIFS('CAPEX - Imobilizado fiscal'!G:G,'CAPEX - Imobilizado fiscal'!$C:$C,Ops!$D423,'CAPEX - Imobilizado fiscal'!$D:$D,Ops!$D$421)</f>
        <v>0</v>
      </c>
      <c r="J423" s="319">
        <f>SUMIFS('CAPEX - Imobilizado fiscal'!H:H,'CAPEX - Imobilizado fiscal'!$C:$C,Ops!$D423,'CAPEX - Imobilizado fiscal'!$D:$D,Ops!$D$421)</f>
        <v>0</v>
      </c>
      <c r="K423" s="319">
        <f>SUMIFS('CAPEX - Imobilizado fiscal'!I:I,'CAPEX - Imobilizado fiscal'!$C:$C,Ops!$D423,'CAPEX - Imobilizado fiscal'!$D:$D,Ops!$D$421)</f>
        <v>0</v>
      </c>
      <c r="L423" s="319">
        <f>SUMIFS('CAPEX - Imobilizado fiscal'!J:J,'CAPEX - Imobilizado fiscal'!$C:$C,Ops!$D423,'CAPEX - Imobilizado fiscal'!$D:$D,Ops!$D$421)</f>
        <v>30</v>
      </c>
      <c r="M423" s="319">
        <f>SUMIFS('CAPEX - Imobilizado fiscal'!K:K,'CAPEX - Imobilizado fiscal'!$C:$C,Ops!$D423,'CAPEX - Imobilizado fiscal'!$D:$D,Ops!$D$421)</f>
        <v>0</v>
      </c>
      <c r="N423" s="319">
        <f>SUMIFS('CAPEX - Imobilizado fiscal'!L:L,'CAPEX - Imobilizado fiscal'!$C:$C,Ops!$D423,'CAPEX - Imobilizado fiscal'!$D:$D,Ops!$D$421)</f>
        <v>0</v>
      </c>
      <c r="O423" s="319">
        <f>SUMIFS('CAPEX - Imobilizado fiscal'!M:M,'CAPEX - Imobilizado fiscal'!$C:$C,Ops!$D423,'CAPEX - Imobilizado fiscal'!$D:$D,Ops!$D$421)</f>
        <v>0</v>
      </c>
      <c r="P423" s="319">
        <f>SUMIFS('CAPEX - Imobilizado fiscal'!N:N,'CAPEX - Imobilizado fiscal'!$C:$C,Ops!$D423,'CAPEX - Imobilizado fiscal'!$D:$D,Ops!$D$421)</f>
        <v>0</v>
      </c>
      <c r="Q423" s="319">
        <f>SUMIFS('CAPEX - Imobilizado fiscal'!O:O,'CAPEX - Imobilizado fiscal'!$C:$C,Ops!$D423,'CAPEX - Imobilizado fiscal'!$D:$D,Ops!$D$421)</f>
        <v>30</v>
      </c>
      <c r="R423" s="319">
        <f>SUMIFS('CAPEX - Imobilizado fiscal'!P:P,'CAPEX - Imobilizado fiscal'!$C:$C,Ops!$D423,'CAPEX - Imobilizado fiscal'!$D:$D,Ops!$D$421)</f>
        <v>0</v>
      </c>
      <c r="S423" s="319">
        <f>SUMIFS('CAPEX - Imobilizado fiscal'!Q:Q,'CAPEX - Imobilizado fiscal'!$C:$C,Ops!$D423,'CAPEX - Imobilizado fiscal'!$D:$D,Ops!$D$421)</f>
        <v>0</v>
      </c>
      <c r="T423" s="319">
        <f>SUMIFS('CAPEX - Imobilizado fiscal'!R:R,'CAPEX - Imobilizado fiscal'!$C:$C,Ops!$D423,'CAPEX - Imobilizado fiscal'!$D:$D,Ops!$D$421)</f>
        <v>0</v>
      </c>
      <c r="U423" s="319">
        <f>SUMIFS('CAPEX - Imobilizado fiscal'!S:S,'CAPEX - Imobilizado fiscal'!$C:$C,Ops!$D423,'CAPEX - Imobilizado fiscal'!$D:$D,Ops!$D$421)</f>
        <v>0</v>
      </c>
      <c r="V423" s="319">
        <f>SUMIFS('CAPEX - Imobilizado fiscal'!T:T,'CAPEX - Imobilizado fiscal'!$C:$C,Ops!$D423,'CAPEX - Imobilizado fiscal'!$D:$D,Ops!$D$421)</f>
        <v>30</v>
      </c>
      <c r="W423" s="319">
        <f>SUMIFS('CAPEX - Imobilizado fiscal'!U:U,'CAPEX - Imobilizado fiscal'!$C:$C,Ops!$D423,'CAPEX - Imobilizado fiscal'!$D:$D,Ops!$D$421)</f>
        <v>0</v>
      </c>
      <c r="X423" s="319">
        <f>SUMIFS('CAPEX - Imobilizado fiscal'!V:V,'CAPEX - Imobilizado fiscal'!$C:$C,Ops!$D423,'CAPEX - Imobilizado fiscal'!$D:$D,Ops!$D$421)</f>
        <v>0</v>
      </c>
      <c r="Y423" s="319">
        <f>SUMIFS('CAPEX - Imobilizado fiscal'!W:W,'CAPEX - Imobilizado fiscal'!$C:$C,Ops!$D423,'CAPEX - Imobilizado fiscal'!$D:$D,Ops!$D$421)</f>
        <v>0</v>
      </c>
      <c r="Z423" s="319">
        <f>SUMIFS('CAPEX - Imobilizado fiscal'!X:X,'CAPEX - Imobilizado fiscal'!$C:$C,Ops!$D423,'CAPEX - Imobilizado fiscal'!$D:$D,Ops!$D$421)</f>
        <v>0</v>
      </c>
      <c r="AA423" s="319">
        <f>SUMIFS('CAPEX - Imobilizado fiscal'!Y:Y,'CAPEX - Imobilizado fiscal'!$C:$C,Ops!$D423,'CAPEX - Imobilizado fiscal'!$D:$D,Ops!$D$421)</f>
        <v>30</v>
      </c>
      <c r="AB423" s="319">
        <f>SUMIFS('CAPEX - Imobilizado fiscal'!Z:Z,'CAPEX - Imobilizado fiscal'!$C:$C,Ops!$D423,'CAPEX - Imobilizado fiscal'!$D:$D,Ops!$D$421)</f>
        <v>0</v>
      </c>
      <c r="AC423" s="319">
        <f>SUMIFS('CAPEX - Imobilizado fiscal'!AA:AA,'CAPEX - Imobilizado fiscal'!$C:$C,Ops!$D423,'CAPEX - Imobilizado fiscal'!$D:$D,Ops!$D$421)</f>
        <v>0</v>
      </c>
      <c r="AD423" s="319">
        <f>SUMIFS('CAPEX - Imobilizado fiscal'!AB:AB,'CAPEX - Imobilizado fiscal'!$C:$C,Ops!$D423,'CAPEX - Imobilizado fiscal'!$D:$D,Ops!$D$421)</f>
        <v>0</v>
      </c>
      <c r="AE423" s="319">
        <f>SUMIFS('CAPEX - Imobilizado fiscal'!AC:AC,'CAPEX - Imobilizado fiscal'!$C:$C,Ops!$D423,'CAPEX - Imobilizado fiscal'!$D:$D,Ops!$D$421)</f>
        <v>0</v>
      </c>
      <c r="AF423" s="319">
        <f>SUMIFS('CAPEX - Imobilizado fiscal'!AD:AD,'CAPEX - Imobilizado fiscal'!$C:$C,Ops!$D423,'CAPEX - Imobilizado fiscal'!$D:$D,Ops!$D$421)</f>
        <v>30</v>
      </c>
      <c r="AG423" s="319">
        <f>SUMIFS('CAPEX - Imobilizado fiscal'!AE:AE,'CAPEX - Imobilizado fiscal'!$C:$C,Ops!$D423,'CAPEX - Imobilizado fiscal'!$D:$D,Ops!$D$421)</f>
        <v>0</v>
      </c>
      <c r="AH423" s="319">
        <f>SUMIFS('CAPEX - Imobilizado fiscal'!AF:AF,'CAPEX - Imobilizado fiscal'!$C:$C,Ops!$D423,'CAPEX - Imobilizado fiscal'!$D:$D,Ops!$D$421)</f>
        <v>0</v>
      </c>
      <c r="AI423" s="319">
        <f>SUMIFS('CAPEX - Imobilizado fiscal'!AG:AG,'CAPEX - Imobilizado fiscal'!$C:$C,Ops!$D423,'CAPEX - Imobilizado fiscal'!$D:$D,Ops!$D$421)</f>
        <v>0</v>
      </c>
      <c r="AJ423" s="319">
        <f>SUMIFS('CAPEX - Imobilizado fiscal'!AH:AH,'CAPEX - Imobilizado fiscal'!$C:$C,Ops!$D423,'CAPEX - Imobilizado fiscal'!$D:$D,Ops!$D$421)</f>
        <v>0</v>
      </c>
      <c r="AK423" s="319">
        <f>SUMIFS('CAPEX - Imobilizado fiscal'!AI:AI,'CAPEX - Imobilizado fiscal'!$C:$C,Ops!$D423,'CAPEX - Imobilizado fiscal'!$D:$D,Ops!$D$421)</f>
        <v>0</v>
      </c>
      <c r="AL423" s="319">
        <f>SUMIFS('CAPEX - Imobilizado fiscal'!AJ:AJ,'CAPEX - Imobilizado fiscal'!$C:$C,Ops!$D423,'CAPEX - Imobilizado fiscal'!$D:$D,Ops!$D$421)</f>
        <v>0</v>
      </c>
      <c r="AM423" s="319">
        <f>SUMIFS('CAPEX - Imobilizado fiscal'!AK:AK,'CAPEX - Imobilizado fiscal'!$C:$C,Ops!$D423,'CAPEX - Imobilizado fiscal'!$D:$D,Ops!$D$421)</f>
        <v>0</v>
      </c>
      <c r="AN423" s="319">
        <f>SUMIFS('CAPEX - Imobilizado fiscal'!AL:AL,'CAPEX - Imobilizado fiscal'!$C:$C,Ops!$D423,'CAPEX - Imobilizado fiscal'!$D:$D,Ops!$D$421)</f>
        <v>0</v>
      </c>
    </row>
    <row r="424" spans="3:40" outlineLevel="3">
      <c r="C424" t="str">
        <f>Inputs!C250</f>
        <v>Veículos</v>
      </c>
      <c r="D424" s="38" t="str">
        <f>Inputs!C250</f>
        <v>Veículos</v>
      </c>
      <c r="E424" s="76" t="s">
        <v>13</v>
      </c>
      <c r="F424" s="26">
        <f>SUM(G424:AN424)</f>
        <v>42359.261630000001</v>
      </c>
      <c r="G424" s="319">
        <f>SUMIFS('CAPEX - Imobilizado fiscal'!E:E,'CAPEX - Imobilizado fiscal'!$C:$C,Ops!$D424,'CAPEX - Imobilizado fiscal'!$D:$D,Ops!$D$421)</f>
        <v>8091.0844699999998</v>
      </c>
      <c r="H424" s="319">
        <f>SUMIFS('CAPEX - Imobilizado fiscal'!F:F,'CAPEX - Imobilizado fiscal'!$C:$C,Ops!$D424,'CAPEX - Imobilizado fiscal'!$D:$D,Ops!$D$421)</f>
        <v>0</v>
      </c>
      <c r="I424" s="319">
        <f>SUMIFS('CAPEX - Imobilizado fiscal'!G:G,'CAPEX - Imobilizado fiscal'!$C:$C,Ops!$D424,'CAPEX - Imobilizado fiscal'!$D:$D,Ops!$D$421)</f>
        <v>648.71976000000006</v>
      </c>
      <c r="J424" s="319">
        <f>SUMIFS('CAPEX - Imobilizado fiscal'!H:H,'CAPEX - Imobilizado fiscal'!$C:$C,Ops!$D424,'CAPEX - Imobilizado fiscal'!$D:$D,Ops!$D$421)</f>
        <v>0</v>
      </c>
      <c r="K424" s="319">
        <f>SUMIFS('CAPEX - Imobilizado fiscal'!I:I,'CAPEX - Imobilizado fiscal'!$C:$C,Ops!$D424,'CAPEX - Imobilizado fiscal'!$D:$D,Ops!$D$421)</f>
        <v>0</v>
      </c>
      <c r="L424" s="319">
        <f>SUMIFS('CAPEX - Imobilizado fiscal'!J:J,'CAPEX - Imobilizado fiscal'!$C:$C,Ops!$D424,'CAPEX - Imobilizado fiscal'!$D:$D,Ops!$D$421)</f>
        <v>0</v>
      </c>
      <c r="M424" s="319">
        <f>SUMIFS('CAPEX - Imobilizado fiscal'!K:K,'CAPEX - Imobilizado fiscal'!$C:$C,Ops!$D424,'CAPEX - Imobilizado fiscal'!$D:$D,Ops!$D$421)</f>
        <v>0</v>
      </c>
      <c r="N424" s="319">
        <f>SUMIFS('CAPEX - Imobilizado fiscal'!L:L,'CAPEX - Imobilizado fiscal'!$C:$C,Ops!$D424,'CAPEX - Imobilizado fiscal'!$D:$D,Ops!$D$421)</f>
        <v>8069.9244699999999</v>
      </c>
      <c r="O424" s="319">
        <f>SUMIFS('CAPEX - Imobilizado fiscal'!M:M,'CAPEX - Imobilizado fiscal'!$C:$C,Ops!$D424,'CAPEX - Imobilizado fiscal'!$D:$D,Ops!$D$421)</f>
        <v>0</v>
      </c>
      <c r="P424" s="319">
        <f>SUMIFS('CAPEX - Imobilizado fiscal'!N:N,'CAPEX - Imobilizado fiscal'!$C:$C,Ops!$D424,'CAPEX - Imobilizado fiscal'!$D:$D,Ops!$D$421)</f>
        <v>0</v>
      </c>
      <c r="Q424" s="319">
        <f>SUMIFS('CAPEX - Imobilizado fiscal'!O:O,'CAPEX - Imobilizado fiscal'!$C:$C,Ops!$D424,'CAPEX - Imobilizado fiscal'!$D:$D,Ops!$D$421)</f>
        <v>21.16</v>
      </c>
      <c r="R424" s="319">
        <f>SUMIFS('CAPEX - Imobilizado fiscal'!P:P,'CAPEX - Imobilizado fiscal'!$C:$C,Ops!$D424,'CAPEX - Imobilizado fiscal'!$D:$D,Ops!$D$421)</f>
        <v>0</v>
      </c>
      <c r="S424" s="319">
        <f>SUMIFS('CAPEX - Imobilizado fiscal'!Q:Q,'CAPEX - Imobilizado fiscal'!$C:$C,Ops!$D424,'CAPEX - Imobilizado fiscal'!$D:$D,Ops!$D$421)</f>
        <v>648.71976000000006</v>
      </c>
      <c r="T424" s="319">
        <f>SUMIFS('CAPEX - Imobilizado fiscal'!R:R,'CAPEX - Imobilizado fiscal'!$C:$C,Ops!$D424,'CAPEX - Imobilizado fiscal'!$D:$D,Ops!$D$421)</f>
        <v>0</v>
      </c>
      <c r="U424" s="319">
        <f>SUMIFS('CAPEX - Imobilizado fiscal'!S:S,'CAPEX - Imobilizado fiscal'!$C:$C,Ops!$D424,'CAPEX - Imobilizado fiscal'!$D:$D,Ops!$D$421)</f>
        <v>8069.9244699999999</v>
      </c>
      <c r="V424" s="319">
        <f>SUMIFS('CAPEX - Imobilizado fiscal'!T:T,'CAPEX - Imobilizado fiscal'!$C:$C,Ops!$D424,'CAPEX - Imobilizado fiscal'!$D:$D,Ops!$D$421)</f>
        <v>0</v>
      </c>
      <c r="W424" s="319">
        <f>SUMIFS('CAPEX - Imobilizado fiscal'!U:U,'CAPEX - Imobilizado fiscal'!$C:$C,Ops!$D424,'CAPEX - Imobilizado fiscal'!$D:$D,Ops!$D$421)</f>
        <v>0</v>
      </c>
      <c r="X424" s="319">
        <f>SUMIFS('CAPEX - Imobilizado fiscal'!V:V,'CAPEX - Imobilizado fiscal'!$C:$C,Ops!$D424,'CAPEX - Imobilizado fiscal'!$D:$D,Ops!$D$421)</f>
        <v>0</v>
      </c>
      <c r="Y424" s="319">
        <f>SUMIFS('CAPEX - Imobilizado fiscal'!W:W,'CAPEX - Imobilizado fiscal'!$C:$C,Ops!$D424,'CAPEX - Imobilizado fiscal'!$D:$D,Ops!$D$421)</f>
        <v>0</v>
      </c>
      <c r="Z424" s="319">
        <f>SUMIFS('CAPEX - Imobilizado fiscal'!X:X,'CAPEX - Imobilizado fiscal'!$C:$C,Ops!$D424,'CAPEX - Imobilizado fiscal'!$D:$D,Ops!$D$421)</f>
        <v>0</v>
      </c>
      <c r="AA424" s="319">
        <f>SUMIFS('CAPEX - Imobilizado fiscal'!Y:Y,'CAPEX - Imobilizado fiscal'!$C:$C,Ops!$D424,'CAPEX - Imobilizado fiscal'!$D:$D,Ops!$D$421)</f>
        <v>21.16</v>
      </c>
      <c r="AB424" s="319">
        <f>SUMIFS('CAPEX - Imobilizado fiscal'!Z:Z,'CAPEX - Imobilizado fiscal'!$C:$C,Ops!$D424,'CAPEX - Imobilizado fiscal'!$D:$D,Ops!$D$421)</f>
        <v>8069.9244699999999</v>
      </c>
      <c r="AC424" s="319">
        <f>SUMIFS('CAPEX - Imobilizado fiscal'!AA:AA,'CAPEX - Imobilizado fiscal'!$C:$C,Ops!$D424,'CAPEX - Imobilizado fiscal'!$D:$D,Ops!$D$421)</f>
        <v>648.71976000000006</v>
      </c>
      <c r="AD424" s="319">
        <f>SUMIFS('CAPEX - Imobilizado fiscal'!AB:AB,'CAPEX - Imobilizado fiscal'!$C:$C,Ops!$D424,'CAPEX - Imobilizado fiscal'!$D:$D,Ops!$D$421)</f>
        <v>0</v>
      </c>
      <c r="AE424" s="319">
        <f>SUMIFS('CAPEX - Imobilizado fiscal'!AC:AC,'CAPEX - Imobilizado fiscal'!$C:$C,Ops!$D424,'CAPEX - Imobilizado fiscal'!$D:$D,Ops!$D$421)</f>
        <v>0</v>
      </c>
      <c r="AF424" s="319">
        <f>SUMIFS('CAPEX - Imobilizado fiscal'!AD:AD,'CAPEX - Imobilizado fiscal'!$C:$C,Ops!$D424,'CAPEX - Imobilizado fiscal'!$D:$D,Ops!$D$421)</f>
        <v>0</v>
      </c>
      <c r="AG424" s="319">
        <f>SUMIFS('CAPEX - Imobilizado fiscal'!AE:AE,'CAPEX - Imobilizado fiscal'!$C:$C,Ops!$D424,'CAPEX - Imobilizado fiscal'!$D:$D,Ops!$D$421)</f>
        <v>0</v>
      </c>
      <c r="AH424" s="319">
        <f>SUMIFS('CAPEX - Imobilizado fiscal'!AF:AF,'CAPEX - Imobilizado fiscal'!$C:$C,Ops!$D424,'CAPEX - Imobilizado fiscal'!$D:$D,Ops!$D$421)</f>
        <v>1761.4922199999999</v>
      </c>
      <c r="AI424" s="319">
        <f>SUMIFS('CAPEX - Imobilizado fiscal'!AG:AG,'CAPEX - Imobilizado fiscal'!$C:$C,Ops!$D424,'CAPEX - Imobilizado fiscal'!$D:$D,Ops!$D$421)</f>
        <v>6308.4322499999998</v>
      </c>
      <c r="AJ424" s="319">
        <f>SUMIFS('CAPEX - Imobilizado fiscal'!AH:AH,'CAPEX - Imobilizado fiscal'!$C:$C,Ops!$D424,'CAPEX - Imobilizado fiscal'!$D:$D,Ops!$D$421)</f>
        <v>0</v>
      </c>
      <c r="AK424" s="319">
        <f>SUMIFS('CAPEX - Imobilizado fiscal'!AI:AI,'CAPEX - Imobilizado fiscal'!$C:$C,Ops!$D424,'CAPEX - Imobilizado fiscal'!$D:$D,Ops!$D$421)</f>
        <v>0</v>
      </c>
      <c r="AL424" s="319">
        <f>SUMIFS('CAPEX - Imobilizado fiscal'!AJ:AJ,'CAPEX - Imobilizado fiscal'!$C:$C,Ops!$D424,'CAPEX - Imobilizado fiscal'!$D:$D,Ops!$D$421)</f>
        <v>0</v>
      </c>
      <c r="AM424" s="319">
        <f>SUMIFS('CAPEX - Imobilizado fiscal'!AK:AK,'CAPEX - Imobilizado fiscal'!$C:$C,Ops!$D424,'CAPEX - Imobilizado fiscal'!$D:$D,Ops!$D$421)</f>
        <v>0</v>
      </c>
      <c r="AN424" s="319">
        <f>SUMIFS('CAPEX - Imobilizado fiscal'!AL:AL,'CAPEX - Imobilizado fiscal'!$C:$C,Ops!$D424,'CAPEX - Imobilizado fiscal'!$D:$D,Ops!$D$421)</f>
        <v>0</v>
      </c>
    </row>
    <row r="425" spans="3:40" outlineLevel="3">
      <c r="C425" t="str">
        <f>Inputs!C251</f>
        <v>Equipamentos</v>
      </c>
      <c r="D425" s="38" t="str">
        <f>Inputs!C251</f>
        <v>Equipamentos</v>
      </c>
      <c r="E425" s="76" t="s">
        <v>13</v>
      </c>
      <c r="F425" s="26">
        <f>SUM(G425:AN425)</f>
        <v>2043.1271655929768</v>
      </c>
      <c r="G425" s="319">
        <f>SUMIFS('CAPEX - Imobilizado fiscal'!E:E,'CAPEX - Imobilizado fiscal'!$C:$C,Ops!$D425,'CAPEX - Imobilizado fiscal'!$D:$D,Ops!$D$421)</f>
        <v>49.327041674200004</v>
      </c>
      <c r="H425" s="319">
        <f>SUMIFS('CAPEX - Imobilizado fiscal'!F:F,'CAPEX - Imobilizado fiscal'!$C:$C,Ops!$D425,'CAPEX - Imobilizado fiscal'!$D:$D,Ops!$D$421)</f>
        <v>92.115191674200005</v>
      </c>
      <c r="I425" s="319">
        <f>SUMIFS('CAPEX - Imobilizado fiscal'!G:G,'CAPEX - Imobilizado fiscal'!$C:$C,Ops!$D425,'CAPEX - Imobilizado fiscal'!$D:$D,Ops!$D$421)</f>
        <v>46.169541674200005</v>
      </c>
      <c r="J425" s="319">
        <f>SUMIFS('CAPEX - Imobilizado fiscal'!H:H,'CAPEX - Imobilizado fiscal'!$C:$C,Ops!$D425,'CAPEX - Imobilizado fiscal'!$D:$D,Ops!$D$421)</f>
        <v>49.327041674200004</v>
      </c>
      <c r="K425" s="319">
        <f>SUMIFS('CAPEX - Imobilizado fiscal'!I:I,'CAPEX - Imobilizado fiscal'!$C:$C,Ops!$D425,'CAPEX - Imobilizado fiscal'!$D:$D,Ops!$D$421)</f>
        <v>49.327041674200004</v>
      </c>
      <c r="L425" s="319">
        <f>SUMIFS('CAPEX - Imobilizado fiscal'!J:J,'CAPEX - Imobilizado fiscal'!$C:$C,Ops!$D425,'CAPEX - Imobilizado fiscal'!$D:$D,Ops!$D$421)</f>
        <v>43.466611710199999</v>
      </c>
      <c r="M425" s="319">
        <f>SUMIFS('CAPEX - Imobilizado fiscal'!K:K,'CAPEX - Imobilizado fiscal'!$C:$C,Ops!$D425,'CAPEX - Imobilizado fiscal'!$D:$D,Ops!$D$421)</f>
        <v>168.31293295294401</v>
      </c>
      <c r="N425" s="319">
        <f>SUMIFS('CAPEX - Imobilizado fiscal'!L:L,'CAPEX - Imobilizado fiscal'!$C:$C,Ops!$D425,'CAPEX - Imobilizado fiscal'!$D:$D,Ops!$D$421)</f>
        <v>52.042301674200004</v>
      </c>
      <c r="O425" s="319">
        <f>SUMIFS('CAPEX - Imobilizado fiscal'!M:M,'CAPEX - Imobilizado fiscal'!$C:$C,Ops!$D425,'CAPEX - Imobilizado fiscal'!$D:$D,Ops!$D$421)</f>
        <v>43.404541674200004</v>
      </c>
      <c r="P425" s="319">
        <f>SUMIFS('CAPEX - Imobilizado fiscal'!N:N,'CAPEX - Imobilizado fiscal'!$C:$C,Ops!$D425,'CAPEX - Imobilizado fiscal'!$D:$D,Ops!$D$421)</f>
        <v>49.327041674200004</v>
      </c>
      <c r="Q425" s="319">
        <f>SUMIFS('CAPEX - Imobilizado fiscal'!O:O,'CAPEX - Imobilizado fiscal'!$C:$C,Ops!$D425,'CAPEX - Imobilizado fiscal'!$D:$D,Ops!$D$421)</f>
        <v>49.327041674200004</v>
      </c>
      <c r="R425" s="319">
        <f>SUMIFS('CAPEX - Imobilizado fiscal'!P:P,'CAPEX - Imobilizado fiscal'!$C:$C,Ops!$D425,'CAPEX - Imobilizado fiscal'!$D:$D,Ops!$D$421)</f>
        <v>88.907951674200007</v>
      </c>
      <c r="S425" s="319">
        <f>SUMIFS('CAPEX - Imobilizado fiscal'!Q:Q,'CAPEX - Imobilizado fiscal'!$C:$C,Ops!$D425,'CAPEX - Imobilizado fiscal'!$D:$D,Ops!$D$421)</f>
        <v>54.807301674200005</v>
      </c>
      <c r="T425" s="319">
        <f>SUMIFS('CAPEX - Imobilizado fiscal'!R:R,'CAPEX - Imobilizado fiscal'!$C:$C,Ops!$D425,'CAPEX - Imobilizado fiscal'!$D:$D,Ops!$D$421)</f>
        <v>158.80952295294401</v>
      </c>
      <c r="U425" s="319">
        <f>SUMIFS('CAPEX - Imobilizado fiscal'!S:S,'CAPEX - Imobilizado fiscal'!$C:$C,Ops!$D425,'CAPEX - Imobilizado fiscal'!$D:$D,Ops!$D$421)</f>
        <v>43.404541674200004</v>
      </c>
      <c r="V425" s="319">
        <f>SUMIFS('CAPEX - Imobilizado fiscal'!T:T,'CAPEX - Imobilizado fiscal'!$C:$C,Ops!$D425,'CAPEX - Imobilizado fiscal'!$D:$D,Ops!$D$421)</f>
        <v>49.389111710199998</v>
      </c>
      <c r="W425" s="319">
        <f>SUMIFS('CAPEX - Imobilizado fiscal'!U:U,'CAPEX - Imobilizado fiscal'!$C:$C,Ops!$D425,'CAPEX - Imobilizado fiscal'!$D:$D,Ops!$D$421)</f>
        <v>58.830451674199999</v>
      </c>
      <c r="X425" s="319">
        <f>SUMIFS('CAPEX - Imobilizado fiscal'!V:V,'CAPEX - Imobilizado fiscal'!$C:$C,Ops!$D425,'CAPEX - Imobilizado fiscal'!$D:$D,Ops!$D$421)</f>
        <v>46.119801674200005</v>
      </c>
      <c r="Y425" s="319">
        <f>SUMIFS('CAPEX - Imobilizado fiscal'!W:W,'CAPEX - Imobilizado fiscal'!$C:$C,Ops!$D425,'CAPEX - Imobilizado fiscal'!$D:$D,Ops!$D$421)</f>
        <v>49.327041674200004</v>
      </c>
      <c r="Z425" s="319">
        <f>SUMIFS('CAPEX - Imobilizado fiscal'!X:X,'CAPEX - Imobilizado fiscal'!$C:$C,Ops!$D425,'CAPEX - Imobilizado fiscal'!$D:$D,Ops!$D$421)</f>
        <v>49.327041674200004</v>
      </c>
      <c r="AA425" s="319">
        <f>SUMIFS('CAPEX - Imobilizado fiscal'!Y:Y,'CAPEX - Imobilizado fiscal'!$C:$C,Ops!$D425,'CAPEX - Imobilizado fiscal'!$D:$D,Ops!$D$421)</f>
        <v>152.88702295294402</v>
      </c>
      <c r="AB425" s="319">
        <f>SUMIFS('CAPEX - Imobilizado fiscal'!Z:Z,'CAPEX - Imobilizado fiscal'!$C:$C,Ops!$D425,'CAPEX - Imobilizado fiscal'!$D:$D,Ops!$D$421)</f>
        <v>94.830451674200006</v>
      </c>
      <c r="AC425" s="319">
        <f>SUMIFS('CAPEX - Imobilizado fiscal'!AA:AA,'CAPEX - Imobilizado fiscal'!$C:$C,Ops!$D425,'CAPEX - Imobilizado fiscal'!$D:$D,Ops!$D$421)</f>
        <v>54.807301674200005</v>
      </c>
      <c r="AD425" s="319">
        <f>SUMIFS('CAPEX - Imobilizado fiscal'!AB:AB,'CAPEX - Imobilizado fiscal'!$C:$C,Ops!$D425,'CAPEX - Imobilizado fiscal'!$D:$D,Ops!$D$421)</f>
        <v>43.404541674200004</v>
      </c>
      <c r="AE425" s="319">
        <f>SUMIFS('CAPEX - Imobilizado fiscal'!AC:AC,'CAPEX - Imobilizado fiscal'!$C:$C,Ops!$D425,'CAPEX - Imobilizado fiscal'!$D:$D,Ops!$D$421)</f>
        <v>49.327041674200004</v>
      </c>
      <c r="AF425" s="319">
        <f>SUMIFS('CAPEX - Imobilizado fiscal'!AD:AD,'CAPEX - Imobilizado fiscal'!$C:$C,Ops!$D425,'CAPEX - Imobilizado fiscal'!$D:$D,Ops!$D$421)</f>
        <v>49.637391854200004</v>
      </c>
      <c r="AG425" s="319">
        <f>SUMIFS('CAPEX - Imobilizado fiscal'!AE:AE,'CAPEX - Imobilizado fiscal'!$C:$C,Ops!$D425,'CAPEX - Imobilizado fiscal'!$D:$D,Ops!$D$421)</f>
        <v>52.9079516742</v>
      </c>
      <c r="AH425" s="319">
        <f>SUMIFS('CAPEX - Imobilizado fiscal'!AF:AF,'CAPEX - Imobilizado fiscal'!$C:$C,Ops!$D425,'CAPEX - Imobilizado fiscal'!$D:$D,Ops!$D$421)</f>
        <v>161.52478295294401</v>
      </c>
      <c r="AI425" s="319">
        <f>SUMIFS('CAPEX - Imobilizado fiscal'!AG:AG,'CAPEX - Imobilizado fiscal'!$C:$C,Ops!$D425,'CAPEX - Imobilizado fiscal'!$D:$D,Ops!$D$421)</f>
        <v>49.327041674200004</v>
      </c>
      <c r="AJ425" s="319">
        <f>SUMIFS('CAPEX - Imobilizado fiscal'!AH:AH,'CAPEX - Imobilizado fiscal'!$C:$C,Ops!$D425,'CAPEX - Imobilizado fiscal'!$D:$D,Ops!$D$421)</f>
        <v>43.404541674200004</v>
      </c>
      <c r="AK425" s="319">
        <f>SUMIFS('CAPEX - Imobilizado fiscal'!AI:AI,'CAPEX - Imobilizado fiscal'!$C:$C,Ops!$D425,'CAPEX - Imobilizado fiscal'!$D:$D,Ops!$D$421)</f>
        <v>0</v>
      </c>
      <c r="AL425" s="319">
        <f>SUMIFS('CAPEX - Imobilizado fiscal'!AJ:AJ,'CAPEX - Imobilizado fiscal'!$C:$C,Ops!$D425,'CAPEX - Imobilizado fiscal'!$D:$D,Ops!$D$421)</f>
        <v>0</v>
      </c>
      <c r="AM425" s="319">
        <f>SUMIFS('CAPEX - Imobilizado fiscal'!AK:AK,'CAPEX - Imobilizado fiscal'!$C:$C,Ops!$D425,'CAPEX - Imobilizado fiscal'!$D:$D,Ops!$D$421)</f>
        <v>0</v>
      </c>
      <c r="AN425" s="319">
        <f>SUMIFS('CAPEX - Imobilizado fiscal'!AL:AL,'CAPEX - Imobilizado fiscal'!$C:$C,Ops!$D425,'CAPEX - Imobilizado fiscal'!$D:$D,Ops!$D$421)</f>
        <v>0</v>
      </c>
    </row>
    <row r="426" spans="3:40" outlineLevel="3">
      <c r="C426" t="str">
        <f>Inputs!C252</f>
        <v>Adicionais</v>
      </c>
      <c r="D426" s="38" t="str">
        <f>Inputs!C252</f>
        <v>Adicionais</v>
      </c>
      <c r="E426" s="76" t="s">
        <v>13</v>
      </c>
      <c r="F426" s="26">
        <f>SUM(G426:AN426)</f>
        <v>26995.009496970077</v>
      </c>
      <c r="G426" s="319">
        <f>SUMIFS('CAPEX - Imobilizado fiscal'!E:E,'CAPEX - Imobilizado fiscal'!$C:$C,Ops!$D426,'CAPEX - Imobilizado fiscal'!$D:$D,Ops!$D$421)</f>
        <v>383.31921922179805</v>
      </c>
      <c r="H426" s="319">
        <f>SUMIFS('CAPEX - Imobilizado fiscal'!F:F,'CAPEX - Imobilizado fiscal'!$C:$C,Ops!$D426,'CAPEX - Imobilizado fiscal'!$D:$D,Ops!$D$421)</f>
        <v>1318.8112076508448</v>
      </c>
      <c r="I426" s="319">
        <f>SUMIFS('CAPEX - Imobilizado fiscal'!G:G,'CAPEX - Imobilizado fiscal'!$C:$C,Ops!$D426,'CAPEX - Imobilizado fiscal'!$D:$D,Ops!$D$421)</f>
        <v>1048.5893941600002</v>
      </c>
      <c r="J426" s="319">
        <f>SUMIFS('CAPEX - Imobilizado fiscal'!H:H,'CAPEX - Imobilizado fiscal'!$C:$C,Ops!$D426,'CAPEX - Imobilizado fiscal'!$D:$D,Ops!$D$421)</f>
        <v>285.52999999999997</v>
      </c>
      <c r="K426" s="319">
        <f>SUMIFS('CAPEX - Imobilizado fiscal'!I:I,'CAPEX - Imobilizado fiscal'!$C:$C,Ops!$D426,'CAPEX - Imobilizado fiscal'!$D:$D,Ops!$D$421)</f>
        <v>713.82500000000005</v>
      </c>
      <c r="L426" s="319">
        <f>SUMIFS('CAPEX - Imobilizado fiscal'!J:J,'CAPEX - Imobilizado fiscal'!$C:$C,Ops!$D426,'CAPEX - Imobilizado fiscal'!$D:$D,Ops!$D$421)</f>
        <v>12157.53772166027</v>
      </c>
      <c r="M426" s="319">
        <f>SUMIFS('CAPEX - Imobilizado fiscal'!K:K,'CAPEX - Imobilizado fiscal'!$C:$C,Ops!$D426,'CAPEX - Imobilizado fiscal'!$D:$D,Ops!$D$421)</f>
        <v>0</v>
      </c>
      <c r="N426" s="319">
        <f>SUMIFS('CAPEX - Imobilizado fiscal'!L:L,'CAPEX - Imobilizado fiscal'!$C:$C,Ops!$D426,'CAPEX - Imobilizado fiscal'!$D:$D,Ops!$D$421)</f>
        <v>67.21584</v>
      </c>
      <c r="O426" s="319">
        <f>SUMIFS('CAPEX - Imobilizado fiscal'!M:M,'CAPEX - Imobilizado fiscal'!$C:$C,Ops!$D426,'CAPEX - Imobilizado fiscal'!$D:$D,Ops!$D$421)</f>
        <v>0</v>
      </c>
      <c r="P426" s="319">
        <f>SUMIFS('CAPEX - Imobilizado fiscal'!N:N,'CAPEX - Imobilizado fiscal'!$C:$C,Ops!$D426,'CAPEX - Imobilizado fiscal'!$D:$D,Ops!$D$421)</f>
        <v>733.82500000000005</v>
      </c>
      <c r="Q426" s="319">
        <f>SUMIFS('CAPEX - Imobilizado fiscal'!O:O,'CAPEX - Imobilizado fiscal'!$C:$C,Ops!$D426,'CAPEX - Imobilizado fiscal'!$D:$D,Ops!$D$421)</f>
        <v>343.57817284435959</v>
      </c>
      <c r="R426" s="319">
        <f>SUMIFS('CAPEX - Imobilizado fiscal'!P:P,'CAPEX - Imobilizado fiscal'!$C:$C,Ops!$D426,'CAPEX - Imobilizado fiscal'!$D:$D,Ops!$D$421)</f>
        <v>971.98622153016913</v>
      </c>
      <c r="S426" s="319">
        <f>SUMIFS('CAPEX - Imobilizado fiscal'!Q:Q,'CAPEX - Imobilizado fiscal'!$C:$C,Ops!$D426,'CAPEX - Imobilizado fiscal'!$D:$D,Ops!$D$421)</f>
        <v>31.779858432000005</v>
      </c>
      <c r="T426" s="319">
        <f>SUMIFS('CAPEX - Imobilizado fiscal'!R:R,'CAPEX - Imobilizado fiscal'!$C:$C,Ops!$D426,'CAPEX - Imobilizado fiscal'!$D:$D,Ops!$D$421)</f>
        <v>20</v>
      </c>
      <c r="U426" s="319">
        <f>SUMIFS('CAPEX - Imobilizado fiscal'!S:S,'CAPEX - Imobilizado fiscal'!$C:$C,Ops!$D426,'CAPEX - Imobilizado fiscal'!$D:$D,Ops!$D$421)</f>
        <v>67.21584</v>
      </c>
      <c r="V426" s="319">
        <f>SUMIFS('CAPEX - Imobilizado fiscal'!T:T,'CAPEX - Imobilizado fiscal'!$C:$C,Ops!$D426,'CAPEX - Imobilizado fiscal'!$D:$D,Ops!$D$421)</f>
        <v>2431.5075443320538</v>
      </c>
      <c r="W426" s="319">
        <f>SUMIFS('CAPEX - Imobilizado fiscal'!U:U,'CAPEX - Imobilizado fiscal'!$C:$C,Ops!$D426,'CAPEX - Imobilizado fiscal'!$D:$D,Ops!$D$421)</f>
        <v>713.82500000000005</v>
      </c>
      <c r="X426" s="319">
        <f>SUMIFS('CAPEX - Imobilizado fiscal'!V:V,'CAPEX - Imobilizado fiscal'!$C:$C,Ops!$D426,'CAPEX - Imobilizado fiscal'!$D:$D,Ops!$D$421)</f>
        <v>305.52999999999997</v>
      </c>
      <c r="Y426" s="319">
        <f>SUMIFS('CAPEX - Imobilizado fiscal'!W:W,'CAPEX - Imobilizado fiscal'!$C:$C,Ops!$D426,'CAPEX - Imobilizado fiscal'!$D:$D,Ops!$D$421)</f>
        <v>713.82500000000005</v>
      </c>
      <c r="Z426" s="319">
        <f>SUMIFS('CAPEX - Imobilizado fiscal'!X:X,'CAPEX - Imobilizado fiscal'!$C:$C,Ops!$D426,'CAPEX - Imobilizado fiscal'!$D:$D,Ops!$D$421)</f>
        <v>0</v>
      </c>
      <c r="AA426" s="319">
        <f>SUMIFS('CAPEX - Imobilizado fiscal'!Y:Y,'CAPEX - Imobilizado fiscal'!$C:$C,Ops!$D426,'CAPEX - Imobilizado fiscal'!$D:$D,Ops!$D$421)</f>
        <v>58.048172844359605</v>
      </c>
      <c r="AB426" s="319">
        <f>SUMIFS('CAPEX - Imobilizado fiscal'!Z:Z,'CAPEX - Imobilizado fiscal'!$C:$C,Ops!$D426,'CAPEX - Imobilizado fiscal'!$D:$D,Ops!$D$421)</f>
        <v>345.37706153016904</v>
      </c>
      <c r="AC426" s="319">
        <f>SUMIFS('CAPEX - Imobilizado fiscal'!AA:AA,'CAPEX - Imobilizado fiscal'!$C:$C,Ops!$D426,'CAPEX - Imobilizado fiscal'!$D:$D,Ops!$D$421)</f>
        <v>31.779858432000005</v>
      </c>
      <c r="AD426" s="319">
        <f>SUMIFS('CAPEX - Imobilizado fiscal'!AB:AB,'CAPEX - Imobilizado fiscal'!$C:$C,Ops!$D426,'CAPEX - Imobilizado fiscal'!$D:$D,Ops!$D$421)</f>
        <v>713.82500000000005</v>
      </c>
      <c r="AE426" s="319">
        <f>SUMIFS('CAPEX - Imobilizado fiscal'!AC:AC,'CAPEX - Imobilizado fiscal'!$C:$C,Ops!$D426,'CAPEX - Imobilizado fiscal'!$D:$D,Ops!$D$421)</f>
        <v>285.52999999999997</v>
      </c>
      <c r="AF426" s="319">
        <f>SUMIFS('CAPEX - Imobilizado fiscal'!AD:AD,'CAPEX - Imobilizado fiscal'!$C:$C,Ops!$D426,'CAPEX - Imobilizado fiscal'!$D:$D,Ops!$D$421)</f>
        <v>3165.3325443320537</v>
      </c>
      <c r="AG426" s="319">
        <f>SUMIFS('CAPEX - Imobilizado fiscal'!AE:AE,'CAPEX - Imobilizado fiscal'!$C:$C,Ops!$D426,'CAPEX - Imobilizado fiscal'!$D:$D,Ops!$D$421)</f>
        <v>0</v>
      </c>
      <c r="AH426" s="319">
        <f>SUMIFS('CAPEX - Imobilizado fiscal'!AF:AF,'CAPEX - Imobilizado fiscal'!$C:$C,Ops!$D426,'CAPEX - Imobilizado fiscal'!$D:$D,Ops!$D$421)</f>
        <v>11.314</v>
      </c>
      <c r="AI426" s="319">
        <f>SUMIFS('CAPEX - Imobilizado fiscal'!AG:AG,'CAPEX - Imobilizado fiscal'!$C:$C,Ops!$D426,'CAPEX - Imobilizado fiscal'!$D:$D,Ops!$D$421)</f>
        <v>55.90184</v>
      </c>
      <c r="AJ426" s="319">
        <f>SUMIFS('CAPEX - Imobilizado fiscal'!AH:AH,'CAPEX - Imobilizado fiscal'!$C:$C,Ops!$D426,'CAPEX - Imobilizado fiscal'!$D:$D,Ops!$D$421)</f>
        <v>20</v>
      </c>
      <c r="AK426" s="319">
        <f>SUMIFS('CAPEX - Imobilizado fiscal'!AI:AI,'CAPEX - Imobilizado fiscal'!$C:$C,Ops!$D426,'CAPEX - Imobilizado fiscal'!$D:$D,Ops!$D$421)</f>
        <v>0</v>
      </c>
      <c r="AL426" s="319">
        <f>SUMIFS('CAPEX - Imobilizado fiscal'!AJ:AJ,'CAPEX - Imobilizado fiscal'!$C:$C,Ops!$D426,'CAPEX - Imobilizado fiscal'!$D:$D,Ops!$D$421)</f>
        <v>0</v>
      </c>
      <c r="AM426" s="319">
        <f>SUMIFS('CAPEX - Imobilizado fiscal'!AK:AK,'CAPEX - Imobilizado fiscal'!$C:$C,Ops!$D426,'CAPEX - Imobilizado fiscal'!$D:$D,Ops!$D$421)</f>
        <v>0</v>
      </c>
      <c r="AN426" s="319">
        <f>SUMIFS('CAPEX - Imobilizado fiscal'!AL:AL,'CAPEX - Imobilizado fiscal'!$C:$C,Ops!$D426,'CAPEX - Imobilizado fiscal'!$D:$D,Ops!$D$421)</f>
        <v>0</v>
      </c>
    </row>
    <row r="427" spans="3:40" outlineLevel="3">
      <c r="C427" t="s">
        <v>461</v>
      </c>
      <c r="D427" s="275"/>
      <c r="E427" s="203"/>
      <c r="F427" s="23">
        <f>SUM(G427:AN427)</f>
        <v>71577.398292563041</v>
      </c>
      <c r="G427" s="319">
        <f t="shared" ref="G427:AN427" si="451">SUM(G423:G426)</f>
        <v>8553.7307308959971</v>
      </c>
      <c r="H427" s="319">
        <f t="shared" si="451"/>
        <v>1410.9263993250449</v>
      </c>
      <c r="I427" s="319">
        <f t="shared" si="451"/>
        <v>1743.4786958342002</v>
      </c>
      <c r="J427" s="319">
        <f t="shared" si="451"/>
        <v>334.85704167419999</v>
      </c>
      <c r="K427" s="319">
        <f t="shared" si="451"/>
        <v>763.15204167420006</v>
      </c>
      <c r="L427" s="319">
        <f t="shared" si="451"/>
        <v>12231.004333370471</v>
      </c>
      <c r="M427" s="319">
        <f t="shared" si="451"/>
        <v>168.31293295294401</v>
      </c>
      <c r="N427" s="319">
        <f t="shared" si="451"/>
        <v>8189.1826116741995</v>
      </c>
      <c r="O427" s="319">
        <f t="shared" si="451"/>
        <v>43.404541674200004</v>
      </c>
      <c r="P427" s="319">
        <f t="shared" si="451"/>
        <v>783.15204167420006</v>
      </c>
      <c r="Q427" s="319">
        <f t="shared" si="451"/>
        <v>444.06521451855957</v>
      </c>
      <c r="R427" s="319">
        <f t="shared" si="451"/>
        <v>1060.8941732043691</v>
      </c>
      <c r="S427" s="319">
        <f t="shared" si="451"/>
        <v>735.30692010619998</v>
      </c>
      <c r="T427" s="319">
        <f t="shared" si="451"/>
        <v>178.80952295294401</v>
      </c>
      <c r="U427" s="319">
        <f t="shared" si="451"/>
        <v>8180.5448516741999</v>
      </c>
      <c r="V427" s="319">
        <f t="shared" si="451"/>
        <v>2510.8966560422537</v>
      </c>
      <c r="W427" s="319">
        <f t="shared" si="451"/>
        <v>772.65545167420009</v>
      </c>
      <c r="X427" s="319">
        <f t="shared" si="451"/>
        <v>351.64980167419998</v>
      </c>
      <c r="Y427" s="319">
        <f t="shared" si="451"/>
        <v>763.15204167420006</v>
      </c>
      <c r="Z427" s="319">
        <f t="shared" si="451"/>
        <v>49.327041674200004</v>
      </c>
      <c r="AA427" s="319">
        <f t="shared" si="451"/>
        <v>262.09519579730363</v>
      </c>
      <c r="AB427" s="319">
        <f t="shared" si="451"/>
        <v>8510.1319832043682</v>
      </c>
      <c r="AC427" s="319">
        <f t="shared" si="451"/>
        <v>735.30692010619998</v>
      </c>
      <c r="AD427" s="319">
        <f t="shared" si="451"/>
        <v>757.22954167420005</v>
      </c>
      <c r="AE427" s="319">
        <f t="shared" si="451"/>
        <v>334.85704167419999</v>
      </c>
      <c r="AF427" s="319">
        <f t="shared" si="451"/>
        <v>3244.9699361862536</v>
      </c>
      <c r="AG427" s="319">
        <f t="shared" si="451"/>
        <v>52.9079516742</v>
      </c>
      <c r="AH427" s="319">
        <f t="shared" si="451"/>
        <v>1934.3310029529439</v>
      </c>
      <c r="AI427" s="319">
        <f t="shared" si="451"/>
        <v>6413.6611316742001</v>
      </c>
      <c r="AJ427" s="319">
        <f t="shared" si="451"/>
        <v>63.404541674200004</v>
      </c>
      <c r="AK427" s="319">
        <f t="shared" si="451"/>
        <v>0</v>
      </c>
      <c r="AL427" s="319">
        <f t="shared" si="451"/>
        <v>0</v>
      </c>
      <c r="AM427" s="319">
        <f t="shared" si="451"/>
        <v>0</v>
      </c>
      <c r="AN427" s="319">
        <f t="shared" si="451"/>
        <v>0</v>
      </c>
    </row>
    <row r="428" spans="3:40" outlineLevel="2">
      <c r="C428"/>
      <c r="D428" s="266"/>
      <c r="E428" s="76"/>
      <c r="F428"/>
      <c r="G428" s="319"/>
      <c r="H428" s="319"/>
      <c r="I428" s="319"/>
      <c r="J428" s="319"/>
      <c r="K428" s="319"/>
      <c r="L428" s="319"/>
      <c r="M428" s="319"/>
      <c r="N428" s="319"/>
      <c r="O428" s="319"/>
      <c r="P428" s="319"/>
      <c r="Q428" s="319"/>
      <c r="R428" s="319"/>
      <c r="S428" s="319"/>
      <c r="T428" s="319"/>
      <c r="U428" s="319"/>
      <c r="V428" s="319"/>
      <c r="W428" s="319"/>
      <c r="X428" s="319"/>
      <c r="Y428" s="319"/>
      <c r="Z428" s="319"/>
      <c r="AA428" s="319"/>
      <c r="AB428" s="319"/>
      <c r="AC428" s="319"/>
      <c r="AD428" s="319"/>
      <c r="AE428" s="319"/>
      <c r="AF428" s="319"/>
      <c r="AG428" s="319"/>
      <c r="AH428" s="319"/>
      <c r="AI428" s="319"/>
      <c r="AJ428" s="319"/>
      <c r="AK428" s="319"/>
      <c r="AL428" s="319"/>
      <c r="AM428" s="319"/>
      <c r="AN428" s="319"/>
    </row>
    <row r="429" spans="3:40" outlineLevel="2">
      <c r="C429" t="s">
        <v>462</v>
      </c>
      <c r="D429" s="266"/>
      <c r="E429" s="76"/>
      <c r="F429"/>
      <c r="G429" s="319"/>
      <c r="H429" s="319"/>
      <c r="I429" s="319"/>
      <c r="J429" s="319"/>
      <c r="K429" s="319"/>
      <c r="L429" s="319"/>
      <c r="M429" s="319"/>
      <c r="N429" s="319"/>
      <c r="O429" s="319"/>
      <c r="P429" s="319"/>
      <c r="Q429" s="319"/>
      <c r="R429" s="319"/>
      <c r="S429" s="319"/>
      <c r="T429" s="319"/>
      <c r="U429" s="319"/>
      <c r="V429" s="319"/>
      <c r="W429" s="319"/>
      <c r="X429" s="319"/>
      <c r="Y429" s="319"/>
      <c r="Z429" s="319"/>
      <c r="AA429" s="319"/>
      <c r="AB429" s="319"/>
      <c r="AC429" s="319"/>
      <c r="AD429" s="319"/>
      <c r="AE429" s="319"/>
      <c r="AF429" s="319"/>
      <c r="AG429" s="319"/>
      <c r="AH429" s="319"/>
      <c r="AI429" s="319"/>
      <c r="AJ429" s="319"/>
      <c r="AK429" s="319"/>
      <c r="AL429" s="319"/>
      <c r="AM429" s="319"/>
      <c r="AN429" s="319"/>
    </row>
    <row r="430" spans="3:40" outlineLevel="3">
      <c r="C430"/>
      <c r="D430" s="266"/>
      <c r="E430" s="76"/>
      <c r="F430"/>
      <c r="G430" s="319"/>
      <c r="H430" s="319"/>
      <c r="I430" s="319"/>
      <c r="J430" s="319"/>
      <c r="K430" s="319"/>
      <c r="L430" s="319"/>
      <c r="M430" s="319"/>
      <c r="N430" s="319"/>
      <c r="O430" s="319"/>
      <c r="P430" s="319"/>
      <c r="Q430" s="319"/>
      <c r="R430" s="319"/>
      <c r="S430" s="319"/>
      <c r="T430" s="319"/>
      <c r="U430" s="319"/>
      <c r="V430" s="319"/>
      <c r="W430" s="319"/>
      <c r="X430" s="319"/>
      <c r="Y430" s="319"/>
      <c r="Z430" s="319"/>
      <c r="AA430" s="319"/>
      <c r="AB430" s="319"/>
      <c r="AC430" s="319"/>
      <c r="AD430" s="319"/>
      <c r="AE430" s="319"/>
      <c r="AF430" s="319"/>
      <c r="AG430" s="319"/>
      <c r="AH430" s="319"/>
      <c r="AI430" s="319"/>
      <c r="AJ430" s="319"/>
      <c r="AK430" s="319"/>
      <c r="AL430" s="319"/>
      <c r="AM430" s="319"/>
      <c r="AN430" s="319"/>
    </row>
    <row r="431" spans="3:40" outlineLevel="3">
      <c r="C431"/>
      <c r="D431" s="38" t="str">
        <f>Inputs!C255</f>
        <v>Indivisível</v>
      </c>
      <c r="E431" s="208"/>
      <c r="F431"/>
      <c r="G431" s="319"/>
      <c r="H431" s="319"/>
      <c r="I431" s="319"/>
      <c r="J431" s="319"/>
      <c r="K431" s="319"/>
      <c r="L431" s="319"/>
      <c r="M431" s="319"/>
      <c r="N431" s="319"/>
      <c r="O431" s="319"/>
      <c r="P431" s="319"/>
      <c r="Q431" s="319"/>
      <c r="R431" s="319"/>
      <c r="S431" s="319"/>
      <c r="T431" s="319"/>
      <c r="U431" s="319"/>
      <c r="V431" s="319"/>
      <c r="W431" s="319"/>
      <c r="X431" s="319"/>
      <c r="Y431" s="319"/>
      <c r="Z431" s="319"/>
      <c r="AA431" s="319"/>
      <c r="AB431" s="319"/>
      <c r="AC431" s="319"/>
      <c r="AD431" s="319"/>
      <c r="AE431" s="319"/>
      <c r="AF431" s="319"/>
      <c r="AG431" s="319"/>
      <c r="AH431" s="319"/>
      <c r="AI431" s="319"/>
      <c r="AJ431" s="319"/>
      <c r="AK431" s="319"/>
      <c r="AL431" s="319"/>
      <c r="AM431" s="319"/>
      <c r="AN431" s="319"/>
    </row>
    <row r="432" spans="3:40" outlineLevel="3">
      <c r="C432"/>
      <c r="D432" s="266"/>
      <c r="E432" s="76"/>
      <c r="F432"/>
      <c r="G432" s="319"/>
      <c r="H432" s="319"/>
      <c r="I432" s="319"/>
      <c r="J432" s="319"/>
      <c r="K432" s="319"/>
      <c r="L432" s="319"/>
      <c r="M432" s="319"/>
      <c r="N432" s="319"/>
      <c r="O432" s="319"/>
      <c r="P432" s="319"/>
      <c r="Q432" s="319"/>
      <c r="R432" s="319"/>
      <c r="S432" s="319"/>
      <c r="T432" s="319"/>
      <c r="U432" s="319"/>
      <c r="V432" s="319"/>
      <c r="W432" s="319"/>
      <c r="X432" s="319"/>
      <c r="Y432" s="319"/>
      <c r="Z432" s="319"/>
      <c r="AA432" s="319"/>
      <c r="AB432" s="319"/>
      <c r="AC432" s="319"/>
      <c r="AD432" s="319"/>
      <c r="AE432" s="319"/>
      <c r="AF432" s="319"/>
      <c r="AG432" s="319"/>
      <c r="AH432" s="319"/>
      <c r="AI432" s="319"/>
      <c r="AJ432" s="319"/>
      <c r="AK432" s="319"/>
      <c r="AL432" s="319"/>
      <c r="AM432" s="319"/>
      <c r="AN432" s="319"/>
    </row>
    <row r="433" spans="3:40" outlineLevel="3">
      <c r="C433" t="str">
        <f>Inputs!C249</f>
        <v>Estudos</v>
      </c>
      <c r="D433" s="38" t="str">
        <f t="shared" ref="D433:D436" si="452">D423</f>
        <v>Estudos</v>
      </c>
      <c r="E433" s="76" t="s">
        <v>13</v>
      </c>
      <c r="F433" s="26">
        <f>SUM(G433:AN433)</f>
        <v>0</v>
      </c>
      <c r="G433" s="319">
        <f>SUMIFS('CAPEX - Imobilizado fiscal'!E:E,'CAPEX - Imobilizado fiscal'!$C:$C,Ops!$D433,'CAPEX - Imobilizado fiscal'!$D:$D,Ops!$D$431)</f>
        <v>0</v>
      </c>
      <c r="H433" s="319">
        <f>SUMIFS('CAPEX - Imobilizado fiscal'!F:F,'CAPEX - Imobilizado fiscal'!$C:$C,Ops!$D433,'CAPEX - Imobilizado fiscal'!$D:$D,Ops!$D$431)</f>
        <v>0</v>
      </c>
      <c r="I433" s="319">
        <f>SUMIFS('CAPEX - Imobilizado fiscal'!G:G,'CAPEX - Imobilizado fiscal'!$C:$C,Ops!$D433,'CAPEX - Imobilizado fiscal'!$D:$D,Ops!$D$431)</f>
        <v>0</v>
      </c>
      <c r="J433" s="319">
        <f>SUMIFS('CAPEX - Imobilizado fiscal'!H:H,'CAPEX - Imobilizado fiscal'!$C:$C,Ops!$D433,'CAPEX - Imobilizado fiscal'!$D:$D,Ops!$D$431)</f>
        <v>0</v>
      </c>
      <c r="K433" s="319">
        <f>SUMIFS('CAPEX - Imobilizado fiscal'!I:I,'CAPEX - Imobilizado fiscal'!$C:$C,Ops!$D433,'CAPEX - Imobilizado fiscal'!$D:$D,Ops!$D$431)</f>
        <v>0</v>
      </c>
      <c r="L433" s="319">
        <f>SUMIFS('CAPEX - Imobilizado fiscal'!J:J,'CAPEX - Imobilizado fiscal'!$C:$C,Ops!$D433,'CAPEX - Imobilizado fiscal'!$D:$D,Ops!$D$431)</f>
        <v>0</v>
      </c>
      <c r="M433" s="319">
        <f>SUMIFS('CAPEX - Imobilizado fiscal'!K:K,'CAPEX - Imobilizado fiscal'!$C:$C,Ops!$D433,'CAPEX - Imobilizado fiscal'!$D:$D,Ops!$D$431)</f>
        <v>0</v>
      </c>
      <c r="N433" s="319">
        <f>SUMIFS('CAPEX - Imobilizado fiscal'!L:L,'CAPEX - Imobilizado fiscal'!$C:$C,Ops!$D433,'CAPEX - Imobilizado fiscal'!$D:$D,Ops!$D$431)</f>
        <v>0</v>
      </c>
      <c r="O433" s="319">
        <f>SUMIFS('CAPEX - Imobilizado fiscal'!M:M,'CAPEX - Imobilizado fiscal'!$C:$C,Ops!$D433,'CAPEX - Imobilizado fiscal'!$D:$D,Ops!$D$431)</f>
        <v>0</v>
      </c>
      <c r="P433" s="319">
        <f>SUMIFS('CAPEX - Imobilizado fiscal'!N:N,'CAPEX - Imobilizado fiscal'!$C:$C,Ops!$D433,'CAPEX - Imobilizado fiscal'!$D:$D,Ops!$D$431)</f>
        <v>0</v>
      </c>
      <c r="Q433" s="319">
        <f>SUMIFS('CAPEX - Imobilizado fiscal'!O:O,'CAPEX - Imobilizado fiscal'!$C:$C,Ops!$D433,'CAPEX - Imobilizado fiscal'!$D:$D,Ops!$D$431)</f>
        <v>0</v>
      </c>
      <c r="R433" s="319">
        <f>SUMIFS('CAPEX - Imobilizado fiscal'!P:P,'CAPEX - Imobilizado fiscal'!$C:$C,Ops!$D433,'CAPEX - Imobilizado fiscal'!$D:$D,Ops!$D$431)</f>
        <v>0</v>
      </c>
      <c r="S433" s="319">
        <f>SUMIFS('CAPEX - Imobilizado fiscal'!Q:Q,'CAPEX - Imobilizado fiscal'!$C:$C,Ops!$D433,'CAPEX - Imobilizado fiscal'!$D:$D,Ops!$D$431)</f>
        <v>0</v>
      </c>
      <c r="T433" s="319">
        <f>SUMIFS('CAPEX - Imobilizado fiscal'!R:R,'CAPEX - Imobilizado fiscal'!$C:$C,Ops!$D433,'CAPEX - Imobilizado fiscal'!$D:$D,Ops!$D$431)</f>
        <v>0</v>
      </c>
      <c r="U433" s="319">
        <f>SUMIFS('CAPEX - Imobilizado fiscal'!S:S,'CAPEX - Imobilizado fiscal'!$C:$C,Ops!$D433,'CAPEX - Imobilizado fiscal'!$D:$D,Ops!$D$431)</f>
        <v>0</v>
      </c>
      <c r="V433" s="319">
        <f>SUMIFS('CAPEX - Imobilizado fiscal'!T:T,'CAPEX - Imobilizado fiscal'!$C:$C,Ops!$D433,'CAPEX - Imobilizado fiscal'!$D:$D,Ops!$D$431)</f>
        <v>0</v>
      </c>
      <c r="W433" s="319">
        <f>SUMIFS('CAPEX - Imobilizado fiscal'!U:U,'CAPEX - Imobilizado fiscal'!$C:$C,Ops!$D433,'CAPEX - Imobilizado fiscal'!$D:$D,Ops!$D$431)</f>
        <v>0</v>
      </c>
      <c r="X433" s="319">
        <f>SUMIFS('CAPEX - Imobilizado fiscal'!V:V,'CAPEX - Imobilizado fiscal'!$C:$C,Ops!$D433,'CAPEX - Imobilizado fiscal'!$D:$D,Ops!$D$431)</f>
        <v>0</v>
      </c>
      <c r="Y433" s="319">
        <f>SUMIFS('CAPEX - Imobilizado fiscal'!W:W,'CAPEX - Imobilizado fiscal'!$C:$C,Ops!$D433,'CAPEX - Imobilizado fiscal'!$D:$D,Ops!$D$431)</f>
        <v>0</v>
      </c>
      <c r="Z433" s="319">
        <f>SUMIFS('CAPEX - Imobilizado fiscal'!X:X,'CAPEX - Imobilizado fiscal'!$C:$C,Ops!$D433,'CAPEX - Imobilizado fiscal'!$D:$D,Ops!$D$431)</f>
        <v>0</v>
      </c>
      <c r="AA433" s="319">
        <f>SUMIFS('CAPEX - Imobilizado fiscal'!Y:Y,'CAPEX - Imobilizado fiscal'!$C:$C,Ops!$D433,'CAPEX - Imobilizado fiscal'!$D:$D,Ops!$D$431)</f>
        <v>0</v>
      </c>
      <c r="AB433" s="319">
        <f>SUMIFS('CAPEX - Imobilizado fiscal'!Z:Z,'CAPEX - Imobilizado fiscal'!$C:$C,Ops!$D433,'CAPEX - Imobilizado fiscal'!$D:$D,Ops!$D$431)</f>
        <v>0</v>
      </c>
      <c r="AC433" s="319">
        <f>SUMIFS('CAPEX - Imobilizado fiscal'!AA:AA,'CAPEX - Imobilizado fiscal'!$C:$C,Ops!$D433,'CAPEX - Imobilizado fiscal'!$D:$D,Ops!$D$431)</f>
        <v>0</v>
      </c>
      <c r="AD433" s="319">
        <f>SUMIFS('CAPEX - Imobilizado fiscal'!AB:AB,'CAPEX - Imobilizado fiscal'!$C:$C,Ops!$D433,'CAPEX - Imobilizado fiscal'!$D:$D,Ops!$D$431)</f>
        <v>0</v>
      </c>
      <c r="AE433" s="319">
        <f>SUMIFS('CAPEX - Imobilizado fiscal'!AC:AC,'CAPEX - Imobilizado fiscal'!$C:$C,Ops!$D433,'CAPEX - Imobilizado fiscal'!$D:$D,Ops!$D$431)</f>
        <v>0</v>
      </c>
      <c r="AF433" s="319">
        <f>SUMIFS('CAPEX - Imobilizado fiscal'!AD:AD,'CAPEX - Imobilizado fiscal'!$C:$C,Ops!$D433,'CAPEX - Imobilizado fiscal'!$D:$D,Ops!$D$431)</f>
        <v>0</v>
      </c>
      <c r="AG433" s="319">
        <f>SUMIFS('CAPEX - Imobilizado fiscal'!AE:AE,'CAPEX - Imobilizado fiscal'!$C:$C,Ops!$D433,'CAPEX - Imobilizado fiscal'!$D:$D,Ops!$D$431)</f>
        <v>0</v>
      </c>
      <c r="AH433" s="319">
        <f>SUMIFS('CAPEX - Imobilizado fiscal'!AF:AF,'CAPEX - Imobilizado fiscal'!$C:$C,Ops!$D433,'CAPEX - Imobilizado fiscal'!$D:$D,Ops!$D$431)</f>
        <v>0</v>
      </c>
      <c r="AI433" s="319">
        <f>SUMIFS('CAPEX - Imobilizado fiscal'!AG:AG,'CAPEX - Imobilizado fiscal'!$C:$C,Ops!$D433,'CAPEX - Imobilizado fiscal'!$D:$D,Ops!$D$431)</f>
        <v>0</v>
      </c>
      <c r="AJ433" s="319">
        <f>SUMIFS('CAPEX - Imobilizado fiscal'!AH:AH,'CAPEX - Imobilizado fiscal'!$C:$C,Ops!$D433,'CAPEX - Imobilizado fiscal'!$D:$D,Ops!$D$431)</f>
        <v>0</v>
      </c>
      <c r="AK433" s="319">
        <f>SUMIFS('CAPEX - Imobilizado fiscal'!AI:AI,'CAPEX - Imobilizado fiscal'!$C:$C,Ops!$D433,'CAPEX - Imobilizado fiscal'!$D:$D,Ops!$D$431)</f>
        <v>0</v>
      </c>
      <c r="AL433" s="319">
        <f>SUMIFS('CAPEX - Imobilizado fiscal'!AJ:AJ,'CAPEX - Imobilizado fiscal'!$C:$C,Ops!$D433,'CAPEX - Imobilizado fiscal'!$D:$D,Ops!$D$431)</f>
        <v>0</v>
      </c>
      <c r="AM433" s="319">
        <f>SUMIFS('CAPEX - Imobilizado fiscal'!AK:AK,'CAPEX - Imobilizado fiscal'!$C:$C,Ops!$D433,'CAPEX - Imobilizado fiscal'!$D:$D,Ops!$D$431)</f>
        <v>0</v>
      </c>
      <c r="AN433" s="319">
        <f>SUMIFS('CAPEX - Imobilizado fiscal'!AL:AL,'CAPEX - Imobilizado fiscal'!$C:$C,Ops!$D433,'CAPEX - Imobilizado fiscal'!$D:$D,Ops!$D$431)</f>
        <v>0</v>
      </c>
    </row>
    <row r="434" spans="3:40" outlineLevel="3">
      <c r="C434" t="str">
        <f>Inputs!C250</f>
        <v>Veículos</v>
      </c>
      <c r="D434" s="38" t="str">
        <f t="shared" si="452"/>
        <v>Veículos</v>
      </c>
      <c r="E434" s="76" t="s">
        <v>13</v>
      </c>
      <c r="F434" s="26">
        <f>SUM(G434:AN434)</f>
        <v>2780.08203</v>
      </c>
      <c r="G434" s="319">
        <f>SUMIFS('CAPEX - Imobilizado fiscal'!E:E,'CAPEX - Imobilizado fiscal'!$C:$C,Ops!$D434,'CAPEX - Imobilizado fiscal'!$D:$D,Ops!$D$431)</f>
        <v>851.69989999999996</v>
      </c>
      <c r="H434" s="319">
        <f>SUMIFS('CAPEX - Imobilizado fiscal'!F:F,'CAPEX - Imobilizado fiscal'!$C:$C,Ops!$D434,'CAPEX - Imobilizado fiscal'!$D:$D,Ops!$D$431)</f>
        <v>38.909409999999994</v>
      </c>
      <c r="I434" s="319">
        <f>SUMIFS('CAPEX - Imobilizado fiscal'!G:G,'CAPEX - Imobilizado fiscal'!$C:$C,Ops!$D434,'CAPEX - Imobilizado fiscal'!$D:$D,Ops!$D$431)</f>
        <v>0</v>
      </c>
      <c r="J434" s="319">
        <f>SUMIFS('CAPEX - Imobilizado fiscal'!H:H,'CAPEX - Imobilizado fiscal'!$C:$C,Ops!$D434,'CAPEX - Imobilizado fiscal'!$D:$D,Ops!$D$431)</f>
        <v>0</v>
      </c>
      <c r="K434" s="319">
        <f>SUMIFS('CAPEX - Imobilizado fiscal'!I:I,'CAPEX - Imobilizado fiscal'!$C:$C,Ops!$D434,'CAPEX - Imobilizado fiscal'!$D:$D,Ops!$D$431)</f>
        <v>0</v>
      </c>
      <c r="L434" s="319">
        <f>SUMIFS('CAPEX - Imobilizado fiscal'!J:J,'CAPEX - Imobilizado fiscal'!$C:$C,Ops!$D434,'CAPEX - Imobilizado fiscal'!$D:$D,Ops!$D$431)</f>
        <v>25.209900000000001</v>
      </c>
      <c r="M434" s="319">
        <f>SUMIFS('CAPEX - Imobilizado fiscal'!K:K,'CAPEX - Imobilizado fiscal'!$C:$C,Ops!$D434,'CAPEX - Imobilizado fiscal'!$D:$D,Ops!$D$431)</f>
        <v>10.874799999999999</v>
      </c>
      <c r="N434" s="319">
        <f>SUMIFS('CAPEX - Imobilizado fiscal'!L:L,'CAPEX - Imobilizado fiscal'!$C:$C,Ops!$D434,'CAPEX - Imobilizado fiscal'!$D:$D,Ops!$D$431)</f>
        <v>0</v>
      </c>
      <c r="O434" s="319">
        <f>SUMIFS('CAPEX - Imobilizado fiscal'!M:M,'CAPEX - Imobilizado fiscal'!$C:$C,Ops!$D434,'CAPEX - Imobilizado fiscal'!$D:$D,Ops!$D$431)</f>
        <v>0</v>
      </c>
      <c r="P434" s="319">
        <f>SUMIFS('CAPEX - Imobilizado fiscal'!N:N,'CAPEX - Imobilizado fiscal'!$C:$C,Ops!$D434,'CAPEX - Imobilizado fiscal'!$D:$D,Ops!$D$431)</f>
        <v>0</v>
      </c>
      <c r="Q434" s="319">
        <f>SUMIFS('CAPEX - Imobilizado fiscal'!O:O,'CAPEX - Imobilizado fiscal'!$C:$C,Ops!$D434,'CAPEX - Imobilizado fiscal'!$D:$D,Ops!$D$431)</f>
        <v>851.69989999999996</v>
      </c>
      <c r="R434" s="319">
        <f>SUMIFS('CAPEX - Imobilizado fiscal'!P:P,'CAPEX - Imobilizado fiscal'!$C:$C,Ops!$D434,'CAPEX - Imobilizado fiscal'!$D:$D,Ops!$D$431)</f>
        <v>38.909409999999994</v>
      </c>
      <c r="S434" s="319">
        <f>SUMIFS('CAPEX - Imobilizado fiscal'!Q:Q,'CAPEX - Imobilizado fiscal'!$C:$C,Ops!$D434,'CAPEX - Imobilizado fiscal'!$D:$D,Ops!$D$431)</f>
        <v>0</v>
      </c>
      <c r="T434" s="319">
        <f>SUMIFS('CAPEX - Imobilizado fiscal'!R:R,'CAPEX - Imobilizado fiscal'!$C:$C,Ops!$D434,'CAPEX - Imobilizado fiscal'!$D:$D,Ops!$D$431)</f>
        <v>0</v>
      </c>
      <c r="U434" s="319">
        <f>SUMIFS('CAPEX - Imobilizado fiscal'!S:S,'CAPEX - Imobilizado fiscal'!$C:$C,Ops!$D434,'CAPEX - Imobilizado fiscal'!$D:$D,Ops!$D$431)</f>
        <v>0</v>
      </c>
      <c r="V434" s="319">
        <f>SUMIFS('CAPEX - Imobilizado fiscal'!T:T,'CAPEX - Imobilizado fiscal'!$C:$C,Ops!$D434,'CAPEX - Imobilizado fiscal'!$D:$D,Ops!$D$431)</f>
        <v>25.209900000000001</v>
      </c>
      <c r="W434" s="319">
        <f>SUMIFS('CAPEX - Imobilizado fiscal'!U:U,'CAPEX - Imobilizado fiscal'!$C:$C,Ops!$D434,'CAPEX - Imobilizado fiscal'!$D:$D,Ops!$D$431)</f>
        <v>10.874799999999999</v>
      </c>
      <c r="X434" s="319">
        <f>SUMIFS('CAPEX - Imobilizado fiscal'!V:V,'CAPEX - Imobilizado fiscal'!$C:$C,Ops!$D434,'CAPEX - Imobilizado fiscal'!$D:$D,Ops!$D$431)</f>
        <v>0</v>
      </c>
      <c r="Y434" s="319">
        <f>SUMIFS('CAPEX - Imobilizado fiscal'!W:W,'CAPEX - Imobilizado fiscal'!$C:$C,Ops!$D434,'CAPEX - Imobilizado fiscal'!$D:$D,Ops!$D$431)</f>
        <v>0</v>
      </c>
      <c r="Z434" s="319">
        <f>SUMIFS('CAPEX - Imobilizado fiscal'!X:X,'CAPEX - Imobilizado fiscal'!$C:$C,Ops!$D434,'CAPEX - Imobilizado fiscal'!$D:$D,Ops!$D$431)</f>
        <v>0</v>
      </c>
      <c r="AA434" s="319">
        <f>SUMIFS('CAPEX - Imobilizado fiscal'!Y:Y,'CAPEX - Imobilizado fiscal'!$C:$C,Ops!$D434,'CAPEX - Imobilizado fiscal'!$D:$D,Ops!$D$431)</f>
        <v>851.69989999999996</v>
      </c>
      <c r="AB434" s="319">
        <f>SUMIFS('CAPEX - Imobilizado fiscal'!Z:Z,'CAPEX - Imobilizado fiscal'!$C:$C,Ops!$D434,'CAPEX - Imobilizado fiscal'!$D:$D,Ops!$D$431)</f>
        <v>38.909409999999994</v>
      </c>
      <c r="AC434" s="319">
        <f>SUMIFS('CAPEX - Imobilizado fiscal'!AA:AA,'CAPEX - Imobilizado fiscal'!$C:$C,Ops!$D434,'CAPEX - Imobilizado fiscal'!$D:$D,Ops!$D$431)</f>
        <v>0</v>
      </c>
      <c r="AD434" s="319">
        <f>SUMIFS('CAPEX - Imobilizado fiscal'!AB:AB,'CAPEX - Imobilizado fiscal'!$C:$C,Ops!$D434,'CAPEX - Imobilizado fiscal'!$D:$D,Ops!$D$431)</f>
        <v>0</v>
      </c>
      <c r="AE434" s="319">
        <f>SUMIFS('CAPEX - Imobilizado fiscal'!AC:AC,'CAPEX - Imobilizado fiscal'!$C:$C,Ops!$D434,'CAPEX - Imobilizado fiscal'!$D:$D,Ops!$D$431)</f>
        <v>0</v>
      </c>
      <c r="AF434" s="319">
        <f>SUMIFS('CAPEX - Imobilizado fiscal'!AD:AD,'CAPEX - Imobilizado fiscal'!$C:$C,Ops!$D434,'CAPEX - Imobilizado fiscal'!$D:$D,Ops!$D$431)</f>
        <v>25.209900000000001</v>
      </c>
      <c r="AG434" s="319">
        <f>SUMIFS('CAPEX - Imobilizado fiscal'!AE:AE,'CAPEX - Imobilizado fiscal'!$C:$C,Ops!$D434,'CAPEX - Imobilizado fiscal'!$D:$D,Ops!$D$431)</f>
        <v>10.874799999999999</v>
      </c>
      <c r="AH434" s="319">
        <f>SUMIFS('CAPEX - Imobilizado fiscal'!AF:AF,'CAPEX - Imobilizado fiscal'!$C:$C,Ops!$D434,'CAPEX - Imobilizado fiscal'!$D:$D,Ops!$D$431)</f>
        <v>0</v>
      </c>
      <c r="AI434" s="319">
        <f>SUMIFS('CAPEX - Imobilizado fiscal'!AG:AG,'CAPEX - Imobilizado fiscal'!$C:$C,Ops!$D434,'CAPEX - Imobilizado fiscal'!$D:$D,Ops!$D$431)</f>
        <v>0</v>
      </c>
      <c r="AJ434" s="319">
        <f>SUMIFS('CAPEX - Imobilizado fiscal'!AH:AH,'CAPEX - Imobilizado fiscal'!$C:$C,Ops!$D434,'CAPEX - Imobilizado fiscal'!$D:$D,Ops!$D$431)</f>
        <v>0</v>
      </c>
      <c r="AK434" s="319">
        <f>SUMIFS('CAPEX - Imobilizado fiscal'!AI:AI,'CAPEX - Imobilizado fiscal'!$C:$C,Ops!$D434,'CAPEX - Imobilizado fiscal'!$D:$D,Ops!$D$431)</f>
        <v>0</v>
      </c>
      <c r="AL434" s="319">
        <f>SUMIFS('CAPEX - Imobilizado fiscal'!AJ:AJ,'CAPEX - Imobilizado fiscal'!$C:$C,Ops!$D434,'CAPEX - Imobilizado fiscal'!$D:$D,Ops!$D$431)</f>
        <v>0</v>
      </c>
      <c r="AM434" s="319">
        <f>SUMIFS('CAPEX - Imobilizado fiscal'!AK:AK,'CAPEX - Imobilizado fiscal'!$C:$C,Ops!$D434,'CAPEX - Imobilizado fiscal'!$D:$D,Ops!$D$431)</f>
        <v>0</v>
      </c>
      <c r="AN434" s="319">
        <f>SUMIFS('CAPEX - Imobilizado fiscal'!AL:AL,'CAPEX - Imobilizado fiscal'!$C:$C,Ops!$D434,'CAPEX - Imobilizado fiscal'!$D:$D,Ops!$D$431)</f>
        <v>0</v>
      </c>
    </row>
    <row r="435" spans="3:40" outlineLevel="3">
      <c r="C435" t="str">
        <f>Inputs!C251</f>
        <v>Equipamentos</v>
      </c>
      <c r="D435" s="38" t="str">
        <f t="shared" si="452"/>
        <v>Equipamentos</v>
      </c>
      <c r="E435" s="76" t="s">
        <v>13</v>
      </c>
      <c r="F435" s="26">
        <f>SUM(G435:AN435)</f>
        <v>1419.0059700000002</v>
      </c>
      <c r="G435" s="319">
        <f>SUMIFS('CAPEX - Imobilizado fiscal'!E:E,'CAPEX - Imobilizado fiscal'!$C:$C,Ops!$D435,'CAPEX - Imobilizado fiscal'!$D:$D,Ops!$D$431)</f>
        <v>369.60049000000004</v>
      </c>
      <c r="H435" s="319">
        <f>SUMIFS('CAPEX - Imobilizado fiscal'!F:F,'CAPEX - Imobilizado fiscal'!$C:$C,Ops!$D435,'CAPEX - Imobilizado fiscal'!$D:$D,Ops!$D$431)</f>
        <v>22.6</v>
      </c>
      <c r="I435" s="319">
        <f>SUMIFS('CAPEX - Imobilizado fiscal'!G:G,'CAPEX - Imobilizado fiscal'!$C:$C,Ops!$D435,'CAPEX - Imobilizado fiscal'!$D:$D,Ops!$D$431)</f>
        <v>0</v>
      </c>
      <c r="J435" s="319">
        <f>SUMIFS('CAPEX - Imobilizado fiscal'!H:H,'CAPEX - Imobilizado fiscal'!$C:$C,Ops!$D435,'CAPEX - Imobilizado fiscal'!$D:$D,Ops!$D$431)</f>
        <v>62.407200000000003</v>
      </c>
      <c r="K435" s="319">
        <f>SUMIFS('CAPEX - Imobilizado fiscal'!I:I,'CAPEX - Imobilizado fiscal'!$C:$C,Ops!$D435,'CAPEX - Imobilizado fiscal'!$D:$D,Ops!$D$431)</f>
        <v>0</v>
      </c>
      <c r="L435" s="319">
        <f>SUMIFS('CAPEX - Imobilizado fiscal'!J:J,'CAPEX - Imobilizado fiscal'!$C:$C,Ops!$D435,'CAPEX - Imobilizado fiscal'!$D:$D,Ops!$D$431)</f>
        <v>49.298900000000003</v>
      </c>
      <c r="M435" s="319">
        <f>SUMIFS('CAPEX - Imobilizado fiscal'!K:K,'CAPEX - Imobilizado fiscal'!$C:$C,Ops!$D435,'CAPEX - Imobilizado fiscal'!$D:$D,Ops!$D$431)</f>
        <v>62.407200000000003</v>
      </c>
      <c r="N435" s="319">
        <f>SUMIFS('CAPEX - Imobilizado fiscal'!L:L,'CAPEX - Imobilizado fiscal'!$C:$C,Ops!$D435,'CAPEX - Imobilizado fiscal'!$D:$D,Ops!$D$431)</f>
        <v>0</v>
      </c>
      <c r="O435" s="319">
        <f>SUMIFS('CAPEX - Imobilizado fiscal'!M:M,'CAPEX - Imobilizado fiscal'!$C:$C,Ops!$D435,'CAPEX - Imobilizado fiscal'!$D:$D,Ops!$D$431)</f>
        <v>0</v>
      </c>
      <c r="P435" s="319">
        <f>SUMIFS('CAPEX - Imobilizado fiscal'!N:N,'CAPEX - Imobilizado fiscal'!$C:$C,Ops!$D435,'CAPEX - Imobilizado fiscal'!$D:$D,Ops!$D$431)</f>
        <v>62.627000000000002</v>
      </c>
      <c r="Q435" s="319">
        <f>SUMIFS('CAPEX - Imobilizado fiscal'!O:O,'CAPEX - Imobilizado fiscal'!$C:$C,Ops!$D435,'CAPEX - Imobilizado fiscal'!$D:$D,Ops!$D$431)</f>
        <v>157.19329000000002</v>
      </c>
      <c r="R435" s="319">
        <f>SUMIFS('CAPEX - Imobilizado fiscal'!P:P,'CAPEX - Imobilizado fiscal'!$C:$C,Ops!$D435,'CAPEX - Imobilizado fiscal'!$D:$D,Ops!$D$431)</f>
        <v>0</v>
      </c>
      <c r="S435" s="319">
        <f>SUMIFS('CAPEX - Imobilizado fiscal'!Q:Q,'CAPEX - Imobilizado fiscal'!$C:$C,Ops!$D435,'CAPEX - Imobilizado fiscal'!$D:$D,Ops!$D$431)</f>
        <v>62.627000000000002</v>
      </c>
      <c r="T435" s="319">
        <f>SUMIFS('CAPEX - Imobilizado fiscal'!R:R,'CAPEX - Imobilizado fiscal'!$C:$C,Ops!$D435,'CAPEX - Imobilizado fiscal'!$D:$D,Ops!$D$431)</f>
        <v>0</v>
      </c>
      <c r="U435" s="319">
        <f>SUMIFS('CAPEX - Imobilizado fiscal'!S:S,'CAPEX - Imobilizado fiscal'!$C:$C,Ops!$D435,'CAPEX - Imobilizado fiscal'!$D:$D,Ops!$D$431)</f>
        <v>0</v>
      </c>
      <c r="V435" s="319">
        <f>SUMIFS('CAPEX - Imobilizado fiscal'!T:T,'CAPEX - Imobilizado fiscal'!$C:$C,Ops!$D435,'CAPEX - Imobilizado fiscal'!$D:$D,Ops!$D$431)</f>
        <v>111.9259</v>
      </c>
      <c r="W435" s="319">
        <f>SUMIFS('CAPEX - Imobilizado fiscal'!U:U,'CAPEX - Imobilizado fiscal'!$C:$C,Ops!$D435,'CAPEX - Imobilizado fiscal'!$D:$D,Ops!$D$431)</f>
        <v>0</v>
      </c>
      <c r="X435" s="319">
        <f>SUMIFS('CAPEX - Imobilizado fiscal'!V:V,'CAPEX - Imobilizado fiscal'!$C:$C,Ops!$D435,'CAPEX - Imobilizado fiscal'!$D:$D,Ops!$D$431)</f>
        <v>0</v>
      </c>
      <c r="Y435" s="319">
        <f>SUMIFS('CAPEX - Imobilizado fiscal'!W:W,'CAPEX - Imobilizado fiscal'!$C:$C,Ops!$D435,'CAPEX - Imobilizado fiscal'!$D:$D,Ops!$D$431)</f>
        <v>62.846800000000002</v>
      </c>
      <c r="Z435" s="319">
        <f>SUMIFS('CAPEX - Imobilizado fiscal'!X:X,'CAPEX - Imobilizado fiscal'!$C:$C,Ops!$D435,'CAPEX - Imobilizado fiscal'!$D:$D,Ops!$D$431)</f>
        <v>0</v>
      </c>
      <c r="AA435" s="319">
        <f>SUMIFS('CAPEX - Imobilizado fiscal'!Y:Y,'CAPEX - Imobilizado fiscal'!$C:$C,Ops!$D435,'CAPEX - Imobilizado fiscal'!$D:$D,Ops!$D$431)</f>
        <v>157.19329000000002</v>
      </c>
      <c r="AB435" s="319">
        <f>SUMIFS('CAPEX - Imobilizado fiscal'!Z:Z,'CAPEX - Imobilizado fiscal'!$C:$C,Ops!$D435,'CAPEX - Imobilizado fiscal'!$D:$D,Ops!$D$431)</f>
        <v>62.846800000000002</v>
      </c>
      <c r="AC435" s="319">
        <f>SUMIFS('CAPEX - Imobilizado fiscal'!AA:AA,'CAPEX - Imobilizado fiscal'!$C:$C,Ops!$D435,'CAPEX - Imobilizado fiscal'!$D:$D,Ops!$D$431)</f>
        <v>0</v>
      </c>
      <c r="AD435" s="319">
        <f>SUMIFS('CAPEX - Imobilizado fiscal'!AB:AB,'CAPEX - Imobilizado fiscal'!$C:$C,Ops!$D435,'CAPEX - Imobilizado fiscal'!$D:$D,Ops!$D$431)</f>
        <v>0</v>
      </c>
      <c r="AE435" s="319">
        <f>SUMIFS('CAPEX - Imobilizado fiscal'!AC:AC,'CAPEX - Imobilizado fiscal'!$C:$C,Ops!$D435,'CAPEX - Imobilizado fiscal'!$D:$D,Ops!$D$431)</f>
        <v>63.066600000000001</v>
      </c>
      <c r="AF435" s="319">
        <f>SUMIFS('CAPEX - Imobilizado fiscal'!AD:AD,'CAPEX - Imobilizado fiscal'!$C:$C,Ops!$D435,'CAPEX - Imobilizado fiscal'!$D:$D,Ops!$D$431)</f>
        <v>49.298900000000003</v>
      </c>
      <c r="AG435" s="319">
        <f>SUMIFS('CAPEX - Imobilizado fiscal'!AE:AE,'CAPEX - Imobilizado fiscal'!$C:$C,Ops!$D435,'CAPEX - Imobilizado fiscal'!$D:$D,Ops!$D$431)</f>
        <v>0</v>
      </c>
      <c r="AH435" s="319">
        <f>SUMIFS('CAPEX - Imobilizado fiscal'!AF:AF,'CAPEX - Imobilizado fiscal'!$C:$C,Ops!$D435,'CAPEX - Imobilizado fiscal'!$D:$D,Ops!$D$431)</f>
        <v>63.066600000000001</v>
      </c>
      <c r="AI435" s="319">
        <f>SUMIFS('CAPEX - Imobilizado fiscal'!AG:AG,'CAPEX - Imobilizado fiscal'!$C:$C,Ops!$D435,'CAPEX - Imobilizado fiscal'!$D:$D,Ops!$D$431)</f>
        <v>0</v>
      </c>
      <c r="AJ435" s="319">
        <f>SUMIFS('CAPEX - Imobilizado fiscal'!AH:AH,'CAPEX - Imobilizado fiscal'!$C:$C,Ops!$D435,'CAPEX - Imobilizado fiscal'!$D:$D,Ops!$D$431)</f>
        <v>0</v>
      </c>
      <c r="AK435" s="319">
        <f>SUMIFS('CAPEX - Imobilizado fiscal'!AI:AI,'CAPEX - Imobilizado fiscal'!$C:$C,Ops!$D435,'CAPEX - Imobilizado fiscal'!$D:$D,Ops!$D$431)</f>
        <v>0</v>
      </c>
      <c r="AL435" s="319">
        <f>SUMIFS('CAPEX - Imobilizado fiscal'!AJ:AJ,'CAPEX - Imobilizado fiscal'!$C:$C,Ops!$D435,'CAPEX - Imobilizado fiscal'!$D:$D,Ops!$D$431)</f>
        <v>0</v>
      </c>
      <c r="AM435" s="319">
        <f>SUMIFS('CAPEX - Imobilizado fiscal'!AK:AK,'CAPEX - Imobilizado fiscal'!$C:$C,Ops!$D435,'CAPEX - Imobilizado fiscal'!$D:$D,Ops!$D$431)</f>
        <v>0</v>
      </c>
      <c r="AN435" s="319">
        <f>SUMIFS('CAPEX - Imobilizado fiscal'!AL:AL,'CAPEX - Imobilizado fiscal'!$C:$C,Ops!$D435,'CAPEX - Imobilizado fiscal'!$D:$D,Ops!$D$431)</f>
        <v>0</v>
      </c>
    </row>
    <row r="436" spans="3:40" outlineLevel="3">
      <c r="C436" t="str">
        <f>Inputs!C252</f>
        <v>Adicionais</v>
      </c>
      <c r="D436" s="38" t="str">
        <f t="shared" si="452"/>
        <v>Adicionais</v>
      </c>
      <c r="E436" s="76" t="s">
        <v>13</v>
      </c>
      <c r="F436" s="26">
        <f>SUM(G436:AN436)</f>
        <v>1000</v>
      </c>
      <c r="G436" s="319">
        <f>SUMIFS('CAPEX - Imobilizado fiscal'!E:E,'CAPEX - Imobilizado fiscal'!$C:$C,Ops!$D436,'CAPEX - Imobilizado fiscal'!$D:$D,Ops!$D$431)</f>
        <v>1000</v>
      </c>
      <c r="H436" s="319">
        <f>SUMIFS('CAPEX - Imobilizado fiscal'!F:F,'CAPEX - Imobilizado fiscal'!$C:$C,Ops!$D436,'CAPEX - Imobilizado fiscal'!$D:$D,Ops!$D$431)</f>
        <v>0</v>
      </c>
      <c r="I436" s="319">
        <f>SUMIFS('CAPEX - Imobilizado fiscal'!G:G,'CAPEX - Imobilizado fiscal'!$C:$C,Ops!$D436,'CAPEX - Imobilizado fiscal'!$D:$D,Ops!$D$431)</f>
        <v>0</v>
      </c>
      <c r="J436" s="319">
        <f>SUMIFS('CAPEX - Imobilizado fiscal'!H:H,'CAPEX - Imobilizado fiscal'!$C:$C,Ops!$D436,'CAPEX - Imobilizado fiscal'!$D:$D,Ops!$D$431)</f>
        <v>0</v>
      </c>
      <c r="K436" s="319">
        <f>SUMIFS('CAPEX - Imobilizado fiscal'!I:I,'CAPEX - Imobilizado fiscal'!$C:$C,Ops!$D436,'CAPEX - Imobilizado fiscal'!$D:$D,Ops!$D$431)</f>
        <v>0</v>
      </c>
      <c r="L436" s="319">
        <f>SUMIFS('CAPEX - Imobilizado fiscal'!J:J,'CAPEX - Imobilizado fiscal'!$C:$C,Ops!$D436,'CAPEX - Imobilizado fiscal'!$D:$D,Ops!$D$431)</f>
        <v>0</v>
      </c>
      <c r="M436" s="319">
        <f>SUMIFS('CAPEX - Imobilizado fiscal'!K:K,'CAPEX - Imobilizado fiscal'!$C:$C,Ops!$D436,'CAPEX - Imobilizado fiscal'!$D:$D,Ops!$D$431)</f>
        <v>0</v>
      </c>
      <c r="N436" s="319">
        <f>SUMIFS('CAPEX - Imobilizado fiscal'!L:L,'CAPEX - Imobilizado fiscal'!$C:$C,Ops!$D436,'CAPEX - Imobilizado fiscal'!$D:$D,Ops!$D$431)</f>
        <v>0</v>
      </c>
      <c r="O436" s="319">
        <f>SUMIFS('CAPEX - Imobilizado fiscal'!M:M,'CAPEX - Imobilizado fiscal'!$C:$C,Ops!$D436,'CAPEX - Imobilizado fiscal'!$D:$D,Ops!$D$431)</f>
        <v>0</v>
      </c>
      <c r="P436" s="319">
        <f>SUMIFS('CAPEX - Imobilizado fiscal'!N:N,'CAPEX - Imobilizado fiscal'!$C:$C,Ops!$D436,'CAPEX - Imobilizado fiscal'!$D:$D,Ops!$D$431)</f>
        <v>0</v>
      </c>
      <c r="Q436" s="319">
        <f>SUMIFS('CAPEX - Imobilizado fiscal'!O:O,'CAPEX - Imobilizado fiscal'!$C:$C,Ops!$D436,'CAPEX - Imobilizado fiscal'!$D:$D,Ops!$D$431)</f>
        <v>0</v>
      </c>
      <c r="R436" s="319">
        <f>SUMIFS('CAPEX - Imobilizado fiscal'!P:P,'CAPEX - Imobilizado fiscal'!$C:$C,Ops!$D436,'CAPEX - Imobilizado fiscal'!$D:$D,Ops!$D$431)</f>
        <v>0</v>
      </c>
      <c r="S436" s="319">
        <f>SUMIFS('CAPEX - Imobilizado fiscal'!Q:Q,'CAPEX - Imobilizado fiscal'!$C:$C,Ops!$D436,'CAPEX - Imobilizado fiscal'!$D:$D,Ops!$D$431)</f>
        <v>0</v>
      </c>
      <c r="T436" s="319">
        <f>SUMIFS('CAPEX - Imobilizado fiscal'!R:R,'CAPEX - Imobilizado fiscal'!$C:$C,Ops!$D436,'CAPEX - Imobilizado fiscal'!$D:$D,Ops!$D$431)</f>
        <v>0</v>
      </c>
      <c r="U436" s="319">
        <f>SUMIFS('CAPEX - Imobilizado fiscal'!S:S,'CAPEX - Imobilizado fiscal'!$C:$C,Ops!$D436,'CAPEX - Imobilizado fiscal'!$D:$D,Ops!$D$431)</f>
        <v>0</v>
      </c>
      <c r="V436" s="319">
        <f>SUMIFS('CAPEX - Imobilizado fiscal'!T:T,'CAPEX - Imobilizado fiscal'!$C:$C,Ops!$D436,'CAPEX - Imobilizado fiscal'!$D:$D,Ops!$D$431)</f>
        <v>0</v>
      </c>
      <c r="W436" s="319">
        <f>SUMIFS('CAPEX - Imobilizado fiscal'!U:U,'CAPEX - Imobilizado fiscal'!$C:$C,Ops!$D436,'CAPEX - Imobilizado fiscal'!$D:$D,Ops!$D$431)</f>
        <v>0</v>
      </c>
      <c r="X436" s="319">
        <f>SUMIFS('CAPEX - Imobilizado fiscal'!V:V,'CAPEX - Imobilizado fiscal'!$C:$C,Ops!$D436,'CAPEX - Imobilizado fiscal'!$D:$D,Ops!$D$431)</f>
        <v>0</v>
      </c>
      <c r="Y436" s="319">
        <f>SUMIFS('CAPEX - Imobilizado fiscal'!W:W,'CAPEX - Imobilizado fiscal'!$C:$C,Ops!$D436,'CAPEX - Imobilizado fiscal'!$D:$D,Ops!$D$431)</f>
        <v>0</v>
      </c>
      <c r="Z436" s="319">
        <f>SUMIFS('CAPEX - Imobilizado fiscal'!X:X,'CAPEX - Imobilizado fiscal'!$C:$C,Ops!$D436,'CAPEX - Imobilizado fiscal'!$D:$D,Ops!$D$431)</f>
        <v>0</v>
      </c>
      <c r="AA436" s="319">
        <f>SUMIFS('CAPEX - Imobilizado fiscal'!Y:Y,'CAPEX - Imobilizado fiscal'!$C:$C,Ops!$D436,'CAPEX - Imobilizado fiscal'!$D:$D,Ops!$D$431)</f>
        <v>0</v>
      </c>
      <c r="AB436" s="319">
        <f>SUMIFS('CAPEX - Imobilizado fiscal'!Z:Z,'CAPEX - Imobilizado fiscal'!$C:$C,Ops!$D436,'CAPEX - Imobilizado fiscal'!$D:$D,Ops!$D$431)</f>
        <v>0</v>
      </c>
      <c r="AC436" s="319">
        <f>SUMIFS('CAPEX - Imobilizado fiscal'!AA:AA,'CAPEX - Imobilizado fiscal'!$C:$C,Ops!$D436,'CAPEX - Imobilizado fiscal'!$D:$D,Ops!$D$431)</f>
        <v>0</v>
      </c>
      <c r="AD436" s="319">
        <f>SUMIFS('CAPEX - Imobilizado fiscal'!AB:AB,'CAPEX - Imobilizado fiscal'!$C:$C,Ops!$D436,'CAPEX - Imobilizado fiscal'!$D:$D,Ops!$D$431)</f>
        <v>0</v>
      </c>
      <c r="AE436" s="319">
        <f>SUMIFS('CAPEX - Imobilizado fiscal'!AC:AC,'CAPEX - Imobilizado fiscal'!$C:$C,Ops!$D436,'CAPEX - Imobilizado fiscal'!$D:$D,Ops!$D$431)</f>
        <v>0</v>
      </c>
      <c r="AF436" s="319">
        <f>SUMIFS('CAPEX - Imobilizado fiscal'!AD:AD,'CAPEX - Imobilizado fiscal'!$C:$C,Ops!$D436,'CAPEX - Imobilizado fiscal'!$D:$D,Ops!$D$431)</f>
        <v>0</v>
      </c>
      <c r="AG436" s="319">
        <f>SUMIFS('CAPEX - Imobilizado fiscal'!AE:AE,'CAPEX - Imobilizado fiscal'!$C:$C,Ops!$D436,'CAPEX - Imobilizado fiscal'!$D:$D,Ops!$D$431)</f>
        <v>0</v>
      </c>
      <c r="AH436" s="319">
        <f>SUMIFS('CAPEX - Imobilizado fiscal'!AF:AF,'CAPEX - Imobilizado fiscal'!$C:$C,Ops!$D436,'CAPEX - Imobilizado fiscal'!$D:$D,Ops!$D$431)</f>
        <v>0</v>
      </c>
      <c r="AI436" s="319">
        <f>SUMIFS('CAPEX - Imobilizado fiscal'!AG:AG,'CAPEX - Imobilizado fiscal'!$C:$C,Ops!$D436,'CAPEX - Imobilizado fiscal'!$D:$D,Ops!$D$431)</f>
        <v>0</v>
      </c>
      <c r="AJ436" s="319">
        <f>SUMIFS('CAPEX - Imobilizado fiscal'!AH:AH,'CAPEX - Imobilizado fiscal'!$C:$C,Ops!$D436,'CAPEX - Imobilizado fiscal'!$D:$D,Ops!$D$431)</f>
        <v>0</v>
      </c>
      <c r="AK436" s="319">
        <f>SUMIFS('CAPEX - Imobilizado fiscal'!AI:AI,'CAPEX - Imobilizado fiscal'!$C:$C,Ops!$D436,'CAPEX - Imobilizado fiscal'!$D:$D,Ops!$D$431)</f>
        <v>0</v>
      </c>
      <c r="AL436" s="319">
        <f>SUMIFS('CAPEX - Imobilizado fiscal'!AJ:AJ,'CAPEX - Imobilizado fiscal'!$C:$C,Ops!$D436,'CAPEX - Imobilizado fiscal'!$D:$D,Ops!$D$431)</f>
        <v>0</v>
      </c>
      <c r="AM436" s="319">
        <f>SUMIFS('CAPEX - Imobilizado fiscal'!AK:AK,'CAPEX - Imobilizado fiscal'!$C:$C,Ops!$D436,'CAPEX - Imobilizado fiscal'!$D:$D,Ops!$D$431)</f>
        <v>0</v>
      </c>
      <c r="AN436" s="319">
        <f>SUMIFS('CAPEX - Imobilizado fiscal'!AL:AL,'CAPEX - Imobilizado fiscal'!$C:$C,Ops!$D436,'CAPEX - Imobilizado fiscal'!$D:$D,Ops!$D$431)</f>
        <v>0</v>
      </c>
    </row>
    <row r="437" spans="3:40" outlineLevel="3">
      <c r="C437" t="s">
        <v>461</v>
      </c>
      <c r="D437" s="275" t="s">
        <v>116</v>
      </c>
      <c r="E437" s="203" t="b">
        <f>F414=F427+F437</f>
        <v>0</v>
      </c>
      <c r="F437" s="23">
        <f>SUM(G437:AN437)</f>
        <v>5199.0879999999997</v>
      </c>
      <c r="G437" s="319">
        <f t="shared" ref="G437" si="453">SUM(G433:G436)</f>
        <v>2221.3003899999999</v>
      </c>
      <c r="H437" s="319">
        <f t="shared" ref="H437" si="454">SUM(H433:H436)</f>
        <v>61.509409999999995</v>
      </c>
      <c r="I437" s="319">
        <f t="shared" ref="I437" si="455">SUM(I433:I436)</f>
        <v>0</v>
      </c>
      <c r="J437" s="319">
        <f t="shared" ref="J437" si="456">SUM(J433:J436)</f>
        <v>62.407200000000003</v>
      </c>
      <c r="K437" s="319">
        <f t="shared" ref="K437" si="457">SUM(K433:K436)</f>
        <v>0</v>
      </c>
      <c r="L437" s="319">
        <f t="shared" ref="L437" si="458">SUM(L433:L436)</f>
        <v>74.508800000000008</v>
      </c>
      <c r="M437" s="319">
        <f t="shared" ref="M437" si="459">SUM(M433:M436)</f>
        <v>73.281999999999996</v>
      </c>
      <c r="N437" s="319">
        <f t="shared" ref="N437" si="460">SUM(N433:N436)</f>
        <v>0</v>
      </c>
      <c r="O437" s="319">
        <f t="shared" ref="O437" si="461">SUM(O433:O436)</f>
        <v>0</v>
      </c>
      <c r="P437" s="319">
        <f t="shared" ref="P437" si="462">SUM(P433:P436)</f>
        <v>62.627000000000002</v>
      </c>
      <c r="Q437" s="319">
        <f t="shared" ref="Q437" si="463">SUM(Q433:Q436)</f>
        <v>1008.89319</v>
      </c>
      <c r="R437" s="319">
        <f t="shared" ref="R437" si="464">SUM(R433:R436)</f>
        <v>38.909409999999994</v>
      </c>
      <c r="S437" s="319">
        <f t="shared" ref="S437" si="465">SUM(S433:S436)</f>
        <v>62.627000000000002</v>
      </c>
      <c r="T437" s="319">
        <f t="shared" ref="T437" si="466">SUM(T433:T436)</f>
        <v>0</v>
      </c>
      <c r="U437" s="319">
        <f t="shared" ref="U437" si="467">SUM(U433:U436)</f>
        <v>0</v>
      </c>
      <c r="V437" s="319">
        <f t="shared" ref="V437" si="468">SUM(V433:V436)</f>
        <v>137.13579999999999</v>
      </c>
      <c r="W437" s="319">
        <f t="shared" ref="W437" si="469">SUM(W433:W436)</f>
        <v>10.874799999999999</v>
      </c>
      <c r="X437" s="319">
        <f t="shared" ref="X437" si="470">SUM(X433:X436)</f>
        <v>0</v>
      </c>
      <c r="Y437" s="319">
        <f t="shared" ref="Y437" si="471">SUM(Y433:Y436)</f>
        <v>62.846800000000002</v>
      </c>
      <c r="Z437" s="319">
        <f t="shared" ref="Z437" si="472">SUM(Z433:Z436)</f>
        <v>0</v>
      </c>
      <c r="AA437" s="319">
        <f t="shared" ref="AA437" si="473">SUM(AA433:AA436)</f>
        <v>1008.89319</v>
      </c>
      <c r="AB437" s="319">
        <f t="shared" ref="AB437" si="474">SUM(AB433:AB436)</f>
        <v>101.75621</v>
      </c>
      <c r="AC437" s="319">
        <f t="shared" ref="AC437" si="475">SUM(AC433:AC436)</f>
        <v>0</v>
      </c>
      <c r="AD437" s="319">
        <f t="shared" ref="AD437" si="476">SUM(AD433:AD436)</f>
        <v>0</v>
      </c>
      <c r="AE437" s="319">
        <f t="shared" ref="AE437" si="477">SUM(AE433:AE436)</f>
        <v>63.066600000000001</v>
      </c>
      <c r="AF437" s="319">
        <f t="shared" ref="AF437" si="478">SUM(AF433:AF436)</f>
        <v>74.508800000000008</v>
      </c>
      <c r="AG437" s="319">
        <f t="shared" ref="AG437" si="479">SUM(AG433:AG436)</f>
        <v>10.874799999999999</v>
      </c>
      <c r="AH437" s="319">
        <f t="shared" ref="AH437" si="480">SUM(AH433:AH436)</f>
        <v>63.066600000000001</v>
      </c>
      <c r="AI437" s="319">
        <f t="shared" ref="AI437" si="481">SUM(AI433:AI436)</f>
        <v>0</v>
      </c>
      <c r="AJ437" s="319">
        <f t="shared" ref="AJ437" si="482">SUM(AJ433:AJ436)</f>
        <v>0</v>
      </c>
      <c r="AK437" s="319">
        <f t="shared" ref="AK437" si="483">SUM(AK433:AK436)</f>
        <v>0</v>
      </c>
      <c r="AL437" s="319">
        <f t="shared" ref="AL437" si="484">SUM(AL433:AL436)</f>
        <v>0</v>
      </c>
      <c r="AM437" s="319">
        <f t="shared" ref="AM437" si="485">SUM(AM433:AM436)</f>
        <v>0</v>
      </c>
      <c r="AN437" s="319">
        <f t="shared" ref="AN437" si="486">SUM(AN433:AN436)</f>
        <v>0</v>
      </c>
    </row>
    <row r="438" spans="3:40" outlineLevel="2">
      <c r="C438"/>
      <c r="D438" s="266"/>
      <c r="E438" s="76"/>
      <c r="F438"/>
    </row>
    <row r="439" spans="3:40" outlineLevel="1">
      <c r="C439"/>
      <c r="D439" s="266"/>
      <c r="E439" s="76"/>
      <c r="F439"/>
    </row>
    <row r="440" spans="3:40" outlineLevel="1">
      <c r="C440" t="s">
        <v>463</v>
      </c>
      <c r="D440" s="266"/>
      <c r="E440" s="76"/>
      <c r="F440"/>
    </row>
    <row r="441" spans="3:40" outlineLevel="2">
      <c r="C441"/>
      <c r="D441" s="266"/>
      <c r="E441" s="76"/>
      <c r="F441"/>
    </row>
    <row r="442" spans="3:40" outlineLevel="2">
      <c r="C442" t="s">
        <v>296</v>
      </c>
      <c r="D442" s="266"/>
      <c r="E442" s="76"/>
      <c r="F442"/>
    </row>
    <row r="443" spans="3:40" outlineLevel="3">
      <c r="C443"/>
      <c r="D443" s="266"/>
      <c r="E443" s="76"/>
      <c r="F443"/>
    </row>
    <row r="444" spans="3:40" outlineLevel="3">
      <c r="C444" t="s">
        <v>464</v>
      </c>
      <c r="D444" s="266"/>
      <c r="E444" s="76"/>
      <c r="F444"/>
    </row>
    <row r="445" spans="3:40" outlineLevel="4">
      <c r="C445"/>
      <c r="D445" s="266"/>
      <c r="E445" s="76"/>
      <c r="F445"/>
    </row>
    <row r="446" spans="3:40" outlineLevel="4">
      <c r="C446" t="s">
        <v>465</v>
      </c>
      <c r="D446" s="266"/>
      <c r="E446" s="76" t="s">
        <v>13</v>
      </c>
      <c r="F446" s="273"/>
      <c r="G446" s="273">
        <f t="shared" ref="G446:AN446" si="487">F449</f>
        <v>0</v>
      </c>
      <c r="H446" s="273">
        <f t="shared" si="487"/>
        <v>27</v>
      </c>
      <c r="I446" s="273">
        <f t="shared" si="487"/>
        <v>24</v>
      </c>
      <c r="J446" s="273">
        <f t="shared" si="487"/>
        <v>21</v>
      </c>
      <c r="K446" s="273">
        <f t="shared" si="487"/>
        <v>18</v>
      </c>
      <c r="L446" s="273">
        <f t="shared" si="487"/>
        <v>15</v>
      </c>
      <c r="M446" s="273">
        <f t="shared" si="487"/>
        <v>39</v>
      </c>
      <c r="N446" s="273">
        <f t="shared" si="487"/>
        <v>33</v>
      </c>
      <c r="O446" s="273">
        <f t="shared" si="487"/>
        <v>27</v>
      </c>
      <c r="P446" s="273">
        <f t="shared" si="487"/>
        <v>21</v>
      </c>
      <c r="Q446" s="273">
        <f t="shared" si="487"/>
        <v>15</v>
      </c>
      <c r="R446" s="273">
        <f t="shared" si="487"/>
        <v>39</v>
      </c>
      <c r="S446" s="273">
        <f t="shared" si="487"/>
        <v>33</v>
      </c>
      <c r="T446" s="273">
        <f t="shared" si="487"/>
        <v>27</v>
      </c>
      <c r="U446" s="273">
        <f t="shared" si="487"/>
        <v>21</v>
      </c>
      <c r="V446" s="273">
        <f t="shared" si="487"/>
        <v>15</v>
      </c>
      <c r="W446" s="273">
        <f t="shared" si="487"/>
        <v>39</v>
      </c>
      <c r="X446" s="273">
        <f t="shared" si="487"/>
        <v>33</v>
      </c>
      <c r="Y446" s="273">
        <f t="shared" si="487"/>
        <v>27</v>
      </c>
      <c r="Z446" s="273">
        <f t="shared" si="487"/>
        <v>21</v>
      </c>
      <c r="AA446" s="273">
        <f t="shared" si="487"/>
        <v>15</v>
      </c>
      <c r="AB446" s="273">
        <f t="shared" si="487"/>
        <v>39</v>
      </c>
      <c r="AC446" s="273">
        <f t="shared" si="487"/>
        <v>33</v>
      </c>
      <c r="AD446" s="273">
        <f t="shared" si="487"/>
        <v>27</v>
      </c>
      <c r="AE446" s="273">
        <f t="shared" si="487"/>
        <v>21</v>
      </c>
      <c r="AF446" s="273">
        <f t="shared" si="487"/>
        <v>15</v>
      </c>
      <c r="AG446" s="273">
        <f t="shared" si="487"/>
        <v>39</v>
      </c>
      <c r="AH446" s="273">
        <f t="shared" si="487"/>
        <v>33</v>
      </c>
      <c r="AI446" s="273">
        <f t="shared" si="487"/>
        <v>27</v>
      </c>
      <c r="AJ446" s="273">
        <f t="shared" si="487"/>
        <v>21</v>
      </c>
      <c r="AK446" s="273">
        <f t="shared" si="487"/>
        <v>15</v>
      </c>
      <c r="AL446" s="273">
        <f t="shared" si="487"/>
        <v>15</v>
      </c>
      <c r="AM446" s="273">
        <f t="shared" si="487"/>
        <v>15</v>
      </c>
      <c r="AN446" s="273">
        <f t="shared" si="487"/>
        <v>15</v>
      </c>
    </row>
    <row r="447" spans="3:40" outlineLevel="4">
      <c r="C447" t="s">
        <v>466</v>
      </c>
      <c r="D447" s="275"/>
      <c r="E447" s="203" t="s">
        <v>13</v>
      </c>
      <c r="F447" s="88">
        <f>SUM(G447:AN447)</f>
        <v>180</v>
      </c>
      <c r="G447" s="322">
        <f t="shared" ref="G447:AN447" si="488">G423</f>
        <v>30</v>
      </c>
      <c r="H447" s="322">
        <f t="shared" si="488"/>
        <v>0</v>
      </c>
      <c r="I447" s="322">
        <f t="shared" si="488"/>
        <v>0</v>
      </c>
      <c r="J447" s="322">
        <f t="shared" si="488"/>
        <v>0</v>
      </c>
      <c r="K447" s="322">
        <f t="shared" si="488"/>
        <v>0</v>
      </c>
      <c r="L447" s="322">
        <f t="shared" si="488"/>
        <v>30</v>
      </c>
      <c r="M447" s="322">
        <f t="shared" si="488"/>
        <v>0</v>
      </c>
      <c r="N447" s="322">
        <f t="shared" si="488"/>
        <v>0</v>
      </c>
      <c r="O447" s="322">
        <f t="shared" si="488"/>
        <v>0</v>
      </c>
      <c r="P447" s="322">
        <f t="shared" si="488"/>
        <v>0</v>
      </c>
      <c r="Q447" s="322">
        <f t="shared" si="488"/>
        <v>30</v>
      </c>
      <c r="R447" s="322">
        <f t="shared" si="488"/>
        <v>0</v>
      </c>
      <c r="S447" s="322">
        <f t="shared" si="488"/>
        <v>0</v>
      </c>
      <c r="T447" s="322">
        <f t="shared" si="488"/>
        <v>0</v>
      </c>
      <c r="U447" s="322">
        <f t="shared" si="488"/>
        <v>0</v>
      </c>
      <c r="V447" s="322">
        <f t="shared" si="488"/>
        <v>30</v>
      </c>
      <c r="W447" s="322">
        <f t="shared" si="488"/>
        <v>0</v>
      </c>
      <c r="X447" s="322">
        <f t="shared" si="488"/>
        <v>0</v>
      </c>
      <c r="Y447" s="322">
        <f t="shared" si="488"/>
        <v>0</v>
      </c>
      <c r="Z447" s="322">
        <f t="shared" si="488"/>
        <v>0</v>
      </c>
      <c r="AA447" s="322">
        <f t="shared" si="488"/>
        <v>30</v>
      </c>
      <c r="AB447" s="322">
        <f t="shared" si="488"/>
        <v>0</v>
      </c>
      <c r="AC447" s="322">
        <f t="shared" si="488"/>
        <v>0</v>
      </c>
      <c r="AD447" s="322">
        <f t="shared" si="488"/>
        <v>0</v>
      </c>
      <c r="AE447" s="322">
        <f t="shared" si="488"/>
        <v>0</v>
      </c>
      <c r="AF447" s="322">
        <f t="shared" si="488"/>
        <v>30</v>
      </c>
      <c r="AG447" s="322">
        <f t="shared" si="488"/>
        <v>0</v>
      </c>
      <c r="AH447" s="322">
        <f t="shared" si="488"/>
        <v>0</v>
      </c>
      <c r="AI447" s="322">
        <f t="shared" si="488"/>
        <v>0</v>
      </c>
      <c r="AJ447" s="322">
        <f t="shared" si="488"/>
        <v>0</v>
      </c>
      <c r="AK447" s="322">
        <f t="shared" si="488"/>
        <v>0</v>
      </c>
      <c r="AL447" s="322">
        <f t="shared" si="488"/>
        <v>0</v>
      </c>
      <c r="AM447" s="322">
        <f t="shared" si="488"/>
        <v>0</v>
      </c>
      <c r="AN447" s="322">
        <f t="shared" si="488"/>
        <v>0</v>
      </c>
    </row>
    <row r="448" spans="3:40" outlineLevel="4">
      <c r="C448" t="s">
        <v>467</v>
      </c>
      <c r="D448" s="266"/>
      <c r="E448" s="76" t="s">
        <v>13</v>
      </c>
      <c r="F448" s="50">
        <f>SUM(G448:AN448)</f>
        <v>-165</v>
      </c>
      <c r="G448" s="273">
        <f t="shared" ref="G448:AN448" si="489">-G494</f>
        <v>-3</v>
      </c>
      <c r="H448" s="273">
        <f t="shared" si="489"/>
        <v>-3</v>
      </c>
      <c r="I448" s="273">
        <f t="shared" si="489"/>
        <v>-3</v>
      </c>
      <c r="J448" s="273">
        <f t="shared" si="489"/>
        <v>-3</v>
      </c>
      <c r="K448" s="273">
        <f t="shared" si="489"/>
        <v>-3</v>
      </c>
      <c r="L448" s="273">
        <f t="shared" si="489"/>
        <v>-6</v>
      </c>
      <c r="M448" s="273">
        <f t="shared" si="489"/>
        <v>-6</v>
      </c>
      <c r="N448" s="273">
        <f t="shared" si="489"/>
        <v>-6</v>
      </c>
      <c r="O448" s="273">
        <f t="shared" si="489"/>
        <v>-6</v>
      </c>
      <c r="P448" s="273">
        <f t="shared" si="489"/>
        <v>-6</v>
      </c>
      <c r="Q448" s="273">
        <f t="shared" si="489"/>
        <v>-6</v>
      </c>
      <c r="R448" s="273">
        <f t="shared" si="489"/>
        <v>-6</v>
      </c>
      <c r="S448" s="273">
        <f t="shared" si="489"/>
        <v>-6</v>
      </c>
      <c r="T448" s="273">
        <f t="shared" si="489"/>
        <v>-6</v>
      </c>
      <c r="U448" s="273">
        <f t="shared" si="489"/>
        <v>-6</v>
      </c>
      <c r="V448" s="273">
        <f t="shared" si="489"/>
        <v>-6</v>
      </c>
      <c r="W448" s="273">
        <f t="shared" si="489"/>
        <v>-6</v>
      </c>
      <c r="X448" s="273">
        <f t="shared" si="489"/>
        <v>-6</v>
      </c>
      <c r="Y448" s="273">
        <f t="shared" si="489"/>
        <v>-6</v>
      </c>
      <c r="Z448" s="273">
        <f t="shared" si="489"/>
        <v>-6</v>
      </c>
      <c r="AA448" s="273">
        <f t="shared" si="489"/>
        <v>-6</v>
      </c>
      <c r="AB448" s="273">
        <f t="shared" si="489"/>
        <v>-6</v>
      </c>
      <c r="AC448" s="273">
        <f t="shared" si="489"/>
        <v>-6</v>
      </c>
      <c r="AD448" s="273">
        <f t="shared" si="489"/>
        <v>-6</v>
      </c>
      <c r="AE448" s="273">
        <f t="shared" si="489"/>
        <v>-6</v>
      </c>
      <c r="AF448" s="273">
        <f t="shared" si="489"/>
        <v>-6</v>
      </c>
      <c r="AG448" s="273">
        <f t="shared" si="489"/>
        <v>-6</v>
      </c>
      <c r="AH448" s="273">
        <f t="shared" si="489"/>
        <v>-6</v>
      </c>
      <c r="AI448" s="273">
        <f t="shared" si="489"/>
        <v>-6</v>
      </c>
      <c r="AJ448" s="273">
        <f t="shared" si="489"/>
        <v>-6</v>
      </c>
      <c r="AK448" s="273">
        <f t="shared" si="489"/>
        <v>0</v>
      </c>
      <c r="AL448" s="273">
        <f t="shared" si="489"/>
        <v>0</v>
      </c>
      <c r="AM448" s="273">
        <f t="shared" si="489"/>
        <v>0</v>
      </c>
      <c r="AN448" s="273">
        <f t="shared" si="489"/>
        <v>0</v>
      </c>
    </row>
    <row r="449" spans="3:40" outlineLevel="4">
      <c r="C449" t="s">
        <v>468</v>
      </c>
      <c r="D449" s="275"/>
      <c r="E449" s="203" t="s">
        <v>13</v>
      </c>
      <c r="F449" s="89"/>
      <c r="G449" s="287">
        <f t="shared" ref="G449:AN449" si="490">SUM(G446:G448)</f>
        <v>27</v>
      </c>
      <c r="H449" s="287">
        <f t="shared" si="490"/>
        <v>24</v>
      </c>
      <c r="I449" s="287">
        <f t="shared" si="490"/>
        <v>21</v>
      </c>
      <c r="J449" s="287">
        <f t="shared" si="490"/>
        <v>18</v>
      </c>
      <c r="K449" s="287">
        <f t="shared" si="490"/>
        <v>15</v>
      </c>
      <c r="L449" s="287">
        <f t="shared" si="490"/>
        <v>39</v>
      </c>
      <c r="M449" s="287">
        <f t="shared" si="490"/>
        <v>33</v>
      </c>
      <c r="N449" s="287">
        <f t="shared" si="490"/>
        <v>27</v>
      </c>
      <c r="O449" s="287">
        <f t="shared" si="490"/>
        <v>21</v>
      </c>
      <c r="P449" s="287">
        <f t="shared" si="490"/>
        <v>15</v>
      </c>
      <c r="Q449" s="287">
        <f t="shared" si="490"/>
        <v>39</v>
      </c>
      <c r="R449" s="287">
        <f t="shared" si="490"/>
        <v>33</v>
      </c>
      <c r="S449" s="287">
        <f t="shared" si="490"/>
        <v>27</v>
      </c>
      <c r="T449" s="287">
        <f t="shared" si="490"/>
        <v>21</v>
      </c>
      <c r="U449" s="287">
        <f t="shared" si="490"/>
        <v>15</v>
      </c>
      <c r="V449" s="287">
        <f t="shared" si="490"/>
        <v>39</v>
      </c>
      <c r="W449" s="287">
        <f t="shared" si="490"/>
        <v>33</v>
      </c>
      <c r="X449" s="287">
        <f t="shared" si="490"/>
        <v>27</v>
      </c>
      <c r="Y449" s="287">
        <f t="shared" si="490"/>
        <v>21</v>
      </c>
      <c r="Z449" s="287">
        <f t="shared" si="490"/>
        <v>15</v>
      </c>
      <c r="AA449" s="287">
        <f t="shared" si="490"/>
        <v>39</v>
      </c>
      <c r="AB449" s="287">
        <f t="shared" si="490"/>
        <v>33</v>
      </c>
      <c r="AC449" s="287">
        <f t="shared" si="490"/>
        <v>27</v>
      </c>
      <c r="AD449" s="287">
        <f t="shared" si="490"/>
        <v>21</v>
      </c>
      <c r="AE449" s="287">
        <f t="shared" si="490"/>
        <v>15</v>
      </c>
      <c r="AF449" s="287">
        <f t="shared" si="490"/>
        <v>39</v>
      </c>
      <c r="AG449" s="287">
        <f t="shared" si="490"/>
        <v>33</v>
      </c>
      <c r="AH449" s="287">
        <f t="shared" si="490"/>
        <v>27</v>
      </c>
      <c r="AI449" s="287">
        <f t="shared" si="490"/>
        <v>21</v>
      </c>
      <c r="AJ449" s="287">
        <f t="shared" si="490"/>
        <v>15</v>
      </c>
      <c r="AK449" s="287">
        <f t="shared" si="490"/>
        <v>15</v>
      </c>
      <c r="AL449" s="287">
        <f t="shared" si="490"/>
        <v>15</v>
      </c>
      <c r="AM449" s="287">
        <f t="shared" si="490"/>
        <v>15</v>
      </c>
      <c r="AN449" s="287">
        <f t="shared" si="490"/>
        <v>15</v>
      </c>
    </row>
    <row r="450" spans="3:40" outlineLevel="3">
      <c r="C450"/>
      <c r="D450" s="266"/>
      <c r="E450" s="76"/>
      <c r="F450"/>
    </row>
    <row r="451" spans="3:40" outlineLevel="3">
      <c r="C451" t="s">
        <v>469</v>
      </c>
      <c r="D451" s="266"/>
      <c r="E451" s="76"/>
      <c r="F451"/>
    </row>
    <row r="452" spans="3:40" outlineLevel="4">
      <c r="C452"/>
      <c r="D452" s="266"/>
      <c r="E452" s="76"/>
      <c r="F452"/>
    </row>
    <row r="453" spans="3:40" outlineLevel="4">
      <c r="C453" s="303" t="str">
        <f>Flags!C$72</f>
        <v>Cons + Ops Flag</v>
      </c>
      <c r="D453" s="319"/>
      <c r="E453" s="41" t="str">
        <f>Flags!E$72</f>
        <v>Flag</v>
      </c>
      <c r="F453" s="23">
        <f>Flags!F$72</f>
        <v>30</v>
      </c>
      <c r="G453" s="25">
        <f>Flags!G$72</f>
        <v>1</v>
      </c>
      <c r="H453" s="25">
        <f>Flags!H$72</f>
        <v>1</v>
      </c>
      <c r="I453" s="25">
        <f>Flags!I$72</f>
        <v>1</v>
      </c>
      <c r="J453" s="25">
        <f>Flags!J$72</f>
        <v>1</v>
      </c>
      <c r="K453" s="25">
        <f>Flags!K$72</f>
        <v>1</v>
      </c>
      <c r="L453" s="25">
        <f>Flags!L$72</f>
        <v>1</v>
      </c>
      <c r="M453" s="25">
        <f>Flags!M$72</f>
        <v>1</v>
      </c>
      <c r="N453" s="25">
        <f>Flags!N$72</f>
        <v>1</v>
      </c>
      <c r="O453" s="25">
        <f>Flags!O$72</f>
        <v>1</v>
      </c>
      <c r="P453" s="25">
        <f>Flags!P$72</f>
        <v>1</v>
      </c>
      <c r="Q453" s="25">
        <f>Flags!Q$72</f>
        <v>1</v>
      </c>
      <c r="R453" s="25">
        <f>Flags!R$72</f>
        <v>1</v>
      </c>
      <c r="S453" s="25">
        <f>Flags!S$72</f>
        <v>1</v>
      </c>
      <c r="T453" s="25">
        <f>Flags!T$72</f>
        <v>1</v>
      </c>
      <c r="U453" s="25">
        <f>Flags!U$72</f>
        <v>1</v>
      </c>
      <c r="V453" s="25">
        <f>Flags!V$72</f>
        <v>1</v>
      </c>
      <c r="W453" s="25">
        <f>Flags!W$72</f>
        <v>1</v>
      </c>
      <c r="X453" s="25">
        <f>Flags!X$72</f>
        <v>1</v>
      </c>
      <c r="Y453" s="25">
        <f>Flags!Y$72</f>
        <v>1</v>
      </c>
      <c r="Z453" s="25">
        <f>Flags!Z$72</f>
        <v>1</v>
      </c>
      <c r="AA453" s="25">
        <f>Flags!AA$72</f>
        <v>1</v>
      </c>
      <c r="AB453" s="25">
        <f>Flags!AB$72</f>
        <v>1</v>
      </c>
      <c r="AC453" s="25">
        <f>Flags!AC$72</f>
        <v>1</v>
      </c>
      <c r="AD453" s="25">
        <f>Flags!AD$72</f>
        <v>1</v>
      </c>
      <c r="AE453" s="25">
        <f>Flags!AE$72</f>
        <v>1</v>
      </c>
      <c r="AF453" s="25">
        <f>Flags!AF$72</f>
        <v>1</v>
      </c>
      <c r="AG453" s="25">
        <f>Flags!AG$72</f>
        <v>1</v>
      </c>
      <c r="AH453" s="25">
        <f>Flags!AH$72</f>
        <v>1</v>
      </c>
      <c r="AI453" s="25">
        <f>Flags!AI$72</f>
        <v>1</v>
      </c>
      <c r="AJ453" s="25">
        <f>Flags!AJ$72</f>
        <v>1</v>
      </c>
      <c r="AK453" s="25">
        <f>Flags!AK$72</f>
        <v>0</v>
      </c>
      <c r="AL453" s="25">
        <f>Flags!AL$72</f>
        <v>0</v>
      </c>
      <c r="AM453" s="25">
        <f>Flags!AM$72</f>
        <v>0</v>
      </c>
      <c r="AN453" s="25">
        <f>Flags!AN$72</f>
        <v>0</v>
      </c>
    </row>
    <row r="454" spans="3:40" outlineLevel="4">
      <c r="C454"/>
      <c r="D454" s="266"/>
      <c r="E454" s="76"/>
      <c r="F454"/>
    </row>
    <row r="455" spans="3:40" outlineLevel="4">
      <c r="C455" s="303" t="str">
        <f>Flags!C$14</f>
        <v>Counter</v>
      </c>
      <c r="D455" s="266"/>
      <c r="E455" s="76" t="str">
        <f>Flags!E$14</f>
        <v>Counter</v>
      </c>
      <c r="F455" s="89">
        <f>Flags!F$14</f>
        <v>0</v>
      </c>
      <c r="G455" s="266">
        <f>Flags!G$14</f>
        <v>1</v>
      </c>
      <c r="H455" s="266">
        <f>Flags!H$14</f>
        <v>2</v>
      </c>
      <c r="I455" s="266">
        <f>Flags!I$14</f>
        <v>3</v>
      </c>
      <c r="J455" s="266">
        <f>Flags!J$14</f>
        <v>4</v>
      </c>
      <c r="K455" s="266">
        <f>Flags!K$14</f>
        <v>5</v>
      </c>
      <c r="L455" s="266">
        <f>Flags!L$14</f>
        <v>6</v>
      </c>
      <c r="M455" s="266">
        <f>Flags!M$14</f>
        <v>7</v>
      </c>
      <c r="N455" s="266">
        <f>Flags!N$14</f>
        <v>8</v>
      </c>
      <c r="O455" s="266">
        <f>Flags!O$14</f>
        <v>9</v>
      </c>
      <c r="P455" s="266">
        <f>Flags!P$14</f>
        <v>10</v>
      </c>
      <c r="Q455" s="266">
        <f>Flags!Q$14</f>
        <v>11</v>
      </c>
      <c r="R455" s="266">
        <f>Flags!R$14</f>
        <v>12</v>
      </c>
      <c r="S455" s="266">
        <f>Flags!S$14</f>
        <v>13</v>
      </c>
      <c r="T455" s="266">
        <f>Flags!T$14</f>
        <v>14</v>
      </c>
      <c r="U455" s="266">
        <f>Flags!U$14</f>
        <v>15</v>
      </c>
      <c r="V455" s="266">
        <f>Flags!V$14</f>
        <v>16</v>
      </c>
      <c r="W455" s="266">
        <f>Flags!W$14</f>
        <v>17</v>
      </c>
      <c r="X455" s="266">
        <f>Flags!X$14</f>
        <v>18</v>
      </c>
      <c r="Y455" s="266">
        <f>Flags!Y$14</f>
        <v>19</v>
      </c>
      <c r="Z455" s="266">
        <f>Flags!Z$14</f>
        <v>20</v>
      </c>
      <c r="AA455" s="266">
        <f>Flags!AA$14</f>
        <v>21</v>
      </c>
      <c r="AB455" s="266">
        <f>Flags!AB$14</f>
        <v>22</v>
      </c>
      <c r="AC455" s="266">
        <f>Flags!AC$14</f>
        <v>23</v>
      </c>
      <c r="AD455" s="266">
        <f>Flags!AD$14</f>
        <v>24</v>
      </c>
      <c r="AE455" s="266">
        <f>Flags!AE$14</f>
        <v>25</v>
      </c>
      <c r="AF455" s="266">
        <f>Flags!AF$14</f>
        <v>26</v>
      </c>
      <c r="AG455" s="266">
        <f>Flags!AG$14</f>
        <v>27</v>
      </c>
      <c r="AH455" s="266">
        <f>Flags!AH$14</f>
        <v>28</v>
      </c>
      <c r="AI455" s="266">
        <f>Flags!AI$14</f>
        <v>29</v>
      </c>
      <c r="AJ455" s="266">
        <f>Flags!AJ$14</f>
        <v>30</v>
      </c>
      <c r="AK455" s="266">
        <f>Flags!AK$14</f>
        <v>31</v>
      </c>
      <c r="AL455" s="266">
        <f>Flags!AL$14</f>
        <v>32</v>
      </c>
      <c r="AM455" s="266">
        <f>Flags!AM$14</f>
        <v>33</v>
      </c>
      <c r="AN455" s="266">
        <f>Flags!AN$14</f>
        <v>34</v>
      </c>
    </row>
    <row r="456" spans="3:40" outlineLevel="4">
      <c r="C456"/>
      <c r="D456" s="266"/>
      <c r="E456" s="76"/>
      <c r="F456"/>
    </row>
    <row r="457" spans="3:40" outlineLevel="4">
      <c r="C457" t="str">
        <f>Inputs!$E$258</f>
        <v>Valor residual</v>
      </c>
      <c r="D457">
        <f>Inputs!$E$259</f>
        <v>0</v>
      </c>
      <c r="E457" s="76"/>
      <c r="F457"/>
    </row>
    <row r="458" spans="3:40" outlineLevel="4">
      <c r="C458"/>
      <c r="D458" s="266"/>
      <c r="E458" s="76"/>
      <c r="F458"/>
    </row>
    <row r="459" spans="3:40" outlineLevel="4">
      <c r="C459" t="s">
        <v>470</v>
      </c>
      <c r="D459" t="s">
        <v>471</v>
      </c>
      <c r="E459" t="s">
        <v>79</v>
      </c>
      <c r="F459" s="309" t="s">
        <v>472</v>
      </c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</row>
    <row r="460" spans="3:40" outlineLevel="4">
      <c r="C460">
        <f t="array" ref="C460:C493">TRANSPOSE(G455:AN455)</f>
        <v>1</v>
      </c>
      <c r="D460">
        <f>Inputs!$D$259</f>
        <v>0.1</v>
      </c>
      <c r="E460">
        <f t="array" ref="E460:E493">TRANSPOSE(G447:AN447)</f>
        <v>30</v>
      </c>
      <c r="F460" s="461">
        <f>E460*D457</f>
        <v>0</v>
      </c>
      <c r="G460">
        <f>IF(G$455&gt;=$C460,MIN(-(SUM(F460:$F460)-$E460),($E460*(1-$D$457))*$D460),0)*G$453</f>
        <v>3</v>
      </c>
      <c r="H460">
        <f>IF(H$455&gt;=$C460,MIN(-(SUM($F460:G460)-$E460),($E460*(1-$D$457))*$D460),0)*H$453</f>
        <v>3</v>
      </c>
      <c r="I460">
        <f>IF(I$455&gt;=$C460,MIN(-(SUM($F460:H460)-$E460),($E460*(1-$D$457))*$D460),0)*I$453</f>
        <v>3</v>
      </c>
      <c r="J460">
        <f>IF(J$455&gt;=$C460,MIN(-(SUM($F460:I460)-$E460),($E460*(1-$D$457))*$D460),0)*J$453</f>
        <v>3</v>
      </c>
      <c r="K460">
        <f>IF(K$455&gt;=$C460,MIN(-(SUM($F460:J460)-$E460),($E460*(1-$D$457))*$D460),0)*K$453</f>
        <v>3</v>
      </c>
      <c r="L460">
        <f>IF(L$455&gt;=$C460,MIN(-(SUM($F460:K460)-$E460),($E460*(1-$D$457))*$D460),0)*L$453</f>
        <v>3</v>
      </c>
      <c r="M460">
        <f>IF(M$455&gt;=$C460,MIN(-(SUM($F460:L460)-$E460),($E460*(1-$D$457))*$D460),0)*M$453</f>
        <v>3</v>
      </c>
      <c r="N460">
        <f>IF(N$455&gt;=$C460,MIN(-(SUM($F460:M460)-$E460),($E460*(1-$D$457))*$D460),0)*N$453</f>
        <v>3</v>
      </c>
      <c r="O460">
        <f>IF(O$455&gt;=$C460,MIN(-(SUM($F460:N460)-$E460),($E460*(1-$D$457))*$D460),0)*O$453</f>
        <v>3</v>
      </c>
      <c r="P460">
        <f>IF(P$455&gt;=$C460,MIN(-(SUM($F460:O460)-$E460),($E460*(1-$D$457))*$D460),0)*P$453</f>
        <v>3</v>
      </c>
      <c r="Q460">
        <f>IF(Q$455&gt;=$C460,MIN(-(SUM($F460:P460)-$E460),($E460*(1-$D$457))*$D460),0)*Q$453</f>
        <v>0</v>
      </c>
      <c r="R460">
        <f>IF(R$455&gt;=$C460,MIN(-(SUM($F460:Q460)-$E460),($E460*(1-$D$457))*$D460),0)*R$453</f>
        <v>0</v>
      </c>
      <c r="S460">
        <f>IF(S$455&gt;=$C460,MIN(-(SUM($F460:R460)-$E460),($E460*(1-$D$457))*$D460),0)*S$453</f>
        <v>0</v>
      </c>
      <c r="T460">
        <f>IF(T$455&gt;=$C460,MIN(-(SUM($F460:S460)-$E460),($E460*(1-$D$457))*$D460),0)*T$453</f>
        <v>0</v>
      </c>
      <c r="U460">
        <f>IF(U$455&gt;=$C460,MIN(-(SUM($F460:T460)-$E460),($E460*(1-$D$457))*$D460),0)*U$453</f>
        <v>0</v>
      </c>
      <c r="V460">
        <f>IF(V$455&gt;=$C460,MIN(-(SUM($F460:U460)-$E460),($E460*(1-$D$457))*$D460),0)*V$453</f>
        <v>0</v>
      </c>
      <c r="W460">
        <f>IF(W$455&gt;=$C460,MIN(-(SUM($F460:V460)-$E460),($E460*(1-$D$457))*$D460),0)*W$453</f>
        <v>0</v>
      </c>
      <c r="X460">
        <f>IF(X$455&gt;=$C460,MIN(-(SUM($F460:W460)-$E460),($E460*(1-$D$457))*$D460),0)*X$453</f>
        <v>0</v>
      </c>
      <c r="Y460">
        <f>IF(Y$455&gt;=$C460,MIN(-(SUM($F460:X460)-$E460),($E460*(1-$D$457))*$D460),0)*Y$453</f>
        <v>0</v>
      </c>
      <c r="Z460">
        <f>IF(Z$455&gt;=$C460,MIN(-(SUM($F460:Y460)-$E460),($E460*(1-$D$457))*$D460),0)*Z$453</f>
        <v>0</v>
      </c>
      <c r="AA460">
        <f>IF(AA$455&gt;=$C460,MIN(-(SUM($F460:Z460)-$E460),($E460*(1-$D$457))*$D460),0)*AA$453</f>
        <v>0</v>
      </c>
      <c r="AB460">
        <f>IF(AB$455&gt;=$C460,MIN(-(SUM($F460:AA460)-$E460),($E460*(1-$D$457))*$D460),0)*AB$453</f>
        <v>0</v>
      </c>
      <c r="AC460">
        <f>IF(AC$455&gt;=$C460,MIN(-(SUM($F460:AB460)-$E460),($E460*(1-$D$457))*$D460),0)*AC$453</f>
        <v>0</v>
      </c>
      <c r="AD460">
        <f>IF(AD$455&gt;=$C460,MIN(-(SUM($F460:AC460)-$E460),($E460*(1-$D$457))*$D460),0)*AD$453</f>
        <v>0</v>
      </c>
      <c r="AE460">
        <f>IF(AE$455&gt;=$C460,MIN(-(SUM($F460:AD460)-$E460),($E460*(1-$D$457))*$D460),0)*AE$453</f>
        <v>0</v>
      </c>
      <c r="AF460">
        <f>IF(AF$455&gt;=$C460,MIN(-(SUM($F460:AE460)-$E460),($E460*(1-$D$457))*$D460),0)*AF$453</f>
        <v>0</v>
      </c>
      <c r="AG460">
        <f>IF(AG$455&gt;=$C460,MIN(-(SUM($F460:AF460)-$E460),($E460*(1-$D$457))*$D460),0)*AG$453</f>
        <v>0</v>
      </c>
      <c r="AH460">
        <f>IF(AH$455&gt;=$C460,MIN(-(SUM($F460:AG460)-$E460),($E460*(1-$D$457))*$D460),0)*AH$453</f>
        <v>0</v>
      </c>
      <c r="AI460">
        <f>IF(AI$455&gt;=$C460,MIN(-(SUM($F460:AH460)-$E460),($E460*(1-$D$457))*$D460),0)*AI$453</f>
        <v>0</v>
      </c>
      <c r="AJ460">
        <f>IF(AJ$455&gt;=$C460,MIN(-(SUM($F460:AI460)-$E460),($E460*(1-$D$457))*$D460),0)*AJ$453</f>
        <v>0</v>
      </c>
      <c r="AK460">
        <f>IF(AK$455&gt;=$C460,MIN(-(SUM($F460:AJ460)-$E460),($E460*(1-$D$457))*$D460),0)*AK$453</f>
        <v>0</v>
      </c>
      <c r="AL460">
        <f>IF(AL$455&gt;=$C460,MIN(-(SUM($F460:AK460)-$E460),($E460*(1-$D$457))*$D460),0)*AL$453</f>
        <v>0</v>
      </c>
      <c r="AM460">
        <f>IF(AM$455&gt;=$C460,MIN(-(SUM($F460:AL460)-$E460),($E460*(1-$D$457))*$D460),0)*AM$453</f>
        <v>0</v>
      </c>
      <c r="AN460">
        <f>IF(AN$455&gt;=$C460,MIN(-(SUM($F460:AM460)-$E460),($E460*(1-$D$457))*$D460),0)*AN$453</f>
        <v>0</v>
      </c>
    </row>
    <row r="461" spans="3:40" outlineLevel="4">
      <c r="C461">
        <v>2</v>
      </c>
      <c r="D461">
        <f>Inputs!$D$259</f>
        <v>0.1</v>
      </c>
      <c r="E461">
        <v>0</v>
      </c>
      <c r="F461" s="461">
        <f>E461*D457</f>
        <v>0</v>
      </c>
      <c r="G461">
        <f>IF(G$455&gt;=$C461,MIN(-(SUM(F461:$F461)-$E461),($E461*(1-$D$457))*$D461),0)*G$453</f>
        <v>0</v>
      </c>
      <c r="H461">
        <f>IF(H$455&gt;=$C461,MIN(-(SUM($F461:G461)-$E461),($E461*(1-$D$457))*$D461),0)*H$453</f>
        <v>0</v>
      </c>
      <c r="I461">
        <f>IF(I$455&gt;=$C461,MIN(-(SUM($F461:H461)-$E461),($E461*(1-$D$457))*$D461),0)*I$453</f>
        <v>0</v>
      </c>
      <c r="J461">
        <f>IF(J$455&gt;=$C461,MIN(-(SUM($F461:I461)-$E461),($E461*(1-$D$457))*$D461),0)*J$453</f>
        <v>0</v>
      </c>
      <c r="K461">
        <f>IF(K$455&gt;=$C461,MIN(-(SUM($F461:J461)-$E461),($E461*(1-$D$457))*$D461),0)*K$453</f>
        <v>0</v>
      </c>
      <c r="L461">
        <f>IF(L$455&gt;=$C461,MIN(-(SUM($F461:K461)-$E461),($E461*(1-$D$457))*$D461),0)*L$453</f>
        <v>0</v>
      </c>
      <c r="M461">
        <f>IF(M$455&gt;=$C461,MIN(-(SUM($F461:L461)-$E461),($E461*(1-$D$457))*$D461),0)*M$453</f>
        <v>0</v>
      </c>
      <c r="N461">
        <f>IF(N$455&gt;=$C461,MIN(-(SUM($F461:M461)-$E461),($E461*(1-$D$457))*$D461),0)*N$453</f>
        <v>0</v>
      </c>
      <c r="O461">
        <f>IF(O$455&gt;=$C461,MIN(-(SUM($F461:N461)-$E461),($E461*(1-$D$457))*$D461),0)*O$453</f>
        <v>0</v>
      </c>
      <c r="P461">
        <f>IF(P$455&gt;=$C461,MIN(-(SUM($F461:O461)-$E461),($E461*(1-$D$457))*$D461),0)*P$453</f>
        <v>0</v>
      </c>
      <c r="Q461">
        <f>IF(Q$455&gt;=$C461,MIN(-(SUM($F461:P461)-$E461),($E461*(1-$D$457))*$D461),0)*Q$453</f>
        <v>0</v>
      </c>
      <c r="R461">
        <f>IF(R$455&gt;=$C461,MIN(-(SUM($F461:Q461)-$E461),($E461*(1-$D$457))*$D461),0)*R$453</f>
        <v>0</v>
      </c>
      <c r="S461">
        <f>IF(S$455&gt;=$C461,MIN(-(SUM($F461:R461)-$E461),($E461*(1-$D$457))*$D461),0)*S$453</f>
        <v>0</v>
      </c>
      <c r="T461">
        <f>IF(T$455&gt;=$C461,MIN(-(SUM($F461:S461)-$E461),($E461*(1-$D$457))*$D461),0)*T$453</f>
        <v>0</v>
      </c>
      <c r="U461">
        <f>IF(U$455&gt;=$C461,MIN(-(SUM($F461:T461)-$E461),($E461*(1-$D$457))*$D461),0)*U$453</f>
        <v>0</v>
      </c>
      <c r="V461">
        <f>IF(V$455&gt;=$C461,MIN(-(SUM($F461:U461)-$E461),($E461*(1-$D$457))*$D461),0)*V$453</f>
        <v>0</v>
      </c>
      <c r="W461">
        <f>IF(W$455&gt;=$C461,MIN(-(SUM($F461:V461)-$E461),($E461*(1-$D$457))*$D461),0)*W$453</f>
        <v>0</v>
      </c>
      <c r="X461">
        <f>IF(X$455&gt;=$C461,MIN(-(SUM($F461:W461)-$E461),($E461*(1-$D$457))*$D461),0)*X$453</f>
        <v>0</v>
      </c>
      <c r="Y461">
        <f>IF(Y$455&gt;=$C461,MIN(-(SUM($F461:X461)-$E461),($E461*(1-$D$457))*$D461),0)*Y$453</f>
        <v>0</v>
      </c>
      <c r="Z461">
        <f>IF(Z$455&gt;=$C461,MIN(-(SUM($F461:Y461)-$E461),($E461*(1-$D$457))*$D461),0)*Z$453</f>
        <v>0</v>
      </c>
      <c r="AA461">
        <f>IF(AA$455&gt;=$C461,MIN(-(SUM($F461:Z461)-$E461),($E461*(1-$D$457))*$D461),0)*AA$453</f>
        <v>0</v>
      </c>
      <c r="AB461">
        <f>IF(AB$455&gt;=$C461,MIN(-(SUM($F461:AA461)-$E461),($E461*(1-$D$457))*$D461),0)*AB$453</f>
        <v>0</v>
      </c>
      <c r="AC461">
        <f>IF(AC$455&gt;=$C461,MIN(-(SUM($F461:AB461)-$E461),($E461*(1-$D$457))*$D461),0)*AC$453</f>
        <v>0</v>
      </c>
      <c r="AD461">
        <f>IF(AD$455&gt;=$C461,MIN(-(SUM($F461:AC461)-$E461),($E461*(1-$D$457))*$D461),0)*AD$453</f>
        <v>0</v>
      </c>
      <c r="AE461">
        <f>IF(AE$455&gt;=$C461,MIN(-(SUM($F461:AD461)-$E461),($E461*(1-$D$457))*$D461),0)*AE$453</f>
        <v>0</v>
      </c>
      <c r="AF461">
        <f>IF(AF$455&gt;=$C461,MIN(-(SUM($F461:AE461)-$E461),($E461*(1-$D$457))*$D461),0)*AF$453</f>
        <v>0</v>
      </c>
      <c r="AG461">
        <f>IF(AG$455&gt;=$C461,MIN(-(SUM($F461:AF461)-$E461),($E461*(1-$D$457))*$D461),0)*AG$453</f>
        <v>0</v>
      </c>
      <c r="AH461">
        <f>IF(AH$455&gt;=$C461,MIN(-(SUM($F461:AG461)-$E461),($E461*(1-$D$457))*$D461),0)*AH$453</f>
        <v>0</v>
      </c>
      <c r="AI461">
        <f>IF(AI$455&gt;=$C461,MIN(-(SUM($F461:AH461)-$E461),($E461*(1-$D$457))*$D461),0)*AI$453</f>
        <v>0</v>
      </c>
      <c r="AJ461">
        <f>IF(AJ$455&gt;=$C461,MIN(-(SUM($F461:AI461)-$E461),($E461*(1-$D$457))*$D461),0)*AJ$453</f>
        <v>0</v>
      </c>
      <c r="AK461">
        <f>IF(AK$455&gt;=$C461,MIN(-(SUM($F461:AJ461)-$E461),($E461*(1-$D$457))*$D461),0)*AK$453</f>
        <v>0</v>
      </c>
      <c r="AL461">
        <f>IF(AL$455&gt;=$C461,MIN(-(SUM($F461:AK461)-$E461),($E461*(1-$D$457))*$D461),0)*AL$453</f>
        <v>0</v>
      </c>
      <c r="AM461">
        <f>IF(AM$455&gt;=$C461,MIN(-(SUM($F461:AL461)-$E461),($E461*(1-$D$457))*$D461),0)*AM$453</f>
        <v>0</v>
      </c>
      <c r="AN461">
        <f>IF(AN$455&gt;=$C461,MIN(-(SUM($F461:AM461)-$E461),($E461*(1-$D$457))*$D461),0)*AN$453</f>
        <v>0</v>
      </c>
    </row>
    <row r="462" spans="3:40" outlineLevel="4">
      <c r="C462">
        <v>3</v>
      </c>
      <c r="D462">
        <f>Inputs!$D$259</f>
        <v>0.1</v>
      </c>
      <c r="E462">
        <v>0</v>
      </c>
      <c r="F462" s="461">
        <f>E462*D457</f>
        <v>0</v>
      </c>
      <c r="G462">
        <f>IF(G$455&gt;=$C462,MIN(-(SUM(F462:$F462)-$E462),($E462*(1-$D$457))*$D462),0)*G$453</f>
        <v>0</v>
      </c>
      <c r="H462">
        <f>IF(H$455&gt;=$C462,MIN(-(SUM($F462:G462)-$E462),($E462*(1-$D$457))*$D462),0)*H$453</f>
        <v>0</v>
      </c>
      <c r="I462">
        <f>IF(I$455&gt;=$C462,MIN(-(SUM($F462:H462)-$E462),($E462*(1-$D$457))*$D462),0)*I$453</f>
        <v>0</v>
      </c>
      <c r="J462">
        <f>IF(J$455&gt;=$C462,MIN(-(SUM($F462:I462)-$E462),($E462*(1-$D$457))*$D462),0)*J$453</f>
        <v>0</v>
      </c>
      <c r="K462">
        <f>IF(K$455&gt;=$C462,MIN(-(SUM($F462:J462)-$E462),($E462*(1-$D$457))*$D462),0)*K$453</f>
        <v>0</v>
      </c>
      <c r="L462">
        <f>IF(L$455&gt;=$C462,MIN(-(SUM($F462:K462)-$E462),($E462*(1-$D$457))*$D462),0)*L$453</f>
        <v>0</v>
      </c>
      <c r="M462">
        <f>IF(M$455&gt;=$C462,MIN(-(SUM($F462:L462)-$E462),($E462*(1-$D$457))*$D462),0)*M$453</f>
        <v>0</v>
      </c>
      <c r="N462">
        <f>IF(N$455&gt;=$C462,MIN(-(SUM($F462:M462)-$E462),($E462*(1-$D$457))*$D462),0)*N$453</f>
        <v>0</v>
      </c>
      <c r="O462">
        <f>IF(O$455&gt;=$C462,MIN(-(SUM($F462:N462)-$E462),($E462*(1-$D$457))*$D462),0)*O$453</f>
        <v>0</v>
      </c>
      <c r="P462">
        <f>IF(P$455&gt;=$C462,MIN(-(SUM($F462:O462)-$E462),($E462*(1-$D$457))*$D462),0)*P$453</f>
        <v>0</v>
      </c>
      <c r="Q462">
        <f>IF(Q$455&gt;=$C462,MIN(-(SUM($F462:P462)-$E462),($E462*(1-$D$457))*$D462),0)*Q$453</f>
        <v>0</v>
      </c>
      <c r="R462">
        <f>IF(R$455&gt;=$C462,MIN(-(SUM($F462:Q462)-$E462),($E462*(1-$D$457))*$D462),0)*R$453</f>
        <v>0</v>
      </c>
      <c r="S462">
        <f>IF(S$455&gt;=$C462,MIN(-(SUM($F462:R462)-$E462),($E462*(1-$D$457))*$D462),0)*S$453</f>
        <v>0</v>
      </c>
      <c r="T462">
        <f>IF(T$455&gt;=$C462,MIN(-(SUM($F462:S462)-$E462),($E462*(1-$D$457))*$D462),0)*T$453</f>
        <v>0</v>
      </c>
      <c r="U462">
        <f>IF(U$455&gt;=$C462,MIN(-(SUM($F462:T462)-$E462),($E462*(1-$D$457))*$D462),0)*U$453</f>
        <v>0</v>
      </c>
      <c r="V462">
        <f>IF(V$455&gt;=$C462,MIN(-(SUM($F462:U462)-$E462),($E462*(1-$D$457))*$D462),0)*V$453</f>
        <v>0</v>
      </c>
      <c r="W462">
        <f>IF(W$455&gt;=$C462,MIN(-(SUM($F462:V462)-$E462),($E462*(1-$D$457))*$D462),0)*W$453</f>
        <v>0</v>
      </c>
      <c r="X462">
        <f>IF(X$455&gt;=$C462,MIN(-(SUM($F462:W462)-$E462),($E462*(1-$D$457))*$D462),0)*X$453</f>
        <v>0</v>
      </c>
      <c r="Y462">
        <f>IF(Y$455&gt;=$C462,MIN(-(SUM($F462:X462)-$E462),($E462*(1-$D$457))*$D462),0)*Y$453</f>
        <v>0</v>
      </c>
      <c r="Z462">
        <f>IF(Z$455&gt;=$C462,MIN(-(SUM($F462:Y462)-$E462),($E462*(1-$D$457))*$D462),0)*Z$453</f>
        <v>0</v>
      </c>
      <c r="AA462">
        <f>IF(AA$455&gt;=$C462,MIN(-(SUM($F462:Z462)-$E462),($E462*(1-$D$457))*$D462),0)*AA$453</f>
        <v>0</v>
      </c>
      <c r="AB462">
        <f>IF(AB$455&gt;=$C462,MIN(-(SUM($F462:AA462)-$E462),($E462*(1-$D$457))*$D462),0)*AB$453</f>
        <v>0</v>
      </c>
      <c r="AC462">
        <f>IF(AC$455&gt;=$C462,MIN(-(SUM($F462:AB462)-$E462),($E462*(1-$D$457))*$D462),0)*AC$453</f>
        <v>0</v>
      </c>
      <c r="AD462">
        <f>IF(AD$455&gt;=$C462,MIN(-(SUM($F462:AC462)-$E462),($E462*(1-$D$457))*$D462),0)*AD$453</f>
        <v>0</v>
      </c>
      <c r="AE462">
        <f>IF(AE$455&gt;=$C462,MIN(-(SUM($F462:AD462)-$E462),($E462*(1-$D$457))*$D462),0)*AE$453</f>
        <v>0</v>
      </c>
      <c r="AF462">
        <f>IF(AF$455&gt;=$C462,MIN(-(SUM($F462:AE462)-$E462),($E462*(1-$D$457))*$D462),0)*AF$453</f>
        <v>0</v>
      </c>
      <c r="AG462">
        <f>IF(AG$455&gt;=$C462,MIN(-(SUM($F462:AF462)-$E462),($E462*(1-$D$457))*$D462),0)*AG$453</f>
        <v>0</v>
      </c>
      <c r="AH462">
        <f>IF(AH$455&gt;=$C462,MIN(-(SUM($F462:AG462)-$E462),($E462*(1-$D$457))*$D462),0)*AH$453</f>
        <v>0</v>
      </c>
      <c r="AI462">
        <f>IF(AI$455&gt;=$C462,MIN(-(SUM($F462:AH462)-$E462),($E462*(1-$D$457))*$D462),0)*AI$453</f>
        <v>0</v>
      </c>
      <c r="AJ462">
        <f>IF(AJ$455&gt;=$C462,MIN(-(SUM($F462:AI462)-$E462),($E462*(1-$D$457))*$D462),0)*AJ$453</f>
        <v>0</v>
      </c>
      <c r="AK462">
        <f>IF(AK$455&gt;=$C462,MIN(-(SUM($F462:AJ462)-$E462),($E462*(1-$D$457))*$D462),0)*AK$453</f>
        <v>0</v>
      </c>
      <c r="AL462">
        <f>IF(AL$455&gt;=$C462,MIN(-(SUM($F462:AK462)-$E462),($E462*(1-$D$457))*$D462),0)*AL$453</f>
        <v>0</v>
      </c>
      <c r="AM462">
        <f>IF(AM$455&gt;=$C462,MIN(-(SUM($F462:AL462)-$E462),($E462*(1-$D$457))*$D462),0)*AM$453</f>
        <v>0</v>
      </c>
      <c r="AN462">
        <f>IF(AN$455&gt;=$C462,MIN(-(SUM($F462:AM462)-$E462),($E462*(1-$D$457))*$D462),0)*AN$453</f>
        <v>0</v>
      </c>
    </row>
    <row r="463" spans="3:40" outlineLevel="4">
      <c r="C463">
        <v>4</v>
      </c>
      <c r="D463">
        <f>Inputs!$D$259</f>
        <v>0.1</v>
      </c>
      <c r="E463">
        <v>0</v>
      </c>
      <c r="F463" s="461">
        <f>E463*D457</f>
        <v>0</v>
      </c>
      <c r="G463">
        <f>IF(G$455&gt;=$C463,MIN(-(SUM(F463:$F463)-$E463),($E463*(1-$D$457))*$D463),0)*G$453</f>
        <v>0</v>
      </c>
      <c r="H463">
        <f>IF(H$455&gt;=$C463,MIN(-(SUM($F463:G463)-$E463),($E463*(1-$D$457))*$D463),0)*H$453</f>
        <v>0</v>
      </c>
      <c r="I463">
        <f>IF(I$455&gt;=$C463,MIN(-(SUM($F463:H463)-$E463),($E463*(1-$D$457))*$D463),0)*I$453</f>
        <v>0</v>
      </c>
      <c r="J463">
        <f>IF(J$455&gt;=$C463,MIN(-(SUM($F463:I463)-$E463),($E463*(1-$D$457))*$D463),0)*J$453</f>
        <v>0</v>
      </c>
      <c r="K463">
        <f>IF(K$455&gt;=$C463,MIN(-(SUM($F463:J463)-$E463),($E463*(1-$D$457))*$D463),0)*K$453</f>
        <v>0</v>
      </c>
      <c r="L463">
        <f>IF(L$455&gt;=$C463,MIN(-(SUM($F463:K463)-$E463),($E463*(1-$D$457))*$D463),0)*L$453</f>
        <v>0</v>
      </c>
      <c r="M463">
        <f>IF(M$455&gt;=$C463,MIN(-(SUM($F463:L463)-$E463),($E463*(1-$D$457))*$D463),0)*M$453</f>
        <v>0</v>
      </c>
      <c r="N463">
        <f>IF(N$455&gt;=$C463,MIN(-(SUM($F463:M463)-$E463),($E463*(1-$D$457))*$D463),0)*N$453</f>
        <v>0</v>
      </c>
      <c r="O463">
        <f>IF(O$455&gt;=$C463,MIN(-(SUM($F463:N463)-$E463),($E463*(1-$D$457))*$D463),0)*O$453</f>
        <v>0</v>
      </c>
      <c r="P463">
        <f>IF(P$455&gt;=$C463,MIN(-(SUM($F463:O463)-$E463),($E463*(1-$D$457))*$D463),0)*P$453</f>
        <v>0</v>
      </c>
      <c r="Q463">
        <f>IF(Q$455&gt;=$C463,MIN(-(SUM($F463:P463)-$E463),($E463*(1-$D$457))*$D463),0)*Q$453</f>
        <v>0</v>
      </c>
      <c r="R463">
        <f>IF(R$455&gt;=$C463,MIN(-(SUM($F463:Q463)-$E463),($E463*(1-$D$457))*$D463),0)*R$453</f>
        <v>0</v>
      </c>
      <c r="S463">
        <f>IF(S$455&gt;=$C463,MIN(-(SUM($F463:R463)-$E463),($E463*(1-$D$457))*$D463),0)*S$453</f>
        <v>0</v>
      </c>
      <c r="T463">
        <f>IF(T$455&gt;=$C463,MIN(-(SUM($F463:S463)-$E463),($E463*(1-$D$457))*$D463),0)*T$453</f>
        <v>0</v>
      </c>
      <c r="U463">
        <f>IF(U$455&gt;=$C463,MIN(-(SUM($F463:T463)-$E463),($E463*(1-$D$457))*$D463),0)*U$453</f>
        <v>0</v>
      </c>
      <c r="V463">
        <f>IF(V$455&gt;=$C463,MIN(-(SUM($F463:U463)-$E463),($E463*(1-$D$457))*$D463),0)*V$453</f>
        <v>0</v>
      </c>
      <c r="W463">
        <f>IF(W$455&gt;=$C463,MIN(-(SUM($F463:V463)-$E463),($E463*(1-$D$457))*$D463),0)*W$453</f>
        <v>0</v>
      </c>
      <c r="X463">
        <f>IF(X$455&gt;=$C463,MIN(-(SUM($F463:W463)-$E463),($E463*(1-$D$457))*$D463),0)*X$453</f>
        <v>0</v>
      </c>
      <c r="Y463">
        <f>IF(Y$455&gt;=$C463,MIN(-(SUM($F463:X463)-$E463),($E463*(1-$D$457))*$D463),0)*Y$453</f>
        <v>0</v>
      </c>
      <c r="Z463">
        <f>IF(Z$455&gt;=$C463,MIN(-(SUM($F463:Y463)-$E463),($E463*(1-$D$457))*$D463),0)*Z$453</f>
        <v>0</v>
      </c>
      <c r="AA463">
        <f>IF(AA$455&gt;=$C463,MIN(-(SUM($F463:Z463)-$E463),($E463*(1-$D$457))*$D463),0)*AA$453</f>
        <v>0</v>
      </c>
      <c r="AB463">
        <f>IF(AB$455&gt;=$C463,MIN(-(SUM($F463:AA463)-$E463),($E463*(1-$D$457))*$D463),0)*AB$453</f>
        <v>0</v>
      </c>
      <c r="AC463">
        <f>IF(AC$455&gt;=$C463,MIN(-(SUM($F463:AB463)-$E463),($E463*(1-$D$457))*$D463),0)*AC$453</f>
        <v>0</v>
      </c>
      <c r="AD463">
        <f>IF(AD$455&gt;=$C463,MIN(-(SUM($F463:AC463)-$E463),($E463*(1-$D$457))*$D463),0)*AD$453</f>
        <v>0</v>
      </c>
      <c r="AE463">
        <f>IF(AE$455&gt;=$C463,MIN(-(SUM($F463:AD463)-$E463),($E463*(1-$D$457))*$D463),0)*AE$453</f>
        <v>0</v>
      </c>
      <c r="AF463">
        <f>IF(AF$455&gt;=$C463,MIN(-(SUM($F463:AE463)-$E463),($E463*(1-$D$457))*$D463),0)*AF$453</f>
        <v>0</v>
      </c>
      <c r="AG463">
        <f>IF(AG$455&gt;=$C463,MIN(-(SUM($F463:AF463)-$E463),($E463*(1-$D$457))*$D463),0)*AG$453</f>
        <v>0</v>
      </c>
      <c r="AH463">
        <f>IF(AH$455&gt;=$C463,MIN(-(SUM($F463:AG463)-$E463),($E463*(1-$D$457))*$D463),0)*AH$453</f>
        <v>0</v>
      </c>
      <c r="AI463">
        <f>IF(AI$455&gt;=$C463,MIN(-(SUM($F463:AH463)-$E463),($E463*(1-$D$457))*$D463),0)*AI$453</f>
        <v>0</v>
      </c>
      <c r="AJ463">
        <f>IF(AJ$455&gt;=$C463,MIN(-(SUM($F463:AI463)-$E463),($E463*(1-$D$457))*$D463),0)*AJ$453</f>
        <v>0</v>
      </c>
      <c r="AK463">
        <f>IF(AK$455&gt;=$C463,MIN(-(SUM($F463:AJ463)-$E463),($E463*(1-$D$457))*$D463),0)*AK$453</f>
        <v>0</v>
      </c>
      <c r="AL463">
        <f>IF(AL$455&gt;=$C463,MIN(-(SUM($F463:AK463)-$E463),($E463*(1-$D$457))*$D463),0)*AL$453</f>
        <v>0</v>
      </c>
      <c r="AM463">
        <f>IF(AM$455&gt;=$C463,MIN(-(SUM($F463:AL463)-$E463),($E463*(1-$D$457))*$D463),0)*AM$453</f>
        <v>0</v>
      </c>
      <c r="AN463">
        <f>IF(AN$455&gt;=$C463,MIN(-(SUM($F463:AM463)-$E463),($E463*(1-$D$457))*$D463),0)*AN$453</f>
        <v>0</v>
      </c>
    </row>
    <row r="464" spans="3:40" outlineLevel="4">
      <c r="C464">
        <v>5</v>
      </c>
      <c r="D464">
        <f>Inputs!$D$259</f>
        <v>0.1</v>
      </c>
      <c r="E464">
        <v>0</v>
      </c>
      <c r="F464" s="461">
        <f>E464*D457</f>
        <v>0</v>
      </c>
      <c r="G464">
        <f>IF(G$455&gt;=$C464,MIN(-(SUM(F464:$F464)-$E464),($E464*(1-$D$457))*$D464),0)*G$453</f>
        <v>0</v>
      </c>
      <c r="H464">
        <f>IF(H$455&gt;=$C464,MIN(-(SUM($F464:G464)-$E464),($E464*(1-$D$457))*$D464),0)*H$453</f>
        <v>0</v>
      </c>
      <c r="I464">
        <f>IF(I$455&gt;=$C464,MIN(-(SUM($F464:H464)-$E464),($E464*(1-$D$457))*$D464),0)*I$453</f>
        <v>0</v>
      </c>
      <c r="J464">
        <f>IF(J$455&gt;=$C464,MIN(-(SUM($F464:I464)-$E464),($E464*(1-$D$457))*$D464),0)*J$453</f>
        <v>0</v>
      </c>
      <c r="K464">
        <f>IF(K$455&gt;=$C464,MIN(-(SUM($F464:J464)-$E464),($E464*(1-$D$457))*$D464),0)*K$453</f>
        <v>0</v>
      </c>
      <c r="L464">
        <f>IF(L$455&gt;=$C464,MIN(-(SUM($F464:K464)-$E464),($E464*(1-$D$457))*$D464),0)*L$453</f>
        <v>0</v>
      </c>
      <c r="M464">
        <f>IF(M$455&gt;=$C464,MIN(-(SUM($F464:L464)-$E464),($E464*(1-$D$457))*$D464),0)*M$453</f>
        <v>0</v>
      </c>
      <c r="N464">
        <f>IF(N$455&gt;=$C464,MIN(-(SUM($F464:M464)-$E464),($E464*(1-$D$457))*$D464),0)*N$453</f>
        <v>0</v>
      </c>
      <c r="O464">
        <f>IF(O$455&gt;=$C464,MIN(-(SUM($F464:N464)-$E464),($E464*(1-$D$457))*$D464),0)*O$453</f>
        <v>0</v>
      </c>
      <c r="P464">
        <f>IF(P$455&gt;=$C464,MIN(-(SUM($F464:O464)-$E464),($E464*(1-$D$457))*$D464),0)*P$453</f>
        <v>0</v>
      </c>
      <c r="Q464">
        <f>IF(Q$455&gt;=$C464,MIN(-(SUM($F464:P464)-$E464),($E464*(1-$D$457))*$D464),0)*Q$453</f>
        <v>0</v>
      </c>
      <c r="R464">
        <f>IF(R$455&gt;=$C464,MIN(-(SUM($F464:Q464)-$E464),($E464*(1-$D$457))*$D464),0)*R$453</f>
        <v>0</v>
      </c>
      <c r="S464">
        <f>IF(S$455&gt;=$C464,MIN(-(SUM($F464:R464)-$E464),($E464*(1-$D$457))*$D464),0)*S$453</f>
        <v>0</v>
      </c>
      <c r="T464">
        <f>IF(T$455&gt;=$C464,MIN(-(SUM($F464:S464)-$E464),($E464*(1-$D$457))*$D464),0)*T$453</f>
        <v>0</v>
      </c>
      <c r="U464">
        <f>IF(U$455&gt;=$C464,MIN(-(SUM($F464:T464)-$E464),($E464*(1-$D$457))*$D464),0)*U$453</f>
        <v>0</v>
      </c>
      <c r="V464">
        <f>IF(V$455&gt;=$C464,MIN(-(SUM($F464:U464)-$E464),($E464*(1-$D$457))*$D464),0)*V$453</f>
        <v>0</v>
      </c>
      <c r="W464">
        <f>IF(W$455&gt;=$C464,MIN(-(SUM($F464:V464)-$E464),($E464*(1-$D$457))*$D464),0)*W$453</f>
        <v>0</v>
      </c>
      <c r="X464">
        <f>IF(X$455&gt;=$C464,MIN(-(SUM($F464:W464)-$E464),($E464*(1-$D$457))*$D464),0)*X$453</f>
        <v>0</v>
      </c>
      <c r="Y464">
        <f>IF(Y$455&gt;=$C464,MIN(-(SUM($F464:X464)-$E464),($E464*(1-$D$457))*$D464),0)*Y$453</f>
        <v>0</v>
      </c>
      <c r="Z464">
        <f>IF(Z$455&gt;=$C464,MIN(-(SUM($F464:Y464)-$E464),($E464*(1-$D$457))*$D464),0)*Z$453</f>
        <v>0</v>
      </c>
      <c r="AA464">
        <f>IF(AA$455&gt;=$C464,MIN(-(SUM($F464:Z464)-$E464),($E464*(1-$D$457))*$D464),0)*AA$453</f>
        <v>0</v>
      </c>
      <c r="AB464">
        <f>IF(AB$455&gt;=$C464,MIN(-(SUM($F464:AA464)-$E464),($E464*(1-$D$457))*$D464),0)*AB$453</f>
        <v>0</v>
      </c>
      <c r="AC464">
        <f>IF(AC$455&gt;=$C464,MIN(-(SUM($F464:AB464)-$E464),($E464*(1-$D$457))*$D464),0)*AC$453</f>
        <v>0</v>
      </c>
      <c r="AD464">
        <f>IF(AD$455&gt;=$C464,MIN(-(SUM($F464:AC464)-$E464),($E464*(1-$D$457))*$D464),0)*AD$453</f>
        <v>0</v>
      </c>
      <c r="AE464">
        <f>IF(AE$455&gt;=$C464,MIN(-(SUM($F464:AD464)-$E464),($E464*(1-$D$457))*$D464),0)*AE$453</f>
        <v>0</v>
      </c>
      <c r="AF464">
        <f>IF(AF$455&gt;=$C464,MIN(-(SUM($F464:AE464)-$E464),($E464*(1-$D$457))*$D464),0)*AF$453</f>
        <v>0</v>
      </c>
      <c r="AG464">
        <f>IF(AG$455&gt;=$C464,MIN(-(SUM($F464:AF464)-$E464),($E464*(1-$D$457))*$D464),0)*AG$453</f>
        <v>0</v>
      </c>
      <c r="AH464">
        <f>IF(AH$455&gt;=$C464,MIN(-(SUM($F464:AG464)-$E464),($E464*(1-$D$457))*$D464),0)*AH$453</f>
        <v>0</v>
      </c>
      <c r="AI464">
        <f>IF(AI$455&gt;=$C464,MIN(-(SUM($F464:AH464)-$E464),($E464*(1-$D$457))*$D464),0)*AI$453</f>
        <v>0</v>
      </c>
      <c r="AJ464">
        <f>IF(AJ$455&gt;=$C464,MIN(-(SUM($F464:AI464)-$E464),($E464*(1-$D$457))*$D464),0)*AJ$453</f>
        <v>0</v>
      </c>
      <c r="AK464">
        <f>IF(AK$455&gt;=$C464,MIN(-(SUM($F464:AJ464)-$E464),($E464*(1-$D$457))*$D464),0)*AK$453</f>
        <v>0</v>
      </c>
      <c r="AL464">
        <f>IF(AL$455&gt;=$C464,MIN(-(SUM($F464:AK464)-$E464),($E464*(1-$D$457))*$D464),0)*AL$453</f>
        <v>0</v>
      </c>
      <c r="AM464">
        <f>IF(AM$455&gt;=$C464,MIN(-(SUM($F464:AL464)-$E464),($E464*(1-$D$457))*$D464),0)*AM$453</f>
        <v>0</v>
      </c>
      <c r="AN464">
        <f>IF(AN$455&gt;=$C464,MIN(-(SUM($F464:AM464)-$E464),($E464*(1-$D$457))*$D464),0)*AN$453</f>
        <v>0</v>
      </c>
    </row>
    <row r="465" spans="3:40" outlineLevel="4">
      <c r="C465">
        <v>6</v>
      </c>
      <c r="D465">
        <f>Inputs!$D$259</f>
        <v>0.1</v>
      </c>
      <c r="E465">
        <v>30</v>
      </c>
      <c r="F465" s="461">
        <f>E465*D457</f>
        <v>0</v>
      </c>
      <c r="G465">
        <f>IF(G$455&gt;=$C465,MIN(-(SUM(F465:$F465)-$E465),($E465*(1-$D$457))*$D465),0)*G$453</f>
        <v>0</v>
      </c>
      <c r="H465">
        <f>IF(H$455&gt;=$C465,MIN(-(SUM($F465:G465)-$E465),($E465*(1-$D$457))*$D465),0)*H$453</f>
        <v>0</v>
      </c>
      <c r="I465">
        <f>IF(I$455&gt;=$C465,MIN(-(SUM($F465:H465)-$E465),($E465*(1-$D$457))*$D465),0)*I$453</f>
        <v>0</v>
      </c>
      <c r="J465">
        <f>IF(J$455&gt;=$C465,MIN(-(SUM($F465:I465)-$E465),($E465*(1-$D$457))*$D465),0)*J$453</f>
        <v>0</v>
      </c>
      <c r="K465">
        <f>IF(K$455&gt;=$C465,MIN(-(SUM($F465:J465)-$E465),($E465*(1-$D$457))*$D465),0)*K$453</f>
        <v>0</v>
      </c>
      <c r="L465">
        <f>IF(L$455&gt;=$C465,MIN(-(SUM($F465:K465)-$E465),($E465*(1-$D$457))*$D465),0)*L$453</f>
        <v>3</v>
      </c>
      <c r="M465">
        <f>IF(M$455&gt;=$C465,MIN(-(SUM($F465:L465)-$E465),($E465*(1-$D$457))*$D465),0)*M$453</f>
        <v>3</v>
      </c>
      <c r="N465">
        <f>IF(N$455&gt;=$C465,MIN(-(SUM($F465:M465)-$E465),($E465*(1-$D$457))*$D465),0)*N$453</f>
        <v>3</v>
      </c>
      <c r="O465">
        <f>IF(O$455&gt;=$C465,MIN(-(SUM($F465:N465)-$E465),($E465*(1-$D$457))*$D465),0)*O$453</f>
        <v>3</v>
      </c>
      <c r="P465">
        <f>IF(P$455&gt;=$C465,MIN(-(SUM($F465:O465)-$E465),($E465*(1-$D$457))*$D465),0)*P$453</f>
        <v>3</v>
      </c>
      <c r="Q465">
        <f>IF(Q$455&gt;=$C465,MIN(-(SUM($F465:P465)-$E465),($E465*(1-$D$457))*$D465),0)*Q$453</f>
        <v>3</v>
      </c>
      <c r="R465">
        <f>IF(R$455&gt;=$C465,MIN(-(SUM($F465:Q465)-$E465),($E465*(1-$D$457))*$D465),0)*R$453</f>
        <v>3</v>
      </c>
      <c r="S465">
        <f>IF(S$455&gt;=$C465,MIN(-(SUM($F465:R465)-$E465),($E465*(1-$D$457))*$D465),0)*S$453</f>
        <v>3</v>
      </c>
      <c r="T465">
        <f>IF(T$455&gt;=$C465,MIN(-(SUM($F465:S465)-$E465),($E465*(1-$D$457))*$D465),0)*T$453</f>
        <v>3</v>
      </c>
      <c r="U465">
        <f>IF(U$455&gt;=$C465,MIN(-(SUM($F465:T465)-$E465),($E465*(1-$D$457))*$D465),0)*U$453</f>
        <v>3</v>
      </c>
      <c r="V465">
        <f>IF(V$455&gt;=$C465,MIN(-(SUM($F465:U465)-$E465),($E465*(1-$D$457))*$D465),0)*V$453</f>
        <v>0</v>
      </c>
      <c r="W465">
        <f>IF(W$455&gt;=$C465,MIN(-(SUM($F465:V465)-$E465),($E465*(1-$D$457))*$D465),0)*W$453</f>
        <v>0</v>
      </c>
      <c r="X465">
        <f>IF(X$455&gt;=$C465,MIN(-(SUM($F465:W465)-$E465),($E465*(1-$D$457))*$D465),0)*X$453</f>
        <v>0</v>
      </c>
      <c r="Y465">
        <f>IF(Y$455&gt;=$C465,MIN(-(SUM($F465:X465)-$E465),($E465*(1-$D$457))*$D465),0)*Y$453</f>
        <v>0</v>
      </c>
      <c r="Z465">
        <f>IF(Z$455&gt;=$C465,MIN(-(SUM($F465:Y465)-$E465),($E465*(1-$D$457))*$D465),0)*Z$453</f>
        <v>0</v>
      </c>
      <c r="AA465">
        <f>IF(AA$455&gt;=$C465,MIN(-(SUM($F465:Z465)-$E465),($E465*(1-$D$457))*$D465),0)*AA$453</f>
        <v>0</v>
      </c>
      <c r="AB465">
        <f>IF(AB$455&gt;=$C465,MIN(-(SUM($F465:AA465)-$E465),($E465*(1-$D$457))*$D465),0)*AB$453</f>
        <v>0</v>
      </c>
      <c r="AC465">
        <f>IF(AC$455&gt;=$C465,MIN(-(SUM($F465:AB465)-$E465),($E465*(1-$D$457))*$D465),0)*AC$453</f>
        <v>0</v>
      </c>
      <c r="AD465">
        <f>IF(AD$455&gt;=$C465,MIN(-(SUM($F465:AC465)-$E465),($E465*(1-$D$457))*$D465),0)*AD$453</f>
        <v>0</v>
      </c>
      <c r="AE465">
        <f>IF(AE$455&gt;=$C465,MIN(-(SUM($F465:AD465)-$E465),($E465*(1-$D$457))*$D465),0)*AE$453</f>
        <v>0</v>
      </c>
      <c r="AF465">
        <f>IF(AF$455&gt;=$C465,MIN(-(SUM($F465:AE465)-$E465),($E465*(1-$D$457))*$D465),0)*AF$453</f>
        <v>0</v>
      </c>
      <c r="AG465">
        <f>IF(AG$455&gt;=$C465,MIN(-(SUM($F465:AF465)-$E465),($E465*(1-$D$457))*$D465),0)*AG$453</f>
        <v>0</v>
      </c>
      <c r="AH465">
        <f>IF(AH$455&gt;=$C465,MIN(-(SUM($F465:AG465)-$E465),($E465*(1-$D$457))*$D465),0)*AH$453</f>
        <v>0</v>
      </c>
      <c r="AI465">
        <f>IF(AI$455&gt;=$C465,MIN(-(SUM($F465:AH465)-$E465),($E465*(1-$D$457))*$D465),0)*AI$453</f>
        <v>0</v>
      </c>
      <c r="AJ465">
        <f>IF(AJ$455&gt;=$C465,MIN(-(SUM($F465:AI465)-$E465),($E465*(1-$D$457))*$D465),0)*AJ$453</f>
        <v>0</v>
      </c>
      <c r="AK465">
        <f>IF(AK$455&gt;=$C465,MIN(-(SUM($F465:AJ465)-$E465),($E465*(1-$D$457))*$D465),0)*AK$453</f>
        <v>0</v>
      </c>
      <c r="AL465">
        <f>IF(AL$455&gt;=$C465,MIN(-(SUM($F465:AK465)-$E465),($E465*(1-$D$457))*$D465),0)*AL$453</f>
        <v>0</v>
      </c>
      <c r="AM465">
        <f>IF(AM$455&gt;=$C465,MIN(-(SUM($F465:AL465)-$E465),($E465*(1-$D$457))*$D465),0)*AM$453</f>
        <v>0</v>
      </c>
      <c r="AN465">
        <f>IF(AN$455&gt;=$C465,MIN(-(SUM($F465:AM465)-$E465),($E465*(1-$D$457))*$D465),0)*AN$453</f>
        <v>0</v>
      </c>
    </row>
    <row r="466" spans="3:40" outlineLevel="4">
      <c r="C466">
        <v>7</v>
      </c>
      <c r="D466">
        <f>Inputs!$D$259</f>
        <v>0.1</v>
      </c>
      <c r="E466">
        <v>0</v>
      </c>
      <c r="F466" s="461">
        <f>E466*D457</f>
        <v>0</v>
      </c>
      <c r="G466">
        <f>IF(G$455&gt;=$C466,MIN(-(SUM(F466:$F466)-$E466),($E466*(1-$D$457))*$D466),0)*G$453</f>
        <v>0</v>
      </c>
      <c r="H466">
        <f>IF(H$455&gt;=$C466,MIN(-(SUM($F466:G466)-$E466),($E466*(1-$D$457))*$D466),0)*H$453</f>
        <v>0</v>
      </c>
      <c r="I466">
        <f>IF(I$455&gt;=$C466,MIN(-(SUM($F466:H466)-$E466),($E466*(1-$D$457))*$D466),0)*I$453</f>
        <v>0</v>
      </c>
      <c r="J466">
        <f>IF(J$455&gt;=$C466,MIN(-(SUM($F466:I466)-$E466),($E466*(1-$D$457))*$D466),0)*J$453</f>
        <v>0</v>
      </c>
      <c r="K466">
        <f>IF(K$455&gt;=$C466,MIN(-(SUM($F466:J466)-$E466),($E466*(1-$D$457))*$D466),0)*K$453</f>
        <v>0</v>
      </c>
      <c r="L466">
        <f>IF(L$455&gt;=$C466,MIN(-(SUM($F466:K466)-$E466),($E466*(1-$D$457))*$D466),0)*L$453</f>
        <v>0</v>
      </c>
      <c r="M466">
        <f>IF(M$455&gt;=$C466,MIN(-(SUM($F466:L466)-$E466),($E466*(1-$D$457))*$D466),0)*M$453</f>
        <v>0</v>
      </c>
      <c r="N466">
        <f>IF(N$455&gt;=$C466,MIN(-(SUM($F466:M466)-$E466),($E466*(1-$D$457))*$D466),0)*N$453</f>
        <v>0</v>
      </c>
      <c r="O466">
        <f>IF(O$455&gt;=$C466,MIN(-(SUM($F466:N466)-$E466),($E466*(1-$D$457))*$D466),0)*O$453</f>
        <v>0</v>
      </c>
      <c r="P466">
        <f>IF(P$455&gt;=$C466,MIN(-(SUM($F466:O466)-$E466),($E466*(1-$D$457))*$D466),0)*P$453</f>
        <v>0</v>
      </c>
      <c r="Q466">
        <f>IF(Q$455&gt;=$C466,MIN(-(SUM($F466:P466)-$E466),($E466*(1-$D$457))*$D466),0)*Q$453</f>
        <v>0</v>
      </c>
      <c r="R466">
        <f>IF(R$455&gt;=$C466,MIN(-(SUM($F466:Q466)-$E466),($E466*(1-$D$457))*$D466),0)*R$453</f>
        <v>0</v>
      </c>
      <c r="S466">
        <f>IF(S$455&gt;=$C466,MIN(-(SUM($F466:R466)-$E466),($E466*(1-$D$457))*$D466),0)*S$453</f>
        <v>0</v>
      </c>
      <c r="T466">
        <f>IF(T$455&gt;=$C466,MIN(-(SUM($F466:S466)-$E466),($E466*(1-$D$457))*$D466),0)*T$453</f>
        <v>0</v>
      </c>
      <c r="U466">
        <f>IF(U$455&gt;=$C466,MIN(-(SUM($F466:T466)-$E466),($E466*(1-$D$457))*$D466),0)*U$453</f>
        <v>0</v>
      </c>
      <c r="V466">
        <f>IF(V$455&gt;=$C466,MIN(-(SUM($F466:U466)-$E466),($E466*(1-$D$457))*$D466),0)*V$453</f>
        <v>0</v>
      </c>
      <c r="W466">
        <f>IF(W$455&gt;=$C466,MIN(-(SUM($F466:V466)-$E466),($E466*(1-$D$457))*$D466),0)*W$453</f>
        <v>0</v>
      </c>
      <c r="X466">
        <f>IF(X$455&gt;=$C466,MIN(-(SUM($F466:W466)-$E466),($E466*(1-$D$457))*$D466),0)*X$453</f>
        <v>0</v>
      </c>
      <c r="Y466">
        <f>IF(Y$455&gt;=$C466,MIN(-(SUM($F466:X466)-$E466),($E466*(1-$D$457))*$D466),0)*Y$453</f>
        <v>0</v>
      </c>
      <c r="Z466">
        <f>IF(Z$455&gt;=$C466,MIN(-(SUM($F466:Y466)-$E466),($E466*(1-$D$457))*$D466),0)*Z$453</f>
        <v>0</v>
      </c>
      <c r="AA466">
        <f>IF(AA$455&gt;=$C466,MIN(-(SUM($F466:Z466)-$E466),($E466*(1-$D$457))*$D466),0)*AA$453</f>
        <v>0</v>
      </c>
      <c r="AB466">
        <f>IF(AB$455&gt;=$C466,MIN(-(SUM($F466:AA466)-$E466),($E466*(1-$D$457))*$D466),0)*AB$453</f>
        <v>0</v>
      </c>
      <c r="AC466">
        <f>IF(AC$455&gt;=$C466,MIN(-(SUM($F466:AB466)-$E466),($E466*(1-$D$457))*$D466),0)*AC$453</f>
        <v>0</v>
      </c>
      <c r="AD466">
        <f>IF(AD$455&gt;=$C466,MIN(-(SUM($F466:AC466)-$E466),($E466*(1-$D$457))*$D466),0)*AD$453</f>
        <v>0</v>
      </c>
      <c r="AE466">
        <f>IF(AE$455&gt;=$C466,MIN(-(SUM($F466:AD466)-$E466),($E466*(1-$D$457))*$D466),0)*AE$453</f>
        <v>0</v>
      </c>
      <c r="AF466">
        <f>IF(AF$455&gt;=$C466,MIN(-(SUM($F466:AE466)-$E466),($E466*(1-$D$457))*$D466),0)*AF$453</f>
        <v>0</v>
      </c>
      <c r="AG466">
        <f>IF(AG$455&gt;=$C466,MIN(-(SUM($F466:AF466)-$E466),($E466*(1-$D$457))*$D466),0)*AG$453</f>
        <v>0</v>
      </c>
      <c r="AH466">
        <f>IF(AH$455&gt;=$C466,MIN(-(SUM($F466:AG466)-$E466),($E466*(1-$D$457))*$D466),0)*AH$453</f>
        <v>0</v>
      </c>
      <c r="AI466">
        <f>IF(AI$455&gt;=$C466,MIN(-(SUM($F466:AH466)-$E466),($E466*(1-$D$457))*$D466),0)*AI$453</f>
        <v>0</v>
      </c>
      <c r="AJ466">
        <f>IF(AJ$455&gt;=$C466,MIN(-(SUM($F466:AI466)-$E466),($E466*(1-$D$457))*$D466),0)*AJ$453</f>
        <v>0</v>
      </c>
      <c r="AK466">
        <f>IF(AK$455&gt;=$C466,MIN(-(SUM($F466:AJ466)-$E466),($E466*(1-$D$457))*$D466),0)*AK$453</f>
        <v>0</v>
      </c>
      <c r="AL466">
        <f>IF(AL$455&gt;=$C466,MIN(-(SUM($F466:AK466)-$E466),($E466*(1-$D$457))*$D466),0)*AL$453</f>
        <v>0</v>
      </c>
      <c r="AM466">
        <f>IF(AM$455&gt;=$C466,MIN(-(SUM($F466:AL466)-$E466),($E466*(1-$D$457))*$D466),0)*AM$453</f>
        <v>0</v>
      </c>
      <c r="AN466">
        <f>IF(AN$455&gt;=$C466,MIN(-(SUM($F466:AM466)-$E466),($E466*(1-$D$457))*$D466),0)*AN$453</f>
        <v>0</v>
      </c>
    </row>
    <row r="467" spans="3:40" outlineLevel="4">
      <c r="C467">
        <v>8</v>
      </c>
      <c r="D467">
        <f>Inputs!$D$259</f>
        <v>0.1</v>
      </c>
      <c r="E467">
        <v>0</v>
      </c>
      <c r="F467" s="461">
        <f>E467*D457</f>
        <v>0</v>
      </c>
      <c r="G467">
        <f>IF(G$455&gt;=$C467,MIN(-(SUM(F467:$F467)-$E467),($E467*(1-$D$457))*$D467),0)*G$453</f>
        <v>0</v>
      </c>
      <c r="H467">
        <f>IF(H$455&gt;=$C467,MIN(-(SUM($F467:G467)-$E467),($E467*(1-$D$457))*$D467),0)*H$453</f>
        <v>0</v>
      </c>
      <c r="I467">
        <f>IF(I$455&gt;=$C467,MIN(-(SUM($F467:H467)-$E467),($E467*(1-$D$457))*$D467),0)*I$453</f>
        <v>0</v>
      </c>
      <c r="J467">
        <f>IF(J$455&gt;=$C467,MIN(-(SUM($F467:I467)-$E467),($E467*(1-$D$457))*$D467),0)*J$453</f>
        <v>0</v>
      </c>
      <c r="K467">
        <f>IF(K$455&gt;=$C467,MIN(-(SUM($F467:J467)-$E467),($E467*(1-$D$457))*$D467),0)*K$453</f>
        <v>0</v>
      </c>
      <c r="L467">
        <f>IF(L$455&gt;=$C467,MIN(-(SUM($F467:K467)-$E467),($E467*(1-$D$457))*$D467),0)*L$453</f>
        <v>0</v>
      </c>
      <c r="M467">
        <f>IF(M$455&gt;=$C467,MIN(-(SUM($F467:L467)-$E467),($E467*(1-$D$457))*$D467),0)*M$453</f>
        <v>0</v>
      </c>
      <c r="N467">
        <f>IF(N$455&gt;=$C467,MIN(-(SUM($F467:M467)-$E467),($E467*(1-$D$457))*$D467),0)*N$453</f>
        <v>0</v>
      </c>
      <c r="O467">
        <f>IF(O$455&gt;=$C467,MIN(-(SUM($F467:N467)-$E467),($E467*(1-$D$457))*$D467),0)*O$453</f>
        <v>0</v>
      </c>
      <c r="P467">
        <f>IF(P$455&gt;=$C467,MIN(-(SUM($F467:O467)-$E467),($E467*(1-$D$457))*$D467),0)*P$453</f>
        <v>0</v>
      </c>
      <c r="Q467">
        <f>IF(Q$455&gt;=$C467,MIN(-(SUM($F467:P467)-$E467),($E467*(1-$D$457))*$D467),0)*Q$453</f>
        <v>0</v>
      </c>
      <c r="R467">
        <f>IF(R$455&gt;=$C467,MIN(-(SUM($F467:Q467)-$E467),($E467*(1-$D$457))*$D467),0)*R$453</f>
        <v>0</v>
      </c>
      <c r="S467">
        <f>IF(S$455&gt;=$C467,MIN(-(SUM($F467:R467)-$E467),($E467*(1-$D$457))*$D467),0)*S$453</f>
        <v>0</v>
      </c>
      <c r="T467">
        <f>IF(T$455&gt;=$C467,MIN(-(SUM($F467:S467)-$E467),($E467*(1-$D$457))*$D467),0)*T$453</f>
        <v>0</v>
      </c>
      <c r="U467">
        <f>IF(U$455&gt;=$C467,MIN(-(SUM($F467:T467)-$E467),($E467*(1-$D$457))*$D467),0)*U$453</f>
        <v>0</v>
      </c>
      <c r="V467">
        <f>IF(V$455&gt;=$C467,MIN(-(SUM($F467:U467)-$E467),($E467*(1-$D$457))*$D467),0)*V$453</f>
        <v>0</v>
      </c>
      <c r="W467">
        <f>IF(W$455&gt;=$C467,MIN(-(SUM($F467:V467)-$E467),($E467*(1-$D$457))*$D467),0)*W$453</f>
        <v>0</v>
      </c>
      <c r="X467">
        <f>IF(X$455&gt;=$C467,MIN(-(SUM($F467:W467)-$E467),($E467*(1-$D$457))*$D467),0)*X$453</f>
        <v>0</v>
      </c>
      <c r="Y467">
        <f>IF(Y$455&gt;=$C467,MIN(-(SUM($F467:X467)-$E467),($E467*(1-$D$457))*$D467),0)*Y$453</f>
        <v>0</v>
      </c>
      <c r="Z467">
        <f>IF(Z$455&gt;=$C467,MIN(-(SUM($F467:Y467)-$E467),($E467*(1-$D$457))*$D467),0)*Z$453</f>
        <v>0</v>
      </c>
      <c r="AA467">
        <f>IF(AA$455&gt;=$C467,MIN(-(SUM($F467:Z467)-$E467),($E467*(1-$D$457))*$D467),0)*AA$453</f>
        <v>0</v>
      </c>
      <c r="AB467">
        <f>IF(AB$455&gt;=$C467,MIN(-(SUM($F467:AA467)-$E467),($E467*(1-$D$457))*$D467),0)*AB$453</f>
        <v>0</v>
      </c>
      <c r="AC467">
        <f>IF(AC$455&gt;=$C467,MIN(-(SUM($F467:AB467)-$E467),($E467*(1-$D$457))*$D467),0)*AC$453</f>
        <v>0</v>
      </c>
      <c r="AD467">
        <f>IF(AD$455&gt;=$C467,MIN(-(SUM($F467:AC467)-$E467),($E467*(1-$D$457))*$D467),0)*AD$453</f>
        <v>0</v>
      </c>
      <c r="AE467">
        <f>IF(AE$455&gt;=$C467,MIN(-(SUM($F467:AD467)-$E467),($E467*(1-$D$457))*$D467),0)*AE$453</f>
        <v>0</v>
      </c>
      <c r="AF467">
        <f>IF(AF$455&gt;=$C467,MIN(-(SUM($F467:AE467)-$E467),($E467*(1-$D$457))*$D467),0)*AF$453</f>
        <v>0</v>
      </c>
      <c r="AG467">
        <f>IF(AG$455&gt;=$C467,MIN(-(SUM($F467:AF467)-$E467),($E467*(1-$D$457))*$D467),0)*AG$453</f>
        <v>0</v>
      </c>
      <c r="AH467">
        <f>IF(AH$455&gt;=$C467,MIN(-(SUM($F467:AG467)-$E467),($E467*(1-$D$457))*$D467),0)*AH$453</f>
        <v>0</v>
      </c>
      <c r="AI467">
        <f>IF(AI$455&gt;=$C467,MIN(-(SUM($F467:AH467)-$E467),($E467*(1-$D$457))*$D467),0)*AI$453</f>
        <v>0</v>
      </c>
      <c r="AJ467">
        <f>IF(AJ$455&gt;=$C467,MIN(-(SUM($F467:AI467)-$E467),($E467*(1-$D$457))*$D467),0)*AJ$453</f>
        <v>0</v>
      </c>
      <c r="AK467">
        <f>IF(AK$455&gt;=$C467,MIN(-(SUM($F467:AJ467)-$E467),($E467*(1-$D$457))*$D467),0)*AK$453</f>
        <v>0</v>
      </c>
      <c r="AL467">
        <f>IF(AL$455&gt;=$C467,MIN(-(SUM($F467:AK467)-$E467),($E467*(1-$D$457))*$D467),0)*AL$453</f>
        <v>0</v>
      </c>
      <c r="AM467">
        <f>IF(AM$455&gt;=$C467,MIN(-(SUM($F467:AL467)-$E467),($E467*(1-$D$457))*$D467),0)*AM$453</f>
        <v>0</v>
      </c>
      <c r="AN467">
        <f>IF(AN$455&gt;=$C467,MIN(-(SUM($F467:AM467)-$E467),($E467*(1-$D$457))*$D467),0)*AN$453</f>
        <v>0</v>
      </c>
    </row>
    <row r="468" spans="3:40" outlineLevel="4">
      <c r="C468">
        <v>9</v>
      </c>
      <c r="D468">
        <f>Inputs!$D$259</f>
        <v>0.1</v>
      </c>
      <c r="E468">
        <v>0</v>
      </c>
      <c r="F468" s="461">
        <f>E468*D457</f>
        <v>0</v>
      </c>
      <c r="G468">
        <f>IF(G$455&gt;=$C468,MIN(-(SUM(F468:$F468)-$E468),($E468*(1-$D$457))*$D468),0)*G$453</f>
        <v>0</v>
      </c>
      <c r="H468">
        <f>IF(H$455&gt;=$C468,MIN(-(SUM($F468:G468)-$E468),($E468*(1-$D$457))*$D468),0)*H$453</f>
        <v>0</v>
      </c>
      <c r="I468">
        <f>IF(I$455&gt;=$C468,MIN(-(SUM($F468:H468)-$E468),($E468*(1-$D$457))*$D468),0)*I$453</f>
        <v>0</v>
      </c>
      <c r="J468">
        <f>IF(J$455&gt;=$C468,MIN(-(SUM($F468:I468)-$E468),($E468*(1-$D$457))*$D468),0)*J$453</f>
        <v>0</v>
      </c>
      <c r="K468">
        <f>IF(K$455&gt;=$C468,MIN(-(SUM($F468:J468)-$E468),($E468*(1-$D$457))*$D468),0)*K$453</f>
        <v>0</v>
      </c>
      <c r="L468">
        <f>IF(L$455&gt;=$C468,MIN(-(SUM($F468:K468)-$E468),($E468*(1-$D$457))*$D468),0)*L$453</f>
        <v>0</v>
      </c>
      <c r="M468">
        <f>IF(M$455&gt;=$C468,MIN(-(SUM($F468:L468)-$E468),($E468*(1-$D$457))*$D468),0)*M$453</f>
        <v>0</v>
      </c>
      <c r="N468">
        <f>IF(N$455&gt;=$C468,MIN(-(SUM($F468:M468)-$E468),($E468*(1-$D$457))*$D468),0)*N$453</f>
        <v>0</v>
      </c>
      <c r="O468">
        <f>IF(O$455&gt;=$C468,MIN(-(SUM($F468:N468)-$E468),($E468*(1-$D$457))*$D468),0)*O$453</f>
        <v>0</v>
      </c>
      <c r="P468">
        <f>IF(P$455&gt;=$C468,MIN(-(SUM($F468:O468)-$E468),($E468*(1-$D$457))*$D468),0)*P$453</f>
        <v>0</v>
      </c>
      <c r="Q468">
        <f>IF(Q$455&gt;=$C468,MIN(-(SUM($F468:P468)-$E468),($E468*(1-$D$457))*$D468),0)*Q$453</f>
        <v>0</v>
      </c>
      <c r="R468">
        <f>IF(R$455&gt;=$C468,MIN(-(SUM($F468:Q468)-$E468),($E468*(1-$D$457))*$D468),0)*R$453</f>
        <v>0</v>
      </c>
      <c r="S468">
        <f>IF(S$455&gt;=$C468,MIN(-(SUM($F468:R468)-$E468),($E468*(1-$D$457))*$D468),0)*S$453</f>
        <v>0</v>
      </c>
      <c r="T468">
        <f>IF(T$455&gt;=$C468,MIN(-(SUM($F468:S468)-$E468),($E468*(1-$D$457))*$D468),0)*T$453</f>
        <v>0</v>
      </c>
      <c r="U468">
        <f>IF(U$455&gt;=$C468,MIN(-(SUM($F468:T468)-$E468),($E468*(1-$D$457))*$D468),0)*U$453</f>
        <v>0</v>
      </c>
      <c r="V468">
        <f>IF(V$455&gt;=$C468,MIN(-(SUM($F468:U468)-$E468),($E468*(1-$D$457))*$D468),0)*V$453</f>
        <v>0</v>
      </c>
      <c r="W468">
        <f>IF(W$455&gt;=$C468,MIN(-(SUM($F468:V468)-$E468),($E468*(1-$D$457))*$D468),0)*W$453</f>
        <v>0</v>
      </c>
      <c r="X468">
        <f>IF(X$455&gt;=$C468,MIN(-(SUM($F468:W468)-$E468),($E468*(1-$D$457))*$D468),0)*X$453</f>
        <v>0</v>
      </c>
      <c r="Y468">
        <f>IF(Y$455&gt;=$C468,MIN(-(SUM($F468:X468)-$E468),($E468*(1-$D$457))*$D468),0)*Y$453</f>
        <v>0</v>
      </c>
      <c r="Z468">
        <f>IF(Z$455&gt;=$C468,MIN(-(SUM($F468:Y468)-$E468),($E468*(1-$D$457))*$D468),0)*Z$453</f>
        <v>0</v>
      </c>
      <c r="AA468">
        <f>IF(AA$455&gt;=$C468,MIN(-(SUM($F468:Z468)-$E468),($E468*(1-$D$457))*$D468),0)*AA$453</f>
        <v>0</v>
      </c>
      <c r="AB468">
        <f>IF(AB$455&gt;=$C468,MIN(-(SUM($F468:AA468)-$E468),($E468*(1-$D$457))*$D468),0)*AB$453</f>
        <v>0</v>
      </c>
      <c r="AC468">
        <f>IF(AC$455&gt;=$C468,MIN(-(SUM($F468:AB468)-$E468),($E468*(1-$D$457))*$D468),0)*AC$453</f>
        <v>0</v>
      </c>
      <c r="AD468">
        <f>IF(AD$455&gt;=$C468,MIN(-(SUM($F468:AC468)-$E468),($E468*(1-$D$457))*$D468),0)*AD$453</f>
        <v>0</v>
      </c>
      <c r="AE468">
        <f>IF(AE$455&gt;=$C468,MIN(-(SUM($F468:AD468)-$E468),($E468*(1-$D$457))*$D468),0)*AE$453</f>
        <v>0</v>
      </c>
      <c r="AF468">
        <f>IF(AF$455&gt;=$C468,MIN(-(SUM($F468:AE468)-$E468),($E468*(1-$D$457))*$D468),0)*AF$453</f>
        <v>0</v>
      </c>
      <c r="AG468">
        <f>IF(AG$455&gt;=$C468,MIN(-(SUM($F468:AF468)-$E468),($E468*(1-$D$457))*$D468),0)*AG$453</f>
        <v>0</v>
      </c>
      <c r="AH468">
        <f>IF(AH$455&gt;=$C468,MIN(-(SUM($F468:AG468)-$E468),($E468*(1-$D$457))*$D468),0)*AH$453</f>
        <v>0</v>
      </c>
      <c r="AI468">
        <f>IF(AI$455&gt;=$C468,MIN(-(SUM($F468:AH468)-$E468),($E468*(1-$D$457))*$D468),0)*AI$453</f>
        <v>0</v>
      </c>
      <c r="AJ468">
        <f>IF(AJ$455&gt;=$C468,MIN(-(SUM($F468:AI468)-$E468),($E468*(1-$D$457))*$D468),0)*AJ$453</f>
        <v>0</v>
      </c>
      <c r="AK468">
        <f>IF(AK$455&gt;=$C468,MIN(-(SUM($F468:AJ468)-$E468),($E468*(1-$D$457))*$D468),0)*AK$453</f>
        <v>0</v>
      </c>
      <c r="AL468">
        <f>IF(AL$455&gt;=$C468,MIN(-(SUM($F468:AK468)-$E468),($E468*(1-$D$457))*$D468),0)*AL$453</f>
        <v>0</v>
      </c>
      <c r="AM468">
        <f>IF(AM$455&gt;=$C468,MIN(-(SUM($F468:AL468)-$E468),($E468*(1-$D$457))*$D468),0)*AM$453</f>
        <v>0</v>
      </c>
      <c r="AN468">
        <f>IF(AN$455&gt;=$C468,MIN(-(SUM($F468:AM468)-$E468),($E468*(1-$D$457))*$D468),0)*AN$453</f>
        <v>0</v>
      </c>
    </row>
    <row r="469" spans="3:40" outlineLevel="4">
      <c r="C469">
        <v>10</v>
      </c>
      <c r="D469">
        <f>Inputs!$D$259</f>
        <v>0.1</v>
      </c>
      <c r="E469">
        <v>0</v>
      </c>
      <c r="F469" s="461">
        <f>E469*D457</f>
        <v>0</v>
      </c>
      <c r="G469">
        <f>IF(G$455&gt;=$C469,MIN(-(SUM(F469:$F469)-$E469),($E469*(1-$D$457))*$D469),0)*G$453</f>
        <v>0</v>
      </c>
      <c r="H469">
        <f>IF(H$455&gt;=$C469,MIN(-(SUM($F469:G469)-$E469),($E469*(1-$D$457))*$D469),0)*H$453</f>
        <v>0</v>
      </c>
      <c r="I469">
        <f>IF(I$455&gt;=$C469,MIN(-(SUM($F469:H469)-$E469),($E469*(1-$D$457))*$D469),0)*I$453</f>
        <v>0</v>
      </c>
      <c r="J469">
        <f>IF(J$455&gt;=$C469,MIN(-(SUM($F469:I469)-$E469),($E469*(1-$D$457))*$D469),0)*J$453</f>
        <v>0</v>
      </c>
      <c r="K469">
        <f>IF(K$455&gt;=$C469,MIN(-(SUM($F469:J469)-$E469),($E469*(1-$D$457))*$D469),0)*K$453</f>
        <v>0</v>
      </c>
      <c r="L469">
        <f>IF(L$455&gt;=$C469,MIN(-(SUM($F469:K469)-$E469),($E469*(1-$D$457))*$D469),0)*L$453</f>
        <v>0</v>
      </c>
      <c r="M469">
        <f>IF(M$455&gt;=$C469,MIN(-(SUM($F469:L469)-$E469),($E469*(1-$D$457))*$D469),0)*M$453</f>
        <v>0</v>
      </c>
      <c r="N469">
        <f>IF(N$455&gt;=$C469,MIN(-(SUM($F469:M469)-$E469),($E469*(1-$D$457))*$D469),0)*N$453</f>
        <v>0</v>
      </c>
      <c r="O469">
        <f>IF(O$455&gt;=$C469,MIN(-(SUM($F469:N469)-$E469),($E469*(1-$D$457))*$D469),0)*O$453</f>
        <v>0</v>
      </c>
      <c r="P469">
        <f>IF(P$455&gt;=$C469,MIN(-(SUM($F469:O469)-$E469),($E469*(1-$D$457))*$D469),0)*P$453</f>
        <v>0</v>
      </c>
      <c r="Q469">
        <f>IF(Q$455&gt;=$C469,MIN(-(SUM($F469:P469)-$E469),($E469*(1-$D$457))*$D469),0)*Q$453</f>
        <v>0</v>
      </c>
      <c r="R469">
        <f>IF(R$455&gt;=$C469,MIN(-(SUM($F469:Q469)-$E469),($E469*(1-$D$457))*$D469),0)*R$453</f>
        <v>0</v>
      </c>
      <c r="S469">
        <f>IF(S$455&gt;=$C469,MIN(-(SUM($F469:R469)-$E469),($E469*(1-$D$457))*$D469),0)*S$453</f>
        <v>0</v>
      </c>
      <c r="T469">
        <f>IF(T$455&gt;=$C469,MIN(-(SUM($F469:S469)-$E469),($E469*(1-$D$457))*$D469),0)*T$453</f>
        <v>0</v>
      </c>
      <c r="U469">
        <f>IF(U$455&gt;=$C469,MIN(-(SUM($F469:T469)-$E469),($E469*(1-$D$457))*$D469),0)*U$453</f>
        <v>0</v>
      </c>
      <c r="V469">
        <f>IF(V$455&gt;=$C469,MIN(-(SUM($F469:U469)-$E469),($E469*(1-$D$457))*$D469),0)*V$453</f>
        <v>0</v>
      </c>
      <c r="W469">
        <f>IF(W$455&gt;=$C469,MIN(-(SUM($F469:V469)-$E469),($E469*(1-$D$457))*$D469),0)*W$453</f>
        <v>0</v>
      </c>
      <c r="X469">
        <f>IF(X$455&gt;=$C469,MIN(-(SUM($F469:W469)-$E469),($E469*(1-$D$457))*$D469),0)*X$453</f>
        <v>0</v>
      </c>
      <c r="Y469">
        <f>IF(Y$455&gt;=$C469,MIN(-(SUM($F469:X469)-$E469),($E469*(1-$D$457))*$D469),0)*Y$453</f>
        <v>0</v>
      </c>
      <c r="Z469">
        <f>IF(Z$455&gt;=$C469,MIN(-(SUM($F469:Y469)-$E469),($E469*(1-$D$457))*$D469),0)*Z$453</f>
        <v>0</v>
      </c>
      <c r="AA469">
        <f>IF(AA$455&gt;=$C469,MIN(-(SUM($F469:Z469)-$E469),($E469*(1-$D$457))*$D469),0)*AA$453</f>
        <v>0</v>
      </c>
      <c r="AB469">
        <f>IF(AB$455&gt;=$C469,MIN(-(SUM($F469:AA469)-$E469),($E469*(1-$D$457))*$D469),0)*AB$453</f>
        <v>0</v>
      </c>
      <c r="AC469">
        <f>IF(AC$455&gt;=$C469,MIN(-(SUM($F469:AB469)-$E469),($E469*(1-$D$457))*$D469),0)*AC$453</f>
        <v>0</v>
      </c>
      <c r="AD469">
        <f>IF(AD$455&gt;=$C469,MIN(-(SUM($F469:AC469)-$E469),($E469*(1-$D$457))*$D469),0)*AD$453</f>
        <v>0</v>
      </c>
      <c r="AE469">
        <f>IF(AE$455&gt;=$C469,MIN(-(SUM($F469:AD469)-$E469),($E469*(1-$D$457))*$D469),0)*AE$453</f>
        <v>0</v>
      </c>
      <c r="AF469">
        <f>IF(AF$455&gt;=$C469,MIN(-(SUM($F469:AE469)-$E469),($E469*(1-$D$457))*$D469),0)*AF$453</f>
        <v>0</v>
      </c>
      <c r="AG469">
        <f>IF(AG$455&gt;=$C469,MIN(-(SUM($F469:AF469)-$E469),($E469*(1-$D$457))*$D469),0)*AG$453</f>
        <v>0</v>
      </c>
      <c r="AH469">
        <f>IF(AH$455&gt;=$C469,MIN(-(SUM($F469:AG469)-$E469),($E469*(1-$D$457))*$D469),0)*AH$453</f>
        <v>0</v>
      </c>
      <c r="AI469">
        <f>IF(AI$455&gt;=$C469,MIN(-(SUM($F469:AH469)-$E469),($E469*(1-$D$457))*$D469),0)*AI$453</f>
        <v>0</v>
      </c>
      <c r="AJ469">
        <f>IF(AJ$455&gt;=$C469,MIN(-(SUM($F469:AI469)-$E469),($E469*(1-$D$457))*$D469),0)*AJ$453</f>
        <v>0</v>
      </c>
      <c r="AK469">
        <f>IF(AK$455&gt;=$C469,MIN(-(SUM($F469:AJ469)-$E469),($E469*(1-$D$457))*$D469),0)*AK$453</f>
        <v>0</v>
      </c>
      <c r="AL469">
        <f>IF(AL$455&gt;=$C469,MIN(-(SUM($F469:AK469)-$E469),($E469*(1-$D$457))*$D469),0)*AL$453</f>
        <v>0</v>
      </c>
      <c r="AM469">
        <f>IF(AM$455&gt;=$C469,MIN(-(SUM($F469:AL469)-$E469),($E469*(1-$D$457))*$D469),0)*AM$453</f>
        <v>0</v>
      </c>
      <c r="AN469">
        <f>IF(AN$455&gt;=$C469,MIN(-(SUM($F469:AM469)-$E469),($E469*(1-$D$457))*$D469),0)*AN$453</f>
        <v>0</v>
      </c>
    </row>
    <row r="470" spans="3:40" outlineLevel="4">
      <c r="C470">
        <v>11</v>
      </c>
      <c r="D470">
        <f>Inputs!$D$259</f>
        <v>0.1</v>
      </c>
      <c r="E470">
        <v>30</v>
      </c>
      <c r="F470" s="461">
        <f>E470*D457</f>
        <v>0</v>
      </c>
      <c r="G470">
        <f>IF(G$455&gt;=$C470,MIN(-(SUM(F470:$F470)-$E470),($E470*(1-$D$457))*$D470),0)*G$453</f>
        <v>0</v>
      </c>
      <c r="H470">
        <f>IF(H$455&gt;=$C470,MIN(-(SUM($F470:G470)-$E470),($E470*(1-$D$457))*$D470),0)*H$453</f>
        <v>0</v>
      </c>
      <c r="I470">
        <f>IF(I$455&gt;=$C470,MIN(-(SUM($F470:H470)-$E470),($E470*(1-$D$457))*$D470),0)*I$453</f>
        <v>0</v>
      </c>
      <c r="J470">
        <f>IF(J$455&gt;=$C470,MIN(-(SUM($F470:I470)-$E470),($E470*(1-$D$457))*$D470),0)*J$453</f>
        <v>0</v>
      </c>
      <c r="K470">
        <f>IF(K$455&gt;=$C470,MIN(-(SUM($F470:J470)-$E470),($E470*(1-$D$457))*$D470),0)*K$453</f>
        <v>0</v>
      </c>
      <c r="L470">
        <f>IF(L$455&gt;=$C470,MIN(-(SUM($F470:K470)-$E470),($E470*(1-$D$457))*$D470),0)*L$453</f>
        <v>0</v>
      </c>
      <c r="M470">
        <f>IF(M$455&gt;=$C470,MIN(-(SUM($F470:L470)-$E470),($E470*(1-$D$457))*$D470),0)*M$453</f>
        <v>0</v>
      </c>
      <c r="N470">
        <f>IF(N$455&gt;=$C470,MIN(-(SUM($F470:M470)-$E470),($E470*(1-$D$457))*$D470),0)*N$453</f>
        <v>0</v>
      </c>
      <c r="O470">
        <f>IF(O$455&gt;=$C470,MIN(-(SUM($F470:N470)-$E470),($E470*(1-$D$457))*$D470),0)*O$453</f>
        <v>0</v>
      </c>
      <c r="P470">
        <f>IF(P$455&gt;=$C470,MIN(-(SUM($F470:O470)-$E470),($E470*(1-$D$457))*$D470),0)*P$453</f>
        <v>0</v>
      </c>
      <c r="Q470">
        <f>IF(Q$455&gt;=$C470,MIN(-(SUM($F470:P470)-$E470),($E470*(1-$D$457))*$D470),0)*Q$453</f>
        <v>3</v>
      </c>
      <c r="R470">
        <f>IF(R$455&gt;=$C470,MIN(-(SUM($F470:Q470)-$E470),($E470*(1-$D$457))*$D470),0)*R$453</f>
        <v>3</v>
      </c>
      <c r="S470">
        <f>IF(S$455&gt;=$C470,MIN(-(SUM($F470:R470)-$E470),($E470*(1-$D$457))*$D470),0)*S$453</f>
        <v>3</v>
      </c>
      <c r="T470">
        <f>IF(T$455&gt;=$C470,MIN(-(SUM($F470:S470)-$E470),($E470*(1-$D$457))*$D470),0)*T$453</f>
        <v>3</v>
      </c>
      <c r="U470">
        <f>IF(U$455&gt;=$C470,MIN(-(SUM($F470:T470)-$E470),($E470*(1-$D$457))*$D470),0)*U$453</f>
        <v>3</v>
      </c>
      <c r="V470">
        <f>IF(V$455&gt;=$C470,MIN(-(SUM($F470:U470)-$E470),($E470*(1-$D$457))*$D470),0)*V$453</f>
        <v>3</v>
      </c>
      <c r="W470">
        <f>IF(W$455&gt;=$C470,MIN(-(SUM($F470:V470)-$E470),($E470*(1-$D$457))*$D470),0)*W$453</f>
        <v>3</v>
      </c>
      <c r="X470">
        <f>IF(X$455&gt;=$C470,MIN(-(SUM($F470:W470)-$E470),($E470*(1-$D$457))*$D470),0)*X$453</f>
        <v>3</v>
      </c>
      <c r="Y470">
        <f>IF(Y$455&gt;=$C470,MIN(-(SUM($F470:X470)-$E470),($E470*(1-$D$457))*$D470),0)*Y$453</f>
        <v>3</v>
      </c>
      <c r="Z470">
        <f>IF(Z$455&gt;=$C470,MIN(-(SUM($F470:Y470)-$E470),($E470*(1-$D$457))*$D470),0)*Z$453</f>
        <v>3</v>
      </c>
      <c r="AA470">
        <f>IF(AA$455&gt;=$C470,MIN(-(SUM($F470:Z470)-$E470),($E470*(1-$D$457))*$D470),0)*AA$453</f>
        <v>0</v>
      </c>
      <c r="AB470">
        <f>IF(AB$455&gt;=$C470,MIN(-(SUM($F470:AA470)-$E470),($E470*(1-$D$457))*$D470),0)*AB$453</f>
        <v>0</v>
      </c>
      <c r="AC470">
        <f>IF(AC$455&gt;=$C470,MIN(-(SUM($F470:AB470)-$E470),($E470*(1-$D$457))*$D470),0)*AC$453</f>
        <v>0</v>
      </c>
      <c r="AD470">
        <f>IF(AD$455&gt;=$C470,MIN(-(SUM($F470:AC470)-$E470),($E470*(1-$D$457))*$D470),0)*AD$453</f>
        <v>0</v>
      </c>
      <c r="AE470">
        <f>IF(AE$455&gt;=$C470,MIN(-(SUM($F470:AD470)-$E470),($E470*(1-$D$457))*$D470),0)*AE$453</f>
        <v>0</v>
      </c>
      <c r="AF470">
        <f>IF(AF$455&gt;=$C470,MIN(-(SUM($F470:AE470)-$E470),($E470*(1-$D$457))*$D470),0)*AF$453</f>
        <v>0</v>
      </c>
      <c r="AG470">
        <f>IF(AG$455&gt;=$C470,MIN(-(SUM($F470:AF470)-$E470),($E470*(1-$D$457))*$D470),0)*AG$453</f>
        <v>0</v>
      </c>
      <c r="AH470">
        <f>IF(AH$455&gt;=$C470,MIN(-(SUM($F470:AG470)-$E470),($E470*(1-$D$457))*$D470),0)*AH$453</f>
        <v>0</v>
      </c>
      <c r="AI470">
        <f>IF(AI$455&gt;=$C470,MIN(-(SUM($F470:AH470)-$E470),($E470*(1-$D$457))*$D470),0)*AI$453</f>
        <v>0</v>
      </c>
      <c r="AJ470">
        <f>IF(AJ$455&gt;=$C470,MIN(-(SUM($F470:AI470)-$E470),($E470*(1-$D$457))*$D470),0)*AJ$453</f>
        <v>0</v>
      </c>
      <c r="AK470">
        <f>IF(AK$455&gt;=$C470,MIN(-(SUM($F470:AJ470)-$E470),($E470*(1-$D$457))*$D470),0)*AK$453</f>
        <v>0</v>
      </c>
      <c r="AL470">
        <f>IF(AL$455&gt;=$C470,MIN(-(SUM($F470:AK470)-$E470),($E470*(1-$D$457))*$D470),0)*AL$453</f>
        <v>0</v>
      </c>
      <c r="AM470">
        <f>IF(AM$455&gt;=$C470,MIN(-(SUM($F470:AL470)-$E470),($E470*(1-$D$457))*$D470),0)*AM$453</f>
        <v>0</v>
      </c>
      <c r="AN470">
        <f>IF(AN$455&gt;=$C470,MIN(-(SUM($F470:AM470)-$E470),($E470*(1-$D$457))*$D470),0)*AN$453</f>
        <v>0</v>
      </c>
    </row>
    <row r="471" spans="3:40" outlineLevel="4">
      <c r="C471">
        <v>12</v>
      </c>
      <c r="D471">
        <f>Inputs!$D$259</f>
        <v>0.1</v>
      </c>
      <c r="E471">
        <v>0</v>
      </c>
      <c r="F471" s="461">
        <f>E471*D457</f>
        <v>0</v>
      </c>
      <c r="G471">
        <f>IF(G$455&gt;=$C471,MIN(-(SUM(F471:$F471)-$E471),($E471*(1-$D$457))*$D471),0)*G$453</f>
        <v>0</v>
      </c>
      <c r="H471">
        <f>IF(H$455&gt;=$C471,MIN(-(SUM($F471:G471)-$E471),($E471*(1-$D$457))*$D471),0)*H$453</f>
        <v>0</v>
      </c>
      <c r="I471">
        <f>IF(I$455&gt;=$C471,MIN(-(SUM($F471:H471)-$E471),($E471*(1-$D$457))*$D471),0)*I$453</f>
        <v>0</v>
      </c>
      <c r="J471">
        <f>IF(J$455&gt;=$C471,MIN(-(SUM($F471:I471)-$E471),($E471*(1-$D$457))*$D471),0)*J$453</f>
        <v>0</v>
      </c>
      <c r="K471">
        <f>IF(K$455&gt;=$C471,MIN(-(SUM($F471:J471)-$E471),($E471*(1-$D$457))*$D471),0)*K$453</f>
        <v>0</v>
      </c>
      <c r="L471">
        <f>IF(L$455&gt;=$C471,MIN(-(SUM($F471:K471)-$E471),($E471*(1-$D$457))*$D471),0)*L$453</f>
        <v>0</v>
      </c>
      <c r="M471">
        <f>IF(M$455&gt;=$C471,MIN(-(SUM($F471:L471)-$E471),($E471*(1-$D$457))*$D471),0)*M$453</f>
        <v>0</v>
      </c>
      <c r="N471">
        <f>IF(N$455&gt;=$C471,MIN(-(SUM($F471:M471)-$E471),($E471*(1-$D$457))*$D471),0)*N$453</f>
        <v>0</v>
      </c>
      <c r="O471">
        <f>IF(O$455&gt;=$C471,MIN(-(SUM($F471:N471)-$E471),($E471*(1-$D$457))*$D471),0)*O$453</f>
        <v>0</v>
      </c>
      <c r="P471">
        <f>IF(P$455&gt;=$C471,MIN(-(SUM($F471:O471)-$E471),($E471*(1-$D$457))*$D471),0)*P$453</f>
        <v>0</v>
      </c>
      <c r="Q471">
        <f>IF(Q$455&gt;=$C471,MIN(-(SUM($F471:P471)-$E471),($E471*(1-$D$457))*$D471),0)*Q$453</f>
        <v>0</v>
      </c>
      <c r="R471">
        <f>IF(R$455&gt;=$C471,MIN(-(SUM($F471:Q471)-$E471),($E471*(1-$D$457))*$D471),0)*R$453</f>
        <v>0</v>
      </c>
      <c r="S471">
        <f>IF(S$455&gt;=$C471,MIN(-(SUM($F471:R471)-$E471),($E471*(1-$D$457))*$D471),0)*S$453</f>
        <v>0</v>
      </c>
      <c r="T471">
        <f>IF(T$455&gt;=$C471,MIN(-(SUM($F471:S471)-$E471),($E471*(1-$D$457))*$D471),0)*T$453</f>
        <v>0</v>
      </c>
      <c r="U471">
        <f>IF(U$455&gt;=$C471,MIN(-(SUM($F471:T471)-$E471),($E471*(1-$D$457))*$D471),0)*U$453</f>
        <v>0</v>
      </c>
      <c r="V471">
        <f>IF(V$455&gt;=$C471,MIN(-(SUM($F471:U471)-$E471),($E471*(1-$D$457))*$D471),0)*V$453</f>
        <v>0</v>
      </c>
      <c r="W471">
        <f>IF(W$455&gt;=$C471,MIN(-(SUM($F471:V471)-$E471),($E471*(1-$D$457))*$D471),0)*W$453</f>
        <v>0</v>
      </c>
      <c r="X471">
        <f>IF(X$455&gt;=$C471,MIN(-(SUM($F471:W471)-$E471),($E471*(1-$D$457))*$D471),0)*X$453</f>
        <v>0</v>
      </c>
      <c r="Y471">
        <f>IF(Y$455&gt;=$C471,MIN(-(SUM($F471:X471)-$E471),($E471*(1-$D$457))*$D471),0)*Y$453</f>
        <v>0</v>
      </c>
      <c r="Z471">
        <f>IF(Z$455&gt;=$C471,MIN(-(SUM($F471:Y471)-$E471),($E471*(1-$D$457))*$D471),0)*Z$453</f>
        <v>0</v>
      </c>
      <c r="AA471">
        <f>IF(AA$455&gt;=$C471,MIN(-(SUM($F471:Z471)-$E471),($E471*(1-$D$457))*$D471),0)*AA$453</f>
        <v>0</v>
      </c>
      <c r="AB471">
        <f>IF(AB$455&gt;=$C471,MIN(-(SUM($F471:AA471)-$E471),($E471*(1-$D$457))*$D471),0)*AB$453</f>
        <v>0</v>
      </c>
      <c r="AC471">
        <f>IF(AC$455&gt;=$C471,MIN(-(SUM($F471:AB471)-$E471),($E471*(1-$D$457))*$D471),0)*AC$453</f>
        <v>0</v>
      </c>
      <c r="AD471">
        <f>IF(AD$455&gt;=$C471,MIN(-(SUM($F471:AC471)-$E471),($E471*(1-$D$457))*$D471),0)*AD$453</f>
        <v>0</v>
      </c>
      <c r="AE471">
        <f>IF(AE$455&gt;=$C471,MIN(-(SUM($F471:AD471)-$E471),($E471*(1-$D$457))*$D471),0)*AE$453</f>
        <v>0</v>
      </c>
      <c r="AF471">
        <f>IF(AF$455&gt;=$C471,MIN(-(SUM($F471:AE471)-$E471),($E471*(1-$D$457))*$D471),0)*AF$453</f>
        <v>0</v>
      </c>
      <c r="AG471">
        <f>IF(AG$455&gt;=$C471,MIN(-(SUM($F471:AF471)-$E471),($E471*(1-$D$457))*$D471),0)*AG$453</f>
        <v>0</v>
      </c>
      <c r="AH471">
        <f>IF(AH$455&gt;=$C471,MIN(-(SUM($F471:AG471)-$E471),($E471*(1-$D$457))*$D471),0)*AH$453</f>
        <v>0</v>
      </c>
      <c r="AI471">
        <f>IF(AI$455&gt;=$C471,MIN(-(SUM($F471:AH471)-$E471),($E471*(1-$D$457))*$D471),0)*AI$453</f>
        <v>0</v>
      </c>
      <c r="AJ471">
        <f>IF(AJ$455&gt;=$C471,MIN(-(SUM($F471:AI471)-$E471),($E471*(1-$D$457))*$D471),0)*AJ$453</f>
        <v>0</v>
      </c>
      <c r="AK471">
        <f>IF(AK$455&gt;=$C471,MIN(-(SUM($F471:AJ471)-$E471),($E471*(1-$D$457))*$D471),0)*AK$453</f>
        <v>0</v>
      </c>
      <c r="AL471">
        <f>IF(AL$455&gt;=$C471,MIN(-(SUM($F471:AK471)-$E471),($E471*(1-$D$457))*$D471),0)*AL$453</f>
        <v>0</v>
      </c>
      <c r="AM471">
        <f>IF(AM$455&gt;=$C471,MIN(-(SUM($F471:AL471)-$E471),($E471*(1-$D$457))*$D471),0)*AM$453</f>
        <v>0</v>
      </c>
      <c r="AN471">
        <f>IF(AN$455&gt;=$C471,MIN(-(SUM($F471:AM471)-$E471),($E471*(1-$D$457))*$D471),0)*AN$453</f>
        <v>0</v>
      </c>
    </row>
    <row r="472" spans="3:40" outlineLevel="4">
      <c r="C472">
        <v>13</v>
      </c>
      <c r="D472">
        <f>Inputs!$D$259</f>
        <v>0.1</v>
      </c>
      <c r="E472">
        <v>0</v>
      </c>
      <c r="F472" s="461">
        <f>E472*D457</f>
        <v>0</v>
      </c>
      <c r="G472">
        <f>IF(G$455&gt;=$C472,MIN(-(SUM(F472:$F472)-$E472),($E472*(1-$D$457))*$D472),0)*G$453</f>
        <v>0</v>
      </c>
      <c r="H472">
        <f>IF(H$455&gt;=$C472,MIN(-(SUM($F472:G472)-$E472),($E472*(1-$D$457))*$D472),0)*H$453</f>
        <v>0</v>
      </c>
      <c r="I472">
        <f>IF(I$455&gt;=$C472,MIN(-(SUM($F472:H472)-$E472),($E472*(1-$D$457))*$D472),0)*I$453</f>
        <v>0</v>
      </c>
      <c r="J472">
        <f>IF(J$455&gt;=$C472,MIN(-(SUM($F472:I472)-$E472),($E472*(1-$D$457))*$D472),0)*J$453</f>
        <v>0</v>
      </c>
      <c r="K472">
        <f>IF(K$455&gt;=$C472,MIN(-(SUM($F472:J472)-$E472),($E472*(1-$D$457))*$D472),0)*K$453</f>
        <v>0</v>
      </c>
      <c r="L472">
        <f>IF(L$455&gt;=$C472,MIN(-(SUM($F472:K472)-$E472),($E472*(1-$D$457))*$D472),0)*L$453</f>
        <v>0</v>
      </c>
      <c r="M472">
        <f>IF(M$455&gt;=$C472,MIN(-(SUM($F472:L472)-$E472),($E472*(1-$D$457))*$D472),0)*M$453</f>
        <v>0</v>
      </c>
      <c r="N472">
        <f>IF(N$455&gt;=$C472,MIN(-(SUM($F472:M472)-$E472),($E472*(1-$D$457))*$D472),0)*N$453</f>
        <v>0</v>
      </c>
      <c r="O472">
        <f>IF(O$455&gt;=$C472,MIN(-(SUM($F472:N472)-$E472),($E472*(1-$D$457))*$D472),0)*O$453</f>
        <v>0</v>
      </c>
      <c r="P472">
        <f>IF(P$455&gt;=$C472,MIN(-(SUM($F472:O472)-$E472),($E472*(1-$D$457))*$D472),0)*P$453</f>
        <v>0</v>
      </c>
      <c r="Q472">
        <f>IF(Q$455&gt;=$C472,MIN(-(SUM($F472:P472)-$E472),($E472*(1-$D$457))*$D472),0)*Q$453</f>
        <v>0</v>
      </c>
      <c r="R472">
        <f>IF(R$455&gt;=$C472,MIN(-(SUM($F472:Q472)-$E472),($E472*(1-$D$457))*$D472),0)*R$453</f>
        <v>0</v>
      </c>
      <c r="S472">
        <f>IF(S$455&gt;=$C472,MIN(-(SUM($F472:R472)-$E472),($E472*(1-$D$457))*$D472),0)*S$453</f>
        <v>0</v>
      </c>
      <c r="T472">
        <f>IF(T$455&gt;=$C472,MIN(-(SUM($F472:S472)-$E472),($E472*(1-$D$457))*$D472),0)*T$453</f>
        <v>0</v>
      </c>
      <c r="U472">
        <f>IF(U$455&gt;=$C472,MIN(-(SUM($F472:T472)-$E472),($E472*(1-$D$457))*$D472),0)*U$453</f>
        <v>0</v>
      </c>
      <c r="V472">
        <f>IF(V$455&gt;=$C472,MIN(-(SUM($F472:U472)-$E472),($E472*(1-$D$457))*$D472),0)*V$453</f>
        <v>0</v>
      </c>
      <c r="W472">
        <f>IF(W$455&gt;=$C472,MIN(-(SUM($F472:V472)-$E472),($E472*(1-$D$457))*$D472),0)*W$453</f>
        <v>0</v>
      </c>
      <c r="X472">
        <f>IF(X$455&gt;=$C472,MIN(-(SUM($F472:W472)-$E472),($E472*(1-$D$457))*$D472),0)*X$453</f>
        <v>0</v>
      </c>
      <c r="Y472">
        <f>IF(Y$455&gt;=$C472,MIN(-(SUM($F472:X472)-$E472),($E472*(1-$D$457))*$D472),0)*Y$453</f>
        <v>0</v>
      </c>
      <c r="Z472">
        <f>IF(Z$455&gt;=$C472,MIN(-(SUM($F472:Y472)-$E472),($E472*(1-$D$457))*$D472),0)*Z$453</f>
        <v>0</v>
      </c>
      <c r="AA472">
        <f>IF(AA$455&gt;=$C472,MIN(-(SUM($F472:Z472)-$E472),($E472*(1-$D$457))*$D472),0)*AA$453</f>
        <v>0</v>
      </c>
      <c r="AB472">
        <f>IF(AB$455&gt;=$C472,MIN(-(SUM($F472:AA472)-$E472),($E472*(1-$D$457))*$D472),0)*AB$453</f>
        <v>0</v>
      </c>
      <c r="AC472">
        <f>IF(AC$455&gt;=$C472,MIN(-(SUM($F472:AB472)-$E472),($E472*(1-$D$457))*$D472),0)*AC$453</f>
        <v>0</v>
      </c>
      <c r="AD472">
        <f>IF(AD$455&gt;=$C472,MIN(-(SUM($F472:AC472)-$E472),($E472*(1-$D$457))*$D472),0)*AD$453</f>
        <v>0</v>
      </c>
      <c r="AE472">
        <f>IF(AE$455&gt;=$C472,MIN(-(SUM($F472:AD472)-$E472),($E472*(1-$D$457))*$D472),0)*AE$453</f>
        <v>0</v>
      </c>
      <c r="AF472">
        <f>IF(AF$455&gt;=$C472,MIN(-(SUM($F472:AE472)-$E472),($E472*(1-$D$457))*$D472),0)*AF$453</f>
        <v>0</v>
      </c>
      <c r="AG472">
        <f>IF(AG$455&gt;=$C472,MIN(-(SUM($F472:AF472)-$E472),($E472*(1-$D$457))*$D472),0)*AG$453</f>
        <v>0</v>
      </c>
      <c r="AH472">
        <f>IF(AH$455&gt;=$C472,MIN(-(SUM($F472:AG472)-$E472),($E472*(1-$D$457))*$D472),0)*AH$453</f>
        <v>0</v>
      </c>
      <c r="AI472">
        <f>IF(AI$455&gt;=$C472,MIN(-(SUM($F472:AH472)-$E472),($E472*(1-$D$457))*$D472),0)*AI$453</f>
        <v>0</v>
      </c>
      <c r="AJ472">
        <f>IF(AJ$455&gt;=$C472,MIN(-(SUM($F472:AI472)-$E472),($E472*(1-$D$457))*$D472),0)*AJ$453</f>
        <v>0</v>
      </c>
      <c r="AK472">
        <f>IF(AK$455&gt;=$C472,MIN(-(SUM($F472:AJ472)-$E472),($E472*(1-$D$457))*$D472),0)*AK$453</f>
        <v>0</v>
      </c>
      <c r="AL472">
        <f>IF(AL$455&gt;=$C472,MIN(-(SUM($F472:AK472)-$E472),($E472*(1-$D$457))*$D472),0)*AL$453</f>
        <v>0</v>
      </c>
      <c r="AM472">
        <f>IF(AM$455&gt;=$C472,MIN(-(SUM($F472:AL472)-$E472),($E472*(1-$D$457))*$D472),0)*AM$453</f>
        <v>0</v>
      </c>
      <c r="AN472">
        <f>IF(AN$455&gt;=$C472,MIN(-(SUM($F472:AM472)-$E472),($E472*(1-$D$457))*$D472),0)*AN$453</f>
        <v>0</v>
      </c>
    </row>
    <row r="473" spans="3:40" outlineLevel="4">
      <c r="C473">
        <v>14</v>
      </c>
      <c r="D473">
        <f>Inputs!$D$259</f>
        <v>0.1</v>
      </c>
      <c r="E473">
        <v>0</v>
      </c>
      <c r="F473" s="461">
        <f>E473*D457</f>
        <v>0</v>
      </c>
      <c r="G473">
        <f>IF(G$455&gt;=$C473,MIN(-(SUM(F473:$F473)-$E473),($E473*(1-$D$457))*$D473),0)*G$453</f>
        <v>0</v>
      </c>
      <c r="H473">
        <f>IF(H$455&gt;=$C473,MIN(-(SUM($F473:G473)-$E473),($E473*(1-$D$457))*$D473),0)*H$453</f>
        <v>0</v>
      </c>
      <c r="I473">
        <f>IF(I$455&gt;=$C473,MIN(-(SUM($F473:H473)-$E473),($E473*(1-$D$457))*$D473),0)*I$453</f>
        <v>0</v>
      </c>
      <c r="J473">
        <f>IF(J$455&gt;=$C473,MIN(-(SUM($F473:I473)-$E473),($E473*(1-$D$457))*$D473),0)*J$453</f>
        <v>0</v>
      </c>
      <c r="K473">
        <f>IF(K$455&gt;=$C473,MIN(-(SUM($F473:J473)-$E473),($E473*(1-$D$457))*$D473),0)*K$453</f>
        <v>0</v>
      </c>
      <c r="L473">
        <f>IF(L$455&gt;=$C473,MIN(-(SUM($F473:K473)-$E473),($E473*(1-$D$457))*$D473),0)*L$453</f>
        <v>0</v>
      </c>
      <c r="M473">
        <f>IF(M$455&gt;=$C473,MIN(-(SUM($F473:L473)-$E473),($E473*(1-$D$457))*$D473),0)*M$453</f>
        <v>0</v>
      </c>
      <c r="N473">
        <f>IF(N$455&gt;=$C473,MIN(-(SUM($F473:M473)-$E473),($E473*(1-$D$457))*$D473),0)*N$453</f>
        <v>0</v>
      </c>
      <c r="O473">
        <f>IF(O$455&gt;=$C473,MIN(-(SUM($F473:N473)-$E473),($E473*(1-$D$457))*$D473),0)*O$453</f>
        <v>0</v>
      </c>
      <c r="P473">
        <f>IF(P$455&gt;=$C473,MIN(-(SUM($F473:O473)-$E473),($E473*(1-$D$457))*$D473),0)*P$453</f>
        <v>0</v>
      </c>
      <c r="Q473">
        <f>IF(Q$455&gt;=$C473,MIN(-(SUM($F473:P473)-$E473),($E473*(1-$D$457))*$D473),0)*Q$453</f>
        <v>0</v>
      </c>
      <c r="R473">
        <f>IF(R$455&gt;=$C473,MIN(-(SUM($F473:Q473)-$E473),($E473*(1-$D$457))*$D473),0)*R$453</f>
        <v>0</v>
      </c>
      <c r="S473">
        <f>IF(S$455&gt;=$C473,MIN(-(SUM($F473:R473)-$E473),($E473*(1-$D$457))*$D473),0)*S$453</f>
        <v>0</v>
      </c>
      <c r="T473">
        <f>IF(T$455&gt;=$C473,MIN(-(SUM($F473:S473)-$E473),($E473*(1-$D$457))*$D473),0)*T$453</f>
        <v>0</v>
      </c>
      <c r="U473">
        <f>IF(U$455&gt;=$C473,MIN(-(SUM($F473:T473)-$E473),($E473*(1-$D$457))*$D473),0)*U$453</f>
        <v>0</v>
      </c>
      <c r="V473">
        <f>IF(V$455&gt;=$C473,MIN(-(SUM($F473:U473)-$E473),($E473*(1-$D$457))*$D473),0)*V$453</f>
        <v>0</v>
      </c>
      <c r="W473">
        <f>IF(W$455&gt;=$C473,MIN(-(SUM($F473:V473)-$E473),($E473*(1-$D$457))*$D473),0)*W$453</f>
        <v>0</v>
      </c>
      <c r="X473">
        <f>IF(X$455&gt;=$C473,MIN(-(SUM($F473:W473)-$E473),($E473*(1-$D$457))*$D473),0)*X$453</f>
        <v>0</v>
      </c>
      <c r="Y473">
        <f>IF(Y$455&gt;=$C473,MIN(-(SUM($F473:X473)-$E473),($E473*(1-$D$457))*$D473),0)*Y$453</f>
        <v>0</v>
      </c>
      <c r="Z473">
        <f>IF(Z$455&gt;=$C473,MIN(-(SUM($F473:Y473)-$E473),($E473*(1-$D$457))*$D473),0)*Z$453</f>
        <v>0</v>
      </c>
      <c r="AA473">
        <f>IF(AA$455&gt;=$C473,MIN(-(SUM($F473:Z473)-$E473),($E473*(1-$D$457))*$D473),0)*AA$453</f>
        <v>0</v>
      </c>
      <c r="AB473">
        <f>IF(AB$455&gt;=$C473,MIN(-(SUM($F473:AA473)-$E473),($E473*(1-$D$457))*$D473),0)*AB$453</f>
        <v>0</v>
      </c>
      <c r="AC473">
        <f>IF(AC$455&gt;=$C473,MIN(-(SUM($F473:AB473)-$E473),($E473*(1-$D$457))*$D473),0)*AC$453</f>
        <v>0</v>
      </c>
      <c r="AD473">
        <f>IF(AD$455&gt;=$C473,MIN(-(SUM($F473:AC473)-$E473),($E473*(1-$D$457))*$D473),0)*AD$453</f>
        <v>0</v>
      </c>
      <c r="AE473">
        <f>IF(AE$455&gt;=$C473,MIN(-(SUM($F473:AD473)-$E473),($E473*(1-$D$457))*$D473),0)*AE$453</f>
        <v>0</v>
      </c>
      <c r="AF473">
        <f>IF(AF$455&gt;=$C473,MIN(-(SUM($F473:AE473)-$E473),($E473*(1-$D$457))*$D473),0)*AF$453</f>
        <v>0</v>
      </c>
      <c r="AG473">
        <f>IF(AG$455&gt;=$C473,MIN(-(SUM($F473:AF473)-$E473),($E473*(1-$D$457))*$D473),0)*AG$453</f>
        <v>0</v>
      </c>
      <c r="AH473">
        <f>IF(AH$455&gt;=$C473,MIN(-(SUM($F473:AG473)-$E473),($E473*(1-$D$457))*$D473),0)*AH$453</f>
        <v>0</v>
      </c>
      <c r="AI473">
        <f>IF(AI$455&gt;=$C473,MIN(-(SUM($F473:AH473)-$E473),($E473*(1-$D$457))*$D473),0)*AI$453</f>
        <v>0</v>
      </c>
      <c r="AJ473">
        <f>IF(AJ$455&gt;=$C473,MIN(-(SUM($F473:AI473)-$E473),($E473*(1-$D$457))*$D473),0)*AJ$453</f>
        <v>0</v>
      </c>
      <c r="AK473">
        <f>IF(AK$455&gt;=$C473,MIN(-(SUM($F473:AJ473)-$E473),($E473*(1-$D$457))*$D473),0)*AK$453</f>
        <v>0</v>
      </c>
      <c r="AL473">
        <f>IF(AL$455&gt;=$C473,MIN(-(SUM($F473:AK473)-$E473),($E473*(1-$D$457))*$D473),0)*AL$453</f>
        <v>0</v>
      </c>
      <c r="AM473">
        <f>IF(AM$455&gt;=$C473,MIN(-(SUM($F473:AL473)-$E473),($E473*(1-$D$457))*$D473),0)*AM$453</f>
        <v>0</v>
      </c>
      <c r="AN473">
        <f>IF(AN$455&gt;=$C473,MIN(-(SUM($F473:AM473)-$E473),($E473*(1-$D$457))*$D473),0)*AN$453</f>
        <v>0</v>
      </c>
    </row>
    <row r="474" spans="3:40" outlineLevel="4">
      <c r="C474">
        <v>15</v>
      </c>
      <c r="D474">
        <f>Inputs!$D$259</f>
        <v>0.1</v>
      </c>
      <c r="E474">
        <v>0</v>
      </c>
      <c r="F474" s="461">
        <f>E474*D457</f>
        <v>0</v>
      </c>
      <c r="G474">
        <f>IF(G$455&gt;=$C474,MIN(-(SUM(F474:$F474)-$E474),($E474*(1-$D$457))*$D474),0)*G$453</f>
        <v>0</v>
      </c>
      <c r="H474">
        <f>IF(H$455&gt;=$C474,MIN(-(SUM($F474:G474)-$E474),($E474*(1-$D$457))*$D474),0)*H$453</f>
        <v>0</v>
      </c>
      <c r="I474">
        <f>IF(I$455&gt;=$C474,MIN(-(SUM($F474:H474)-$E474),($E474*(1-$D$457))*$D474),0)*I$453</f>
        <v>0</v>
      </c>
      <c r="J474">
        <f>IF(J$455&gt;=$C474,MIN(-(SUM($F474:I474)-$E474),($E474*(1-$D$457))*$D474),0)*J$453</f>
        <v>0</v>
      </c>
      <c r="K474">
        <f>IF(K$455&gt;=$C474,MIN(-(SUM($F474:J474)-$E474),($E474*(1-$D$457))*$D474),0)*K$453</f>
        <v>0</v>
      </c>
      <c r="L474">
        <f>IF(L$455&gt;=$C474,MIN(-(SUM($F474:K474)-$E474),($E474*(1-$D$457))*$D474),0)*L$453</f>
        <v>0</v>
      </c>
      <c r="M474">
        <f>IF(M$455&gt;=$C474,MIN(-(SUM($F474:L474)-$E474),($E474*(1-$D$457))*$D474),0)*M$453</f>
        <v>0</v>
      </c>
      <c r="N474">
        <f>IF(N$455&gt;=$C474,MIN(-(SUM($F474:M474)-$E474),($E474*(1-$D$457))*$D474),0)*N$453</f>
        <v>0</v>
      </c>
      <c r="O474">
        <f>IF(O$455&gt;=$C474,MIN(-(SUM($F474:N474)-$E474),($E474*(1-$D$457))*$D474),0)*O$453</f>
        <v>0</v>
      </c>
      <c r="P474">
        <f>IF(P$455&gt;=$C474,MIN(-(SUM($F474:O474)-$E474),($E474*(1-$D$457))*$D474),0)*P$453</f>
        <v>0</v>
      </c>
      <c r="Q474">
        <f>IF(Q$455&gt;=$C474,MIN(-(SUM($F474:P474)-$E474),($E474*(1-$D$457))*$D474),0)*Q$453</f>
        <v>0</v>
      </c>
      <c r="R474">
        <f>IF(R$455&gt;=$C474,MIN(-(SUM($F474:Q474)-$E474),($E474*(1-$D$457))*$D474),0)*R$453</f>
        <v>0</v>
      </c>
      <c r="S474">
        <f>IF(S$455&gt;=$C474,MIN(-(SUM($F474:R474)-$E474),($E474*(1-$D$457))*$D474),0)*S$453</f>
        <v>0</v>
      </c>
      <c r="T474">
        <f>IF(T$455&gt;=$C474,MIN(-(SUM($F474:S474)-$E474),($E474*(1-$D$457))*$D474),0)*T$453</f>
        <v>0</v>
      </c>
      <c r="U474">
        <f>IF(U$455&gt;=$C474,MIN(-(SUM($F474:T474)-$E474),($E474*(1-$D$457))*$D474),0)*U$453</f>
        <v>0</v>
      </c>
      <c r="V474">
        <f>IF(V$455&gt;=$C474,MIN(-(SUM($F474:U474)-$E474),($E474*(1-$D$457))*$D474),0)*V$453</f>
        <v>0</v>
      </c>
      <c r="W474">
        <f>IF(W$455&gt;=$C474,MIN(-(SUM($F474:V474)-$E474),($E474*(1-$D$457))*$D474),0)*W$453</f>
        <v>0</v>
      </c>
      <c r="X474">
        <f>IF(X$455&gt;=$C474,MIN(-(SUM($F474:W474)-$E474),($E474*(1-$D$457))*$D474),0)*X$453</f>
        <v>0</v>
      </c>
      <c r="Y474">
        <f>IF(Y$455&gt;=$C474,MIN(-(SUM($F474:X474)-$E474),($E474*(1-$D$457))*$D474),0)*Y$453</f>
        <v>0</v>
      </c>
      <c r="Z474">
        <f>IF(Z$455&gt;=$C474,MIN(-(SUM($F474:Y474)-$E474),($E474*(1-$D$457))*$D474),0)*Z$453</f>
        <v>0</v>
      </c>
      <c r="AA474">
        <f>IF(AA$455&gt;=$C474,MIN(-(SUM($F474:Z474)-$E474),($E474*(1-$D$457))*$D474),0)*AA$453</f>
        <v>0</v>
      </c>
      <c r="AB474">
        <f>IF(AB$455&gt;=$C474,MIN(-(SUM($F474:AA474)-$E474),($E474*(1-$D$457))*$D474),0)*AB$453</f>
        <v>0</v>
      </c>
      <c r="AC474">
        <f>IF(AC$455&gt;=$C474,MIN(-(SUM($F474:AB474)-$E474),($E474*(1-$D$457))*$D474),0)*AC$453</f>
        <v>0</v>
      </c>
      <c r="AD474">
        <f>IF(AD$455&gt;=$C474,MIN(-(SUM($F474:AC474)-$E474),($E474*(1-$D$457))*$D474),0)*AD$453</f>
        <v>0</v>
      </c>
      <c r="AE474">
        <f>IF(AE$455&gt;=$C474,MIN(-(SUM($F474:AD474)-$E474),($E474*(1-$D$457))*$D474),0)*AE$453</f>
        <v>0</v>
      </c>
      <c r="AF474">
        <f>IF(AF$455&gt;=$C474,MIN(-(SUM($F474:AE474)-$E474),($E474*(1-$D$457))*$D474),0)*AF$453</f>
        <v>0</v>
      </c>
      <c r="AG474">
        <f>IF(AG$455&gt;=$C474,MIN(-(SUM($F474:AF474)-$E474),($E474*(1-$D$457))*$D474),0)*AG$453</f>
        <v>0</v>
      </c>
      <c r="AH474">
        <f>IF(AH$455&gt;=$C474,MIN(-(SUM($F474:AG474)-$E474),($E474*(1-$D$457))*$D474),0)*AH$453</f>
        <v>0</v>
      </c>
      <c r="AI474">
        <f>IF(AI$455&gt;=$C474,MIN(-(SUM($F474:AH474)-$E474),($E474*(1-$D$457))*$D474),0)*AI$453</f>
        <v>0</v>
      </c>
      <c r="AJ474">
        <f>IF(AJ$455&gt;=$C474,MIN(-(SUM($F474:AI474)-$E474),($E474*(1-$D$457))*$D474),0)*AJ$453</f>
        <v>0</v>
      </c>
      <c r="AK474">
        <f>IF(AK$455&gt;=$C474,MIN(-(SUM($F474:AJ474)-$E474),($E474*(1-$D$457))*$D474),0)*AK$453</f>
        <v>0</v>
      </c>
      <c r="AL474">
        <f>IF(AL$455&gt;=$C474,MIN(-(SUM($F474:AK474)-$E474),($E474*(1-$D$457))*$D474),0)*AL$453</f>
        <v>0</v>
      </c>
      <c r="AM474">
        <f>IF(AM$455&gt;=$C474,MIN(-(SUM($F474:AL474)-$E474),($E474*(1-$D$457))*$D474),0)*AM$453</f>
        <v>0</v>
      </c>
      <c r="AN474">
        <f>IF(AN$455&gt;=$C474,MIN(-(SUM($F474:AM474)-$E474),($E474*(1-$D$457))*$D474),0)*AN$453</f>
        <v>0</v>
      </c>
    </row>
    <row r="475" spans="3:40" outlineLevel="4">
      <c r="C475">
        <v>16</v>
      </c>
      <c r="D475">
        <f>Inputs!$D$259</f>
        <v>0.1</v>
      </c>
      <c r="E475">
        <v>30</v>
      </c>
      <c r="F475" s="461">
        <f>E475*D457</f>
        <v>0</v>
      </c>
      <c r="G475">
        <f>IF(G$455&gt;=$C475,MIN(-(SUM(F475:$F475)-$E475),($E475*(1-$D$457))*$D475),0)*G$453</f>
        <v>0</v>
      </c>
      <c r="H475">
        <f>IF(H$455&gt;=$C475,MIN(-(SUM($F475:G475)-$E475),($E475*(1-$D$457))*$D475),0)*H$453</f>
        <v>0</v>
      </c>
      <c r="I475">
        <f>IF(I$455&gt;=$C475,MIN(-(SUM($F475:H475)-$E475),($E475*(1-$D$457))*$D475),0)*I$453</f>
        <v>0</v>
      </c>
      <c r="J475">
        <f>IF(J$455&gt;=$C475,MIN(-(SUM($F475:I475)-$E475),($E475*(1-$D$457))*$D475),0)*J$453</f>
        <v>0</v>
      </c>
      <c r="K475">
        <f>IF(K$455&gt;=$C475,MIN(-(SUM($F475:J475)-$E475),($E475*(1-$D$457))*$D475),0)*K$453</f>
        <v>0</v>
      </c>
      <c r="L475">
        <f>IF(L$455&gt;=$C475,MIN(-(SUM($F475:K475)-$E475),($E475*(1-$D$457))*$D475),0)*L$453</f>
        <v>0</v>
      </c>
      <c r="M475">
        <f>IF(M$455&gt;=$C475,MIN(-(SUM($F475:L475)-$E475),($E475*(1-$D$457))*$D475),0)*M$453</f>
        <v>0</v>
      </c>
      <c r="N475">
        <f>IF(N$455&gt;=$C475,MIN(-(SUM($F475:M475)-$E475),($E475*(1-$D$457))*$D475),0)*N$453</f>
        <v>0</v>
      </c>
      <c r="O475">
        <f>IF(O$455&gt;=$C475,MIN(-(SUM($F475:N475)-$E475),($E475*(1-$D$457))*$D475),0)*O$453</f>
        <v>0</v>
      </c>
      <c r="P475">
        <f>IF(P$455&gt;=$C475,MIN(-(SUM($F475:O475)-$E475),($E475*(1-$D$457))*$D475),0)*P$453</f>
        <v>0</v>
      </c>
      <c r="Q475">
        <f>IF(Q$455&gt;=$C475,MIN(-(SUM($F475:P475)-$E475),($E475*(1-$D$457))*$D475),0)*Q$453</f>
        <v>0</v>
      </c>
      <c r="R475">
        <f>IF(R$455&gt;=$C475,MIN(-(SUM($F475:Q475)-$E475),($E475*(1-$D$457))*$D475),0)*R$453</f>
        <v>0</v>
      </c>
      <c r="S475">
        <f>IF(S$455&gt;=$C475,MIN(-(SUM($F475:R475)-$E475),($E475*(1-$D$457))*$D475),0)*S$453</f>
        <v>0</v>
      </c>
      <c r="T475">
        <f>IF(T$455&gt;=$C475,MIN(-(SUM($F475:S475)-$E475),($E475*(1-$D$457))*$D475),0)*T$453</f>
        <v>0</v>
      </c>
      <c r="U475">
        <f>IF(U$455&gt;=$C475,MIN(-(SUM($F475:T475)-$E475),($E475*(1-$D$457))*$D475),0)*U$453</f>
        <v>0</v>
      </c>
      <c r="V475">
        <f>IF(V$455&gt;=$C475,MIN(-(SUM($F475:U475)-$E475),($E475*(1-$D$457))*$D475),0)*V$453</f>
        <v>3</v>
      </c>
      <c r="W475">
        <f>IF(W$455&gt;=$C475,MIN(-(SUM($F475:V475)-$E475),($E475*(1-$D$457))*$D475),0)*W$453</f>
        <v>3</v>
      </c>
      <c r="X475">
        <f>IF(X$455&gt;=$C475,MIN(-(SUM($F475:W475)-$E475),($E475*(1-$D$457))*$D475),0)*X$453</f>
        <v>3</v>
      </c>
      <c r="Y475">
        <f>IF(Y$455&gt;=$C475,MIN(-(SUM($F475:X475)-$E475),($E475*(1-$D$457))*$D475),0)*Y$453</f>
        <v>3</v>
      </c>
      <c r="Z475">
        <f>IF(Z$455&gt;=$C475,MIN(-(SUM($F475:Y475)-$E475),($E475*(1-$D$457))*$D475),0)*Z$453</f>
        <v>3</v>
      </c>
      <c r="AA475">
        <f>IF(AA$455&gt;=$C475,MIN(-(SUM($F475:Z475)-$E475),($E475*(1-$D$457))*$D475),0)*AA$453</f>
        <v>3</v>
      </c>
      <c r="AB475">
        <f>IF(AB$455&gt;=$C475,MIN(-(SUM($F475:AA475)-$E475),($E475*(1-$D$457))*$D475),0)*AB$453</f>
        <v>3</v>
      </c>
      <c r="AC475">
        <f>IF(AC$455&gt;=$C475,MIN(-(SUM($F475:AB475)-$E475),($E475*(1-$D$457))*$D475),0)*AC$453</f>
        <v>3</v>
      </c>
      <c r="AD475">
        <f>IF(AD$455&gt;=$C475,MIN(-(SUM($F475:AC475)-$E475),($E475*(1-$D$457))*$D475),0)*AD$453</f>
        <v>3</v>
      </c>
      <c r="AE475">
        <f>IF(AE$455&gt;=$C475,MIN(-(SUM($F475:AD475)-$E475),($E475*(1-$D$457))*$D475),0)*AE$453</f>
        <v>3</v>
      </c>
      <c r="AF475">
        <f>IF(AF$455&gt;=$C475,MIN(-(SUM($F475:AE475)-$E475),($E475*(1-$D$457))*$D475),0)*AF$453</f>
        <v>0</v>
      </c>
      <c r="AG475">
        <f>IF(AG$455&gt;=$C475,MIN(-(SUM($F475:AF475)-$E475),($E475*(1-$D$457))*$D475),0)*AG$453</f>
        <v>0</v>
      </c>
      <c r="AH475">
        <f>IF(AH$455&gt;=$C475,MIN(-(SUM($F475:AG475)-$E475),($E475*(1-$D$457))*$D475),0)*AH$453</f>
        <v>0</v>
      </c>
      <c r="AI475">
        <f>IF(AI$455&gt;=$C475,MIN(-(SUM($F475:AH475)-$E475),($E475*(1-$D$457))*$D475),0)*AI$453</f>
        <v>0</v>
      </c>
      <c r="AJ475">
        <f>IF(AJ$455&gt;=$C475,MIN(-(SUM($F475:AI475)-$E475),($E475*(1-$D$457))*$D475),0)*AJ$453</f>
        <v>0</v>
      </c>
      <c r="AK475">
        <f>IF(AK$455&gt;=$C475,MIN(-(SUM($F475:AJ475)-$E475),($E475*(1-$D$457))*$D475),0)*AK$453</f>
        <v>0</v>
      </c>
      <c r="AL475">
        <f>IF(AL$455&gt;=$C475,MIN(-(SUM($F475:AK475)-$E475),($E475*(1-$D$457))*$D475),0)*AL$453</f>
        <v>0</v>
      </c>
      <c r="AM475">
        <f>IF(AM$455&gt;=$C475,MIN(-(SUM($F475:AL475)-$E475),($E475*(1-$D$457))*$D475),0)*AM$453</f>
        <v>0</v>
      </c>
      <c r="AN475">
        <f>IF(AN$455&gt;=$C475,MIN(-(SUM($F475:AM475)-$E475),($E475*(1-$D$457))*$D475),0)*AN$453</f>
        <v>0</v>
      </c>
    </row>
    <row r="476" spans="3:40" outlineLevel="4">
      <c r="C476">
        <v>17</v>
      </c>
      <c r="D476">
        <f>Inputs!$D$259</f>
        <v>0.1</v>
      </c>
      <c r="E476">
        <v>0</v>
      </c>
      <c r="F476" s="461">
        <f>E476*D457</f>
        <v>0</v>
      </c>
      <c r="G476">
        <f>IF(G$455&gt;=$C476,MIN(-(SUM(F476:$F476)-$E476),($E476*(1-$D$457))*$D476),0)*G$453</f>
        <v>0</v>
      </c>
      <c r="H476">
        <f>IF(H$455&gt;=$C476,MIN(-(SUM($F476:G476)-$E476),($E476*(1-$D$457))*$D476),0)*H$453</f>
        <v>0</v>
      </c>
      <c r="I476">
        <f>IF(I$455&gt;=$C476,MIN(-(SUM($F476:H476)-$E476),($E476*(1-$D$457))*$D476),0)*I$453</f>
        <v>0</v>
      </c>
      <c r="J476">
        <f>IF(J$455&gt;=$C476,MIN(-(SUM($F476:I476)-$E476),($E476*(1-$D$457))*$D476),0)*J$453</f>
        <v>0</v>
      </c>
      <c r="K476">
        <f>IF(K$455&gt;=$C476,MIN(-(SUM($F476:J476)-$E476),($E476*(1-$D$457))*$D476),0)*K$453</f>
        <v>0</v>
      </c>
      <c r="L476">
        <f>IF(L$455&gt;=$C476,MIN(-(SUM($F476:K476)-$E476),($E476*(1-$D$457))*$D476),0)*L$453</f>
        <v>0</v>
      </c>
      <c r="M476">
        <f>IF(M$455&gt;=$C476,MIN(-(SUM($F476:L476)-$E476),($E476*(1-$D$457))*$D476),0)*M$453</f>
        <v>0</v>
      </c>
      <c r="N476">
        <f>IF(N$455&gt;=$C476,MIN(-(SUM($F476:M476)-$E476),($E476*(1-$D$457))*$D476),0)*N$453</f>
        <v>0</v>
      </c>
      <c r="O476">
        <f>IF(O$455&gt;=$C476,MIN(-(SUM($F476:N476)-$E476),($E476*(1-$D$457))*$D476),0)*O$453</f>
        <v>0</v>
      </c>
      <c r="P476">
        <f>IF(P$455&gt;=$C476,MIN(-(SUM($F476:O476)-$E476),($E476*(1-$D$457))*$D476),0)*P$453</f>
        <v>0</v>
      </c>
      <c r="Q476">
        <f>IF(Q$455&gt;=$C476,MIN(-(SUM($F476:P476)-$E476),($E476*(1-$D$457))*$D476),0)*Q$453</f>
        <v>0</v>
      </c>
      <c r="R476">
        <f>IF(R$455&gt;=$C476,MIN(-(SUM($F476:Q476)-$E476),($E476*(1-$D$457))*$D476),0)*R$453</f>
        <v>0</v>
      </c>
      <c r="S476">
        <f>IF(S$455&gt;=$C476,MIN(-(SUM($F476:R476)-$E476),($E476*(1-$D$457))*$D476),0)*S$453</f>
        <v>0</v>
      </c>
      <c r="T476">
        <f>IF(T$455&gt;=$C476,MIN(-(SUM($F476:S476)-$E476),($E476*(1-$D$457))*$D476),0)*T$453</f>
        <v>0</v>
      </c>
      <c r="U476">
        <f>IF(U$455&gt;=$C476,MIN(-(SUM($F476:T476)-$E476),($E476*(1-$D$457))*$D476),0)*U$453</f>
        <v>0</v>
      </c>
      <c r="V476">
        <f>IF(V$455&gt;=$C476,MIN(-(SUM($F476:U476)-$E476),($E476*(1-$D$457))*$D476),0)*V$453</f>
        <v>0</v>
      </c>
      <c r="W476">
        <f>IF(W$455&gt;=$C476,MIN(-(SUM($F476:V476)-$E476),($E476*(1-$D$457))*$D476),0)*W$453</f>
        <v>0</v>
      </c>
      <c r="X476">
        <f>IF(X$455&gt;=$C476,MIN(-(SUM($F476:W476)-$E476),($E476*(1-$D$457))*$D476),0)*X$453</f>
        <v>0</v>
      </c>
      <c r="Y476">
        <f>IF(Y$455&gt;=$C476,MIN(-(SUM($F476:X476)-$E476),($E476*(1-$D$457))*$D476),0)*Y$453</f>
        <v>0</v>
      </c>
      <c r="Z476">
        <f>IF(Z$455&gt;=$C476,MIN(-(SUM($F476:Y476)-$E476),($E476*(1-$D$457))*$D476),0)*Z$453</f>
        <v>0</v>
      </c>
      <c r="AA476">
        <f>IF(AA$455&gt;=$C476,MIN(-(SUM($F476:Z476)-$E476),($E476*(1-$D$457))*$D476),0)*AA$453</f>
        <v>0</v>
      </c>
      <c r="AB476">
        <f>IF(AB$455&gt;=$C476,MIN(-(SUM($F476:AA476)-$E476),($E476*(1-$D$457))*$D476),0)*AB$453</f>
        <v>0</v>
      </c>
      <c r="AC476">
        <f>IF(AC$455&gt;=$C476,MIN(-(SUM($F476:AB476)-$E476),($E476*(1-$D$457))*$D476),0)*AC$453</f>
        <v>0</v>
      </c>
      <c r="AD476">
        <f>IF(AD$455&gt;=$C476,MIN(-(SUM($F476:AC476)-$E476),($E476*(1-$D$457))*$D476),0)*AD$453</f>
        <v>0</v>
      </c>
      <c r="AE476">
        <f>IF(AE$455&gt;=$C476,MIN(-(SUM($F476:AD476)-$E476),($E476*(1-$D$457))*$D476),0)*AE$453</f>
        <v>0</v>
      </c>
      <c r="AF476">
        <f>IF(AF$455&gt;=$C476,MIN(-(SUM($F476:AE476)-$E476),($E476*(1-$D$457))*$D476),0)*AF$453</f>
        <v>0</v>
      </c>
      <c r="AG476">
        <f>IF(AG$455&gt;=$C476,MIN(-(SUM($F476:AF476)-$E476),($E476*(1-$D$457))*$D476),0)*AG$453</f>
        <v>0</v>
      </c>
      <c r="AH476">
        <f>IF(AH$455&gt;=$C476,MIN(-(SUM($F476:AG476)-$E476),($E476*(1-$D$457))*$D476),0)*AH$453</f>
        <v>0</v>
      </c>
      <c r="AI476">
        <f>IF(AI$455&gt;=$C476,MIN(-(SUM($F476:AH476)-$E476),($E476*(1-$D$457))*$D476),0)*AI$453</f>
        <v>0</v>
      </c>
      <c r="AJ476">
        <f>IF(AJ$455&gt;=$C476,MIN(-(SUM($F476:AI476)-$E476),($E476*(1-$D$457))*$D476),0)*AJ$453</f>
        <v>0</v>
      </c>
      <c r="AK476">
        <f>IF(AK$455&gt;=$C476,MIN(-(SUM($F476:AJ476)-$E476),($E476*(1-$D$457))*$D476),0)*AK$453</f>
        <v>0</v>
      </c>
      <c r="AL476">
        <f>IF(AL$455&gt;=$C476,MIN(-(SUM($F476:AK476)-$E476),($E476*(1-$D$457))*$D476),0)*AL$453</f>
        <v>0</v>
      </c>
      <c r="AM476">
        <f>IF(AM$455&gt;=$C476,MIN(-(SUM($F476:AL476)-$E476),($E476*(1-$D$457))*$D476),0)*AM$453</f>
        <v>0</v>
      </c>
      <c r="AN476">
        <f>IF(AN$455&gt;=$C476,MIN(-(SUM($F476:AM476)-$E476),($E476*(1-$D$457))*$D476),0)*AN$453</f>
        <v>0</v>
      </c>
    </row>
    <row r="477" spans="3:40" outlineLevel="4">
      <c r="C477">
        <v>18</v>
      </c>
      <c r="D477">
        <f>Inputs!$D$259</f>
        <v>0.1</v>
      </c>
      <c r="E477">
        <v>0</v>
      </c>
      <c r="F477" s="461">
        <f>E477*D457</f>
        <v>0</v>
      </c>
      <c r="G477">
        <f>IF(G$455&gt;=$C477,MIN(-(SUM(F477:$F477)-$E477),($E477*(1-$D$457))*$D477),0)*G$453</f>
        <v>0</v>
      </c>
      <c r="H477">
        <f>IF(H$455&gt;=$C477,MIN(-(SUM($F477:G477)-$E477),($E477*(1-$D$457))*$D477),0)*H$453</f>
        <v>0</v>
      </c>
      <c r="I477">
        <f>IF(I$455&gt;=$C477,MIN(-(SUM($F477:H477)-$E477),($E477*(1-$D$457))*$D477),0)*I$453</f>
        <v>0</v>
      </c>
      <c r="J477">
        <f>IF(J$455&gt;=$C477,MIN(-(SUM($F477:I477)-$E477),($E477*(1-$D$457))*$D477),0)*J$453</f>
        <v>0</v>
      </c>
      <c r="K477">
        <f>IF(K$455&gt;=$C477,MIN(-(SUM($F477:J477)-$E477),($E477*(1-$D$457))*$D477),0)*K$453</f>
        <v>0</v>
      </c>
      <c r="L477">
        <f>IF(L$455&gt;=$C477,MIN(-(SUM($F477:K477)-$E477),($E477*(1-$D$457))*$D477),0)*L$453</f>
        <v>0</v>
      </c>
      <c r="M477">
        <f>IF(M$455&gt;=$C477,MIN(-(SUM($F477:L477)-$E477),($E477*(1-$D$457))*$D477),0)*M$453</f>
        <v>0</v>
      </c>
      <c r="N477">
        <f>IF(N$455&gt;=$C477,MIN(-(SUM($F477:M477)-$E477),($E477*(1-$D$457))*$D477),0)*N$453</f>
        <v>0</v>
      </c>
      <c r="O477">
        <f>IF(O$455&gt;=$C477,MIN(-(SUM($F477:N477)-$E477),($E477*(1-$D$457))*$D477),0)*O$453</f>
        <v>0</v>
      </c>
      <c r="P477">
        <f>IF(P$455&gt;=$C477,MIN(-(SUM($F477:O477)-$E477),($E477*(1-$D$457))*$D477),0)*P$453</f>
        <v>0</v>
      </c>
      <c r="Q477">
        <f>IF(Q$455&gt;=$C477,MIN(-(SUM($F477:P477)-$E477),($E477*(1-$D$457))*$D477),0)*Q$453</f>
        <v>0</v>
      </c>
      <c r="R477">
        <f>IF(R$455&gt;=$C477,MIN(-(SUM($F477:Q477)-$E477),($E477*(1-$D$457))*$D477),0)*R$453</f>
        <v>0</v>
      </c>
      <c r="S477">
        <f>IF(S$455&gt;=$C477,MIN(-(SUM($F477:R477)-$E477),($E477*(1-$D$457))*$D477),0)*S$453</f>
        <v>0</v>
      </c>
      <c r="T477">
        <f>IF(T$455&gt;=$C477,MIN(-(SUM($F477:S477)-$E477),($E477*(1-$D$457))*$D477),0)*T$453</f>
        <v>0</v>
      </c>
      <c r="U477">
        <f>IF(U$455&gt;=$C477,MIN(-(SUM($F477:T477)-$E477),($E477*(1-$D$457))*$D477),0)*U$453</f>
        <v>0</v>
      </c>
      <c r="V477">
        <f>IF(V$455&gt;=$C477,MIN(-(SUM($F477:U477)-$E477),($E477*(1-$D$457))*$D477),0)*V$453</f>
        <v>0</v>
      </c>
      <c r="W477">
        <f>IF(W$455&gt;=$C477,MIN(-(SUM($F477:V477)-$E477),($E477*(1-$D$457))*$D477),0)*W$453</f>
        <v>0</v>
      </c>
      <c r="X477">
        <f>IF(X$455&gt;=$C477,MIN(-(SUM($F477:W477)-$E477),($E477*(1-$D$457))*$D477),0)*X$453</f>
        <v>0</v>
      </c>
      <c r="Y477">
        <f>IF(Y$455&gt;=$C477,MIN(-(SUM($F477:X477)-$E477),($E477*(1-$D$457))*$D477),0)*Y$453</f>
        <v>0</v>
      </c>
      <c r="Z477">
        <f>IF(Z$455&gt;=$C477,MIN(-(SUM($F477:Y477)-$E477),($E477*(1-$D$457))*$D477),0)*Z$453</f>
        <v>0</v>
      </c>
      <c r="AA477">
        <f>IF(AA$455&gt;=$C477,MIN(-(SUM($F477:Z477)-$E477),($E477*(1-$D$457))*$D477),0)*AA$453</f>
        <v>0</v>
      </c>
      <c r="AB477">
        <f>IF(AB$455&gt;=$C477,MIN(-(SUM($F477:AA477)-$E477),($E477*(1-$D$457))*$D477),0)*AB$453</f>
        <v>0</v>
      </c>
      <c r="AC477">
        <f>IF(AC$455&gt;=$C477,MIN(-(SUM($F477:AB477)-$E477),($E477*(1-$D$457))*$D477),0)*AC$453</f>
        <v>0</v>
      </c>
      <c r="AD477">
        <f>IF(AD$455&gt;=$C477,MIN(-(SUM($F477:AC477)-$E477),($E477*(1-$D$457))*$D477),0)*AD$453</f>
        <v>0</v>
      </c>
      <c r="AE477">
        <f>IF(AE$455&gt;=$C477,MIN(-(SUM($F477:AD477)-$E477),($E477*(1-$D$457))*$D477),0)*AE$453</f>
        <v>0</v>
      </c>
      <c r="AF477">
        <f>IF(AF$455&gt;=$C477,MIN(-(SUM($F477:AE477)-$E477),($E477*(1-$D$457))*$D477),0)*AF$453</f>
        <v>0</v>
      </c>
      <c r="AG477">
        <f>IF(AG$455&gt;=$C477,MIN(-(SUM($F477:AF477)-$E477),($E477*(1-$D$457))*$D477),0)*AG$453</f>
        <v>0</v>
      </c>
      <c r="AH477">
        <f>IF(AH$455&gt;=$C477,MIN(-(SUM($F477:AG477)-$E477),($E477*(1-$D$457))*$D477),0)*AH$453</f>
        <v>0</v>
      </c>
      <c r="AI477">
        <f>IF(AI$455&gt;=$C477,MIN(-(SUM($F477:AH477)-$E477),($E477*(1-$D$457))*$D477),0)*AI$453</f>
        <v>0</v>
      </c>
      <c r="AJ477">
        <f>IF(AJ$455&gt;=$C477,MIN(-(SUM($F477:AI477)-$E477),($E477*(1-$D$457))*$D477),0)*AJ$453</f>
        <v>0</v>
      </c>
      <c r="AK477">
        <f>IF(AK$455&gt;=$C477,MIN(-(SUM($F477:AJ477)-$E477),($E477*(1-$D$457))*$D477),0)*AK$453</f>
        <v>0</v>
      </c>
      <c r="AL477">
        <f>IF(AL$455&gt;=$C477,MIN(-(SUM($F477:AK477)-$E477),($E477*(1-$D$457))*$D477),0)*AL$453</f>
        <v>0</v>
      </c>
      <c r="AM477">
        <f>IF(AM$455&gt;=$C477,MIN(-(SUM($F477:AL477)-$E477),($E477*(1-$D$457))*$D477),0)*AM$453</f>
        <v>0</v>
      </c>
      <c r="AN477">
        <f>IF(AN$455&gt;=$C477,MIN(-(SUM($F477:AM477)-$E477),($E477*(1-$D$457))*$D477),0)*AN$453</f>
        <v>0</v>
      </c>
    </row>
    <row r="478" spans="3:40" outlineLevel="4">
      <c r="C478">
        <v>19</v>
      </c>
      <c r="D478">
        <f>Inputs!$D$259</f>
        <v>0.1</v>
      </c>
      <c r="E478">
        <v>0</v>
      </c>
      <c r="F478" s="461">
        <f>E478*D457</f>
        <v>0</v>
      </c>
      <c r="G478">
        <f>IF(G$455&gt;=$C478,MIN(-(SUM(F478:$F478)-$E478),($E478*(1-$D$457))*$D478),0)*G$453</f>
        <v>0</v>
      </c>
      <c r="H478">
        <f>IF(H$455&gt;=$C478,MIN(-(SUM($F478:G478)-$E478),($E478*(1-$D$457))*$D478),0)*H$453</f>
        <v>0</v>
      </c>
      <c r="I478">
        <f>IF(I$455&gt;=$C478,MIN(-(SUM($F478:H478)-$E478),($E478*(1-$D$457))*$D478),0)*I$453</f>
        <v>0</v>
      </c>
      <c r="J478">
        <f>IF(J$455&gt;=$C478,MIN(-(SUM($F478:I478)-$E478),($E478*(1-$D$457))*$D478),0)*J$453</f>
        <v>0</v>
      </c>
      <c r="K478">
        <f>IF(K$455&gt;=$C478,MIN(-(SUM($F478:J478)-$E478),($E478*(1-$D$457))*$D478),0)*K$453</f>
        <v>0</v>
      </c>
      <c r="L478">
        <f>IF(L$455&gt;=$C478,MIN(-(SUM($F478:K478)-$E478),($E478*(1-$D$457))*$D478),0)*L$453</f>
        <v>0</v>
      </c>
      <c r="M478">
        <f>IF(M$455&gt;=$C478,MIN(-(SUM($F478:L478)-$E478),($E478*(1-$D$457))*$D478),0)*M$453</f>
        <v>0</v>
      </c>
      <c r="N478">
        <f>IF(N$455&gt;=$C478,MIN(-(SUM($F478:M478)-$E478),($E478*(1-$D$457))*$D478),0)*N$453</f>
        <v>0</v>
      </c>
      <c r="O478">
        <f>IF(O$455&gt;=$C478,MIN(-(SUM($F478:N478)-$E478),($E478*(1-$D$457))*$D478),0)*O$453</f>
        <v>0</v>
      </c>
      <c r="P478">
        <f>IF(P$455&gt;=$C478,MIN(-(SUM($F478:O478)-$E478),($E478*(1-$D$457))*$D478),0)*P$453</f>
        <v>0</v>
      </c>
      <c r="Q478">
        <f>IF(Q$455&gt;=$C478,MIN(-(SUM($F478:P478)-$E478),($E478*(1-$D$457))*$D478),0)*Q$453</f>
        <v>0</v>
      </c>
      <c r="R478">
        <f>IF(R$455&gt;=$C478,MIN(-(SUM($F478:Q478)-$E478),($E478*(1-$D$457))*$D478),0)*R$453</f>
        <v>0</v>
      </c>
      <c r="S478">
        <f>IF(S$455&gt;=$C478,MIN(-(SUM($F478:R478)-$E478),($E478*(1-$D$457))*$D478),0)*S$453</f>
        <v>0</v>
      </c>
      <c r="T478">
        <f>IF(T$455&gt;=$C478,MIN(-(SUM($F478:S478)-$E478),($E478*(1-$D$457))*$D478),0)*T$453</f>
        <v>0</v>
      </c>
      <c r="U478">
        <f>IF(U$455&gt;=$C478,MIN(-(SUM($F478:T478)-$E478),($E478*(1-$D$457))*$D478),0)*U$453</f>
        <v>0</v>
      </c>
      <c r="V478">
        <f>IF(V$455&gt;=$C478,MIN(-(SUM($F478:U478)-$E478),($E478*(1-$D$457))*$D478),0)*V$453</f>
        <v>0</v>
      </c>
      <c r="W478">
        <f>IF(W$455&gt;=$C478,MIN(-(SUM($F478:V478)-$E478),($E478*(1-$D$457))*$D478),0)*W$453</f>
        <v>0</v>
      </c>
      <c r="X478">
        <f>IF(X$455&gt;=$C478,MIN(-(SUM($F478:W478)-$E478),($E478*(1-$D$457))*$D478),0)*X$453</f>
        <v>0</v>
      </c>
      <c r="Y478">
        <f>IF(Y$455&gt;=$C478,MIN(-(SUM($F478:X478)-$E478),($E478*(1-$D$457))*$D478),0)*Y$453</f>
        <v>0</v>
      </c>
      <c r="Z478">
        <f>IF(Z$455&gt;=$C478,MIN(-(SUM($F478:Y478)-$E478),($E478*(1-$D$457))*$D478),0)*Z$453</f>
        <v>0</v>
      </c>
      <c r="AA478">
        <f>IF(AA$455&gt;=$C478,MIN(-(SUM($F478:Z478)-$E478),($E478*(1-$D$457))*$D478),0)*AA$453</f>
        <v>0</v>
      </c>
      <c r="AB478">
        <f>IF(AB$455&gt;=$C478,MIN(-(SUM($F478:AA478)-$E478),($E478*(1-$D$457))*$D478),0)*AB$453</f>
        <v>0</v>
      </c>
      <c r="AC478">
        <f>IF(AC$455&gt;=$C478,MIN(-(SUM($F478:AB478)-$E478),($E478*(1-$D$457))*$D478),0)*AC$453</f>
        <v>0</v>
      </c>
      <c r="AD478">
        <f>IF(AD$455&gt;=$C478,MIN(-(SUM($F478:AC478)-$E478),($E478*(1-$D$457))*$D478),0)*AD$453</f>
        <v>0</v>
      </c>
      <c r="AE478">
        <f>IF(AE$455&gt;=$C478,MIN(-(SUM($F478:AD478)-$E478),($E478*(1-$D$457))*$D478),0)*AE$453</f>
        <v>0</v>
      </c>
      <c r="AF478">
        <f>IF(AF$455&gt;=$C478,MIN(-(SUM($F478:AE478)-$E478),($E478*(1-$D$457))*$D478),0)*AF$453</f>
        <v>0</v>
      </c>
      <c r="AG478">
        <f>IF(AG$455&gt;=$C478,MIN(-(SUM($F478:AF478)-$E478),($E478*(1-$D$457))*$D478),0)*AG$453</f>
        <v>0</v>
      </c>
      <c r="AH478">
        <f>IF(AH$455&gt;=$C478,MIN(-(SUM($F478:AG478)-$E478),($E478*(1-$D$457))*$D478),0)*AH$453</f>
        <v>0</v>
      </c>
      <c r="AI478">
        <f>IF(AI$455&gt;=$C478,MIN(-(SUM($F478:AH478)-$E478),($E478*(1-$D$457))*$D478),0)*AI$453</f>
        <v>0</v>
      </c>
      <c r="AJ478">
        <f>IF(AJ$455&gt;=$C478,MIN(-(SUM($F478:AI478)-$E478),($E478*(1-$D$457))*$D478),0)*AJ$453</f>
        <v>0</v>
      </c>
      <c r="AK478">
        <f>IF(AK$455&gt;=$C478,MIN(-(SUM($F478:AJ478)-$E478),($E478*(1-$D$457))*$D478),0)*AK$453</f>
        <v>0</v>
      </c>
      <c r="AL478">
        <f>IF(AL$455&gt;=$C478,MIN(-(SUM($F478:AK478)-$E478),($E478*(1-$D$457))*$D478),0)*AL$453</f>
        <v>0</v>
      </c>
      <c r="AM478">
        <f>IF(AM$455&gt;=$C478,MIN(-(SUM($F478:AL478)-$E478),($E478*(1-$D$457))*$D478),0)*AM$453</f>
        <v>0</v>
      </c>
      <c r="AN478">
        <f>IF(AN$455&gt;=$C478,MIN(-(SUM($F478:AM478)-$E478),($E478*(1-$D$457))*$D478),0)*AN$453</f>
        <v>0</v>
      </c>
    </row>
    <row r="479" spans="3:40" outlineLevel="4">
      <c r="C479">
        <v>20</v>
      </c>
      <c r="D479">
        <f>Inputs!$D$259</f>
        <v>0.1</v>
      </c>
      <c r="E479">
        <v>0</v>
      </c>
      <c r="F479" s="461">
        <f>E479*D457</f>
        <v>0</v>
      </c>
      <c r="G479">
        <f>IF(G$455&gt;=$C479,MIN(-(SUM(F479:$F479)-$E479),($E479*(1-$D$457))*$D479),0)*G$453</f>
        <v>0</v>
      </c>
      <c r="H479">
        <f>IF(H$455&gt;=$C479,MIN(-(SUM($F479:G479)-$E479),($E479*(1-$D$457))*$D479),0)*H$453</f>
        <v>0</v>
      </c>
      <c r="I479">
        <f>IF(I$455&gt;=$C479,MIN(-(SUM($F479:H479)-$E479),($E479*(1-$D$457))*$D479),0)*I$453</f>
        <v>0</v>
      </c>
      <c r="J479">
        <f>IF(J$455&gt;=$C479,MIN(-(SUM($F479:I479)-$E479),($E479*(1-$D$457))*$D479),0)*J$453</f>
        <v>0</v>
      </c>
      <c r="K479">
        <f>IF(K$455&gt;=$C479,MIN(-(SUM($F479:J479)-$E479),($E479*(1-$D$457))*$D479),0)*K$453</f>
        <v>0</v>
      </c>
      <c r="L479">
        <f>IF(L$455&gt;=$C479,MIN(-(SUM($F479:K479)-$E479),($E479*(1-$D$457))*$D479),0)*L$453</f>
        <v>0</v>
      </c>
      <c r="M479">
        <f>IF(M$455&gt;=$C479,MIN(-(SUM($F479:L479)-$E479),($E479*(1-$D$457))*$D479),0)*M$453</f>
        <v>0</v>
      </c>
      <c r="N479">
        <f>IF(N$455&gt;=$C479,MIN(-(SUM($F479:M479)-$E479),($E479*(1-$D$457))*$D479),0)*N$453</f>
        <v>0</v>
      </c>
      <c r="O479">
        <f>IF(O$455&gt;=$C479,MIN(-(SUM($F479:N479)-$E479),($E479*(1-$D$457))*$D479),0)*O$453</f>
        <v>0</v>
      </c>
      <c r="P479">
        <f>IF(P$455&gt;=$C479,MIN(-(SUM($F479:O479)-$E479),($E479*(1-$D$457))*$D479),0)*P$453</f>
        <v>0</v>
      </c>
      <c r="Q479">
        <f>IF(Q$455&gt;=$C479,MIN(-(SUM($F479:P479)-$E479),($E479*(1-$D$457))*$D479),0)*Q$453</f>
        <v>0</v>
      </c>
      <c r="R479">
        <f>IF(R$455&gt;=$C479,MIN(-(SUM($F479:Q479)-$E479),($E479*(1-$D$457))*$D479),0)*R$453</f>
        <v>0</v>
      </c>
      <c r="S479">
        <f>IF(S$455&gt;=$C479,MIN(-(SUM($F479:R479)-$E479),($E479*(1-$D$457))*$D479),0)*S$453</f>
        <v>0</v>
      </c>
      <c r="T479">
        <f>IF(T$455&gt;=$C479,MIN(-(SUM($F479:S479)-$E479),($E479*(1-$D$457))*$D479),0)*T$453</f>
        <v>0</v>
      </c>
      <c r="U479">
        <f>IF(U$455&gt;=$C479,MIN(-(SUM($F479:T479)-$E479),($E479*(1-$D$457))*$D479),0)*U$453</f>
        <v>0</v>
      </c>
      <c r="V479">
        <f>IF(V$455&gt;=$C479,MIN(-(SUM($F479:U479)-$E479),($E479*(1-$D$457))*$D479),0)*V$453</f>
        <v>0</v>
      </c>
      <c r="W479">
        <f>IF(W$455&gt;=$C479,MIN(-(SUM($F479:V479)-$E479),($E479*(1-$D$457))*$D479),0)*W$453</f>
        <v>0</v>
      </c>
      <c r="X479">
        <f>IF(X$455&gt;=$C479,MIN(-(SUM($F479:W479)-$E479),($E479*(1-$D$457))*$D479),0)*X$453</f>
        <v>0</v>
      </c>
      <c r="Y479">
        <f>IF(Y$455&gt;=$C479,MIN(-(SUM($F479:X479)-$E479),($E479*(1-$D$457))*$D479),0)*Y$453</f>
        <v>0</v>
      </c>
      <c r="Z479">
        <f>IF(Z$455&gt;=$C479,MIN(-(SUM($F479:Y479)-$E479),($E479*(1-$D$457))*$D479),0)*Z$453</f>
        <v>0</v>
      </c>
      <c r="AA479">
        <f>IF(AA$455&gt;=$C479,MIN(-(SUM($F479:Z479)-$E479),($E479*(1-$D$457))*$D479),0)*AA$453</f>
        <v>0</v>
      </c>
      <c r="AB479">
        <f>IF(AB$455&gt;=$C479,MIN(-(SUM($F479:AA479)-$E479),($E479*(1-$D$457))*$D479),0)*AB$453</f>
        <v>0</v>
      </c>
      <c r="AC479">
        <f>IF(AC$455&gt;=$C479,MIN(-(SUM($F479:AB479)-$E479),($E479*(1-$D$457))*$D479),0)*AC$453</f>
        <v>0</v>
      </c>
      <c r="AD479">
        <f>IF(AD$455&gt;=$C479,MIN(-(SUM($F479:AC479)-$E479),($E479*(1-$D$457))*$D479),0)*AD$453</f>
        <v>0</v>
      </c>
      <c r="AE479">
        <f>IF(AE$455&gt;=$C479,MIN(-(SUM($F479:AD479)-$E479),($E479*(1-$D$457))*$D479),0)*AE$453</f>
        <v>0</v>
      </c>
      <c r="AF479">
        <f>IF(AF$455&gt;=$C479,MIN(-(SUM($F479:AE479)-$E479),($E479*(1-$D$457))*$D479),0)*AF$453</f>
        <v>0</v>
      </c>
      <c r="AG479">
        <f>IF(AG$455&gt;=$C479,MIN(-(SUM($F479:AF479)-$E479),($E479*(1-$D$457))*$D479),0)*AG$453</f>
        <v>0</v>
      </c>
      <c r="AH479">
        <f>IF(AH$455&gt;=$C479,MIN(-(SUM($F479:AG479)-$E479),($E479*(1-$D$457))*$D479),0)*AH$453</f>
        <v>0</v>
      </c>
      <c r="AI479">
        <f>IF(AI$455&gt;=$C479,MIN(-(SUM($F479:AH479)-$E479),($E479*(1-$D$457))*$D479),0)*AI$453</f>
        <v>0</v>
      </c>
      <c r="AJ479">
        <f>IF(AJ$455&gt;=$C479,MIN(-(SUM($F479:AI479)-$E479),($E479*(1-$D$457))*$D479),0)*AJ$453</f>
        <v>0</v>
      </c>
      <c r="AK479">
        <f>IF(AK$455&gt;=$C479,MIN(-(SUM($F479:AJ479)-$E479),($E479*(1-$D$457))*$D479),0)*AK$453</f>
        <v>0</v>
      </c>
      <c r="AL479">
        <f>IF(AL$455&gt;=$C479,MIN(-(SUM($F479:AK479)-$E479),($E479*(1-$D$457))*$D479),0)*AL$453</f>
        <v>0</v>
      </c>
      <c r="AM479">
        <f>IF(AM$455&gt;=$C479,MIN(-(SUM($F479:AL479)-$E479),($E479*(1-$D$457))*$D479),0)*AM$453</f>
        <v>0</v>
      </c>
      <c r="AN479">
        <f>IF(AN$455&gt;=$C479,MIN(-(SUM($F479:AM479)-$E479),($E479*(1-$D$457))*$D479),0)*AN$453</f>
        <v>0</v>
      </c>
    </row>
    <row r="480" spans="3:40" outlineLevel="4">
      <c r="C480">
        <v>21</v>
      </c>
      <c r="D480">
        <f>Inputs!$D$259</f>
        <v>0.1</v>
      </c>
      <c r="E480">
        <v>30</v>
      </c>
      <c r="F480" s="461">
        <f>E480*D457</f>
        <v>0</v>
      </c>
      <c r="G480">
        <f>IF(G$455&gt;=$C480,MIN(-(SUM(F480:$F480)-$E480),($E480*(1-$D$457))*$D480),0)*G$453</f>
        <v>0</v>
      </c>
      <c r="H480">
        <f>IF(H$455&gt;=$C480,MIN(-(SUM($F480:G480)-$E480),($E480*(1-$D$457))*$D480),0)*H$453</f>
        <v>0</v>
      </c>
      <c r="I480">
        <f>IF(I$455&gt;=$C480,MIN(-(SUM($F480:H480)-$E480),($E480*(1-$D$457))*$D480),0)*I$453</f>
        <v>0</v>
      </c>
      <c r="J480">
        <f>IF(J$455&gt;=$C480,MIN(-(SUM($F480:I480)-$E480),($E480*(1-$D$457))*$D480),0)*J$453</f>
        <v>0</v>
      </c>
      <c r="K480">
        <f>IF(K$455&gt;=$C480,MIN(-(SUM($F480:J480)-$E480),($E480*(1-$D$457))*$D480),0)*K$453</f>
        <v>0</v>
      </c>
      <c r="L480">
        <f>IF(L$455&gt;=$C480,MIN(-(SUM($F480:K480)-$E480),($E480*(1-$D$457))*$D480),0)*L$453</f>
        <v>0</v>
      </c>
      <c r="M480">
        <f>IF(M$455&gt;=$C480,MIN(-(SUM($F480:L480)-$E480),($E480*(1-$D$457))*$D480),0)*M$453</f>
        <v>0</v>
      </c>
      <c r="N480">
        <f>IF(N$455&gt;=$C480,MIN(-(SUM($F480:M480)-$E480),($E480*(1-$D$457))*$D480),0)*N$453</f>
        <v>0</v>
      </c>
      <c r="O480">
        <f>IF(O$455&gt;=$C480,MIN(-(SUM($F480:N480)-$E480),($E480*(1-$D$457))*$D480),0)*O$453</f>
        <v>0</v>
      </c>
      <c r="P480">
        <f>IF(P$455&gt;=$C480,MIN(-(SUM($F480:O480)-$E480),($E480*(1-$D$457))*$D480),0)*P$453</f>
        <v>0</v>
      </c>
      <c r="Q480">
        <f>IF(Q$455&gt;=$C480,MIN(-(SUM($F480:P480)-$E480),($E480*(1-$D$457))*$D480),0)*Q$453</f>
        <v>0</v>
      </c>
      <c r="R480">
        <f>IF(R$455&gt;=$C480,MIN(-(SUM($F480:Q480)-$E480),($E480*(1-$D$457))*$D480),0)*R$453</f>
        <v>0</v>
      </c>
      <c r="S480">
        <f>IF(S$455&gt;=$C480,MIN(-(SUM($F480:R480)-$E480),($E480*(1-$D$457))*$D480),0)*S$453</f>
        <v>0</v>
      </c>
      <c r="T480">
        <f>IF(T$455&gt;=$C480,MIN(-(SUM($F480:S480)-$E480),($E480*(1-$D$457))*$D480),0)*T$453</f>
        <v>0</v>
      </c>
      <c r="U480">
        <f>IF(U$455&gt;=$C480,MIN(-(SUM($F480:T480)-$E480),($E480*(1-$D$457))*$D480),0)*U$453</f>
        <v>0</v>
      </c>
      <c r="V480">
        <f>IF(V$455&gt;=$C480,MIN(-(SUM($F480:U480)-$E480),($E480*(1-$D$457))*$D480),0)*V$453</f>
        <v>0</v>
      </c>
      <c r="W480">
        <f>IF(W$455&gt;=$C480,MIN(-(SUM($F480:V480)-$E480),($E480*(1-$D$457))*$D480),0)*W$453</f>
        <v>0</v>
      </c>
      <c r="X480">
        <f>IF(X$455&gt;=$C480,MIN(-(SUM($F480:W480)-$E480),($E480*(1-$D$457))*$D480),0)*X$453</f>
        <v>0</v>
      </c>
      <c r="Y480">
        <f>IF(Y$455&gt;=$C480,MIN(-(SUM($F480:X480)-$E480),($E480*(1-$D$457))*$D480),0)*Y$453</f>
        <v>0</v>
      </c>
      <c r="Z480">
        <f>IF(Z$455&gt;=$C480,MIN(-(SUM($F480:Y480)-$E480),($E480*(1-$D$457))*$D480),0)*Z$453</f>
        <v>0</v>
      </c>
      <c r="AA480">
        <f>IF(AA$455&gt;=$C480,MIN(-(SUM($F480:Z480)-$E480),($E480*(1-$D$457))*$D480),0)*AA$453</f>
        <v>3</v>
      </c>
      <c r="AB480">
        <f>IF(AB$455&gt;=$C480,MIN(-(SUM($F480:AA480)-$E480),($E480*(1-$D$457))*$D480),0)*AB$453</f>
        <v>3</v>
      </c>
      <c r="AC480">
        <f>IF(AC$455&gt;=$C480,MIN(-(SUM($F480:AB480)-$E480),($E480*(1-$D$457))*$D480),0)*AC$453</f>
        <v>3</v>
      </c>
      <c r="AD480">
        <f>IF(AD$455&gt;=$C480,MIN(-(SUM($F480:AC480)-$E480),($E480*(1-$D$457))*$D480),0)*AD$453</f>
        <v>3</v>
      </c>
      <c r="AE480">
        <f>IF(AE$455&gt;=$C480,MIN(-(SUM($F480:AD480)-$E480),($E480*(1-$D$457))*$D480),0)*AE$453</f>
        <v>3</v>
      </c>
      <c r="AF480">
        <f>IF(AF$455&gt;=$C480,MIN(-(SUM($F480:AE480)-$E480),($E480*(1-$D$457))*$D480),0)*AF$453</f>
        <v>3</v>
      </c>
      <c r="AG480">
        <f>IF(AG$455&gt;=$C480,MIN(-(SUM($F480:AF480)-$E480),($E480*(1-$D$457))*$D480),0)*AG$453</f>
        <v>3</v>
      </c>
      <c r="AH480">
        <f>IF(AH$455&gt;=$C480,MIN(-(SUM($F480:AG480)-$E480),($E480*(1-$D$457))*$D480),0)*AH$453</f>
        <v>3</v>
      </c>
      <c r="AI480">
        <f>IF(AI$455&gt;=$C480,MIN(-(SUM($F480:AH480)-$E480),($E480*(1-$D$457))*$D480),0)*AI$453</f>
        <v>3</v>
      </c>
      <c r="AJ480">
        <f>IF(AJ$455&gt;=$C480,MIN(-(SUM($F480:AI480)-$E480),($E480*(1-$D$457))*$D480),0)*AJ$453</f>
        <v>3</v>
      </c>
      <c r="AK480">
        <f>IF(AK$455&gt;=$C480,MIN(-(SUM($F480:AJ480)-$E480),($E480*(1-$D$457))*$D480),0)*AK$453</f>
        <v>0</v>
      </c>
      <c r="AL480">
        <f>IF(AL$455&gt;=$C480,MIN(-(SUM($F480:AK480)-$E480),($E480*(1-$D$457))*$D480),0)*AL$453</f>
        <v>0</v>
      </c>
      <c r="AM480">
        <f>IF(AM$455&gt;=$C480,MIN(-(SUM($F480:AL480)-$E480),($E480*(1-$D$457))*$D480),0)*AM$453</f>
        <v>0</v>
      </c>
      <c r="AN480">
        <f>IF(AN$455&gt;=$C480,MIN(-(SUM($F480:AM480)-$E480),($E480*(1-$D$457))*$D480),0)*AN$453</f>
        <v>0</v>
      </c>
    </row>
    <row r="481" spans="3:160" outlineLevel="4">
      <c r="C481">
        <v>22</v>
      </c>
      <c r="D481">
        <f>Inputs!$D$259</f>
        <v>0.1</v>
      </c>
      <c r="E481">
        <v>0</v>
      </c>
      <c r="F481" s="461">
        <f>E481*D457</f>
        <v>0</v>
      </c>
      <c r="G481">
        <f>IF(G$455&gt;=$C481,MIN(-(SUM(F481:$F481)-$E481),($E481*(1-$D$457))*$D481),0)*G$453</f>
        <v>0</v>
      </c>
      <c r="H481">
        <f>IF(H$455&gt;=$C481,MIN(-(SUM($F481:G481)-$E481),($E481*(1-$D$457))*$D481),0)*H$453</f>
        <v>0</v>
      </c>
      <c r="I481">
        <f>IF(I$455&gt;=$C481,MIN(-(SUM($F481:H481)-$E481),($E481*(1-$D$457))*$D481),0)*I$453</f>
        <v>0</v>
      </c>
      <c r="J481">
        <f>IF(J$455&gt;=$C481,MIN(-(SUM($F481:I481)-$E481),($E481*(1-$D$457))*$D481),0)*J$453</f>
        <v>0</v>
      </c>
      <c r="K481">
        <f>IF(K$455&gt;=$C481,MIN(-(SUM($F481:J481)-$E481),($E481*(1-$D$457))*$D481),0)*K$453</f>
        <v>0</v>
      </c>
      <c r="L481">
        <f>IF(L$455&gt;=$C481,MIN(-(SUM($F481:K481)-$E481),($E481*(1-$D$457))*$D481),0)*L$453</f>
        <v>0</v>
      </c>
      <c r="M481">
        <f>IF(M$455&gt;=$C481,MIN(-(SUM($F481:L481)-$E481),($E481*(1-$D$457))*$D481),0)*M$453</f>
        <v>0</v>
      </c>
      <c r="N481">
        <f>IF(N$455&gt;=$C481,MIN(-(SUM($F481:M481)-$E481),($E481*(1-$D$457))*$D481),0)*N$453</f>
        <v>0</v>
      </c>
      <c r="O481">
        <f>IF(O$455&gt;=$C481,MIN(-(SUM($F481:N481)-$E481),($E481*(1-$D$457))*$D481),0)*O$453</f>
        <v>0</v>
      </c>
      <c r="P481">
        <f>IF(P$455&gt;=$C481,MIN(-(SUM($F481:O481)-$E481),($E481*(1-$D$457))*$D481),0)*P$453</f>
        <v>0</v>
      </c>
      <c r="Q481">
        <f>IF(Q$455&gt;=$C481,MIN(-(SUM($F481:P481)-$E481),($E481*(1-$D$457))*$D481),0)*Q$453</f>
        <v>0</v>
      </c>
      <c r="R481">
        <f>IF(R$455&gt;=$C481,MIN(-(SUM($F481:Q481)-$E481),($E481*(1-$D$457))*$D481),0)*R$453</f>
        <v>0</v>
      </c>
      <c r="S481">
        <f>IF(S$455&gt;=$C481,MIN(-(SUM($F481:R481)-$E481),($E481*(1-$D$457))*$D481),0)*S$453</f>
        <v>0</v>
      </c>
      <c r="T481">
        <f>IF(T$455&gt;=$C481,MIN(-(SUM($F481:S481)-$E481),($E481*(1-$D$457))*$D481),0)*T$453</f>
        <v>0</v>
      </c>
      <c r="U481">
        <f>IF(U$455&gt;=$C481,MIN(-(SUM($F481:T481)-$E481),($E481*(1-$D$457))*$D481),0)*U$453</f>
        <v>0</v>
      </c>
      <c r="V481">
        <f>IF(V$455&gt;=$C481,MIN(-(SUM($F481:U481)-$E481),($E481*(1-$D$457))*$D481),0)*V$453</f>
        <v>0</v>
      </c>
      <c r="W481">
        <f>IF(W$455&gt;=$C481,MIN(-(SUM($F481:V481)-$E481),($E481*(1-$D$457))*$D481),0)*W$453</f>
        <v>0</v>
      </c>
      <c r="X481">
        <f>IF(X$455&gt;=$C481,MIN(-(SUM($F481:W481)-$E481),($E481*(1-$D$457))*$D481),0)*X$453</f>
        <v>0</v>
      </c>
      <c r="Y481">
        <f>IF(Y$455&gt;=$C481,MIN(-(SUM($F481:X481)-$E481),($E481*(1-$D$457))*$D481),0)*Y$453</f>
        <v>0</v>
      </c>
      <c r="Z481">
        <f>IF(Z$455&gt;=$C481,MIN(-(SUM($F481:Y481)-$E481),($E481*(1-$D$457))*$D481),0)*Z$453</f>
        <v>0</v>
      </c>
      <c r="AA481">
        <f>IF(AA$455&gt;=$C481,MIN(-(SUM($F481:Z481)-$E481),($E481*(1-$D$457))*$D481),0)*AA$453</f>
        <v>0</v>
      </c>
      <c r="AB481">
        <f>IF(AB$455&gt;=$C481,MIN(-(SUM($F481:AA481)-$E481),($E481*(1-$D$457))*$D481),0)*AB$453</f>
        <v>0</v>
      </c>
      <c r="AC481">
        <f>IF(AC$455&gt;=$C481,MIN(-(SUM($F481:AB481)-$E481),($E481*(1-$D$457))*$D481),0)*AC$453</f>
        <v>0</v>
      </c>
      <c r="AD481">
        <f>IF(AD$455&gt;=$C481,MIN(-(SUM($F481:AC481)-$E481),($E481*(1-$D$457))*$D481),0)*AD$453</f>
        <v>0</v>
      </c>
      <c r="AE481">
        <f>IF(AE$455&gt;=$C481,MIN(-(SUM($F481:AD481)-$E481),($E481*(1-$D$457))*$D481),0)*AE$453</f>
        <v>0</v>
      </c>
      <c r="AF481">
        <f>IF(AF$455&gt;=$C481,MIN(-(SUM($F481:AE481)-$E481),($E481*(1-$D$457))*$D481),0)*AF$453</f>
        <v>0</v>
      </c>
      <c r="AG481">
        <f>IF(AG$455&gt;=$C481,MIN(-(SUM($F481:AF481)-$E481),($E481*(1-$D$457))*$D481),0)*AG$453</f>
        <v>0</v>
      </c>
      <c r="AH481">
        <f>IF(AH$455&gt;=$C481,MIN(-(SUM($F481:AG481)-$E481),($E481*(1-$D$457))*$D481),0)*AH$453</f>
        <v>0</v>
      </c>
      <c r="AI481">
        <f>IF(AI$455&gt;=$C481,MIN(-(SUM($F481:AH481)-$E481),($E481*(1-$D$457))*$D481),0)*AI$453</f>
        <v>0</v>
      </c>
      <c r="AJ481">
        <f>IF(AJ$455&gt;=$C481,MIN(-(SUM($F481:AI481)-$E481),($E481*(1-$D$457))*$D481),0)*AJ$453</f>
        <v>0</v>
      </c>
      <c r="AK481">
        <f>IF(AK$455&gt;=$C481,MIN(-(SUM($F481:AJ481)-$E481),($E481*(1-$D$457))*$D481),0)*AK$453</f>
        <v>0</v>
      </c>
      <c r="AL481">
        <f>IF(AL$455&gt;=$C481,MIN(-(SUM($F481:AK481)-$E481),($E481*(1-$D$457))*$D481),0)*AL$453</f>
        <v>0</v>
      </c>
      <c r="AM481">
        <f>IF(AM$455&gt;=$C481,MIN(-(SUM($F481:AL481)-$E481),($E481*(1-$D$457))*$D481),0)*AM$453</f>
        <v>0</v>
      </c>
      <c r="AN481">
        <f>IF(AN$455&gt;=$C481,MIN(-(SUM($F481:AM481)-$E481),($E481*(1-$D$457))*$D481),0)*AN$453</f>
        <v>0</v>
      </c>
    </row>
    <row r="482" spans="3:160" outlineLevel="4">
      <c r="C482">
        <v>23</v>
      </c>
      <c r="D482">
        <f>Inputs!$D$259</f>
        <v>0.1</v>
      </c>
      <c r="E482">
        <v>0</v>
      </c>
      <c r="F482" s="461">
        <f>E482*D457</f>
        <v>0</v>
      </c>
      <c r="G482">
        <f>IF(G$455&gt;=$C482,MIN(-(SUM(F482:$F482)-$E482),($E482*(1-$D$457))*$D482),0)*G$453</f>
        <v>0</v>
      </c>
      <c r="H482">
        <f>IF(H$455&gt;=$C482,MIN(-(SUM($F482:G482)-$E482),($E482*(1-$D$457))*$D482),0)*H$453</f>
        <v>0</v>
      </c>
      <c r="I482">
        <f>IF(I$455&gt;=$C482,MIN(-(SUM($F482:H482)-$E482),($E482*(1-$D$457))*$D482),0)*I$453</f>
        <v>0</v>
      </c>
      <c r="J482">
        <f>IF(J$455&gt;=$C482,MIN(-(SUM($F482:I482)-$E482),($E482*(1-$D$457))*$D482),0)*J$453</f>
        <v>0</v>
      </c>
      <c r="K482">
        <f>IF(K$455&gt;=$C482,MIN(-(SUM($F482:J482)-$E482),($E482*(1-$D$457))*$D482),0)*K$453</f>
        <v>0</v>
      </c>
      <c r="L482">
        <f>IF(L$455&gt;=$C482,MIN(-(SUM($F482:K482)-$E482),($E482*(1-$D$457))*$D482),0)*L$453</f>
        <v>0</v>
      </c>
      <c r="M482">
        <f>IF(M$455&gt;=$C482,MIN(-(SUM($F482:L482)-$E482),($E482*(1-$D$457))*$D482),0)*M$453</f>
        <v>0</v>
      </c>
      <c r="N482">
        <f>IF(N$455&gt;=$C482,MIN(-(SUM($F482:M482)-$E482),($E482*(1-$D$457))*$D482),0)*N$453</f>
        <v>0</v>
      </c>
      <c r="O482">
        <f>IF(O$455&gt;=$C482,MIN(-(SUM($F482:N482)-$E482),($E482*(1-$D$457))*$D482),0)*O$453</f>
        <v>0</v>
      </c>
      <c r="P482">
        <f>IF(P$455&gt;=$C482,MIN(-(SUM($F482:O482)-$E482),($E482*(1-$D$457))*$D482),0)*P$453</f>
        <v>0</v>
      </c>
      <c r="Q482">
        <f>IF(Q$455&gt;=$C482,MIN(-(SUM($F482:P482)-$E482),($E482*(1-$D$457))*$D482),0)*Q$453</f>
        <v>0</v>
      </c>
      <c r="R482">
        <f>IF(R$455&gt;=$C482,MIN(-(SUM($F482:Q482)-$E482),($E482*(1-$D$457))*$D482),0)*R$453</f>
        <v>0</v>
      </c>
      <c r="S482">
        <f>IF(S$455&gt;=$C482,MIN(-(SUM($F482:R482)-$E482),($E482*(1-$D$457))*$D482),0)*S$453</f>
        <v>0</v>
      </c>
      <c r="T482">
        <f>IF(T$455&gt;=$C482,MIN(-(SUM($F482:S482)-$E482),($E482*(1-$D$457))*$D482),0)*T$453</f>
        <v>0</v>
      </c>
      <c r="U482">
        <f>IF(U$455&gt;=$C482,MIN(-(SUM($F482:T482)-$E482),($E482*(1-$D$457))*$D482),0)*U$453</f>
        <v>0</v>
      </c>
      <c r="V482">
        <f>IF(V$455&gt;=$C482,MIN(-(SUM($F482:U482)-$E482),($E482*(1-$D$457))*$D482),0)*V$453</f>
        <v>0</v>
      </c>
      <c r="W482">
        <f>IF(W$455&gt;=$C482,MIN(-(SUM($F482:V482)-$E482),($E482*(1-$D$457))*$D482),0)*W$453</f>
        <v>0</v>
      </c>
      <c r="X482">
        <f>IF(X$455&gt;=$C482,MIN(-(SUM($F482:W482)-$E482),($E482*(1-$D$457))*$D482),0)*X$453</f>
        <v>0</v>
      </c>
      <c r="Y482">
        <f>IF(Y$455&gt;=$C482,MIN(-(SUM($F482:X482)-$E482),($E482*(1-$D$457))*$D482),0)*Y$453</f>
        <v>0</v>
      </c>
      <c r="Z482">
        <f>IF(Z$455&gt;=$C482,MIN(-(SUM($F482:Y482)-$E482),($E482*(1-$D$457))*$D482),0)*Z$453</f>
        <v>0</v>
      </c>
      <c r="AA482">
        <f>IF(AA$455&gt;=$C482,MIN(-(SUM($F482:Z482)-$E482),($E482*(1-$D$457))*$D482),0)*AA$453</f>
        <v>0</v>
      </c>
      <c r="AB482">
        <f>IF(AB$455&gt;=$C482,MIN(-(SUM($F482:AA482)-$E482),($E482*(1-$D$457))*$D482),0)*AB$453</f>
        <v>0</v>
      </c>
      <c r="AC482">
        <f>IF(AC$455&gt;=$C482,MIN(-(SUM($F482:AB482)-$E482),($E482*(1-$D$457))*$D482),0)*AC$453</f>
        <v>0</v>
      </c>
      <c r="AD482">
        <f>IF(AD$455&gt;=$C482,MIN(-(SUM($F482:AC482)-$E482),($E482*(1-$D$457))*$D482),0)*AD$453</f>
        <v>0</v>
      </c>
      <c r="AE482">
        <f>IF(AE$455&gt;=$C482,MIN(-(SUM($F482:AD482)-$E482),($E482*(1-$D$457))*$D482),0)*AE$453</f>
        <v>0</v>
      </c>
      <c r="AF482">
        <f>IF(AF$455&gt;=$C482,MIN(-(SUM($F482:AE482)-$E482),($E482*(1-$D$457))*$D482),0)*AF$453</f>
        <v>0</v>
      </c>
      <c r="AG482">
        <f>IF(AG$455&gt;=$C482,MIN(-(SUM($F482:AF482)-$E482),($E482*(1-$D$457))*$D482),0)*AG$453</f>
        <v>0</v>
      </c>
      <c r="AH482">
        <f>IF(AH$455&gt;=$C482,MIN(-(SUM($F482:AG482)-$E482),($E482*(1-$D$457))*$D482),0)*AH$453</f>
        <v>0</v>
      </c>
      <c r="AI482">
        <f>IF(AI$455&gt;=$C482,MIN(-(SUM($F482:AH482)-$E482),($E482*(1-$D$457))*$D482),0)*AI$453</f>
        <v>0</v>
      </c>
      <c r="AJ482">
        <f>IF(AJ$455&gt;=$C482,MIN(-(SUM($F482:AI482)-$E482),($E482*(1-$D$457))*$D482),0)*AJ$453</f>
        <v>0</v>
      </c>
      <c r="AK482">
        <f>IF(AK$455&gt;=$C482,MIN(-(SUM($F482:AJ482)-$E482),($E482*(1-$D$457))*$D482),0)*AK$453</f>
        <v>0</v>
      </c>
      <c r="AL482">
        <f>IF(AL$455&gt;=$C482,MIN(-(SUM($F482:AK482)-$E482),($E482*(1-$D$457))*$D482),0)*AL$453</f>
        <v>0</v>
      </c>
      <c r="AM482">
        <f>IF(AM$455&gt;=$C482,MIN(-(SUM($F482:AL482)-$E482),($E482*(1-$D$457))*$D482),0)*AM$453</f>
        <v>0</v>
      </c>
      <c r="AN482">
        <f>IF(AN$455&gt;=$C482,MIN(-(SUM($F482:AM482)-$E482),($E482*(1-$D$457))*$D482),0)*AN$453</f>
        <v>0</v>
      </c>
    </row>
    <row r="483" spans="3:160" outlineLevel="4">
      <c r="C483">
        <v>24</v>
      </c>
      <c r="D483">
        <f>Inputs!$D$259</f>
        <v>0.1</v>
      </c>
      <c r="E483">
        <v>0</v>
      </c>
      <c r="F483" s="461">
        <f>E483*D457</f>
        <v>0</v>
      </c>
      <c r="G483">
        <f>IF(G$455&gt;=$C483,MIN(-(SUM(F483:$F483)-$E483),($E483*(1-$D$457))*$D483),0)*G$453</f>
        <v>0</v>
      </c>
      <c r="H483">
        <f>IF(H$455&gt;=$C483,MIN(-(SUM($F483:G483)-$E483),($E483*(1-$D$457))*$D483),0)*H$453</f>
        <v>0</v>
      </c>
      <c r="I483">
        <f>IF(I$455&gt;=$C483,MIN(-(SUM($F483:H483)-$E483),($E483*(1-$D$457))*$D483),0)*I$453</f>
        <v>0</v>
      </c>
      <c r="J483">
        <f>IF(J$455&gt;=$C483,MIN(-(SUM($F483:I483)-$E483),($E483*(1-$D$457))*$D483),0)*J$453</f>
        <v>0</v>
      </c>
      <c r="K483">
        <f>IF(K$455&gt;=$C483,MIN(-(SUM($F483:J483)-$E483),($E483*(1-$D$457))*$D483),0)*K$453</f>
        <v>0</v>
      </c>
      <c r="L483">
        <f>IF(L$455&gt;=$C483,MIN(-(SUM($F483:K483)-$E483),($E483*(1-$D$457))*$D483),0)*L$453</f>
        <v>0</v>
      </c>
      <c r="M483">
        <f>IF(M$455&gt;=$C483,MIN(-(SUM($F483:L483)-$E483),($E483*(1-$D$457))*$D483),0)*M$453</f>
        <v>0</v>
      </c>
      <c r="N483">
        <f>IF(N$455&gt;=$C483,MIN(-(SUM($F483:M483)-$E483),($E483*(1-$D$457))*$D483),0)*N$453</f>
        <v>0</v>
      </c>
      <c r="O483">
        <f>IF(O$455&gt;=$C483,MIN(-(SUM($F483:N483)-$E483),($E483*(1-$D$457))*$D483),0)*O$453</f>
        <v>0</v>
      </c>
      <c r="P483">
        <f>IF(P$455&gt;=$C483,MIN(-(SUM($F483:O483)-$E483),($E483*(1-$D$457))*$D483),0)*P$453</f>
        <v>0</v>
      </c>
      <c r="Q483">
        <f>IF(Q$455&gt;=$C483,MIN(-(SUM($F483:P483)-$E483),($E483*(1-$D$457))*$D483),0)*Q$453</f>
        <v>0</v>
      </c>
      <c r="R483">
        <f>IF(R$455&gt;=$C483,MIN(-(SUM($F483:Q483)-$E483),($E483*(1-$D$457))*$D483),0)*R$453</f>
        <v>0</v>
      </c>
      <c r="S483">
        <f>IF(S$455&gt;=$C483,MIN(-(SUM($F483:R483)-$E483),($E483*(1-$D$457))*$D483),0)*S$453</f>
        <v>0</v>
      </c>
      <c r="T483">
        <f>IF(T$455&gt;=$C483,MIN(-(SUM($F483:S483)-$E483),($E483*(1-$D$457))*$D483),0)*T$453</f>
        <v>0</v>
      </c>
      <c r="U483">
        <f>IF(U$455&gt;=$C483,MIN(-(SUM($F483:T483)-$E483),($E483*(1-$D$457))*$D483),0)*U$453</f>
        <v>0</v>
      </c>
      <c r="V483">
        <f>IF(V$455&gt;=$C483,MIN(-(SUM($F483:U483)-$E483),($E483*(1-$D$457))*$D483),0)*V$453</f>
        <v>0</v>
      </c>
      <c r="W483">
        <f>IF(W$455&gt;=$C483,MIN(-(SUM($F483:V483)-$E483),($E483*(1-$D$457))*$D483),0)*W$453</f>
        <v>0</v>
      </c>
      <c r="X483">
        <f>IF(X$455&gt;=$C483,MIN(-(SUM($F483:W483)-$E483),($E483*(1-$D$457))*$D483),0)*X$453</f>
        <v>0</v>
      </c>
      <c r="Y483">
        <f>IF(Y$455&gt;=$C483,MIN(-(SUM($F483:X483)-$E483),($E483*(1-$D$457))*$D483),0)*Y$453</f>
        <v>0</v>
      </c>
      <c r="Z483">
        <f>IF(Z$455&gt;=$C483,MIN(-(SUM($F483:Y483)-$E483),($E483*(1-$D$457))*$D483),0)*Z$453</f>
        <v>0</v>
      </c>
      <c r="AA483">
        <f>IF(AA$455&gt;=$C483,MIN(-(SUM($F483:Z483)-$E483),($E483*(1-$D$457))*$D483),0)*AA$453</f>
        <v>0</v>
      </c>
      <c r="AB483">
        <f>IF(AB$455&gt;=$C483,MIN(-(SUM($F483:AA483)-$E483),($E483*(1-$D$457))*$D483),0)*AB$453</f>
        <v>0</v>
      </c>
      <c r="AC483">
        <f>IF(AC$455&gt;=$C483,MIN(-(SUM($F483:AB483)-$E483),($E483*(1-$D$457))*$D483),0)*AC$453</f>
        <v>0</v>
      </c>
      <c r="AD483">
        <f>IF(AD$455&gt;=$C483,MIN(-(SUM($F483:AC483)-$E483),($E483*(1-$D$457))*$D483),0)*AD$453</f>
        <v>0</v>
      </c>
      <c r="AE483">
        <f>IF(AE$455&gt;=$C483,MIN(-(SUM($F483:AD483)-$E483),($E483*(1-$D$457))*$D483),0)*AE$453</f>
        <v>0</v>
      </c>
      <c r="AF483">
        <f>IF(AF$455&gt;=$C483,MIN(-(SUM($F483:AE483)-$E483),($E483*(1-$D$457))*$D483),0)*AF$453</f>
        <v>0</v>
      </c>
      <c r="AG483">
        <f>IF(AG$455&gt;=$C483,MIN(-(SUM($F483:AF483)-$E483),($E483*(1-$D$457))*$D483),0)*AG$453</f>
        <v>0</v>
      </c>
      <c r="AH483">
        <f>IF(AH$455&gt;=$C483,MIN(-(SUM($F483:AG483)-$E483),($E483*(1-$D$457))*$D483),0)*AH$453</f>
        <v>0</v>
      </c>
      <c r="AI483">
        <f>IF(AI$455&gt;=$C483,MIN(-(SUM($F483:AH483)-$E483),($E483*(1-$D$457))*$D483),0)*AI$453</f>
        <v>0</v>
      </c>
      <c r="AJ483">
        <f>IF(AJ$455&gt;=$C483,MIN(-(SUM($F483:AI483)-$E483),($E483*(1-$D$457))*$D483),0)*AJ$453</f>
        <v>0</v>
      </c>
      <c r="AK483">
        <f>IF(AK$455&gt;=$C483,MIN(-(SUM($F483:AJ483)-$E483),($E483*(1-$D$457))*$D483),0)*AK$453</f>
        <v>0</v>
      </c>
      <c r="AL483">
        <f>IF(AL$455&gt;=$C483,MIN(-(SUM($F483:AK483)-$E483),($E483*(1-$D$457))*$D483),0)*AL$453</f>
        <v>0</v>
      </c>
      <c r="AM483">
        <f>IF(AM$455&gt;=$C483,MIN(-(SUM($F483:AL483)-$E483),($E483*(1-$D$457))*$D483),0)*AM$453</f>
        <v>0</v>
      </c>
      <c r="AN483">
        <f>IF(AN$455&gt;=$C483,MIN(-(SUM($F483:AM483)-$E483),($E483*(1-$D$457))*$D483),0)*AN$453</f>
        <v>0</v>
      </c>
    </row>
    <row r="484" spans="3:160" outlineLevel="4">
      <c r="C484">
        <v>25</v>
      </c>
      <c r="D484">
        <f>Inputs!$D$259</f>
        <v>0.1</v>
      </c>
      <c r="E484">
        <v>0</v>
      </c>
      <c r="F484" s="461">
        <f>E484*D457</f>
        <v>0</v>
      </c>
      <c r="G484">
        <f>IF(G$455&gt;=$C484,MIN(-(SUM(F484:$F484)-$E484),($E484*(1-$D$457))*$D484),0)*G$453</f>
        <v>0</v>
      </c>
      <c r="H484">
        <f>IF(H$455&gt;=$C484,MIN(-(SUM($F484:G484)-$E484),($E484*(1-$D$457))*$D484),0)*H$453</f>
        <v>0</v>
      </c>
      <c r="I484">
        <f>IF(I$455&gt;=$C484,MIN(-(SUM($F484:H484)-$E484),($E484*(1-$D$457))*$D484),0)*I$453</f>
        <v>0</v>
      </c>
      <c r="J484">
        <f>IF(J$455&gt;=$C484,MIN(-(SUM($F484:I484)-$E484),($E484*(1-$D$457))*$D484),0)*J$453</f>
        <v>0</v>
      </c>
      <c r="K484">
        <f>IF(K$455&gt;=$C484,MIN(-(SUM($F484:J484)-$E484),($E484*(1-$D$457))*$D484),0)*K$453</f>
        <v>0</v>
      </c>
      <c r="L484">
        <f>IF(L$455&gt;=$C484,MIN(-(SUM($F484:K484)-$E484),($E484*(1-$D$457))*$D484),0)*L$453</f>
        <v>0</v>
      </c>
      <c r="M484">
        <f>IF(M$455&gt;=$C484,MIN(-(SUM($F484:L484)-$E484),($E484*(1-$D$457))*$D484),0)*M$453</f>
        <v>0</v>
      </c>
      <c r="N484">
        <f>IF(N$455&gt;=$C484,MIN(-(SUM($F484:M484)-$E484),($E484*(1-$D$457))*$D484),0)*N$453</f>
        <v>0</v>
      </c>
      <c r="O484">
        <f>IF(O$455&gt;=$C484,MIN(-(SUM($F484:N484)-$E484),($E484*(1-$D$457))*$D484),0)*O$453</f>
        <v>0</v>
      </c>
      <c r="P484">
        <f>IF(P$455&gt;=$C484,MIN(-(SUM($F484:O484)-$E484),($E484*(1-$D$457))*$D484),0)*P$453</f>
        <v>0</v>
      </c>
      <c r="Q484">
        <f>IF(Q$455&gt;=$C484,MIN(-(SUM($F484:P484)-$E484),($E484*(1-$D$457))*$D484),0)*Q$453</f>
        <v>0</v>
      </c>
      <c r="R484">
        <f>IF(R$455&gt;=$C484,MIN(-(SUM($F484:Q484)-$E484),($E484*(1-$D$457))*$D484),0)*R$453</f>
        <v>0</v>
      </c>
      <c r="S484">
        <f>IF(S$455&gt;=$C484,MIN(-(SUM($F484:R484)-$E484),($E484*(1-$D$457))*$D484),0)*S$453</f>
        <v>0</v>
      </c>
      <c r="T484">
        <f>IF(T$455&gt;=$C484,MIN(-(SUM($F484:S484)-$E484),($E484*(1-$D$457))*$D484),0)*T$453</f>
        <v>0</v>
      </c>
      <c r="U484">
        <f>IF(U$455&gt;=$C484,MIN(-(SUM($F484:T484)-$E484),($E484*(1-$D$457))*$D484),0)*U$453</f>
        <v>0</v>
      </c>
      <c r="V484">
        <f>IF(V$455&gt;=$C484,MIN(-(SUM($F484:U484)-$E484),($E484*(1-$D$457))*$D484),0)*V$453</f>
        <v>0</v>
      </c>
      <c r="W484">
        <f>IF(W$455&gt;=$C484,MIN(-(SUM($F484:V484)-$E484),($E484*(1-$D$457))*$D484),0)*W$453</f>
        <v>0</v>
      </c>
      <c r="X484">
        <f>IF(X$455&gt;=$C484,MIN(-(SUM($F484:W484)-$E484),($E484*(1-$D$457))*$D484),0)*X$453</f>
        <v>0</v>
      </c>
      <c r="Y484">
        <f>IF(Y$455&gt;=$C484,MIN(-(SUM($F484:X484)-$E484),($E484*(1-$D$457))*$D484),0)*Y$453</f>
        <v>0</v>
      </c>
      <c r="Z484">
        <f>IF(Z$455&gt;=$C484,MIN(-(SUM($F484:Y484)-$E484),($E484*(1-$D$457))*$D484),0)*Z$453</f>
        <v>0</v>
      </c>
      <c r="AA484">
        <f>IF(AA$455&gt;=$C484,MIN(-(SUM($F484:Z484)-$E484),($E484*(1-$D$457))*$D484),0)*AA$453</f>
        <v>0</v>
      </c>
      <c r="AB484">
        <f>IF(AB$455&gt;=$C484,MIN(-(SUM($F484:AA484)-$E484),($E484*(1-$D$457))*$D484),0)*AB$453</f>
        <v>0</v>
      </c>
      <c r="AC484">
        <f>IF(AC$455&gt;=$C484,MIN(-(SUM($F484:AB484)-$E484),($E484*(1-$D$457))*$D484),0)*AC$453</f>
        <v>0</v>
      </c>
      <c r="AD484">
        <f>IF(AD$455&gt;=$C484,MIN(-(SUM($F484:AC484)-$E484),($E484*(1-$D$457))*$D484),0)*AD$453</f>
        <v>0</v>
      </c>
      <c r="AE484">
        <f>IF(AE$455&gt;=$C484,MIN(-(SUM($F484:AD484)-$E484),($E484*(1-$D$457))*$D484),0)*AE$453</f>
        <v>0</v>
      </c>
      <c r="AF484">
        <f>IF(AF$455&gt;=$C484,MIN(-(SUM($F484:AE484)-$E484),($E484*(1-$D$457))*$D484),0)*AF$453</f>
        <v>0</v>
      </c>
      <c r="AG484">
        <f>IF(AG$455&gt;=$C484,MIN(-(SUM($F484:AF484)-$E484),($E484*(1-$D$457))*$D484),0)*AG$453</f>
        <v>0</v>
      </c>
      <c r="AH484">
        <f>IF(AH$455&gt;=$C484,MIN(-(SUM($F484:AG484)-$E484),($E484*(1-$D$457))*$D484),0)*AH$453</f>
        <v>0</v>
      </c>
      <c r="AI484">
        <f>IF(AI$455&gt;=$C484,MIN(-(SUM($F484:AH484)-$E484),($E484*(1-$D$457))*$D484),0)*AI$453</f>
        <v>0</v>
      </c>
      <c r="AJ484">
        <f>IF(AJ$455&gt;=$C484,MIN(-(SUM($F484:AI484)-$E484),($E484*(1-$D$457))*$D484),0)*AJ$453</f>
        <v>0</v>
      </c>
      <c r="AK484">
        <f>IF(AK$455&gt;=$C484,MIN(-(SUM($F484:AJ484)-$E484),($E484*(1-$D$457))*$D484),0)*AK$453</f>
        <v>0</v>
      </c>
      <c r="AL484">
        <f>IF(AL$455&gt;=$C484,MIN(-(SUM($F484:AK484)-$E484),($E484*(1-$D$457))*$D484),0)*AL$453</f>
        <v>0</v>
      </c>
      <c r="AM484">
        <f>IF(AM$455&gt;=$C484,MIN(-(SUM($F484:AL484)-$E484),($E484*(1-$D$457))*$D484),0)*AM$453</f>
        <v>0</v>
      </c>
      <c r="AN484">
        <f>IF(AN$455&gt;=$C484,MIN(-(SUM($F484:AM484)-$E484),($E484*(1-$D$457))*$D484),0)*AN$453</f>
        <v>0</v>
      </c>
    </row>
    <row r="485" spans="3:160" outlineLevel="4">
      <c r="C485">
        <v>26</v>
      </c>
      <c r="D485">
        <f>Inputs!$D$259</f>
        <v>0.1</v>
      </c>
      <c r="E485">
        <v>30</v>
      </c>
      <c r="F485" s="461">
        <f>E485*D457</f>
        <v>0</v>
      </c>
      <c r="G485">
        <f>IF(G$455&gt;=$C485,MIN(-(SUM(F485:$F485)-$E485),($E485*(1-$D$457))*$D485),0)*G$453</f>
        <v>0</v>
      </c>
      <c r="H485">
        <f>IF(H$455&gt;=$C485,MIN(-(SUM($F485:G485)-$E485),($E485*(1-$D$457))*$D485),0)*H$453</f>
        <v>0</v>
      </c>
      <c r="I485">
        <f>IF(I$455&gt;=$C485,MIN(-(SUM($F485:H485)-$E485),($E485*(1-$D$457))*$D485),0)*I$453</f>
        <v>0</v>
      </c>
      <c r="J485">
        <f>IF(J$455&gt;=$C485,MIN(-(SUM($F485:I485)-$E485),($E485*(1-$D$457))*$D485),0)*J$453</f>
        <v>0</v>
      </c>
      <c r="K485">
        <f>IF(K$455&gt;=$C485,MIN(-(SUM($F485:J485)-$E485),($E485*(1-$D$457))*$D485),0)*K$453</f>
        <v>0</v>
      </c>
      <c r="L485">
        <f>IF(L$455&gt;=$C485,MIN(-(SUM($F485:K485)-$E485),($E485*(1-$D$457))*$D485),0)*L$453</f>
        <v>0</v>
      </c>
      <c r="M485">
        <f>IF(M$455&gt;=$C485,MIN(-(SUM($F485:L485)-$E485),($E485*(1-$D$457))*$D485),0)*M$453</f>
        <v>0</v>
      </c>
      <c r="N485">
        <f>IF(N$455&gt;=$C485,MIN(-(SUM($F485:M485)-$E485),($E485*(1-$D$457))*$D485),0)*N$453</f>
        <v>0</v>
      </c>
      <c r="O485">
        <f>IF(O$455&gt;=$C485,MIN(-(SUM($F485:N485)-$E485),($E485*(1-$D$457))*$D485),0)*O$453</f>
        <v>0</v>
      </c>
      <c r="P485">
        <f>IF(P$455&gt;=$C485,MIN(-(SUM($F485:O485)-$E485),($E485*(1-$D$457))*$D485),0)*P$453</f>
        <v>0</v>
      </c>
      <c r="Q485">
        <f>IF(Q$455&gt;=$C485,MIN(-(SUM($F485:P485)-$E485),($E485*(1-$D$457))*$D485),0)*Q$453</f>
        <v>0</v>
      </c>
      <c r="R485">
        <f>IF(R$455&gt;=$C485,MIN(-(SUM($F485:Q485)-$E485),($E485*(1-$D$457))*$D485),0)*R$453</f>
        <v>0</v>
      </c>
      <c r="S485">
        <f>IF(S$455&gt;=$C485,MIN(-(SUM($F485:R485)-$E485),($E485*(1-$D$457))*$D485),0)*S$453</f>
        <v>0</v>
      </c>
      <c r="T485">
        <f>IF(T$455&gt;=$C485,MIN(-(SUM($F485:S485)-$E485),($E485*(1-$D$457))*$D485),0)*T$453</f>
        <v>0</v>
      </c>
      <c r="U485">
        <f>IF(U$455&gt;=$C485,MIN(-(SUM($F485:T485)-$E485),($E485*(1-$D$457))*$D485),0)*U$453</f>
        <v>0</v>
      </c>
      <c r="V485">
        <f>IF(V$455&gt;=$C485,MIN(-(SUM($F485:U485)-$E485),($E485*(1-$D$457))*$D485),0)*V$453</f>
        <v>0</v>
      </c>
      <c r="W485">
        <f>IF(W$455&gt;=$C485,MIN(-(SUM($F485:V485)-$E485),($E485*(1-$D$457))*$D485),0)*W$453</f>
        <v>0</v>
      </c>
      <c r="X485">
        <f>IF(X$455&gt;=$C485,MIN(-(SUM($F485:W485)-$E485),($E485*(1-$D$457))*$D485),0)*X$453</f>
        <v>0</v>
      </c>
      <c r="Y485">
        <f>IF(Y$455&gt;=$C485,MIN(-(SUM($F485:X485)-$E485),($E485*(1-$D$457))*$D485),0)*Y$453</f>
        <v>0</v>
      </c>
      <c r="Z485">
        <f>IF(Z$455&gt;=$C485,MIN(-(SUM($F485:Y485)-$E485),($E485*(1-$D$457))*$D485),0)*Z$453</f>
        <v>0</v>
      </c>
      <c r="AA485">
        <f>IF(AA$455&gt;=$C485,MIN(-(SUM($F485:Z485)-$E485),($E485*(1-$D$457))*$D485),0)*AA$453</f>
        <v>0</v>
      </c>
      <c r="AB485">
        <f>IF(AB$455&gt;=$C485,MIN(-(SUM($F485:AA485)-$E485),($E485*(1-$D$457))*$D485),0)*AB$453</f>
        <v>0</v>
      </c>
      <c r="AC485">
        <f>IF(AC$455&gt;=$C485,MIN(-(SUM($F485:AB485)-$E485),($E485*(1-$D$457))*$D485),0)*AC$453</f>
        <v>0</v>
      </c>
      <c r="AD485">
        <f>IF(AD$455&gt;=$C485,MIN(-(SUM($F485:AC485)-$E485),($E485*(1-$D$457))*$D485),0)*AD$453</f>
        <v>0</v>
      </c>
      <c r="AE485">
        <f>IF(AE$455&gt;=$C485,MIN(-(SUM($F485:AD485)-$E485),($E485*(1-$D$457))*$D485),0)*AE$453</f>
        <v>0</v>
      </c>
      <c r="AF485">
        <f>IF(AF$455&gt;=$C485,MIN(-(SUM($F485:AE485)-$E485),($E485*(1-$D$457))*$D485),0)*AF$453</f>
        <v>3</v>
      </c>
      <c r="AG485">
        <f>IF(AG$455&gt;=$C485,MIN(-(SUM($F485:AF485)-$E485),($E485*(1-$D$457))*$D485),0)*AG$453</f>
        <v>3</v>
      </c>
      <c r="AH485">
        <f>IF(AH$455&gt;=$C485,MIN(-(SUM($F485:AG485)-$E485),($E485*(1-$D$457))*$D485),0)*AH$453</f>
        <v>3</v>
      </c>
      <c r="AI485">
        <f>IF(AI$455&gt;=$C485,MIN(-(SUM($F485:AH485)-$E485),($E485*(1-$D$457))*$D485),0)*AI$453</f>
        <v>3</v>
      </c>
      <c r="AJ485">
        <f>IF(AJ$455&gt;=$C485,MIN(-(SUM($F485:AI485)-$E485),($E485*(1-$D$457))*$D485),0)*AJ$453</f>
        <v>3</v>
      </c>
      <c r="AK485">
        <f>IF(AK$455&gt;=$C485,MIN(-(SUM($F485:AJ485)-$E485),($E485*(1-$D$457))*$D485),0)*AK$453</f>
        <v>0</v>
      </c>
      <c r="AL485">
        <f>IF(AL$455&gt;=$C485,MIN(-(SUM($F485:AK485)-$E485),($E485*(1-$D$457))*$D485),0)*AL$453</f>
        <v>0</v>
      </c>
      <c r="AM485">
        <f>IF(AM$455&gt;=$C485,MIN(-(SUM($F485:AL485)-$E485),($E485*(1-$D$457))*$D485),0)*AM$453</f>
        <v>0</v>
      </c>
      <c r="AN485">
        <f>IF(AN$455&gt;=$C485,MIN(-(SUM($F485:AM485)-$E485),($E485*(1-$D$457))*$D485),0)*AN$453</f>
        <v>0</v>
      </c>
    </row>
    <row r="486" spans="3:160" outlineLevel="4">
      <c r="C486">
        <v>27</v>
      </c>
      <c r="D486">
        <f>Inputs!$D$259</f>
        <v>0.1</v>
      </c>
      <c r="E486">
        <v>0</v>
      </c>
      <c r="F486" s="461">
        <f>E486*D457</f>
        <v>0</v>
      </c>
      <c r="G486">
        <f>IF(G$455&gt;=$C486,MIN(-(SUM(F486:$F486)-$E486),($E486*(1-$D$457))*$D486),0)*G$453</f>
        <v>0</v>
      </c>
      <c r="H486">
        <f>IF(H$455&gt;=$C486,MIN(-(SUM($F486:G486)-$E486),($E486*(1-$D$457))*$D486),0)*H$453</f>
        <v>0</v>
      </c>
      <c r="I486">
        <f>IF(I$455&gt;=$C486,MIN(-(SUM($F486:H486)-$E486),($E486*(1-$D$457))*$D486),0)*I$453</f>
        <v>0</v>
      </c>
      <c r="J486">
        <f>IF(J$455&gt;=$C486,MIN(-(SUM($F486:I486)-$E486),($E486*(1-$D$457))*$D486),0)*J$453</f>
        <v>0</v>
      </c>
      <c r="K486">
        <f>IF(K$455&gt;=$C486,MIN(-(SUM($F486:J486)-$E486),($E486*(1-$D$457))*$D486),0)*K$453</f>
        <v>0</v>
      </c>
      <c r="L486">
        <f>IF(L$455&gt;=$C486,MIN(-(SUM($F486:K486)-$E486),($E486*(1-$D$457))*$D486),0)*L$453</f>
        <v>0</v>
      </c>
      <c r="M486">
        <f>IF(M$455&gt;=$C486,MIN(-(SUM($F486:L486)-$E486),($E486*(1-$D$457))*$D486),0)*M$453</f>
        <v>0</v>
      </c>
      <c r="N486">
        <f>IF(N$455&gt;=$C486,MIN(-(SUM($F486:M486)-$E486),($E486*(1-$D$457))*$D486),0)*N$453</f>
        <v>0</v>
      </c>
      <c r="O486">
        <f>IF(O$455&gt;=$C486,MIN(-(SUM($F486:N486)-$E486),($E486*(1-$D$457))*$D486),0)*O$453</f>
        <v>0</v>
      </c>
      <c r="P486">
        <f>IF(P$455&gt;=$C486,MIN(-(SUM($F486:O486)-$E486),($E486*(1-$D$457))*$D486),0)*P$453</f>
        <v>0</v>
      </c>
      <c r="Q486">
        <f>IF(Q$455&gt;=$C486,MIN(-(SUM($F486:P486)-$E486),($E486*(1-$D$457))*$D486),0)*Q$453</f>
        <v>0</v>
      </c>
      <c r="R486">
        <f>IF(R$455&gt;=$C486,MIN(-(SUM($F486:Q486)-$E486),($E486*(1-$D$457))*$D486),0)*R$453</f>
        <v>0</v>
      </c>
      <c r="S486">
        <f>IF(S$455&gt;=$C486,MIN(-(SUM($F486:R486)-$E486),($E486*(1-$D$457))*$D486),0)*S$453</f>
        <v>0</v>
      </c>
      <c r="T486">
        <f>IF(T$455&gt;=$C486,MIN(-(SUM($F486:S486)-$E486),($E486*(1-$D$457))*$D486),0)*T$453</f>
        <v>0</v>
      </c>
      <c r="U486">
        <f>IF(U$455&gt;=$C486,MIN(-(SUM($F486:T486)-$E486),($E486*(1-$D$457))*$D486),0)*U$453</f>
        <v>0</v>
      </c>
      <c r="V486">
        <f>IF(V$455&gt;=$C486,MIN(-(SUM($F486:U486)-$E486),($E486*(1-$D$457))*$D486),0)*V$453</f>
        <v>0</v>
      </c>
      <c r="W486">
        <f>IF(W$455&gt;=$C486,MIN(-(SUM($F486:V486)-$E486),($E486*(1-$D$457))*$D486),0)*W$453</f>
        <v>0</v>
      </c>
      <c r="X486">
        <f>IF(X$455&gt;=$C486,MIN(-(SUM($F486:W486)-$E486),($E486*(1-$D$457))*$D486),0)*X$453</f>
        <v>0</v>
      </c>
      <c r="Y486">
        <f>IF(Y$455&gt;=$C486,MIN(-(SUM($F486:X486)-$E486),($E486*(1-$D$457))*$D486),0)*Y$453</f>
        <v>0</v>
      </c>
      <c r="Z486">
        <f>IF(Z$455&gt;=$C486,MIN(-(SUM($F486:Y486)-$E486),($E486*(1-$D$457))*$D486),0)*Z$453</f>
        <v>0</v>
      </c>
      <c r="AA486">
        <f>IF(AA$455&gt;=$C486,MIN(-(SUM($F486:Z486)-$E486),($E486*(1-$D$457))*$D486),0)*AA$453</f>
        <v>0</v>
      </c>
      <c r="AB486">
        <f>IF(AB$455&gt;=$C486,MIN(-(SUM($F486:AA486)-$E486),($E486*(1-$D$457))*$D486),0)*AB$453</f>
        <v>0</v>
      </c>
      <c r="AC486">
        <f>IF(AC$455&gt;=$C486,MIN(-(SUM($F486:AB486)-$E486),($E486*(1-$D$457))*$D486),0)*AC$453</f>
        <v>0</v>
      </c>
      <c r="AD486">
        <f>IF(AD$455&gt;=$C486,MIN(-(SUM($F486:AC486)-$E486),($E486*(1-$D$457))*$D486),0)*AD$453</f>
        <v>0</v>
      </c>
      <c r="AE486">
        <f>IF(AE$455&gt;=$C486,MIN(-(SUM($F486:AD486)-$E486),($E486*(1-$D$457))*$D486),0)*AE$453</f>
        <v>0</v>
      </c>
      <c r="AF486">
        <f>IF(AF$455&gt;=$C486,MIN(-(SUM($F486:AE486)-$E486),($E486*(1-$D$457))*$D486),0)*AF$453</f>
        <v>0</v>
      </c>
      <c r="AG486">
        <f>IF(AG$455&gt;=$C486,MIN(-(SUM($F486:AF486)-$E486),($E486*(1-$D$457))*$D486),0)*AG$453</f>
        <v>0</v>
      </c>
      <c r="AH486">
        <f>IF(AH$455&gt;=$C486,MIN(-(SUM($F486:AG486)-$E486),($E486*(1-$D$457))*$D486),0)*AH$453</f>
        <v>0</v>
      </c>
      <c r="AI486">
        <f>IF(AI$455&gt;=$C486,MIN(-(SUM($F486:AH486)-$E486),($E486*(1-$D$457))*$D486),0)*AI$453</f>
        <v>0</v>
      </c>
      <c r="AJ486">
        <f>IF(AJ$455&gt;=$C486,MIN(-(SUM($F486:AI486)-$E486),($E486*(1-$D$457))*$D486),0)*AJ$453</f>
        <v>0</v>
      </c>
      <c r="AK486">
        <f>IF(AK$455&gt;=$C486,MIN(-(SUM($F486:AJ486)-$E486),($E486*(1-$D$457))*$D486),0)*AK$453</f>
        <v>0</v>
      </c>
      <c r="AL486">
        <f>IF(AL$455&gt;=$C486,MIN(-(SUM($F486:AK486)-$E486),($E486*(1-$D$457))*$D486),0)*AL$453</f>
        <v>0</v>
      </c>
      <c r="AM486">
        <f>IF(AM$455&gt;=$C486,MIN(-(SUM($F486:AL486)-$E486),($E486*(1-$D$457))*$D486),0)*AM$453</f>
        <v>0</v>
      </c>
      <c r="AN486">
        <f>IF(AN$455&gt;=$C486,MIN(-(SUM($F486:AM486)-$E486),($E486*(1-$D$457))*$D486),0)*AN$453</f>
        <v>0</v>
      </c>
    </row>
    <row r="487" spans="3:160" outlineLevel="4">
      <c r="C487">
        <v>28</v>
      </c>
      <c r="D487">
        <f>Inputs!$D$259</f>
        <v>0.1</v>
      </c>
      <c r="E487">
        <v>0</v>
      </c>
      <c r="F487" s="461">
        <f>E487*D457</f>
        <v>0</v>
      </c>
      <c r="G487">
        <f>IF(G$455&gt;=$C487,MIN(-(SUM(F487:$F487)-$E487),($E487*(1-$D$457))*$D487),0)*G$453</f>
        <v>0</v>
      </c>
      <c r="H487">
        <f>IF(H$455&gt;=$C487,MIN(-(SUM($F487:G487)-$E487),($E487*(1-$D$457))*$D487),0)*H$453</f>
        <v>0</v>
      </c>
      <c r="I487">
        <f>IF(I$455&gt;=$C487,MIN(-(SUM($F487:H487)-$E487),($E487*(1-$D$457))*$D487),0)*I$453</f>
        <v>0</v>
      </c>
      <c r="J487">
        <f>IF(J$455&gt;=$C487,MIN(-(SUM($F487:I487)-$E487),($E487*(1-$D$457))*$D487),0)*J$453</f>
        <v>0</v>
      </c>
      <c r="K487">
        <f>IF(K$455&gt;=$C487,MIN(-(SUM($F487:J487)-$E487),($E487*(1-$D$457))*$D487),0)*K$453</f>
        <v>0</v>
      </c>
      <c r="L487">
        <f>IF(L$455&gt;=$C487,MIN(-(SUM($F487:K487)-$E487),($E487*(1-$D$457))*$D487),0)*L$453</f>
        <v>0</v>
      </c>
      <c r="M487">
        <f>IF(M$455&gt;=$C487,MIN(-(SUM($F487:L487)-$E487),($E487*(1-$D$457))*$D487),0)*M$453</f>
        <v>0</v>
      </c>
      <c r="N487">
        <f>IF(N$455&gt;=$C487,MIN(-(SUM($F487:M487)-$E487),($E487*(1-$D$457))*$D487),0)*N$453</f>
        <v>0</v>
      </c>
      <c r="O487">
        <f>IF(O$455&gt;=$C487,MIN(-(SUM($F487:N487)-$E487),($E487*(1-$D$457))*$D487),0)*O$453</f>
        <v>0</v>
      </c>
      <c r="P487">
        <f>IF(P$455&gt;=$C487,MIN(-(SUM($F487:O487)-$E487),($E487*(1-$D$457))*$D487),0)*P$453</f>
        <v>0</v>
      </c>
      <c r="Q487">
        <f>IF(Q$455&gt;=$C487,MIN(-(SUM($F487:P487)-$E487),($E487*(1-$D$457))*$D487),0)*Q$453</f>
        <v>0</v>
      </c>
      <c r="R487">
        <f>IF(R$455&gt;=$C487,MIN(-(SUM($F487:Q487)-$E487),($E487*(1-$D$457))*$D487),0)*R$453</f>
        <v>0</v>
      </c>
      <c r="S487">
        <f>IF(S$455&gt;=$C487,MIN(-(SUM($F487:R487)-$E487),($E487*(1-$D$457))*$D487),0)*S$453</f>
        <v>0</v>
      </c>
      <c r="T487">
        <f>IF(T$455&gt;=$C487,MIN(-(SUM($F487:S487)-$E487),($E487*(1-$D$457))*$D487),0)*T$453</f>
        <v>0</v>
      </c>
      <c r="U487">
        <f>IF(U$455&gt;=$C487,MIN(-(SUM($F487:T487)-$E487),($E487*(1-$D$457))*$D487),0)*U$453</f>
        <v>0</v>
      </c>
      <c r="V487">
        <f>IF(V$455&gt;=$C487,MIN(-(SUM($F487:U487)-$E487),($E487*(1-$D$457))*$D487),0)*V$453</f>
        <v>0</v>
      </c>
      <c r="W487">
        <f>IF(W$455&gt;=$C487,MIN(-(SUM($F487:V487)-$E487),($E487*(1-$D$457))*$D487),0)*W$453</f>
        <v>0</v>
      </c>
      <c r="X487">
        <f>IF(X$455&gt;=$C487,MIN(-(SUM($F487:W487)-$E487),($E487*(1-$D$457))*$D487),0)*X$453</f>
        <v>0</v>
      </c>
      <c r="Y487">
        <f>IF(Y$455&gt;=$C487,MIN(-(SUM($F487:X487)-$E487),($E487*(1-$D$457))*$D487),0)*Y$453</f>
        <v>0</v>
      </c>
      <c r="Z487">
        <f>IF(Z$455&gt;=$C487,MIN(-(SUM($F487:Y487)-$E487),($E487*(1-$D$457))*$D487),0)*Z$453</f>
        <v>0</v>
      </c>
      <c r="AA487">
        <f>IF(AA$455&gt;=$C487,MIN(-(SUM($F487:Z487)-$E487),($E487*(1-$D$457))*$D487),0)*AA$453</f>
        <v>0</v>
      </c>
      <c r="AB487">
        <f>IF(AB$455&gt;=$C487,MIN(-(SUM($F487:AA487)-$E487),($E487*(1-$D$457))*$D487),0)*AB$453</f>
        <v>0</v>
      </c>
      <c r="AC487">
        <f>IF(AC$455&gt;=$C487,MIN(-(SUM($F487:AB487)-$E487),($E487*(1-$D$457))*$D487),0)*AC$453</f>
        <v>0</v>
      </c>
      <c r="AD487">
        <f>IF(AD$455&gt;=$C487,MIN(-(SUM($F487:AC487)-$E487),($E487*(1-$D$457))*$D487),0)*AD$453</f>
        <v>0</v>
      </c>
      <c r="AE487">
        <f>IF(AE$455&gt;=$C487,MIN(-(SUM($F487:AD487)-$E487),($E487*(1-$D$457))*$D487),0)*AE$453</f>
        <v>0</v>
      </c>
      <c r="AF487">
        <f>IF(AF$455&gt;=$C487,MIN(-(SUM($F487:AE487)-$E487),($E487*(1-$D$457))*$D487),0)*AF$453</f>
        <v>0</v>
      </c>
      <c r="AG487">
        <f>IF(AG$455&gt;=$C487,MIN(-(SUM($F487:AF487)-$E487),($E487*(1-$D$457))*$D487),0)*AG$453</f>
        <v>0</v>
      </c>
      <c r="AH487">
        <f>IF(AH$455&gt;=$C487,MIN(-(SUM($F487:AG487)-$E487),($E487*(1-$D$457))*$D487),0)*AH$453</f>
        <v>0</v>
      </c>
      <c r="AI487">
        <f>IF(AI$455&gt;=$C487,MIN(-(SUM($F487:AH487)-$E487),($E487*(1-$D$457))*$D487),0)*AI$453</f>
        <v>0</v>
      </c>
      <c r="AJ487">
        <f>IF(AJ$455&gt;=$C487,MIN(-(SUM($F487:AI487)-$E487),($E487*(1-$D$457))*$D487),0)*AJ$453</f>
        <v>0</v>
      </c>
      <c r="AK487">
        <f>IF(AK$455&gt;=$C487,MIN(-(SUM($F487:AJ487)-$E487),($E487*(1-$D$457))*$D487),0)*AK$453</f>
        <v>0</v>
      </c>
      <c r="AL487">
        <f>IF(AL$455&gt;=$C487,MIN(-(SUM($F487:AK487)-$E487),($E487*(1-$D$457))*$D487),0)*AL$453</f>
        <v>0</v>
      </c>
      <c r="AM487">
        <f>IF(AM$455&gt;=$C487,MIN(-(SUM($F487:AL487)-$E487),($E487*(1-$D$457))*$D487),0)*AM$453</f>
        <v>0</v>
      </c>
      <c r="AN487">
        <f>IF(AN$455&gt;=$C487,MIN(-(SUM($F487:AM487)-$E487),($E487*(1-$D$457))*$D487),0)*AN$453</f>
        <v>0</v>
      </c>
    </row>
    <row r="488" spans="3:160" outlineLevel="4">
      <c r="C488">
        <v>29</v>
      </c>
      <c r="D488">
        <f>Inputs!$D$259</f>
        <v>0.1</v>
      </c>
      <c r="E488">
        <v>0</v>
      </c>
      <c r="F488" s="461">
        <f>E488*D457</f>
        <v>0</v>
      </c>
      <c r="G488">
        <f>IF(G$455&gt;=$C488,MIN(-(SUM(F488:$F488)-$E488),($E488*(1-$D$457))*$D488),0)*G$453</f>
        <v>0</v>
      </c>
      <c r="H488">
        <f>IF(H$455&gt;=$C488,MIN(-(SUM($F488:G488)-$E488),($E488*(1-$D$457))*$D488),0)*H$453</f>
        <v>0</v>
      </c>
      <c r="I488">
        <f>IF(I$455&gt;=$C488,MIN(-(SUM($F488:H488)-$E488),($E488*(1-$D$457))*$D488),0)*I$453</f>
        <v>0</v>
      </c>
      <c r="J488">
        <f>IF(J$455&gt;=$C488,MIN(-(SUM($F488:I488)-$E488),($E488*(1-$D$457))*$D488),0)*J$453</f>
        <v>0</v>
      </c>
      <c r="K488">
        <f>IF(K$455&gt;=$C488,MIN(-(SUM($F488:J488)-$E488),($E488*(1-$D$457))*$D488),0)*K$453</f>
        <v>0</v>
      </c>
      <c r="L488">
        <f>IF(L$455&gt;=$C488,MIN(-(SUM($F488:K488)-$E488),($E488*(1-$D$457))*$D488),0)*L$453</f>
        <v>0</v>
      </c>
      <c r="M488">
        <f>IF(M$455&gt;=$C488,MIN(-(SUM($F488:L488)-$E488),($E488*(1-$D$457))*$D488),0)*M$453</f>
        <v>0</v>
      </c>
      <c r="N488">
        <f>IF(N$455&gt;=$C488,MIN(-(SUM($F488:M488)-$E488),($E488*(1-$D$457))*$D488),0)*N$453</f>
        <v>0</v>
      </c>
      <c r="O488">
        <f>IF(O$455&gt;=$C488,MIN(-(SUM($F488:N488)-$E488),($E488*(1-$D$457))*$D488),0)*O$453</f>
        <v>0</v>
      </c>
      <c r="P488">
        <f>IF(P$455&gt;=$C488,MIN(-(SUM($F488:O488)-$E488),($E488*(1-$D$457))*$D488),0)*P$453</f>
        <v>0</v>
      </c>
      <c r="Q488">
        <f>IF(Q$455&gt;=$C488,MIN(-(SUM($F488:P488)-$E488),($E488*(1-$D$457))*$D488),0)*Q$453</f>
        <v>0</v>
      </c>
      <c r="R488">
        <f>IF(R$455&gt;=$C488,MIN(-(SUM($F488:Q488)-$E488),($E488*(1-$D$457))*$D488),0)*R$453</f>
        <v>0</v>
      </c>
      <c r="S488">
        <f>IF(S$455&gt;=$C488,MIN(-(SUM($F488:R488)-$E488),($E488*(1-$D$457))*$D488),0)*S$453</f>
        <v>0</v>
      </c>
      <c r="T488">
        <f>IF(T$455&gt;=$C488,MIN(-(SUM($F488:S488)-$E488),($E488*(1-$D$457))*$D488),0)*T$453</f>
        <v>0</v>
      </c>
      <c r="U488">
        <f>IF(U$455&gt;=$C488,MIN(-(SUM($F488:T488)-$E488),($E488*(1-$D$457))*$D488),0)*U$453</f>
        <v>0</v>
      </c>
      <c r="V488">
        <f>IF(V$455&gt;=$C488,MIN(-(SUM($F488:U488)-$E488),($E488*(1-$D$457))*$D488),0)*V$453</f>
        <v>0</v>
      </c>
      <c r="W488">
        <f>IF(W$455&gt;=$C488,MIN(-(SUM($F488:V488)-$E488),($E488*(1-$D$457))*$D488),0)*W$453</f>
        <v>0</v>
      </c>
      <c r="X488">
        <f>IF(X$455&gt;=$C488,MIN(-(SUM($F488:W488)-$E488),($E488*(1-$D$457))*$D488),0)*X$453</f>
        <v>0</v>
      </c>
      <c r="Y488">
        <f>IF(Y$455&gt;=$C488,MIN(-(SUM($F488:X488)-$E488),($E488*(1-$D$457))*$D488),0)*Y$453</f>
        <v>0</v>
      </c>
      <c r="Z488">
        <f>IF(Z$455&gt;=$C488,MIN(-(SUM($F488:Y488)-$E488),($E488*(1-$D$457))*$D488),0)*Z$453</f>
        <v>0</v>
      </c>
      <c r="AA488">
        <f>IF(AA$455&gt;=$C488,MIN(-(SUM($F488:Z488)-$E488),($E488*(1-$D$457))*$D488),0)*AA$453</f>
        <v>0</v>
      </c>
      <c r="AB488">
        <f>IF(AB$455&gt;=$C488,MIN(-(SUM($F488:AA488)-$E488),($E488*(1-$D$457))*$D488),0)*AB$453</f>
        <v>0</v>
      </c>
      <c r="AC488">
        <f>IF(AC$455&gt;=$C488,MIN(-(SUM($F488:AB488)-$E488),($E488*(1-$D$457))*$D488),0)*AC$453</f>
        <v>0</v>
      </c>
      <c r="AD488">
        <f>IF(AD$455&gt;=$C488,MIN(-(SUM($F488:AC488)-$E488),($E488*(1-$D$457))*$D488),0)*AD$453</f>
        <v>0</v>
      </c>
      <c r="AE488">
        <f>IF(AE$455&gt;=$C488,MIN(-(SUM($F488:AD488)-$E488),($E488*(1-$D$457))*$D488),0)*AE$453</f>
        <v>0</v>
      </c>
      <c r="AF488">
        <f>IF(AF$455&gt;=$C488,MIN(-(SUM($F488:AE488)-$E488),($E488*(1-$D$457))*$D488),0)*AF$453</f>
        <v>0</v>
      </c>
      <c r="AG488">
        <f>IF(AG$455&gt;=$C488,MIN(-(SUM($F488:AF488)-$E488),($E488*(1-$D$457))*$D488),0)*AG$453</f>
        <v>0</v>
      </c>
      <c r="AH488">
        <f>IF(AH$455&gt;=$C488,MIN(-(SUM($F488:AG488)-$E488),($E488*(1-$D$457))*$D488),0)*AH$453</f>
        <v>0</v>
      </c>
      <c r="AI488">
        <f>IF(AI$455&gt;=$C488,MIN(-(SUM($F488:AH488)-$E488),($E488*(1-$D$457))*$D488),0)*AI$453</f>
        <v>0</v>
      </c>
      <c r="AJ488">
        <f>IF(AJ$455&gt;=$C488,MIN(-(SUM($F488:AI488)-$E488),($E488*(1-$D$457))*$D488),0)*AJ$453</f>
        <v>0</v>
      </c>
      <c r="AK488">
        <f>IF(AK$455&gt;=$C488,MIN(-(SUM($F488:AJ488)-$E488),($E488*(1-$D$457))*$D488),0)*AK$453</f>
        <v>0</v>
      </c>
      <c r="AL488">
        <f>IF(AL$455&gt;=$C488,MIN(-(SUM($F488:AK488)-$E488),($E488*(1-$D$457))*$D488),0)*AL$453</f>
        <v>0</v>
      </c>
      <c r="AM488">
        <f>IF(AM$455&gt;=$C488,MIN(-(SUM($F488:AL488)-$E488),($E488*(1-$D$457))*$D488),0)*AM$453</f>
        <v>0</v>
      </c>
      <c r="AN488">
        <f>IF(AN$455&gt;=$C488,MIN(-(SUM($F488:AM488)-$E488),($E488*(1-$D$457))*$D488),0)*AN$453</f>
        <v>0</v>
      </c>
    </row>
    <row r="489" spans="3:160" outlineLevel="4">
      <c r="C489">
        <v>30</v>
      </c>
      <c r="D489">
        <f>Inputs!$D$259</f>
        <v>0.1</v>
      </c>
      <c r="E489">
        <v>0</v>
      </c>
      <c r="F489" s="461">
        <f>E489*D457</f>
        <v>0</v>
      </c>
      <c r="G489">
        <f>IF(G$455&gt;=$C489,MIN(-(SUM(F489:$F489)-$E489),($E489*(1-$D$457))*$D489),0)*G$453</f>
        <v>0</v>
      </c>
      <c r="H489">
        <f>IF(H$455&gt;=$C489,MIN(-(SUM($F489:G489)-$E489),($E489*(1-$D$457))*$D489),0)*H$453</f>
        <v>0</v>
      </c>
      <c r="I489">
        <f>IF(I$455&gt;=$C489,MIN(-(SUM($F489:H489)-$E489),($E489*(1-$D$457))*$D489),0)*I$453</f>
        <v>0</v>
      </c>
      <c r="J489">
        <f>IF(J$455&gt;=$C489,MIN(-(SUM($F489:I489)-$E489),($E489*(1-$D$457))*$D489),0)*J$453</f>
        <v>0</v>
      </c>
      <c r="K489">
        <f>IF(K$455&gt;=$C489,MIN(-(SUM($F489:J489)-$E489),($E489*(1-$D$457))*$D489),0)*K$453</f>
        <v>0</v>
      </c>
      <c r="L489">
        <f>IF(L$455&gt;=$C489,MIN(-(SUM($F489:K489)-$E489),($E489*(1-$D$457))*$D489),0)*L$453</f>
        <v>0</v>
      </c>
      <c r="M489">
        <f>IF(M$455&gt;=$C489,MIN(-(SUM($F489:L489)-$E489),($E489*(1-$D$457))*$D489),0)*M$453</f>
        <v>0</v>
      </c>
      <c r="N489">
        <f>IF(N$455&gt;=$C489,MIN(-(SUM($F489:M489)-$E489),($E489*(1-$D$457))*$D489),0)*N$453</f>
        <v>0</v>
      </c>
      <c r="O489">
        <f>IF(O$455&gt;=$C489,MIN(-(SUM($F489:N489)-$E489),($E489*(1-$D$457))*$D489),0)*O$453</f>
        <v>0</v>
      </c>
      <c r="P489">
        <f>IF(P$455&gt;=$C489,MIN(-(SUM($F489:O489)-$E489),($E489*(1-$D$457))*$D489),0)*P$453</f>
        <v>0</v>
      </c>
      <c r="Q489">
        <f>IF(Q$455&gt;=$C489,MIN(-(SUM($F489:P489)-$E489),($E489*(1-$D$457))*$D489),0)*Q$453</f>
        <v>0</v>
      </c>
      <c r="R489">
        <f>IF(R$455&gt;=$C489,MIN(-(SUM($F489:Q489)-$E489),($E489*(1-$D$457))*$D489),0)*R$453</f>
        <v>0</v>
      </c>
      <c r="S489">
        <f>IF(S$455&gt;=$C489,MIN(-(SUM($F489:R489)-$E489),($E489*(1-$D$457))*$D489),0)*S$453</f>
        <v>0</v>
      </c>
      <c r="T489">
        <f>IF(T$455&gt;=$C489,MIN(-(SUM($F489:S489)-$E489),($E489*(1-$D$457))*$D489),0)*T$453</f>
        <v>0</v>
      </c>
      <c r="U489">
        <f>IF(U$455&gt;=$C489,MIN(-(SUM($F489:T489)-$E489),($E489*(1-$D$457))*$D489),0)*U$453</f>
        <v>0</v>
      </c>
      <c r="V489">
        <f>IF(V$455&gt;=$C489,MIN(-(SUM($F489:U489)-$E489),($E489*(1-$D$457))*$D489),0)*V$453</f>
        <v>0</v>
      </c>
      <c r="W489">
        <f>IF(W$455&gt;=$C489,MIN(-(SUM($F489:V489)-$E489),($E489*(1-$D$457))*$D489),0)*W$453</f>
        <v>0</v>
      </c>
      <c r="X489">
        <f>IF(X$455&gt;=$C489,MIN(-(SUM($F489:W489)-$E489),($E489*(1-$D$457))*$D489),0)*X$453</f>
        <v>0</v>
      </c>
      <c r="Y489">
        <f>IF(Y$455&gt;=$C489,MIN(-(SUM($F489:X489)-$E489),($E489*(1-$D$457))*$D489),0)*Y$453</f>
        <v>0</v>
      </c>
      <c r="Z489">
        <f>IF(Z$455&gt;=$C489,MIN(-(SUM($F489:Y489)-$E489),($E489*(1-$D$457))*$D489),0)*Z$453</f>
        <v>0</v>
      </c>
      <c r="AA489">
        <f>IF(AA$455&gt;=$C489,MIN(-(SUM($F489:Z489)-$E489),($E489*(1-$D$457))*$D489),0)*AA$453</f>
        <v>0</v>
      </c>
      <c r="AB489">
        <f>IF(AB$455&gt;=$C489,MIN(-(SUM($F489:AA489)-$E489),($E489*(1-$D$457))*$D489),0)*AB$453</f>
        <v>0</v>
      </c>
      <c r="AC489">
        <f>IF(AC$455&gt;=$C489,MIN(-(SUM($F489:AB489)-$E489),($E489*(1-$D$457))*$D489),0)*AC$453</f>
        <v>0</v>
      </c>
      <c r="AD489">
        <f>IF(AD$455&gt;=$C489,MIN(-(SUM($F489:AC489)-$E489),($E489*(1-$D$457))*$D489),0)*AD$453</f>
        <v>0</v>
      </c>
      <c r="AE489">
        <f>IF(AE$455&gt;=$C489,MIN(-(SUM($F489:AD489)-$E489),($E489*(1-$D$457))*$D489),0)*AE$453</f>
        <v>0</v>
      </c>
      <c r="AF489">
        <f>IF(AF$455&gt;=$C489,MIN(-(SUM($F489:AE489)-$E489),($E489*(1-$D$457))*$D489),0)*AF$453</f>
        <v>0</v>
      </c>
      <c r="AG489">
        <f>IF(AG$455&gt;=$C489,MIN(-(SUM($F489:AF489)-$E489),($E489*(1-$D$457))*$D489),0)*AG$453</f>
        <v>0</v>
      </c>
      <c r="AH489">
        <f>IF(AH$455&gt;=$C489,MIN(-(SUM($F489:AG489)-$E489),($E489*(1-$D$457))*$D489),0)*AH$453</f>
        <v>0</v>
      </c>
      <c r="AI489">
        <f>IF(AI$455&gt;=$C489,MIN(-(SUM($F489:AH489)-$E489),($E489*(1-$D$457))*$D489),0)*AI$453</f>
        <v>0</v>
      </c>
      <c r="AJ489">
        <f>IF(AJ$455&gt;=$C489,MIN(-(SUM($F489:AI489)-$E489),($E489*(1-$D$457))*$D489),0)*AJ$453</f>
        <v>0</v>
      </c>
      <c r="AK489">
        <f>IF(AK$455&gt;=$C489,MIN(-(SUM($F489:AJ489)-$E489),($E489*(1-$D$457))*$D489),0)*AK$453</f>
        <v>0</v>
      </c>
      <c r="AL489">
        <f>IF(AL$455&gt;=$C489,MIN(-(SUM($F489:AK489)-$E489),($E489*(1-$D$457))*$D489),0)*AL$453</f>
        <v>0</v>
      </c>
      <c r="AM489">
        <f>IF(AM$455&gt;=$C489,MIN(-(SUM($F489:AL489)-$E489),($E489*(1-$D$457))*$D489),0)*AM$453</f>
        <v>0</v>
      </c>
      <c r="AN489">
        <f>IF(AN$455&gt;=$C489,MIN(-(SUM($F489:AM489)-$E489),($E489*(1-$D$457))*$D489),0)*AN$453</f>
        <v>0</v>
      </c>
    </row>
    <row r="490" spans="3:160" outlineLevel="4">
      <c r="C490">
        <v>31</v>
      </c>
      <c r="D490">
        <f>Inputs!$D$259</f>
        <v>0.1</v>
      </c>
      <c r="E490">
        <v>0</v>
      </c>
      <c r="F490" s="461">
        <f>E490*D457</f>
        <v>0</v>
      </c>
      <c r="G490">
        <f>IF(G$455&gt;=$C490,MIN(-(SUM(F490:$F490)-$E490),($E490*(1-$D$457))*$D490),0)*G$453</f>
        <v>0</v>
      </c>
      <c r="H490">
        <f>IF(H$455&gt;=$C490,MIN(-(SUM($F490:G490)-$E490),($E490*(1-$D$457))*$D490),0)*H$453</f>
        <v>0</v>
      </c>
      <c r="I490">
        <f>IF(I$455&gt;=$C490,MIN(-(SUM($F490:H490)-$E490),($E490*(1-$D$457))*$D490),0)*I$453</f>
        <v>0</v>
      </c>
      <c r="J490">
        <f>IF(J$455&gt;=$C490,MIN(-(SUM($F490:I490)-$E490),($E490*(1-$D$457))*$D490),0)*J$453</f>
        <v>0</v>
      </c>
      <c r="K490">
        <f>IF(K$455&gt;=$C490,MIN(-(SUM($F490:J490)-$E490),($E490*(1-$D$457))*$D490),0)*K$453</f>
        <v>0</v>
      </c>
      <c r="L490">
        <f>IF(L$455&gt;=$C490,MIN(-(SUM($F490:K490)-$E490),($E490*(1-$D$457))*$D490),0)*L$453</f>
        <v>0</v>
      </c>
      <c r="M490">
        <f>IF(M$455&gt;=$C490,MIN(-(SUM($F490:L490)-$E490),($E490*(1-$D$457))*$D490),0)*M$453</f>
        <v>0</v>
      </c>
      <c r="N490">
        <f>IF(N$455&gt;=$C490,MIN(-(SUM($F490:M490)-$E490),($E490*(1-$D$457))*$D490),0)*N$453</f>
        <v>0</v>
      </c>
      <c r="O490">
        <f>IF(O$455&gt;=$C490,MIN(-(SUM($F490:N490)-$E490),($E490*(1-$D$457))*$D490),0)*O$453</f>
        <v>0</v>
      </c>
      <c r="P490">
        <f>IF(P$455&gt;=$C490,MIN(-(SUM($F490:O490)-$E490),($E490*(1-$D$457))*$D490),0)*P$453</f>
        <v>0</v>
      </c>
      <c r="Q490">
        <f>IF(Q$455&gt;=$C490,MIN(-(SUM($F490:P490)-$E490),($E490*(1-$D$457))*$D490),0)*Q$453</f>
        <v>0</v>
      </c>
      <c r="R490">
        <f>IF(R$455&gt;=$C490,MIN(-(SUM($F490:Q490)-$E490),($E490*(1-$D$457))*$D490),0)*R$453</f>
        <v>0</v>
      </c>
      <c r="S490">
        <f>IF(S$455&gt;=$C490,MIN(-(SUM($F490:R490)-$E490),($E490*(1-$D$457))*$D490),0)*S$453</f>
        <v>0</v>
      </c>
      <c r="T490">
        <f>IF(T$455&gt;=$C490,MIN(-(SUM($F490:S490)-$E490),($E490*(1-$D$457))*$D490),0)*T$453</f>
        <v>0</v>
      </c>
      <c r="U490">
        <f>IF(U$455&gt;=$C490,MIN(-(SUM($F490:T490)-$E490),($E490*(1-$D$457))*$D490),0)*U$453</f>
        <v>0</v>
      </c>
      <c r="V490">
        <f>IF(V$455&gt;=$C490,MIN(-(SUM($F490:U490)-$E490),($E490*(1-$D$457))*$D490),0)*V$453</f>
        <v>0</v>
      </c>
      <c r="W490">
        <f>IF(W$455&gt;=$C490,MIN(-(SUM($F490:V490)-$E490),($E490*(1-$D$457))*$D490),0)*W$453</f>
        <v>0</v>
      </c>
      <c r="X490">
        <f>IF(X$455&gt;=$C490,MIN(-(SUM($F490:W490)-$E490),($E490*(1-$D$457))*$D490),0)*X$453</f>
        <v>0</v>
      </c>
      <c r="Y490">
        <f>IF(Y$455&gt;=$C490,MIN(-(SUM($F490:X490)-$E490),($E490*(1-$D$457))*$D490),0)*Y$453</f>
        <v>0</v>
      </c>
      <c r="Z490">
        <f>IF(Z$455&gt;=$C490,MIN(-(SUM($F490:Y490)-$E490),($E490*(1-$D$457))*$D490),0)*Z$453</f>
        <v>0</v>
      </c>
      <c r="AA490">
        <f>IF(AA$455&gt;=$C490,MIN(-(SUM($F490:Z490)-$E490),($E490*(1-$D$457))*$D490),0)*AA$453</f>
        <v>0</v>
      </c>
      <c r="AB490">
        <f>IF(AB$455&gt;=$C490,MIN(-(SUM($F490:AA490)-$E490),($E490*(1-$D$457))*$D490),0)*AB$453</f>
        <v>0</v>
      </c>
      <c r="AC490">
        <f>IF(AC$455&gt;=$C490,MIN(-(SUM($F490:AB490)-$E490),($E490*(1-$D$457))*$D490),0)*AC$453</f>
        <v>0</v>
      </c>
      <c r="AD490">
        <f>IF(AD$455&gt;=$C490,MIN(-(SUM($F490:AC490)-$E490),($E490*(1-$D$457))*$D490),0)*AD$453</f>
        <v>0</v>
      </c>
      <c r="AE490">
        <f>IF(AE$455&gt;=$C490,MIN(-(SUM($F490:AD490)-$E490),($E490*(1-$D$457))*$D490),0)*AE$453</f>
        <v>0</v>
      </c>
      <c r="AF490">
        <f>IF(AF$455&gt;=$C490,MIN(-(SUM($F490:AE490)-$E490),($E490*(1-$D$457))*$D490),0)*AF$453</f>
        <v>0</v>
      </c>
      <c r="AG490">
        <f>IF(AG$455&gt;=$C490,MIN(-(SUM($F490:AF490)-$E490),($E490*(1-$D$457))*$D490),0)*AG$453</f>
        <v>0</v>
      </c>
      <c r="AH490">
        <f>IF(AH$455&gt;=$C490,MIN(-(SUM($F490:AG490)-$E490),($E490*(1-$D$457))*$D490),0)*AH$453</f>
        <v>0</v>
      </c>
      <c r="AI490">
        <f>IF(AI$455&gt;=$C490,MIN(-(SUM($F490:AH490)-$E490),($E490*(1-$D$457))*$D490),0)*AI$453</f>
        <v>0</v>
      </c>
      <c r="AJ490">
        <f>IF(AJ$455&gt;=$C490,MIN(-(SUM($F490:AI490)-$E490),($E490*(1-$D$457))*$D490),0)*AJ$453</f>
        <v>0</v>
      </c>
      <c r="AK490">
        <f>IF(AK$455&gt;=$C490,MIN(-(SUM($F490:AJ490)-$E490),($E490*(1-$D$457))*$D490),0)*AK$453</f>
        <v>0</v>
      </c>
      <c r="AL490">
        <f>IF(AL$455&gt;=$C490,MIN(-(SUM($F490:AK490)-$E490),($E490*(1-$D$457))*$D490),0)*AL$453</f>
        <v>0</v>
      </c>
      <c r="AM490">
        <f>IF(AM$455&gt;=$C490,MIN(-(SUM($F490:AL490)-$E490),($E490*(1-$D$457))*$D490),0)*AM$453</f>
        <v>0</v>
      </c>
      <c r="AN490">
        <f>IF(AN$455&gt;=$C490,MIN(-(SUM($F490:AM490)-$E490),($E490*(1-$D$457))*$D490),0)*AN$453</f>
        <v>0</v>
      </c>
    </row>
    <row r="491" spans="3:160" outlineLevel="4">
      <c r="C491">
        <v>32</v>
      </c>
      <c r="D491">
        <f>Inputs!$D$259</f>
        <v>0.1</v>
      </c>
      <c r="E491">
        <v>0</v>
      </c>
      <c r="F491" s="461">
        <f>E491*D457</f>
        <v>0</v>
      </c>
      <c r="G491">
        <f>IF(G$455&gt;=$C491,MIN(-(SUM(F491:$F491)-$E491),($E491*(1-$D$457))*$D491),0)*G$453</f>
        <v>0</v>
      </c>
      <c r="H491">
        <f>IF(H$455&gt;=$C491,MIN(-(SUM($F491:G491)-$E491),($E491*(1-$D$457))*$D491),0)*H$453</f>
        <v>0</v>
      </c>
      <c r="I491">
        <f>IF(I$455&gt;=$C491,MIN(-(SUM($F491:H491)-$E491),($E491*(1-$D$457))*$D491),0)*I$453</f>
        <v>0</v>
      </c>
      <c r="J491">
        <f>IF(J$455&gt;=$C491,MIN(-(SUM($F491:I491)-$E491),($E491*(1-$D$457))*$D491),0)*J$453</f>
        <v>0</v>
      </c>
      <c r="K491">
        <f>IF(K$455&gt;=$C491,MIN(-(SUM($F491:J491)-$E491),($E491*(1-$D$457))*$D491),0)*K$453</f>
        <v>0</v>
      </c>
      <c r="L491">
        <f>IF(L$455&gt;=$C491,MIN(-(SUM($F491:K491)-$E491),($E491*(1-$D$457))*$D491),0)*L$453</f>
        <v>0</v>
      </c>
      <c r="M491">
        <f>IF(M$455&gt;=$C491,MIN(-(SUM($F491:L491)-$E491),($E491*(1-$D$457))*$D491),0)*M$453</f>
        <v>0</v>
      </c>
      <c r="N491">
        <f>IF(N$455&gt;=$C491,MIN(-(SUM($F491:M491)-$E491),($E491*(1-$D$457))*$D491),0)*N$453</f>
        <v>0</v>
      </c>
      <c r="O491">
        <f>IF(O$455&gt;=$C491,MIN(-(SUM($F491:N491)-$E491),($E491*(1-$D$457))*$D491),0)*O$453</f>
        <v>0</v>
      </c>
      <c r="P491">
        <f>IF(P$455&gt;=$C491,MIN(-(SUM($F491:O491)-$E491),($E491*(1-$D$457))*$D491),0)*P$453</f>
        <v>0</v>
      </c>
      <c r="Q491">
        <f>IF(Q$455&gt;=$C491,MIN(-(SUM($F491:P491)-$E491),($E491*(1-$D$457))*$D491),0)*Q$453</f>
        <v>0</v>
      </c>
      <c r="R491">
        <f>IF(R$455&gt;=$C491,MIN(-(SUM($F491:Q491)-$E491),($E491*(1-$D$457))*$D491),0)*R$453</f>
        <v>0</v>
      </c>
      <c r="S491">
        <f>IF(S$455&gt;=$C491,MIN(-(SUM($F491:R491)-$E491),($E491*(1-$D$457))*$D491),0)*S$453</f>
        <v>0</v>
      </c>
      <c r="T491">
        <f>IF(T$455&gt;=$C491,MIN(-(SUM($F491:S491)-$E491),($E491*(1-$D$457))*$D491),0)*T$453</f>
        <v>0</v>
      </c>
      <c r="U491">
        <f>IF(U$455&gt;=$C491,MIN(-(SUM($F491:T491)-$E491),($E491*(1-$D$457))*$D491),0)*U$453</f>
        <v>0</v>
      </c>
      <c r="V491">
        <f>IF(V$455&gt;=$C491,MIN(-(SUM($F491:U491)-$E491),($E491*(1-$D$457))*$D491),0)*V$453</f>
        <v>0</v>
      </c>
      <c r="W491">
        <f>IF(W$455&gt;=$C491,MIN(-(SUM($F491:V491)-$E491),($E491*(1-$D$457))*$D491),0)*W$453</f>
        <v>0</v>
      </c>
      <c r="X491">
        <f>IF(X$455&gt;=$C491,MIN(-(SUM($F491:W491)-$E491),($E491*(1-$D$457))*$D491),0)*X$453</f>
        <v>0</v>
      </c>
      <c r="Y491">
        <f>IF(Y$455&gt;=$C491,MIN(-(SUM($F491:X491)-$E491),($E491*(1-$D$457))*$D491),0)*Y$453</f>
        <v>0</v>
      </c>
      <c r="Z491">
        <f>IF(Z$455&gt;=$C491,MIN(-(SUM($F491:Y491)-$E491),($E491*(1-$D$457))*$D491),0)*Z$453</f>
        <v>0</v>
      </c>
      <c r="AA491">
        <f>IF(AA$455&gt;=$C491,MIN(-(SUM($F491:Z491)-$E491),($E491*(1-$D$457))*$D491),0)*AA$453</f>
        <v>0</v>
      </c>
      <c r="AB491">
        <f>IF(AB$455&gt;=$C491,MIN(-(SUM($F491:AA491)-$E491),($E491*(1-$D$457))*$D491),0)*AB$453</f>
        <v>0</v>
      </c>
      <c r="AC491">
        <f>IF(AC$455&gt;=$C491,MIN(-(SUM($F491:AB491)-$E491),($E491*(1-$D$457))*$D491),0)*AC$453</f>
        <v>0</v>
      </c>
      <c r="AD491">
        <f>IF(AD$455&gt;=$C491,MIN(-(SUM($F491:AC491)-$E491),($E491*(1-$D$457))*$D491),0)*AD$453</f>
        <v>0</v>
      </c>
      <c r="AE491">
        <f>IF(AE$455&gt;=$C491,MIN(-(SUM($F491:AD491)-$E491),($E491*(1-$D$457))*$D491),0)*AE$453</f>
        <v>0</v>
      </c>
      <c r="AF491">
        <f>IF(AF$455&gt;=$C491,MIN(-(SUM($F491:AE491)-$E491),($E491*(1-$D$457))*$D491),0)*AF$453</f>
        <v>0</v>
      </c>
      <c r="AG491">
        <f>IF(AG$455&gt;=$C491,MIN(-(SUM($F491:AF491)-$E491),($E491*(1-$D$457))*$D491),0)*AG$453</f>
        <v>0</v>
      </c>
      <c r="AH491">
        <f>IF(AH$455&gt;=$C491,MIN(-(SUM($F491:AG491)-$E491),($E491*(1-$D$457))*$D491),0)*AH$453</f>
        <v>0</v>
      </c>
      <c r="AI491">
        <f>IF(AI$455&gt;=$C491,MIN(-(SUM($F491:AH491)-$E491),($E491*(1-$D$457))*$D491),0)*AI$453</f>
        <v>0</v>
      </c>
      <c r="AJ491">
        <f>IF(AJ$455&gt;=$C491,MIN(-(SUM($F491:AI491)-$E491),($E491*(1-$D$457))*$D491),0)*AJ$453</f>
        <v>0</v>
      </c>
      <c r="AK491">
        <f>IF(AK$455&gt;=$C491,MIN(-(SUM($F491:AJ491)-$E491),($E491*(1-$D$457))*$D491),0)*AK$453</f>
        <v>0</v>
      </c>
      <c r="AL491">
        <f>IF(AL$455&gt;=$C491,MIN(-(SUM($F491:AK491)-$E491),($E491*(1-$D$457))*$D491),0)*AL$453</f>
        <v>0</v>
      </c>
      <c r="AM491">
        <f>IF(AM$455&gt;=$C491,MIN(-(SUM($F491:AL491)-$E491),($E491*(1-$D$457))*$D491),0)*AM$453</f>
        <v>0</v>
      </c>
      <c r="AN491">
        <f>IF(AN$455&gt;=$C491,MIN(-(SUM($F491:AM491)-$E491),($E491*(1-$D$457))*$D491),0)*AN$453</f>
        <v>0</v>
      </c>
    </row>
    <row r="492" spans="3:160" outlineLevel="4">
      <c r="C492">
        <v>33</v>
      </c>
      <c r="D492">
        <f>Inputs!$D$259</f>
        <v>0.1</v>
      </c>
      <c r="E492">
        <v>0</v>
      </c>
      <c r="F492" s="461">
        <f>E492*D457</f>
        <v>0</v>
      </c>
      <c r="G492">
        <f>IF(G$455&gt;=$C492,MIN(-(SUM(F492:$F492)-$E492),($E492*(1-$D$457))*$D492),0)*G$453</f>
        <v>0</v>
      </c>
      <c r="H492">
        <f>IF(H$455&gt;=$C492,MIN(-(SUM($F492:G492)-$E492),($E492*(1-$D$457))*$D492),0)*H$453</f>
        <v>0</v>
      </c>
      <c r="I492">
        <f>IF(I$455&gt;=$C492,MIN(-(SUM($F492:H492)-$E492),($E492*(1-$D$457))*$D492),0)*I$453</f>
        <v>0</v>
      </c>
      <c r="J492">
        <f>IF(J$455&gt;=$C492,MIN(-(SUM($F492:I492)-$E492),($E492*(1-$D$457))*$D492),0)*J$453</f>
        <v>0</v>
      </c>
      <c r="K492">
        <f>IF(K$455&gt;=$C492,MIN(-(SUM($F492:J492)-$E492),($E492*(1-$D$457))*$D492),0)*K$453</f>
        <v>0</v>
      </c>
      <c r="L492">
        <f>IF(L$455&gt;=$C492,MIN(-(SUM($F492:K492)-$E492),($E492*(1-$D$457))*$D492),0)*L$453</f>
        <v>0</v>
      </c>
      <c r="M492">
        <f>IF(M$455&gt;=$C492,MIN(-(SUM($F492:L492)-$E492),($E492*(1-$D$457))*$D492),0)*M$453</f>
        <v>0</v>
      </c>
      <c r="N492">
        <f>IF(N$455&gt;=$C492,MIN(-(SUM($F492:M492)-$E492),($E492*(1-$D$457))*$D492),0)*N$453</f>
        <v>0</v>
      </c>
      <c r="O492">
        <f>IF(O$455&gt;=$C492,MIN(-(SUM($F492:N492)-$E492),($E492*(1-$D$457))*$D492),0)*O$453</f>
        <v>0</v>
      </c>
      <c r="P492">
        <f>IF(P$455&gt;=$C492,MIN(-(SUM($F492:O492)-$E492),($E492*(1-$D$457))*$D492),0)*P$453</f>
        <v>0</v>
      </c>
      <c r="Q492">
        <f>IF(Q$455&gt;=$C492,MIN(-(SUM($F492:P492)-$E492),($E492*(1-$D$457))*$D492),0)*Q$453</f>
        <v>0</v>
      </c>
      <c r="R492">
        <f>IF(R$455&gt;=$C492,MIN(-(SUM($F492:Q492)-$E492),($E492*(1-$D$457))*$D492),0)*R$453</f>
        <v>0</v>
      </c>
      <c r="S492">
        <f>IF(S$455&gt;=$C492,MIN(-(SUM($F492:R492)-$E492),($E492*(1-$D$457))*$D492),0)*S$453</f>
        <v>0</v>
      </c>
      <c r="T492">
        <f>IF(T$455&gt;=$C492,MIN(-(SUM($F492:S492)-$E492),($E492*(1-$D$457))*$D492),0)*T$453</f>
        <v>0</v>
      </c>
      <c r="U492">
        <f>IF(U$455&gt;=$C492,MIN(-(SUM($F492:T492)-$E492),($E492*(1-$D$457))*$D492),0)*U$453</f>
        <v>0</v>
      </c>
      <c r="V492">
        <f>IF(V$455&gt;=$C492,MIN(-(SUM($F492:U492)-$E492),($E492*(1-$D$457))*$D492),0)*V$453</f>
        <v>0</v>
      </c>
      <c r="W492">
        <f>IF(W$455&gt;=$C492,MIN(-(SUM($F492:V492)-$E492),($E492*(1-$D$457))*$D492),0)*W$453</f>
        <v>0</v>
      </c>
      <c r="X492">
        <f>IF(X$455&gt;=$C492,MIN(-(SUM($F492:W492)-$E492),($E492*(1-$D$457))*$D492),0)*X$453</f>
        <v>0</v>
      </c>
      <c r="Y492">
        <f>IF(Y$455&gt;=$C492,MIN(-(SUM($F492:X492)-$E492),($E492*(1-$D$457))*$D492),0)*Y$453</f>
        <v>0</v>
      </c>
      <c r="Z492">
        <f>IF(Z$455&gt;=$C492,MIN(-(SUM($F492:Y492)-$E492),($E492*(1-$D$457))*$D492),0)*Z$453</f>
        <v>0</v>
      </c>
      <c r="AA492">
        <f>IF(AA$455&gt;=$C492,MIN(-(SUM($F492:Z492)-$E492),($E492*(1-$D$457))*$D492),0)*AA$453</f>
        <v>0</v>
      </c>
      <c r="AB492">
        <f>IF(AB$455&gt;=$C492,MIN(-(SUM($F492:AA492)-$E492),($E492*(1-$D$457))*$D492),0)*AB$453</f>
        <v>0</v>
      </c>
      <c r="AC492">
        <f>IF(AC$455&gt;=$C492,MIN(-(SUM($F492:AB492)-$E492),($E492*(1-$D$457))*$D492),0)*AC$453</f>
        <v>0</v>
      </c>
      <c r="AD492">
        <f>IF(AD$455&gt;=$C492,MIN(-(SUM($F492:AC492)-$E492),($E492*(1-$D$457))*$D492),0)*AD$453</f>
        <v>0</v>
      </c>
      <c r="AE492">
        <f>IF(AE$455&gt;=$C492,MIN(-(SUM($F492:AD492)-$E492),($E492*(1-$D$457))*$D492),0)*AE$453</f>
        <v>0</v>
      </c>
      <c r="AF492">
        <f>IF(AF$455&gt;=$C492,MIN(-(SUM($F492:AE492)-$E492),($E492*(1-$D$457))*$D492),0)*AF$453</f>
        <v>0</v>
      </c>
      <c r="AG492">
        <f>IF(AG$455&gt;=$C492,MIN(-(SUM($F492:AF492)-$E492),($E492*(1-$D$457))*$D492),0)*AG$453</f>
        <v>0</v>
      </c>
      <c r="AH492">
        <f>IF(AH$455&gt;=$C492,MIN(-(SUM($F492:AG492)-$E492),($E492*(1-$D$457))*$D492),0)*AH$453</f>
        <v>0</v>
      </c>
      <c r="AI492">
        <f>IF(AI$455&gt;=$C492,MIN(-(SUM($F492:AH492)-$E492),($E492*(1-$D$457))*$D492),0)*AI$453</f>
        <v>0</v>
      </c>
      <c r="AJ492">
        <f>IF(AJ$455&gt;=$C492,MIN(-(SUM($F492:AI492)-$E492),($E492*(1-$D$457))*$D492),0)*AJ$453</f>
        <v>0</v>
      </c>
      <c r="AK492">
        <f>IF(AK$455&gt;=$C492,MIN(-(SUM($F492:AJ492)-$E492),($E492*(1-$D$457))*$D492),0)*AK$453</f>
        <v>0</v>
      </c>
      <c r="AL492">
        <f>IF(AL$455&gt;=$C492,MIN(-(SUM($F492:AK492)-$E492),($E492*(1-$D$457))*$D492),0)*AL$453</f>
        <v>0</v>
      </c>
      <c r="AM492">
        <f>IF(AM$455&gt;=$C492,MIN(-(SUM($F492:AL492)-$E492),($E492*(1-$D$457))*$D492),0)*AM$453</f>
        <v>0</v>
      </c>
      <c r="AN492">
        <f>IF(AN$455&gt;=$C492,MIN(-(SUM($F492:AM492)-$E492),($E492*(1-$D$457))*$D492),0)*AN$453</f>
        <v>0</v>
      </c>
    </row>
    <row r="493" spans="3:160" outlineLevel="4">
      <c r="C493">
        <v>34</v>
      </c>
      <c r="D493">
        <f>Inputs!$D$259</f>
        <v>0.1</v>
      </c>
      <c r="E493">
        <v>0</v>
      </c>
      <c r="F493" s="461">
        <f>E493*D457</f>
        <v>0</v>
      </c>
      <c r="G493">
        <f>IF(G$455&gt;=$C493,MIN(-(SUM(F493:$F493)-$E493),($E493*(1-$D$457))*$D493),0)*G$453</f>
        <v>0</v>
      </c>
      <c r="H493">
        <f>IF(H$455&gt;=$C493,MIN(-(SUM($F493:G493)-$E493),($E493*(1-$D$457))*$D493),0)*H$453</f>
        <v>0</v>
      </c>
      <c r="I493">
        <f>IF(I$455&gt;=$C493,MIN(-(SUM($F493:H493)-$E493),($E493*(1-$D$457))*$D493),0)*I$453</f>
        <v>0</v>
      </c>
      <c r="J493">
        <f>IF(J$455&gt;=$C493,MIN(-(SUM($F493:I493)-$E493),($E493*(1-$D$457))*$D493),0)*J$453</f>
        <v>0</v>
      </c>
      <c r="K493">
        <f>IF(K$455&gt;=$C493,MIN(-(SUM($F493:J493)-$E493),($E493*(1-$D$457))*$D493),0)*K$453</f>
        <v>0</v>
      </c>
      <c r="L493">
        <f>IF(L$455&gt;=$C493,MIN(-(SUM($F493:K493)-$E493),($E493*(1-$D$457))*$D493),0)*L$453</f>
        <v>0</v>
      </c>
      <c r="M493">
        <f>IF(M$455&gt;=$C493,MIN(-(SUM($F493:L493)-$E493),($E493*(1-$D$457))*$D493),0)*M$453</f>
        <v>0</v>
      </c>
      <c r="N493">
        <f>IF(N$455&gt;=$C493,MIN(-(SUM($F493:M493)-$E493),($E493*(1-$D$457))*$D493),0)*N$453</f>
        <v>0</v>
      </c>
      <c r="O493">
        <f>IF(O$455&gt;=$C493,MIN(-(SUM($F493:N493)-$E493),($E493*(1-$D$457))*$D493),0)*O$453</f>
        <v>0</v>
      </c>
      <c r="P493">
        <f>IF(P$455&gt;=$C493,MIN(-(SUM($F493:O493)-$E493),($E493*(1-$D$457))*$D493),0)*P$453</f>
        <v>0</v>
      </c>
      <c r="Q493">
        <f>IF(Q$455&gt;=$C493,MIN(-(SUM($F493:P493)-$E493),($E493*(1-$D$457))*$D493),0)*Q$453</f>
        <v>0</v>
      </c>
      <c r="R493">
        <f>IF(R$455&gt;=$C493,MIN(-(SUM($F493:Q493)-$E493),($E493*(1-$D$457))*$D493),0)*R$453</f>
        <v>0</v>
      </c>
      <c r="S493">
        <f>IF(S$455&gt;=$C493,MIN(-(SUM($F493:R493)-$E493),($E493*(1-$D$457))*$D493),0)*S$453</f>
        <v>0</v>
      </c>
      <c r="T493">
        <f>IF(T$455&gt;=$C493,MIN(-(SUM($F493:S493)-$E493),($E493*(1-$D$457))*$D493),0)*T$453</f>
        <v>0</v>
      </c>
      <c r="U493">
        <f>IF(U$455&gt;=$C493,MIN(-(SUM($F493:T493)-$E493),($E493*(1-$D$457))*$D493),0)*U$453</f>
        <v>0</v>
      </c>
      <c r="V493">
        <f>IF(V$455&gt;=$C493,MIN(-(SUM($F493:U493)-$E493),($E493*(1-$D$457))*$D493),0)*V$453</f>
        <v>0</v>
      </c>
      <c r="W493">
        <f>IF(W$455&gt;=$C493,MIN(-(SUM($F493:V493)-$E493),($E493*(1-$D$457))*$D493),0)*W$453</f>
        <v>0</v>
      </c>
      <c r="X493">
        <f>IF(X$455&gt;=$C493,MIN(-(SUM($F493:W493)-$E493),($E493*(1-$D$457))*$D493),0)*X$453</f>
        <v>0</v>
      </c>
      <c r="Y493">
        <f>IF(Y$455&gt;=$C493,MIN(-(SUM($F493:X493)-$E493),($E493*(1-$D$457))*$D493),0)*Y$453</f>
        <v>0</v>
      </c>
      <c r="Z493">
        <f>IF(Z$455&gt;=$C493,MIN(-(SUM($F493:Y493)-$E493),($E493*(1-$D$457))*$D493),0)*Z$453</f>
        <v>0</v>
      </c>
      <c r="AA493">
        <f>IF(AA$455&gt;=$C493,MIN(-(SUM($F493:Z493)-$E493),($E493*(1-$D$457))*$D493),0)*AA$453</f>
        <v>0</v>
      </c>
      <c r="AB493">
        <f>IF(AB$455&gt;=$C493,MIN(-(SUM($F493:AA493)-$E493),($E493*(1-$D$457))*$D493),0)*AB$453</f>
        <v>0</v>
      </c>
      <c r="AC493">
        <f>IF(AC$455&gt;=$C493,MIN(-(SUM($F493:AB493)-$E493),($E493*(1-$D$457))*$D493),0)*AC$453</f>
        <v>0</v>
      </c>
      <c r="AD493">
        <f>IF(AD$455&gt;=$C493,MIN(-(SUM($F493:AC493)-$E493),($E493*(1-$D$457))*$D493),0)*AD$453</f>
        <v>0</v>
      </c>
      <c r="AE493">
        <f>IF(AE$455&gt;=$C493,MIN(-(SUM($F493:AD493)-$E493),($E493*(1-$D$457))*$D493),0)*AE$453</f>
        <v>0</v>
      </c>
      <c r="AF493">
        <f>IF(AF$455&gt;=$C493,MIN(-(SUM($F493:AE493)-$E493),($E493*(1-$D$457))*$D493),0)*AF$453</f>
        <v>0</v>
      </c>
      <c r="AG493">
        <f>IF(AG$455&gt;=$C493,MIN(-(SUM($F493:AF493)-$E493),($E493*(1-$D$457))*$D493),0)*AG$453</f>
        <v>0</v>
      </c>
      <c r="AH493">
        <f>IF(AH$455&gt;=$C493,MIN(-(SUM($F493:AG493)-$E493),($E493*(1-$D$457))*$D493),0)*AH$453</f>
        <v>0</v>
      </c>
      <c r="AI493">
        <f>IF(AI$455&gt;=$C493,MIN(-(SUM($F493:AH493)-$E493),($E493*(1-$D$457))*$D493),0)*AI$453</f>
        <v>0</v>
      </c>
      <c r="AJ493">
        <f>IF(AJ$455&gt;=$C493,MIN(-(SUM($F493:AI493)-$E493),($E493*(1-$D$457))*$D493),0)*AJ$453</f>
        <v>0</v>
      </c>
      <c r="AK493">
        <f>IF(AK$455&gt;=$C493,MIN(-(SUM($F493:AJ493)-$E493),($E493*(1-$D$457))*$D493),0)*AK$453</f>
        <v>0</v>
      </c>
      <c r="AL493">
        <f>IF(AL$455&gt;=$C493,MIN(-(SUM($F493:AK493)-$E493),($E493*(1-$D$457))*$D493),0)*AL$453</f>
        <v>0</v>
      </c>
      <c r="AM493">
        <f>IF(AM$455&gt;=$C493,MIN(-(SUM($F493:AL493)-$E493),($E493*(1-$D$457))*$D493),0)*AM$453</f>
        <v>0</v>
      </c>
      <c r="AN493">
        <f>IF(AN$455&gt;=$C493,MIN(-(SUM($F493:AM493)-$E493),($E493*(1-$D$457))*$D493),0)*AN$453</f>
        <v>0</v>
      </c>
    </row>
    <row r="494" spans="3:160" ht="16.2" outlineLevel="4" thickBot="1">
      <c r="C494" s="323" t="s">
        <v>473</v>
      </c>
      <c r="D494"/>
      <c r="E494" s="233"/>
      <c r="F494" s="324" t="s">
        <v>13</v>
      </c>
      <c r="G494">
        <f t="shared" ref="G494:AN494" si="491">SUM(G460:G493)</f>
        <v>3</v>
      </c>
      <c r="H494">
        <f t="shared" si="491"/>
        <v>3</v>
      </c>
      <c r="I494">
        <f t="shared" si="491"/>
        <v>3</v>
      </c>
      <c r="J494">
        <f t="shared" si="491"/>
        <v>3</v>
      </c>
      <c r="K494">
        <f t="shared" si="491"/>
        <v>3</v>
      </c>
      <c r="L494">
        <f t="shared" si="491"/>
        <v>6</v>
      </c>
      <c r="M494">
        <f t="shared" si="491"/>
        <v>6</v>
      </c>
      <c r="N494">
        <f t="shared" si="491"/>
        <v>6</v>
      </c>
      <c r="O494">
        <f t="shared" si="491"/>
        <v>6</v>
      </c>
      <c r="P494">
        <f t="shared" si="491"/>
        <v>6</v>
      </c>
      <c r="Q494">
        <f t="shared" si="491"/>
        <v>6</v>
      </c>
      <c r="R494">
        <f t="shared" si="491"/>
        <v>6</v>
      </c>
      <c r="S494">
        <f t="shared" si="491"/>
        <v>6</v>
      </c>
      <c r="T494">
        <f t="shared" si="491"/>
        <v>6</v>
      </c>
      <c r="U494">
        <f t="shared" si="491"/>
        <v>6</v>
      </c>
      <c r="V494">
        <f t="shared" si="491"/>
        <v>6</v>
      </c>
      <c r="W494">
        <f t="shared" si="491"/>
        <v>6</v>
      </c>
      <c r="X494">
        <f t="shared" si="491"/>
        <v>6</v>
      </c>
      <c r="Y494">
        <f t="shared" si="491"/>
        <v>6</v>
      </c>
      <c r="Z494">
        <f t="shared" si="491"/>
        <v>6</v>
      </c>
      <c r="AA494">
        <f t="shared" si="491"/>
        <v>6</v>
      </c>
      <c r="AB494">
        <f t="shared" si="491"/>
        <v>6</v>
      </c>
      <c r="AC494">
        <f t="shared" si="491"/>
        <v>6</v>
      </c>
      <c r="AD494">
        <f t="shared" si="491"/>
        <v>6</v>
      </c>
      <c r="AE494">
        <f t="shared" si="491"/>
        <v>6</v>
      </c>
      <c r="AF494">
        <f t="shared" si="491"/>
        <v>6</v>
      </c>
      <c r="AG494">
        <f t="shared" si="491"/>
        <v>6</v>
      </c>
      <c r="AH494">
        <f t="shared" si="491"/>
        <v>6</v>
      </c>
      <c r="AI494">
        <f t="shared" si="491"/>
        <v>6</v>
      </c>
      <c r="AJ494">
        <f t="shared" si="491"/>
        <v>6</v>
      </c>
      <c r="AK494">
        <f t="shared" si="491"/>
        <v>0</v>
      </c>
      <c r="AL494">
        <f t="shared" si="491"/>
        <v>0</v>
      </c>
      <c r="AM494">
        <f t="shared" si="491"/>
        <v>0</v>
      </c>
      <c r="AN494">
        <f t="shared" si="491"/>
        <v>0</v>
      </c>
      <c r="AO494" s="325"/>
      <c r="AP494" s="325"/>
      <c r="AQ494" s="325"/>
      <c r="AR494" s="325"/>
      <c r="AS494" s="325"/>
      <c r="AT494" s="325"/>
      <c r="AU494" s="325"/>
      <c r="AV494" s="325"/>
      <c r="AW494" s="325"/>
      <c r="AX494" s="325"/>
      <c r="AY494" s="325"/>
      <c r="AZ494" s="325"/>
      <c r="BA494" s="325"/>
      <c r="BB494" s="325"/>
      <c r="BC494" s="325"/>
      <c r="BD494" s="325"/>
      <c r="BE494" s="325"/>
      <c r="BF494" s="325"/>
      <c r="BG494" s="325"/>
      <c r="BH494" s="325"/>
      <c r="BI494" s="325"/>
      <c r="BJ494" s="325"/>
      <c r="BK494" s="325"/>
      <c r="BL494" s="325"/>
      <c r="BM494" s="325"/>
      <c r="BN494" s="325"/>
      <c r="BO494" s="325"/>
      <c r="BP494" s="325"/>
      <c r="BQ494" s="325"/>
      <c r="BR494" s="325"/>
      <c r="BS494" s="325"/>
      <c r="BT494" s="325"/>
      <c r="BU494" s="325"/>
      <c r="BV494" s="325"/>
      <c r="BW494" s="325"/>
      <c r="BX494" s="325"/>
      <c r="BY494" s="325"/>
      <c r="BZ494" s="325"/>
      <c r="CA494" s="325"/>
      <c r="CB494" s="325"/>
      <c r="CC494" s="325"/>
      <c r="CD494" s="325"/>
      <c r="CE494" s="325"/>
      <c r="CF494" s="325"/>
      <c r="CG494" s="325"/>
      <c r="CH494" s="325"/>
      <c r="CI494" s="325"/>
      <c r="CJ494" s="325"/>
      <c r="CK494" s="325"/>
      <c r="CL494" s="325"/>
      <c r="CM494" s="325"/>
      <c r="CN494" s="325"/>
      <c r="CO494" s="325"/>
      <c r="CP494" s="325"/>
      <c r="CQ494" s="325"/>
      <c r="CR494" s="325"/>
      <c r="CS494" s="325"/>
      <c r="CT494" s="325"/>
      <c r="CU494" s="325"/>
      <c r="CV494" s="325"/>
      <c r="CW494" s="325"/>
      <c r="CX494" s="325"/>
      <c r="CY494" s="325"/>
      <c r="CZ494" s="325"/>
      <c r="DA494" s="325"/>
      <c r="DB494" s="325"/>
      <c r="DC494" s="325"/>
      <c r="DD494" s="325"/>
      <c r="DE494" s="325"/>
      <c r="DF494" s="325"/>
      <c r="DG494" s="325"/>
      <c r="DH494" s="325"/>
      <c r="DI494" s="325"/>
      <c r="DJ494" s="325"/>
      <c r="DK494" s="325"/>
      <c r="DL494" s="325"/>
      <c r="DM494" s="325"/>
      <c r="DN494" s="325"/>
      <c r="DO494" s="325"/>
      <c r="DP494" s="325"/>
      <c r="DQ494" s="325"/>
      <c r="DR494" s="325"/>
      <c r="DS494" s="325"/>
      <c r="DT494" s="325"/>
      <c r="DU494" s="325"/>
      <c r="DV494" s="325"/>
      <c r="DW494" s="325"/>
      <c r="DX494" s="325"/>
      <c r="DY494" s="325"/>
      <c r="DZ494" s="325"/>
      <c r="EA494" s="325"/>
      <c r="EB494" s="325"/>
      <c r="EC494" s="325"/>
      <c r="ED494" s="325"/>
      <c r="EE494" s="325"/>
      <c r="EF494" s="325"/>
      <c r="EG494" s="325"/>
      <c r="EH494" s="325"/>
      <c r="EI494" s="325"/>
      <c r="EJ494" s="325"/>
      <c r="EK494" s="325"/>
      <c r="EL494" s="325"/>
      <c r="EM494" s="325"/>
      <c r="EN494" s="325"/>
      <c r="EO494" s="325"/>
      <c r="EP494" s="325"/>
      <c r="EQ494" s="325"/>
      <c r="ER494" s="325"/>
      <c r="ES494" s="325"/>
      <c r="ET494" s="325"/>
      <c r="EU494" s="325"/>
      <c r="EV494" s="325"/>
      <c r="EW494" s="325"/>
      <c r="EX494" s="325"/>
      <c r="EY494" s="325"/>
      <c r="EZ494" s="325"/>
      <c r="FA494" s="325"/>
      <c r="FB494" s="325"/>
      <c r="FC494" s="325"/>
      <c r="FD494" s="325"/>
    </row>
    <row r="495" spans="3:160" ht="16.2" outlineLevel="3" thickTop="1">
      <c r="C495"/>
      <c r="D495" s="266"/>
      <c r="E495" s="76"/>
      <c r="F495"/>
    </row>
    <row r="496" spans="3:160" outlineLevel="2">
      <c r="C496"/>
      <c r="D496" s="266"/>
      <c r="E496" s="76"/>
      <c r="F496"/>
    </row>
    <row r="497" spans="3:40" outlineLevel="2">
      <c r="C497" t="s">
        <v>297</v>
      </c>
      <c r="D497" s="266"/>
      <c r="E497" s="76"/>
      <c r="F497"/>
    </row>
    <row r="498" spans="3:40" outlineLevel="3">
      <c r="C498"/>
      <c r="D498" s="266"/>
      <c r="E498" s="76"/>
      <c r="F498"/>
    </row>
    <row r="499" spans="3:40" outlineLevel="3">
      <c r="C499" t="s">
        <v>464</v>
      </c>
      <c r="D499" s="266"/>
      <c r="E499" s="76"/>
      <c r="F499"/>
    </row>
    <row r="500" spans="3:40" outlineLevel="4">
      <c r="C500"/>
      <c r="D500" s="266"/>
      <c r="E500" s="76"/>
      <c r="F500"/>
    </row>
    <row r="501" spans="3:40" outlineLevel="4">
      <c r="C501" t="s">
        <v>474</v>
      </c>
      <c r="D501" s="266"/>
      <c r="E501" s="76" t="s">
        <v>13</v>
      </c>
      <c r="F501" s="273"/>
      <c r="G501" s="273">
        <f t="shared" ref="G501:AN501" si="492">F504</f>
        <v>0</v>
      </c>
      <c r="H501" s="273">
        <f t="shared" si="492"/>
        <v>6472.8675759999996</v>
      </c>
      <c r="I501" s="273">
        <f t="shared" si="492"/>
        <v>4854.6506819999995</v>
      </c>
      <c r="J501" s="273">
        <f t="shared" si="492"/>
        <v>3755.4095959999995</v>
      </c>
      <c r="K501" s="273">
        <f t="shared" si="492"/>
        <v>2007.4487499999993</v>
      </c>
      <c r="L501" s="273">
        <f t="shared" si="492"/>
        <v>259.48790400000007</v>
      </c>
      <c r="M501" s="273">
        <f t="shared" si="492"/>
        <v>129.74395200000006</v>
      </c>
      <c r="N501" s="273">
        <f t="shared" si="492"/>
        <v>0</v>
      </c>
      <c r="O501" s="273">
        <f t="shared" si="492"/>
        <v>6455.9395759999998</v>
      </c>
      <c r="P501" s="273">
        <f t="shared" si="492"/>
        <v>4841.9546819999996</v>
      </c>
      <c r="Q501" s="273">
        <f t="shared" si="492"/>
        <v>3227.9697879999994</v>
      </c>
      <c r="R501" s="273">
        <f t="shared" si="492"/>
        <v>1630.9128939999991</v>
      </c>
      <c r="S501" s="273">
        <f t="shared" si="492"/>
        <v>12.695999999999913</v>
      </c>
      <c r="T501" s="273">
        <f t="shared" si="492"/>
        <v>527.43980799999997</v>
      </c>
      <c r="U501" s="273">
        <f t="shared" si="492"/>
        <v>393.46385599999996</v>
      </c>
      <c r="V501" s="273">
        <f t="shared" si="492"/>
        <v>6715.4274800000003</v>
      </c>
      <c r="W501" s="273">
        <f t="shared" si="492"/>
        <v>4971.6986340000003</v>
      </c>
      <c r="X501" s="273">
        <f t="shared" si="492"/>
        <v>3227.9697880000003</v>
      </c>
      <c r="Y501" s="273">
        <f t="shared" si="492"/>
        <v>1613.9848940000002</v>
      </c>
      <c r="Z501" s="273">
        <f t="shared" si="492"/>
        <v>0</v>
      </c>
      <c r="AA501" s="273">
        <f t="shared" si="492"/>
        <v>0</v>
      </c>
      <c r="AB501" s="273">
        <f t="shared" si="492"/>
        <v>16.928000000000001</v>
      </c>
      <c r="AC501" s="273">
        <f t="shared" si="492"/>
        <v>6468.6355759999997</v>
      </c>
      <c r="AD501" s="273">
        <f t="shared" si="492"/>
        <v>5369.3944899999997</v>
      </c>
      <c r="AE501" s="273">
        <f t="shared" si="492"/>
        <v>3621.4336439999997</v>
      </c>
      <c r="AF501" s="273">
        <f t="shared" si="492"/>
        <v>1873.4727979999996</v>
      </c>
      <c r="AG501" s="273">
        <f t="shared" si="492"/>
        <v>129.74395200000026</v>
      </c>
      <c r="AH501" s="273">
        <f t="shared" si="492"/>
        <v>2.5579538487363607E-13</v>
      </c>
      <c r="AI501" s="273">
        <f t="shared" si="492"/>
        <v>1409.1937760000001</v>
      </c>
      <c r="AJ501" s="273">
        <f t="shared" si="492"/>
        <v>6103.6411319999997</v>
      </c>
      <c r="AK501" s="273">
        <f t="shared" si="492"/>
        <v>4489.6562379999996</v>
      </c>
      <c r="AL501" s="273">
        <f t="shared" si="492"/>
        <v>4489.6562379999996</v>
      </c>
      <c r="AM501" s="273">
        <f t="shared" si="492"/>
        <v>4489.6562379999996</v>
      </c>
      <c r="AN501" s="273">
        <f t="shared" si="492"/>
        <v>4489.6562379999996</v>
      </c>
    </row>
    <row r="502" spans="3:40" outlineLevel="4">
      <c r="C502" t="s">
        <v>475</v>
      </c>
      <c r="D502" s="275"/>
      <c r="E502" s="203" t="s">
        <v>13</v>
      </c>
      <c r="F502" s="88">
        <f>SUM(G502:AN502)</f>
        <v>42359.261630000001</v>
      </c>
      <c r="G502" s="322">
        <f>G424</f>
        <v>8091.0844699999998</v>
      </c>
      <c r="H502" s="322">
        <f t="shared" ref="H502:AN502" si="493">H424</f>
        <v>0</v>
      </c>
      <c r="I502" s="322">
        <f t="shared" si="493"/>
        <v>648.71976000000006</v>
      </c>
      <c r="J502" s="322">
        <f t="shared" si="493"/>
        <v>0</v>
      </c>
      <c r="K502" s="322">
        <f t="shared" si="493"/>
        <v>0</v>
      </c>
      <c r="L502" s="322">
        <f t="shared" si="493"/>
        <v>0</v>
      </c>
      <c r="M502" s="322">
        <f t="shared" si="493"/>
        <v>0</v>
      </c>
      <c r="N502" s="322">
        <f t="shared" si="493"/>
        <v>8069.9244699999999</v>
      </c>
      <c r="O502" s="322">
        <f t="shared" si="493"/>
        <v>0</v>
      </c>
      <c r="P502" s="322">
        <f t="shared" si="493"/>
        <v>0</v>
      </c>
      <c r="Q502" s="322">
        <f t="shared" si="493"/>
        <v>21.16</v>
      </c>
      <c r="R502" s="322">
        <f t="shared" si="493"/>
        <v>0</v>
      </c>
      <c r="S502" s="322">
        <f t="shared" si="493"/>
        <v>648.71976000000006</v>
      </c>
      <c r="T502" s="322">
        <f t="shared" si="493"/>
        <v>0</v>
      </c>
      <c r="U502" s="322">
        <f t="shared" si="493"/>
        <v>8069.9244699999999</v>
      </c>
      <c r="V502" s="322">
        <f t="shared" si="493"/>
        <v>0</v>
      </c>
      <c r="W502" s="322">
        <f t="shared" si="493"/>
        <v>0</v>
      </c>
      <c r="X502" s="322">
        <f t="shared" si="493"/>
        <v>0</v>
      </c>
      <c r="Y502" s="322">
        <f t="shared" si="493"/>
        <v>0</v>
      </c>
      <c r="Z502" s="322">
        <f t="shared" si="493"/>
        <v>0</v>
      </c>
      <c r="AA502" s="322">
        <f t="shared" si="493"/>
        <v>21.16</v>
      </c>
      <c r="AB502" s="322">
        <f t="shared" si="493"/>
        <v>8069.9244699999999</v>
      </c>
      <c r="AC502" s="322">
        <f t="shared" si="493"/>
        <v>648.71976000000006</v>
      </c>
      <c r="AD502" s="322">
        <f t="shared" si="493"/>
        <v>0</v>
      </c>
      <c r="AE502" s="322">
        <f t="shared" si="493"/>
        <v>0</v>
      </c>
      <c r="AF502" s="322">
        <f t="shared" si="493"/>
        <v>0</v>
      </c>
      <c r="AG502" s="322">
        <f t="shared" si="493"/>
        <v>0</v>
      </c>
      <c r="AH502" s="322">
        <f t="shared" si="493"/>
        <v>1761.4922199999999</v>
      </c>
      <c r="AI502" s="322">
        <f t="shared" si="493"/>
        <v>6308.4322499999998</v>
      </c>
      <c r="AJ502" s="322">
        <f t="shared" si="493"/>
        <v>0</v>
      </c>
      <c r="AK502" s="322">
        <f t="shared" si="493"/>
        <v>0</v>
      </c>
      <c r="AL502" s="322">
        <f t="shared" si="493"/>
        <v>0</v>
      </c>
      <c r="AM502" s="322">
        <f t="shared" si="493"/>
        <v>0</v>
      </c>
      <c r="AN502" s="322">
        <f t="shared" si="493"/>
        <v>0</v>
      </c>
    </row>
    <row r="503" spans="3:40" outlineLevel="4">
      <c r="C503" t="s">
        <v>467</v>
      </c>
      <c r="D503" s="266"/>
      <c r="E503" s="76" t="s">
        <v>13</v>
      </c>
      <c r="F503" s="50">
        <f>SUM(G503:AN503)</f>
        <v>-37869.605392000019</v>
      </c>
      <c r="G503" s="273">
        <f>-G549</f>
        <v>-1618.2168940000001</v>
      </c>
      <c r="H503" s="273">
        <f>-H549</f>
        <v>-1618.2168940000001</v>
      </c>
      <c r="I503" s="273">
        <f t="shared" ref="I503:AN503" si="494">-I549</f>
        <v>-1747.9608460000002</v>
      </c>
      <c r="J503" s="273">
        <f t="shared" si="494"/>
        <v>-1747.9608460000002</v>
      </c>
      <c r="K503" s="273">
        <f t="shared" si="494"/>
        <v>-1747.9608459999993</v>
      </c>
      <c r="L503" s="273">
        <f t="shared" si="494"/>
        <v>-129.74395200000001</v>
      </c>
      <c r="M503" s="273">
        <f t="shared" si="494"/>
        <v>-129.74395200000001</v>
      </c>
      <c r="N503" s="273">
        <f t="shared" si="494"/>
        <v>-1613.9848940000002</v>
      </c>
      <c r="O503" s="273">
        <f t="shared" si="494"/>
        <v>-1613.9848940000002</v>
      </c>
      <c r="P503" s="273">
        <f t="shared" si="494"/>
        <v>-1613.9848940000002</v>
      </c>
      <c r="Q503" s="273">
        <f t="shared" si="494"/>
        <v>-1618.2168940000001</v>
      </c>
      <c r="R503" s="273">
        <f t="shared" si="494"/>
        <v>-1618.2168939999992</v>
      </c>
      <c r="S503" s="273">
        <f t="shared" si="494"/>
        <v>-133.97595200000001</v>
      </c>
      <c r="T503" s="273">
        <f t="shared" si="494"/>
        <v>-133.97595200000001</v>
      </c>
      <c r="U503" s="273">
        <f t="shared" si="494"/>
        <v>-1747.9608460000002</v>
      </c>
      <c r="V503" s="273">
        <f t="shared" si="494"/>
        <v>-1743.7288460000002</v>
      </c>
      <c r="W503" s="273">
        <f t="shared" si="494"/>
        <v>-1743.7288460000002</v>
      </c>
      <c r="X503" s="273">
        <f t="shared" si="494"/>
        <v>-1613.9848940000002</v>
      </c>
      <c r="Y503" s="273">
        <f t="shared" si="494"/>
        <v>-1613.9848939999993</v>
      </c>
      <c r="Z503" s="273">
        <f t="shared" si="494"/>
        <v>0</v>
      </c>
      <c r="AA503" s="273">
        <f t="shared" si="494"/>
        <v>-4.2320000000000002</v>
      </c>
      <c r="AB503" s="273">
        <f t="shared" si="494"/>
        <v>-1618.2168940000001</v>
      </c>
      <c r="AC503" s="273">
        <f t="shared" si="494"/>
        <v>-1747.9608460000002</v>
      </c>
      <c r="AD503" s="273">
        <f t="shared" si="494"/>
        <v>-1747.9608460000002</v>
      </c>
      <c r="AE503" s="273">
        <f t="shared" si="494"/>
        <v>-1747.9608460000002</v>
      </c>
      <c r="AF503" s="273">
        <f t="shared" si="494"/>
        <v>-1743.7288459999993</v>
      </c>
      <c r="AG503" s="273">
        <f t="shared" si="494"/>
        <v>-129.74395200000001</v>
      </c>
      <c r="AH503" s="273">
        <f t="shared" si="494"/>
        <v>-352.29844400000002</v>
      </c>
      <c r="AI503" s="273">
        <f t="shared" si="494"/>
        <v>-1613.9848940000002</v>
      </c>
      <c r="AJ503" s="273">
        <f t="shared" si="494"/>
        <v>-1613.9848940000002</v>
      </c>
      <c r="AK503" s="273">
        <f t="shared" si="494"/>
        <v>0</v>
      </c>
      <c r="AL503" s="273">
        <f t="shared" si="494"/>
        <v>0</v>
      </c>
      <c r="AM503" s="273">
        <f t="shared" si="494"/>
        <v>0</v>
      </c>
      <c r="AN503" s="273">
        <f t="shared" si="494"/>
        <v>0</v>
      </c>
    </row>
    <row r="504" spans="3:40" outlineLevel="4">
      <c r="C504" t="s">
        <v>476</v>
      </c>
      <c r="D504" s="275"/>
      <c r="E504" s="203" t="s">
        <v>13</v>
      </c>
      <c r="F504" s="89"/>
      <c r="G504" s="287">
        <f t="shared" ref="G504:AN504" si="495">SUM(G501:G503)</f>
        <v>6472.8675759999996</v>
      </c>
      <c r="H504" s="287">
        <f t="shared" si="495"/>
        <v>4854.6506819999995</v>
      </c>
      <c r="I504" s="287">
        <f t="shared" si="495"/>
        <v>3755.4095959999995</v>
      </c>
      <c r="J504" s="287">
        <f t="shared" si="495"/>
        <v>2007.4487499999993</v>
      </c>
      <c r="K504" s="287">
        <f>SUM(K501:K503)</f>
        <v>259.48790400000007</v>
      </c>
      <c r="L504" s="287">
        <f t="shared" si="495"/>
        <v>129.74395200000006</v>
      </c>
      <c r="M504" s="287">
        <f t="shared" si="495"/>
        <v>0</v>
      </c>
      <c r="N504" s="287">
        <f t="shared" si="495"/>
        <v>6455.9395759999998</v>
      </c>
      <c r="O504" s="287">
        <f t="shared" si="495"/>
        <v>4841.9546819999996</v>
      </c>
      <c r="P504" s="287">
        <f t="shared" si="495"/>
        <v>3227.9697879999994</v>
      </c>
      <c r="Q504" s="287">
        <f t="shared" si="495"/>
        <v>1630.9128939999991</v>
      </c>
      <c r="R504" s="287">
        <f t="shared" si="495"/>
        <v>12.695999999999913</v>
      </c>
      <c r="S504" s="287">
        <f t="shared" si="495"/>
        <v>527.43980799999997</v>
      </c>
      <c r="T504" s="287">
        <f t="shared" si="495"/>
        <v>393.46385599999996</v>
      </c>
      <c r="U504" s="287">
        <f t="shared" si="495"/>
        <v>6715.4274800000003</v>
      </c>
      <c r="V504" s="287">
        <f t="shared" si="495"/>
        <v>4971.6986340000003</v>
      </c>
      <c r="W504" s="287">
        <f t="shared" si="495"/>
        <v>3227.9697880000003</v>
      </c>
      <c r="X504" s="287">
        <f t="shared" si="495"/>
        <v>1613.9848940000002</v>
      </c>
      <c r="Y504" s="287">
        <f t="shared" si="495"/>
        <v>0</v>
      </c>
      <c r="Z504" s="287">
        <f t="shared" si="495"/>
        <v>0</v>
      </c>
      <c r="AA504" s="287">
        <f t="shared" si="495"/>
        <v>16.928000000000001</v>
      </c>
      <c r="AB504" s="287">
        <f t="shared" si="495"/>
        <v>6468.6355759999997</v>
      </c>
      <c r="AC504" s="287">
        <f t="shared" si="495"/>
        <v>5369.3944899999997</v>
      </c>
      <c r="AD504" s="287">
        <f t="shared" si="495"/>
        <v>3621.4336439999997</v>
      </c>
      <c r="AE504" s="287">
        <f t="shared" si="495"/>
        <v>1873.4727979999996</v>
      </c>
      <c r="AF504" s="287">
        <f t="shared" si="495"/>
        <v>129.74395200000026</v>
      </c>
      <c r="AG504" s="287">
        <f t="shared" si="495"/>
        <v>2.5579538487363607E-13</v>
      </c>
      <c r="AH504" s="287">
        <f t="shared" si="495"/>
        <v>1409.1937760000001</v>
      </c>
      <c r="AI504" s="287">
        <f t="shared" si="495"/>
        <v>6103.6411319999997</v>
      </c>
      <c r="AJ504" s="287">
        <f t="shared" si="495"/>
        <v>4489.6562379999996</v>
      </c>
      <c r="AK504" s="287">
        <f t="shared" si="495"/>
        <v>4489.6562379999996</v>
      </c>
      <c r="AL504" s="287">
        <f t="shared" si="495"/>
        <v>4489.6562379999996</v>
      </c>
      <c r="AM504" s="287">
        <f t="shared" si="495"/>
        <v>4489.6562379999996</v>
      </c>
      <c r="AN504" s="287">
        <f t="shared" si="495"/>
        <v>4489.6562379999996</v>
      </c>
    </row>
    <row r="505" spans="3:40" outlineLevel="3">
      <c r="C505"/>
      <c r="D505" s="266"/>
      <c r="E505" s="76"/>
      <c r="F505"/>
    </row>
    <row r="506" spans="3:40" outlineLevel="3">
      <c r="C506" t="s">
        <v>469</v>
      </c>
      <c r="D506" s="266"/>
      <c r="E506" s="76"/>
      <c r="F506"/>
    </row>
    <row r="507" spans="3:40" outlineLevel="4">
      <c r="C507"/>
      <c r="D507" s="266"/>
      <c r="E507" s="76"/>
      <c r="F507"/>
    </row>
    <row r="508" spans="3:40" outlineLevel="4">
      <c r="C508" s="303" t="str">
        <f>Flags!C$72</f>
        <v>Cons + Ops Flag</v>
      </c>
      <c r="D508" s="319"/>
      <c r="E508" s="41" t="str">
        <f>Flags!E$72</f>
        <v>Flag</v>
      </c>
      <c r="F508" s="23">
        <f>Flags!F$72</f>
        <v>30</v>
      </c>
      <c r="G508" s="25">
        <f>Flags!G$72</f>
        <v>1</v>
      </c>
      <c r="H508" s="25">
        <f>Flags!H$72</f>
        <v>1</v>
      </c>
      <c r="I508" s="25">
        <f>Flags!I$72</f>
        <v>1</v>
      </c>
      <c r="J508" s="25">
        <f>Flags!J$72</f>
        <v>1</v>
      </c>
      <c r="K508" s="25">
        <f>Flags!K$72</f>
        <v>1</v>
      </c>
      <c r="L508" s="25">
        <f>Flags!L$72</f>
        <v>1</v>
      </c>
      <c r="M508" s="25">
        <f>Flags!M$72</f>
        <v>1</v>
      </c>
      <c r="N508" s="25">
        <f>Flags!N$72</f>
        <v>1</v>
      </c>
      <c r="O508" s="25">
        <f>Flags!O$72</f>
        <v>1</v>
      </c>
      <c r="P508" s="25">
        <f>Flags!P$72</f>
        <v>1</v>
      </c>
      <c r="Q508" s="25">
        <f>Flags!Q$72</f>
        <v>1</v>
      </c>
      <c r="R508" s="25">
        <f>Flags!R$72</f>
        <v>1</v>
      </c>
      <c r="S508" s="25">
        <f>Flags!S$72</f>
        <v>1</v>
      </c>
      <c r="T508" s="25">
        <f>Flags!T$72</f>
        <v>1</v>
      </c>
      <c r="U508" s="25">
        <f>Flags!U$72</f>
        <v>1</v>
      </c>
      <c r="V508" s="25">
        <f>Flags!V$72</f>
        <v>1</v>
      </c>
      <c r="W508" s="25">
        <f>Flags!W$72</f>
        <v>1</v>
      </c>
      <c r="X508" s="25">
        <f>Flags!X$72</f>
        <v>1</v>
      </c>
      <c r="Y508" s="25">
        <f>Flags!Y$72</f>
        <v>1</v>
      </c>
      <c r="Z508" s="25">
        <f>Flags!Z$72</f>
        <v>1</v>
      </c>
      <c r="AA508" s="25">
        <f>Flags!AA$72</f>
        <v>1</v>
      </c>
      <c r="AB508" s="25">
        <f>Flags!AB$72</f>
        <v>1</v>
      </c>
      <c r="AC508" s="25">
        <f>Flags!AC$72</f>
        <v>1</v>
      </c>
      <c r="AD508" s="25">
        <f>Flags!AD$72</f>
        <v>1</v>
      </c>
      <c r="AE508" s="25">
        <f>Flags!AE$72</f>
        <v>1</v>
      </c>
      <c r="AF508" s="25">
        <f>Flags!AF$72</f>
        <v>1</v>
      </c>
      <c r="AG508" s="25">
        <f>Flags!AG$72</f>
        <v>1</v>
      </c>
      <c r="AH508" s="25">
        <f>Flags!AH$72</f>
        <v>1</v>
      </c>
      <c r="AI508" s="25">
        <f>Flags!AI$72</f>
        <v>1</v>
      </c>
      <c r="AJ508" s="25">
        <f>Flags!AJ$72</f>
        <v>1</v>
      </c>
      <c r="AK508" s="25">
        <f>Flags!AK$72</f>
        <v>0</v>
      </c>
      <c r="AL508" s="25">
        <f>Flags!AL$72</f>
        <v>0</v>
      </c>
      <c r="AM508" s="25">
        <f>Flags!AM$72</f>
        <v>0</v>
      </c>
      <c r="AN508" s="25">
        <f>Flags!AN$72</f>
        <v>0</v>
      </c>
    </row>
    <row r="509" spans="3:40" outlineLevel="4">
      <c r="C509"/>
      <c r="D509" s="266"/>
      <c r="E509" s="76"/>
      <c r="F509"/>
    </row>
    <row r="510" spans="3:40" outlineLevel="4">
      <c r="C510" s="303" t="str">
        <f>Flags!C$14</f>
        <v>Counter</v>
      </c>
      <c r="D510" s="266"/>
      <c r="E510" s="76" t="str">
        <f>Flags!E$14</f>
        <v>Counter</v>
      </c>
      <c r="F510" s="89">
        <f>Flags!F$14</f>
        <v>0</v>
      </c>
      <c r="G510" s="266">
        <f>Flags!G$14</f>
        <v>1</v>
      </c>
      <c r="H510" s="266">
        <f>Flags!H$14</f>
        <v>2</v>
      </c>
      <c r="I510" s="266">
        <f>Flags!I$14</f>
        <v>3</v>
      </c>
      <c r="J510" s="266">
        <f>Flags!J$14</f>
        <v>4</v>
      </c>
      <c r="K510" s="266">
        <f>Flags!K$14</f>
        <v>5</v>
      </c>
      <c r="L510" s="266">
        <f>Flags!L$14</f>
        <v>6</v>
      </c>
      <c r="M510" s="266">
        <f>Flags!M$14</f>
        <v>7</v>
      </c>
      <c r="N510" s="266">
        <f>Flags!N$14</f>
        <v>8</v>
      </c>
      <c r="O510" s="266">
        <f>Flags!O$14</f>
        <v>9</v>
      </c>
      <c r="P510" s="266">
        <f>Flags!P$14</f>
        <v>10</v>
      </c>
      <c r="Q510" s="266">
        <f>Flags!Q$14</f>
        <v>11</v>
      </c>
      <c r="R510" s="266">
        <f>Flags!R$14</f>
        <v>12</v>
      </c>
      <c r="S510" s="266">
        <f>Flags!S$14</f>
        <v>13</v>
      </c>
      <c r="T510" s="266">
        <f>Flags!T$14</f>
        <v>14</v>
      </c>
      <c r="U510" s="266">
        <f>Flags!U$14</f>
        <v>15</v>
      </c>
      <c r="V510" s="266">
        <f>Flags!V$14</f>
        <v>16</v>
      </c>
      <c r="W510" s="266">
        <f>Flags!W$14</f>
        <v>17</v>
      </c>
      <c r="X510" s="266">
        <f>Flags!X$14</f>
        <v>18</v>
      </c>
      <c r="Y510" s="266">
        <f>Flags!Y$14</f>
        <v>19</v>
      </c>
      <c r="Z510" s="266">
        <f>Flags!Z$14</f>
        <v>20</v>
      </c>
      <c r="AA510" s="266">
        <f>Flags!AA$14</f>
        <v>21</v>
      </c>
      <c r="AB510" s="266">
        <f>Flags!AB$14</f>
        <v>22</v>
      </c>
      <c r="AC510" s="266">
        <f>Flags!AC$14</f>
        <v>23</v>
      </c>
      <c r="AD510" s="266">
        <f>Flags!AD$14</f>
        <v>24</v>
      </c>
      <c r="AE510" s="266">
        <f>Flags!AE$14</f>
        <v>25</v>
      </c>
      <c r="AF510" s="266">
        <f>Flags!AF$14</f>
        <v>26</v>
      </c>
      <c r="AG510" s="266">
        <f>Flags!AG$14</f>
        <v>27</v>
      </c>
      <c r="AH510" s="266">
        <f>Flags!AH$14</f>
        <v>28</v>
      </c>
      <c r="AI510" s="266">
        <f>Flags!AI$14</f>
        <v>29</v>
      </c>
      <c r="AJ510" s="266">
        <f>Flags!AJ$14</f>
        <v>30</v>
      </c>
      <c r="AK510" s="266">
        <f>Flags!AK$14</f>
        <v>31</v>
      </c>
      <c r="AL510" s="266">
        <f>Flags!AL$14</f>
        <v>32</v>
      </c>
      <c r="AM510" s="266">
        <f>Flags!AM$14</f>
        <v>33</v>
      </c>
      <c r="AN510" s="266">
        <f>Flags!AN$14</f>
        <v>34</v>
      </c>
    </row>
    <row r="511" spans="3:40" outlineLevel="4">
      <c r="C511"/>
      <c r="D511" s="266"/>
      <c r="E511" s="76"/>
      <c r="F511"/>
    </row>
    <row r="512" spans="3:40" outlineLevel="4">
      <c r="C512" t="str">
        <f>Inputs!$E$258</f>
        <v>Valor residual</v>
      </c>
      <c r="D512">
        <f>Inputs!E260</f>
        <v>0.3</v>
      </c>
      <c r="E512" s="76"/>
      <c r="F512"/>
    </row>
    <row r="513" spans="3:40" outlineLevel="4">
      <c r="C513"/>
      <c r="D513" s="266"/>
      <c r="E513" s="76"/>
      <c r="F513"/>
    </row>
    <row r="514" spans="3:40" outlineLevel="4">
      <c r="C514" t="s">
        <v>470</v>
      </c>
      <c r="D514" t="s">
        <v>471</v>
      </c>
      <c r="E514" t="s">
        <v>79</v>
      </c>
      <c r="F514" s="309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</row>
    <row r="515" spans="3:40" outlineLevel="4">
      <c r="C515">
        <f t="array" ref="C515:C548">TRANSPOSE(G510:AN510)</f>
        <v>1</v>
      </c>
      <c r="D515">
        <f>Inputs!$D$260</f>
        <v>0.2</v>
      </c>
      <c r="E515" s="319">
        <f t="array" ref="E515:E548">TRANSPOSE(G502:AN502)</f>
        <v>8091.0844699999998</v>
      </c>
      <c r="F515" s="319"/>
      <c r="G515" s="319">
        <f>IF(G$510&gt;=$C515,MIN(-(SUM(F515:$F515)-$E515),($E515)*$D515),0)*G$508</f>
        <v>1618.2168940000001</v>
      </c>
      <c r="H515" s="319">
        <f>IF(H$510&gt;=$C515,MIN(-(SUM($F515:G515)-$E515),($E515)*$D515),0)*H$508</f>
        <v>1618.2168940000001</v>
      </c>
      <c r="I515" s="319">
        <f>IF(I$510&gt;=$C515,MIN(-(SUM($F515:H515)-$E515),($E515)*$D515),0)*I$508</f>
        <v>1618.2168940000001</v>
      </c>
      <c r="J515" s="319">
        <f>IF(J$510&gt;=$C515,MIN(-(SUM($F515:I515)-$E515),($E515)*$D515),0)*J$508</f>
        <v>1618.2168940000001</v>
      </c>
      <c r="K515" s="319">
        <f>IF(K$510&gt;=$C515,MIN(-(SUM($F515:J515)-$E515),($E515)*$D515),0)*K$508</f>
        <v>1618.2168939999992</v>
      </c>
      <c r="L515" s="319">
        <f>IF(L$510&gt;=$C515,MIN(-(SUM($F515:K515)-$E515),($E515)*$D515),0)*L$508</f>
        <v>0</v>
      </c>
      <c r="M515" s="319">
        <f>IF(M$510&gt;=$C515,MIN(-(SUM($F515:L515)-$E515),($E515)*$D515),0)*M$508</f>
        <v>0</v>
      </c>
      <c r="N515" s="319">
        <f>IF(N$510&gt;=$C515,MIN(-(SUM($F515:M515)-$E515),($E515)*$D515),0)*N$508</f>
        <v>0</v>
      </c>
      <c r="O515" s="319">
        <f>IF(O$510&gt;=$C515,MIN(-(SUM($F515:N515)-$E515),($E515)*$D515),0)*O$508</f>
        <v>0</v>
      </c>
      <c r="P515" s="319">
        <f>IF(P$510&gt;=$C515,MIN(-(SUM($F515:O515)-$E515),($E515)*$D515),0)*P$508</f>
        <v>0</v>
      </c>
      <c r="Q515" s="319">
        <f>IF(Q$510&gt;=$C515,MIN(-(SUM($F515:P515)-$E515),($E515)*$D515),0)*Q$508</f>
        <v>0</v>
      </c>
      <c r="R515" s="319">
        <f>IF(R$510&gt;=$C515,MIN(-(SUM($F515:Q515)-$E515),($E515)*$D515),0)*R$508</f>
        <v>0</v>
      </c>
      <c r="S515" s="319">
        <f>IF(S$510&gt;=$C515,MIN(-(SUM($F515:R515)-$E515),($E515)*$D515),0)*S$508</f>
        <v>0</v>
      </c>
      <c r="T515" s="319">
        <f>IF(T$510&gt;=$C515,MIN(-(SUM($F515:S515)-$E515),($E515)*$D515),0)*T$508</f>
        <v>0</v>
      </c>
      <c r="U515" s="319">
        <f>IF(U$510&gt;=$C515,MIN(-(SUM($F515:T515)-$E515),($E515)*$D515),0)*U$508</f>
        <v>0</v>
      </c>
      <c r="V515" s="319">
        <f>IF(V$510&gt;=$C515,MIN(-(SUM($F515:U515)-$E515),($E515)*$D515),0)*V$508</f>
        <v>0</v>
      </c>
      <c r="W515" s="319">
        <f>IF(W$510&gt;=$C515,MIN(-(SUM($F515:V515)-$E515),($E515)*$D515),0)*W$508</f>
        <v>0</v>
      </c>
      <c r="X515" s="319">
        <f>IF(X$510&gt;=$C515,MIN(-(SUM($F515:W515)-$E515),($E515)*$D515),0)*X$508</f>
        <v>0</v>
      </c>
      <c r="Y515" s="319">
        <f>IF(Y$510&gt;=$C515,MIN(-(SUM($F515:X515)-$E515),($E515)*$D515),0)*Y$508</f>
        <v>0</v>
      </c>
      <c r="Z515" s="319">
        <f>IF(Z$510&gt;=$C515,MIN(-(SUM($F515:Y515)-$E515),($E515)*$D515),0)*Z$508</f>
        <v>0</v>
      </c>
      <c r="AA515" s="319">
        <f>IF(AA$510&gt;=$C515,MIN(-(SUM($F515:Z515)-$E515),($E515)*$D515),0)*AA$508</f>
        <v>0</v>
      </c>
      <c r="AB515" s="319">
        <f>IF(AB$510&gt;=$C515,MIN(-(SUM($F515:AA515)-$E515),($E515)*$D515),0)*AB$508</f>
        <v>0</v>
      </c>
      <c r="AC515" s="319">
        <f>IF(AC$510&gt;=$C515,MIN(-(SUM($F515:AB515)-$E515),($E515)*$D515),0)*AC$508</f>
        <v>0</v>
      </c>
      <c r="AD515" s="319">
        <f>IF(AD$510&gt;=$C515,MIN(-(SUM($F515:AC515)-$E515),($E515)*$D515),0)*AD$508</f>
        <v>0</v>
      </c>
      <c r="AE515" s="319">
        <f>IF(AE$510&gt;=$C515,MIN(-(SUM($F515:AD515)-$E515),($E515)*$D515),0)*AE$508</f>
        <v>0</v>
      </c>
      <c r="AF515" s="319">
        <f>IF(AF$510&gt;=$C515,MIN(-(SUM($F515:AE515)-$E515),($E515)*$D515),0)*AF$508</f>
        <v>0</v>
      </c>
      <c r="AG515" s="319">
        <f>IF(AG$510&gt;=$C515,MIN(-(SUM($F515:AF515)-$E515),($E515)*$D515),0)*AG$508</f>
        <v>0</v>
      </c>
      <c r="AH515" s="319">
        <f>IF(AH$510&gt;=$C515,MIN(-(SUM($F515:AG515)-$E515),($E515)*$D515),0)*AH$508</f>
        <v>0</v>
      </c>
      <c r="AI515" s="319">
        <f>IF(AI$510&gt;=$C515,MIN(-(SUM($F515:AH515)-$E515),($E515)*$D515),0)*AI$508</f>
        <v>0</v>
      </c>
      <c r="AJ515" s="319">
        <f>IF(AJ$510&gt;=$C515,MIN(-(SUM($F515:AI515)-$E515),($E515)*$D515),0)*AJ$508</f>
        <v>0</v>
      </c>
      <c r="AK515" s="319">
        <f>IF(AK$510&gt;=$C515,MIN(-(SUM($F515:AJ515)-$E515),($E515)*$D515),0)*AK$508</f>
        <v>0</v>
      </c>
      <c r="AL515" s="319">
        <f>IF(AL$510&gt;=$C515,MIN(-(SUM($F515:AK515)-$E515),($E515)*$D515),0)*AL$508</f>
        <v>0</v>
      </c>
      <c r="AM515" s="319">
        <f>IF(AM$510&gt;=$C515,MIN(-(SUM($F515:AL515)-$E515),($E515)*$D515),0)*AM$508</f>
        <v>0</v>
      </c>
      <c r="AN515" s="319">
        <f>IF(AN$510&gt;=$C515,MIN(-(SUM($F515:AM515)-$E515),($E515)*$D515),0)*AN$508</f>
        <v>0</v>
      </c>
    </row>
    <row r="516" spans="3:40" outlineLevel="4">
      <c r="C516">
        <v>2</v>
      </c>
      <c r="D516">
        <f>Inputs!$D$260</f>
        <v>0.2</v>
      </c>
      <c r="E516" s="319">
        <v>0</v>
      </c>
      <c r="F516" s="319"/>
      <c r="G516" s="319">
        <f>IF(G$510&gt;=$C516,MIN(-(SUM(F516:$F516)-$E516),($E516)*$D516),0)*G$508</f>
        <v>0</v>
      </c>
      <c r="H516" s="319">
        <f>IF(H$510&gt;=$C516,MIN(-(SUM($F516:G516)-$E516),($E516)*$D516),0)*H$508</f>
        <v>0</v>
      </c>
      <c r="I516" s="319">
        <f>IF(I$510&gt;=$C516,MIN(-(SUM($F516:H516)-$E516),($E516)*$D516),0)*I$508</f>
        <v>0</v>
      </c>
      <c r="J516" s="319">
        <f>IF(J$510&gt;=$C516,MIN(-(SUM($F516:I516)-$E516),($E516)*$D516),0)*J$508</f>
        <v>0</v>
      </c>
      <c r="K516" s="319">
        <f>IF(K$510&gt;=$C516,MIN(-(SUM($F516:J516)-$E516),($E516)*$D516),0)*K$508</f>
        <v>0</v>
      </c>
      <c r="L516" s="319">
        <f>IF(L$510&gt;=$C516,MIN(-(SUM($F516:K516)-$E516),($E516)*$D516),0)*L$508</f>
        <v>0</v>
      </c>
      <c r="M516" s="319">
        <f>IF(M$510&gt;=$C516,MIN(-(SUM($F516:L516)-$E516),($E516)*$D516),0)*M$508</f>
        <v>0</v>
      </c>
      <c r="N516" s="319">
        <f>IF(N$510&gt;=$C516,MIN(-(SUM($F516:M516)-$E516),($E516)*$D516),0)*N$508</f>
        <v>0</v>
      </c>
      <c r="O516" s="319">
        <f>IF(O$510&gt;=$C516,MIN(-(SUM($F516:N516)-$E516),($E516)*$D516),0)*O$508</f>
        <v>0</v>
      </c>
      <c r="P516" s="319">
        <f>IF(P$510&gt;=$C516,MIN(-(SUM($F516:O516)-$E516),($E516)*$D516),0)*P$508</f>
        <v>0</v>
      </c>
      <c r="Q516" s="319">
        <f>IF(Q$510&gt;=$C516,MIN(-(SUM($F516:P516)-$E516),($E516)*$D516),0)*Q$508</f>
        <v>0</v>
      </c>
      <c r="R516" s="319">
        <f>IF(R$510&gt;=$C516,MIN(-(SUM($F516:Q516)-$E516),($E516)*$D516),0)*R$508</f>
        <v>0</v>
      </c>
      <c r="S516" s="319">
        <f>IF(S$510&gt;=$C516,MIN(-(SUM($F516:R516)-$E516),($E516)*$D516),0)*S$508</f>
        <v>0</v>
      </c>
      <c r="T516" s="319">
        <f>IF(T$510&gt;=$C516,MIN(-(SUM($F516:S516)-$E516),($E516)*$D516),0)*T$508</f>
        <v>0</v>
      </c>
      <c r="U516" s="319">
        <f>IF(U$510&gt;=$C516,MIN(-(SUM($F516:T516)-$E516),($E516)*$D516),0)*U$508</f>
        <v>0</v>
      </c>
      <c r="V516" s="319">
        <f>IF(V$510&gt;=$C516,MIN(-(SUM($F516:U516)-$E516),($E516)*$D516),0)*V$508</f>
        <v>0</v>
      </c>
      <c r="W516" s="319">
        <f>IF(W$510&gt;=$C516,MIN(-(SUM($F516:V516)-$E516),($E516)*$D516),0)*W$508</f>
        <v>0</v>
      </c>
      <c r="X516" s="319">
        <f>IF(X$510&gt;=$C516,MIN(-(SUM($F516:W516)-$E516),($E516)*$D516),0)*X$508</f>
        <v>0</v>
      </c>
      <c r="Y516" s="319">
        <f>IF(Y$510&gt;=$C516,MIN(-(SUM($F516:X516)-$E516),($E516)*$D516),0)*Y$508</f>
        <v>0</v>
      </c>
      <c r="Z516" s="319">
        <f>IF(Z$510&gt;=$C516,MIN(-(SUM($F516:Y516)-$E516),($E516)*$D516),0)*Z$508</f>
        <v>0</v>
      </c>
      <c r="AA516" s="319">
        <f>IF(AA$510&gt;=$C516,MIN(-(SUM($F516:Z516)-$E516),($E516)*$D516),0)*AA$508</f>
        <v>0</v>
      </c>
      <c r="AB516" s="319">
        <f>IF(AB$510&gt;=$C516,MIN(-(SUM($F516:AA516)-$E516),($E516)*$D516),0)*AB$508</f>
        <v>0</v>
      </c>
      <c r="AC516" s="319">
        <f>IF(AC$510&gt;=$C516,MIN(-(SUM($F516:AB516)-$E516),($E516)*$D516),0)*AC$508</f>
        <v>0</v>
      </c>
      <c r="AD516" s="319">
        <f>IF(AD$510&gt;=$C516,MIN(-(SUM($F516:AC516)-$E516),($E516)*$D516),0)*AD$508</f>
        <v>0</v>
      </c>
      <c r="AE516" s="319">
        <f>IF(AE$510&gt;=$C516,MIN(-(SUM($F516:AD516)-$E516),($E516)*$D516),0)*AE$508</f>
        <v>0</v>
      </c>
      <c r="AF516" s="319">
        <f>IF(AF$510&gt;=$C516,MIN(-(SUM($F516:AE516)-$E516),($E516)*$D516),0)*AF$508</f>
        <v>0</v>
      </c>
      <c r="AG516" s="319">
        <f>IF(AG$510&gt;=$C516,MIN(-(SUM($F516:AF516)-$E516),($E516)*$D516),0)*AG$508</f>
        <v>0</v>
      </c>
      <c r="AH516" s="319">
        <f>IF(AH$510&gt;=$C516,MIN(-(SUM($F516:AG516)-$E516),($E516)*$D516),0)*AH$508</f>
        <v>0</v>
      </c>
      <c r="AI516" s="319">
        <f>IF(AI$510&gt;=$C516,MIN(-(SUM($F516:AH516)-$E516),($E516)*$D516),0)*AI$508</f>
        <v>0</v>
      </c>
      <c r="AJ516" s="319">
        <f>IF(AJ$510&gt;=$C516,MIN(-(SUM($F516:AI516)-$E516),($E516)*$D516),0)*AJ$508</f>
        <v>0</v>
      </c>
      <c r="AK516" s="319">
        <f>IF(AK$510&gt;=$C516,MIN(-(SUM($F516:AJ516)-$E516),($E516)*$D516),0)*AK$508</f>
        <v>0</v>
      </c>
      <c r="AL516" s="319">
        <f>IF(AL$510&gt;=$C516,MIN(-(SUM($F516:AK516)-$E516),($E516)*$D516),0)*AL$508</f>
        <v>0</v>
      </c>
      <c r="AM516" s="319">
        <f>IF(AM$510&gt;=$C516,MIN(-(SUM($F516:AL516)-$E516),($E516)*$D516),0)*AM$508</f>
        <v>0</v>
      </c>
      <c r="AN516" s="319">
        <f>IF(AN$510&gt;=$C516,MIN(-(SUM($F516:AM516)-$E516),($E516)*$D516),0)*AN$508</f>
        <v>0</v>
      </c>
    </row>
    <row r="517" spans="3:40" outlineLevel="4">
      <c r="C517">
        <v>3</v>
      </c>
      <c r="D517">
        <f>Inputs!$D$260</f>
        <v>0.2</v>
      </c>
      <c r="E517" s="319">
        <v>648.71976000000006</v>
      </c>
      <c r="F517" s="319"/>
      <c r="G517" s="319">
        <f>IF(G$510&gt;=$C517,MIN(-(SUM(F517:$F517)-$E517),($E517)*$D517),0)*G$508</f>
        <v>0</v>
      </c>
      <c r="H517" s="319">
        <f>IF(H$510&gt;=$C517,MIN(-(SUM($F517:G517)-$E517),($E517)*$D517),0)*H$508</f>
        <v>0</v>
      </c>
      <c r="I517" s="319">
        <f>IF(I$510&gt;=$C517,MIN(-(SUM($F517:H517)-$E517),($E517)*$D517),0)*I$508</f>
        <v>129.74395200000001</v>
      </c>
      <c r="J517" s="319">
        <f>IF(J$510&gt;=$C517,MIN(-(SUM($F517:I517)-$E517),($E517)*$D517),0)*J$508</f>
        <v>129.74395200000001</v>
      </c>
      <c r="K517" s="319">
        <f>IF(K$510&gt;=$C517,MIN(-(SUM($F517:J517)-$E517),($E517)*$D517),0)*K$508</f>
        <v>129.74395200000001</v>
      </c>
      <c r="L517" s="319">
        <f>IF(L$510&gt;=$C517,MIN(-(SUM($F517:K517)-$E517),($E517)*$D517),0)*L$508</f>
        <v>129.74395200000001</v>
      </c>
      <c r="M517" s="319">
        <f>IF(M$510&gt;=$C517,MIN(-(SUM($F517:L517)-$E517),($E517)*$D517),0)*M$508</f>
        <v>129.74395200000001</v>
      </c>
      <c r="N517" s="319">
        <f>IF(N$510&gt;=$C517,MIN(-(SUM($F517:M517)-$E517),($E517)*$D517),0)*N$508</f>
        <v>0</v>
      </c>
      <c r="O517" s="319">
        <f>IF(O$510&gt;=$C517,MIN(-(SUM($F517:N517)-$E517),($E517)*$D517),0)*O$508</f>
        <v>0</v>
      </c>
      <c r="P517" s="319">
        <f>IF(P$510&gt;=$C517,MIN(-(SUM($F517:O517)-$E517),($E517)*$D517),0)*P$508</f>
        <v>0</v>
      </c>
      <c r="Q517" s="319">
        <f>IF(Q$510&gt;=$C517,MIN(-(SUM($F517:P517)-$E517),($E517)*$D517),0)*Q$508</f>
        <v>0</v>
      </c>
      <c r="R517" s="319">
        <f>IF(R$510&gt;=$C517,MIN(-(SUM($F517:Q517)-$E517),($E517)*$D517),0)*R$508</f>
        <v>0</v>
      </c>
      <c r="S517" s="319">
        <f>IF(S$510&gt;=$C517,MIN(-(SUM($F517:R517)-$E517),($E517)*$D517),0)*S$508</f>
        <v>0</v>
      </c>
      <c r="T517" s="319">
        <f>IF(T$510&gt;=$C517,MIN(-(SUM($F517:S517)-$E517),($E517)*$D517),0)*T$508</f>
        <v>0</v>
      </c>
      <c r="U517" s="319">
        <f>IF(U$510&gt;=$C517,MIN(-(SUM($F517:T517)-$E517),($E517)*$D517),0)*U$508</f>
        <v>0</v>
      </c>
      <c r="V517" s="319">
        <f>IF(V$510&gt;=$C517,MIN(-(SUM($F517:U517)-$E517),($E517)*$D517),0)*V$508</f>
        <v>0</v>
      </c>
      <c r="W517" s="319">
        <f>IF(W$510&gt;=$C517,MIN(-(SUM($F517:V517)-$E517),($E517)*$D517),0)*W$508</f>
        <v>0</v>
      </c>
      <c r="X517" s="319">
        <f>IF(X$510&gt;=$C517,MIN(-(SUM($F517:W517)-$E517),($E517)*$D517),0)*X$508</f>
        <v>0</v>
      </c>
      <c r="Y517" s="319">
        <f>IF(Y$510&gt;=$C517,MIN(-(SUM($F517:X517)-$E517),($E517)*$D517),0)*Y$508</f>
        <v>0</v>
      </c>
      <c r="Z517" s="319">
        <f>IF(Z$510&gt;=$C517,MIN(-(SUM($F517:Y517)-$E517),($E517)*$D517),0)*Z$508</f>
        <v>0</v>
      </c>
      <c r="AA517" s="319">
        <f>IF(AA$510&gt;=$C517,MIN(-(SUM($F517:Z517)-$E517),($E517)*$D517),0)*AA$508</f>
        <v>0</v>
      </c>
      <c r="AB517" s="319">
        <f>IF(AB$510&gt;=$C517,MIN(-(SUM($F517:AA517)-$E517),($E517)*$D517),0)*AB$508</f>
        <v>0</v>
      </c>
      <c r="AC517" s="319">
        <f>IF(AC$510&gt;=$C517,MIN(-(SUM($F517:AB517)-$E517),($E517)*$D517),0)*AC$508</f>
        <v>0</v>
      </c>
      <c r="AD517" s="319">
        <f>IF(AD$510&gt;=$C517,MIN(-(SUM($F517:AC517)-$E517),($E517)*$D517),0)*AD$508</f>
        <v>0</v>
      </c>
      <c r="AE517" s="319">
        <f>IF(AE$510&gt;=$C517,MIN(-(SUM($F517:AD517)-$E517),($E517)*$D517),0)*AE$508</f>
        <v>0</v>
      </c>
      <c r="AF517" s="319">
        <f>IF(AF$510&gt;=$C517,MIN(-(SUM($F517:AE517)-$E517),($E517)*$D517),0)*AF$508</f>
        <v>0</v>
      </c>
      <c r="AG517" s="319">
        <f>IF(AG$510&gt;=$C517,MIN(-(SUM($F517:AF517)-$E517),($E517)*$D517),0)*AG$508</f>
        <v>0</v>
      </c>
      <c r="AH517" s="319">
        <f>IF(AH$510&gt;=$C517,MIN(-(SUM($F517:AG517)-$E517),($E517)*$D517),0)*AH$508</f>
        <v>0</v>
      </c>
      <c r="AI517" s="319">
        <f>IF(AI$510&gt;=$C517,MIN(-(SUM($F517:AH517)-$E517),($E517)*$D517),0)*AI$508</f>
        <v>0</v>
      </c>
      <c r="AJ517" s="319">
        <f>IF(AJ$510&gt;=$C517,MIN(-(SUM($F517:AI517)-$E517),($E517)*$D517),0)*AJ$508</f>
        <v>0</v>
      </c>
      <c r="AK517" s="319">
        <f>IF(AK$510&gt;=$C517,MIN(-(SUM($F517:AJ517)-$E517),($E517)*$D517),0)*AK$508</f>
        <v>0</v>
      </c>
      <c r="AL517" s="319">
        <f>IF(AL$510&gt;=$C517,MIN(-(SUM($F517:AK517)-$E517),($E517)*$D517),0)*AL$508</f>
        <v>0</v>
      </c>
      <c r="AM517" s="319">
        <f>IF(AM$510&gt;=$C517,MIN(-(SUM($F517:AL517)-$E517),($E517)*$D517),0)*AM$508</f>
        <v>0</v>
      </c>
      <c r="AN517" s="319">
        <f>IF(AN$510&gt;=$C517,MIN(-(SUM($F517:AM517)-$E517),($E517)*$D517),0)*AN$508</f>
        <v>0</v>
      </c>
    </row>
    <row r="518" spans="3:40" outlineLevel="4">
      <c r="C518">
        <v>4</v>
      </c>
      <c r="D518">
        <f>Inputs!$D$260</f>
        <v>0.2</v>
      </c>
      <c r="E518" s="319">
        <v>0</v>
      </c>
      <c r="F518" s="319"/>
      <c r="G518" s="319">
        <f>IF(G$510&gt;=$C518,MIN(-(SUM(F518:$F518)-$E518),($E518)*$D518),0)*G$508</f>
        <v>0</v>
      </c>
      <c r="H518" s="319">
        <f>IF(H$510&gt;=$C518,MIN(-(SUM($F518:G518)-$E518),($E518)*$D518),0)*H$508</f>
        <v>0</v>
      </c>
      <c r="I518" s="319">
        <f>IF(I$510&gt;=$C518,MIN(-(SUM($F518:H518)-$E518),($E518)*$D518),0)*I$508</f>
        <v>0</v>
      </c>
      <c r="J518" s="319">
        <f>IF(J$510&gt;=$C518,MIN(-(SUM($F518:I518)-$E518),($E518)*$D518),0)*J$508</f>
        <v>0</v>
      </c>
      <c r="K518" s="319">
        <f>IF(K$510&gt;=$C518,MIN(-(SUM($F518:J518)-$E518),($E518)*$D518),0)*K$508</f>
        <v>0</v>
      </c>
      <c r="L518" s="319">
        <f>IF(L$510&gt;=$C518,MIN(-(SUM($F518:K518)-$E518),($E518)*$D518),0)*L$508</f>
        <v>0</v>
      </c>
      <c r="M518" s="319">
        <f>IF(M$510&gt;=$C518,MIN(-(SUM($F518:L518)-$E518),($E518)*$D518),0)*M$508</f>
        <v>0</v>
      </c>
      <c r="N518" s="319">
        <f>IF(N$510&gt;=$C518,MIN(-(SUM($F518:M518)-$E518),($E518)*$D518),0)*N$508</f>
        <v>0</v>
      </c>
      <c r="O518" s="319">
        <f>IF(O$510&gt;=$C518,MIN(-(SUM($F518:N518)-$E518),($E518)*$D518),0)*O$508</f>
        <v>0</v>
      </c>
      <c r="P518" s="319">
        <f>IF(P$510&gt;=$C518,MIN(-(SUM($F518:O518)-$E518),($E518)*$D518),0)*P$508</f>
        <v>0</v>
      </c>
      <c r="Q518" s="319">
        <f>IF(Q$510&gt;=$C518,MIN(-(SUM($F518:P518)-$E518),($E518)*$D518),0)*Q$508</f>
        <v>0</v>
      </c>
      <c r="R518" s="319">
        <f>IF(R$510&gt;=$C518,MIN(-(SUM($F518:Q518)-$E518),($E518)*$D518),0)*R$508</f>
        <v>0</v>
      </c>
      <c r="S518" s="319">
        <f>IF(S$510&gt;=$C518,MIN(-(SUM($F518:R518)-$E518),($E518)*$D518),0)*S$508</f>
        <v>0</v>
      </c>
      <c r="T518" s="319">
        <f>IF(T$510&gt;=$C518,MIN(-(SUM($F518:S518)-$E518),($E518)*$D518),0)*T$508</f>
        <v>0</v>
      </c>
      <c r="U518" s="319">
        <f>IF(U$510&gt;=$C518,MIN(-(SUM($F518:T518)-$E518),($E518)*$D518),0)*U$508</f>
        <v>0</v>
      </c>
      <c r="V518" s="319">
        <f>IF(V$510&gt;=$C518,MIN(-(SUM($F518:U518)-$E518),($E518)*$D518),0)*V$508</f>
        <v>0</v>
      </c>
      <c r="W518" s="319">
        <f>IF(W$510&gt;=$C518,MIN(-(SUM($F518:V518)-$E518),($E518)*$D518),0)*W$508</f>
        <v>0</v>
      </c>
      <c r="X518" s="319">
        <f>IF(X$510&gt;=$C518,MIN(-(SUM($F518:W518)-$E518),($E518)*$D518),0)*X$508</f>
        <v>0</v>
      </c>
      <c r="Y518" s="319">
        <f>IF(Y$510&gt;=$C518,MIN(-(SUM($F518:X518)-$E518),($E518)*$D518),0)*Y$508</f>
        <v>0</v>
      </c>
      <c r="Z518" s="319">
        <f>IF(Z$510&gt;=$C518,MIN(-(SUM($F518:Y518)-$E518),($E518)*$D518),0)*Z$508</f>
        <v>0</v>
      </c>
      <c r="AA518" s="319">
        <f>IF(AA$510&gt;=$C518,MIN(-(SUM($F518:Z518)-$E518),($E518)*$D518),0)*AA$508</f>
        <v>0</v>
      </c>
      <c r="AB518" s="319">
        <f>IF(AB$510&gt;=$C518,MIN(-(SUM($F518:AA518)-$E518),($E518)*$D518),0)*AB$508</f>
        <v>0</v>
      </c>
      <c r="AC518" s="319">
        <f>IF(AC$510&gt;=$C518,MIN(-(SUM($F518:AB518)-$E518),($E518)*$D518),0)*AC$508</f>
        <v>0</v>
      </c>
      <c r="AD518" s="319">
        <f>IF(AD$510&gt;=$C518,MIN(-(SUM($F518:AC518)-$E518),($E518)*$D518),0)*AD$508</f>
        <v>0</v>
      </c>
      <c r="AE518" s="319">
        <f>IF(AE$510&gt;=$C518,MIN(-(SUM($F518:AD518)-$E518),($E518)*$D518),0)*AE$508</f>
        <v>0</v>
      </c>
      <c r="AF518" s="319">
        <f>IF(AF$510&gt;=$C518,MIN(-(SUM($F518:AE518)-$E518),($E518)*$D518),0)*AF$508</f>
        <v>0</v>
      </c>
      <c r="AG518" s="319">
        <f>IF(AG$510&gt;=$C518,MIN(-(SUM($F518:AF518)-$E518),($E518)*$D518),0)*AG$508</f>
        <v>0</v>
      </c>
      <c r="AH518" s="319">
        <f>IF(AH$510&gt;=$C518,MIN(-(SUM($F518:AG518)-$E518),($E518)*$D518),0)*AH$508</f>
        <v>0</v>
      </c>
      <c r="AI518" s="319">
        <f>IF(AI$510&gt;=$C518,MIN(-(SUM($F518:AH518)-$E518),($E518)*$D518),0)*AI$508</f>
        <v>0</v>
      </c>
      <c r="AJ518" s="319">
        <f>IF(AJ$510&gt;=$C518,MIN(-(SUM($F518:AI518)-$E518),($E518)*$D518),0)*AJ$508</f>
        <v>0</v>
      </c>
      <c r="AK518" s="319">
        <f>IF(AK$510&gt;=$C518,MIN(-(SUM($F518:AJ518)-$E518),($E518)*$D518),0)*AK$508</f>
        <v>0</v>
      </c>
      <c r="AL518" s="319">
        <f>IF(AL$510&gt;=$C518,MIN(-(SUM($F518:AK518)-$E518),($E518)*$D518),0)*AL$508</f>
        <v>0</v>
      </c>
      <c r="AM518" s="319">
        <f>IF(AM$510&gt;=$C518,MIN(-(SUM($F518:AL518)-$E518),($E518)*$D518),0)*AM$508</f>
        <v>0</v>
      </c>
      <c r="AN518" s="319">
        <f>IF(AN$510&gt;=$C518,MIN(-(SUM($F518:AM518)-$E518),($E518)*$D518),0)*AN$508</f>
        <v>0</v>
      </c>
    </row>
    <row r="519" spans="3:40" outlineLevel="4">
      <c r="C519">
        <v>5</v>
      </c>
      <c r="D519">
        <f>Inputs!$D$260</f>
        <v>0.2</v>
      </c>
      <c r="E519" s="319">
        <v>0</v>
      </c>
      <c r="F519" s="319"/>
      <c r="G519" s="319">
        <f>IF(G$510&gt;=$C519,MIN(-(SUM(F519:$F519)-$E519),($E519)*$D519),0)*G$508</f>
        <v>0</v>
      </c>
      <c r="H519" s="319">
        <f>IF(H$510&gt;=$C519,MIN(-(SUM($F519:G519)-$E519),($E519)*$D519),0)*H$508</f>
        <v>0</v>
      </c>
      <c r="I519" s="319">
        <f>IF(I$510&gt;=$C519,MIN(-(SUM($F519:H519)-$E519),($E519)*$D519),0)*I$508</f>
        <v>0</v>
      </c>
      <c r="J519" s="319">
        <f>IF(J$510&gt;=$C519,MIN(-(SUM($F519:I519)-$E519),($E519)*$D519),0)*J$508</f>
        <v>0</v>
      </c>
      <c r="K519" s="319">
        <f>IF(K$510&gt;=$C519,MIN(-(SUM($F519:J519)-$E519),($E519)*$D519),0)*K$508</f>
        <v>0</v>
      </c>
      <c r="L519" s="319">
        <f>IF(L$510&gt;=$C519,MIN(-(SUM($F519:K519)-$E519),($E519)*$D519),0)*L$508</f>
        <v>0</v>
      </c>
      <c r="M519" s="319">
        <f>IF(M$510&gt;=$C519,MIN(-(SUM($F519:L519)-$E519),($E519)*$D519),0)*M$508</f>
        <v>0</v>
      </c>
      <c r="N519" s="319">
        <f>IF(N$510&gt;=$C519,MIN(-(SUM($F519:M519)-$E519),($E519)*$D519),0)*N$508</f>
        <v>0</v>
      </c>
      <c r="O519" s="319">
        <f>IF(O$510&gt;=$C519,MIN(-(SUM($F519:N519)-$E519),($E519)*$D519),0)*O$508</f>
        <v>0</v>
      </c>
      <c r="P519" s="319">
        <f>IF(P$510&gt;=$C519,MIN(-(SUM($F519:O519)-$E519),($E519)*$D519),0)*P$508</f>
        <v>0</v>
      </c>
      <c r="Q519" s="319">
        <f>IF(Q$510&gt;=$C519,MIN(-(SUM($F519:P519)-$E519),($E519)*$D519),0)*Q$508</f>
        <v>0</v>
      </c>
      <c r="R519" s="319">
        <f>IF(R$510&gt;=$C519,MIN(-(SUM($F519:Q519)-$E519),($E519)*$D519),0)*R$508</f>
        <v>0</v>
      </c>
      <c r="S519" s="319">
        <f>IF(S$510&gt;=$C519,MIN(-(SUM($F519:R519)-$E519),($E519)*$D519),0)*S$508</f>
        <v>0</v>
      </c>
      <c r="T519" s="319">
        <f>IF(T$510&gt;=$C519,MIN(-(SUM($F519:S519)-$E519),($E519)*$D519),0)*T$508</f>
        <v>0</v>
      </c>
      <c r="U519" s="319">
        <f>IF(U$510&gt;=$C519,MIN(-(SUM($F519:T519)-$E519),($E519)*$D519),0)*U$508</f>
        <v>0</v>
      </c>
      <c r="V519" s="319">
        <f>IF(V$510&gt;=$C519,MIN(-(SUM($F519:U519)-$E519),($E519)*$D519),0)*V$508</f>
        <v>0</v>
      </c>
      <c r="W519" s="319">
        <f>IF(W$510&gt;=$C519,MIN(-(SUM($F519:V519)-$E519),($E519)*$D519),0)*W$508</f>
        <v>0</v>
      </c>
      <c r="X519" s="319">
        <f>IF(X$510&gt;=$C519,MIN(-(SUM($F519:W519)-$E519),($E519)*$D519),0)*X$508</f>
        <v>0</v>
      </c>
      <c r="Y519" s="319">
        <f>IF(Y$510&gt;=$C519,MIN(-(SUM($F519:X519)-$E519),($E519)*$D519),0)*Y$508</f>
        <v>0</v>
      </c>
      <c r="Z519" s="319">
        <f>IF(Z$510&gt;=$C519,MIN(-(SUM($F519:Y519)-$E519),($E519)*$D519),0)*Z$508</f>
        <v>0</v>
      </c>
      <c r="AA519" s="319">
        <f>IF(AA$510&gt;=$C519,MIN(-(SUM($F519:Z519)-$E519),($E519)*$D519),0)*AA$508</f>
        <v>0</v>
      </c>
      <c r="AB519" s="319">
        <f>IF(AB$510&gt;=$C519,MIN(-(SUM($F519:AA519)-$E519),($E519)*$D519),0)*AB$508</f>
        <v>0</v>
      </c>
      <c r="AC519" s="319">
        <f>IF(AC$510&gt;=$C519,MIN(-(SUM($F519:AB519)-$E519),($E519)*$D519),0)*AC$508</f>
        <v>0</v>
      </c>
      <c r="AD519" s="319">
        <f>IF(AD$510&gt;=$C519,MIN(-(SUM($F519:AC519)-$E519),($E519)*$D519),0)*AD$508</f>
        <v>0</v>
      </c>
      <c r="AE519" s="319">
        <f>IF(AE$510&gt;=$C519,MIN(-(SUM($F519:AD519)-$E519),($E519)*$D519),0)*AE$508</f>
        <v>0</v>
      </c>
      <c r="AF519" s="319">
        <f>IF(AF$510&gt;=$C519,MIN(-(SUM($F519:AE519)-$E519),($E519)*$D519),0)*AF$508</f>
        <v>0</v>
      </c>
      <c r="AG519" s="319">
        <f>IF(AG$510&gt;=$C519,MIN(-(SUM($F519:AF519)-$E519),($E519)*$D519),0)*AG$508</f>
        <v>0</v>
      </c>
      <c r="AH519" s="319">
        <f>IF(AH$510&gt;=$C519,MIN(-(SUM($F519:AG519)-$E519),($E519)*$D519),0)*AH$508</f>
        <v>0</v>
      </c>
      <c r="AI519" s="319">
        <f>IF(AI$510&gt;=$C519,MIN(-(SUM($F519:AH519)-$E519),($E519)*$D519),0)*AI$508</f>
        <v>0</v>
      </c>
      <c r="AJ519" s="319">
        <f>IF(AJ$510&gt;=$C519,MIN(-(SUM($F519:AI519)-$E519),($E519)*$D519),0)*AJ$508</f>
        <v>0</v>
      </c>
      <c r="AK519" s="319">
        <f>IF(AK$510&gt;=$C519,MIN(-(SUM($F519:AJ519)-$E519),($E519)*$D519),0)*AK$508</f>
        <v>0</v>
      </c>
      <c r="AL519" s="319">
        <f>IF(AL$510&gt;=$C519,MIN(-(SUM($F519:AK519)-$E519),($E519)*$D519),0)*AL$508</f>
        <v>0</v>
      </c>
      <c r="AM519" s="319">
        <f>IF(AM$510&gt;=$C519,MIN(-(SUM($F519:AL519)-$E519),($E519)*$D519),0)*AM$508</f>
        <v>0</v>
      </c>
      <c r="AN519" s="319">
        <f>IF(AN$510&gt;=$C519,MIN(-(SUM($F519:AM519)-$E519),($E519)*$D519),0)*AN$508</f>
        <v>0</v>
      </c>
    </row>
    <row r="520" spans="3:40" outlineLevel="4">
      <c r="C520">
        <v>6</v>
      </c>
      <c r="D520">
        <f>Inputs!$D$260</f>
        <v>0.2</v>
      </c>
      <c r="E520" s="319">
        <v>0</v>
      </c>
      <c r="F520" s="319"/>
      <c r="G520" s="319">
        <f>IF(G$510&gt;=$C520,MIN(-(SUM(F520:$F520)-$E520),($E520)*$D520),0)*G$508</f>
        <v>0</v>
      </c>
      <c r="H520" s="319">
        <f>IF(H$510&gt;=$C520,MIN(-(SUM($F520:G520)-$E520),($E520)*$D520),0)*H$508</f>
        <v>0</v>
      </c>
      <c r="I520" s="319">
        <f>IF(I$510&gt;=$C520,MIN(-(SUM($F520:H520)-$E520),($E520)*$D520),0)*I$508</f>
        <v>0</v>
      </c>
      <c r="J520" s="319">
        <f>IF(J$510&gt;=$C520,MIN(-(SUM($F520:I520)-$E520),($E520)*$D520),0)*J$508</f>
        <v>0</v>
      </c>
      <c r="K520" s="319">
        <f>IF(K$510&gt;=$C520,MIN(-(SUM($F520:J520)-$E520),($E520)*$D520),0)*K$508</f>
        <v>0</v>
      </c>
      <c r="L520" s="319">
        <f>IF(L$510&gt;=$C520,MIN(-(SUM($F520:K520)-$E520),($E520)*$D520),0)*L$508</f>
        <v>0</v>
      </c>
      <c r="M520" s="319">
        <f>IF(M$510&gt;=$C520,MIN(-(SUM($F520:L520)-$E520),($E520)*$D520),0)*M$508</f>
        <v>0</v>
      </c>
      <c r="N520" s="319">
        <f>IF(N$510&gt;=$C520,MIN(-(SUM($F520:M520)-$E520),($E520)*$D520),0)*N$508</f>
        <v>0</v>
      </c>
      <c r="O520" s="319">
        <f>IF(O$510&gt;=$C520,MIN(-(SUM($F520:N520)-$E520),($E520)*$D520),0)*O$508</f>
        <v>0</v>
      </c>
      <c r="P520" s="319">
        <f>IF(P$510&gt;=$C520,MIN(-(SUM($F520:O520)-$E520),($E520)*$D520),0)*P$508</f>
        <v>0</v>
      </c>
      <c r="Q520" s="319">
        <f>IF(Q$510&gt;=$C520,MIN(-(SUM($F520:P520)-$E520),($E520)*$D520),0)*Q$508</f>
        <v>0</v>
      </c>
      <c r="R520" s="319">
        <f>IF(R$510&gt;=$C520,MIN(-(SUM($F520:Q520)-$E520),($E520)*$D520),0)*R$508</f>
        <v>0</v>
      </c>
      <c r="S520" s="319">
        <f>IF(S$510&gt;=$C520,MIN(-(SUM($F520:R520)-$E520),($E520)*$D520),0)*S$508</f>
        <v>0</v>
      </c>
      <c r="T520" s="319">
        <f>IF(T$510&gt;=$C520,MIN(-(SUM($F520:S520)-$E520),($E520)*$D520),0)*T$508</f>
        <v>0</v>
      </c>
      <c r="U520" s="319">
        <f>IF(U$510&gt;=$C520,MIN(-(SUM($F520:T520)-$E520),($E520)*$D520),0)*U$508</f>
        <v>0</v>
      </c>
      <c r="V520" s="319">
        <f>IF(V$510&gt;=$C520,MIN(-(SUM($F520:U520)-$E520),($E520)*$D520),0)*V$508</f>
        <v>0</v>
      </c>
      <c r="W520" s="319">
        <f>IF(W$510&gt;=$C520,MIN(-(SUM($F520:V520)-$E520),($E520)*$D520),0)*W$508</f>
        <v>0</v>
      </c>
      <c r="X520" s="319">
        <f>IF(X$510&gt;=$C520,MIN(-(SUM($F520:W520)-$E520),($E520)*$D520),0)*X$508</f>
        <v>0</v>
      </c>
      <c r="Y520" s="319">
        <f>IF(Y$510&gt;=$C520,MIN(-(SUM($F520:X520)-$E520),($E520)*$D520),0)*Y$508</f>
        <v>0</v>
      </c>
      <c r="Z520" s="319">
        <f>IF(Z$510&gt;=$C520,MIN(-(SUM($F520:Y520)-$E520),($E520)*$D520),0)*Z$508</f>
        <v>0</v>
      </c>
      <c r="AA520" s="319">
        <f>IF(AA$510&gt;=$C520,MIN(-(SUM($F520:Z520)-$E520),($E520)*$D520),0)*AA$508</f>
        <v>0</v>
      </c>
      <c r="AB520" s="319">
        <f>IF(AB$510&gt;=$C520,MIN(-(SUM($F520:AA520)-$E520),($E520)*$D520),0)*AB$508</f>
        <v>0</v>
      </c>
      <c r="AC520" s="319">
        <f>IF(AC$510&gt;=$C520,MIN(-(SUM($F520:AB520)-$E520),($E520)*$D520),0)*AC$508</f>
        <v>0</v>
      </c>
      <c r="AD520" s="319">
        <f>IF(AD$510&gt;=$C520,MIN(-(SUM($F520:AC520)-$E520),($E520)*$D520),0)*AD$508</f>
        <v>0</v>
      </c>
      <c r="AE520" s="319">
        <f>IF(AE$510&gt;=$C520,MIN(-(SUM($F520:AD520)-$E520),($E520)*$D520),0)*AE$508</f>
        <v>0</v>
      </c>
      <c r="AF520" s="319">
        <f>IF(AF$510&gt;=$C520,MIN(-(SUM($F520:AE520)-$E520),($E520)*$D520),0)*AF$508</f>
        <v>0</v>
      </c>
      <c r="AG520" s="319">
        <f>IF(AG$510&gt;=$C520,MIN(-(SUM($F520:AF520)-$E520),($E520)*$D520),0)*AG$508</f>
        <v>0</v>
      </c>
      <c r="AH520" s="319">
        <f>IF(AH$510&gt;=$C520,MIN(-(SUM($F520:AG520)-$E520),($E520)*$D520),0)*AH$508</f>
        <v>0</v>
      </c>
      <c r="AI520" s="319">
        <f>IF(AI$510&gt;=$C520,MIN(-(SUM($F520:AH520)-$E520),($E520)*$D520),0)*AI$508</f>
        <v>0</v>
      </c>
      <c r="AJ520" s="319">
        <f>IF(AJ$510&gt;=$C520,MIN(-(SUM($F520:AI520)-$E520),($E520)*$D520),0)*AJ$508</f>
        <v>0</v>
      </c>
      <c r="AK520" s="319">
        <f>IF(AK$510&gt;=$C520,MIN(-(SUM($F520:AJ520)-$E520),($E520)*$D520),0)*AK$508</f>
        <v>0</v>
      </c>
      <c r="AL520" s="319">
        <f>IF(AL$510&gt;=$C520,MIN(-(SUM($F520:AK520)-$E520),($E520)*$D520),0)*AL$508</f>
        <v>0</v>
      </c>
      <c r="AM520" s="319">
        <f>IF(AM$510&gt;=$C520,MIN(-(SUM($F520:AL520)-$E520),($E520)*$D520),0)*AM$508</f>
        <v>0</v>
      </c>
      <c r="AN520" s="319">
        <f>IF(AN$510&gt;=$C520,MIN(-(SUM($F520:AM520)-$E520),($E520)*$D520),0)*AN$508</f>
        <v>0</v>
      </c>
    </row>
    <row r="521" spans="3:40" outlineLevel="4">
      <c r="C521">
        <v>7</v>
      </c>
      <c r="D521">
        <f>Inputs!$D$260</f>
        <v>0.2</v>
      </c>
      <c r="E521" s="319">
        <v>0</v>
      </c>
      <c r="F521" s="319"/>
      <c r="G521" s="319">
        <f>IF(G$510&gt;=$C521,MIN(-(SUM(F521:$F521)-$E521),($E521)*$D521),0)*G$508</f>
        <v>0</v>
      </c>
      <c r="H521" s="319">
        <f>IF(H$510&gt;=$C521,MIN(-(SUM($F521:G521)-$E521),($E521)*$D521),0)*H$508</f>
        <v>0</v>
      </c>
      <c r="I521" s="319">
        <f>IF(I$510&gt;=$C521,MIN(-(SUM($F521:H521)-$E521),($E521)*$D521),0)*I$508</f>
        <v>0</v>
      </c>
      <c r="J521" s="319">
        <f>IF(J$510&gt;=$C521,MIN(-(SUM($F521:I521)-$E521),($E521)*$D521),0)*J$508</f>
        <v>0</v>
      </c>
      <c r="K521" s="319">
        <f>IF(K$510&gt;=$C521,MIN(-(SUM($F521:J521)-$E521),($E521)*$D521),0)*K$508</f>
        <v>0</v>
      </c>
      <c r="L521" s="319">
        <f>IF(L$510&gt;=$C521,MIN(-(SUM($F521:K521)-$E521),($E521)*$D521),0)*L$508</f>
        <v>0</v>
      </c>
      <c r="M521" s="319">
        <f>IF(M$510&gt;=$C521,MIN(-(SUM($F521:L521)-$E521),($E521)*$D521),0)*M$508</f>
        <v>0</v>
      </c>
      <c r="N521" s="319">
        <f>IF(N$510&gt;=$C521,MIN(-(SUM($F521:M521)-$E521),($E521)*$D521),0)*N$508</f>
        <v>0</v>
      </c>
      <c r="O521" s="319">
        <f>IF(O$510&gt;=$C521,MIN(-(SUM($F521:N521)-$E521),($E521)*$D521),0)*O$508</f>
        <v>0</v>
      </c>
      <c r="P521" s="319">
        <f>IF(P$510&gt;=$C521,MIN(-(SUM($F521:O521)-$E521),($E521)*$D521),0)*P$508</f>
        <v>0</v>
      </c>
      <c r="Q521" s="319">
        <f>IF(Q$510&gt;=$C521,MIN(-(SUM($F521:P521)-$E521),($E521)*$D521),0)*Q$508</f>
        <v>0</v>
      </c>
      <c r="R521" s="319">
        <f>IF(R$510&gt;=$C521,MIN(-(SUM($F521:Q521)-$E521),($E521)*$D521),0)*R$508</f>
        <v>0</v>
      </c>
      <c r="S521" s="319">
        <f>IF(S$510&gt;=$C521,MIN(-(SUM($F521:R521)-$E521),($E521)*$D521),0)*S$508</f>
        <v>0</v>
      </c>
      <c r="T521" s="319">
        <f>IF(T$510&gt;=$C521,MIN(-(SUM($F521:S521)-$E521),($E521)*$D521),0)*T$508</f>
        <v>0</v>
      </c>
      <c r="U521" s="319">
        <f>IF(U$510&gt;=$C521,MIN(-(SUM($F521:T521)-$E521),($E521)*$D521),0)*U$508</f>
        <v>0</v>
      </c>
      <c r="V521" s="319">
        <f>IF(V$510&gt;=$C521,MIN(-(SUM($F521:U521)-$E521),($E521)*$D521),0)*V$508</f>
        <v>0</v>
      </c>
      <c r="W521" s="319">
        <f>IF(W$510&gt;=$C521,MIN(-(SUM($F521:V521)-$E521),($E521)*$D521),0)*W$508</f>
        <v>0</v>
      </c>
      <c r="X521" s="319">
        <f>IF(X$510&gt;=$C521,MIN(-(SUM($F521:W521)-$E521),($E521)*$D521),0)*X$508</f>
        <v>0</v>
      </c>
      <c r="Y521" s="319">
        <f>IF(Y$510&gt;=$C521,MIN(-(SUM($F521:X521)-$E521),($E521)*$D521),0)*Y$508</f>
        <v>0</v>
      </c>
      <c r="Z521" s="319">
        <f>IF(Z$510&gt;=$C521,MIN(-(SUM($F521:Y521)-$E521),($E521)*$D521),0)*Z$508</f>
        <v>0</v>
      </c>
      <c r="AA521" s="319">
        <f>IF(AA$510&gt;=$C521,MIN(-(SUM($F521:Z521)-$E521),($E521)*$D521),0)*AA$508</f>
        <v>0</v>
      </c>
      <c r="AB521" s="319">
        <f>IF(AB$510&gt;=$C521,MIN(-(SUM($F521:AA521)-$E521),($E521)*$D521),0)*AB$508</f>
        <v>0</v>
      </c>
      <c r="AC521" s="319">
        <f>IF(AC$510&gt;=$C521,MIN(-(SUM($F521:AB521)-$E521),($E521)*$D521),0)*AC$508</f>
        <v>0</v>
      </c>
      <c r="AD521" s="319">
        <f>IF(AD$510&gt;=$C521,MIN(-(SUM($F521:AC521)-$E521),($E521)*$D521),0)*AD$508</f>
        <v>0</v>
      </c>
      <c r="AE521" s="319">
        <f>IF(AE$510&gt;=$C521,MIN(-(SUM($F521:AD521)-$E521),($E521)*$D521),0)*AE$508</f>
        <v>0</v>
      </c>
      <c r="AF521" s="319">
        <f>IF(AF$510&gt;=$C521,MIN(-(SUM($F521:AE521)-$E521),($E521)*$D521),0)*AF$508</f>
        <v>0</v>
      </c>
      <c r="AG521" s="319">
        <f>IF(AG$510&gt;=$C521,MIN(-(SUM($F521:AF521)-$E521),($E521)*$D521),0)*AG$508</f>
        <v>0</v>
      </c>
      <c r="AH521" s="319">
        <f>IF(AH$510&gt;=$C521,MIN(-(SUM($F521:AG521)-$E521),($E521)*$D521),0)*AH$508</f>
        <v>0</v>
      </c>
      <c r="AI521" s="319">
        <f>IF(AI$510&gt;=$C521,MIN(-(SUM($F521:AH521)-$E521),($E521)*$D521),0)*AI$508</f>
        <v>0</v>
      </c>
      <c r="AJ521" s="319">
        <f>IF(AJ$510&gt;=$C521,MIN(-(SUM($F521:AI521)-$E521),($E521)*$D521),0)*AJ$508</f>
        <v>0</v>
      </c>
      <c r="AK521" s="319">
        <f>IF(AK$510&gt;=$C521,MIN(-(SUM($F521:AJ521)-$E521),($E521)*$D521),0)*AK$508</f>
        <v>0</v>
      </c>
      <c r="AL521" s="319">
        <f>IF(AL$510&gt;=$C521,MIN(-(SUM($F521:AK521)-$E521),($E521)*$D521),0)*AL$508</f>
        <v>0</v>
      </c>
      <c r="AM521" s="319">
        <f>IF(AM$510&gt;=$C521,MIN(-(SUM($F521:AL521)-$E521),($E521)*$D521),0)*AM$508</f>
        <v>0</v>
      </c>
      <c r="AN521" s="319">
        <f>IF(AN$510&gt;=$C521,MIN(-(SUM($F521:AM521)-$E521),($E521)*$D521),0)*AN$508</f>
        <v>0</v>
      </c>
    </row>
    <row r="522" spans="3:40" outlineLevel="4">
      <c r="C522">
        <v>8</v>
      </c>
      <c r="D522">
        <f>Inputs!$D$260</f>
        <v>0.2</v>
      </c>
      <c r="E522" s="319">
        <v>8069.9244699999999</v>
      </c>
      <c r="F522" s="319"/>
      <c r="G522" s="319">
        <f>IF(G$510&gt;=$C522,MIN(-(SUM(F522:$F522)-$E522),($E522)*$D522),0)*G$508</f>
        <v>0</v>
      </c>
      <c r="H522" s="319">
        <f>IF(H$510&gt;=$C522,MIN(-(SUM($F522:G522)-$E522),($E522)*$D522),0)*H$508</f>
        <v>0</v>
      </c>
      <c r="I522" s="319">
        <f>IF(I$510&gt;=$C522,MIN(-(SUM($F522:H522)-$E522),($E522)*$D522),0)*I$508</f>
        <v>0</v>
      </c>
      <c r="J522" s="319">
        <f>IF(J$510&gt;=$C522,MIN(-(SUM($F522:I522)-$E522),($E522)*$D522),0)*J$508</f>
        <v>0</v>
      </c>
      <c r="K522" s="319">
        <f>IF(K$510&gt;=$C522,MIN(-(SUM($F522:J522)-$E522),($E522)*$D522),0)*K$508</f>
        <v>0</v>
      </c>
      <c r="L522" s="319">
        <f>IF(L$510&gt;=$C522,MIN(-(SUM($F522:K522)-$E522),($E522)*$D522),0)*L$508</f>
        <v>0</v>
      </c>
      <c r="M522" s="319">
        <f>IF(M$510&gt;=$C522,MIN(-(SUM($F522:L522)-$E522),($E522)*$D522),0)*M$508</f>
        <v>0</v>
      </c>
      <c r="N522" s="319">
        <f>IF(N$510&gt;=$C522,MIN(-(SUM($F522:M522)-$E522),($E522)*$D522),0)*N$508</f>
        <v>1613.9848940000002</v>
      </c>
      <c r="O522" s="319">
        <f>IF(O$510&gt;=$C522,MIN(-(SUM($F522:N522)-$E522),($E522)*$D522),0)*O$508</f>
        <v>1613.9848940000002</v>
      </c>
      <c r="P522" s="319">
        <f>IF(P$510&gt;=$C522,MIN(-(SUM($F522:O522)-$E522),($E522)*$D522),0)*P$508</f>
        <v>1613.9848940000002</v>
      </c>
      <c r="Q522" s="319">
        <f>IF(Q$510&gt;=$C522,MIN(-(SUM($F522:P522)-$E522),($E522)*$D522),0)*Q$508</f>
        <v>1613.9848940000002</v>
      </c>
      <c r="R522" s="319">
        <f>IF(R$510&gt;=$C522,MIN(-(SUM($F522:Q522)-$E522),($E522)*$D522),0)*R$508</f>
        <v>1613.9848939999993</v>
      </c>
      <c r="S522" s="319">
        <f>IF(S$510&gt;=$C522,MIN(-(SUM($F522:R522)-$E522),($E522)*$D522),0)*S$508</f>
        <v>0</v>
      </c>
      <c r="T522" s="319">
        <f>IF(T$510&gt;=$C522,MIN(-(SUM($F522:S522)-$E522),($E522)*$D522),0)*T$508</f>
        <v>0</v>
      </c>
      <c r="U522" s="319">
        <f>IF(U$510&gt;=$C522,MIN(-(SUM($F522:T522)-$E522),($E522)*$D522),0)*U$508</f>
        <v>0</v>
      </c>
      <c r="V522" s="319">
        <f>IF(V$510&gt;=$C522,MIN(-(SUM($F522:U522)-$E522),($E522)*$D522),0)*V$508</f>
        <v>0</v>
      </c>
      <c r="W522" s="319">
        <f>IF(W$510&gt;=$C522,MIN(-(SUM($F522:V522)-$E522),($E522)*$D522),0)*W$508</f>
        <v>0</v>
      </c>
      <c r="X522" s="319">
        <f>IF(X$510&gt;=$C522,MIN(-(SUM($F522:W522)-$E522),($E522)*$D522),0)*X$508</f>
        <v>0</v>
      </c>
      <c r="Y522" s="319">
        <f>IF(Y$510&gt;=$C522,MIN(-(SUM($F522:X522)-$E522),($E522)*$D522),0)*Y$508</f>
        <v>0</v>
      </c>
      <c r="Z522" s="319">
        <f>IF(Z$510&gt;=$C522,MIN(-(SUM($F522:Y522)-$E522),($E522)*$D522),0)*Z$508</f>
        <v>0</v>
      </c>
      <c r="AA522" s="319">
        <f>IF(AA$510&gt;=$C522,MIN(-(SUM($F522:Z522)-$E522),($E522)*$D522),0)*AA$508</f>
        <v>0</v>
      </c>
      <c r="AB522" s="319">
        <f>IF(AB$510&gt;=$C522,MIN(-(SUM($F522:AA522)-$E522),($E522)*$D522),0)*AB$508</f>
        <v>0</v>
      </c>
      <c r="AC522" s="319">
        <f>IF(AC$510&gt;=$C522,MIN(-(SUM($F522:AB522)-$E522),($E522)*$D522),0)*AC$508</f>
        <v>0</v>
      </c>
      <c r="AD522" s="319">
        <f>IF(AD$510&gt;=$C522,MIN(-(SUM($F522:AC522)-$E522),($E522)*$D522),0)*AD$508</f>
        <v>0</v>
      </c>
      <c r="AE522" s="319">
        <f>IF(AE$510&gt;=$C522,MIN(-(SUM($F522:AD522)-$E522),($E522)*$D522),0)*AE$508</f>
        <v>0</v>
      </c>
      <c r="AF522" s="319">
        <f>IF(AF$510&gt;=$C522,MIN(-(SUM($F522:AE522)-$E522),($E522)*$D522),0)*AF$508</f>
        <v>0</v>
      </c>
      <c r="AG522" s="319">
        <f>IF(AG$510&gt;=$C522,MIN(-(SUM($F522:AF522)-$E522),($E522)*$D522),0)*AG$508</f>
        <v>0</v>
      </c>
      <c r="AH522" s="319">
        <f>IF(AH$510&gt;=$C522,MIN(-(SUM($F522:AG522)-$E522),($E522)*$D522),0)*AH$508</f>
        <v>0</v>
      </c>
      <c r="AI522" s="319">
        <f>IF(AI$510&gt;=$C522,MIN(-(SUM($F522:AH522)-$E522),($E522)*$D522),0)*AI$508</f>
        <v>0</v>
      </c>
      <c r="AJ522" s="319">
        <f>IF(AJ$510&gt;=$C522,MIN(-(SUM($F522:AI522)-$E522),($E522)*$D522),0)*AJ$508</f>
        <v>0</v>
      </c>
      <c r="AK522" s="319">
        <f>IF(AK$510&gt;=$C522,MIN(-(SUM($F522:AJ522)-$E522),($E522)*$D522),0)*AK$508</f>
        <v>0</v>
      </c>
      <c r="AL522" s="319">
        <f>IF(AL$510&gt;=$C522,MIN(-(SUM($F522:AK522)-$E522),($E522)*$D522),0)*AL$508</f>
        <v>0</v>
      </c>
      <c r="AM522" s="319">
        <f>IF(AM$510&gt;=$C522,MIN(-(SUM($F522:AL522)-$E522),($E522)*$D522),0)*AM$508</f>
        <v>0</v>
      </c>
      <c r="AN522" s="319">
        <f>IF(AN$510&gt;=$C522,MIN(-(SUM($F522:AM522)-$E522),($E522)*$D522),0)*AN$508</f>
        <v>0</v>
      </c>
    </row>
    <row r="523" spans="3:40" outlineLevel="4">
      <c r="C523">
        <v>9</v>
      </c>
      <c r="D523">
        <f>Inputs!$D$260</f>
        <v>0.2</v>
      </c>
      <c r="E523" s="319">
        <v>0</v>
      </c>
      <c r="F523" s="319"/>
      <c r="G523" s="319">
        <f>IF(G$510&gt;=$C523,MIN(-(SUM(F523:$F523)-$E523),($E523)*$D523),0)*G$508</f>
        <v>0</v>
      </c>
      <c r="H523" s="319">
        <f>IF(H$510&gt;=$C523,MIN(-(SUM($F523:G523)-$E523),($E523)*$D523),0)*H$508</f>
        <v>0</v>
      </c>
      <c r="I523" s="319">
        <f>IF(I$510&gt;=$C523,MIN(-(SUM($F523:H523)-$E523),($E523)*$D523),0)*I$508</f>
        <v>0</v>
      </c>
      <c r="J523" s="319">
        <f>IF(J$510&gt;=$C523,MIN(-(SUM($F523:I523)-$E523),($E523)*$D523),0)*J$508</f>
        <v>0</v>
      </c>
      <c r="K523" s="319">
        <f>IF(K$510&gt;=$C523,MIN(-(SUM($F523:J523)-$E523),($E523)*$D523),0)*K$508</f>
        <v>0</v>
      </c>
      <c r="L523" s="319">
        <f>IF(L$510&gt;=$C523,MIN(-(SUM($F523:K523)-$E523),($E523)*$D523),0)*L$508</f>
        <v>0</v>
      </c>
      <c r="M523" s="319">
        <f>IF(M$510&gt;=$C523,MIN(-(SUM($F523:L523)-$E523),($E523)*$D523),0)*M$508</f>
        <v>0</v>
      </c>
      <c r="N523" s="319">
        <f>IF(N$510&gt;=$C523,MIN(-(SUM($F523:M523)-$E523),($E523)*$D523),0)*N$508</f>
        <v>0</v>
      </c>
      <c r="O523" s="319">
        <f>IF(O$510&gt;=$C523,MIN(-(SUM($F523:N523)-$E523),($E523)*$D523),0)*O$508</f>
        <v>0</v>
      </c>
      <c r="P523" s="319">
        <f>IF(P$510&gt;=$C523,MIN(-(SUM($F523:O523)-$E523),($E523)*$D523),0)*P$508</f>
        <v>0</v>
      </c>
      <c r="Q523" s="319">
        <f>IF(Q$510&gt;=$C523,MIN(-(SUM($F523:P523)-$E523),($E523)*$D523),0)*Q$508</f>
        <v>0</v>
      </c>
      <c r="R523" s="319">
        <f>IF(R$510&gt;=$C523,MIN(-(SUM($F523:Q523)-$E523),($E523)*$D523),0)*R$508</f>
        <v>0</v>
      </c>
      <c r="S523" s="319">
        <f>IF(S$510&gt;=$C523,MIN(-(SUM($F523:R523)-$E523),($E523)*$D523),0)*S$508</f>
        <v>0</v>
      </c>
      <c r="T523" s="319">
        <f>IF(T$510&gt;=$C523,MIN(-(SUM($F523:S523)-$E523),($E523)*$D523),0)*T$508</f>
        <v>0</v>
      </c>
      <c r="U523" s="319">
        <f>IF(U$510&gt;=$C523,MIN(-(SUM($F523:T523)-$E523),($E523)*$D523),0)*U$508</f>
        <v>0</v>
      </c>
      <c r="V523" s="319">
        <f>IF(V$510&gt;=$C523,MIN(-(SUM($F523:U523)-$E523),($E523)*$D523),0)*V$508</f>
        <v>0</v>
      </c>
      <c r="W523" s="319">
        <f>IF(W$510&gt;=$C523,MIN(-(SUM($F523:V523)-$E523),($E523)*$D523),0)*W$508</f>
        <v>0</v>
      </c>
      <c r="X523" s="319">
        <f>IF(X$510&gt;=$C523,MIN(-(SUM($F523:W523)-$E523),($E523)*$D523),0)*X$508</f>
        <v>0</v>
      </c>
      <c r="Y523" s="319">
        <f>IF(Y$510&gt;=$C523,MIN(-(SUM($F523:X523)-$E523),($E523)*$D523),0)*Y$508</f>
        <v>0</v>
      </c>
      <c r="Z523" s="319">
        <f>IF(Z$510&gt;=$C523,MIN(-(SUM($F523:Y523)-$E523),($E523)*$D523),0)*Z$508</f>
        <v>0</v>
      </c>
      <c r="AA523" s="319">
        <f>IF(AA$510&gt;=$C523,MIN(-(SUM($F523:Z523)-$E523),($E523)*$D523),0)*AA$508</f>
        <v>0</v>
      </c>
      <c r="AB523" s="319">
        <f>IF(AB$510&gt;=$C523,MIN(-(SUM($F523:AA523)-$E523),($E523)*$D523),0)*AB$508</f>
        <v>0</v>
      </c>
      <c r="AC523" s="319">
        <f>IF(AC$510&gt;=$C523,MIN(-(SUM($F523:AB523)-$E523),($E523)*$D523),0)*AC$508</f>
        <v>0</v>
      </c>
      <c r="AD523" s="319">
        <f>IF(AD$510&gt;=$C523,MIN(-(SUM($F523:AC523)-$E523),($E523)*$D523),0)*AD$508</f>
        <v>0</v>
      </c>
      <c r="AE523" s="319">
        <f>IF(AE$510&gt;=$C523,MIN(-(SUM($F523:AD523)-$E523),($E523)*$D523),0)*AE$508</f>
        <v>0</v>
      </c>
      <c r="AF523" s="319">
        <f>IF(AF$510&gt;=$C523,MIN(-(SUM($F523:AE523)-$E523),($E523)*$D523),0)*AF$508</f>
        <v>0</v>
      </c>
      <c r="AG523" s="319">
        <f>IF(AG$510&gt;=$C523,MIN(-(SUM($F523:AF523)-$E523),($E523)*$D523),0)*AG$508</f>
        <v>0</v>
      </c>
      <c r="AH523" s="319">
        <f>IF(AH$510&gt;=$C523,MIN(-(SUM($F523:AG523)-$E523),($E523)*$D523),0)*AH$508</f>
        <v>0</v>
      </c>
      <c r="AI523" s="319">
        <f>IF(AI$510&gt;=$C523,MIN(-(SUM($F523:AH523)-$E523),($E523)*$D523),0)*AI$508</f>
        <v>0</v>
      </c>
      <c r="AJ523" s="319">
        <f>IF(AJ$510&gt;=$C523,MIN(-(SUM($F523:AI523)-$E523),($E523)*$D523),0)*AJ$508</f>
        <v>0</v>
      </c>
      <c r="AK523" s="319">
        <f>IF(AK$510&gt;=$C523,MIN(-(SUM($F523:AJ523)-$E523),($E523)*$D523),0)*AK$508</f>
        <v>0</v>
      </c>
      <c r="AL523" s="319">
        <f>IF(AL$510&gt;=$C523,MIN(-(SUM($F523:AK523)-$E523),($E523)*$D523),0)*AL$508</f>
        <v>0</v>
      </c>
      <c r="AM523" s="319">
        <f>IF(AM$510&gt;=$C523,MIN(-(SUM($F523:AL523)-$E523),($E523)*$D523),0)*AM$508</f>
        <v>0</v>
      </c>
      <c r="AN523" s="319">
        <f>IF(AN$510&gt;=$C523,MIN(-(SUM($F523:AM523)-$E523),($E523)*$D523),0)*AN$508</f>
        <v>0</v>
      </c>
    </row>
    <row r="524" spans="3:40" outlineLevel="4">
      <c r="C524">
        <v>10</v>
      </c>
      <c r="D524">
        <f>Inputs!$D$260</f>
        <v>0.2</v>
      </c>
      <c r="E524" s="319">
        <v>0</v>
      </c>
      <c r="F524" s="319"/>
      <c r="G524" s="319">
        <f>IF(G$510&gt;=$C524,MIN(-(SUM(F524:$F524)-$E524),($E524)*$D524),0)*G$508</f>
        <v>0</v>
      </c>
      <c r="H524" s="319">
        <f>IF(H$510&gt;=$C524,MIN(-(SUM($F524:G524)-$E524),($E524)*$D524),0)*H$508</f>
        <v>0</v>
      </c>
      <c r="I524" s="319">
        <f>IF(I$510&gt;=$C524,MIN(-(SUM($F524:H524)-$E524),($E524)*$D524),0)*I$508</f>
        <v>0</v>
      </c>
      <c r="J524" s="319">
        <f>IF(J$510&gt;=$C524,MIN(-(SUM($F524:I524)-$E524),($E524)*$D524),0)*J$508</f>
        <v>0</v>
      </c>
      <c r="K524" s="319">
        <f>IF(K$510&gt;=$C524,MIN(-(SUM($F524:J524)-$E524),($E524)*$D524),0)*K$508</f>
        <v>0</v>
      </c>
      <c r="L524" s="319">
        <f>IF(L$510&gt;=$C524,MIN(-(SUM($F524:K524)-$E524),($E524)*$D524),0)*L$508</f>
        <v>0</v>
      </c>
      <c r="M524" s="319">
        <f>IF(M$510&gt;=$C524,MIN(-(SUM($F524:L524)-$E524),($E524)*$D524),0)*M$508</f>
        <v>0</v>
      </c>
      <c r="N524" s="319">
        <f>IF(N$510&gt;=$C524,MIN(-(SUM($F524:M524)-$E524),($E524)*$D524),0)*N$508</f>
        <v>0</v>
      </c>
      <c r="O524" s="319">
        <f>IF(O$510&gt;=$C524,MIN(-(SUM($F524:N524)-$E524),($E524)*$D524),0)*O$508</f>
        <v>0</v>
      </c>
      <c r="P524" s="319">
        <f>IF(P$510&gt;=$C524,MIN(-(SUM($F524:O524)-$E524),($E524)*$D524),0)*P$508</f>
        <v>0</v>
      </c>
      <c r="Q524" s="319">
        <f>IF(Q$510&gt;=$C524,MIN(-(SUM($F524:P524)-$E524),($E524)*$D524),0)*Q$508</f>
        <v>0</v>
      </c>
      <c r="R524" s="319">
        <f>IF(R$510&gt;=$C524,MIN(-(SUM($F524:Q524)-$E524),($E524)*$D524),0)*R$508</f>
        <v>0</v>
      </c>
      <c r="S524" s="319">
        <f>IF(S$510&gt;=$C524,MIN(-(SUM($F524:R524)-$E524),($E524)*$D524),0)*S$508</f>
        <v>0</v>
      </c>
      <c r="T524" s="319">
        <f>IF(T$510&gt;=$C524,MIN(-(SUM($F524:S524)-$E524),($E524)*$D524),0)*T$508</f>
        <v>0</v>
      </c>
      <c r="U524" s="319">
        <f>IF(U$510&gt;=$C524,MIN(-(SUM($F524:T524)-$E524),($E524)*$D524),0)*U$508</f>
        <v>0</v>
      </c>
      <c r="V524" s="319">
        <f>IF(V$510&gt;=$C524,MIN(-(SUM($F524:U524)-$E524),($E524)*$D524),0)*V$508</f>
        <v>0</v>
      </c>
      <c r="W524" s="319">
        <f>IF(W$510&gt;=$C524,MIN(-(SUM($F524:V524)-$E524),($E524)*$D524),0)*W$508</f>
        <v>0</v>
      </c>
      <c r="X524" s="319">
        <f>IF(X$510&gt;=$C524,MIN(-(SUM($F524:W524)-$E524),($E524)*$D524),0)*X$508</f>
        <v>0</v>
      </c>
      <c r="Y524" s="319">
        <f>IF(Y$510&gt;=$C524,MIN(-(SUM($F524:X524)-$E524),($E524)*$D524),0)*Y$508</f>
        <v>0</v>
      </c>
      <c r="Z524" s="319">
        <f>IF(Z$510&gt;=$C524,MIN(-(SUM($F524:Y524)-$E524),($E524)*$D524),0)*Z$508</f>
        <v>0</v>
      </c>
      <c r="AA524" s="319">
        <f>IF(AA$510&gt;=$C524,MIN(-(SUM($F524:Z524)-$E524),($E524)*$D524),0)*AA$508</f>
        <v>0</v>
      </c>
      <c r="AB524" s="319">
        <f>IF(AB$510&gt;=$C524,MIN(-(SUM($F524:AA524)-$E524),($E524)*$D524),0)*AB$508</f>
        <v>0</v>
      </c>
      <c r="AC524" s="319">
        <f>IF(AC$510&gt;=$C524,MIN(-(SUM($F524:AB524)-$E524),($E524)*$D524),0)*AC$508</f>
        <v>0</v>
      </c>
      <c r="AD524" s="319">
        <f>IF(AD$510&gt;=$C524,MIN(-(SUM($F524:AC524)-$E524),($E524)*$D524),0)*AD$508</f>
        <v>0</v>
      </c>
      <c r="AE524" s="319">
        <f>IF(AE$510&gt;=$C524,MIN(-(SUM($F524:AD524)-$E524),($E524)*$D524),0)*AE$508</f>
        <v>0</v>
      </c>
      <c r="AF524" s="319">
        <f>IF(AF$510&gt;=$C524,MIN(-(SUM($F524:AE524)-$E524),($E524)*$D524),0)*AF$508</f>
        <v>0</v>
      </c>
      <c r="AG524" s="319">
        <f>IF(AG$510&gt;=$C524,MIN(-(SUM($F524:AF524)-$E524),($E524)*$D524),0)*AG$508</f>
        <v>0</v>
      </c>
      <c r="AH524" s="319">
        <f>IF(AH$510&gt;=$C524,MIN(-(SUM($F524:AG524)-$E524),($E524)*$D524),0)*AH$508</f>
        <v>0</v>
      </c>
      <c r="AI524" s="319">
        <f>IF(AI$510&gt;=$C524,MIN(-(SUM($F524:AH524)-$E524),($E524)*$D524),0)*AI$508</f>
        <v>0</v>
      </c>
      <c r="AJ524" s="319">
        <f>IF(AJ$510&gt;=$C524,MIN(-(SUM($F524:AI524)-$E524),($E524)*$D524),0)*AJ$508</f>
        <v>0</v>
      </c>
      <c r="AK524" s="319">
        <f>IF(AK$510&gt;=$C524,MIN(-(SUM($F524:AJ524)-$E524),($E524)*$D524),0)*AK$508</f>
        <v>0</v>
      </c>
      <c r="AL524" s="319">
        <f>IF(AL$510&gt;=$C524,MIN(-(SUM($F524:AK524)-$E524),($E524)*$D524),0)*AL$508</f>
        <v>0</v>
      </c>
      <c r="AM524" s="319">
        <f>IF(AM$510&gt;=$C524,MIN(-(SUM($F524:AL524)-$E524),($E524)*$D524),0)*AM$508</f>
        <v>0</v>
      </c>
      <c r="AN524" s="319">
        <f>IF(AN$510&gt;=$C524,MIN(-(SUM($F524:AM524)-$E524),($E524)*$D524),0)*AN$508</f>
        <v>0</v>
      </c>
    </row>
    <row r="525" spans="3:40" outlineLevel="4">
      <c r="C525">
        <v>11</v>
      </c>
      <c r="D525">
        <f>Inputs!$D$260</f>
        <v>0.2</v>
      </c>
      <c r="E525" s="319">
        <v>21.16</v>
      </c>
      <c r="F525" s="319"/>
      <c r="G525" s="319">
        <f>IF(G$510&gt;=$C525,MIN(-(SUM(F525:$F525)-$E525),($E525)*$D525),0)*G$508</f>
        <v>0</v>
      </c>
      <c r="H525" s="319">
        <f>IF(H$510&gt;=$C525,MIN(-(SUM($F525:G525)-$E525),($E525)*$D525),0)*H$508</f>
        <v>0</v>
      </c>
      <c r="I525" s="319">
        <f>IF(I$510&gt;=$C525,MIN(-(SUM($F525:H525)-$E525),($E525)*$D525),0)*I$508</f>
        <v>0</v>
      </c>
      <c r="J525" s="319">
        <f>IF(J$510&gt;=$C525,MIN(-(SUM($F525:I525)-$E525),($E525)*$D525),0)*J$508</f>
        <v>0</v>
      </c>
      <c r="K525" s="319">
        <f>IF(K$510&gt;=$C525,MIN(-(SUM($F525:J525)-$E525),($E525)*$D525),0)*K$508</f>
        <v>0</v>
      </c>
      <c r="L525" s="319">
        <f>IF(L$510&gt;=$C525,MIN(-(SUM($F525:K525)-$E525),($E525)*$D525),0)*L$508</f>
        <v>0</v>
      </c>
      <c r="M525" s="319">
        <f>IF(M$510&gt;=$C525,MIN(-(SUM($F525:L525)-$E525),($E525)*$D525),0)*M$508</f>
        <v>0</v>
      </c>
      <c r="N525" s="319">
        <f>IF(N$510&gt;=$C525,MIN(-(SUM($F525:M525)-$E525),($E525)*$D525),0)*N$508</f>
        <v>0</v>
      </c>
      <c r="O525" s="319">
        <f>IF(O$510&gt;=$C525,MIN(-(SUM($F525:N525)-$E525),($E525)*$D525),0)*O$508</f>
        <v>0</v>
      </c>
      <c r="P525" s="319">
        <f>IF(P$510&gt;=$C525,MIN(-(SUM($F525:O525)-$E525),($E525)*$D525),0)*P$508</f>
        <v>0</v>
      </c>
      <c r="Q525" s="319">
        <f>IF(Q$510&gt;=$C525,MIN(-(SUM($F525:P525)-$E525),($E525)*$D525),0)*Q$508</f>
        <v>4.2320000000000002</v>
      </c>
      <c r="R525" s="319">
        <f>IF(R$510&gt;=$C525,MIN(-(SUM($F525:Q525)-$E525),($E525)*$D525),0)*R$508</f>
        <v>4.2320000000000002</v>
      </c>
      <c r="S525" s="319">
        <f>IF(S$510&gt;=$C525,MIN(-(SUM($F525:R525)-$E525),($E525)*$D525),0)*S$508</f>
        <v>4.2320000000000002</v>
      </c>
      <c r="T525" s="319">
        <f>IF(T$510&gt;=$C525,MIN(-(SUM($F525:S525)-$E525),($E525)*$D525),0)*T$508</f>
        <v>4.2320000000000002</v>
      </c>
      <c r="U525" s="319">
        <f>IF(U$510&gt;=$C525,MIN(-(SUM($F525:T525)-$E525),($E525)*$D525),0)*U$508</f>
        <v>4.2319999999999993</v>
      </c>
      <c r="V525" s="319">
        <f>IF(V$510&gt;=$C525,MIN(-(SUM($F525:U525)-$E525),($E525)*$D525),0)*V$508</f>
        <v>0</v>
      </c>
      <c r="W525" s="319">
        <f>IF(W$510&gt;=$C525,MIN(-(SUM($F525:V525)-$E525),($E525)*$D525),0)*W$508</f>
        <v>0</v>
      </c>
      <c r="X525" s="319">
        <f>IF(X$510&gt;=$C525,MIN(-(SUM($F525:W525)-$E525),($E525)*$D525),0)*X$508</f>
        <v>0</v>
      </c>
      <c r="Y525" s="319">
        <f>IF(Y$510&gt;=$C525,MIN(-(SUM($F525:X525)-$E525),($E525)*$D525),0)*Y$508</f>
        <v>0</v>
      </c>
      <c r="Z525" s="319">
        <f>IF(Z$510&gt;=$C525,MIN(-(SUM($F525:Y525)-$E525),($E525)*$D525),0)*Z$508</f>
        <v>0</v>
      </c>
      <c r="AA525" s="319">
        <f>IF(AA$510&gt;=$C525,MIN(-(SUM($F525:Z525)-$E525),($E525)*$D525),0)*AA$508</f>
        <v>0</v>
      </c>
      <c r="AB525" s="319">
        <f>IF(AB$510&gt;=$C525,MIN(-(SUM($F525:AA525)-$E525),($E525)*$D525),0)*AB$508</f>
        <v>0</v>
      </c>
      <c r="AC525" s="319">
        <f>IF(AC$510&gt;=$C525,MIN(-(SUM($F525:AB525)-$E525),($E525)*$D525),0)*AC$508</f>
        <v>0</v>
      </c>
      <c r="AD525" s="319">
        <f>IF(AD$510&gt;=$C525,MIN(-(SUM($F525:AC525)-$E525),($E525)*$D525),0)*AD$508</f>
        <v>0</v>
      </c>
      <c r="AE525" s="319">
        <f>IF(AE$510&gt;=$C525,MIN(-(SUM($F525:AD525)-$E525),($E525)*$D525),0)*AE$508</f>
        <v>0</v>
      </c>
      <c r="AF525" s="319">
        <f>IF(AF$510&gt;=$C525,MIN(-(SUM($F525:AE525)-$E525),($E525)*$D525),0)*AF$508</f>
        <v>0</v>
      </c>
      <c r="AG525" s="319">
        <f>IF(AG$510&gt;=$C525,MIN(-(SUM($F525:AF525)-$E525),($E525)*$D525),0)*AG$508</f>
        <v>0</v>
      </c>
      <c r="AH525" s="319">
        <f>IF(AH$510&gt;=$C525,MIN(-(SUM($F525:AG525)-$E525),($E525)*$D525),0)*AH$508</f>
        <v>0</v>
      </c>
      <c r="AI525" s="319">
        <f>IF(AI$510&gt;=$C525,MIN(-(SUM($F525:AH525)-$E525),($E525)*$D525),0)*AI$508</f>
        <v>0</v>
      </c>
      <c r="AJ525" s="319">
        <f>IF(AJ$510&gt;=$C525,MIN(-(SUM($F525:AI525)-$E525),($E525)*$D525),0)*AJ$508</f>
        <v>0</v>
      </c>
      <c r="AK525" s="319">
        <f>IF(AK$510&gt;=$C525,MIN(-(SUM($F525:AJ525)-$E525),($E525)*$D525),0)*AK$508</f>
        <v>0</v>
      </c>
      <c r="AL525" s="319">
        <f>IF(AL$510&gt;=$C525,MIN(-(SUM($F525:AK525)-$E525),($E525)*$D525),0)*AL$508</f>
        <v>0</v>
      </c>
      <c r="AM525" s="319">
        <f>IF(AM$510&gt;=$C525,MIN(-(SUM($F525:AL525)-$E525),($E525)*$D525),0)*AM$508</f>
        <v>0</v>
      </c>
      <c r="AN525" s="319">
        <f>IF(AN$510&gt;=$C525,MIN(-(SUM($F525:AM525)-$E525),($E525)*$D525),0)*AN$508</f>
        <v>0</v>
      </c>
    </row>
    <row r="526" spans="3:40" outlineLevel="4">
      <c r="C526">
        <v>12</v>
      </c>
      <c r="D526">
        <f>Inputs!$D$260</f>
        <v>0.2</v>
      </c>
      <c r="E526" s="319">
        <v>0</v>
      </c>
      <c r="F526" s="319"/>
      <c r="G526" s="319">
        <f>IF(G$510&gt;=$C526,MIN(-(SUM(F526:$F526)-$E526),($E526)*$D526),0)*G$508</f>
        <v>0</v>
      </c>
      <c r="H526" s="319">
        <f>IF(H$510&gt;=$C526,MIN(-(SUM($F526:G526)-$E526),($E526)*$D526),0)*H$508</f>
        <v>0</v>
      </c>
      <c r="I526" s="319">
        <f>IF(I$510&gt;=$C526,MIN(-(SUM($F526:H526)-$E526),($E526)*$D526),0)*I$508</f>
        <v>0</v>
      </c>
      <c r="J526" s="319">
        <f>IF(J$510&gt;=$C526,MIN(-(SUM($F526:I526)-$E526),($E526)*$D526),0)*J$508</f>
        <v>0</v>
      </c>
      <c r="K526" s="319">
        <f>IF(K$510&gt;=$C526,MIN(-(SUM($F526:J526)-$E526),($E526)*$D526),0)*K$508</f>
        <v>0</v>
      </c>
      <c r="L526" s="319">
        <f>IF(L$510&gt;=$C526,MIN(-(SUM($F526:K526)-$E526),($E526)*$D526),0)*L$508</f>
        <v>0</v>
      </c>
      <c r="M526" s="319">
        <f>IF(M$510&gt;=$C526,MIN(-(SUM($F526:L526)-$E526),($E526)*$D526),0)*M$508</f>
        <v>0</v>
      </c>
      <c r="N526" s="319">
        <f>IF(N$510&gt;=$C526,MIN(-(SUM($F526:M526)-$E526),($E526)*$D526),0)*N$508</f>
        <v>0</v>
      </c>
      <c r="O526" s="319">
        <f>IF(O$510&gt;=$C526,MIN(-(SUM($F526:N526)-$E526),($E526)*$D526),0)*O$508</f>
        <v>0</v>
      </c>
      <c r="P526" s="319">
        <f>IF(P$510&gt;=$C526,MIN(-(SUM($F526:O526)-$E526),($E526)*$D526),0)*P$508</f>
        <v>0</v>
      </c>
      <c r="Q526" s="319">
        <f>IF(Q$510&gt;=$C526,MIN(-(SUM($F526:P526)-$E526),($E526)*$D526),0)*Q$508</f>
        <v>0</v>
      </c>
      <c r="R526" s="319">
        <f>IF(R$510&gt;=$C526,MIN(-(SUM($F526:Q526)-$E526),($E526)*$D526),0)*R$508</f>
        <v>0</v>
      </c>
      <c r="S526" s="319">
        <f>IF(S$510&gt;=$C526,MIN(-(SUM($F526:R526)-$E526),($E526)*$D526),0)*S$508</f>
        <v>0</v>
      </c>
      <c r="T526" s="319">
        <f>IF(T$510&gt;=$C526,MIN(-(SUM($F526:S526)-$E526),($E526)*$D526),0)*T$508</f>
        <v>0</v>
      </c>
      <c r="U526" s="319">
        <f>IF(U$510&gt;=$C526,MIN(-(SUM($F526:T526)-$E526),($E526)*$D526),0)*U$508</f>
        <v>0</v>
      </c>
      <c r="V526" s="319">
        <f>IF(V$510&gt;=$C526,MIN(-(SUM($F526:U526)-$E526),($E526)*$D526),0)*V$508</f>
        <v>0</v>
      </c>
      <c r="W526" s="319">
        <f>IF(W$510&gt;=$C526,MIN(-(SUM($F526:V526)-$E526),($E526)*$D526),0)*W$508</f>
        <v>0</v>
      </c>
      <c r="X526" s="319">
        <f>IF(X$510&gt;=$C526,MIN(-(SUM($F526:W526)-$E526),($E526)*$D526),0)*X$508</f>
        <v>0</v>
      </c>
      <c r="Y526" s="319">
        <f>IF(Y$510&gt;=$C526,MIN(-(SUM($F526:X526)-$E526),($E526)*$D526),0)*Y$508</f>
        <v>0</v>
      </c>
      <c r="Z526" s="319">
        <f>IF(Z$510&gt;=$C526,MIN(-(SUM($F526:Y526)-$E526),($E526)*$D526),0)*Z$508</f>
        <v>0</v>
      </c>
      <c r="AA526" s="319">
        <f>IF(AA$510&gt;=$C526,MIN(-(SUM($F526:Z526)-$E526),($E526)*$D526),0)*AA$508</f>
        <v>0</v>
      </c>
      <c r="AB526" s="319">
        <f>IF(AB$510&gt;=$C526,MIN(-(SUM($F526:AA526)-$E526),($E526)*$D526),0)*AB$508</f>
        <v>0</v>
      </c>
      <c r="AC526" s="319">
        <f>IF(AC$510&gt;=$C526,MIN(-(SUM($F526:AB526)-$E526),($E526)*$D526),0)*AC$508</f>
        <v>0</v>
      </c>
      <c r="AD526" s="319">
        <f>IF(AD$510&gt;=$C526,MIN(-(SUM($F526:AC526)-$E526),($E526)*$D526),0)*AD$508</f>
        <v>0</v>
      </c>
      <c r="AE526" s="319">
        <f>IF(AE$510&gt;=$C526,MIN(-(SUM($F526:AD526)-$E526),($E526)*$D526),0)*AE$508</f>
        <v>0</v>
      </c>
      <c r="AF526" s="319">
        <f>IF(AF$510&gt;=$C526,MIN(-(SUM($F526:AE526)-$E526),($E526)*$D526),0)*AF$508</f>
        <v>0</v>
      </c>
      <c r="AG526" s="319">
        <f>IF(AG$510&gt;=$C526,MIN(-(SUM($F526:AF526)-$E526),($E526)*$D526),0)*AG$508</f>
        <v>0</v>
      </c>
      <c r="AH526" s="319">
        <f>IF(AH$510&gt;=$C526,MIN(-(SUM($F526:AG526)-$E526),($E526)*$D526),0)*AH$508</f>
        <v>0</v>
      </c>
      <c r="AI526" s="319">
        <f>IF(AI$510&gt;=$C526,MIN(-(SUM($F526:AH526)-$E526),($E526)*$D526),0)*AI$508</f>
        <v>0</v>
      </c>
      <c r="AJ526" s="319">
        <f>IF(AJ$510&gt;=$C526,MIN(-(SUM($F526:AI526)-$E526),($E526)*$D526),0)*AJ$508</f>
        <v>0</v>
      </c>
      <c r="AK526" s="319">
        <f>IF(AK$510&gt;=$C526,MIN(-(SUM($F526:AJ526)-$E526),($E526)*$D526),0)*AK$508</f>
        <v>0</v>
      </c>
      <c r="AL526" s="319">
        <f>IF(AL$510&gt;=$C526,MIN(-(SUM($F526:AK526)-$E526),($E526)*$D526),0)*AL$508</f>
        <v>0</v>
      </c>
      <c r="AM526" s="319">
        <f>IF(AM$510&gt;=$C526,MIN(-(SUM($F526:AL526)-$E526),($E526)*$D526),0)*AM$508</f>
        <v>0</v>
      </c>
      <c r="AN526" s="319">
        <f>IF(AN$510&gt;=$C526,MIN(-(SUM($F526:AM526)-$E526),($E526)*$D526),0)*AN$508</f>
        <v>0</v>
      </c>
    </row>
    <row r="527" spans="3:40" outlineLevel="4">
      <c r="C527">
        <v>13</v>
      </c>
      <c r="D527">
        <f>Inputs!$D$260</f>
        <v>0.2</v>
      </c>
      <c r="E527" s="319">
        <v>648.71976000000006</v>
      </c>
      <c r="F527" s="319"/>
      <c r="G527" s="319">
        <f>IF(G$510&gt;=$C527,MIN(-(SUM(F527:$F527)-$E527),($E527)*$D527),0)*G$508</f>
        <v>0</v>
      </c>
      <c r="H527" s="319">
        <f>IF(H$510&gt;=$C527,MIN(-(SUM($F527:G527)-$E527),($E527)*$D527),0)*H$508</f>
        <v>0</v>
      </c>
      <c r="I527" s="319">
        <f>IF(I$510&gt;=$C527,MIN(-(SUM($F527:H527)-$E527),($E527)*$D527),0)*I$508</f>
        <v>0</v>
      </c>
      <c r="J527" s="319">
        <f>IF(J$510&gt;=$C527,MIN(-(SUM($F527:I527)-$E527),($E527)*$D527),0)*J$508</f>
        <v>0</v>
      </c>
      <c r="K527" s="319">
        <f>IF(K$510&gt;=$C527,MIN(-(SUM($F527:J527)-$E527),($E527)*$D527),0)*K$508</f>
        <v>0</v>
      </c>
      <c r="L527" s="319">
        <f>IF(L$510&gt;=$C527,MIN(-(SUM($F527:K527)-$E527),($E527)*$D527),0)*L$508</f>
        <v>0</v>
      </c>
      <c r="M527" s="319">
        <f>IF(M$510&gt;=$C527,MIN(-(SUM($F527:L527)-$E527),($E527)*$D527),0)*M$508</f>
        <v>0</v>
      </c>
      <c r="N527" s="319">
        <f>IF(N$510&gt;=$C527,MIN(-(SUM($F527:M527)-$E527),($E527)*$D527),0)*N$508</f>
        <v>0</v>
      </c>
      <c r="O527" s="319">
        <f>IF(O$510&gt;=$C527,MIN(-(SUM($F527:N527)-$E527),($E527)*$D527),0)*O$508</f>
        <v>0</v>
      </c>
      <c r="P527" s="319">
        <f>IF(P$510&gt;=$C527,MIN(-(SUM($F527:O527)-$E527),($E527)*$D527),0)*P$508</f>
        <v>0</v>
      </c>
      <c r="Q527" s="319">
        <f>IF(Q$510&gt;=$C527,MIN(-(SUM($F527:P527)-$E527),($E527)*$D527),0)*Q$508</f>
        <v>0</v>
      </c>
      <c r="R527" s="319">
        <f>IF(R$510&gt;=$C527,MIN(-(SUM($F527:Q527)-$E527),($E527)*$D527),0)*R$508</f>
        <v>0</v>
      </c>
      <c r="S527" s="319">
        <f>IF(S$510&gt;=$C527,MIN(-(SUM($F527:R527)-$E527),($E527)*$D527),0)*S$508</f>
        <v>129.74395200000001</v>
      </c>
      <c r="T527" s="319">
        <f>IF(T$510&gt;=$C527,MIN(-(SUM($F527:S527)-$E527),($E527)*$D527),0)*T$508</f>
        <v>129.74395200000001</v>
      </c>
      <c r="U527" s="319">
        <f>IF(U$510&gt;=$C527,MIN(-(SUM($F527:T527)-$E527),($E527)*$D527),0)*U$508</f>
        <v>129.74395200000001</v>
      </c>
      <c r="V527" s="319">
        <f>IF(V$510&gt;=$C527,MIN(-(SUM($F527:U527)-$E527),($E527)*$D527),0)*V$508</f>
        <v>129.74395200000001</v>
      </c>
      <c r="W527" s="319">
        <f>IF(W$510&gt;=$C527,MIN(-(SUM($F527:V527)-$E527),($E527)*$D527),0)*W$508</f>
        <v>129.74395200000001</v>
      </c>
      <c r="X527" s="319">
        <f>IF(X$510&gt;=$C527,MIN(-(SUM($F527:W527)-$E527),($E527)*$D527),0)*X$508</f>
        <v>0</v>
      </c>
      <c r="Y527" s="319">
        <f>IF(Y$510&gt;=$C527,MIN(-(SUM($F527:X527)-$E527),($E527)*$D527),0)*Y$508</f>
        <v>0</v>
      </c>
      <c r="Z527" s="319">
        <f>IF(Z$510&gt;=$C527,MIN(-(SUM($F527:Y527)-$E527),($E527)*$D527),0)*Z$508</f>
        <v>0</v>
      </c>
      <c r="AA527" s="319">
        <f>IF(AA$510&gt;=$C527,MIN(-(SUM($F527:Z527)-$E527),($E527)*$D527),0)*AA$508</f>
        <v>0</v>
      </c>
      <c r="AB527" s="319">
        <f>IF(AB$510&gt;=$C527,MIN(-(SUM($F527:AA527)-$E527),($E527)*$D527),0)*AB$508</f>
        <v>0</v>
      </c>
      <c r="AC527" s="319">
        <f>IF(AC$510&gt;=$C527,MIN(-(SUM($F527:AB527)-$E527),($E527)*$D527),0)*AC$508</f>
        <v>0</v>
      </c>
      <c r="AD527" s="319">
        <f>IF(AD$510&gt;=$C527,MIN(-(SUM($F527:AC527)-$E527),($E527)*$D527),0)*AD$508</f>
        <v>0</v>
      </c>
      <c r="AE527" s="319">
        <f>IF(AE$510&gt;=$C527,MIN(-(SUM($F527:AD527)-$E527),($E527)*$D527),0)*AE$508</f>
        <v>0</v>
      </c>
      <c r="AF527" s="319">
        <f>IF(AF$510&gt;=$C527,MIN(-(SUM($F527:AE527)-$E527),($E527)*$D527),0)*AF$508</f>
        <v>0</v>
      </c>
      <c r="AG527" s="319">
        <f>IF(AG$510&gt;=$C527,MIN(-(SUM($F527:AF527)-$E527),($E527)*$D527),0)*AG$508</f>
        <v>0</v>
      </c>
      <c r="AH527" s="319">
        <f>IF(AH$510&gt;=$C527,MIN(-(SUM($F527:AG527)-$E527),($E527)*$D527),0)*AH$508</f>
        <v>0</v>
      </c>
      <c r="AI527" s="319">
        <f>IF(AI$510&gt;=$C527,MIN(-(SUM($F527:AH527)-$E527),($E527)*$D527),0)*AI$508</f>
        <v>0</v>
      </c>
      <c r="AJ527" s="319">
        <f>IF(AJ$510&gt;=$C527,MIN(-(SUM($F527:AI527)-$E527),($E527)*$D527),0)*AJ$508</f>
        <v>0</v>
      </c>
      <c r="AK527" s="319">
        <f>IF(AK$510&gt;=$C527,MIN(-(SUM($F527:AJ527)-$E527),($E527)*$D527),0)*AK$508</f>
        <v>0</v>
      </c>
      <c r="AL527" s="319">
        <f>IF(AL$510&gt;=$C527,MIN(-(SUM($F527:AK527)-$E527),($E527)*$D527),0)*AL$508</f>
        <v>0</v>
      </c>
      <c r="AM527" s="319">
        <f>IF(AM$510&gt;=$C527,MIN(-(SUM($F527:AL527)-$E527),($E527)*$D527),0)*AM$508</f>
        <v>0</v>
      </c>
      <c r="AN527" s="319">
        <f>IF(AN$510&gt;=$C527,MIN(-(SUM($F527:AM527)-$E527),($E527)*$D527),0)*AN$508</f>
        <v>0</v>
      </c>
    </row>
    <row r="528" spans="3:40" outlineLevel="4">
      <c r="C528">
        <v>14</v>
      </c>
      <c r="D528">
        <f>Inputs!$D$260</f>
        <v>0.2</v>
      </c>
      <c r="E528" s="319">
        <v>0</v>
      </c>
      <c r="F528" s="319"/>
      <c r="G528" s="319">
        <f>IF(G$510&gt;=$C528,MIN(-(SUM(F528:$F528)-$E528),($E528)*$D528),0)*G$508</f>
        <v>0</v>
      </c>
      <c r="H528" s="319">
        <f>IF(H$510&gt;=$C528,MIN(-(SUM($F528:G528)-$E528),($E528)*$D528),0)*H$508</f>
        <v>0</v>
      </c>
      <c r="I528" s="319">
        <f>IF(I$510&gt;=$C528,MIN(-(SUM($F528:H528)-$E528),($E528)*$D528),0)*I$508</f>
        <v>0</v>
      </c>
      <c r="J528" s="319">
        <f>IF(J$510&gt;=$C528,MIN(-(SUM($F528:I528)-$E528),($E528)*$D528),0)*J$508</f>
        <v>0</v>
      </c>
      <c r="K528" s="319">
        <f>IF(K$510&gt;=$C528,MIN(-(SUM($F528:J528)-$E528),($E528)*$D528),0)*K$508</f>
        <v>0</v>
      </c>
      <c r="L528" s="319">
        <f>IF(L$510&gt;=$C528,MIN(-(SUM($F528:K528)-$E528),($E528)*$D528),0)*L$508</f>
        <v>0</v>
      </c>
      <c r="M528" s="319">
        <f>IF(M$510&gt;=$C528,MIN(-(SUM($F528:L528)-$E528),($E528)*$D528),0)*M$508</f>
        <v>0</v>
      </c>
      <c r="N528" s="319">
        <f>IF(N$510&gt;=$C528,MIN(-(SUM($F528:M528)-$E528),($E528)*$D528),0)*N$508</f>
        <v>0</v>
      </c>
      <c r="O528" s="319">
        <f>IF(O$510&gt;=$C528,MIN(-(SUM($F528:N528)-$E528),($E528)*$D528),0)*O$508</f>
        <v>0</v>
      </c>
      <c r="P528" s="319">
        <f>IF(P$510&gt;=$C528,MIN(-(SUM($F528:O528)-$E528),($E528)*$D528),0)*P$508</f>
        <v>0</v>
      </c>
      <c r="Q528" s="319">
        <f>IF(Q$510&gt;=$C528,MIN(-(SUM($F528:P528)-$E528),($E528)*$D528),0)*Q$508</f>
        <v>0</v>
      </c>
      <c r="R528" s="319">
        <f>IF(R$510&gt;=$C528,MIN(-(SUM($F528:Q528)-$E528),($E528)*$D528),0)*R$508</f>
        <v>0</v>
      </c>
      <c r="S528" s="319">
        <f>IF(S$510&gt;=$C528,MIN(-(SUM($F528:R528)-$E528),($E528)*$D528),0)*S$508</f>
        <v>0</v>
      </c>
      <c r="T528" s="319">
        <f>IF(T$510&gt;=$C528,MIN(-(SUM($F528:S528)-$E528),($E528)*$D528),0)*T$508</f>
        <v>0</v>
      </c>
      <c r="U528" s="319">
        <f>IF(U$510&gt;=$C528,MIN(-(SUM($F528:T528)-$E528),($E528)*$D528),0)*U$508</f>
        <v>0</v>
      </c>
      <c r="V528" s="319">
        <f>IF(V$510&gt;=$C528,MIN(-(SUM($F528:U528)-$E528),($E528)*$D528),0)*V$508</f>
        <v>0</v>
      </c>
      <c r="W528" s="319">
        <f>IF(W$510&gt;=$C528,MIN(-(SUM($F528:V528)-$E528),($E528)*$D528),0)*W$508</f>
        <v>0</v>
      </c>
      <c r="X528" s="319">
        <f>IF(X$510&gt;=$C528,MIN(-(SUM($F528:W528)-$E528),($E528)*$D528),0)*X$508</f>
        <v>0</v>
      </c>
      <c r="Y528" s="319">
        <f>IF(Y$510&gt;=$C528,MIN(-(SUM($F528:X528)-$E528),($E528)*$D528),0)*Y$508</f>
        <v>0</v>
      </c>
      <c r="Z528" s="319">
        <f>IF(Z$510&gt;=$C528,MIN(-(SUM($F528:Y528)-$E528),($E528)*$D528),0)*Z$508</f>
        <v>0</v>
      </c>
      <c r="AA528" s="319">
        <f>IF(AA$510&gt;=$C528,MIN(-(SUM($F528:Z528)-$E528),($E528)*$D528),0)*AA$508</f>
        <v>0</v>
      </c>
      <c r="AB528" s="319">
        <f>IF(AB$510&gt;=$C528,MIN(-(SUM($F528:AA528)-$E528),($E528)*$D528),0)*AB$508</f>
        <v>0</v>
      </c>
      <c r="AC528" s="319">
        <f>IF(AC$510&gt;=$C528,MIN(-(SUM($F528:AB528)-$E528),($E528)*$D528),0)*AC$508</f>
        <v>0</v>
      </c>
      <c r="AD528" s="319">
        <f>IF(AD$510&gt;=$C528,MIN(-(SUM($F528:AC528)-$E528),($E528)*$D528),0)*AD$508</f>
        <v>0</v>
      </c>
      <c r="AE528" s="319">
        <f>IF(AE$510&gt;=$C528,MIN(-(SUM($F528:AD528)-$E528),($E528)*$D528),0)*AE$508</f>
        <v>0</v>
      </c>
      <c r="AF528" s="319">
        <f>IF(AF$510&gt;=$C528,MIN(-(SUM($F528:AE528)-$E528),($E528)*$D528),0)*AF$508</f>
        <v>0</v>
      </c>
      <c r="AG528" s="319">
        <f>IF(AG$510&gt;=$C528,MIN(-(SUM($F528:AF528)-$E528),($E528)*$D528),0)*AG$508</f>
        <v>0</v>
      </c>
      <c r="AH528" s="319">
        <f>IF(AH$510&gt;=$C528,MIN(-(SUM($F528:AG528)-$E528),($E528)*$D528),0)*AH$508</f>
        <v>0</v>
      </c>
      <c r="AI528" s="319">
        <f>IF(AI$510&gt;=$C528,MIN(-(SUM($F528:AH528)-$E528),($E528)*$D528),0)*AI$508</f>
        <v>0</v>
      </c>
      <c r="AJ528" s="319">
        <f>IF(AJ$510&gt;=$C528,MIN(-(SUM($F528:AI528)-$E528),($E528)*$D528),0)*AJ$508</f>
        <v>0</v>
      </c>
      <c r="AK528" s="319">
        <f>IF(AK$510&gt;=$C528,MIN(-(SUM($F528:AJ528)-$E528),($E528)*$D528),0)*AK$508</f>
        <v>0</v>
      </c>
      <c r="AL528" s="319">
        <f>IF(AL$510&gt;=$C528,MIN(-(SUM($F528:AK528)-$E528),($E528)*$D528),0)*AL$508</f>
        <v>0</v>
      </c>
      <c r="AM528" s="319">
        <f>IF(AM$510&gt;=$C528,MIN(-(SUM($F528:AL528)-$E528),($E528)*$D528),0)*AM$508</f>
        <v>0</v>
      </c>
      <c r="AN528" s="319">
        <f>IF(AN$510&gt;=$C528,MIN(-(SUM($F528:AM528)-$E528),($E528)*$D528),0)*AN$508</f>
        <v>0</v>
      </c>
    </row>
    <row r="529" spans="3:40" outlineLevel="4">
      <c r="C529">
        <v>15</v>
      </c>
      <c r="D529">
        <f>Inputs!$D$260</f>
        <v>0.2</v>
      </c>
      <c r="E529" s="319">
        <v>8069.9244699999999</v>
      </c>
      <c r="F529" s="319"/>
      <c r="G529" s="319">
        <f>IF(G$510&gt;=$C529,MIN(-(SUM(F529:$F529)-$E529),($E529)*$D529),0)*G$508</f>
        <v>0</v>
      </c>
      <c r="H529" s="319">
        <f>IF(H$510&gt;=$C529,MIN(-(SUM($F529:G529)-$E529),($E529)*$D529),0)*H$508</f>
        <v>0</v>
      </c>
      <c r="I529" s="319">
        <f>IF(I$510&gt;=$C529,MIN(-(SUM($F529:H529)-$E529),($E529)*$D529),0)*I$508</f>
        <v>0</v>
      </c>
      <c r="J529" s="319">
        <f>IF(J$510&gt;=$C529,MIN(-(SUM($F529:I529)-$E529),($E529)*$D529),0)*J$508</f>
        <v>0</v>
      </c>
      <c r="K529" s="319">
        <f>IF(K$510&gt;=$C529,MIN(-(SUM($F529:J529)-$E529),($E529)*$D529),0)*K$508</f>
        <v>0</v>
      </c>
      <c r="L529" s="319">
        <f>IF(L$510&gt;=$C529,MIN(-(SUM($F529:K529)-$E529),($E529)*$D529),0)*L$508</f>
        <v>0</v>
      </c>
      <c r="M529" s="319">
        <f>IF(M$510&gt;=$C529,MIN(-(SUM($F529:L529)-$E529),($E529)*$D529),0)*M$508</f>
        <v>0</v>
      </c>
      <c r="N529" s="319">
        <f>IF(N$510&gt;=$C529,MIN(-(SUM($F529:M529)-$E529),($E529)*$D529),0)*N$508</f>
        <v>0</v>
      </c>
      <c r="O529" s="319">
        <f>IF(O$510&gt;=$C529,MIN(-(SUM($F529:N529)-$E529),($E529)*$D529),0)*O$508</f>
        <v>0</v>
      </c>
      <c r="P529" s="319">
        <f>IF(P$510&gt;=$C529,MIN(-(SUM($F529:O529)-$E529),($E529)*$D529),0)*P$508</f>
        <v>0</v>
      </c>
      <c r="Q529" s="319">
        <f>IF(Q$510&gt;=$C529,MIN(-(SUM($F529:P529)-$E529),($E529)*$D529),0)*Q$508</f>
        <v>0</v>
      </c>
      <c r="R529" s="319">
        <f>IF(R$510&gt;=$C529,MIN(-(SUM($F529:Q529)-$E529),($E529)*$D529),0)*R$508</f>
        <v>0</v>
      </c>
      <c r="S529" s="319">
        <f>IF(S$510&gt;=$C529,MIN(-(SUM($F529:R529)-$E529),($E529)*$D529),0)*S$508</f>
        <v>0</v>
      </c>
      <c r="T529" s="319">
        <f>IF(T$510&gt;=$C529,MIN(-(SUM($F529:S529)-$E529),($E529)*$D529),0)*T$508</f>
        <v>0</v>
      </c>
      <c r="U529" s="319">
        <f>IF(U$510&gt;=$C529,MIN(-(SUM($F529:T529)-$E529),($E529)*$D529),0)*U$508</f>
        <v>1613.9848940000002</v>
      </c>
      <c r="V529" s="319">
        <f>IF(V$510&gt;=$C529,MIN(-(SUM($F529:U529)-$E529),($E529)*$D529),0)*V$508</f>
        <v>1613.9848940000002</v>
      </c>
      <c r="W529" s="319">
        <f>IF(W$510&gt;=$C529,MIN(-(SUM($F529:V529)-$E529),($E529)*$D529),0)*W$508</f>
        <v>1613.9848940000002</v>
      </c>
      <c r="X529" s="319">
        <f>IF(X$510&gt;=$C529,MIN(-(SUM($F529:W529)-$E529),($E529)*$D529),0)*X$508</f>
        <v>1613.9848940000002</v>
      </c>
      <c r="Y529" s="319">
        <f>IF(Y$510&gt;=$C529,MIN(-(SUM($F529:X529)-$E529),($E529)*$D529),0)*Y$508</f>
        <v>1613.9848939999993</v>
      </c>
      <c r="Z529" s="319">
        <f>IF(Z$510&gt;=$C529,MIN(-(SUM($F529:Y529)-$E529),($E529)*$D529),0)*Z$508</f>
        <v>0</v>
      </c>
      <c r="AA529" s="319">
        <f>IF(AA$510&gt;=$C529,MIN(-(SUM($F529:Z529)-$E529),($E529)*$D529),0)*AA$508</f>
        <v>0</v>
      </c>
      <c r="AB529" s="319">
        <f>IF(AB$510&gt;=$C529,MIN(-(SUM($F529:AA529)-$E529),($E529)*$D529),0)*AB$508</f>
        <v>0</v>
      </c>
      <c r="AC529" s="319">
        <f>IF(AC$510&gt;=$C529,MIN(-(SUM($F529:AB529)-$E529),($E529)*$D529),0)*AC$508</f>
        <v>0</v>
      </c>
      <c r="AD529" s="319">
        <f>IF(AD$510&gt;=$C529,MIN(-(SUM($F529:AC529)-$E529),($E529)*$D529),0)*AD$508</f>
        <v>0</v>
      </c>
      <c r="AE529" s="319">
        <f>IF(AE$510&gt;=$C529,MIN(-(SUM($F529:AD529)-$E529),($E529)*$D529),0)*AE$508</f>
        <v>0</v>
      </c>
      <c r="AF529" s="319">
        <f>IF(AF$510&gt;=$C529,MIN(-(SUM($F529:AE529)-$E529),($E529)*$D529),0)*AF$508</f>
        <v>0</v>
      </c>
      <c r="AG529" s="319">
        <f>IF(AG$510&gt;=$C529,MIN(-(SUM($F529:AF529)-$E529),($E529)*$D529),0)*AG$508</f>
        <v>0</v>
      </c>
      <c r="AH529" s="319">
        <f>IF(AH$510&gt;=$C529,MIN(-(SUM($F529:AG529)-$E529),($E529)*$D529),0)*AH$508</f>
        <v>0</v>
      </c>
      <c r="AI529" s="319">
        <f>IF(AI$510&gt;=$C529,MIN(-(SUM($F529:AH529)-$E529),($E529)*$D529),0)*AI$508</f>
        <v>0</v>
      </c>
      <c r="AJ529" s="319">
        <f>IF(AJ$510&gt;=$C529,MIN(-(SUM($F529:AI529)-$E529),($E529)*$D529),0)*AJ$508</f>
        <v>0</v>
      </c>
      <c r="AK529" s="319">
        <f>IF(AK$510&gt;=$C529,MIN(-(SUM($F529:AJ529)-$E529),($E529)*$D529),0)*AK$508</f>
        <v>0</v>
      </c>
      <c r="AL529" s="319">
        <f>IF(AL$510&gt;=$C529,MIN(-(SUM($F529:AK529)-$E529),($E529)*$D529),0)*AL$508</f>
        <v>0</v>
      </c>
      <c r="AM529" s="319">
        <f>IF(AM$510&gt;=$C529,MIN(-(SUM($F529:AL529)-$E529),($E529)*$D529),0)*AM$508</f>
        <v>0</v>
      </c>
      <c r="AN529" s="319">
        <f>IF(AN$510&gt;=$C529,MIN(-(SUM($F529:AM529)-$E529),($E529)*$D529),0)*AN$508</f>
        <v>0</v>
      </c>
    </row>
    <row r="530" spans="3:40" outlineLevel="4">
      <c r="C530">
        <v>16</v>
      </c>
      <c r="D530">
        <f>Inputs!$D$260</f>
        <v>0.2</v>
      </c>
      <c r="E530" s="319">
        <v>0</v>
      </c>
      <c r="F530" s="319"/>
      <c r="G530" s="319">
        <f>IF(G$510&gt;=$C530,MIN(-(SUM(F530:$F530)-$E530),($E530)*$D530),0)*G$508</f>
        <v>0</v>
      </c>
      <c r="H530" s="319">
        <f>IF(H$510&gt;=$C530,MIN(-(SUM($F530:G530)-$E530),($E530)*$D530),0)*H$508</f>
        <v>0</v>
      </c>
      <c r="I530" s="319">
        <f>IF(I$510&gt;=$C530,MIN(-(SUM($F530:H530)-$E530),($E530)*$D530),0)*I$508</f>
        <v>0</v>
      </c>
      <c r="J530" s="319">
        <f>IF(J$510&gt;=$C530,MIN(-(SUM($F530:I530)-$E530),($E530)*$D530),0)*J$508</f>
        <v>0</v>
      </c>
      <c r="K530" s="319">
        <f>IF(K$510&gt;=$C530,MIN(-(SUM($F530:J530)-$E530),($E530)*$D530),0)*K$508</f>
        <v>0</v>
      </c>
      <c r="L530" s="319">
        <f>IF(L$510&gt;=$C530,MIN(-(SUM($F530:K530)-$E530),($E530)*$D530),0)*L$508</f>
        <v>0</v>
      </c>
      <c r="M530" s="319">
        <f>IF(M$510&gt;=$C530,MIN(-(SUM($F530:L530)-$E530),($E530)*$D530),0)*M$508</f>
        <v>0</v>
      </c>
      <c r="N530" s="319">
        <f>IF(N$510&gt;=$C530,MIN(-(SUM($F530:M530)-$E530),($E530)*$D530),0)*N$508</f>
        <v>0</v>
      </c>
      <c r="O530" s="319">
        <f>IF(O$510&gt;=$C530,MIN(-(SUM($F530:N530)-$E530),($E530)*$D530),0)*O$508</f>
        <v>0</v>
      </c>
      <c r="P530" s="319">
        <f>IF(P$510&gt;=$C530,MIN(-(SUM($F530:O530)-$E530),($E530)*$D530),0)*P$508</f>
        <v>0</v>
      </c>
      <c r="Q530" s="319">
        <f>IF(Q$510&gt;=$C530,MIN(-(SUM($F530:P530)-$E530),($E530)*$D530),0)*Q$508</f>
        <v>0</v>
      </c>
      <c r="R530" s="319">
        <f>IF(R$510&gt;=$C530,MIN(-(SUM($F530:Q530)-$E530),($E530)*$D530),0)*R$508</f>
        <v>0</v>
      </c>
      <c r="S530" s="319">
        <f>IF(S$510&gt;=$C530,MIN(-(SUM($F530:R530)-$E530),($E530)*$D530),0)*S$508</f>
        <v>0</v>
      </c>
      <c r="T530" s="319">
        <f>IF(T$510&gt;=$C530,MIN(-(SUM($F530:S530)-$E530),($E530)*$D530),0)*T$508</f>
        <v>0</v>
      </c>
      <c r="U530" s="319">
        <f>IF(U$510&gt;=$C530,MIN(-(SUM($F530:T530)-$E530),($E530)*$D530),0)*U$508</f>
        <v>0</v>
      </c>
      <c r="V530" s="319">
        <f>IF(V$510&gt;=$C530,MIN(-(SUM($F530:U530)-$E530),($E530)*$D530),0)*V$508</f>
        <v>0</v>
      </c>
      <c r="W530" s="319">
        <f>IF(W$510&gt;=$C530,MIN(-(SUM($F530:V530)-$E530),($E530)*$D530),0)*W$508</f>
        <v>0</v>
      </c>
      <c r="X530" s="319">
        <f>IF(X$510&gt;=$C530,MIN(-(SUM($F530:W530)-$E530),($E530)*$D530),0)*X$508</f>
        <v>0</v>
      </c>
      <c r="Y530" s="319">
        <f>IF(Y$510&gt;=$C530,MIN(-(SUM($F530:X530)-$E530),($E530)*$D530),0)*Y$508</f>
        <v>0</v>
      </c>
      <c r="Z530" s="319">
        <f>IF(Z$510&gt;=$C530,MIN(-(SUM($F530:Y530)-$E530),($E530)*$D530),0)*Z$508</f>
        <v>0</v>
      </c>
      <c r="AA530" s="319">
        <f>IF(AA$510&gt;=$C530,MIN(-(SUM($F530:Z530)-$E530),($E530)*$D530),0)*AA$508</f>
        <v>0</v>
      </c>
      <c r="AB530" s="319">
        <f>IF(AB$510&gt;=$C530,MIN(-(SUM($F530:AA530)-$E530),($E530)*$D530),0)*AB$508</f>
        <v>0</v>
      </c>
      <c r="AC530" s="319">
        <f>IF(AC$510&gt;=$C530,MIN(-(SUM($F530:AB530)-$E530),($E530)*$D530),0)*AC$508</f>
        <v>0</v>
      </c>
      <c r="AD530" s="319">
        <f>IF(AD$510&gt;=$C530,MIN(-(SUM($F530:AC530)-$E530),($E530)*$D530),0)*AD$508</f>
        <v>0</v>
      </c>
      <c r="AE530" s="319">
        <f>IF(AE$510&gt;=$C530,MIN(-(SUM($F530:AD530)-$E530),($E530)*$D530),0)*AE$508</f>
        <v>0</v>
      </c>
      <c r="AF530" s="319">
        <f>IF(AF$510&gt;=$C530,MIN(-(SUM($F530:AE530)-$E530),($E530)*$D530),0)*AF$508</f>
        <v>0</v>
      </c>
      <c r="AG530" s="319">
        <f>IF(AG$510&gt;=$C530,MIN(-(SUM($F530:AF530)-$E530),($E530)*$D530),0)*AG$508</f>
        <v>0</v>
      </c>
      <c r="AH530" s="319">
        <f>IF(AH$510&gt;=$C530,MIN(-(SUM($F530:AG530)-$E530),($E530)*$D530),0)*AH$508</f>
        <v>0</v>
      </c>
      <c r="AI530" s="319">
        <f>IF(AI$510&gt;=$C530,MIN(-(SUM($F530:AH530)-$E530),($E530)*$D530),0)*AI$508</f>
        <v>0</v>
      </c>
      <c r="AJ530" s="319">
        <f>IF(AJ$510&gt;=$C530,MIN(-(SUM($F530:AI530)-$E530),($E530)*$D530),0)*AJ$508</f>
        <v>0</v>
      </c>
      <c r="AK530" s="319">
        <f>IF(AK$510&gt;=$C530,MIN(-(SUM($F530:AJ530)-$E530),($E530)*$D530),0)*AK$508</f>
        <v>0</v>
      </c>
      <c r="AL530" s="319">
        <f>IF(AL$510&gt;=$C530,MIN(-(SUM($F530:AK530)-$E530),($E530)*$D530),0)*AL$508</f>
        <v>0</v>
      </c>
      <c r="AM530" s="319">
        <f>IF(AM$510&gt;=$C530,MIN(-(SUM($F530:AL530)-$E530),($E530)*$D530),0)*AM$508</f>
        <v>0</v>
      </c>
      <c r="AN530" s="319">
        <f>IF(AN$510&gt;=$C530,MIN(-(SUM($F530:AM530)-$E530),($E530)*$D530),0)*AN$508</f>
        <v>0</v>
      </c>
    </row>
    <row r="531" spans="3:40" outlineLevel="4">
      <c r="C531">
        <v>17</v>
      </c>
      <c r="D531">
        <f>Inputs!$D$260</f>
        <v>0.2</v>
      </c>
      <c r="E531" s="319">
        <v>0</v>
      </c>
      <c r="F531" s="319"/>
      <c r="G531" s="319">
        <f>IF(G$510&gt;=$C531,MIN(-(SUM(F531:$F531)-$E531),($E531)*$D531),0)*G$508</f>
        <v>0</v>
      </c>
      <c r="H531" s="319">
        <f>IF(H$510&gt;=$C531,MIN(-(SUM($F531:G531)-$E531),($E531)*$D531),0)*H$508</f>
        <v>0</v>
      </c>
      <c r="I531" s="319">
        <f>IF(I$510&gt;=$C531,MIN(-(SUM($F531:H531)-$E531),($E531)*$D531),0)*I$508</f>
        <v>0</v>
      </c>
      <c r="J531" s="319">
        <f>IF(J$510&gt;=$C531,MIN(-(SUM($F531:I531)-$E531),($E531)*$D531),0)*J$508</f>
        <v>0</v>
      </c>
      <c r="K531" s="319">
        <f>IF(K$510&gt;=$C531,MIN(-(SUM($F531:J531)-$E531),($E531)*$D531),0)*K$508</f>
        <v>0</v>
      </c>
      <c r="L531" s="319">
        <f>IF(L$510&gt;=$C531,MIN(-(SUM($F531:K531)-$E531),($E531)*$D531),0)*L$508</f>
        <v>0</v>
      </c>
      <c r="M531" s="319">
        <f>IF(M$510&gt;=$C531,MIN(-(SUM($F531:L531)-$E531),($E531)*$D531),0)*M$508</f>
        <v>0</v>
      </c>
      <c r="N531" s="319">
        <f>IF(N$510&gt;=$C531,MIN(-(SUM($F531:M531)-$E531),($E531)*$D531),0)*N$508</f>
        <v>0</v>
      </c>
      <c r="O531" s="319">
        <f>IF(O$510&gt;=$C531,MIN(-(SUM($F531:N531)-$E531),($E531)*$D531),0)*O$508</f>
        <v>0</v>
      </c>
      <c r="P531" s="319">
        <f>IF(P$510&gt;=$C531,MIN(-(SUM($F531:O531)-$E531),($E531)*$D531),0)*P$508</f>
        <v>0</v>
      </c>
      <c r="Q531" s="319">
        <f>IF(Q$510&gt;=$C531,MIN(-(SUM($F531:P531)-$E531),($E531)*$D531),0)*Q$508</f>
        <v>0</v>
      </c>
      <c r="R531" s="319">
        <f>IF(R$510&gt;=$C531,MIN(-(SUM($F531:Q531)-$E531),($E531)*$D531),0)*R$508</f>
        <v>0</v>
      </c>
      <c r="S531" s="319">
        <f>IF(S$510&gt;=$C531,MIN(-(SUM($F531:R531)-$E531),($E531)*$D531),0)*S$508</f>
        <v>0</v>
      </c>
      <c r="T531" s="319">
        <f>IF(T$510&gt;=$C531,MIN(-(SUM($F531:S531)-$E531),($E531)*$D531),0)*T$508</f>
        <v>0</v>
      </c>
      <c r="U531" s="319">
        <f>IF(U$510&gt;=$C531,MIN(-(SUM($F531:T531)-$E531),($E531)*$D531),0)*U$508</f>
        <v>0</v>
      </c>
      <c r="V531" s="319">
        <f>IF(V$510&gt;=$C531,MIN(-(SUM($F531:U531)-$E531),($E531)*$D531),0)*V$508</f>
        <v>0</v>
      </c>
      <c r="W531" s="319">
        <f>IF(W$510&gt;=$C531,MIN(-(SUM($F531:V531)-$E531),($E531)*$D531),0)*W$508</f>
        <v>0</v>
      </c>
      <c r="X531" s="319">
        <f>IF(X$510&gt;=$C531,MIN(-(SUM($F531:W531)-$E531),($E531)*$D531),0)*X$508</f>
        <v>0</v>
      </c>
      <c r="Y531" s="319">
        <f>IF(Y$510&gt;=$C531,MIN(-(SUM($F531:X531)-$E531),($E531)*$D531),0)*Y$508</f>
        <v>0</v>
      </c>
      <c r="Z531" s="319">
        <f>IF(Z$510&gt;=$C531,MIN(-(SUM($F531:Y531)-$E531),($E531)*$D531),0)*Z$508</f>
        <v>0</v>
      </c>
      <c r="AA531" s="319">
        <f>IF(AA$510&gt;=$C531,MIN(-(SUM($F531:Z531)-$E531),($E531)*$D531),0)*AA$508</f>
        <v>0</v>
      </c>
      <c r="AB531" s="319">
        <f>IF(AB$510&gt;=$C531,MIN(-(SUM($F531:AA531)-$E531),($E531)*$D531),0)*AB$508</f>
        <v>0</v>
      </c>
      <c r="AC531" s="319">
        <f>IF(AC$510&gt;=$C531,MIN(-(SUM($F531:AB531)-$E531),($E531)*$D531),0)*AC$508</f>
        <v>0</v>
      </c>
      <c r="AD531" s="319">
        <f>IF(AD$510&gt;=$C531,MIN(-(SUM($F531:AC531)-$E531),($E531)*$D531),0)*AD$508</f>
        <v>0</v>
      </c>
      <c r="AE531" s="319">
        <f>IF(AE$510&gt;=$C531,MIN(-(SUM($F531:AD531)-$E531),($E531)*$D531),0)*AE$508</f>
        <v>0</v>
      </c>
      <c r="AF531" s="319">
        <f>IF(AF$510&gt;=$C531,MIN(-(SUM($F531:AE531)-$E531),($E531)*$D531),0)*AF$508</f>
        <v>0</v>
      </c>
      <c r="AG531" s="319">
        <f>IF(AG$510&gt;=$C531,MIN(-(SUM($F531:AF531)-$E531),($E531)*$D531),0)*AG$508</f>
        <v>0</v>
      </c>
      <c r="AH531" s="319">
        <f>IF(AH$510&gt;=$C531,MIN(-(SUM($F531:AG531)-$E531),($E531)*$D531),0)*AH$508</f>
        <v>0</v>
      </c>
      <c r="AI531" s="319">
        <f>IF(AI$510&gt;=$C531,MIN(-(SUM($F531:AH531)-$E531),($E531)*$D531),0)*AI$508</f>
        <v>0</v>
      </c>
      <c r="AJ531" s="319">
        <f>IF(AJ$510&gt;=$C531,MIN(-(SUM($F531:AI531)-$E531),($E531)*$D531),0)*AJ$508</f>
        <v>0</v>
      </c>
      <c r="AK531" s="319">
        <f>IF(AK$510&gt;=$C531,MIN(-(SUM($F531:AJ531)-$E531),($E531)*$D531),0)*AK$508</f>
        <v>0</v>
      </c>
      <c r="AL531" s="319">
        <f>IF(AL$510&gt;=$C531,MIN(-(SUM($F531:AK531)-$E531),($E531)*$D531),0)*AL$508</f>
        <v>0</v>
      </c>
      <c r="AM531" s="319">
        <f>IF(AM$510&gt;=$C531,MIN(-(SUM($F531:AL531)-$E531),($E531)*$D531),0)*AM$508</f>
        <v>0</v>
      </c>
      <c r="AN531" s="319">
        <f>IF(AN$510&gt;=$C531,MIN(-(SUM($F531:AM531)-$E531),($E531)*$D531),0)*AN$508</f>
        <v>0</v>
      </c>
    </row>
    <row r="532" spans="3:40" outlineLevel="4">
      <c r="C532">
        <v>18</v>
      </c>
      <c r="D532">
        <f>Inputs!$D$260</f>
        <v>0.2</v>
      </c>
      <c r="E532" s="319">
        <v>0</v>
      </c>
      <c r="F532" s="319"/>
      <c r="G532" s="319">
        <f>IF(G$510&gt;=$C532,MIN(-(SUM(F532:$F532)-$E532),($E532)*$D532),0)*G$508</f>
        <v>0</v>
      </c>
      <c r="H532" s="319">
        <f>IF(H$510&gt;=$C532,MIN(-(SUM($F532:G532)-$E532),($E532)*$D532),0)*H$508</f>
        <v>0</v>
      </c>
      <c r="I532" s="319">
        <f>IF(I$510&gt;=$C532,MIN(-(SUM($F532:H532)-$E532),($E532)*$D532),0)*I$508</f>
        <v>0</v>
      </c>
      <c r="J532" s="319">
        <f>IF(J$510&gt;=$C532,MIN(-(SUM($F532:I532)-$E532),($E532)*$D532),0)*J$508</f>
        <v>0</v>
      </c>
      <c r="K532" s="319">
        <f>IF(K$510&gt;=$C532,MIN(-(SUM($F532:J532)-$E532),($E532)*$D532),0)*K$508</f>
        <v>0</v>
      </c>
      <c r="L532" s="319">
        <f>IF(L$510&gt;=$C532,MIN(-(SUM($F532:K532)-$E532),($E532)*$D532),0)*L$508</f>
        <v>0</v>
      </c>
      <c r="M532" s="319">
        <f>IF(M$510&gt;=$C532,MIN(-(SUM($F532:L532)-$E532),($E532)*$D532),0)*M$508</f>
        <v>0</v>
      </c>
      <c r="N532" s="319">
        <f>IF(N$510&gt;=$C532,MIN(-(SUM($F532:M532)-$E532),($E532)*$D532),0)*N$508</f>
        <v>0</v>
      </c>
      <c r="O532" s="319">
        <f>IF(O$510&gt;=$C532,MIN(-(SUM($F532:N532)-$E532),($E532)*$D532),0)*O$508</f>
        <v>0</v>
      </c>
      <c r="P532" s="319">
        <f>IF(P$510&gt;=$C532,MIN(-(SUM($F532:O532)-$E532),($E532)*$D532),0)*P$508</f>
        <v>0</v>
      </c>
      <c r="Q532" s="319">
        <f>IF(Q$510&gt;=$C532,MIN(-(SUM($F532:P532)-$E532),($E532)*$D532),0)*Q$508</f>
        <v>0</v>
      </c>
      <c r="R532" s="319">
        <f>IF(R$510&gt;=$C532,MIN(-(SUM($F532:Q532)-$E532),($E532)*$D532),0)*R$508</f>
        <v>0</v>
      </c>
      <c r="S532" s="319">
        <f>IF(S$510&gt;=$C532,MIN(-(SUM($F532:R532)-$E532),($E532)*$D532),0)*S$508</f>
        <v>0</v>
      </c>
      <c r="T532" s="319">
        <f>IF(T$510&gt;=$C532,MIN(-(SUM($F532:S532)-$E532),($E532)*$D532),0)*T$508</f>
        <v>0</v>
      </c>
      <c r="U532" s="319">
        <f>IF(U$510&gt;=$C532,MIN(-(SUM($F532:T532)-$E532),($E532)*$D532),0)*U$508</f>
        <v>0</v>
      </c>
      <c r="V532" s="319">
        <f>IF(V$510&gt;=$C532,MIN(-(SUM($F532:U532)-$E532),($E532)*$D532),0)*V$508</f>
        <v>0</v>
      </c>
      <c r="W532" s="319">
        <f>IF(W$510&gt;=$C532,MIN(-(SUM($F532:V532)-$E532),($E532)*$D532),0)*W$508</f>
        <v>0</v>
      </c>
      <c r="X532" s="319">
        <f>IF(X$510&gt;=$C532,MIN(-(SUM($F532:W532)-$E532),($E532)*$D532),0)*X$508</f>
        <v>0</v>
      </c>
      <c r="Y532" s="319">
        <f>IF(Y$510&gt;=$C532,MIN(-(SUM($F532:X532)-$E532),($E532)*$D532),0)*Y$508</f>
        <v>0</v>
      </c>
      <c r="Z532" s="319">
        <f>IF(Z$510&gt;=$C532,MIN(-(SUM($F532:Y532)-$E532),($E532)*$D532),0)*Z$508</f>
        <v>0</v>
      </c>
      <c r="AA532" s="319">
        <f>IF(AA$510&gt;=$C532,MIN(-(SUM($F532:Z532)-$E532),($E532)*$D532),0)*AA$508</f>
        <v>0</v>
      </c>
      <c r="AB532" s="319">
        <f>IF(AB$510&gt;=$C532,MIN(-(SUM($F532:AA532)-$E532),($E532)*$D532),0)*AB$508</f>
        <v>0</v>
      </c>
      <c r="AC532" s="319">
        <f>IF(AC$510&gt;=$C532,MIN(-(SUM($F532:AB532)-$E532),($E532)*$D532),0)*AC$508</f>
        <v>0</v>
      </c>
      <c r="AD532" s="319">
        <f>IF(AD$510&gt;=$C532,MIN(-(SUM($F532:AC532)-$E532),($E532)*$D532),0)*AD$508</f>
        <v>0</v>
      </c>
      <c r="AE532" s="319">
        <f>IF(AE$510&gt;=$C532,MIN(-(SUM($F532:AD532)-$E532),($E532)*$D532),0)*AE$508</f>
        <v>0</v>
      </c>
      <c r="AF532" s="319">
        <f>IF(AF$510&gt;=$C532,MIN(-(SUM($F532:AE532)-$E532),($E532)*$D532),0)*AF$508</f>
        <v>0</v>
      </c>
      <c r="AG532" s="319">
        <f>IF(AG$510&gt;=$C532,MIN(-(SUM($F532:AF532)-$E532),($E532)*$D532),0)*AG$508</f>
        <v>0</v>
      </c>
      <c r="AH532" s="319">
        <f>IF(AH$510&gt;=$C532,MIN(-(SUM($F532:AG532)-$E532),($E532)*$D532),0)*AH$508</f>
        <v>0</v>
      </c>
      <c r="AI532" s="319">
        <f>IF(AI$510&gt;=$C532,MIN(-(SUM($F532:AH532)-$E532),($E532)*$D532),0)*AI$508</f>
        <v>0</v>
      </c>
      <c r="AJ532" s="319">
        <f>IF(AJ$510&gt;=$C532,MIN(-(SUM($F532:AI532)-$E532),($E532)*$D532),0)*AJ$508</f>
        <v>0</v>
      </c>
      <c r="AK532" s="319">
        <f>IF(AK$510&gt;=$C532,MIN(-(SUM($F532:AJ532)-$E532),($E532)*$D532),0)*AK$508</f>
        <v>0</v>
      </c>
      <c r="AL532" s="319">
        <f>IF(AL$510&gt;=$C532,MIN(-(SUM($F532:AK532)-$E532),($E532)*$D532),0)*AL$508</f>
        <v>0</v>
      </c>
      <c r="AM532" s="319">
        <f>IF(AM$510&gt;=$C532,MIN(-(SUM($F532:AL532)-$E532),($E532)*$D532),0)*AM$508</f>
        <v>0</v>
      </c>
      <c r="AN532" s="319">
        <f>IF(AN$510&gt;=$C532,MIN(-(SUM($F532:AM532)-$E532),($E532)*$D532),0)*AN$508</f>
        <v>0</v>
      </c>
    </row>
    <row r="533" spans="3:40" outlineLevel="4">
      <c r="C533">
        <v>19</v>
      </c>
      <c r="D533">
        <f>Inputs!$D$260</f>
        <v>0.2</v>
      </c>
      <c r="E533" s="319">
        <v>0</v>
      </c>
      <c r="F533" s="319"/>
      <c r="G533" s="319">
        <f>IF(G$510&gt;=$C533,MIN(-(SUM(F533:$F533)-$E533),($E533)*$D533),0)*G$508</f>
        <v>0</v>
      </c>
      <c r="H533" s="319">
        <f>IF(H$510&gt;=$C533,MIN(-(SUM($F533:G533)-$E533),($E533)*$D533),0)*H$508</f>
        <v>0</v>
      </c>
      <c r="I533" s="319">
        <f>IF(I$510&gt;=$C533,MIN(-(SUM($F533:H533)-$E533),($E533)*$D533),0)*I$508</f>
        <v>0</v>
      </c>
      <c r="J533" s="319">
        <f>IF(J$510&gt;=$C533,MIN(-(SUM($F533:I533)-$E533),($E533)*$D533),0)*J$508</f>
        <v>0</v>
      </c>
      <c r="K533" s="319">
        <f>IF(K$510&gt;=$C533,MIN(-(SUM($F533:J533)-$E533),($E533)*$D533),0)*K$508</f>
        <v>0</v>
      </c>
      <c r="L533" s="319">
        <f>IF(L$510&gt;=$C533,MIN(-(SUM($F533:K533)-$E533),($E533)*$D533),0)*L$508</f>
        <v>0</v>
      </c>
      <c r="M533" s="319">
        <f>IF(M$510&gt;=$C533,MIN(-(SUM($F533:L533)-$E533),($E533)*$D533),0)*M$508</f>
        <v>0</v>
      </c>
      <c r="N533" s="319">
        <f>IF(N$510&gt;=$C533,MIN(-(SUM($F533:M533)-$E533),($E533)*$D533),0)*N$508</f>
        <v>0</v>
      </c>
      <c r="O533" s="319">
        <f>IF(O$510&gt;=$C533,MIN(-(SUM($F533:N533)-$E533),($E533)*$D533),0)*O$508</f>
        <v>0</v>
      </c>
      <c r="P533" s="319">
        <f>IF(P$510&gt;=$C533,MIN(-(SUM($F533:O533)-$E533),($E533)*$D533),0)*P$508</f>
        <v>0</v>
      </c>
      <c r="Q533" s="319">
        <f>IF(Q$510&gt;=$C533,MIN(-(SUM($F533:P533)-$E533),($E533)*$D533),0)*Q$508</f>
        <v>0</v>
      </c>
      <c r="R533" s="319">
        <f>IF(R$510&gt;=$C533,MIN(-(SUM($F533:Q533)-$E533),($E533)*$D533),0)*R$508</f>
        <v>0</v>
      </c>
      <c r="S533" s="319">
        <f>IF(S$510&gt;=$C533,MIN(-(SUM($F533:R533)-$E533),($E533)*$D533),0)*S$508</f>
        <v>0</v>
      </c>
      <c r="T533" s="319">
        <f>IF(T$510&gt;=$C533,MIN(-(SUM($F533:S533)-$E533),($E533)*$D533),0)*T$508</f>
        <v>0</v>
      </c>
      <c r="U533" s="319">
        <f>IF(U$510&gt;=$C533,MIN(-(SUM($F533:T533)-$E533),($E533)*$D533),0)*U$508</f>
        <v>0</v>
      </c>
      <c r="V533" s="319">
        <f>IF(V$510&gt;=$C533,MIN(-(SUM($F533:U533)-$E533),($E533)*$D533),0)*V$508</f>
        <v>0</v>
      </c>
      <c r="W533" s="319">
        <f>IF(W$510&gt;=$C533,MIN(-(SUM($F533:V533)-$E533),($E533)*$D533),0)*W$508</f>
        <v>0</v>
      </c>
      <c r="X533" s="319">
        <f>IF(X$510&gt;=$C533,MIN(-(SUM($F533:W533)-$E533),($E533)*$D533),0)*X$508</f>
        <v>0</v>
      </c>
      <c r="Y533" s="319">
        <f>IF(Y$510&gt;=$C533,MIN(-(SUM($F533:X533)-$E533),($E533)*$D533),0)*Y$508</f>
        <v>0</v>
      </c>
      <c r="Z533" s="319">
        <f>IF(Z$510&gt;=$C533,MIN(-(SUM($F533:Y533)-$E533),($E533)*$D533),0)*Z$508</f>
        <v>0</v>
      </c>
      <c r="AA533" s="319">
        <f>IF(AA$510&gt;=$C533,MIN(-(SUM($F533:Z533)-$E533),($E533)*$D533),0)*AA$508</f>
        <v>0</v>
      </c>
      <c r="AB533" s="319">
        <f>IF(AB$510&gt;=$C533,MIN(-(SUM($F533:AA533)-$E533),($E533)*$D533),0)*AB$508</f>
        <v>0</v>
      </c>
      <c r="AC533" s="319">
        <f>IF(AC$510&gt;=$C533,MIN(-(SUM($F533:AB533)-$E533),($E533)*$D533),0)*AC$508</f>
        <v>0</v>
      </c>
      <c r="AD533" s="319">
        <f>IF(AD$510&gt;=$C533,MIN(-(SUM($F533:AC533)-$E533),($E533)*$D533),0)*AD$508</f>
        <v>0</v>
      </c>
      <c r="AE533" s="319">
        <f>IF(AE$510&gt;=$C533,MIN(-(SUM($F533:AD533)-$E533),($E533)*$D533),0)*AE$508</f>
        <v>0</v>
      </c>
      <c r="AF533" s="319">
        <f>IF(AF$510&gt;=$C533,MIN(-(SUM($F533:AE533)-$E533),($E533)*$D533),0)*AF$508</f>
        <v>0</v>
      </c>
      <c r="AG533" s="319">
        <f>IF(AG$510&gt;=$C533,MIN(-(SUM($F533:AF533)-$E533),($E533)*$D533),0)*AG$508</f>
        <v>0</v>
      </c>
      <c r="AH533" s="319">
        <f>IF(AH$510&gt;=$C533,MIN(-(SUM($F533:AG533)-$E533),($E533)*$D533),0)*AH$508</f>
        <v>0</v>
      </c>
      <c r="AI533" s="319">
        <f>IF(AI$510&gt;=$C533,MIN(-(SUM($F533:AH533)-$E533),($E533)*$D533),0)*AI$508</f>
        <v>0</v>
      </c>
      <c r="AJ533" s="319">
        <f>IF(AJ$510&gt;=$C533,MIN(-(SUM($F533:AI533)-$E533),($E533)*$D533),0)*AJ$508</f>
        <v>0</v>
      </c>
      <c r="AK533" s="319">
        <f>IF(AK$510&gt;=$C533,MIN(-(SUM($F533:AJ533)-$E533),($E533)*$D533),0)*AK$508</f>
        <v>0</v>
      </c>
      <c r="AL533" s="319">
        <f>IF(AL$510&gt;=$C533,MIN(-(SUM($F533:AK533)-$E533),($E533)*$D533),0)*AL$508</f>
        <v>0</v>
      </c>
      <c r="AM533" s="319">
        <f>IF(AM$510&gt;=$C533,MIN(-(SUM($F533:AL533)-$E533),($E533)*$D533),0)*AM$508</f>
        <v>0</v>
      </c>
      <c r="AN533" s="319">
        <f>IF(AN$510&gt;=$C533,MIN(-(SUM($F533:AM533)-$E533),($E533)*$D533),0)*AN$508</f>
        <v>0</v>
      </c>
    </row>
    <row r="534" spans="3:40" outlineLevel="4">
      <c r="C534">
        <v>20</v>
      </c>
      <c r="D534">
        <f>Inputs!$D$260</f>
        <v>0.2</v>
      </c>
      <c r="E534" s="319">
        <v>0</v>
      </c>
      <c r="F534" s="319"/>
      <c r="G534" s="319">
        <f>IF(G$510&gt;=$C534,MIN(-(SUM(F534:$F534)-$E534),($E534)*$D534),0)*G$508</f>
        <v>0</v>
      </c>
      <c r="H534" s="319">
        <f>IF(H$510&gt;=$C534,MIN(-(SUM($F534:G534)-$E534),($E534)*$D534),0)*H$508</f>
        <v>0</v>
      </c>
      <c r="I534" s="319">
        <f>IF(I$510&gt;=$C534,MIN(-(SUM($F534:H534)-$E534),($E534)*$D534),0)*I$508</f>
        <v>0</v>
      </c>
      <c r="J534" s="319">
        <f>IF(J$510&gt;=$C534,MIN(-(SUM($F534:I534)-$E534),($E534)*$D534),0)*J$508</f>
        <v>0</v>
      </c>
      <c r="K534" s="319">
        <f>IF(K$510&gt;=$C534,MIN(-(SUM($F534:J534)-$E534),($E534)*$D534),0)*K$508</f>
        <v>0</v>
      </c>
      <c r="L534" s="319">
        <f>IF(L$510&gt;=$C534,MIN(-(SUM($F534:K534)-$E534),($E534)*$D534),0)*L$508</f>
        <v>0</v>
      </c>
      <c r="M534" s="319">
        <f>IF(M$510&gt;=$C534,MIN(-(SUM($F534:L534)-$E534),($E534)*$D534),0)*M$508</f>
        <v>0</v>
      </c>
      <c r="N534" s="319">
        <f>IF(N$510&gt;=$C534,MIN(-(SUM($F534:M534)-$E534),($E534)*$D534),0)*N$508</f>
        <v>0</v>
      </c>
      <c r="O534" s="319">
        <f>IF(O$510&gt;=$C534,MIN(-(SUM($F534:N534)-$E534),($E534)*$D534),0)*O$508</f>
        <v>0</v>
      </c>
      <c r="P534" s="319">
        <f>IF(P$510&gt;=$C534,MIN(-(SUM($F534:O534)-$E534),($E534)*$D534),0)*P$508</f>
        <v>0</v>
      </c>
      <c r="Q534" s="319">
        <f>IF(Q$510&gt;=$C534,MIN(-(SUM($F534:P534)-$E534),($E534)*$D534),0)*Q$508</f>
        <v>0</v>
      </c>
      <c r="R534" s="319">
        <f>IF(R$510&gt;=$C534,MIN(-(SUM($F534:Q534)-$E534),($E534)*$D534),0)*R$508</f>
        <v>0</v>
      </c>
      <c r="S534" s="319">
        <f>IF(S$510&gt;=$C534,MIN(-(SUM($F534:R534)-$E534),($E534)*$D534),0)*S$508</f>
        <v>0</v>
      </c>
      <c r="T534" s="319">
        <f>IF(T$510&gt;=$C534,MIN(-(SUM($F534:S534)-$E534),($E534)*$D534),0)*T$508</f>
        <v>0</v>
      </c>
      <c r="U534" s="319">
        <f>IF(U$510&gt;=$C534,MIN(-(SUM($F534:T534)-$E534),($E534)*$D534),0)*U$508</f>
        <v>0</v>
      </c>
      <c r="V534" s="319">
        <f>IF(V$510&gt;=$C534,MIN(-(SUM($F534:U534)-$E534),($E534)*$D534),0)*V$508</f>
        <v>0</v>
      </c>
      <c r="W534" s="319">
        <f>IF(W$510&gt;=$C534,MIN(-(SUM($F534:V534)-$E534),($E534)*$D534),0)*W$508</f>
        <v>0</v>
      </c>
      <c r="X534" s="319">
        <f>IF(X$510&gt;=$C534,MIN(-(SUM($F534:W534)-$E534),($E534)*$D534),0)*X$508</f>
        <v>0</v>
      </c>
      <c r="Y534" s="319">
        <f>IF(Y$510&gt;=$C534,MIN(-(SUM($F534:X534)-$E534),($E534)*$D534),0)*Y$508</f>
        <v>0</v>
      </c>
      <c r="Z534" s="319">
        <f>IF(Z$510&gt;=$C534,MIN(-(SUM($F534:Y534)-$E534),($E534)*$D534),0)*Z$508</f>
        <v>0</v>
      </c>
      <c r="AA534" s="319">
        <f>IF(AA$510&gt;=$C534,MIN(-(SUM($F534:Z534)-$E534),($E534)*$D534),0)*AA$508</f>
        <v>0</v>
      </c>
      <c r="AB534" s="319">
        <f>IF(AB$510&gt;=$C534,MIN(-(SUM($F534:AA534)-$E534),($E534)*$D534),0)*AB$508</f>
        <v>0</v>
      </c>
      <c r="AC534" s="319">
        <f>IF(AC$510&gt;=$C534,MIN(-(SUM($F534:AB534)-$E534),($E534)*$D534),0)*AC$508</f>
        <v>0</v>
      </c>
      <c r="AD534" s="319">
        <f>IF(AD$510&gt;=$C534,MIN(-(SUM($F534:AC534)-$E534),($E534)*$D534),0)*AD$508</f>
        <v>0</v>
      </c>
      <c r="AE534" s="319">
        <f>IF(AE$510&gt;=$C534,MIN(-(SUM($F534:AD534)-$E534),($E534)*$D534),0)*AE$508</f>
        <v>0</v>
      </c>
      <c r="AF534" s="319">
        <f>IF(AF$510&gt;=$C534,MIN(-(SUM($F534:AE534)-$E534),($E534)*$D534),0)*AF$508</f>
        <v>0</v>
      </c>
      <c r="AG534" s="319">
        <f>IF(AG$510&gt;=$C534,MIN(-(SUM($F534:AF534)-$E534),($E534)*$D534),0)*AG$508</f>
        <v>0</v>
      </c>
      <c r="AH534" s="319">
        <f>IF(AH$510&gt;=$C534,MIN(-(SUM($F534:AG534)-$E534),($E534)*$D534),0)*AH$508</f>
        <v>0</v>
      </c>
      <c r="AI534" s="319">
        <f>IF(AI$510&gt;=$C534,MIN(-(SUM($F534:AH534)-$E534),($E534)*$D534),0)*AI$508</f>
        <v>0</v>
      </c>
      <c r="AJ534" s="319">
        <f>IF(AJ$510&gt;=$C534,MIN(-(SUM($F534:AI534)-$E534),($E534)*$D534),0)*AJ$508</f>
        <v>0</v>
      </c>
      <c r="AK534" s="319">
        <f>IF(AK$510&gt;=$C534,MIN(-(SUM($F534:AJ534)-$E534),($E534)*$D534),0)*AK$508</f>
        <v>0</v>
      </c>
      <c r="AL534" s="319">
        <f>IF(AL$510&gt;=$C534,MIN(-(SUM($F534:AK534)-$E534),($E534)*$D534),0)*AL$508</f>
        <v>0</v>
      </c>
      <c r="AM534" s="319">
        <f>IF(AM$510&gt;=$C534,MIN(-(SUM($F534:AL534)-$E534),($E534)*$D534),0)*AM$508</f>
        <v>0</v>
      </c>
      <c r="AN534" s="319">
        <f>IF(AN$510&gt;=$C534,MIN(-(SUM($F534:AM534)-$E534),($E534)*$D534),0)*AN$508</f>
        <v>0</v>
      </c>
    </row>
    <row r="535" spans="3:40" outlineLevel="4">
      <c r="C535">
        <v>21</v>
      </c>
      <c r="D535">
        <f>Inputs!$D$260</f>
        <v>0.2</v>
      </c>
      <c r="E535" s="319">
        <v>21.16</v>
      </c>
      <c r="F535" s="319"/>
      <c r="G535" s="319">
        <f>IF(G$510&gt;=$C535,MIN(-(SUM(F535:$F535)-$E535),($E535)*$D535),0)*G$508</f>
        <v>0</v>
      </c>
      <c r="H535" s="319">
        <f>IF(H$510&gt;=$C535,MIN(-(SUM($F535:G535)-$E535),($E535)*$D535),0)*H$508</f>
        <v>0</v>
      </c>
      <c r="I535" s="319">
        <f>IF(I$510&gt;=$C535,MIN(-(SUM($F535:H535)-$E535),($E535)*$D535),0)*I$508</f>
        <v>0</v>
      </c>
      <c r="J535" s="319">
        <f>IF(J$510&gt;=$C535,MIN(-(SUM($F535:I535)-$E535),($E535)*$D535),0)*J$508</f>
        <v>0</v>
      </c>
      <c r="K535" s="319">
        <f>IF(K$510&gt;=$C535,MIN(-(SUM($F535:J535)-$E535),($E535)*$D535),0)*K$508</f>
        <v>0</v>
      </c>
      <c r="L535" s="319">
        <f>IF(L$510&gt;=$C535,MIN(-(SUM($F535:K535)-$E535),($E535)*$D535),0)*L$508</f>
        <v>0</v>
      </c>
      <c r="M535" s="319">
        <f>IF(M$510&gt;=$C535,MIN(-(SUM($F535:L535)-$E535),($E535)*$D535),0)*M$508</f>
        <v>0</v>
      </c>
      <c r="N535" s="319">
        <f>IF(N$510&gt;=$C535,MIN(-(SUM($F535:M535)-$E535),($E535)*$D535),0)*N$508</f>
        <v>0</v>
      </c>
      <c r="O535" s="319">
        <f>IF(O$510&gt;=$C535,MIN(-(SUM($F535:N535)-$E535),($E535)*$D535),0)*O$508</f>
        <v>0</v>
      </c>
      <c r="P535" s="319">
        <f>IF(P$510&gt;=$C535,MIN(-(SUM($F535:O535)-$E535),($E535)*$D535),0)*P$508</f>
        <v>0</v>
      </c>
      <c r="Q535" s="319">
        <f>IF(Q$510&gt;=$C535,MIN(-(SUM($F535:P535)-$E535),($E535)*$D535),0)*Q$508</f>
        <v>0</v>
      </c>
      <c r="R535" s="319">
        <f>IF(R$510&gt;=$C535,MIN(-(SUM($F535:Q535)-$E535),($E535)*$D535),0)*R$508</f>
        <v>0</v>
      </c>
      <c r="S535" s="319">
        <f>IF(S$510&gt;=$C535,MIN(-(SUM($F535:R535)-$E535),($E535)*$D535),0)*S$508</f>
        <v>0</v>
      </c>
      <c r="T535" s="319">
        <f>IF(T$510&gt;=$C535,MIN(-(SUM($F535:S535)-$E535),($E535)*$D535),0)*T$508</f>
        <v>0</v>
      </c>
      <c r="U535" s="319">
        <f>IF(U$510&gt;=$C535,MIN(-(SUM($F535:T535)-$E535),($E535)*$D535),0)*U$508</f>
        <v>0</v>
      </c>
      <c r="V535" s="319">
        <f>IF(V$510&gt;=$C535,MIN(-(SUM($F535:U535)-$E535),($E535)*$D535),0)*V$508</f>
        <v>0</v>
      </c>
      <c r="W535" s="319">
        <f>IF(W$510&gt;=$C535,MIN(-(SUM($F535:V535)-$E535),($E535)*$D535),0)*W$508</f>
        <v>0</v>
      </c>
      <c r="X535" s="319">
        <f>IF(X$510&gt;=$C535,MIN(-(SUM($F535:W535)-$E535),($E535)*$D535),0)*X$508</f>
        <v>0</v>
      </c>
      <c r="Y535" s="319">
        <f>IF(Y$510&gt;=$C535,MIN(-(SUM($F535:X535)-$E535),($E535)*$D535),0)*Y$508</f>
        <v>0</v>
      </c>
      <c r="Z535" s="319">
        <f>IF(Z$510&gt;=$C535,MIN(-(SUM($F535:Y535)-$E535),($E535)*$D535),0)*Z$508</f>
        <v>0</v>
      </c>
      <c r="AA535" s="319">
        <f>IF(AA$510&gt;=$C535,MIN(-(SUM($F535:Z535)-$E535),($E535)*$D535),0)*AA$508</f>
        <v>4.2320000000000002</v>
      </c>
      <c r="AB535" s="319">
        <f>IF(AB$510&gt;=$C535,MIN(-(SUM($F535:AA535)-$E535),($E535)*$D535),0)*AB$508</f>
        <v>4.2320000000000002</v>
      </c>
      <c r="AC535" s="319">
        <f>IF(AC$510&gt;=$C535,MIN(-(SUM($F535:AB535)-$E535),($E535)*$D535),0)*AC$508</f>
        <v>4.2320000000000002</v>
      </c>
      <c r="AD535" s="319">
        <f>IF(AD$510&gt;=$C535,MIN(-(SUM($F535:AC535)-$E535),($E535)*$D535),0)*AD$508</f>
        <v>4.2320000000000002</v>
      </c>
      <c r="AE535" s="319">
        <f>IF(AE$510&gt;=$C535,MIN(-(SUM($F535:AD535)-$E535),($E535)*$D535),0)*AE$508</f>
        <v>4.2319999999999993</v>
      </c>
      <c r="AF535" s="319">
        <f>IF(AF$510&gt;=$C535,MIN(-(SUM($F535:AE535)-$E535),($E535)*$D535),0)*AF$508</f>
        <v>0</v>
      </c>
      <c r="AG535" s="319">
        <f>IF(AG$510&gt;=$C535,MIN(-(SUM($F535:AF535)-$E535),($E535)*$D535),0)*AG$508</f>
        <v>0</v>
      </c>
      <c r="AH535" s="319">
        <f>IF(AH$510&gt;=$C535,MIN(-(SUM($F535:AG535)-$E535),($E535)*$D535),0)*AH$508</f>
        <v>0</v>
      </c>
      <c r="AI535" s="319">
        <f>IF(AI$510&gt;=$C535,MIN(-(SUM($F535:AH535)-$E535),($E535)*$D535),0)*AI$508</f>
        <v>0</v>
      </c>
      <c r="AJ535" s="319">
        <f>IF(AJ$510&gt;=$C535,MIN(-(SUM($F535:AI535)-$E535),($E535)*$D535),0)*AJ$508</f>
        <v>0</v>
      </c>
      <c r="AK535" s="319">
        <f>IF(AK$510&gt;=$C535,MIN(-(SUM($F535:AJ535)-$E535),($E535)*$D535),0)*AK$508</f>
        <v>0</v>
      </c>
      <c r="AL535" s="319">
        <f>IF(AL$510&gt;=$C535,MIN(-(SUM($F535:AK535)-$E535),($E535)*$D535),0)*AL$508</f>
        <v>0</v>
      </c>
      <c r="AM535" s="319">
        <f>IF(AM$510&gt;=$C535,MIN(-(SUM($F535:AL535)-$E535),($E535)*$D535),0)*AM$508</f>
        <v>0</v>
      </c>
      <c r="AN535" s="319">
        <f>IF(AN$510&gt;=$C535,MIN(-(SUM($F535:AM535)-$E535),($E535)*$D535),0)*AN$508</f>
        <v>0</v>
      </c>
    </row>
    <row r="536" spans="3:40" outlineLevel="4">
      <c r="C536">
        <v>22</v>
      </c>
      <c r="D536">
        <f>Inputs!$D$260</f>
        <v>0.2</v>
      </c>
      <c r="E536" s="319">
        <v>8069.9244699999999</v>
      </c>
      <c r="F536" s="319"/>
      <c r="G536" s="319">
        <f>IF(G$510&gt;=$C536,MIN(-(SUM(F536:$F536)-$E536),($E536)*$D536),0)*G$508</f>
        <v>0</v>
      </c>
      <c r="H536" s="319">
        <f>IF(H$510&gt;=$C536,MIN(-(SUM($F536:G536)-$E536),($E536)*$D536),0)*H$508</f>
        <v>0</v>
      </c>
      <c r="I536" s="319">
        <f>IF(I$510&gt;=$C536,MIN(-(SUM($F536:H536)-$E536),($E536)*$D536),0)*I$508</f>
        <v>0</v>
      </c>
      <c r="J536" s="319">
        <f>IF(J$510&gt;=$C536,MIN(-(SUM($F536:I536)-$E536),($E536)*$D536),0)*J$508</f>
        <v>0</v>
      </c>
      <c r="K536" s="319">
        <f>IF(K$510&gt;=$C536,MIN(-(SUM($F536:J536)-$E536),($E536)*$D536),0)*K$508</f>
        <v>0</v>
      </c>
      <c r="L536" s="319">
        <f>IF(L$510&gt;=$C536,MIN(-(SUM($F536:K536)-$E536),($E536)*$D536),0)*L$508</f>
        <v>0</v>
      </c>
      <c r="M536" s="319">
        <f>IF(M$510&gt;=$C536,MIN(-(SUM($F536:L536)-$E536),($E536)*$D536),0)*M$508</f>
        <v>0</v>
      </c>
      <c r="N536" s="319">
        <f>IF(N$510&gt;=$C536,MIN(-(SUM($F536:M536)-$E536),($E536)*$D536),0)*N$508</f>
        <v>0</v>
      </c>
      <c r="O536" s="319">
        <f>IF(O$510&gt;=$C536,MIN(-(SUM($F536:N536)-$E536),($E536)*$D536),0)*O$508</f>
        <v>0</v>
      </c>
      <c r="P536" s="319">
        <f>IF(P$510&gt;=$C536,MIN(-(SUM($F536:O536)-$E536),($E536)*$D536),0)*P$508</f>
        <v>0</v>
      </c>
      <c r="Q536" s="319">
        <f>IF(Q$510&gt;=$C536,MIN(-(SUM($F536:P536)-$E536),($E536)*$D536),0)*Q$508</f>
        <v>0</v>
      </c>
      <c r="R536" s="319">
        <f>IF(R$510&gt;=$C536,MIN(-(SUM($F536:Q536)-$E536),($E536)*$D536),0)*R$508</f>
        <v>0</v>
      </c>
      <c r="S536" s="319">
        <f>IF(S$510&gt;=$C536,MIN(-(SUM($F536:R536)-$E536),($E536)*$D536),0)*S$508</f>
        <v>0</v>
      </c>
      <c r="T536" s="319">
        <f>IF(T$510&gt;=$C536,MIN(-(SUM($F536:S536)-$E536),($E536)*$D536),0)*T$508</f>
        <v>0</v>
      </c>
      <c r="U536" s="319">
        <f>IF(U$510&gt;=$C536,MIN(-(SUM($F536:T536)-$E536),($E536)*$D536),0)*U$508</f>
        <v>0</v>
      </c>
      <c r="V536" s="319">
        <f>IF(V$510&gt;=$C536,MIN(-(SUM($F536:U536)-$E536),($E536)*$D536),0)*V$508</f>
        <v>0</v>
      </c>
      <c r="W536" s="319">
        <f>IF(W$510&gt;=$C536,MIN(-(SUM($F536:V536)-$E536),($E536)*$D536),0)*W$508</f>
        <v>0</v>
      </c>
      <c r="X536" s="319">
        <f>IF(X$510&gt;=$C536,MIN(-(SUM($F536:W536)-$E536),($E536)*$D536),0)*X$508</f>
        <v>0</v>
      </c>
      <c r="Y536" s="319">
        <f>IF(Y$510&gt;=$C536,MIN(-(SUM($F536:X536)-$E536),($E536)*$D536),0)*Y$508</f>
        <v>0</v>
      </c>
      <c r="Z536" s="319">
        <f>IF(Z$510&gt;=$C536,MIN(-(SUM($F536:Y536)-$E536),($E536)*$D536),0)*Z$508</f>
        <v>0</v>
      </c>
      <c r="AA536" s="319">
        <f>IF(AA$510&gt;=$C536,MIN(-(SUM($F536:Z536)-$E536),($E536)*$D536),0)*AA$508</f>
        <v>0</v>
      </c>
      <c r="AB536" s="319">
        <f>IF(AB$510&gt;=$C536,MIN(-(SUM($F536:AA536)-$E536),($E536)*$D536),0)*AB$508</f>
        <v>1613.9848940000002</v>
      </c>
      <c r="AC536" s="319">
        <f>IF(AC$510&gt;=$C536,MIN(-(SUM($F536:AB536)-$E536),($E536)*$D536),0)*AC$508</f>
        <v>1613.9848940000002</v>
      </c>
      <c r="AD536" s="319">
        <f>IF(AD$510&gt;=$C536,MIN(-(SUM($F536:AC536)-$E536),($E536)*$D536),0)*AD$508</f>
        <v>1613.9848940000002</v>
      </c>
      <c r="AE536" s="319">
        <f>IF(AE$510&gt;=$C536,MIN(-(SUM($F536:AD536)-$E536),($E536)*$D536),0)*AE$508</f>
        <v>1613.9848940000002</v>
      </c>
      <c r="AF536" s="319">
        <f>IF(AF$510&gt;=$C536,MIN(-(SUM($F536:AE536)-$E536),($E536)*$D536),0)*AF$508</f>
        <v>1613.9848939999993</v>
      </c>
      <c r="AG536" s="319">
        <f>IF(AG$510&gt;=$C536,MIN(-(SUM($F536:AF536)-$E536),($E536)*$D536),0)*AG$508</f>
        <v>0</v>
      </c>
      <c r="AH536" s="319">
        <f>IF(AH$510&gt;=$C536,MIN(-(SUM($F536:AG536)-$E536),($E536)*$D536),0)*AH$508</f>
        <v>0</v>
      </c>
      <c r="AI536" s="319">
        <f>IF(AI$510&gt;=$C536,MIN(-(SUM($F536:AH536)-$E536),($E536)*$D536),0)*AI$508</f>
        <v>0</v>
      </c>
      <c r="AJ536" s="319">
        <f>IF(AJ$510&gt;=$C536,MIN(-(SUM($F536:AI536)-$E536),($E536)*$D536),0)*AJ$508</f>
        <v>0</v>
      </c>
      <c r="AK536" s="319">
        <f>IF(AK$510&gt;=$C536,MIN(-(SUM($F536:AJ536)-$E536),($E536)*$D536),0)*AK$508</f>
        <v>0</v>
      </c>
      <c r="AL536" s="319">
        <f>IF(AL$510&gt;=$C536,MIN(-(SUM($F536:AK536)-$E536),($E536)*$D536),0)*AL$508</f>
        <v>0</v>
      </c>
      <c r="AM536" s="319">
        <f>IF(AM$510&gt;=$C536,MIN(-(SUM($F536:AL536)-$E536),($E536)*$D536),0)*AM$508</f>
        <v>0</v>
      </c>
      <c r="AN536" s="319">
        <f>IF(AN$510&gt;=$C536,MIN(-(SUM($F536:AM536)-$E536),($E536)*$D536),0)*AN$508</f>
        <v>0</v>
      </c>
    </row>
    <row r="537" spans="3:40" outlineLevel="4">
      <c r="C537">
        <v>23</v>
      </c>
      <c r="D537">
        <f>Inputs!$D$260</f>
        <v>0.2</v>
      </c>
      <c r="E537" s="319">
        <v>648.71976000000006</v>
      </c>
      <c r="F537" s="319"/>
      <c r="G537" s="319">
        <f>IF(G$510&gt;=$C537,MIN(-(SUM(F537:$F537)-$E537),($E537)*$D537),0)*G$508</f>
        <v>0</v>
      </c>
      <c r="H537" s="319">
        <f>IF(H$510&gt;=$C537,MIN(-(SUM($F537:G537)-$E537),($E537)*$D537),0)*H$508</f>
        <v>0</v>
      </c>
      <c r="I537" s="319">
        <f>IF(I$510&gt;=$C537,MIN(-(SUM($F537:H537)-$E537),($E537)*$D537),0)*I$508</f>
        <v>0</v>
      </c>
      <c r="J537" s="319">
        <f>IF(J$510&gt;=$C537,MIN(-(SUM($F537:I537)-$E537),($E537)*$D537),0)*J$508</f>
        <v>0</v>
      </c>
      <c r="K537" s="319">
        <f>IF(K$510&gt;=$C537,MIN(-(SUM($F537:J537)-$E537),($E537)*$D537),0)*K$508</f>
        <v>0</v>
      </c>
      <c r="L537" s="319">
        <f>IF(L$510&gt;=$C537,MIN(-(SUM($F537:K537)-$E537),($E537)*$D537),0)*L$508</f>
        <v>0</v>
      </c>
      <c r="M537" s="319">
        <f>IF(M$510&gt;=$C537,MIN(-(SUM($F537:L537)-$E537),($E537)*$D537),0)*M$508</f>
        <v>0</v>
      </c>
      <c r="N537" s="319">
        <f>IF(N$510&gt;=$C537,MIN(-(SUM($F537:M537)-$E537),($E537)*$D537),0)*N$508</f>
        <v>0</v>
      </c>
      <c r="O537" s="319">
        <f>IF(O$510&gt;=$C537,MIN(-(SUM($F537:N537)-$E537),($E537)*$D537),0)*O$508</f>
        <v>0</v>
      </c>
      <c r="P537" s="319">
        <f>IF(P$510&gt;=$C537,MIN(-(SUM($F537:O537)-$E537),($E537)*$D537),0)*P$508</f>
        <v>0</v>
      </c>
      <c r="Q537" s="319">
        <f>IF(Q$510&gt;=$C537,MIN(-(SUM($F537:P537)-$E537),($E537)*$D537),0)*Q$508</f>
        <v>0</v>
      </c>
      <c r="R537" s="319">
        <f>IF(R$510&gt;=$C537,MIN(-(SUM($F537:Q537)-$E537),($E537)*$D537),0)*R$508</f>
        <v>0</v>
      </c>
      <c r="S537" s="319">
        <f>IF(S$510&gt;=$C537,MIN(-(SUM($F537:R537)-$E537),($E537)*$D537),0)*S$508</f>
        <v>0</v>
      </c>
      <c r="T537" s="319">
        <f>IF(T$510&gt;=$C537,MIN(-(SUM($F537:S537)-$E537),($E537)*$D537),0)*T$508</f>
        <v>0</v>
      </c>
      <c r="U537" s="319">
        <f>IF(U$510&gt;=$C537,MIN(-(SUM($F537:T537)-$E537),($E537)*$D537),0)*U$508</f>
        <v>0</v>
      </c>
      <c r="V537" s="319">
        <f>IF(V$510&gt;=$C537,MIN(-(SUM($F537:U537)-$E537),($E537)*$D537),0)*V$508</f>
        <v>0</v>
      </c>
      <c r="W537" s="319">
        <f>IF(W$510&gt;=$C537,MIN(-(SUM($F537:V537)-$E537),($E537)*$D537),0)*W$508</f>
        <v>0</v>
      </c>
      <c r="X537" s="319">
        <f>IF(X$510&gt;=$C537,MIN(-(SUM($F537:W537)-$E537),($E537)*$D537),0)*X$508</f>
        <v>0</v>
      </c>
      <c r="Y537" s="319">
        <f>IF(Y$510&gt;=$C537,MIN(-(SUM($F537:X537)-$E537),($E537)*$D537),0)*Y$508</f>
        <v>0</v>
      </c>
      <c r="Z537" s="319">
        <f>IF(Z$510&gt;=$C537,MIN(-(SUM($F537:Y537)-$E537),($E537)*$D537),0)*Z$508</f>
        <v>0</v>
      </c>
      <c r="AA537" s="319">
        <f>IF(AA$510&gt;=$C537,MIN(-(SUM($F537:Z537)-$E537),($E537)*$D537),0)*AA$508</f>
        <v>0</v>
      </c>
      <c r="AB537" s="319">
        <f>IF(AB$510&gt;=$C537,MIN(-(SUM($F537:AA537)-$E537),($E537)*$D537),0)*AB$508</f>
        <v>0</v>
      </c>
      <c r="AC537" s="319">
        <f>IF(AC$510&gt;=$C537,MIN(-(SUM($F537:AB537)-$E537),($E537)*$D537),0)*AC$508</f>
        <v>129.74395200000001</v>
      </c>
      <c r="AD537" s="319">
        <f>IF(AD$510&gt;=$C537,MIN(-(SUM($F537:AC537)-$E537),($E537)*$D537),0)*AD$508</f>
        <v>129.74395200000001</v>
      </c>
      <c r="AE537" s="319">
        <f>IF(AE$510&gt;=$C537,MIN(-(SUM($F537:AD537)-$E537),($E537)*$D537),0)*AE$508</f>
        <v>129.74395200000001</v>
      </c>
      <c r="AF537" s="319">
        <f>IF(AF$510&gt;=$C537,MIN(-(SUM($F537:AE537)-$E537),($E537)*$D537),0)*AF$508</f>
        <v>129.74395200000001</v>
      </c>
      <c r="AG537" s="319">
        <f>IF(AG$510&gt;=$C537,MIN(-(SUM($F537:AF537)-$E537),($E537)*$D537),0)*AG$508</f>
        <v>129.74395200000001</v>
      </c>
      <c r="AH537" s="319">
        <f>IF(AH$510&gt;=$C537,MIN(-(SUM($F537:AG537)-$E537),($E537)*$D537),0)*AH$508</f>
        <v>0</v>
      </c>
      <c r="AI537" s="319">
        <f>IF(AI$510&gt;=$C537,MIN(-(SUM($F537:AH537)-$E537),($E537)*$D537),0)*AI$508</f>
        <v>0</v>
      </c>
      <c r="AJ537" s="319">
        <f>IF(AJ$510&gt;=$C537,MIN(-(SUM($F537:AI537)-$E537),($E537)*$D537),0)*AJ$508</f>
        <v>0</v>
      </c>
      <c r="AK537" s="319">
        <f>IF(AK$510&gt;=$C537,MIN(-(SUM($F537:AJ537)-$E537),($E537)*$D537),0)*AK$508</f>
        <v>0</v>
      </c>
      <c r="AL537" s="319">
        <f>IF(AL$510&gt;=$C537,MIN(-(SUM($F537:AK537)-$E537),($E537)*$D537),0)*AL$508</f>
        <v>0</v>
      </c>
      <c r="AM537" s="319">
        <f>IF(AM$510&gt;=$C537,MIN(-(SUM($F537:AL537)-$E537),($E537)*$D537),0)*AM$508</f>
        <v>0</v>
      </c>
      <c r="AN537" s="319">
        <f>IF(AN$510&gt;=$C537,MIN(-(SUM($F537:AM537)-$E537),($E537)*$D537),0)*AN$508</f>
        <v>0</v>
      </c>
    </row>
    <row r="538" spans="3:40" outlineLevel="4">
      <c r="C538">
        <v>24</v>
      </c>
      <c r="D538">
        <f>Inputs!$D$260</f>
        <v>0.2</v>
      </c>
      <c r="E538" s="319">
        <v>0</v>
      </c>
      <c r="F538" s="319"/>
      <c r="G538" s="319">
        <f>IF(G$510&gt;=$C538,MIN(-(SUM(F538:$F538)-$E538),($E538)*$D538),0)*G$508</f>
        <v>0</v>
      </c>
      <c r="H538" s="319">
        <f>IF(H$510&gt;=$C538,MIN(-(SUM($F538:G538)-$E538),($E538)*$D538),0)*H$508</f>
        <v>0</v>
      </c>
      <c r="I538" s="319">
        <f>IF(I$510&gt;=$C538,MIN(-(SUM($F538:H538)-$E538),($E538)*$D538),0)*I$508</f>
        <v>0</v>
      </c>
      <c r="J538" s="319">
        <f>IF(J$510&gt;=$C538,MIN(-(SUM($F538:I538)-$E538),($E538)*$D538),0)*J$508</f>
        <v>0</v>
      </c>
      <c r="K538" s="319">
        <f>IF(K$510&gt;=$C538,MIN(-(SUM($F538:J538)-$E538),($E538)*$D538),0)*K$508</f>
        <v>0</v>
      </c>
      <c r="L538" s="319">
        <f>IF(L$510&gt;=$C538,MIN(-(SUM($F538:K538)-$E538),($E538)*$D538),0)*L$508</f>
        <v>0</v>
      </c>
      <c r="M538" s="319">
        <f>IF(M$510&gt;=$C538,MIN(-(SUM($F538:L538)-$E538),($E538)*$D538),0)*M$508</f>
        <v>0</v>
      </c>
      <c r="N538" s="319">
        <f>IF(N$510&gt;=$C538,MIN(-(SUM($F538:M538)-$E538),($E538)*$D538),0)*N$508</f>
        <v>0</v>
      </c>
      <c r="O538" s="319">
        <f>IF(O$510&gt;=$C538,MIN(-(SUM($F538:N538)-$E538),($E538)*$D538),0)*O$508</f>
        <v>0</v>
      </c>
      <c r="P538" s="319">
        <f>IF(P$510&gt;=$C538,MIN(-(SUM($F538:O538)-$E538),($E538)*$D538),0)*P$508</f>
        <v>0</v>
      </c>
      <c r="Q538" s="319">
        <f>IF(Q$510&gt;=$C538,MIN(-(SUM($F538:P538)-$E538),($E538)*$D538),0)*Q$508</f>
        <v>0</v>
      </c>
      <c r="R538" s="319">
        <f>IF(R$510&gt;=$C538,MIN(-(SUM($F538:Q538)-$E538),($E538)*$D538),0)*R$508</f>
        <v>0</v>
      </c>
      <c r="S538" s="319">
        <f>IF(S$510&gt;=$C538,MIN(-(SUM($F538:R538)-$E538),($E538)*$D538),0)*S$508</f>
        <v>0</v>
      </c>
      <c r="T538" s="319">
        <f>IF(T$510&gt;=$C538,MIN(-(SUM($F538:S538)-$E538),($E538)*$D538),0)*T$508</f>
        <v>0</v>
      </c>
      <c r="U538" s="319">
        <f>IF(U$510&gt;=$C538,MIN(-(SUM($F538:T538)-$E538),($E538)*$D538),0)*U$508</f>
        <v>0</v>
      </c>
      <c r="V538" s="319">
        <f>IF(V$510&gt;=$C538,MIN(-(SUM($F538:U538)-$E538),($E538)*$D538),0)*V$508</f>
        <v>0</v>
      </c>
      <c r="W538" s="319">
        <f>IF(W$510&gt;=$C538,MIN(-(SUM($F538:V538)-$E538),($E538)*$D538),0)*W$508</f>
        <v>0</v>
      </c>
      <c r="X538" s="319">
        <f>IF(X$510&gt;=$C538,MIN(-(SUM($F538:W538)-$E538),($E538)*$D538),0)*X$508</f>
        <v>0</v>
      </c>
      <c r="Y538" s="319">
        <f>IF(Y$510&gt;=$C538,MIN(-(SUM($F538:X538)-$E538),($E538)*$D538),0)*Y$508</f>
        <v>0</v>
      </c>
      <c r="Z538" s="319">
        <f>IF(Z$510&gt;=$C538,MIN(-(SUM($F538:Y538)-$E538),($E538)*$D538),0)*Z$508</f>
        <v>0</v>
      </c>
      <c r="AA538" s="319">
        <f>IF(AA$510&gt;=$C538,MIN(-(SUM($F538:Z538)-$E538),($E538)*$D538),0)*AA$508</f>
        <v>0</v>
      </c>
      <c r="AB538" s="319">
        <f>IF(AB$510&gt;=$C538,MIN(-(SUM($F538:AA538)-$E538),($E538)*$D538),0)*AB$508</f>
        <v>0</v>
      </c>
      <c r="AC538" s="319">
        <f>IF(AC$510&gt;=$C538,MIN(-(SUM($F538:AB538)-$E538),($E538)*$D538),0)*AC$508</f>
        <v>0</v>
      </c>
      <c r="AD538" s="319">
        <f>IF(AD$510&gt;=$C538,MIN(-(SUM($F538:AC538)-$E538),($E538)*$D538),0)*AD$508</f>
        <v>0</v>
      </c>
      <c r="AE538" s="319">
        <f>IF(AE$510&gt;=$C538,MIN(-(SUM($F538:AD538)-$E538),($E538)*$D538),0)*AE$508</f>
        <v>0</v>
      </c>
      <c r="AF538" s="319">
        <f>IF(AF$510&gt;=$C538,MIN(-(SUM($F538:AE538)-$E538),($E538)*$D538),0)*AF$508</f>
        <v>0</v>
      </c>
      <c r="AG538" s="319">
        <f>IF(AG$510&gt;=$C538,MIN(-(SUM($F538:AF538)-$E538),($E538)*$D538),0)*AG$508</f>
        <v>0</v>
      </c>
      <c r="AH538" s="319">
        <f>IF(AH$510&gt;=$C538,MIN(-(SUM($F538:AG538)-$E538),($E538)*$D538),0)*AH$508</f>
        <v>0</v>
      </c>
      <c r="AI538" s="319">
        <f>IF(AI$510&gt;=$C538,MIN(-(SUM($F538:AH538)-$E538),($E538)*$D538),0)*AI$508</f>
        <v>0</v>
      </c>
      <c r="AJ538" s="319">
        <f>IF(AJ$510&gt;=$C538,MIN(-(SUM($F538:AI538)-$E538),($E538)*$D538),0)*AJ$508</f>
        <v>0</v>
      </c>
      <c r="AK538" s="319">
        <f>IF(AK$510&gt;=$C538,MIN(-(SUM($F538:AJ538)-$E538),($E538)*$D538),0)*AK$508</f>
        <v>0</v>
      </c>
      <c r="AL538" s="319">
        <f>IF(AL$510&gt;=$C538,MIN(-(SUM($F538:AK538)-$E538),($E538)*$D538),0)*AL$508</f>
        <v>0</v>
      </c>
      <c r="AM538" s="319">
        <f>IF(AM$510&gt;=$C538,MIN(-(SUM($F538:AL538)-$E538),($E538)*$D538),0)*AM$508</f>
        <v>0</v>
      </c>
      <c r="AN538" s="319">
        <f>IF(AN$510&gt;=$C538,MIN(-(SUM($F538:AM538)-$E538),($E538)*$D538),0)*AN$508</f>
        <v>0</v>
      </c>
    </row>
    <row r="539" spans="3:40" outlineLevel="4">
      <c r="C539">
        <v>25</v>
      </c>
      <c r="D539">
        <f>Inputs!$D$260</f>
        <v>0.2</v>
      </c>
      <c r="E539" s="319">
        <v>0</v>
      </c>
      <c r="F539" s="319"/>
      <c r="G539" s="319">
        <f>IF(G$510&gt;=$C539,MIN(-(SUM(F539:$F539)-$E539),($E539)*$D539),0)*G$508</f>
        <v>0</v>
      </c>
      <c r="H539" s="319">
        <f>IF(H$510&gt;=$C539,MIN(-(SUM($F539:G539)-$E539),($E539)*$D539),0)*H$508</f>
        <v>0</v>
      </c>
      <c r="I539" s="319">
        <f>IF(I$510&gt;=$C539,MIN(-(SUM($F539:H539)-$E539),($E539)*$D539),0)*I$508</f>
        <v>0</v>
      </c>
      <c r="J539" s="319">
        <f>IF(J$510&gt;=$C539,MIN(-(SUM($F539:I539)-$E539),($E539)*$D539),0)*J$508</f>
        <v>0</v>
      </c>
      <c r="K539" s="319">
        <f>IF(K$510&gt;=$C539,MIN(-(SUM($F539:J539)-$E539),($E539)*$D539),0)*K$508</f>
        <v>0</v>
      </c>
      <c r="L539" s="319">
        <f>IF(L$510&gt;=$C539,MIN(-(SUM($F539:K539)-$E539),($E539)*$D539),0)*L$508</f>
        <v>0</v>
      </c>
      <c r="M539" s="319">
        <f>IF(M$510&gt;=$C539,MIN(-(SUM($F539:L539)-$E539),($E539)*$D539),0)*M$508</f>
        <v>0</v>
      </c>
      <c r="N539" s="319">
        <f>IF(N$510&gt;=$C539,MIN(-(SUM($F539:M539)-$E539),($E539)*$D539),0)*N$508</f>
        <v>0</v>
      </c>
      <c r="O539" s="319">
        <f>IF(O$510&gt;=$C539,MIN(-(SUM($F539:N539)-$E539),($E539)*$D539),0)*O$508</f>
        <v>0</v>
      </c>
      <c r="P539" s="319">
        <f>IF(P$510&gt;=$C539,MIN(-(SUM($F539:O539)-$E539),($E539)*$D539),0)*P$508</f>
        <v>0</v>
      </c>
      <c r="Q539" s="319">
        <f>IF(Q$510&gt;=$C539,MIN(-(SUM($F539:P539)-$E539),($E539)*$D539),0)*Q$508</f>
        <v>0</v>
      </c>
      <c r="R539" s="319">
        <f>IF(R$510&gt;=$C539,MIN(-(SUM($F539:Q539)-$E539),($E539)*$D539),0)*R$508</f>
        <v>0</v>
      </c>
      <c r="S539" s="319">
        <f>IF(S$510&gt;=$C539,MIN(-(SUM($F539:R539)-$E539),($E539)*$D539),0)*S$508</f>
        <v>0</v>
      </c>
      <c r="T539" s="319">
        <f>IF(T$510&gt;=$C539,MIN(-(SUM($F539:S539)-$E539),($E539)*$D539),0)*T$508</f>
        <v>0</v>
      </c>
      <c r="U539" s="319">
        <f>IF(U$510&gt;=$C539,MIN(-(SUM($F539:T539)-$E539),($E539)*$D539),0)*U$508</f>
        <v>0</v>
      </c>
      <c r="V539" s="319">
        <f>IF(V$510&gt;=$C539,MIN(-(SUM($F539:U539)-$E539),($E539)*$D539),0)*V$508</f>
        <v>0</v>
      </c>
      <c r="W539" s="319">
        <f>IF(W$510&gt;=$C539,MIN(-(SUM($F539:V539)-$E539),($E539)*$D539),0)*W$508</f>
        <v>0</v>
      </c>
      <c r="X539" s="319">
        <f>IF(X$510&gt;=$C539,MIN(-(SUM($F539:W539)-$E539),($E539)*$D539),0)*X$508</f>
        <v>0</v>
      </c>
      <c r="Y539" s="319">
        <f>IF(Y$510&gt;=$C539,MIN(-(SUM($F539:X539)-$E539),($E539)*$D539),0)*Y$508</f>
        <v>0</v>
      </c>
      <c r="Z539" s="319">
        <f>IF(Z$510&gt;=$C539,MIN(-(SUM($F539:Y539)-$E539),($E539)*$D539),0)*Z$508</f>
        <v>0</v>
      </c>
      <c r="AA539" s="319">
        <f>IF(AA$510&gt;=$C539,MIN(-(SUM($F539:Z539)-$E539),($E539)*$D539),0)*AA$508</f>
        <v>0</v>
      </c>
      <c r="AB539" s="319">
        <f>IF(AB$510&gt;=$C539,MIN(-(SUM($F539:AA539)-$E539),($E539)*$D539),0)*AB$508</f>
        <v>0</v>
      </c>
      <c r="AC539" s="319">
        <f>IF(AC$510&gt;=$C539,MIN(-(SUM($F539:AB539)-$E539),($E539)*$D539),0)*AC$508</f>
        <v>0</v>
      </c>
      <c r="AD539" s="319">
        <f>IF(AD$510&gt;=$C539,MIN(-(SUM($F539:AC539)-$E539),($E539)*$D539),0)*AD$508</f>
        <v>0</v>
      </c>
      <c r="AE539" s="319">
        <f>IF(AE$510&gt;=$C539,MIN(-(SUM($F539:AD539)-$E539),($E539)*$D539),0)*AE$508</f>
        <v>0</v>
      </c>
      <c r="AF539" s="319">
        <f>IF(AF$510&gt;=$C539,MIN(-(SUM($F539:AE539)-$E539),($E539)*$D539),0)*AF$508</f>
        <v>0</v>
      </c>
      <c r="AG539" s="319">
        <f>IF(AG$510&gt;=$C539,MIN(-(SUM($F539:AF539)-$E539),($E539)*$D539),0)*AG$508</f>
        <v>0</v>
      </c>
      <c r="AH539" s="319">
        <f>IF(AH$510&gt;=$C539,MIN(-(SUM($F539:AG539)-$E539),($E539)*$D539),0)*AH$508</f>
        <v>0</v>
      </c>
      <c r="AI539" s="319">
        <f>IF(AI$510&gt;=$C539,MIN(-(SUM($F539:AH539)-$E539),($E539)*$D539),0)*AI$508</f>
        <v>0</v>
      </c>
      <c r="AJ539" s="319">
        <f>IF(AJ$510&gt;=$C539,MIN(-(SUM($F539:AI539)-$E539),($E539)*$D539),0)*AJ$508</f>
        <v>0</v>
      </c>
      <c r="AK539" s="319">
        <f>IF(AK$510&gt;=$C539,MIN(-(SUM($F539:AJ539)-$E539),($E539)*$D539),0)*AK$508</f>
        <v>0</v>
      </c>
      <c r="AL539" s="319">
        <f>IF(AL$510&gt;=$C539,MIN(-(SUM($F539:AK539)-$E539),($E539)*$D539),0)*AL$508</f>
        <v>0</v>
      </c>
      <c r="AM539" s="319">
        <f>IF(AM$510&gt;=$C539,MIN(-(SUM($F539:AL539)-$E539),($E539)*$D539),0)*AM$508</f>
        <v>0</v>
      </c>
      <c r="AN539" s="319">
        <f>IF(AN$510&gt;=$C539,MIN(-(SUM($F539:AM539)-$E539),($E539)*$D539),0)*AN$508</f>
        <v>0</v>
      </c>
    </row>
    <row r="540" spans="3:40" outlineLevel="4">
      <c r="C540">
        <v>26</v>
      </c>
      <c r="D540">
        <f>Inputs!$D$260</f>
        <v>0.2</v>
      </c>
      <c r="E540" s="319">
        <v>0</v>
      </c>
      <c r="F540" s="319"/>
      <c r="G540" s="319">
        <f>IF(G$510&gt;=$C540,MIN(-(SUM(F540:$F540)-$E540),($E540)*$D540),0)*G$508</f>
        <v>0</v>
      </c>
      <c r="H540" s="319">
        <f>IF(H$510&gt;=$C540,MIN(-(SUM($F540:G540)-$E540),($E540)*$D540),0)*H$508</f>
        <v>0</v>
      </c>
      <c r="I540" s="319">
        <f>IF(I$510&gt;=$C540,MIN(-(SUM($F540:H540)-$E540),($E540)*$D540),0)*I$508</f>
        <v>0</v>
      </c>
      <c r="J540" s="319">
        <f>IF(J$510&gt;=$C540,MIN(-(SUM($F540:I540)-$E540),($E540)*$D540),0)*J$508</f>
        <v>0</v>
      </c>
      <c r="K540" s="319">
        <f>IF(K$510&gt;=$C540,MIN(-(SUM($F540:J540)-$E540),($E540)*$D540),0)*K$508</f>
        <v>0</v>
      </c>
      <c r="L540" s="319">
        <f>IF(L$510&gt;=$C540,MIN(-(SUM($F540:K540)-$E540),($E540)*$D540),0)*L$508</f>
        <v>0</v>
      </c>
      <c r="M540" s="319">
        <f>IF(M$510&gt;=$C540,MIN(-(SUM($F540:L540)-$E540),($E540)*$D540),0)*M$508</f>
        <v>0</v>
      </c>
      <c r="N540" s="319">
        <f>IF(N$510&gt;=$C540,MIN(-(SUM($F540:M540)-$E540),($E540)*$D540),0)*N$508</f>
        <v>0</v>
      </c>
      <c r="O540" s="319">
        <f>IF(O$510&gt;=$C540,MIN(-(SUM($F540:N540)-$E540),($E540)*$D540),0)*O$508</f>
        <v>0</v>
      </c>
      <c r="P540" s="319">
        <f>IF(P$510&gt;=$C540,MIN(-(SUM($F540:O540)-$E540),($E540)*$D540),0)*P$508</f>
        <v>0</v>
      </c>
      <c r="Q540" s="319">
        <f>IF(Q$510&gt;=$C540,MIN(-(SUM($F540:P540)-$E540),($E540)*$D540),0)*Q$508</f>
        <v>0</v>
      </c>
      <c r="R540" s="319">
        <f>IF(R$510&gt;=$C540,MIN(-(SUM($F540:Q540)-$E540),($E540)*$D540),0)*R$508</f>
        <v>0</v>
      </c>
      <c r="S540" s="319">
        <f>IF(S$510&gt;=$C540,MIN(-(SUM($F540:R540)-$E540),($E540)*$D540),0)*S$508</f>
        <v>0</v>
      </c>
      <c r="T540" s="319">
        <f>IF(T$510&gt;=$C540,MIN(-(SUM($F540:S540)-$E540),($E540)*$D540),0)*T$508</f>
        <v>0</v>
      </c>
      <c r="U540" s="319">
        <f>IF(U$510&gt;=$C540,MIN(-(SUM($F540:T540)-$E540),($E540)*$D540),0)*U$508</f>
        <v>0</v>
      </c>
      <c r="V540" s="319">
        <f>IF(V$510&gt;=$C540,MIN(-(SUM($F540:U540)-$E540),($E540)*$D540),0)*V$508</f>
        <v>0</v>
      </c>
      <c r="W540" s="319">
        <f>IF(W$510&gt;=$C540,MIN(-(SUM($F540:V540)-$E540),($E540)*$D540),0)*W$508</f>
        <v>0</v>
      </c>
      <c r="X540" s="319">
        <f>IF(X$510&gt;=$C540,MIN(-(SUM($F540:W540)-$E540),($E540)*$D540),0)*X$508</f>
        <v>0</v>
      </c>
      <c r="Y540" s="319">
        <f>IF(Y$510&gt;=$C540,MIN(-(SUM($F540:X540)-$E540),($E540)*$D540),0)*Y$508</f>
        <v>0</v>
      </c>
      <c r="Z540" s="319">
        <f>IF(Z$510&gt;=$C540,MIN(-(SUM($F540:Y540)-$E540),($E540)*$D540),0)*Z$508</f>
        <v>0</v>
      </c>
      <c r="AA540" s="319">
        <f>IF(AA$510&gt;=$C540,MIN(-(SUM($F540:Z540)-$E540),($E540)*$D540),0)*AA$508</f>
        <v>0</v>
      </c>
      <c r="AB540" s="319">
        <f>IF(AB$510&gt;=$C540,MIN(-(SUM($F540:AA540)-$E540),($E540)*$D540),0)*AB$508</f>
        <v>0</v>
      </c>
      <c r="AC540" s="319">
        <f>IF(AC$510&gt;=$C540,MIN(-(SUM($F540:AB540)-$E540),($E540)*$D540),0)*AC$508</f>
        <v>0</v>
      </c>
      <c r="AD540" s="319">
        <f>IF(AD$510&gt;=$C540,MIN(-(SUM($F540:AC540)-$E540),($E540)*$D540),0)*AD$508</f>
        <v>0</v>
      </c>
      <c r="AE540" s="319">
        <f>IF(AE$510&gt;=$C540,MIN(-(SUM($F540:AD540)-$E540),($E540)*$D540),0)*AE$508</f>
        <v>0</v>
      </c>
      <c r="AF540" s="319">
        <f>IF(AF$510&gt;=$C540,MIN(-(SUM($F540:AE540)-$E540),($E540)*$D540),0)*AF$508</f>
        <v>0</v>
      </c>
      <c r="AG540" s="319">
        <f>IF(AG$510&gt;=$C540,MIN(-(SUM($F540:AF540)-$E540),($E540)*$D540),0)*AG$508</f>
        <v>0</v>
      </c>
      <c r="AH540" s="319">
        <f>IF(AH$510&gt;=$C540,MIN(-(SUM($F540:AG540)-$E540),($E540)*$D540),0)*AH$508</f>
        <v>0</v>
      </c>
      <c r="AI540" s="319">
        <f>IF(AI$510&gt;=$C540,MIN(-(SUM($F540:AH540)-$E540),($E540)*$D540),0)*AI$508</f>
        <v>0</v>
      </c>
      <c r="AJ540" s="319">
        <f>IF(AJ$510&gt;=$C540,MIN(-(SUM($F540:AI540)-$E540),($E540)*$D540),0)*AJ$508</f>
        <v>0</v>
      </c>
      <c r="AK540" s="319">
        <f>IF(AK$510&gt;=$C540,MIN(-(SUM($F540:AJ540)-$E540),($E540)*$D540),0)*AK$508</f>
        <v>0</v>
      </c>
      <c r="AL540" s="319">
        <f>IF(AL$510&gt;=$C540,MIN(-(SUM($F540:AK540)-$E540),($E540)*$D540),0)*AL$508</f>
        <v>0</v>
      </c>
      <c r="AM540" s="319">
        <f>IF(AM$510&gt;=$C540,MIN(-(SUM($F540:AL540)-$E540),($E540)*$D540),0)*AM$508</f>
        <v>0</v>
      </c>
      <c r="AN540" s="319">
        <f>IF(AN$510&gt;=$C540,MIN(-(SUM($F540:AM540)-$E540),($E540)*$D540),0)*AN$508</f>
        <v>0</v>
      </c>
    </row>
    <row r="541" spans="3:40" outlineLevel="4">
      <c r="C541">
        <v>27</v>
      </c>
      <c r="D541">
        <f>Inputs!$D$260</f>
        <v>0.2</v>
      </c>
      <c r="E541" s="319">
        <v>0</v>
      </c>
      <c r="F541" s="319"/>
      <c r="G541" s="319">
        <f>IF(G$510&gt;=$C541,MIN(-(SUM(F541:$F541)-$E541),($E541)*$D541),0)*G$508</f>
        <v>0</v>
      </c>
      <c r="H541" s="319">
        <f>IF(H$510&gt;=$C541,MIN(-(SUM($F541:G541)-$E541),($E541)*$D541),0)*H$508</f>
        <v>0</v>
      </c>
      <c r="I541" s="319">
        <f>IF(I$510&gt;=$C541,MIN(-(SUM($F541:H541)-$E541),($E541)*$D541),0)*I$508</f>
        <v>0</v>
      </c>
      <c r="J541" s="319">
        <f>IF(J$510&gt;=$C541,MIN(-(SUM($F541:I541)-$E541),($E541)*$D541),0)*J$508</f>
        <v>0</v>
      </c>
      <c r="K541" s="319">
        <f>IF(K$510&gt;=$C541,MIN(-(SUM($F541:J541)-$E541),($E541)*$D541),0)*K$508</f>
        <v>0</v>
      </c>
      <c r="L541" s="319">
        <f>IF(L$510&gt;=$C541,MIN(-(SUM($F541:K541)-$E541),($E541)*$D541),0)*L$508</f>
        <v>0</v>
      </c>
      <c r="M541" s="319">
        <f>IF(M$510&gt;=$C541,MIN(-(SUM($F541:L541)-$E541),($E541)*$D541),0)*M$508</f>
        <v>0</v>
      </c>
      <c r="N541" s="319">
        <f>IF(N$510&gt;=$C541,MIN(-(SUM($F541:M541)-$E541),($E541)*$D541),0)*N$508</f>
        <v>0</v>
      </c>
      <c r="O541" s="319">
        <f>IF(O$510&gt;=$C541,MIN(-(SUM($F541:N541)-$E541),($E541)*$D541),0)*O$508</f>
        <v>0</v>
      </c>
      <c r="P541" s="319">
        <f>IF(P$510&gt;=$C541,MIN(-(SUM($F541:O541)-$E541),($E541)*$D541),0)*P$508</f>
        <v>0</v>
      </c>
      <c r="Q541" s="319">
        <f>IF(Q$510&gt;=$C541,MIN(-(SUM($F541:P541)-$E541),($E541)*$D541),0)*Q$508</f>
        <v>0</v>
      </c>
      <c r="R541" s="319">
        <f>IF(R$510&gt;=$C541,MIN(-(SUM($F541:Q541)-$E541),($E541)*$D541),0)*R$508</f>
        <v>0</v>
      </c>
      <c r="S541" s="319">
        <f>IF(S$510&gt;=$C541,MIN(-(SUM($F541:R541)-$E541),($E541)*$D541),0)*S$508</f>
        <v>0</v>
      </c>
      <c r="T541" s="319">
        <f>IF(T$510&gt;=$C541,MIN(-(SUM($F541:S541)-$E541),($E541)*$D541),0)*T$508</f>
        <v>0</v>
      </c>
      <c r="U541" s="319">
        <f>IF(U$510&gt;=$C541,MIN(-(SUM($F541:T541)-$E541),($E541)*$D541),0)*U$508</f>
        <v>0</v>
      </c>
      <c r="V541" s="319">
        <f>IF(V$510&gt;=$C541,MIN(-(SUM($F541:U541)-$E541),($E541)*$D541),0)*V$508</f>
        <v>0</v>
      </c>
      <c r="W541" s="319">
        <f>IF(W$510&gt;=$C541,MIN(-(SUM($F541:V541)-$E541),($E541)*$D541),0)*W$508</f>
        <v>0</v>
      </c>
      <c r="X541" s="319">
        <f>IF(X$510&gt;=$C541,MIN(-(SUM($F541:W541)-$E541),($E541)*$D541),0)*X$508</f>
        <v>0</v>
      </c>
      <c r="Y541" s="319">
        <f>IF(Y$510&gt;=$C541,MIN(-(SUM($F541:X541)-$E541),($E541)*$D541),0)*Y$508</f>
        <v>0</v>
      </c>
      <c r="Z541" s="319">
        <f>IF(Z$510&gt;=$C541,MIN(-(SUM($F541:Y541)-$E541),($E541)*$D541),0)*Z$508</f>
        <v>0</v>
      </c>
      <c r="AA541" s="319">
        <f>IF(AA$510&gt;=$C541,MIN(-(SUM($F541:Z541)-$E541),($E541)*$D541),0)*AA$508</f>
        <v>0</v>
      </c>
      <c r="AB541" s="319">
        <f>IF(AB$510&gt;=$C541,MIN(-(SUM($F541:AA541)-$E541),($E541)*$D541),0)*AB$508</f>
        <v>0</v>
      </c>
      <c r="AC541" s="319">
        <f>IF(AC$510&gt;=$C541,MIN(-(SUM($F541:AB541)-$E541),($E541)*$D541),0)*AC$508</f>
        <v>0</v>
      </c>
      <c r="AD541" s="319">
        <f>IF(AD$510&gt;=$C541,MIN(-(SUM($F541:AC541)-$E541),($E541)*$D541),0)*AD$508</f>
        <v>0</v>
      </c>
      <c r="AE541" s="319">
        <f>IF(AE$510&gt;=$C541,MIN(-(SUM($F541:AD541)-$E541),($E541)*$D541),0)*AE$508</f>
        <v>0</v>
      </c>
      <c r="AF541" s="319">
        <f>IF(AF$510&gt;=$C541,MIN(-(SUM($F541:AE541)-$E541),($E541)*$D541),0)*AF$508</f>
        <v>0</v>
      </c>
      <c r="AG541" s="319">
        <f>IF(AG$510&gt;=$C541,MIN(-(SUM($F541:AF541)-$E541),($E541)*$D541),0)*AG$508</f>
        <v>0</v>
      </c>
      <c r="AH541" s="319">
        <f>IF(AH$510&gt;=$C541,MIN(-(SUM($F541:AG541)-$E541),($E541)*$D541),0)*AH$508</f>
        <v>0</v>
      </c>
      <c r="AI541" s="319">
        <f>IF(AI$510&gt;=$C541,MIN(-(SUM($F541:AH541)-$E541),($E541)*$D541),0)*AI$508</f>
        <v>0</v>
      </c>
      <c r="AJ541" s="319">
        <f>IF(AJ$510&gt;=$C541,MIN(-(SUM($F541:AI541)-$E541),($E541)*$D541),0)*AJ$508</f>
        <v>0</v>
      </c>
      <c r="AK541" s="319">
        <f>IF(AK$510&gt;=$C541,MIN(-(SUM($F541:AJ541)-$E541),($E541)*$D541),0)*AK$508</f>
        <v>0</v>
      </c>
      <c r="AL541" s="319">
        <f>IF(AL$510&gt;=$C541,MIN(-(SUM($F541:AK541)-$E541),($E541)*$D541),0)*AL$508</f>
        <v>0</v>
      </c>
      <c r="AM541" s="319">
        <f>IF(AM$510&gt;=$C541,MIN(-(SUM($F541:AL541)-$E541),($E541)*$D541),0)*AM$508</f>
        <v>0</v>
      </c>
      <c r="AN541" s="319">
        <f>IF(AN$510&gt;=$C541,MIN(-(SUM($F541:AM541)-$E541),($E541)*$D541),0)*AN$508</f>
        <v>0</v>
      </c>
    </row>
    <row r="542" spans="3:40" outlineLevel="4">
      <c r="C542">
        <v>28</v>
      </c>
      <c r="D542">
        <f>Inputs!$D$260</f>
        <v>0.2</v>
      </c>
      <c r="E542" s="319">
        <v>1761.4922199999999</v>
      </c>
      <c r="F542" s="319"/>
      <c r="G542" s="319">
        <f>IF(G$510&gt;=$C542,MIN(-(SUM(F542:$F542)-$E542),($E542)*$D542),0)*G$508</f>
        <v>0</v>
      </c>
      <c r="H542" s="319">
        <f>IF(H$510&gt;=$C542,MIN(-(SUM($F542:G542)-$E542),($E542)*$D542),0)*H$508</f>
        <v>0</v>
      </c>
      <c r="I542" s="319">
        <f>IF(I$510&gt;=$C542,MIN(-(SUM($F542:H542)-$E542),($E542)*$D542),0)*I$508</f>
        <v>0</v>
      </c>
      <c r="J542" s="319">
        <f>IF(J$510&gt;=$C542,MIN(-(SUM($F542:I542)-$E542),($E542)*$D542),0)*J$508</f>
        <v>0</v>
      </c>
      <c r="K542" s="319">
        <f>IF(K$510&gt;=$C542,MIN(-(SUM($F542:J542)-$E542),($E542)*$D542),0)*K$508</f>
        <v>0</v>
      </c>
      <c r="L542" s="319">
        <f>IF(L$510&gt;=$C542,MIN(-(SUM($F542:K542)-$E542),($E542)*$D542),0)*L$508</f>
        <v>0</v>
      </c>
      <c r="M542" s="319">
        <f>IF(M$510&gt;=$C542,MIN(-(SUM($F542:L542)-$E542),($E542)*$D542),0)*M$508</f>
        <v>0</v>
      </c>
      <c r="N542" s="319">
        <f>IF(N$510&gt;=$C542,MIN(-(SUM($F542:M542)-$E542),($E542)*$D542),0)*N$508</f>
        <v>0</v>
      </c>
      <c r="O542" s="319">
        <f>IF(O$510&gt;=$C542,MIN(-(SUM($F542:N542)-$E542),($E542)*$D542),0)*O$508</f>
        <v>0</v>
      </c>
      <c r="P542" s="319">
        <f>IF(P$510&gt;=$C542,MIN(-(SUM($F542:O542)-$E542),($E542)*$D542),0)*P$508</f>
        <v>0</v>
      </c>
      <c r="Q542" s="319">
        <f>IF(Q$510&gt;=$C542,MIN(-(SUM($F542:P542)-$E542),($E542)*$D542),0)*Q$508</f>
        <v>0</v>
      </c>
      <c r="R542" s="319">
        <f>IF(R$510&gt;=$C542,MIN(-(SUM($F542:Q542)-$E542),($E542)*$D542),0)*R$508</f>
        <v>0</v>
      </c>
      <c r="S542" s="319">
        <f>IF(S$510&gt;=$C542,MIN(-(SUM($F542:R542)-$E542),($E542)*$D542),0)*S$508</f>
        <v>0</v>
      </c>
      <c r="T542" s="319">
        <f>IF(T$510&gt;=$C542,MIN(-(SUM($F542:S542)-$E542),($E542)*$D542),0)*T$508</f>
        <v>0</v>
      </c>
      <c r="U542" s="319">
        <f>IF(U$510&gt;=$C542,MIN(-(SUM($F542:T542)-$E542),($E542)*$D542),0)*U$508</f>
        <v>0</v>
      </c>
      <c r="V542" s="319">
        <f>IF(V$510&gt;=$C542,MIN(-(SUM($F542:U542)-$E542),($E542)*$D542),0)*V$508</f>
        <v>0</v>
      </c>
      <c r="W542" s="319">
        <f>IF(W$510&gt;=$C542,MIN(-(SUM($F542:V542)-$E542),($E542)*$D542),0)*W$508</f>
        <v>0</v>
      </c>
      <c r="X542" s="319">
        <f>IF(X$510&gt;=$C542,MIN(-(SUM($F542:W542)-$E542),($E542)*$D542),0)*X$508</f>
        <v>0</v>
      </c>
      <c r="Y542" s="319">
        <f>IF(Y$510&gt;=$C542,MIN(-(SUM($F542:X542)-$E542),($E542)*$D542),0)*Y$508</f>
        <v>0</v>
      </c>
      <c r="Z542" s="319">
        <f>IF(Z$510&gt;=$C542,MIN(-(SUM($F542:Y542)-$E542),($E542)*$D542),0)*Z$508</f>
        <v>0</v>
      </c>
      <c r="AA542" s="319">
        <f>IF(AA$510&gt;=$C542,MIN(-(SUM($F542:Z542)-$E542),($E542)*$D542),0)*AA$508</f>
        <v>0</v>
      </c>
      <c r="AB542" s="319">
        <f>IF(AB$510&gt;=$C542,MIN(-(SUM($F542:AA542)-$E542),($E542)*$D542),0)*AB$508</f>
        <v>0</v>
      </c>
      <c r="AC542" s="319">
        <f>IF(AC$510&gt;=$C542,MIN(-(SUM($F542:AB542)-$E542),($E542)*$D542),0)*AC$508</f>
        <v>0</v>
      </c>
      <c r="AD542" s="319">
        <f>IF(AD$510&gt;=$C542,MIN(-(SUM($F542:AC542)-$E542),($E542)*$D542),0)*AD$508</f>
        <v>0</v>
      </c>
      <c r="AE542" s="319">
        <f>IF(AE$510&gt;=$C542,MIN(-(SUM($F542:AD542)-$E542),($E542)*$D542),0)*AE$508</f>
        <v>0</v>
      </c>
      <c r="AF542" s="319">
        <f>IF(AF$510&gt;=$C542,MIN(-(SUM($F542:AE542)-$E542),($E542)*$D542),0)*AF$508</f>
        <v>0</v>
      </c>
      <c r="AG542" s="319">
        <f>IF(AG$510&gt;=$C542,MIN(-(SUM($F542:AF542)-$E542),($E542)*$D542),0)*AG$508</f>
        <v>0</v>
      </c>
      <c r="AH542" s="319">
        <f>IF(AH$510&gt;=$C542,MIN(-(SUM($F542:AG542)-$E542),($E542)*$D542),0)*AH$508</f>
        <v>352.29844400000002</v>
      </c>
      <c r="AI542" s="319">
        <f>IF(AI$510&gt;=$C542,MIN(-(SUM($F542:AH542)-$E542),($E542)*$D542),0)*AI$508</f>
        <v>352.29844400000002</v>
      </c>
      <c r="AJ542" s="319">
        <f>IF(AJ$510&gt;=$C542,MIN(-(SUM($F542:AI542)-$E542),($E542)*$D542),0)*AJ$508</f>
        <v>352.29844400000002</v>
      </c>
      <c r="AK542" s="319">
        <f>IF(AK$510&gt;=$C542,MIN(-(SUM($F542:AJ542)-$E542),($E542)*$D542),0)*AK$508</f>
        <v>0</v>
      </c>
      <c r="AL542" s="319">
        <f>IF(AL$510&gt;=$C542,MIN(-(SUM($F542:AK542)-$E542),($E542)*$D542),0)*AL$508</f>
        <v>0</v>
      </c>
      <c r="AM542" s="319">
        <f>IF(AM$510&gt;=$C542,MIN(-(SUM($F542:AL542)-$E542),($E542)*$D542),0)*AM$508</f>
        <v>0</v>
      </c>
      <c r="AN542" s="319">
        <f>IF(AN$510&gt;=$C542,MIN(-(SUM($F542:AM542)-$E542),($E542)*$D542),0)*AN$508</f>
        <v>0</v>
      </c>
    </row>
    <row r="543" spans="3:40" outlineLevel="4">
      <c r="C543">
        <v>29</v>
      </c>
      <c r="D543">
        <f>Inputs!$D$260</f>
        <v>0.2</v>
      </c>
      <c r="E543" s="319">
        <v>6308.4322499999998</v>
      </c>
      <c r="F543" s="319"/>
      <c r="G543" s="319">
        <f>IF(G$510&gt;=$C543,MIN(-(SUM(F543:$F543)-$E543),($E543)*$D543),0)*G$508</f>
        <v>0</v>
      </c>
      <c r="H543" s="319">
        <f>IF(H$510&gt;=$C543,MIN(-(SUM($F543:G543)-$E543),($E543)*$D543),0)*H$508</f>
        <v>0</v>
      </c>
      <c r="I543" s="319">
        <f>IF(I$510&gt;=$C543,MIN(-(SUM($F543:H543)-$E543),($E543)*$D543),0)*I$508</f>
        <v>0</v>
      </c>
      <c r="J543" s="319">
        <f>IF(J$510&gt;=$C543,MIN(-(SUM($F543:I543)-$E543),($E543)*$D543),0)*J$508</f>
        <v>0</v>
      </c>
      <c r="K543" s="319">
        <f>IF(K$510&gt;=$C543,MIN(-(SUM($F543:J543)-$E543),($E543)*$D543),0)*K$508</f>
        <v>0</v>
      </c>
      <c r="L543" s="319">
        <f>IF(L$510&gt;=$C543,MIN(-(SUM($F543:K543)-$E543),($E543)*$D543),0)*L$508</f>
        <v>0</v>
      </c>
      <c r="M543" s="319">
        <f>IF(M$510&gt;=$C543,MIN(-(SUM($F543:L543)-$E543),($E543)*$D543),0)*M$508</f>
        <v>0</v>
      </c>
      <c r="N543" s="319">
        <f>IF(N$510&gt;=$C543,MIN(-(SUM($F543:M543)-$E543),($E543)*$D543),0)*N$508</f>
        <v>0</v>
      </c>
      <c r="O543" s="319">
        <f>IF(O$510&gt;=$C543,MIN(-(SUM($F543:N543)-$E543),($E543)*$D543),0)*O$508</f>
        <v>0</v>
      </c>
      <c r="P543" s="319">
        <f>IF(P$510&gt;=$C543,MIN(-(SUM($F543:O543)-$E543),($E543)*$D543),0)*P$508</f>
        <v>0</v>
      </c>
      <c r="Q543" s="319">
        <f>IF(Q$510&gt;=$C543,MIN(-(SUM($F543:P543)-$E543),($E543)*$D543),0)*Q$508</f>
        <v>0</v>
      </c>
      <c r="R543" s="319">
        <f>IF(R$510&gt;=$C543,MIN(-(SUM($F543:Q543)-$E543),($E543)*$D543),0)*R$508</f>
        <v>0</v>
      </c>
      <c r="S543" s="319">
        <f>IF(S$510&gt;=$C543,MIN(-(SUM($F543:R543)-$E543),($E543)*$D543),0)*S$508</f>
        <v>0</v>
      </c>
      <c r="T543" s="319">
        <f>IF(T$510&gt;=$C543,MIN(-(SUM($F543:S543)-$E543),($E543)*$D543),0)*T$508</f>
        <v>0</v>
      </c>
      <c r="U543" s="319">
        <f>IF(U$510&gt;=$C543,MIN(-(SUM($F543:T543)-$E543),($E543)*$D543),0)*U$508</f>
        <v>0</v>
      </c>
      <c r="V543" s="319">
        <f>IF(V$510&gt;=$C543,MIN(-(SUM($F543:U543)-$E543),($E543)*$D543),0)*V$508</f>
        <v>0</v>
      </c>
      <c r="W543" s="319">
        <f>IF(W$510&gt;=$C543,MIN(-(SUM($F543:V543)-$E543),($E543)*$D543),0)*W$508</f>
        <v>0</v>
      </c>
      <c r="X543" s="319">
        <f>IF(X$510&gt;=$C543,MIN(-(SUM($F543:W543)-$E543),($E543)*$D543),0)*X$508</f>
        <v>0</v>
      </c>
      <c r="Y543" s="319">
        <f>IF(Y$510&gt;=$C543,MIN(-(SUM($F543:X543)-$E543),($E543)*$D543),0)*Y$508</f>
        <v>0</v>
      </c>
      <c r="Z543" s="319">
        <f>IF(Z$510&gt;=$C543,MIN(-(SUM($F543:Y543)-$E543),($E543)*$D543),0)*Z$508</f>
        <v>0</v>
      </c>
      <c r="AA543" s="319">
        <f>IF(AA$510&gt;=$C543,MIN(-(SUM($F543:Z543)-$E543),($E543)*$D543),0)*AA$508</f>
        <v>0</v>
      </c>
      <c r="AB543" s="319">
        <f>IF(AB$510&gt;=$C543,MIN(-(SUM($F543:AA543)-$E543),($E543)*$D543),0)*AB$508</f>
        <v>0</v>
      </c>
      <c r="AC543" s="319">
        <f>IF(AC$510&gt;=$C543,MIN(-(SUM($F543:AB543)-$E543),($E543)*$D543),0)*AC$508</f>
        <v>0</v>
      </c>
      <c r="AD543" s="319">
        <f>IF(AD$510&gt;=$C543,MIN(-(SUM($F543:AC543)-$E543),($E543)*$D543),0)*AD$508</f>
        <v>0</v>
      </c>
      <c r="AE543" s="319">
        <f>IF(AE$510&gt;=$C543,MIN(-(SUM($F543:AD543)-$E543),($E543)*$D543),0)*AE$508</f>
        <v>0</v>
      </c>
      <c r="AF543" s="319">
        <f>IF(AF$510&gt;=$C543,MIN(-(SUM($F543:AE543)-$E543),($E543)*$D543),0)*AF$508</f>
        <v>0</v>
      </c>
      <c r="AG543" s="319">
        <f>IF(AG$510&gt;=$C543,MIN(-(SUM($F543:AF543)-$E543),($E543)*$D543),0)*AG$508</f>
        <v>0</v>
      </c>
      <c r="AH543" s="319">
        <f>IF(AH$510&gt;=$C543,MIN(-(SUM($F543:AG543)-$E543),($E543)*$D543),0)*AH$508</f>
        <v>0</v>
      </c>
      <c r="AI543" s="319">
        <f>IF(AI$510&gt;=$C543,MIN(-(SUM($F543:AH543)-$E543),($E543)*$D543),0)*AI$508</f>
        <v>1261.6864500000001</v>
      </c>
      <c r="AJ543" s="319">
        <f>IF(AJ$510&gt;=$C543,MIN(-(SUM($F543:AI543)-$E543),($E543)*$D543),0)*AJ$508</f>
        <v>1261.6864500000001</v>
      </c>
      <c r="AK543" s="319">
        <f>IF(AK$510&gt;=$C543,MIN(-(SUM($F543:AJ543)-$E543),($E543)*$D543),0)*AK$508</f>
        <v>0</v>
      </c>
      <c r="AL543" s="319">
        <f>IF(AL$510&gt;=$C543,MIN(-(SUM($F543:AK543)-$E543),($E543)*$D543),0)*AL$508</f>
        <v>0</v>
      </c>
      <c r="AM543" s="319">
        <f>IF(AM$510&gt;=$C543,MIN(-(SUM($F543:AL543)-$E543),($E543)*$D543),0)*AM$508</f>
        <v>0</v>
      </c>
      <c r="AN543" s="319">
        <f>IF(AN$510&gt;=$C543,MIN(-(SUM($F543:AM543)-$E543),($E543)*$D543),0)*AN$508</f>
        <v>0</v>
      </c>
    </row>
    <row r="544" spans="3:40" outlineLevel="4">
      <c r="C544">
        <v>30</v>
      </c>
      <c r="D544">
        <f>Inputs!$D$260</f>
        <v>0.2</v>
      </c>
      <c r="E544" s="319">
        <v>0</v>
      </c>
      <c r="F544" s="319"/>
      <c r="G544" s="319">
        <f>IF(G$510&gt;=$C544,MIN(-(SUM(F544:$F544)-$E544),($E544)*$D544),0)*G$508</f>
        <v>0</v>
      </c>
      <c r="H544" s="319">
        <f>IF(H$510&gt;=$C544,MIN(-(SUM($F544:G544)-$E544),($E544)*$D544),0)*H$508</f>
        <v>0</v>
      </c>
      <c r="I544" s="319">
        <f>IF(I$510&gt;=$C544,MIN(-(SUM($F544:H544)-$E544),($E544)*$D544),0)*I$508</f>
        <v>0</v>
      </c>
      <c r="J544" s="319">
        <f>IF(J$510&gt;=$C544,MIN(-(SUM($F544:I544)-$E544),($E544)*$D544),0)*J$508</f>
        <v>0</v>
      </c>
      <c r="K544" s="319">
        <f>IF(K$510&gt;=$C544,MIN(-(SUM($F544:J544)-$E544),($E544)*$D544),0)*K$508</f>
        <v>0</v>
      </c>
      <c r="L544" s="319">
        <f>IF(L$510&gt;=$C544,MIN(-(SUM($F544:K544)-$E544),($E544)*$D544),0)*L$508</f>
        <v>0</v>
      </c>
      <c r="M544" s="319">
        <f>IF(M$510&gt;=$C544,MIN(-(SUM($F544:L544)-$E544),($E544)*$D544),0)*M$508</f>
        <v>0</v>
      </c>
      <c r="N544" s="319">
        <f>IF(N$510&gt;=$C544,MIN(-(SUM($F544:M544)-$E544),($E544)*$D544),0)*N$508</f>
        <v>0</v>
      </c>
      <c r="O544" s="319">
        <f>IF(O$510&gt;=$C544,MIN(-(SUM($F544:N544)-$E544),($E544)*$D544),0)*O$508</f>
        <v>0</v>
      </c>
      <c r="P544" s="319">
        <f>IF(P$510&gt;=$C544,MIN(-(SUM($F544:O544)-$E544),($E544)*$D544),0)*P$508</f>
        <v>0</v>
      </c>
      <c r="Q544" s="319">
        <f>IF(Q$510&gt;=$C544,MIN(-(SUM($F544:P544)-$E544),($E544)*$D544),0)*Q$508</f>
        <v>0</v>
      </c>
      <c r="R544" s="319">
        <f>IF(R$510&gt;=$C544,MIN(-(SUM($F544:Q544)-$E544),($E544)*$D544),0)*R$508</f>
        <v>0</v>
      </c>
      <c r="S544" s="319">
        <f>IF(S$510&gt;=$C544,MIN(-(SUM($F544:R544)-$E544),($E544)*$D544),0)*S$508</f>
        <v>0</v>
      </c>
      <c r="T544" s="319">
        <f>IF(T$510&gt;=$C544,MIN(-(SUM($F544:S544)-$E544),($E544)*$D544),0)*T$508</f>
        <v>0</v>
      </c>
      <c r="U544" s="319">
        <f>IF(U$510&gt;=$C544,MIN(-(SUM($F544:T544)-$E544),($E544)*$D544),0)*U$508</f>
        <v>0</v>
      </c>
      <c r="V544" s="319">
        <f>IF(V$510&gt;=$C544,MIN(-(SUM($F544:U544)-$E544),($E544)*$D544),0)*V$508</f>
        <v>0</v>
      </c>
      <c r="W544" s="319">
        <f>IF(W$510&gt;=$C544,MIN(-(SUM($F544:V544)-$E544),($E544)*$D544),0)*W$508</f>
        <v>0</v>
      </c>
      <c r="X544" s="319">
        <f>IF(X$510&gt;=$C544,MIN(-(SUM($F544:W544)-$E544),($E544)*$D544),0)*X$508</f>
        <v>0</v>
      </c>
      <c r="Y544" s="319">
        <f>IF(Y$510&gt;=$C544,MIN(-(SUM($F544:X544)-$E544),($E544)*$D544),0)*Y$508</f>
        <v>0</v>
      </c>
      <c r="Z544" s="319">
        <f>IF(Z$510&gt;=$C544,MIN(-(SUM($F544:Y544)-$E544),($E544)*$D544),0)*Z$508</f>
        <v>0</v>
      </c>
      <c r="AA544" s="319">
        <f>IF(AA$510&gt;=$C544,MIN(-(SUM($F544:Z544)-$E544),($E544)*$D544),0)*AA$508</f>
        <v>0</v>
      </c>
      <c r="AB544" s="319">
        <f>IF(AB$510&gt;=$C544,MIN(-(SUM($F544:AA544)-$E544),($E544)*$D544),0)*AB$508</f>
        <v>0</v>
      </c>
      <c r="AC544" s="319">
        <f>IF(AC$510&gt;=$C544,MIN(-(SUM($F544:AB544)-$E544),($E544)*$D544),0)*AC$508</f>
        <v>0</v>
      </c>
      <c r="AD544" s="319">
        <f>IF(AD$510&gt;=$C544,MIN(-(SUM($F544:AC544)-$E544),($E544)*$D544),0)*AD$508</f>
        <v>0</v>
      </c>
      <c r="AE544" s="319">
        <f>IF(AE$510&gt;=$C544,MIN(-(SUM($F544:AD544)-$E544),($E544)*$D544),0)*AE$508</f>
        <v>0</v>
      </c>
      <c r="AF544" s="319">
        <f>IF(AF$510&gt;=$C544,MIN(-(SUM($F544:AE544)-$E544),($E544)*$D544),0)*AF$508</f>
        <v>0</v>
      </c>
      <c r="AG544" s="319">
        <f>IF(AG$510&gt;=$C544,MIN(-(SUM($F544:AF544)-$E544),($E544)*$D544),0)*AG$508</f>
        <v>0</v>
      </c>
      <c r="AH544" s="319">
        <f>IF(AH$510&gt;=$C544,MIN(-(SUM($F544:AG544)-$E544),($E544)*$D544),0)*AH$508</f>
        <v>0</v>
      </c>
      <c r="AI544" s="319">
        <f>IF(AI$510&gt;=$C544,MIN(-(SUM($F544:AH544)-$E544),($E544)*$D544),0)*AI$508</f>
        <v>0</v>
      </c>
      <c r="AJ544" s="319">
        <f>IF(AJ$510&gt;=$C544,MIN(-(SUM($F544:AI544)-$E544),($E544)*$D544),0)*AJ$508</f>
        <v>0</v>
      </c>
      <c r="AK544" s="319">
        <f>IF(AK$510&gt;=$C544,MIN(-(SUM($F544:AJ544)-$E544),($E544)*$D544),0)*AK$508</f>
        <v>0</v>
      </c>
      <c r="AL544" s="319">
        <f>IF(AL$510&gt;=$C544,MIN(-(SUM($F544:AK544)-$E544),($E544)*$D544),0)*AL$508</f>
        <v>0</v>
      </c>
      <c r="AM544" s="319">
        <f>IF(AM$510&gt;=$C544,MIN(-(SUM($F544:AL544)-$E544),($E544)*$D544),0)*AM$508</f>
        <v>0</v>
      </c>
      <c r="AN544" s="319">
        <f>IF(AN$510&gt;=$C544,MIN(-(SUM($F544:AM544)-$E544),($E544)*$D544),0)*AN$508</f>
        <v>0</v>
      </c>
    </row>
    <row r="545" spans="3:160" outlineLevel="4">
      <c r="C545">
        <v>31</v>
      </c>
      <c r="D545">
        <f>Inputs!$D$260</f>
        <v>0.2</v>
      </c>
      <c r="E545" s="319">
        <v>0</v>
      </c>
      <c r="F545" s="319"/>
      <c r="G545" s="319">
        <f>IF(G$510&gt;=$C545,MIN(-(SUM(F545:$F545)-$E545),($E545)*$D545),0)*G$508</f>
        <v>0</v>
      </c>
      <c r="H545" s="319">
        <f>IF(H$510&gt;=$C545,MIN(-(SUM($F545:G545)-$E545),($E545)*$D545),0)*H$508</f>
        <v>0</v>
      </c>
      <c r="I545" s="319">
        <f>IF(I$510&gt;=$C545,MIN(-(SUM($F545:H545)-$E545),($E545)*$D545),0)*I$508</f>
        <v>0</v>
      </c>
      <c r="J545" s="319">
        <f>IF(J$510&gt;=$C545,MIN(-(SUM($F545:I545)-$E545),($E545)*$D545),0)*J$508</f>
        <v>0</v>
      </c>
      <c r="K545" s="319">
        <f>IF(K$510&gt;=$C545,MIN(-(SUM($F545:J545)-$E545),($E545)*$D545),0)*K$508</f>
        <v>0</v>
      </c>
      <c r="L545" s="319">
        <f>IF(L$510&gt;=$C545,MIN(-(SUM($F545:K545)-$E545),($E545)*$D545),0)*L$508</f>
        <v>0</v>
      </c>
      <c r="M545" s="319">
        <f>IF(M$510&gt;=$C545,MIN(-(SUM($F545:L545)-$E545),($E545)*$D545),0)*M$508</f>
        <v>0</v>
      </c>
      <c r="N545" s="319">
        <f>IF(N$510&gt;=$C545,MIN(-(SUM($F545:M545)-$E545),($E545)*$D545),0)*N$508</f>
        <v>0</v>
      </c>
      <c r="O545" s="319">
        <f>IF(O$510&gt;=$C545,MIN(-(SUM($F545:N545)-$E545),($E545)*$D545),0)*O$508</f>
        <v>0</v>
      </c>
      <c r="P545" s="319">
        <f>IF(P$510&gt;=$C545,MIN(-(SUM($F545:O545)-$E545),($E545)*$D545),0)*P$508</f>
        <v>0</v>
      </c>
      <c r="Q545" s="319">
        <f>IF(Q$510&gt;=$C545,MIN(-(SUM($F545:P545)-$E545),($E545)*$D545),0)*Q$508</f>
        <v>0</v>
      </c>
      <c r="R545" s="319">
        <f>IF(R$510&gt;=$C545,MIN(-(SUM($F545:Q545)-$E545),($E545)*$D545),0)*R$508</f>
        <v>0</v>
      </c>
      <c r="S545" s="319">
        <f>IF(S$510&gt;=$C545,MIN(-(SUM($F545:R545)-$E545),($E545)*$D545),0)*S$508</f>
        <v>0</v>
      </c>
      <c r="T545" s="319">
        <f>IF(T$510&gt;=$C545,MIN(-(SUM($F545:S545)-$E545),($E545)*$D545),0)*T$508</f>
        <v>0</v>
      </c>
      <c r="U545" s="319">
        <f>IF(U$510&gt;=$C545,MIN(-(SUM($F545:T545)-$E545),($E545)*$D545),0)*U$508</f>
        <v>0</v>
      </c>
      <c r="V545" s="319">
        <f>IF(V$510&gt;=$C545,MIN(-(SUM($F545:U545)-$E545),($E545)*$D545),0)*V$508</f>
        <v>0</v>
      </c>
      <c r="W545" s="319">
        <f>IF(W$510&gt;=$C545,MIN(-(SUM($F545:V545)-$E545),($E545)*$D545),0)*W$508</f>
        <v>0</v>
      </c>
      <c r="X545" s="319">
        <f>IF(X$510&gt;=$C545,MIN(-(SUM($F545:W545)-$E545),($E545)*$D545),0)*X$508</f>
        <v>0</v>
      </c>
      <c r="Y545" s="319">
        <f>IF(Y$510&gt;=$C545,MIN(-(SUM($F545:X545)-$E545),($E545)*$D545),0)*Y$508</f>
        <v>0</v>
      </c>
      <c r="Z545" s="319">
        <f>IF(Z$510&gt;=$C545,MIN(-(SUM($F545:Y545)-$E545),($E545)*$D545),0)*Z$508</f>
        <v>0</v>
      </c>
      <c r="AA545" s="319">
        <f>IF(AA$510&gt;=$C545,MIN(-(SUM($F545:Z545)-$E545),($E545)*$D545),0)*AA$508</f>
        <v>0</v>
      </c>
      <c r="AB545" s="319">
        <f>IF(AB$510&gt;=$C545,MIN(-(SUM($F545:AA545)-$E545),($E545)*$D545),0)*AB$508</f>
        <v>0</v>
      </c>
      <c r="AC545" s="319">
        <f>IF(AC$510&gt;=$C545,MIN(-(SUM($F545:AB545)-$E545),($E545)*$D545),0)*AC$508</f>
        <v>0</v>
      </c>
      <c r="AD545" s="319">
        <f>IF(AD$510&gt;=$C545,MIN(-(SUM($F545:AC545)-$E545),($E545)*$D545),0)*AD$508</f>
        <v>0</v>
      </c>
      <c r="AE545" s="319">
        <f>IF(AE$510&gt;=$C545,MIN(-(SUM($F545:AD545)-$E545),($E545)*$D545),0)*AE$508</f>
        <v>0</v>
      </c>
      <c r="AF545" s="319">
        <f>IF(AF$510&gt;=$C545,MIN(-(SUM($F545:AE545)-$E545),($E545)*$D545),0)*AF$508</f>
        <v>0</v>
      </c>
      <c r="AG545" s="319">
        <f>IF(AG$510&gt;=$C545,MIN(-(SUM($F545:AF545)-$E545),($E545)*$D545),0)*AG$508</f>
        <v>0</v>
      </c>
      <c r="AH545" s="319">
        <f>IF(AH$510&gt;=$C545,MIN(-(SUM($F545:AG545)-$E545),($E545)*$D545),0)*AH$508</f>
        <v>0</v>
      </c>
      <c r="AI545" s="319">
        <f>IF(AI$510&gt;=$C545,MIN(-(SUM($F545:AH545)-$E545),($E545)*$D545),0)*AI$508</f>
        <v>0</v>
      </c>
      <c r="AJ545" s="319">
        <f>IF(AJ$510&gt;=$C545,MIN(-(SUM($F545:AI545)-$E545),($E545)*$D545),0)*AJ$508</f>
        <v>0</v>
      </c>
      <c r="AK545" s="319">
        <f>IF(AK$510&gt;=$C545,MIN(-(SUM($F545:AJ545)-$E545),($E545)*$D545),0)*AK$508</f>
        <v>0</v>
      </c>
      <c r="AL545" s="319">
        <f>IF(AL$510&gt;=$C545,MIN(-(SUM($F545:AK545)-$E545),($E545)*$D545),0)*AL$508</f>
        <v>0</v>
      </c>
      <c r="AM545" s="319">
        <f>IF(AM$510&gt;=$C545,MIN(-(SUM($F545:AL545)-$E545),($E545)*$D545),0)*AM$508</f>
        <v>0</v>
      </c>
      <c r="AN545" s="319">
        <f>IF(AN$510&gt;=$C545,MIN(-(SUM($F545:AM545)-$E545),($E545)*$D545),0)*AN$508</f>
        <v>0</v>
      </c>
    </row>
    <row r="546" spans="3:160" outlineLevel="4">
      <c r="C546">
        <v>32</v>
      </c>
      <c r="D546">
        <f>Inputs!$D$260</f>
        <v>0.2</v>
      </c>
      <c r="E546" s="319">
        <v>0</v>
      </c>
      <c r="F546" s="319"/>
      <c r="G546" s="319">
        <f>IF(G$510&gt;=$C546,MIN(-(SUM(F546:$F546)-$E546),($E546)*$D546),0)*G$508</f>
        <v>0</v>
      </c>
      <c r="H546" s="319">
        <f>IF(H$510&gt;=$C546,MIN(-(SUM($F546:G546)-$E546),($E546)*$D546),0)*H$508</f>
        <v>0</v>
      </c>
      <c r="I546" s="319">
        <f>IF(I$510&gt;=$C546,MIN(-(SUM($F546:H546)-$E546),($E546)*$D546),0)*I$508</f>
        <v>0</v>
      </c>
      <c r="J546" s="319">
        <f>IF(J$510&gt;=$C546,MIN(-(SUM($F546:I546)-$E546),($E546)*$D546),0)*J$508</f>
        <v>0</v>
      </c>
      <c r="K546" s="319">
        <f>IF(K$510&gt;=$C546,MIN(-(SUM($F546:J546)-$E546),($E546)*$D546),0)*K$508</f>
        <v>0</v>
      </c>
      <c r="L546" s="319">
        <f>IF(L$510&gt;=$C546,MIN(-(SUM($F546:K546)-$E546),($E546)*$D546),0)*L$508</f>
        <v>0</v>
      </c>
      <c r="M546" s="319">
        <f>IF(M$510&gt;=$C546,MIN(-(SUM($F546:L546)-$E546),($E546)*$D546),0)*M$508</f>
        <v>0</v>
      </c>
      <c r="N546" s="319">
        <f>IF(N$510&gt;=$C546,MIN(-(SUM($F546:M546)-$E546),($E546)*$D546),0)*N$508</f>
        <v>0</v>
      </c>
      <c r="O546" s="319">
        <f>IF(O$510&gt;=$C546,MIN(-(SUM($F546:N546)-$E546),($E546)*$D546),0)*O$508</f>
        <v>0</v>
      </c>
      <c r="P546" s="319">
        <f>IF(P$510&gt;=$C546,MIN(-(SUM($F546:O546)-$E546),($E546)*$D546),0)*P$508</f>
        <v>0</v>
      </c>
      <c r="Q546" s="319">
        <f>IF(Q$510&gt;=$C546,MIN(-(SUM($F546:P546)-$E546),($E546)*$D546),0)*Q$508</f>
        <v>0</v>
      </c>
      <c r="R546" s="319">
        <f>IF(R$510&gt;=$C546,MIN(-(SUM($F546:Q546)-$E546),($E546)*$D546),0)*R$508</f>
        <v>0</v>
      </c>
      <c r="S546" s="319">
        <f>IF(S$510&gt;=$C546,MIN(-(SUM($F546:R546)-$E546),($E546)*$D546),0)*S$508</f>
        <v>0</v>
      </c>
      <c r="T546" s="319">
        <f>IF(T$510&gt;=$C546,MIN(-(SUM($F546:S546)-$E546),($E546)*$D546),0)*T$508</f>
        <v>0</v>
      </c>
      <c r="U546" s="319">
        <f>IF(U$510&gt;=$C546,MIN(-(SUM($F546:T546)-$E546),($E546)*$D546),0)*U$508</f>
        <v>0</v>
      </c>
      <c r="V546" s="319">
        <f>IF(V$510&gt;=$C546,MIN(-(SUM($F546:U546)-$E546),($E546)*$D546),0)*V$508</f>
        <v>0</v>
      </c>
      <c r="W546" s="319">
        <f>IF(W$510&gt;=$C546,MIN(-(SUM($F546:V546)-$E546),($E546)*$D546),0)*W$508</f>
        <v>0</v>
      </c>
      <c r="X546" s="319">
        <f>IF(X$510&gt;=$C546,MIN(-(SUM($F546:W546)-$E546),($E546)*$D546),0)*X$508</f>
        <v>0</v>
      </c>
      <c r="Y546" s="319">
        <f>IF(Y$510&gt;=$C546,MIN(-(SUM($F546:X546)-$E546),($E546)*$D546),0)*Y$508</f>
        <v>0</v>
      </c>
      <c r="Z546" s="319">
        <f>IF(Z$510&gt;=$C546,MIN(-(SUM($F546:Y546)-$E546),($E546)*$D546),0)*Z$508</f>
        <v>0</v>
      </c>
      <c r="AA546" s="319">
        <f>IF(AA$510&gt;=$C546,MIN(-(SUM($F546:Z546)-$E546),($E546)*$D546),0)*AA$508</f>
        <v>0</v>
      </c>
      <c r="AB546" s="319">
        <f>IF(AB$510&gt;=$C546,MIN(-(SUM($F546:AA546)-$E546),($E546)*$D546),0)*AB$508</f>
        <v>0</v>
      </c>
      <c r="AC546" s="319">
        <f>IF(AC$510&gt;=$C546,MIN(-(SUM($F546:AB546)-$E546),($E546)*$D546),0)*AC$508</f>
        <v>0</v>
      </c>
      <c r="AD546" s="319">
        <f>IF(AD$510&gt;=$C546,MIN(-(SUM($F546:AC546)-$E546),($E546)*$D546),0)*AD$508</f>
        <v>0</v>
      </c>
      <c r="AE546" s="319">
        <f>IF(AE$510&gt;=$C546,MIN(-(SUM($F546:AD546)-$E546),($E546)*$D546),0)*AE$508</f>
        <v>0</v>
      </c>
      <c r="AF546" s="319">
        <f>IF(AF$510&gt;=$C546,MIN(-(SUM($F546:AE546)-$E546),($E546)*$D546),0)*AF$508</f>
        <v>0</v>
      </c>
      <c r="AG546" s="319">
        <f>IF(AG$510&gt;=$C546,MIN(-(SUM($F546:AF546)-$E546),($E546)*$D546),0)*AG$508</f>
        <v>0</v>
      </c>
      <c r="AH546" s="319">
        <f>IF(AH$510&gt;=$C546,MIN(-(SUM($F546:AG546)-$E546),($E546)*$D546),0)*AH$508</f>
        <v>0</v>
      </c>
      <c r="AI546" s="319">
        <f>IF(AI$510&gt;=$C546,MIN(-(SUM($F546:AH546)-$E546),($E546)*$D546),0)*AI$508</f>
        <v>0</v>
      </c>
      <c r="AJ546" s="319">
        <f>IF(AJ$510&gt;=$C546,MIN(-(SUM($F546:AI546)-$E546),($E546)*$D546),0)*AJ$508</f>
        <v>0</v>
      </c>
      <c r="AK546" s="319">
        <f>IF(AK$510&gt;=$C546,MIN(-(SUM($F546:AJ546)-$E546),($E546)*$D546),0)*AK$508</f>
        <v>0</v>
      </c>
      <c r="AL546" s="319">
        <f>IF(AL$510&gt;=$C546,MIN(-(SUM($F546:AK546)-$E546),($E546)*$D546),0)*AL$508</f>
        <v>0</v>
      </c>
      <c r="AM546" s="319">
        <f>IF(AM$510&gt;=$C546,MIN(-(SUM($F546:AL546)-$E546),($E546)*$D546),0)*AM$508</f>
        <v>0</v>
      </c>
      <c r="AN546" s="319">
        <f>IF(AN$510&gt;=$C546,MIN(-(SUM($F546:AM546)-$E546),($E546)*$D546),0)*AN$508</f>
        <v>0</v>
      </c>
    </row>
    <row r="547" spans="3:160" outlineLevel="4">
      <c r="C547">
        <v>33</v>
      </c>
      <c r="D547">
        <f>Inputs!$D$260</f>
        <v>0.2</v>
      </c>
      <c r="E547" s="319">
        <v>0</v>
      </c>
      <c r="F547" s="319"/>
      <c r="G547" s="319">
        <f>IF(G$510&gt;=$C547,MIN(-(SUM(F547:$F547)-$E547),($E547)*$D547),0)*G$508</f>
        <v>0</v>
      </c>
      <c r="H547" s="319">
        <f>IF(H$510&gt;=$C547,MIN(-(SUM($F547:G547)-$E547),($E547)*$D547),0)*H$508</f>
        <v>0</v>
      </c>
      <c r="I547" s="319">
        <f>IF(I$510&gt;=$C547,MIN(-(SUM($F547:H547)-$E547),($E547)*$D547),0)*I$508</f>
        <v>0</v>
      </c>
      <c r="J547" s="319">
        <f>IF(J$510&gt;=$C547,MIN(-(SUM($F547:I547)-$E547),($E547)*$D547),0)*J$508</f>
        <v>0</v>
      </c>
      <c r="K547" s="319">
        <f>IF(K$510&gt;=$C547,MIN(-(SUM($F547:J547)-$E547),($E547)*$D547),0)*K$508</f>
        <v>0</v>
      </c>
      <c r="L547" s="319">
        <f>IF(L$510&gt;=$C547,MIN(-(SUM($F547:K547)-$E547),($E547)*$D547),0)*L$508</f>
        <v>0</v>
      </c>
      <c r="M547" s="319">
        <f>IF(M$510&gt;=$C547,MIN(-(SUM($F547:L547)-$E547),($E547)*$D547),0)*M$508</f>
        <v>0</v>
      </c>
      <c r="N547" s="319">
        <f>IF(N$510&gt;=$C547,MIN(-(SUM($F547:M547)-$E547),($E547)*$D547),0)*N$508</f>
        <v>0</v>
      </c>
      <c r="O547" s="319">
        <f>IF(O$510&gt;=$C547,MIN(-(SUM($F547:N547)-$E547),($E547)*$D547),0)*O$508</f>
        <v>0</v>
      </c>
      <c r="P547" s="319">
        <f>IF(P$510&gt;=$C547,MIN(-(SUM($F547:O547)-$E547),($E547)*$D547),0)*P$508</f>
        <v>0</v>
      </c>
      <c r="Q547" s="319">
        <f>IF(Q$510&gt;=$C547,MIN(-(SUM($F547:P547)-$E547),($E547)*$D547),0)*Q$508</f>
        <v>0</v>
      </c>
      <c r="R547" s="319">
        <f>IF(R$510&gt;=$C547,MIN(-(SUM($F547:Q547)-$E547),($E547)*$D547),0)*R$508</f>
        <v>0</v>
      </c>
      <c r="S547" s="319">
        <f>IF(S$510&gt;=$C547,MIN(-(SUM($F547:R547)-$E547),($E547)*$D547),0)*S$508</f>
        <v>0</v>
      </c>
      <c r="T547" s="319">
        <f>IF(T$510&gt;=$C547,MIN(-(SUM($F547:S547)-$E547),($E547)*$D547),0)*T$508</f>
        <v>0</v>
      </c>
      <c r="U547" s="319">
        <f>IF(U$510&gt;=$C547,MIN(-(SUM($F547:T547)-$E547),($E547)*$D547),0)*U$508</f>
        <v>0</v>
      </c>
      <c r="V547" s="319">
        <f>IF(V$510&gt;=$C547,MIN(-(SUM($F547:U547)-$E547),($E547)*$D547),0)*V$508</f>
        <v>0</v>
      </c>
      <c r="W547" s="319">
        <f>IF(W$510&gt;=$C547,MIN(-(SUM($F547:V547)-$E547),($E547)*$D547),0)*W$508</f>
        <v>0</v>
      </c>
      <c r="X547" s="319">
        <f>IF(X$510&gt;=$C547,MIN(-(SUM($F547:W547)-$E547),($E547)*$D547),0)*X$508</f>
        <v>0</v>
      </c>
      <c r="Y547" s="319">
        <f>IF(Y$510&gt;=$C547,MIN(-(SUM($F547:X547)-$E547),($E547)*$D547),0)*Y$508</f>
        <v>0</v>
      </c>
      <c r="Z547" s="319">
        <f>IF(Z$510&gt;=$C547,MIN(-(SUM($F547:Y547)-$E547),($E547)*$D547),0)*Z$508</f>
        <v>0</v>
      </c>
      <c r="AA547" s="319">
        <f>IF(AA$510&gt;=$C547,MIN(-(SUM($F547:Z547)-$E547),($E547)*$D547),0)*AA$508</f>
        <v>0</v>
      </c>
      <c r="AB547" s="319">
        <f>IF(AB$510&gt;=$C547,MIN(-(SUM($F547:AA547)-$E547),($E547)*$D547),0)*AB$508</f>
        <v>0</v>
      </c>
      <c r="AC547" s="319">
        <f>IF(AC$510&gt;=$C547,MIN(-(SUM($F547:AB547)-$E547),($E547)*$D547),0)*AC$508</f>
        <v>0</v>
      </c>
      <c r="AD547" s="319">
        <f>IF(AD$510&gt;=$C547,MIN(-(SUM($F547:AC547)-$E547),($E547)*$D547),0)*AD$508</f>
        <v>0</v>
      </c>
      <c r="AE547" s="319">
        <f>IF(AE$510&gt;=$C547,MIN(-(SUM($F547:AD547)-$E547),($E547)*$D547),0)*AE$508</f>
        <v>0</v>
      </c>
      <c r="AF547" s="319">
        <f>IF(AF$510&gt;=$C547,MIN(-(SUM($F547:AE547)-$E547),($E547)*$D547),0)*AF$508</f>
        <v>0</v>
      </c>
      <c r="AG547" s="319">
        <f>IF(AG$510&gt;=$C547,MIN(-(SUM($F547:AF547)-$E547),($E547)*$D547),0)*AG$508</f>
        <v>0</v>
      </c>
      <c r="AH547" s="319">
        <f>IF(AH$510&gt;=$C547,MIN(-(SUM($F547:AG547)-$E547),($E547)*$D547),0)*AH$508</f>
        <v>0</v>
      </c>
      <c r="AI547" s="319">
        <f>IF(AI$510&gt;=$C547,MIN(-(SUM($F547:AH547)-$E547),($E547)*$D547),0)*AI$508</f>
        <v>0</v>
      </c>
      <c r="AJ547" s="319">
        <f>IF(AJ$510&gt;=$C547,MIN(-(SUM($F547:AI547)-$E547),($E547)*$D547),0)*AJ$508</f>
        <v>0</v>
      </c>
      <c r="AK547" s="319">
        <f>IF(AK$510&gt;=$C547,MIN(-(SUM($F547:AJ547)-$E547),($E547)*$D547),0)*AK$508</f>
        <v>0</v>
      </c>
      <c r="AL547" s="319">
        <f>IF(AL$510&gt;=$C547,MIN(-(SUM($F547:AK547)-$E547),($E547)*$D547),0)*AL$508</f>
        <v>0</v>
      </c>
      <c r="AM547" s="319">
        <f>IF(AM$510&gt;=$C547,MIN(-(SUM($F547:AL547)-$E547),($E547)*$D547),0)*AM$508</f>
        <v>0</v>
      </c>
      <c r="AN547" s="319">
        <f>IF(AN$510&gt;=$C547,MIN(-(SUM($F547:AM547)-$E547),($E547)*$D547),0)*AN$508</f>
        <v>0</v>
      </c>
    </row>
    <row r="548" spans="3:160" outlineLevel="4">
      <c r="C548">
        <v>34</v>
      </c>
      <c r="D548">
        <f>Inputs!$D$260</f>
        <v>0.2</v>
      </c>
      <c r="E548" s="319">
        <v>0</v>
      </c>
      <c r="F548" s="319"/>
      <c r="G548" s="319">
        <f>IF(G$510&gt;=$C548,MIN(-(SUM(F548:$F548)-$E548),($E548)*$D548),0)*G$508</f>
        <v>0</v>
      </c>
      <c r="H548" s="319">
        <f>IF(H$510&gt;=$C548,MIN(-(SUM($F548:G548)-$E548),($E548)*$D548),0)*H$508</f>
        <v>0</v>
      </c>
      <c r="I548" s="319">
        <f>IF(I$510&gt;=$C548,MIN(-(SUM($F548:H548)-$E548),($E548)*$D548),0)*I$508</f>
        <v>0</v>
      </c>
      <c r="J548" s="319">
        <f>IF(J$510&gt;=$C548,MIN(-(SUM($F548:I548)-$E548),($E548)*$D548),0)*J$508</f>
        <v>0</v>
      </c>
      <c r="K548" s="319">
        <f>IF(K$510&gt;=$C548,MIN(-(SUM($F548:J548)-$E548),($E548)*$D548),0)*K$508</f>
        <v>0</v>
      </c>
      <c r="L548" s="319">
        <f>IF(L$510&gt;=$C548,MIN(-(SUM($F548:K548)-$E548),($E548)*$D548),0)*L$508</f>
        <v>0</v>
      </c>
      <c r="M548" s="319">
        <f>IF(M$510&gt;=$C548,MIN(-(SUM($F548:L548)-$E548),($E548)*$D548),0)*M$508</f>
        <v>0</v>
      </c>
      <c r="N548" s="319">
        <f>IF(N$510&gt;=$C548,MIN(-(SUM($F548:M548)-$E548),($E548)*$D548),0)*N$508</f>
        <v>0</v>
      </c>
      <c r="O548" s="319">
        <f>IF(O$510&gt;=$C548,MIN(-(SUM($F548:N548)-$E548),($E548)*$D548),0)*O$508</f>
        <v>0</v>
      </c>
      <c r="P548" s="319">
        <f>IF(P$510&gt;=$C548,MIN(-(SUM($F548:O548)-$E548),($E548)*$D548),0)*P$508</f>
        <v>0</v>
      </c>
      <c r="Q548" s="319">
        <f>IF(Q$510&gt;=$C548,MIN(-(SUM($F548:P548)-$E548),($E548)*$D548),0)*Q$508</f>
        <v>0</v>
      </c>
      <c r="R548" s="319">
        <f>IF(R$510&gt;=$C548,MIN(-(SUM($F548:Q548)-$E548),($E548)*$D548),0)*R$508</f>
        <v>0</v>
      </c>
      <c r="S548" s="319">
        <f>IF(S$510&gt;=$C548,MIN(-(SUM($F548:R548)-$E548),($E548)*$D548),0)*S$508</f>
        <v>0</v>
      </c>
      <c r="T548" s="319">
        <f>IF(T$510&gt;=$C548,MIN(-(SUM($F548:S548)-$E548),($E548)*$D548),0)*T$508</f>
        <v>0</v>
      </c>
      <c r="U548" s="319">
        <f>IF(U$510&gt;=$C548,MIN(-(SUM($F548:T548)-$E548),($E548)*$D548),0)*U$508</f>
        <v>0</v>
      </c>
      <c r="V548" s="319">
        <f>IF(V$510&gt;=$C548,MIN(-(SUM($F548:U548)-$E548),($E548)*$D548),0)*V$508</f>
        <v>0</v>
      </c>
      <c r="W548" s="319">
        <f>IF(W$510&gt;=$C548,MIN(-(SUM($F548:V548)-$E548),($E548)*$D548),0)*W$508</f>
        <v>0</v>
      </c>
      <c r="X548" s="319">
        <f>IF(X$510&gt;=$C548,MIN(-(SUM($F548:W548)-$E548),($E548)*$D548),0)*X$508</f>
        <v>0</v>
      </c>
      <c r="Y548" s="319">
        <f>IF(Y$510&gt;=$C548,MIN(-(SUM($F548:X548)-$E548),($E548)*$D548),0)*Y$508</f>
        <v>0</v>
      </c>
      <c r="Z548" s="319">
        <f>IF(Z$510&gt;=$C548,MIN(-(SUM($F548:Y548)-$E548),($E548)*$D548),0)*Z$508</f>
        <v>0</v>
      </c>
      <c r="AA548" s="319">
        <f>IF(AA$510&gt;=$C548,MIN(-(SUM($F548:Z548)-$E548),($E548)*$D548),0)*AA$508</f>
        <v>0</v>
      </c>
      <c r="AB548" s="319">
        <f>IF(AB$510&gt;=$C548,MIN(-(SUM($F548:AA548)-$E548),($E548)*$D548),0)*AB$508</f>
        <v>0</v>
      </c>
      <c r="AC548" s="319">
        <f>IF(AC$510&gt;=$C548,MIN(-(SUM($F548:AB548)-$E548),($E548)*$D548),0)*AC$508</f>
        <v>0</v>
      </c>
      <c r="AD548" s="319">
        <f>IF(AD$510&gt;=$C548,MIN(-(SUM($F548:AC548)-$E548),($E548)*$D548),0)*AD$508</f>
        <v>0</v>
      </c>
      <c r="AE548" s="319">
        <f>IF(AE$510&gt;=$C548,MIN(-(SUM($F548:AD548)-$E548),($E548)*$D548),0)*AE$508</f>
        <v>0</v>
      </c>
      <c r="AF548" s="319">
        <f>IF(AF$510&gt;=$C548,MIN(-(SUM($F548:AE548)-$E548),($E548)*$D548),0)*AF$508</f>
        <v>0</v>
      </c>
      <c r="AG548" s="319">
        <f>IF(AG$510&gt;=$C548,MIN(-(SUM($F548:AF548)-$E548),($E548)*$D548),0)*AG$508</f>
        <v>0</v>
      </c>
      <c r="AH548" s="319">
        <f>IF(AH$510&gt;=$C548,MIN(-(SUM($F548:AG548)-$E548),($E548)*$D548),0)*AH$508</f>
        <v>0</v>
      </c>
      <c r="AI548" s="319">
        <f>IF(AI$510&gt;=$C548,MIN(-(SUM($F548:AH548)-$E548),($E548)*$D548),0)*AI$508</f>
        <v>0</v>
      </c>
      <c r="AJ548" s="319">
        <f>IF(AJ$510&gt;=$C548,MIN(-(SUM($F548:AI548)-$E548),($E548)*$D548),0)*AJ$508</f>
        <v>0</v>
      </c>
      <c r="AK548" s="319">
        <f>IF(AK$510&gt;=$C548,MIN(-(SUM($F548:AJ548)-$E548),($E548)*$D548),0)*AK$508</f>
        <v>0</v>
      </c>
      <c r="AL548" s="319">
        <f>IF(AL$510&gt;=$C548,MIN(-(SUM($F548:AK548)-$E548),($E548)*$D548),0)*AL$508</f>
        <v>0</v>
      </c>
      <c r="AM548" s="319">
        <f>IF(AM$510&gt;=$C548,MIN(-(SUM($F548:AL548)-$E548),($E548)*$D548),0)*AM$508</f>
        <v>0</v>
      </c>
      <c r="AN548" s="319">
        <f>IF(AN$510&gt;=$C548,MIN(-(SUM($F548:AM548)-$E548),($E548)*$D548),0)*AN$508</f>
        <v>0</v>
      </c>
    </row>
    <row r="549" spans="3:160" ht="16.2" outlineLevel="4" thickBot="1">
      <c r="C549" s="323" t="s">
        <v>473</v>
      </c>
      <c r="D549"/>
      <c r="E549" s="319"/>
      <c r="F549" s="319" t="s">
        <v>13</v>
      </c>
      <c r="G549" s="319">
        <f t="shared" ref="G549" si="496">SUM(G515:G548)</f>
        <v>1618.2168940000001</v>
      </c>
      <c r="H549" s="319">
        <f t="shared" ref="H549" si="497">SUM(H515:H548)</f>
        <v>1618.2168940000001</v>
      </c>
      <c r="I549" s="319">
        <f t="shared" ref="I549" si="498">SUM(I515:I548)</f>
        <v>1747.9608460000002</v>
      </c>
      <c r="J549" s="319">
        <f t="shared" ref="J549" si="499">SUM(J515:J548)</f>
        <v>1747.9608460000002</v>
      </c>
      <c r="K549" s="319">
        <f t="shared" ref="K549" si="500">SUM(K515:K548)</f>
        <v>1747.9608459999993</v>
      </c>
      <c r="L549" s="319">
        <f t="shared" ref="L549" si="501">SUM(L515:L548)</f>
        <v>129.74395200000001</v>
      </c>
      <c r="M549" s="319">
        <f t="shared" ref="M549" si="502">SUM(M515:M548)</f>
        <v>129.74395200000001</v>
      </c>
      <c r="N549" s="319">
        <f t="shared" ref="N549" si="503">SUM(N515:N548)</f>
        <v>1613.9848940000002</v>
      </c>
      <c r="O549" s="319">
        <f t="shared" ref="O549" si="504">SUM(O515:O548)</f>
        <v>1613.9848940000002</v>
      </c>
      <c r="P549" s="319">
        <f t="shared" ref="P549" si="505">SUM(P515:P548)</f>
        <v>1613.9848940000002</v>
      </c>
      <c r="Q549" s="319">
        <f t="shared" ref="Q549" si="506">SUM(Q515:Q548)</f>
        <v>1618.2168940000001</v>
      </c>
      <c r="R549" s="319">
        <f t="shared" ref="R549" si="507">SUM(R515:R548)</f>
        <v>1618.2168939999992</v>
      </c>
      <c r="S549" s="319">
        <f t="shared" ref="S549" si="508">SUM(S515:S548)</f>
        <v>133.97595200000001</v>
      </c>
      <c r="T549" s="319">
        <f t="shared" ref="T549" si="509">SUM(T515:T548)</f>
        <v>133.97595200000001</v>
      </c>
      <c r="U549" s="319">
        <f t="shared" ref="U549" si="510">SUM(U515:U548)</f>
        <v>1747.9608460000002</v>
      </c>
      <c r="V549" s="319">
        <f t="shared" ref="V549" si="511">SUM(V515:V548)</f>
        <v>1743.7288460000002</v>
      </c>
      <c r="W549" s="319">
        <f t="shared" ref="W549" si="512">SUM(W515:W548)</f>
        <v>1743.7288460000002</v>
      </c>
      <c r="X549" s="319">
        <f t="shared" ref="X549" si="513">SUM(X515:X548)</f>
        <v>1613.9848940000002</v>
      </c>
      <c r="Y549" s="319">
        <f t="shared" ref="Y549" si="514">SUM(Y515:Y548)</f>
        <v>1613.9848939999993</v>
      </c>
      <c r="Z549" s="319">
        <f t="shared" ref="Z549" si="515">SUM(Z515:Z548)</f>
        <v>0</v>
      </c>
      <c r="AA549" s="319">
        <f t="shared" ref="AA549" si="516">SUM(AA515:AA548)</f>
        <v>4.2320000000000002</v>
      </c>
      <c r="AB549" s="319">
        <f t="shared" ref="AB549" si="517">SUM(AB515:AB548)</f>
        <v>1618.2168940000001</v>
      </c>
      <c r="AC549" s="319">
        <f t="shared" ref="AC549" si="518">SUM(AC515:AC548)</f>
        <v>1747.9608460000002</v>
      </c>
      <c r="AD549" s="319">
        <f t="shared" ref="AD549" si="519">SUM(AD515:AD548)</f>
        <v>1747.9608460000002</v>
      </c>
      <c r="AE549" s="319">
        <f t="shared" ref="AE549" si="520">SUM(AE515:AE548)</f>
        <v>1747.9608460000002</v>
      </c>
      <c r="AF549" s="319">
        <f t="shared" ref="AF549" si="521">SUM(AF515:AF548)</f>
        <v>1743.7288459999993</v>
      </c>
      <c r="AG549" s="319">
        <f t="shared" ref="AG549" si="522">SUM(AG515:AG548)</f>
        <v>129.74395200000001</v>
      </c>
      <c r="AH549" s="319">
        <f t="shared" ref="AH549" si="523">SUM(AH515:AH548)</f>
        <v>352.29844400000002</v>
      </c>
      <c r="AI549" s="319">
        <f t="shared" ref="AI549" si="524">SUM(AI515:AI548)</f>
        <v>1613.9848940000002</v>
      </c>
      <c r="AJ549" s="319">
        <f t="shared" ref="AJ549" si="525">SUM(AJ515:AJ548)</f>
        <v>1613.9848940000002</v>
      </c>
      <c r="AK549" s="319">
        <f t="shared" ref="AK549" si="526">SUM(AK515:AK548)</f>
        <v>0</v>
      </c>
      <c r="AL549" s="319">
        <f t="shared" ref="AL549" si="527">SUM(AL515:AL548)</f>
        <v>0</v>
      </c>
      <c r="AM549" s="319">
        <f t="shared" ref="AM549" si="528">SUM(AM515:AM548)</f>
        <v>0</v>
      </c>
      <c r="AN549" s="319">
        <f t="shared" ref="AN549" si="529">SUM(AN515:AN548)</f>
        <v>0</v>
      </c>
      <c r="AO549" s="325"/>
      <c r="AP549" s="325"/>
      <c r="AQ549" s="325"/>
      <c r="AR549" s="325"/>
      <c r="AS549" s="325"/>
      <c r="AT549" s="325"/>
      <c r="AU549" s="325"/>
      <c r="AV549" s="325"/>
      <c r="AW549" s="325"/>
      <c r="AX549" s="325"/>
      <c r="AY549" s="325"/>
      <c r="AZ549" s="325"/>
      <c r="BA549" s="325"/>
      <c r="BB549" s="325"/>
      <c r="BC549" s="325"/>
      <c r="BD549" s="325"/>
      <c r="BE549" s="325"/>
      <c r="BF549" s="325"/>
      <c r="BG549" s="325"/>
      <c r="BH549" s="325"/>
      <c r="BI549" s="325"/>
      <c r="BJ549" s="325"/>
      <c r="BK549" s="325"/>
      <c r="BL549" s="325"/>
      <c r="BM549" s="325"/>
      <c r="BN549" s="325"/>
      <c r="BO549" s="325"/>
      <c r="BP549" s="325"/>
      <c r="BQ549" s="325"/>
      <c r="BR549" s="325"/>
      <c r="BS549" s="325"/>
      <c r="BT549" s="325"/>
      <c r="BU549" s="325"/>
      <c r="BV549" s="325"/>
      <c r="BW549" s="325"/>
      <c r="BX549" s="325"/>
      <c r="BY549" s="325"/>
      <c r="BZ549" s="325"/>
      <c r="CA549" s="325"/>
      <c r="CB549" s="325"/>
      <c r="CC549" s="325"/>
      <c r="CD549" s="325"/>
      <c r="CE549" s="325"/>
      <c r="CF549" s="325"/>
      <c r="CG549" s="325"/>
      <c r="CH549" s="325"/>
      <c r="CI549" s="325"/>
      <c r="CJ549" s="325"/>
      <c r="CK549" s="325"/>
      <c r="CL549" s="325"/>
      <c r="CM549" s="325"/>
      <c r="CN549" s="325"/>
      <c r="CO549" s="325"/>
      <c r="CP549" s="325"/>
      <c r="CQ549" s="325"/>
      <c r="CR549" s="325"/>
      <c r="CS549" s="325"/>
      <c r="CT549" s="325"/>
      <c r="CU549" s="325"/>
      <c r="CV549" s="325"/>
      <c r="CW549" s="325"/>
      <c r="CX549" s="325"/>
      <c r="CY549" s="325"/>
      <c r="CZ549" s="325"/>
      <c r="DA549" s="325"/>
      <c r="DB549" s="325"/>
      <c r="DC549" s="325"/>
      <c r="DD549" s="325"/>
      <c r="DE549" s="325"/>
      <c r="DF549" s="325"/>
      <c r="DG549" s="325"/>
      <c r="DH549" s="325"/>
      <c r="DI549" s="325"/>
      <c r="DJ549" s="325"/>
      <c r="DK549" s="325"/>
      <c r="DL549" s="325"/>
      <c r="DM549" s="325"/>
      <c r="DN549" s="325"/>
      <c r="DO549" s="325"/>
      <c r="DP549" s="325"/>
      <c r="DQ549" s="325"/>
      <c r="DR549" s="325"/>
      <c r="DS549" s="325"/>
      <c r="DT549" s="325"/>
      <c r="DU549" s="325"/>
      <c r="DV549" s="325"/>
      <c r="DW549" s="325"/>
      <c r="DX549" s="325"/>
      <c r="DY549" s="325"/>
      <c r="DZ549" s="325"/>
      <c r="EA549" s="325"/>
      <c r="EB549" s="325"/>
      <c r="EC549" s="325"/>
      <c r="ED549" s="325"/>
      <c r="EE549" s="325"/>
      <c r="EF549" s="325"/>
      <c r="EG549" s="325"/>
      <c r="EH549" s="325"/>
      <c r="EI549" s="325"/>
      <c r="EJ549" s="325"/>
      <c r="EK549" s="325"/>
      <c r="EL549" s="325"/>
      <c r="EM549" s="325"/>
      <c r="EN549" s="325"/>
      <c r="EO549" s="325"/>
      <c r="EP549" s="325"/>
      <c r="EQ549" s="325"/>
      <c r="ER549" s="325"/>
      <c r="ES549" s="325"/>
      <c r="ET549" s="325"/>
      <c r="EU549" s="325"/>
      <c r="EV549" s="325"/>
      <c r="EW549" s="325"/>
      <c r="EX549" s="325"/>
      <c r="EY549" s="325"/>
      <c r="EZ549" s="325"/>
      <c r="FA549" s="325"/>
      <c r="FB549" s="325"/>
      <c r="FC549" s="325"/>
      <c r="FD549" s="325"/>
    </row>
    <row r="550" spans="3:160" ht="16.2" outlineLevel="3" thickTop="1">
      <c r="C550"/>
      <c r="D550" s="266"/>
      <c r="E550" s="76"/>
      <c r="F550"/>
    </row>
    <row r="551" spans="3:160" outlineLevel="3">
      <c r="C551" t="s">
        <v>477</v>
      </c>
      <c r="D551" s="266"/>
      <c r="E551" s="266"/>
      <c r="F551" s="76"/>
      <c r="G551" s="319">
        <f>G502*$D$512</f>
        <v>2427.3253409999998</v>
      </c>
      <c r="H551" s="319">
        <f t="shared" ref="H551:AN551" si="530">H502*$D$512</f>
        <v>0</v>
      </c>
      <c r="I551" s="319">
        <f t="shared" si="530"/>
        <v>194.61592800000003</v>
      </c>
      <c r="J551" s="319">
        <f t="shared" si="530"/>
        <v>0</v>
      </c>
      <c r="K551" s="319">
        <f t="shared" si="530"/>
        <v>0</v>
      </c>
      <c r="L551" s="319">
        <f t="shared" si="530"/>
        <v>0</v>
      </c>
      <c r="M551" s="319">
        <f t="shared" si="530"/>
        <v>0</v>
      </c>
      <c r="N551" s="319">
        <f t="shared" si="530"/>
        <v>2420.9773409999998</v>
      </c>
      <c r="O551" s="319">
        <f t="shared" si="530"/>
        <v>0</v>
      </c>
      <c r="P551" s="319">
        <f t="shared" si="530"/>
        <v>0</v>
      </c>
      <c r="Q551" s="319">
        <f t="shared" si="530"/>
        <v>6.3479999999999999</v>
      </c>
      <c r="R551" s="319">
        <f t="shared" si="530"/>
        <v>0</v>
      </c>
      <c r="S551" s="319">
        <f t="shared" si="530"/>
        <v>194.61592800000003</v>
      </c>
      <c r="T551" s="319">
        <f t="shared" si="530"/>
        <v>0</v>
      </c>
      <c r="U551" s="319">
        <f t="shared" si="530"/>
        <v>2420.9773409999998</v>
      </c>
      <c r="V551" s="319">
        <f t="shared" si="530"/>
        <v>0</v>
      </c>
      <c r="W551" s="319">
        <f t="shared" si="530"/>
        <v>0</v>
      </c>
      <c r="X551" s="319">
        <f t="shared" si="530"/>
        <v>0</v>
      </c>
      <c r="Y551" s="319">
        <f t="shared" si="530"/>
        <v>0</v>
      </c>
      <c r="Z551" s="319">
        <f t="shared" si="530"/>
        <v>0</v>
      </c>
      <c r="AA551" s="319">
        <f t="shared" si="530"/>
        <v>6.3479999999999999</v>
      </c>
      <c r="AB551" s="319">
        <f t="shared" si="530"/>
        <v>2420.9773409999998</v>
      </c>
      <c r="AC551" s="319">
        <f t="shared" si="530"/>
        <v>194.61592800000003</v>
      </c>
      <c r="AD551" s="319">
        <f t="shared" si="530"/>
        <v>0</v>
      </c>
      <c r="AE551" s="319">
        <f t="shared" si="530"/>
        <v>0</v>
      </c>
      <c r="AF551" s="319">
        <f t="shared" si="530"/>
        <v>0</v>
      </c>
      <c r="AG551" s="319">
        <f t="shared" si="530"/>
        <v>0</v>
      </c>
      <c r="AH551" s="319">
        <f t="shared" si="530"/>
        <v>528.44766599999991</v>
      </c>
      <c r="AI551" s="319">
        <f t="shared" si="530"/>
        <v>1892.5296749999998</v>
      </c>
      <c r="AJ551" s="319">
        <f t="shared" si="530"/>
        <v>0</v>
      </c>
      <c r="AK551" s="319">
        <f t="shared" si="530"/>
        <v>0</v>
      </c>
      <c r="AL551" s="319">
        <f t="shared" si="530"/>
        <v>0</v>
      </c>
      <c r="AM551" s="319">
        <f t="shared" si="530"/>
        <v>0</v>
      </c>
      <c r="AN551" s="319">
        <f t="shared" si="530"/>
        <v>0</v>
      </c>
      <c r="AO551"/>
    </row>
    <row r="552" spans="3:160" outlineLevel="2">
      <c r="C552"/>
      <c r="D552" s="266"/>
      <c r="E552" s="76"/>
      <c r="F552"/>
    </row>
    <row r="553" spans="3:160" outlineLevel="2">
      <c r="C553" t="s">
        <v>298</v>
      </c>
      <c r="D553" s="266"/>
      <c r="E553" s="76"/>
      <c r="F553"/>
    </row>
    <row r="554" spans="3:160" outlineLevel="3">
      <c r="C554"/>
      <c r="D554" s="266"/>
      <c r="E554" s="76"/>
      <c r="F554"/>
    </row>
    <row r="555" spans="3:160" outlineLevel="3">
      <c r="C555" t="s">
        <v>464</v>
      </c>
      <c r="D555" s="266"/>
      <c r="E555" s="76"/>
      <c r="F555"/>
    </row>
    <row r="556" spans="3:160" outlineLevel="4">
      <c r="C556"/>
      <c r="D556" s="266"/>
      <c r="E556" s="76"/>
      <c r="F556"/>
    </row>
    <row r="557" spans="3:160" outlineLevel="4">
      <c r="C557" t="s">
        <v>478</v>
      </c>
      <c r="D557" s="266"/>
      <c r="E557" s="76" t="s">
        <v>13</v>
      </c>
      <c r="F557" s="273"/>
      <c r="G557" s="273">
        <f t="shared" ref="G557:AN557" si="531">F560</f>
        <v>0</v>
      </c>
      <c r="H557" s="273">
        <f t="shared" si="531"/>
        <v>44.394337506780005</v>
      </c>
      <c r="I557" s="273">
        <f t="shared" si="531"/>
        <v>122.36530584613999</v>
      </c>
      <c r="J557" s="273">
        <f t="shared" si="531"/>
        <v>149.77367001808</v>
      </c>
      <c r="K557" s="273">
        <f t="shared" si="531"/>
        <v>175.40683002260002</v>
      </c>
      <c r="L557" s="273">
        <f t="shared" si="531"/>
        <v>196.1072858597</v>
      </c>
      <c r="M557" s="273">
        <f t="shared" si="531"/>
        <v>206.60065056177999</v>
      </c>
      <c r="N557" s="273">
        <f t="shared" si="531"/>
        <v>325.1090432113096</v>
      </c>
      <c r="O557" s="273">
        <f t="shared" si="531"/>
        <v>322.14257441467521</v>
      </c>
      <c r="P557" s="273">
        <f t="shared" si="531"/>
        <v>306.19789145062083</v>
      </c>
      <c r="Q557" s="273">
        <f t="shared" si="531"/>
        <v>291.24300431914645</v>
      </c>
      <c r="R557" s="273">
        <f t="shared" si="531"/>
        <v>276.28811718767207</v>
      </c>
      <c r="S557" s="273">
        <f t="shared" si="531"/>
        <v>301.23486405619764</v>
      </c>
      <c r="T557" s="273">
        <f t="shared" si="531"/>
        <v>291.21718492472326</v>
      </c>
      <c r="U557" s="273">
        <f t="shared" si="531"/>
        <v>374.25347894411846</v>
      </c>
      <c r="V557" s="273">
        <f t="shared" si="531"/>
        <v>342.47704168476963</v>
      </c>
      <c r="W557" s="273">
        <f t="shared" si="531"/>
        <v>316.09292446142081</v>
      </c>
      <c r="X557" s="273">
        <f t="shared" si="531"/>
        <v>310.09839532994636</v>
      </c>
      <c r="Y557" s="273">
        <f t="shared" si="531"/>
        <v>291.98546619847195</v>
      </c>
      <c r="Z557" s="273">
        <f t="shared" si="531"/>
        <v>276.48752706699759</v>
      </c>
      <c r="AA557" s="273">
        <f t="shared" si="531"/>
        <v>260.98958793552322</v>
      </c>
      <c r="AB557" s="273">
        <f t="shared" si="531"/>
        <v>338.69563195491838</v>
      </c>
      <c r="AC557" s="273">
        <f t="shared" si="531"/>
        <v>357.75285469556957</v>
      </c>
      <c r="AD557" s="273">
        <f t="shared" si="531"/>
        <v>336.78692743622076</v>
      </c>
      <c r="AE557" s="273">
        <f t="shared" si="531"/>
        <v>315.95873830474636</v>
      </c>
      <c r="AF557" s="273">
        <f t="shared" si="531"/>
        <v>300.46079917327199</v>
      </c>
      <c r="AG557" s="273">
        <f t="shared" si="531"/>
        <v>285.24838220739764</v>
      </c>
      <c r="AH557" s="273">
        <f t="shared" si="531"/>
        <v>273.89877506152322</v>
      </c>
      <c r="AI557" s="273">
        <f t="shared" si="531"/>
        <v>359.62550106651844</v>
      </c>
      <c r="AJ557" s="273">
        <f t="shared" si="531"/>
        <v>333.15448579276966</v>
      </c>
      <c r="AK557" s="273">
        <f t="shared" si="531"/>
        <v>301.35322051902085</v>
      </c>
      <c r="AL557" s="273">
        <f t="shared" si="531"/>
        <v>301.35322051902085</v>
      </c>
      <c r="AM557" s="273">
        <f t="shared" si="531"/>
        <v>301.35322051902085</v>
      </c>
      <c r="AN557" s="273">
        <f t="shared" si="531"/>
        <v>301.35322051902085</v>
      </c>
    </row>
    <row r="558" spans="3:160" outlineLevel="4">
      <c r="C558" t="s">
        <v>479</v>
      </c>
      <c r="D558" s="275"/>
      <c r="E558" s="203" t="s">
        <v>13</v>
      </c>
      <c r="F558" s="88">
        <f>SUM(G558:AN558)</f>
        <v>2043.1271655929768</v>
      </c>
      <c r="G558" s="322">
        <f t="shared" ref="G558:AN558" si="532">G425</f>
        <v>49.327041674200004</v>
      </c>
      <c r="H558" s="322">
        <f t="shared" si="532"/>
        <v>92.115191674200005</v>
      </c>
      <c r="I558" s="322">
        <f t="shared" si="532"/>
        <v>46.169541674200005</v>
      </c>
      <c r="J558" s="322">
        <f t="shared" si="532"/>
        <v>49.327041674200004</v>
      </c>
      <c r="K558" s="322">
        <f t="shared" si="532"/>
        <v>49.327041674200004</v>
      </c>
      <c r="L558" s="322">
        <f t="shared" si="532"/>
        <v>43.466611710199999</v>
      </c>
      <c r="M558" s="322">
        <f t="shared" si="532"/>
        <v>168.31293295294401</v>
      </c>
      <c r="N558" s="322">
        <f t="shared" si="532"/>
        <v>52.042301674200004</v>
      </c>
      <c r="O558" s="322">
        <f t="shared" si="532"/>
        <v>43.404541674200004</v>
      </c>
      <c r="P558" s="322">
        <f t="shared" si="532"/>
        <v>49.327041674200004</v>
      </c>
      <c r="Q558" s="322">
        <f t="shared" si="532"/>
        <v>49.327041674200004</v>
      </c>
      <c r="R558" s="322">
        <f t="shared" si="532"/>
        <v>88.907951674200007</v>
      </c>
      <c r="S558" s="322">
        <f t="shared" si="532"/>
        <v>54.807301674200005</v>
      </c>
      <c r="T558" s="322">
        <f t="shared" si="532"/>
        <v>158.80952295294401</v>
      </c>
      <c r="U558" s="322">
        <f t="shared" si="532"/>
        <v>43.404541674200004</v>
      </c>
      <c r="V558" s="322">
        <f t="shared" si="532"/>
        <v>49.389111710199998</v>
      </c>
      <c r="W558" s="322">
        <f t="shared" si="532"/>
        <v>58.830451674199999</v>
      </c>
      <c r="X558" s="322">
        <f t="shared" si="532"/>
        <v>46.119801674200005</v>
      </c>
      <c r="Y558" s="322">
        <f t="shared" si="532"/>
        <v>49.327041674200004</v>
      </c>
      <c r="Z558" s="322">
        <f t="shared" si="532"/>
        <v>49.327041674200004</v>
      </c>
      <c r="AA558" s="322">
        <f t="shared" si="532"/>
        <v>152.88702295294402</v>
      </c>
      <c r="AB558" s="322">
        <f t="shared" si="532"/>
        <v>94.830451674200006</v>
      </c>
      <c r="AC558" s="322">
        <f t="shared" si="532"/>
        <v>54.807301674200005</v>
      </c>
      <c r="AD558" s="322">
        <f t="shared" si="532"/>
        <v>43.404541674200004</v>
      </c>
      <c r="AE558" s="322">
        <f t="shared" si="532"/>
        <v>49.327041674200004</v>
      </c>
      <c r="AF558" s="322">
        <f t="shared" si="532"/>
        <v>49.637391854200004</v>
      </c>
      <c r="AG558" s="322">
        <f t="shared" si="532"/>
        <v>52.9079516742</v>
      </c>
      <c r="AH558" s="322">
        <f t="shared" si="532"/>
        <v>161.52478295294401</v>
      </c>
      <c r="AI558" s="322">
        <f t="shared" si="532"/>
        <v>49.327041674200004</v>
      </c>
      <c r="AJ558" s="322">
        <f t="shared" si="532"/>
        <v>43.404541674200004</v>
      </c>
      <c r="AK558" s="322">
        <f>AK425</f>
        <v>0</v>
      </c>
      <c r="AL558" s="322">
        <f t="shared" si="532"/>
        <v>0</v>
      </c>
      <c r="AM558" s="322">
        <f t="shared" si="532"/>
        <v>0</v>
      </c>
      <c r="AN558" s="322">
        <f t="shared" si="532"/>
        <v>0</v>
      </c>
    </row>
    <row r="559" spans="3:160" outlineLevel="4">
      <c r="C559" t="s">
        <v>467</v>
      </c>
      <c r="D559" s="266"/>
      <c r="E559" s="76" t="s">
        <v>13</v>
      </c>
      <c r="F559" s="50">
        <f>SUM(G559:AN559)</f>
        <v>-1741.7739450739555</v>
      </c>
      <c r="G559" s="273">
        <f t="shared" ref="G559:AN559" si="533">-G605</f>
        <v>-4.9327041674200007</v>
      </c>
      <c r="H559" s="273">
        <f t="shared" si="533"/>
        <v>-14.144223334840001</v>
      </c>
      <c r="I559" s="273">
        <f t="shared" si="533"/>
        <v>-18.761177502260001</v>
      </c>
      <c r="J559" s="273">
        <f t="shared" si="533"/>
        <v>-23.693881669680003</v>
      </c>
      <c r="K559" s="273">
        <f t="shared" si="533"/>
        <v>-28.626585837100002</v>
      </c>
      <c r="L559" s="273">
        <f t="shared" si="533"/>
        <v>-32.973247008120005</v>
      </c>
      <c r="M559" s="273">
        <f t="shared" si="533"/>
        <v>-49.804540303414406</v>
      </c>
      <c r="N559" s="273">
        <f t="shared" si="533"/>
        <v>-55.008770470834406</v>
      </c>
      <c r="O559" s="273">
        <f t="shared" si="533"/>
        <v>-59.349224638254405</v>
      </c>
      <c r="P559" s="273">
        <f t="shared" si="533"/>
        <v>-64.281928805674411</v>
      </c>
      <c r="Q559" s="273">
        <f t="shared" si="533"/>
        <v>-64.281928805674411</v>
      </c>
      <c r="R559" s="273">
        <f t="shared" si="533"/>
        <v>-63.96120480567442</v>
      </c>
      <c r="S559" s="273">
        <f t="shared" si="533"/>
        <v>-64.824980805674414</v>
      </c>
      <c r="T559" s="273">
        <f t="shared" si="533"/>
        <v>-75.773228933548808</v>
      </c>
      <c r="U559" s="273">
        <f t="shared" si="533"/>
        <v>-75.180978933548815</v>
      </c>
      <c r="V559" s="273">
        <f t="shared" si="533"/>
        <v>-75.773228933548793</v>
      </c>
      <c r="W559" s="273">
        <f t="shared" si="533"/>
        <v>-64.824980805674414</v>
      </c>
      <c r="X559" s="273">
        <f t="shared" si="533"/>
        <v>-64.232730805674407</v>
      </c>
      <c r="Y559" s="273">
        <f t="shared" si="533"/>
        <v>-64.824980805674414</v>
      </c>
      <c r="Z559" s="273">
        <f t="shared" si="533"/>
        <v>-64.824980805674414</v>
      </c>
      <c r="AA559" s="273">
        <f t="shared" si="533"/>
        <v>-75.180978933548815</v>
      </c>
      <c r="AB559" s="273">
        <f t="shared" si="533"/>
        <v>-75.773228933548822</v>
      </c>
      <c r="AC559" s="273">
        <f t="shared" si="533"/>
        <v>-75.773228933548793</v>
      </c>
      <c r="AD559" s="273">
        <f t="shared" si="533"/>
        <v>-64.232730805674407</v>
      </c>
      <c r="AE559" s="273">
        <f t="shared" si="533"/>
        <v>-64.8249808056744</v>
      </c>
      <c r="AF559" s="273">
        <f t="shared" si="533"/>
        <v>-64.849808820074401</v>
      </c>
      <c r="AG559" s="273">
        <f t="shared" si="533"/>
        <v>-64.257558820074408</v>
      </c>
      <c r="AH559" s="273">
        <f t="shared" si="533"/>
        <v>-75.798056947948808</v>
      </c>
      <c r="AI559" s="273">
        <f t="shared" si="533"/>
        <v>-75.798056947948808</v>
      </c>
      <c r="AJ559" s="273">
        <f t="shared" si="533"/>
        <v>-75.205806947948815</v>
      </c>
      <c r="AK559" s="273">
        <f t="shared" si="533"/>
        <v>0</v>
      </c>
      <c r="AL559" s="273">
        <f t="shared" si="533"/>
        <v>0</v>
      </c>
      <c r="AM559" s="273">
        <f t="shared" si="533"/>
        <v>0</v>
      </c>
      <c r="AN559" s="273">
        <f t="shared" si="533"/>
        <v>0</v>
      </c>
    </row>
    <row r="560" spans="3:160" outlineLevel="4">
      <c r="C560" t="s">
        <v>480</v>
      </c>
      <c r="D560" s="275"/>
      <c r="E560" s="203" t="s">
        <v>13</v>
      </c>
      <c r="F560" s="89"/>
      <c r="G560" s="287">
        <f t="shared" ref="G560:AN560" si="534">SUM(G557:G559)</f>
        <v>44.394337506780005</v>
      </c>
      <c r="H560" s="287">
        <f t="shared" si="534"/>
        <v>122.36530584613999</v>
      </c>
      <c r="I560" s="287">
        <f t="shared" si="534"/>
        <v>149.77367001808</v>
      </c>
      <c r="J560" s="287">
        <f t="shared" si="534"/>
        <v>175.40683002260002</v>
      </c>
      <c r="K560" s="287">
        <f t="shared" si="534"/>
        <v>196.1072858597</v>
      </c>
      <c r="L560" s="287">
        <f t="shared" si="534"/>
        <v>206.60065056177999</v>
      </c>
      <c r="M560" s="287">
        <f t="shared" si="534"/>
        <v>325.1090432113096</v>
      </c>
      <c r="N560" s="287">
        <f t="shared" si="534"/>
        <v>322.14257441467521</v>
      </c>
      <c r="O560" s="287">
        <f t="shared" si="534"/>
        <v>306.19789145062083</v>
      </c>
      <c r="P560" s="287">
        <f t="shared" si="534"/>
        <v>291.24300431914645</v>
      </c>
      <c r="Q560" s="287">
        <f t="shared" si="534"/>
        <v>276.28811718767207</v>
      </c>
      <c r="R560" s="287">
        <f t="shared" si="534"/>
        <v>301.23486405619764</v>
      </c>
      <c r="S560" s="287">
        <f t="shared" si="534"/>
        <v>291.21718492472326</v>
      </c>
      <c r="T560" s="287">
        <f t="shared" si="534"/>
        <v>374.25347894411846</v>
      </c>
      <c r="U560" s="287">
        <f t="shared" si="534"/>
        <v>342.47704168476963</v>
      </c>
      <c r="V560" s="287">
        <f t="shared" si="534"/>
        <v>316.09292446142081</v>
      </c>
      <c r="W560" s="287">
        <f t="shared" si="534"/>
        <v>310.09839532994636</v>
      </c>
      <c r="X560" s="287">
        <f t="shared" si="534"/>
        <v>291.98546619847195</v>
      </c>
      <c r="Y560" s="287">
        <f t="shared" si="534"/>
        <v>276.48752706699759</v>
      </c>
      <c r="Z560" s="287">
        <f t="shared" si="534"/>
        <v>260.98958793552322</v>
      </c>
      <c r="AA560" s="287">
        <f t="shared" si="534"/>
        <v>338.69563195491838</v>
      </c>
      <c r="AB560" s="287">
        <f t="shared" si="534"/>
        <v>357.75285469556957</v>
      </c>
      <c r="AC560" s="287">
        <f t="shared" si="534"/>
        <v>336.78692743622076</v>
      </c>
      <c r="AD560" s="287">
        <f t="shared" si="534"/>
        <v>315.95873830474636</v>
      </c>
      <c r="AE560" s="287">
        <f t="shared" si="534"/>
        <v>300.46079917327199</v>
      </c>
      <c r="AF560" s="287">
        <f t="shared" si="534"/>
        <v>285.24838220739764</v>
      </c>
      <c r="AG560" s="287">
        <f t="shared" si="534"/>
        <v>273.89877506152322</v>
      </c>
      <c r="AH560" s="287">
        <f t="shared" si="534"/>
        <v>359.62550106651844</v>
      </c>
      <c r="AI560" s="287">
        <f t="shared" si="534"/>
        <v>333.15448579276966</v>
      </c>
      <c r="AJ560" s="287">
        <f t="shared" si="534"/>
        <v>301.35322051902085</v>
      </c>
      <c r="AK560" s="287">
        <f t="shared" si="534"/>
        <v>301.35322051902085</v>
      </c>
      <c r="AL560" s="287">
        <f t="shared" si="534"/>
        <v>301.35322051902085</v>
      </c>
      <c r="AM560" s="287">
        <f t="shared" si="534"/>
        <v>301.35322051902085</v>
      </c>
      <c r="AN560" s="287">
        <f t="shared" si="534"/>
        <v>301.35322051902085</v>
      </c>
    </row>
    <row r="561" spans="3:40" outlineLevel="3">
      <c r="C561"/>
      <c r="D561" s="266"/>
      <c r="E561" s="76"/>
      <c r="F561"/>
    </row>
    <row r="562" spans="3:40" outlineLevel="3">
      <c r="C562" t="s">
        <v>469</v>
      </c>
      <c r="D562" s="266"/>
      <c r="E562" s="76"/>
      <c r="F562"/>
    </row>
    <row r="563" spans="3:40" outlineLevel="4">
      <c r="C563"/>
      <c r="D563" s="266"/>
      <c r="E563" s="76"/>
      <c r="F563"/>
    </row>
    <row r="564" spans="3:40" outlineLevel="4">
      <c r="C564" s="303" t="str">
        <f>Flags!C$72</f>
        <v>Cons + Ops Flag</v>
      </c>
      <c r="D564" s="319"/>
      <c r="E564" s="41" t="str">
        <f>Flags!E$72</f>
        <v>Flag</v>
      </c>
      <c r="F564" s="23">
        <f>Flags!F$72</f>
        <v>30</v>
      </c>
      <c r="G564" s="25">
        <f>Flags!G$72</f>
        <v>1</v>
      </c>
      <c r="H564" s="25">
        <f>Flags!H$72</f>
        <v>1</v>
      </c>
      <c r="I564" s="25">
        <f>Flags!I$72</f>
        <v>1</v>
      </c>
      <c r="J564" s="25">
        <f>Flags!J$72</f>
        <v>1</v>
      </c>
      <c r="K564" s="25">
        <f>Flags!K$72</f>
        <v>1</v>
      </c>
      <c r="L564" s="25">
        <f>Flags!L$72</f>
        <v>1</v>
      </c>
      <c r="M564" s="25">
        <f>Flags!M$72</f>
        <v>1</v>
      </c>
      <c r="N564" s="25">
        <f>Flags!N$72</f>
        <v>1</v>
      </c>
      <c r="O564" s="25">
        <f>Flags!O$72</f>
        <v>1</v>
      </c>
      <c r="P564" s="25">
        <f>Flags!P$72</f>
        <v>1</v>
      </c>
      <c r="Q564" s="25">
        <f>Flags!Q$72</f>
        <v>1</v>
      </c>
      <c r="R564" s="25">
        <f>Flags!R$72</f>
        <v>1</v>
      </c>
      <c r="S564" s="25">
        <f>Flags!S$72</f>
        <v>1</v>
      </c>
      <c r="T564" s="25">
        <f>Flags!T$72</f>
        <v>1</v>
      </c>
      <c r="U564" s="25">
        <f>Flags!U$72</f>
        <v>1</v>
      </c>
      <c r="V564" s="25">
        <f>Flags!V$72</f>
        <v>1</v>
      </c>
      <c r="W564" s="25">
        <f>Flags!W$72</f>
        <v>1</v>
      </c>
      <c r="X564" s="25">
        <f>Flags!X$72</f>
        <v>1</v>
      </c>
      <c r="Y564" s="25">
        <f>Flags!Y$72</f>
        <v>1</v>
      </c>
      <c r="Z564" s="25">
        <f>Flags!Z$72</f>
        <v>1</v>
      </c>
      <c r="AA564" s="25">
        <f>Flags!AA$72</f>
        <v>1</v>
      </c>
      <c r="AB564" s="25">
        <f>Flags!AB$72</f>
        <v>1</v>
      </c>
      <c r="AC564" s="25">
        <f>Flags!AC$72</f>
        <v>1</v>
      </c>
      <c r="AD564" s="25">
        <f>Flags!AD$72</f>
        <v>1</v>
      </c>
      <c r="AE564" s="25">
        <f>Flags!AE$72</f>
        <v>1</v>
      </c>
      <c r="AF564" s="25">
        <f>Flags!AF$72</f>
        <v>1</v>
      </c>
      <c r="AG564" s="25">
        <f>Flags!AG$72</f>
        <v>1</v>
      </c>
      <c r="AH564" s="25">
        <f>Flags!AH$72</f>
        <v>1</v>
      </c>
      <c r="AI564" s="25">
        <f>Flags!AI$72</f>
        <v>1</v>
      </c>
      <c r="AJ564" s="25">
        <f>Flags!AJ$72</f>
        <v>1</v>
      </c>
      <c r="AK564" s="25">
        <f>Flags!AK$72</f>
        <v>0</v>
      </c>
      <c r="AL564" s="25">
        <f>Flags!AL$72</f>
        <v>0</v>
      </c>
      <c r="AM564" s="25">
        <f>Flags!AM$72</f>
        <v>0</v>
      </c>
      <c r="AN564" s="25">
        <f>Flags!AN$72</f>
        <v>0</v>
      </c>
    </row>
    <row r="565" spans="3:40" outlineLevel="4">
      <c r="C565"/>
      <c r="D565" s="266"/>
      <c r="E565" s="76"/>
      <c r="F565"/>
    </row>
    <row r="566" spans="3:40" outlineLevel="4">
      <c r="C566" s="303" t="str">
        <f>Flags!C$14</f>
        <v>Counter</v>
      </c>
      <c r="D566" s="266"/>
      <c r="E566" s="76" t="str">
        <f>Flags!E$14</f>
        <v>Counter</v>
      </c>
      <c r="F566" s="89">
        <f>Flags!F$14</f>
        <v>0</v>
      </c>
      <c r="G566" s="266">
        <f>Flags!G$14</f>
        <v>1</v>
      </c>
      <c r="H566" s="266">
        <f>Flags!H$14</f>
        <v>2</v>
      </c>
      <c r="I566" s="266">
        <f>Flags!I$14</f>
        <v>3</v>
      </c>
      <c r="J566" s="266">
        <f>Flags!J$14</f>
        <v>4</v>
      </c>
      <c r="K566" s="266">
        <f>Flags!K$14</f>
        <v>5</v>
      </c>
      <c r="L566" s="266">
        <f>Flags!L$14</f>
        <v>6</v>
      </c>
      <c r="M566" s="266">
        <f>Flags!M$14</f>
        <v>7</v>
      </c>
      <c r="N566" s="266">
        <f>Flags!N$14</f>
        <v>8</v>
      </c>
      <c r="O566" s="266">
        <f>Flags!O$14</f>
        <v>9</v>
      </c>
      <c r="P566" s="266">
        <f>Flags!P$14</f>
        <v>10</v>
      </c>
      <c r="Q566" s="266">
        <f>Flags!Q$14</f>
        <v>11</v>
      </c>
      <c r="R566" s="266">
        <f>Flags!R$14</f>
        <v>12</v>
      </c>
      <c r="S566" s="266">
        <f>Flags!S$14</f>
        <v>13</v>
      </c>
      <c r="T566" s="266">
        <f>Flags!T$14</f>
        <v>14</v>
      </c>
      <c r="U566" s="266">
        <f>Flags!U$14</f>
        <v>15</v>
      </c>
      <c r="V566" s="266">
        <f>Flags!V$14</f>
        <v>16</v>
      </c>
      <c r="W566" s="266">
        <f>Flags!W$14</f>
        <v>17</v>
      </c>
      <c r="X566" s="266">
        <f>Flags!X$14</f>
        <v>18</v>
      </c>
      <c r="Y566" s="266">
        <f>Flags!Y$14</f>
        <v>19</v>
      </c>
      <c r="Z566" s="266">
        <f>Flags!Z$14</f>
        <v>20</v>
      </c>
      <c r="AA566" s="266">
        <f>Flags!AA$14</f>
        <v>21</v>
      </c>
      <c r="AB566" s="266">
        <f>Flags!AB$14</f>
        <v>22</v>
      </c>
      <c r="AC566" s="266">
        <f>Flags!AC$14</f>
        <v>23</v>
      </c>
      <c r="AD566" s="266">
        <f>Flags!AD$14</f>
        <v>24</v>
      </c>
      <c r="AE566" s="266">
        <f>Flags!AE$14</f>
        <v>25</v>
      </c>
      <c r="AF566" s="266">
        <f>Flags!AF$14</f>
        <v>26</v>
      </c>
      <c r="AG566" s="266">
        <f>Flags!AG$14</f>
        <v>27</v>
      </c>
      <c r="AH566" s="266">
        <f>Flags!AH$14</f>
        <v>28</v>
      </c>
      <c r="AI566" s="266">
        <f>Flags!AI$14</f>
        <v>29</v>
      </c>
      <c r="AJ566" s="266">
        <f>Flags!AJ$14</f>
        <v>30</v>
      </c>
      <c r="AK566" s="266">
        <f>Flags!AK$14</f>
        <v>31</v>
      </c>
      <c r="AL566" s="266">
        <f>Flags!AL$14</f>
        <v>32</v>
      </c>
      <c r="AM566" s="266">
        <f>Flags!AM$14</f>
        <v>33</v>
      </c>
      <c r="AN566" s="266">
        <f>Flags!AN$14</f>
        <v>34</v>
      </c>
    </row>
    <row r="567" spans="3:40" outlineLevel="4">
      <c r="C567"/>
      <c r="D567" s="266"/>
      <c r="E567" s="76"/>
      <c r="F567"/>
    </row>
    <row r="568" spans="3:40" outlineLevel="4">
      <c r="C568" t="str">
        <f>Inputs!$E$258</f>
        <v>Valor residual</v>
      </c>
      <c r="D568">
        <f>Inputs!E261</f>
        <v>0</v>
      </c>
      <c r="E568" s="76"/>
      <c r="F568"/>
    </row>
    <row r="569" spans="3:40" outlineLevel="4">
      <c r="C569"/>
      <c r="D569" s="266"/>
      <c r="E569" s="76"/>
      <c r="F569"/>
    </row>
    <row r="570" spans="3:40" outlineLevel="4">
      <c r="C570" t="s">
        <v>470</v>
      </c>
      <c r="D570" t="s">
        <v>471</v>
      </c>
      <c r="E570" t="s">
        <v>79</v>
      </c>
      <c r="F570" s="309" t="s">
        <v>472</v>
      </c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</row>
    <row r="571" spans="3:40" outlineLevel="4">
      <c r="C571">
        <f t="array" ref="C571:C604">TRANSPOSE(G566:AN566)</f>
        <v>1</v>
      </c>
      <c r="D571">
        <f>Inputs!$D$261</f>
        <v>0.1</v>
      </c>
      <c r="E571" s="319">
        <f t="array" ref="E571:E604">TRANSPOSE(G558:AN558)</f>
        <v>49.327041674200004</v>
      </c>
      <c r="F571" s="461">
        <f>E571*D568</f>
        <v>0</v>
      </c>
      <c r="G571" s="319">
        <f>IF(G$566&gt;=$C571,MIN(-(SUM(F571:$F571)-$E571),($E571*(1-$D$568))*$D571),0)*G$564</f>
        <v>4.9327041674200007</v>
      </c>
      <c r="H571" s="319">
        <f>IF(H$566&gt;=$C571,MIN(-(SUM($F571:G571)-$E571),($E571*(1-$D$568))*$D571),0)*H$564</f>
        <v>4.9327041674200007</v>
      </c>
      <c r="I571" s="319">
        <f>IF(I$566&gt;=$C571,MIN(-(SUM($F571:H571)-$E571),($E571*(1-$D$568))*$D571),0)*I$564</f>
        <v>4.9327041674200007</v>
      </c>
      <c r="J571" s="319">
        <f>IF(J$566&gt;=$C571,MIN(-(SUM($F571:I571)-$E571),($E571*(1-$D$568))*$D571),0)*J$564</f>
        <v>4.9327041674200007</v>
      </c>
      <c r="K571" s="319">
        <f>IF(K$566&gt;=$C571,MIN(-(SUM($F571:J571)-$E571),($E571*(1-$D$568))*$D571),0)*K$564</f>
        <v>4.9327041674200007</v>
      </c>
      <c r="L571" s="319">
        <f>IF(L$566&gt;=$C571,MIN(-(SUM($F571:K571)-$E571),($E571*(1-$D$568))*$D571),0)*L$564</f>
        <v>4.9327041674200007</v>
      </c>
      <c r="M571" s="319">
        <f>IF(M$566&gt;=$C571,MIN(-(SUM($F571:L571)-$E571),($E571*(1-$D$568))*$D571),0)*M$564</f>
        <v>4.9327041674200007</v>
      </c>
      <c r="N571" s="319">
        <f>IF(N$566&gt;=$C571,MIN(-(SUM($F571:M571)-$E571),($E571*(1-$D$568))*$D571),0)*N$564</f>
        <v>4.9327041674200007</v>
      </c>
      <c r="O571" s="319">
        <f>IF(O$566&gt;=$C571,MIN(-(SUM($F571:N571)-$E571),($E571*(1-$D$568))*$D571),0)*O$564</f>
        <v>4.9327041674200007</v>
      </c>
      <c r="P571" s="319">
        <f>IF(P$566&gt;=$C571,MIN(-(SUM($F571:O571)-$E571),($E571*(1-$D$568))*$D571),0)*P$564</f>
        <v>4.9327041674200007</v>
      </c>
      <c r="Q571" s="319">
        <f>IF(Q$566&gt;=$C571,MIN(-(SUM($F571:P571)-$E571),($E571*(1-$D$568))*$D571),0)*Q$564</f>
        <v>7.1054273576010019E-15</v>
      </c>
      <c r="R571" s="319">
        <f>IF(R$566&gt;=$C571,MIN(-(SUM($F571:Q571)-$E571),($E571*(1-$D$568))*$D571),0)*R$564</f>
        <v>0</v>
      </c>
      <c r="S571" s="319">
        <f>IF(S$566&gt;=$C571,MIN(-(SUM($F571:R571)-$E571),($E571*(1-$D$568))*$D571),0)*S$564</f>
        <v>0</v>
      </c>
      <c r="T571" s="319">
        <f>IF(T$566&gt;=$C571,MIN(-(SUM($F571:S571)-$E571),($E571*(1-$D$568))*$D571),0)*T$564</f>
        <v>0</v>
      </c>
      <c r="U571" s="319">
        <f>IF(U$566&gt;=$C571,MIN(-(SUM($F571:T571)-$E571),($E571*(1-$D$568))*$D571),0)*U$564</f>
        <v>0</v>
      </c>
      <c r="V571" s="319">
        <f>IF(V$566&gt;=$C571,MIN(-(SUM($F571:U571)-$E571),($E571*(1-$D$568))*$D571),0)*V$564</f>
        <v>0</v>
      </c>
      <c r="W571" s="319">
        <f>IF(W$566&gt;=$C571,MIN(-(SUM($F571:V571)-$E571),($E571*(1-$D$568))*$D571),0)*W$564</f>
        <v>0</v>
      </c>
      <c r="X571" s="319">
        <f>IF(X$566&gt;=$C571,MIN(-(SUM($F571:W571)-$E571),($E571*(1-$D$568))*$D571),0)*X$564</f>
        <v>0</v>
      </c>
      <c r="Y571" s="319">
        <f>IF(Y$566&gt;=$C571,MIN(-(SUM($F571:X571)-$E571),($E571*(1-$D$568))*$D571),0)*Y$564</f>
        <v>0</v>
      </c>
      <c r="Z571" s="319">
        <f>IF(Z$566&gt;=$C571,MIN(-(SUM($F571:Y571)-$E571),($E571*(1-$D$568))*$D571),0)*Z$564</f>
        <v>0</v>
      </c>
      <c r="AA571" s="319">
        <f>IF(AA$566&gt;=$C571,MIN(-(SUM($F571:Z571)-$E571),($E571*(1-$D$568))*$D571),0)*AA$564</f>
        <v>0</v>
      </c>
      <c r="AB571" s="319">
        <f>IF(AB$566&gt;=$C571,MIN(-(SUM($F571:AA571)-$E571),($E571*(1-$D$568))*$D571),0)*AB$564</f>
        <v>0</v>
      </c>
      <c r="AC571" s="319">
        <f>IF(AC$566&gt;=$C571,MIN(-(SUM($F571:AB571)-$E571),($E571*(1-$D$568))*$D571),0)*AC$564</f>
        <v>0</v>
      </c>
      <c r="AD571" s="319">
        <f>IF(AD$566&gt;=$C571,MIN(-(SUM($F571:AC571)-$E571),($E571*(1-$D$568))*$D571),0)*AD$564</f>
        <v>0</v>
      </c>
      <c r="AE571" s="319">
        <f>IF(AE$566&gt;=$C571,MIN(-(SUM($F571:AD571)-$E571),($E571*(1-$D$568))*$D571),0)*AE$564</f>
        <v>0</v>
      </c>
      <c r="AF571" s="319">
        <f>IF(AF$566&gt;=$C571,MIN(-(SUM($F571:AE571)-$E571),($E571*(1-$D$568))*$D571),0)*AF$564</f>
        <v>0</v>
      </c>
      <c r="AG571" s="319">
        <f>IF(AG$566&gt;=$C571,MIN(-(SUM($F571:AF571)-$E571),($E571*(1-$D$568))*$D571),0)*AG$564</f>
        <v>0</v>
      </c>
      <c r="AH571" s="319">
        <f>IF(AH$566&gt;=$C571,MIN(-(SUM($F571:AG571)-$E571),($E571*(1-$D$568))*$D571),0)*AH$564</f>
        <v>0</v>
      </c>
      <c r="AI571" s="319">
        <f>IF(AI$566&gt;=$C571,MIN(-(SUM($F571:AH571)-$E571),($E571*(1-$D$568))*$D571),0)*AI$564</f>
        <v>0</v>
      </c>
      <c r="AJ571" s="319">
        <f>IF(AJ$566&gt;=$C571,MIN(-(SUM($F571:AI571)-$E571),($E571*(1-$D$568))*$D571),0)*AJ$564</f>
        <v>0</v>
      </c>
      <c r="AK571" s="319">
        <f>IF(AK$566&gt;=$C571,MIN(-(SUM($F571:AJ571)-$E571),($E571*(1-$D$568))*$D571),0)*AK$564</f>
        <v>0</v>
      </c>
      <c r="AL571" s="319">
        <f>IF(AL$566&gt;=$C571,MIN(-(SUM($F571:AK571)-$E571),($E571*(1-$D$568))*$D571),0)*AL$564</f>
        <v>0</v>
      </c>
      <c r="AM571" s="319">
        <f>IF(AM$566&gt;=$C571,MIN(-(SUM($F571:AL571)-$E571),($E571*(1-$D$568))*$D571),0)*AM$564</f>
        <v>0</v>
      </c>
      <c r="AN571" s="319">
        <f>IF(AN$566&gt;=$C571,MIN(-(SUM($F571:AM571)-$E571),($E571*(1-$D$568))*$D571),0)*AN$564</f>
        <v>0</v>
      </c>
    </row>
    <row r="572" spans="3:40" outlineLevel="4">
      <c r="C572">
        <v>2</v>
      </c>
      <c r="D572">
        <f>Inputs!$D$261</f>
        <v>0.1</v>
      </c>
      <c r="E572" s="319">
        <v>92.115191674200005</v>
      </c>
      <c r="F572" s="461">
        <f>E572*D568</f>
        <v>0</v>
      </c>
      <c r="G572" s="319">
        <f>IF(G$566&gt;=$C572,MIN(-(SUM(F572:$F572)-$E572),($E572*(1-$D$568))*$D572),0)*G$564</f>
        <v>0</v>
      </c>
      <c r="H572" s="319">
        <f>IF(H$566&gt;=$C572,MIN(-(SUM($F572:G572)-$E572),($E572*(1-$D$568))*$D572),0)*H$564</f>
        <v>9.2115191674200005</v>
      </c>
      <c r="I572" s="319">
        <f>IF(I$566&gt;=$C572,MIN(-(SUM($F572:H572)-$E572),($E572*(1-$D$568))*$D572),0)*I$564</f>
        <v>9.2115191674200005</v>
      </c>
      <c r="J572" s="319">
        <f>IF(J$566&gt;=$C572,MIN(-(SUM($F572:I572)-$E572),($E572*(1-$D$568))*$D572),0)*J$564</f>
        <v>9.2115191674200005</v>
      </c>
      <c r="K572" s="319">
        <f>IF(K$566&gt;=$C572,MIN(-(SUM($F572:J572)-$E572),($E572*(1-$D$568))*$D572),0)*K$564</f>
        <v>9.2115191674200005</v>
      </c>
      <c r="L572" s="319">
        <f>IF(L$566&gt;=$C572,MIN(-(SUM($F572:K572)-$E572),($E572*(1-$D$568))*$D572),0)*L$564</f>
        <v>9.2115191674200005</v>
      </c>
      <c r="M572" s="319">
        <f>IF(M$566&gt;=$C572,MIN(-(SUM($F572:L572)-$E572),($E572*(1-$D$568))*$D572),0)*M$564</f>
        <v>9.2115191674200005</v>
      </c>
      <c r="N572" s="319">
        <f>IF(N$566&gt;=$C572,MIN(-(SUM($F572:M572)-$E572),($E572*(1-$D$568))*$D572),0)*N$564</f>
        <v>9.2115191674200005</v>
      </c>
      <c r="O572" s="319">
        <f>IF(O$566&gt;=$C572,MIN(-(SUM($F572:N572)-$E572),($E572*(1-$D$568))*$D572),0)*O$564</f>
        <v>9.2115191674200005</v>
      </c>
      <c r="P572" s="319">
        <f>IF(P$566&gt;=$C572,MIN(-(SUM($F572:O572)-$E572),($E572*(1-$D$568))*$D572),0)*P$564</f>
        <v>9.2115191674200005</v>
      </c>
      <c r="Q572" s="319">
        <f>IF(Q$566&gt;=$C572,MIN(-(SUM($F572:P572)-$E572),($E572*(1-$D$568))*$D572),0)*Q$564</f>
        <v>9.2115191674200005</v>
      </c>
      <c r="R572" s="319">
        <f>IF(R$566&gt;=$C572,MIN(-(SUM($F572:Q572)-$E572),($E572*(1-$D$568))*$D572),0)*R$564</f>
        <v>1.4210854715202004E-14</v>
      </c>
      <c r="S572" s="319">
        <f>IF(S$566&gt;=$C572,MIN(-(SUM($F572:R572)-$E572),($E572*(1-$D$568))*$D572),0)*S$564</f>
        <v>0</v>
      </c>
      <c r="T572" s="319">
        <f>IF(T$566&gt;=$C572,MIN(-(SUM($F572:S572)-$E572),($E572*(1-$D$568))*$D572),0)*T$564</f>
        <v>0</v>
      </c>
      <c r="U572" s="319">
        <f>IF(U$566&gt;=$C572,MIN(-(SUM($F572:T572)-$E572),($E572*(1-$D$568))*$D572),0)*U$564</f>
        <v>0</v>
      </c>
      <c r="V572" s="319">
        <f>IF(V$566&gt;=$C572,MIN(-(SUM($F572:U572)-$E572),($E572*(1-$D$568))*$D572),0)*V$564</f>
        <v>0</v>
      </c>
      <c r="W572" s="319">
        <f>IF(W$566&gt;=$C572,MIN(-(SUM($F572:V572)-$E572),($E572*(1-$D$568))*$D572),0)*W$564</f>
        <v>0</v>
      </c>
      <c r="X572" s="319">
        <f>IF(X$566&gt;=$C572,MIN(-(SUM($F572:W572)-$E572),($E572*(1-$D$568))*$D572),0)*X$564</f>
        <v>0</v>
      </c>
      <c r="Y572" s="319">
        <f>IF(Y$566&gt;=$C572,MIN(-(SUM($F572:X572)-$E572),($E572*(1-$D$568))*$D572),0)*Y$564</f>
        <v>0</v>
      </c>
      <c r="Z572" s="319">
        <f>IF(Z$566&gt;=$C572,MIN(-(SUM($F572:Y572)-$E572),($E572*(1-$D$568))*$D572),0)*Z$564</f>
        <v>0</v>
      </c>
      <c r="AA572" s="319">
        <f>IF(AA$566&gt;=$C572,MIN(-(SUM($F572:Z572)-$E572),($E572*(1-$D$568))*$D572),0)*AA$564</f>
        <v>0</v>
      </c>
      <c r="AB572" s="319">
        <f>IF(AB$566&gt;=$C572,MIN(-(SUM($F572:AA572)-$E572),($E572*(1-$D$568))*$D572),0)*AB$564</f>
        <v>0</v>
      </c>
      <c r="AC572" s="319">
        <f>IF(AC$566&gt;=$C572,MIN(-(SUM($F572:AB572)-$E572),($E572*(1-$D$568))*$D572),0)*AC$564</f>
        <v>0</v>
      </c>
      <c r="AD572" s="319">
        <f>IF(AD$566&gt;=$C572,MIN(-(SUM($F572:AC572)-$E572),($E572*(1-$D$568))*$D572),0)*AD$564</f>
        <v>0</v>
      </c>
      <c r="AE572" s="319">
        <f>IF(AE$566&gt;=$C572,MIN(-(SUM($F572:AD572)-$E572),($E572*(1-$D$568))*$D572),0)*AE$564</f>
        <v>0</v>
      </c>
      <c r="AF572" s="319">
        <f>IF(AF$566&gt;=$C572,MIN(-(SUM($F572:AE572)-$E572),($E572*(1-$D$568))*$D572),0)*AF$564</f>
        <v>0</v>
      </c>
      <c r="AG572" s="319">
        <f>IF(AG$566&gt;=$C572,MIN(-(SUM($F572:AF572)-$E572),($E572*(1-$D$568))*$D572),0)*AG$564</f>
        <v>0</v>
      </c>
      <c r="AH572" s="319">
        <f>IF(AH$566&gt;=$C572,MIN(-(SUM($F572:AG572)-$E572),($E572*(1-$D$568))*$D572),0)*AH$564</f>
        <v>0</v>
      </c>
      <c r="AI572" s="319">
        <f>IF(AI$566&gt;=$C572,MIN(-(SUM($F572:AH572)-$E572),($E572*(1-$D$568))*$D572),0)*AI$564</f>
        <v>0</v>
      </c>
      <c r="AJ572" s="319">
        <f>IF(AJ$566&gt;=$C572,MIN(-(SUM($F572:AI572)-$E572),($E572*(1-$D$568))*$D572),0)*AJ$564</f>
        <v>0</v>
      </c>
      <c r="AK572" s="319">
        <f>IF(AK$566&gt;=$C572,MIN(-(SUM($F572:AJ572)-$E572),($E572*(1-$D$568))*$D572),0)*AK$564</f>
        <v>0</v>
      </c>
      <c r="AL572" s="319">
        <f>IF(AL$566&gt;=$C572,MIN(-(SUM($F572:AK572)-$E572),($E572*(1-$D$568))*$D572),0)*AL$564</f>
        <v>0</v>
      </c>
      <c r="AM572" s="319">
        <f>IF(AM$566&gt;=$C572,MIN(-(SUM($F572:AL572)-$E572),($E572*(1-$D$568))*$D572),0)*AM$564</f>
        <v>0</v>
      </c>
      <c r="AN572" s="319">
        <f>IF(AN$566&gt;=$C572,MIN(-(SUM($F572:AM572)-$E572),($E572*(1-$D$568))*$D572),0)*AN$564</f>
        <v>0</v>
      </c>
    </row>
    <row r="573" spans="3:40" outlineLevel="4">
      <c r="C573">
        <v>3</v>
      </c>
      <c r="D573">
        <f>Inputs!$D$261</f>
        <v>0.1</v>
      </c>
      <c r="E573" s="319">
        <v>46.169541674200005</v>
      </c>
      <c r="F573" s="461">
        <f>E573*D568</f>
        <v>0</v>
      </c>
      <c r="G573" s="319">
        <f>IF(G$566&gt;=$C573,MIN(-(SUM(F573:$F573)-$E573),($E573*(1-$D$568))*$D573),0)*G$564</f>
        <v>0</v>
      </c>
      <c r="H573" s="319">
        <f>IF(H$566&gt;=$C573,MIN(-(SUM($F573:G573)-$E573),($E573*(1-$D$568))*$D573),0)*H$564</f>
        <v>0</v>
      </c>
      <c r="I573" s="319">
        <f>IF(I$566&gt;=$C573,MIN(-(SUM($F573:H573)-$E573),($E573*(1-$D$568))*$D573),0)*I$564</f>
        <v>4.6169541674200003</v>
      </c>
      <c r="J573" s="319">
        <f>IF(J$566&gt;=$C573,MIN(-(SUM($F573:I573)-$E573),($E573*(1-$D$568))*$D573),0)*J$564</f>
        <v>4.6169541674200003</v>
      </c>
      <c r="K573" s="319">
        <f>IF(K$566&gt;=$C573,MIN(-(SUM($F573:J573)-$E573),($E573*(1-$D$568))*$D573),0)*K$564</f>
        <v>4.6169541674200003</v>
      </c>
      <c r="L573" s="319">
        <f>IF(L$566&gt;=$C573,MIN(-(SUM($F573:K573)-$E573),($E573*(1-$D$568))*$D573),0)*L$564</f>
        <v>4.6169541674200003</v>
      </c>
      <c r="M573" s="319">
        <f>IF(M$566&gt;=$C573,MIN(-(SUM($F573:L573)-$E573),($E573*(1-$D$568))*$D573),0)*M$564</f>
        <v>4.6169541674200003</v>
      </c>
      <c r="N573" s="319">
        <f>IF(N$566&gt;=$C573,MIN(-(SUM($F573:M573)-$E573),($E573*(1-$D$568))*$D573),0)*N$564</f>
        <v>4.6169541674200003</v>
      </c>
      <c r="O573" s="319">
        <f>IF(O$566&gt;=$C573,MIN(-(SUM($F573:N573)-$E573),($E573*(1-$D$568))*$D573),0)*O$564</f>
        <v>4.6169541674200003</v>
      </c>
      <c r="P573" s="319">
        <f>IF(P$566&gt;=$C573,MIN(-(SUM($F573:O573)-$E573),($E573*(1-$D$568))*$D573),0)*P$564</f>
        <v>4.6169541674200003</v>
      </c>
      <c r="Q573" s="319">
        <f>IF(Q$566&gt;=$C573,MIN(-(SUM($F573:P573)-$E573),($E573*(1-$D$568))*$D573),0)*Q$564</f>
        <v>4.6169541674200003</v>
      </c>
      <c r="R573" s="319">
        <f>IF(R$566&gt;=$C573,MIN(-(SUM($F573:Q573)-$E573),($E573*(1-$D$568))*$D573),0)*R$564</f>
        <v>4.6169541674200003</v>
      </c>
      <c r="S573" s="319">
        <f>IF(S$566&gt;=$C573,MIN(-(SUM($F573:R573)-$E573),($E573*(1-$D$568))*$D573),0)*S$564</f>
        <v>7.1054273576010019E-15</v>
      </c>
      <c r="T573" s="319">
        <f>IF(T$566&gt;=$C573,MIN(-(SUM($F573:S573)-$E573),($E573*(1-$D$568))*$D573),0)*T$564</f>
        <v>0</v>
      </c>
      <c r="U573" s="319">
        <f>IF(U$566&gt;=$C573,MIN(-(SUM($F573:T573)-$E573),($E573*(1-$D$568))*$D573),0)*U$564</f>
        <v>0</v>
      </c>
      <c r="V573" s="319">
        <f>IF(V$566&gt;=$C573,MIN(-(SUM($F573:U573)-$E573),($E573*(1-$D$568))*$D573),0)*V$564</f>
        <v>0</v>
      </c>
      <c r="W573" s="319">
        <f>IF(W$566&gt;=$C573,MIN(-(SUM($F573:V573)-$E573),($E573*(1-$D$568))*$D573),0)*W$564</f>
        <v>0</v>
      </c>
      <c r="X573" s="319">
        <f>IF(X$566&gt;=$C573,MIN(-(SUM($F573:W573)-$E573),($E573*(1-$D$568))*$D573),0)*X$564</f>
        <v>0</v>
      </c>
      <c r="Y573" s="319">
        <f>IF(Y$566&gt;=$C573,MIN(-(SUM($F573:X573)-$E573),($E573*(1-$D$568))*$D573),0)*Y$564</f>
        <v>0</v>
      </c>
      <c r="Z573" s="319">
        <f>IF(Z$566&gt;=$C573,MIN(-(SUM($F573:Y573)-$E573),($E573*(1-$D$568))*$D573),0)*Z$564</f>
        <v>0</v>
      </c>
      <c r="AA573" s="319">
        <f>IF(AA$566&gt;=$C573,MIN(-(SUM($F573:Z573)-$E573),($E573*(1-$D$568))*$D573),0)*AA$564</f>
        <v>0</v>
      </c>
      <c r="AB573" s="319">
        <f>IF(AB$566&gt;=$C573,MIN(-(SUM($F573:AA573)-$E573),($E573*(1-$D$568))*$D573),0)*AB$564</f>
        <v>0</v>
      </c>
      <c r="AC573" s="319">
        <f>IF(AC$566&gt;=$C573,MIN(-(SUM($F573:AB573)-$E573),($E573*(1-$D$568))*$D573),0)*AC$564</f>
        <v>0</v>
      </c>
      <c r="AD573" s="319">
        <f>IF(AD$566&gt;=$C573,MIN(-(SUM($F573:AC573)-$E573),($E573*(1-$D$568))*$D573),0)*AD$564</f>
        <v>0</v>
      </c>
      <c r="AE573" s="319">
        <f>IF(AE$566&gt;=$C573,MIN(-(SUM($F573:AD573)-$E573),($E573*(1-$D$568))*$D573),0)*AE$564</f>
        <v>0</v>
      </c>
      <c r="AF573" s="319">
        <f>IF(AF$566&gt;=$C573,MIN(-(SUM($F573:AE573)-$E573),($E573*(1-$D$568))*$D573),0)*AF$564</f>
        <v>0</v>
      </c>
      <c r="AG573" s="319">
        <f>IF(AG$566&gt;=$C573,MIN(-(SUM($F573:AF573)-$E573),($E573*(1-$D$568))*$D573),0)*AG$564</f>
        <v>0</v>
      </c>
      <c r="AH573" s="319">
        <f>IF(AH$566&gt;=$C573,MIN(-(SUM($F573:AG573)-$E573),($E573*(1-$D$568))*$D573),0)*AH$564</f>
        <v>0</v>
      </c>
      <c r="AI573" s="319">
        <f>IF(AI$566&gt;=$C573,MIN(-(SUM($F573:AH573)-$E573),($E573*(1-$D$568))*$D573),0)*AI$564</f>
        <v>0</v>
      </c>
      <c r="AJ573" s="319">
        <f>IF(AJ$566&gt;=$C573,MIN(-(SUM($F573:AI573)-$E573),($E573*(1-$D$568))*$D573),0)*AJ$564</f>
        <v>0</v>
      </c>
      <c r="AK573" s="319">
        <f>IF(AK$566&gt;=$C573,MIN(-(SUM($F573:AJ573)-$E573),($E573*(1-$D$568))*$D573),0)*AK$564</f>
        <v>0</v>
      </c>
      <c r="AL573" s="319">
        <f>IF(AL$566&gt;=$C573,MIN(-(SUM($F573:AK573)-$E573),($E573*(1-$D$568))*$D573),0)*AL$564</f>
        <v>0</v>
      </c>
      <c r="AM573" s="319">
        <f>IF(AM$566&gt;=$C573,MIN(-(SUM($F573:AL573)-$E573),($E573*(1-$D$568))*$D573),0)*AM$564</f>
        <v>0</v>
      </c>
      <c r="AN573" s="319">
        <f>IF(AN$566&gt;=$C573,MIN(-(SUM($F573:AM573)-$E573),($E573*(1-$D$568))*$D573),0)*AN$564</f>
        <v>0</v>
      </c>
    </row>
    <row r="574" spans="3:40" outlineLevel="4">
      <c r="C574">
        <v>4</v>
      </c>
      <c r="D574">
        <f>Inputs!$D$261</f>
        <v>0.1</v>
      </c>
      <c r="E574" s="319">
        <v>49.327041674200004</v>
      </c>
      <c r="F574" s="461">
        <f>E574*D568</f>
        <v>0</v>
      </c>
      <c r="G574" s="319">
        <f>IF(G$566&gt;=$C574,MIN(-(SUM(F574:$F574)-$E574),($E574*(1-$D$568))*$D574),0)*G$564</f>
        <v>0</v>
      </c>
      <c r="H574" s="319">
        <f>IF(H$566&gt;=$C574,MIN(-(SUM($F574:G574)-$E574),($E574*(1-$D$568))*$D574),0)*H$564</f>
        <v>0</v>
      </c>
      <c r="I574" s="319">
        <f>IF(I$566&gt;=$C574,MIN(-(SUM($F574:H574)-$E574),($E574*(1-$D$568))*$D574),0)*I$564</f>
        <v>0</v>
      </c>
      <c r="J574" s="319">
        <f>IF(J$566&gt;=$C574,MIN(-(SUM($F574:I574)-$E574),($E574*(1-$D$568))*$D574),0)*J$564</f>
        <v>4.9327041674200007</v>
      </c>
      <c r="K574" s="319">
        <f>IF(K$566&gt;=$C574,MIN(-(SUM($F574:J574)-$E574),($E574*(1-$D$568))*$D574),0)*K$564</f>
        <v>4.9327041674200007</v>
      </c>
      <c r="L574" s="319">
        <f>IF(L$566&gt;=$C574,MIN(-(SUM($F574:K574)-$E574),($E574*(1-$D$568))*$D574),0)*L$564</f>
        <v>4.9327041674200007</v>
      </c>
      <c r="M574" s="319">
        <f>IF(M$566&gt;=$C574,MIN(-(SUM($F574:L574)-$E574),($E574*(1-$D$568))*$D574),0)*M$564</f>
        <v>4.9327041674200007</v>
      </c>
      <c r="N574" s="319">
        <f>IF(N$566&gt;=$C574,MIN(-(SUM($F574:M574)-$E574),($E574*(1-$D$568))*$D574),0)*N$564</f>
        <v>4.9327041674200007</v>
      </c>
      <c r="O574" s="319">
        <f>IF(O$566&gt;=$C574,MIN(-(SUM($F574:N574)-$E574),($E574*(1-$D$568))*$D574),0)*O$564</f>
        <v>4.9327041674200007</v>
      </c>
      <c r="P574" s="319">
        <f>IF(P$566&gt;=$C574,MIN(-(SUM($F574:O574)-$E574),($E574*(1-$D$568))*$D574),0)*P$564</f>
        <v>4.9327041674200007</v>
      </c>
      <c r="Q574" s="319">
        <f>IF(Q$566&gt;=$C574,MIN(-(SUM($F574:P574)-$E574),($E574*(1-$D$568))*$D574),0)*Q$564</f>
        <v>4.9327041674200007</v>
      </c>
      <c r="R574" s="319">
        <f>IF(R$566&gt;=$C574,MIN(-(SUM($F574:Q574)-$E574),($E574*(1-$D$568))*$D574),0)*R$564</f>
        <v>4.9327041674200007</v>
      </c>
      <c r="S574" s="319">
        <f>IF(S$566&gt;=$C574,MIN(-(SUM($F574:R574)-$E574),($E574*(1-$D$568))*$D574),0)*S$564</f>
        <v>4.9327041674200007</v>
      </c>
      <c r="T574" s="319">
        <f>IF(T$566&gt;=$C574,MIN(-(SUM($F574:S574)-$E574),($E574*(1-$D$568))*$D574),0)*T$564</f>
        <v>7.1054273576010019E-15</v>
      </c>
      <c r="U574" s="319">
        <f>IF(U$566&gt;=$C574,MIN(-(SUM($F574:T574)-$E574),($E574*(1-$D$568))*$D574),0)*U$564</f>
        <v>0</v>
      </c>
      <c r="V574" s="319">
        <f>IF(V$566&gt;=$C574,MIN(-(SUM($F574:U574)-$E574),($E574*(1-$D$568))*$D574),0)*V$564</f>
        <v>0</v>
      </c>
      <c r="W574" s="319">
        <f>IF(W$566&gt;=$C574,MIN(-(SUM($F574:V574)-$E574),($E574*(1-$D$568))*$D574),0)*W$564</f>
        <v>0</v>
      </c>
      <c r="X574" s="319">
        <f>IF(X$566&gt;=$C574,MIN(-(SUM($F574:W574)-$E574),($E574*(1-$D$568))*$D574),0)*X$564</f>
        <v>0</v>
      </c>
      <c r="Y574" s="319">
        <f>IF(Y$566&gt;=$C574,MIN(-(SUM($F574:X574)-$E574),($E574*(1-$D$568))*$D574),0)*Y$564</f>
        <v>0</v>
      </c>
      <c r="Z574" s="319">
        <f>IF(Z$566&gt;=$C574,MIN(-(SUM($F574:Y574)-$E574),($E574*(1-$D$568))*$D574),0)*Z$564</f>
        <v>0</v>
      </c>
      <c r="AA574" s="319">
        <f>IF(AA$566&gt;=$C574,MIN(-(SUM($F574:Z574)-$E574),($E574*(1-$D$568))*$D574),0)*AA$564</f>
        <v>0</v>
      </c>
      <c r="AB574" s="319">
        <f>IF(AB$566&gt;=$C574,MIN(-(SUM($F574:AA574)-$E574),($E574*(1-$D$568))*$D574),0)*AB$564</f>
        <v>0</v>
      </c>
      <c r="AC574" s="319">
        <f>IF(AC$566&gt;=$C574,MIN(-(SUM($F574:AB574)-$E574),($E574*(1-$D$568))*$D574),0)*AC$564</f>
        <v>0</v>
      </c>
      <c r="AD574" s="319">
        <f>IF(AD$566&gt;=$C574,MIN(-(SUM($F574:AC574)-$E574),($E574*(1-$D$568))*$D574),0)*AD$564</f>
        <v>0</v>
      </c>
      <c r="AE574" s="319">
        <f>IF(AE$566&gt;=$C574,MIN(-(SUM($F574:AD574)-$E574),($E574*(1-$D$568))*$D574),0)*AE$564</f>
        <v>0</v>
      </c>
      <c r="AF574" s="319">
        <f>IF(AF$566&gt;=$C574,MIN(-(SUM($F574:AE574)-$E574),($E574*(1-$D$568))*$D574),0)*AF$564</f>
        <v>0</v>
      </c>
      <c r="AG574" s="319">
        <f>IF(AG$566&gt;=$C574,MIN(-(SUM($F574:AF574)-$E574),($E574*(1-$D$568))*$D574),0)*AG$564</f>
        <v>0</v>
      </c>
      <c r="AH574" s="319">
        <f>IF(AH$566&gt;=$C574,MIN(-(SUM($F574:AG574)-$E574),($E574*(1-$D$568))*$D574),0)*AH$564</f>
        <v>0</v>
      </c>
      <c r="AI574" s="319">
        <f>IF(AI$566&gt;=$C574,MIN(-(SUM($F574:AH574)-$E574),($E574*(1-$D$568))*$D574),0)*AI$564</f>
        <v>0</v>
      </c>
      <c r="AJ574" s="319">
        <f>IF(AJ$566&gt;=$C574,MIN(-(SUM($F574:AI574)-$E574),($E574*(1-$D$568))*$D574),0)*AJ$564</f>
        <v>0</v>
      </c>
      <c r="AK574" s="319">
        <f>IF(AK$566&gt;=$C574,MIN(-(SUM($F574:AJ574)-$E574),($E574*(1-$D$568))*$D574),0)*AK$564</f>
        <v>0</v>
      </c>
      <c r="AL574" s="319">
        <f>IF(AL$566&gt;=$C574,MIN(-(SUM($F574:AK574)-$E574),($E574*(1-$D$568))*$D574),0)*AL$564</f>
        <v>0</v>
      </c>
      <c r="AM574" s="319">
        <f>IF(AM$566&gt;=$C574,MIN(-(SUM($F574:AL574)-$E574),($E574*(1-$D$568))*$D574),0)*AM$564</f>
        <v>0</v>
      </c>
      <c r="AN574" s="319">
        <f>IF(AN$566&gt;=$C574,MIN(-(SUM($F574:AM574)-$E574),($E574*(1-$D$568))*$D574),0)*AN$564</f>
        <v>0</v>
      </c>
    </row>
    <row r="575" spans="3:40" outlineLevel="4">
      <c r="C575">
        <v>5</v>
      </c>
      <c r="D575">
        <f>Inputs!$D$261</f>
        <v>0.1</v>
      </c>
      <c r="E575" s="319">
        <v>49.327041674200004</v>
      </c>
      <c r="F575" s="461">
        <f>E575*D568</f>
        <v>0</v>
      </c>
      <c r="G575" s="319">
        <f>IF(G$566&gt;=$C575,MIN(-(SUM(F575:$F575)-$E575),($E575*(1-$D$568))*$D575),0)*G$564</f>
        <v>0</v>
      </c>
      <c r="H575" s="319">
        <f>IF(H$566&gt;=$C575,MIN(-(SUM($F575:G575)-$E575),($E575*(1-$D$568))*$D575),0)*H$564</f>
        <v>0</v>
      </c>
      <c r="I575" s="319">
        <f>IF(I$566&gt;=$C575,MIN(-(SUM($F575:H575)-$E575),($E575*(1-$D$568))*$D575),0)*I$564</f>
        <v>0</v>
      </c>
      <c r="J575" s="319">
        <f>IF(J$566&gt;=$C575,MIN(-(SUM($F575:I575)-$E575),($E575*(1-$D$568))*$D575),0)*J$564</f>
        <v>0</v>
      </c>
      <c r="K575" s="319">
        <f>IF(K$566&gt;=$C575,MIN(-(SUM($F575:J575)-$E575),($E575*(1-$D$568))*$D575),0)*K$564</f>
        <v>4.9327041674200007</v>
      </c>
      <c r="L575" s="319">
        <f>IF(L$566&gt;=$C575,MIN(-(SUM($F575:K575)-$E575),($E575*(1-$D$568))*$D575),0)*L$564</f>
        <v>4.9327041674200007</v>
      </c>
      <c r="M575" s="319">
        <f>IF(M$566&gt;=$C575,MIN(-(SUM($F575:L575)-$E575),($E575*(1-$D$568))*$D575),0)*M$564</f>
        <v>4.9327041674200007</v>
      </c>
      <c r="N575" s="319">
        <f>IF(N$566&gt;=$C575,MIN(-(SUM($F575:M575)-$E575),($E575*(1-$D$568))*$D575),0)*N$564</f>
        <v>4.9327041674200007</v>
      </c>
      <c r="O575" s="319">
        <f>IF(O$566&gt;=$C575,MIN(-(SUM($F575:N575)-$E575),($E575*(1-$D$568))*$D575),0)*O$564</f>
        <v>4.9327041674200007</v>
      </c>
      <c r="P575" s="319">
        <f>IF(P$566&gt;=$C575,MIN(-(SUM($F575:O575)-$E575),($E575*(1-$D$568))*$D575),0)*P$564</f>
        <v>4.9327041674200007</v>
      </c>
      <c r="Q575" s="319">
        <f>IF(Q$566&gt;=$C575,MIN(-(SUM($F575:P575)-$E575),($E575*(1-$D$568))*$D575),0)*Q$564</f>
        <v>4.9327041674200007</v>
      </c>
      <c r="R575" s="319">
        <f>IF(R$566&gt;=$C575,MIN(-(SUM($F575:Q575)-$E575),($E575*(1-$D$568))*$D575),0)*R$564</f>
        <v>4.9327041674200007</v>
      </c>
      <c r="S575" s="319">
        <f>IF(S$566&gt;=$C575,MIN(-(SUM($F575:R575)-$E575),($E575*(1-$D$568))*$D575),0)*S$564</f>
        <v>4.9327041674200007</v>
      </c>
      <c r="T575" s="319">
        <f>IF(T$566&gt;=$C575,MIN(-(SUM($F575:S575)-$E575),($E575*(1-$D$568))*$D575),0)*T$564</f>
        <v>4.9327041674200007</v>
      </c>
      <c r="U575" s="319">
        <f>IF(U$566&gt;=$C575,MIN(-(SUM($F575:T575)-$E575),($E575*(1-$D$568))*$D575),0)*U$564</f>
        <v>7.1054273576010019E-15</v>
      </c>
      <c r="V575" s="319">
        <f>IF(V$566&gt;=$C575,MIN(-(SUM($F575:U575)-$E575),($E575*(1-$D$568))*$D575),0)*V$564</f>
        <v>0</v>
      </c>
      <c r="W575" s="319">
        <f>IF(W$566&gt;=$C575,MIN(-(SUM($F575:V575)-$E575),($E575*(1-$D$568))*$D575),0)*W$564</f>
        <v>0</v>
      </c>
      <c r="X575" s="319">
        <f>IF(X$566&gt;=$C575,MIN(-(SUM($F575:W575)-$E575),($E575*(1-$D$568))*$D575),0)*X$564</f>
        <v>0</v>
      </c>
      <c r="Y575" s="319">
        <f>IF(Y$566&gt;=$C575,MIN(-(SUM($F575:X575)-$E575),($E575*(1-$D$568))*$D575),0)*Y$564</f>
        <v>0</v>
      </c>
      <c r="Z575" s="319">
        <f>IF(Z$566&gt;=$C575,MIN(-(SUM($F575:Y575)-$E575),($E575*(1-$D$568))*$D575),0)*Z$564</f>
        <v>0</v>
      </c>
      <c r="AA575" s="319">
        <f>IF(AA$566&gt;=$C575,MIN(-(SUM($F575:Z575)-$E575),($E575*(1-$D$568))*$D575),0)*AA$564</f>
        <v>0</v>
      </c>
      <c r="AB575" s="319">
        <f>IF(AB$566&gt;=$C575,MIN(-(SUM($F575:AA575)-$E575),($E575*(1-$D$568))*$D575),0)*AB$564</f>
        <v>0</v>
      </c>
      <c r="AC575" s="319">
        <f>IF(AC$566&gt;=$C575,MIN(-(SUM($F575:AB575)-$E575),($E575*(1-$D$568))*$D575),0)*AC$564</f>
        <v>0</v>
      </c>
      <c r="AD575" s="319">
        <f>IF(AD$566&gt;=$C575,MIN(-(SUM($F575:AC575)-$E575),($E575*(1-$D$568))*$D575),0)*AD$564</f>
        <v>0</v>
      </c>
      <c r="AE575" s="319">
        <f>IF(AE$566&gt;=$C575,MIN(-(SUM($F575:AD575)-$E575),($E575*(1-$D$568))*$D575),0)*AE$564</f>
        <v>0</v>
      </c>
      <c r="AF575" s="319">
        <f>IF(AF$566&gt;=$C575,MIN(-(SUM($F575:AE575)-$E575),($E575*(1-$D$568))*$D575),0)*AF$564</f>
        <v>0</v>
      </c>
      <c r="AG575" s="319">
        <f>IF(AG$566&gt;=$C575,MIN(-(SUM($F575:AF575)-$E575),($E575*(1-$D$568))*$D575),0)*AG$564</f>
        <v>0</v>
      </c>
      <c r="AH575" s="319">
        <f>IF(AH$566&gt;=$C575,MIN(-(SUM($F575:AG575)-$E575),($E575*(1-$D$568))*$D575),0)*AH$564</f>
        <v>0</v>
      </c>
      <c r="AI575" s="319">
        <f>IF(AI$566&gt;=$C575,MIN(-(SUM($F575:AH575)-$E575),($E575*(1-$D$568))*$D575),0)*AI$564</f>
        <v>0</v>
      </c>
      <c r="AJ575" s="319">
        <f>IF(AJ$566&gt;=$C575,MIN(-(SUM($F575:AI575)-$E575),($E575*(1-$D$568))*$D575),0)*AJ$564</f>
        <v>0</v>
      </c>
      <c r="AK575" s="319">
        <f>IF(AK$566&gt;=$C575,MIN(-(SUM($F575:AJ575)-$E575),($E575*(1-$D$568))*$D575),0)*AK$564</f>
        <v>0</v>
      </c>
      <c r="AL575" s="319">
        <f>IF(AL$566&gt;=$C575,MIN(-(SUM($F575:AK575)-$E575),($E575*(1-$D$568))*$D575),0)*AL$564</f>
        <v>0</v>
      </c>
      <c r="AM575" s="319">
        <f>IF(AM$566&gt;=$C575,MIN(-(SUM($F575:AL575)-$E575),($E575*(1-$D$568))*$D575),0)*AM$564</f>
        <v>0</v>
      </c>
      <c r="AN575" s="319">
        <f>IF(AN$566&gt;=$C575,MIN(-(SUM($F575:AM575)-$E575),($E575*(1-$D$568))*$D575),0)*AN$564</f>
        <v>0</v>
      </c>
    </row>
    <row r="576" spans="3:40" outlineLevel="4">
      <c r="C576">
        <v>6</v>
      </c>
      <c r="D576">
        <f>Inputs!$D$261</f>
        <v>0.1</v>
      </c>
      <c r="E576" s="319">
        <v>43.466611710199999</v>
      </c>
      <c r="F576" s="461">
        <f>E576*D568</f>
        <v>0</v>
      </c>
      <c r="G576" s="319">
        <f>IF(G$566&gt;=$C576,MIN(-(SUM(F576:$F576)-$E576),($E576*(1-$D$568))*$D576),0)*G$564</f>
        <v>0</v>
      </c>
      <c r="H576" s="319">
        <f>IF(H$566&gt;=$C576,MIN(-(SUM($F576:G576)-$E576),($E576*(1-$D$568))*$D576),0)*H$564</f>
        <v>0</v>
      </c>
      <c r="I576" s="319">
        <f>IF(I$566&gt;=$C576,MIN(-(SUM($F576:H576)-$E576),($E576*(1-$D$568))*$D576),0)*I$564</f>
        <v>0</v>
      </c>
      <c r="J576" s="319">
        <f>IF(J$566&gt;=$C576,MIN(-(SUM($F576:I576)-$E576),($E576*(1-$D$568))*$D576),0)*J$564</f>
        <v>0</v>
      </c>
      <c r="K576" s="319">
        <f>IF(K$566&gt;=$C576,MIN(-(SUM($F576:J576)-$E576),($E576*(1-$D$568))*$D576),0)*K$564</f>
        <v>0</v>
      </c>
      <c r="L576" s="319">
        <f>IF(L$566&gt;=$C576,MIN(-(SUM($F576:K576)-$E576),($E576*(1-$D$568))*$D576),0)*L$564</f>
        <v>4.34666117102</v>
      </c>
      <c r="M576" s="319">
        <f>IF(M$566&gt;=$C576,MIN(-(SUM($F576:L576)-$E576),($E576*(1-$D$568))*$D576),0)*M$564</f>
        <v>4.34666117102</v>
      </c>
      <c r="N576" s="319">
        <f>IF(N$566&gt;=$C576,MIN(-(SUM($F576:M576)-$E576),($E576*(1-$D$568))*$D576),0)*N$564</f>
        <v>4.34666117102</v>
      </c>
      <c r="O576" s="319">
        <f>IF(O$566&gt;=$C576,MIN(-(SUM($F576:N576)-$E576),($E576*(1-$D$568))*$D576),0)*O$564</f>
        <v>4.34666117102</v>
      </c>
      <c r="P576" s="319">
        <f>IF(P$566&gt;=$C576,MIN(-(SUM($F576:O576)-$E576),($E576*(1-$D$568))*$D576),0)*P$564</f>
        <v>4.34666117102</v>
      </c>
      <c r="Q576" s="319">
        <f>IF(Q$566&gt;=$C576,MIN(-(SUM($F576:P576)-$E576),($E576*(1-$D$568))*$D576),0)*Q$564</f>
        <v>4.34666117102</v>
      </c>
      <c r="R576" s="319">
        <f>IF(R$566&gt;=$C576,MIN(-(SUM($F576:Q576)-$E576),($E576*(1-$D$568))*$D576),0)*R$564</f>
        <v>4.34666117102</v>
      </c>
      <c r="S576" s="319">
        <f>IF(S$566&gt;=$C576,MIN(-(SUM($F576:R576)-$E576),($E576*(1-$D$568))*$D576),0)*S$564</f>
        <v>4.34666117102</v>
      </c>
      <c r="T576" s="319">
        <f>IF(T$566&gt;=$C576,MIN(-(SUM($F576:S576)-$E576),($E576*(1-$D$568))*$D576),0)*T$564</f>
        <v>4.34666117102</v>
      </c>
      <c r="U576" s="319">
        <f>IF(U$566&gt;=$C576,MIN(-(SUM($F576:T576)-$E576),($E576*(1-$D$568))*$D576),0)*U$564</f>
        <v>4.3466611710199956</v>
      </c>
      <c r="V576" s="319">
        <f>IF(V$566&gt;=$C576,MIN(-(SUM($F576:U576)-$E576),($E576*(1-$D$568))*$D576),0)*V$564</f>
        <v>0</v>
      </c>
      <c r="W576" s="319">
        <f>IF(W$566&gt;=$C576,MIN(-(SUM($F576:V576)-$E576),($E576*(1-$D$568))*$D576),0)*W$564</f>
        <v>0</v>
      </c>
      <c r="X576" s="319">
        <f>IF(X$566&gt;=$C576,MIN(-(SUM($F576:W576)-$E576),($E576*(1-$D$568))*$D576),0)*X$564</f>
        <v>0</v>
      </c>
      <c r="Y576" s="319">
        <f>IF(Y$566&gt;=$C576,MIN(-(SUM($F576:X576)-$E576),($E576*(1-$D$568))*$D576),0)*Y$564</f>
        <v>0</v>
      </c>
      <c r="Z576" s="319">
        <f>IF(Z$566&gt;=$C576,MIN(-(SUM($F576:Y576)-$E576),($E576*(1-$D$568))*$D576),0)*Z$564</f>
        <v>0</v>
      </c>
      <c r="AA576" s="319">
        <f>IF(AA$566&gt;=$C576,MIN(-(SUM($F576:Z576)-$E576),($E576*(1-$D$568))*$D576),0)*AA$564</f>
        <v>0</v>
      </c>
      <c r="AB576" s="319">
        <f>IF(AB$566&gt;=$C576,MIN(-(SUM($F576:AA576)-$E576),($E576*(1-$D$568))*$D576),0)*AB$564</f>
        <v>0</v>
      </c>
      <c r="AC576" s="319">
        <f>IF(AC$566&gt;=$C576,MIN(-(SUM($F576:AB576)-$E576),($E576*(1-$D$568))*$D576),0)*AC$564</f>
        <v>0</v>
      </c>
      <c r="AD576" s="319">
        <f>IF(AD$566&gt;=$C576,MIN(-(SUM($F576:AC576)-$E576),($E576*(1-$D$568))*$D576),0)*AD$564</f>
        <v>0</v>
      </c>
      <c r="AE576" s="319">
        <f>IF(AE$566&gt;=$C576,MIN(-(SUM($F576:AD576)-$E576),($E576*(1-$D$568))*$D576),0)*AE$564</f>
        <v>0</v>
      </c>
      <c r="AF576" s="319">
        <f>IF(AF$566&gt;=$C576,MIN(-(SUM($F576:AE576)-$E576),($E576*(1-$D$568))*$D576),0)*AF$564</f>
        <v>0</v>
      </c>
      <c r="AG576" s="319">
        <f>IF(AG$566&gt;=$C576,MIN(-(SUM($F576:AF576)-$E576),($E576*(1-$D$568))*$D576),0)*AG$564</f>
        <v>0</v>
      </c>
      <c r="AH576" s="319">
        <f>IF(AH$566&gt;=$C576,MIN(-(SUM($F576:AG576)-$E576),($E576*(1-$D$568))*$D576),0)*AH$564</f>
        <v>0</v>
      </c>
      <c r="AI576" s="319">
        <f>IF(AI$566&gt;=$C576,MIN(-(SUM($F576:AH576)-$E576),($E576*(1-$D$568))*$D576),0)*AI$564</f>
        <v>0</v>
      </c>
      <c r="AJ576" s="319">
        <f>IF(AJ$566&gt;=$C576,MIN(-(SUM($F576:AI576)-$E576),($E576*(1-$D$568))*$D576),0)*AJ$564</f>
        <v>0</v>
      </c>
      <c r="AK576" s="319">
        <f>IF(AK$566&gt;=$C576,MIN(-(SUM($F576:AJ576)-$E576),($E576*(1-$D$568))*$D576),0)*AK$564</f>
        <v>0</v>
      </c>
      <c r="AL576" s="319">
        <f>IF(AL$566&gt;=$C576,MIN(-(SUM($F576:AK576)-$E576),($E576*(1-$D$568))*$D576),0)*AL$564</f>
        <v>0</v>
      </c>
      <c r="AM576" s="319">
        <f>IF(AM$566&gt;=$C576,MIN(-(SUM($F576:AL576)-$E576),($E576*(1-$D$568))*$D576),0)*AM$564</f>
        <v>0</v>
      </c>
      <c r="AN576" s="319">
        <f>IF(AN$566&gt;=$C576,MIN(-(SUM($F576:AM576)-$E576),($E576*(1-$D$568))*$D576),0)*AN$564</f>
        <v>0</v>
      </c>
    </row>
    <row r="577" spans="3:40" outlineLevel="4">
      <c r="C577">
        <v>7</v>
      </c>
      <c r="D577">
        <f>Inputs!$D$261</f>
        <v>0.1</v>
      </c>
      <c r="E577" s="319">
        <v>168.31293295294401</v>
      </c>
      <c r="F577" s="461">
        <f>E577*D568</f>
        <v>0</v>
      </c>
      <c r="G577" s="319">
        <f>IF(G$566&gt;=$C577,MIN(-(SUM(F577:$F577)-$E577),($E577*(1-$D$568))*$D577),0)*G$564</f>
        <v>0</v>
      </c>
      <c r="H577" s="319">
        <f>IF(H$566&gt;=$C577,MIN(-(SUM($F577:G577)-$E577),($E577*(1-$D$568))*$D577),0)*H$564</f>
        <v>0</v>
      </c>
      <c r="I577" s="319">
        <f>IF(I$566&gt;=$C577,MIN(-(SUM($F577:H577)-$E577),($E577*(1-$D$568))*$D577),0)*I$564</f>
        <v>0</v>
      </c>
      <c r="J577" s="319">
        <f>IF(J$566&gt;=$C577,MIN(-(SUM($F577:I577)-$E577),($E577*(1-$D$568))*$D577),0)*J$564</f>
        <v>0</v>
      </c>
      <c r="K577" s="319">
        <f>IF(K$566&gt;=$C577,MIN(-(SUM($F577:J577)-$E577),($E577*(1-$D$568))*$D577),0)*K$564</f>
        <v>0</v>
      </c>
      <c r="L577" s="319">
        <f>IF(L$566&gt;=$C577,MIN(-(SUM($F577:K577)-$E577),($E577*(1-$D$568))*$D577),0)*L$564</f>
        <v>0</v>
      </c>
      <c r="M577" s="319">
        <f>IF(M$566&gt;=$C577,MIN(-(SUM($F577:L577)-$E577),($E577*(1-$D$568))*$D577),0)*M$564</f>
        <v>16.831293295294401</v>
      </c>
      <c r="N577" s="319">
        <f>IF(N$566&gt;=$C577,MIN(-(SUM($F577:M577)-$E577),($E577*(1-$D$568))*$D577),0)*N$564</f>
        <v>16.831293295294401</v>
      </c>
      <c r="O577" s="319">
        <f>IF(O$566&gt;=$C577,MIN(-(SUM($F577:N577)-$E577),($E577*(1-$D$568))*$D577),0)*O$564</f>
        <v>16.831293295294401</v>
      </c>
      <c r="P577" s="319">
        <f>IF(P$566&gt;=$C577,MIN(-(SUM($F577:O577)-$E577),($E577*(1-$D$568))*$D577),0)*P$564</f>
        <v>16.831293295294401</v>
      </c>
      <c r="Q577" s="319">
        <f>IF(Q$566&gt;=$C577,MIN(-(SUM($F577:P577)-$E577),($E577*(1-$D$568))*$D577),0)*Q$564</f>
        <v>16.831293295294401</v>
      </c>
      <c r="R577" s="319">
        <f>IF(R$566&gt;=$C577,MIN(-(SUM($F577:Q577)-$E577),($E577*(1-$D$568))*$D577),0)*R$564</f>
        <v>16.831293295294401</v>
      </c>
      <c r="S577" s="319">
        <f>IF(S$566&gt;=$C577,MIN(-(SUM($F577:R577)-$E577),($E577*(1-$D$568))*$D577),0)*S$564</f>
        <v>16.831293295294401</v>
      </c>
      <c r="T577" s="319">
        <f>IF(T$566&gt;=$C577,MIN(-(SUM($F577:S577)-$E577),($E577*(1-$D$568))*$D577),0)*T$564</f>
        <v>16.831293295294401</v>
      </c>
      <c r="U577" s="319">
        <f>IF(U$566&gt;=$C577,MIN(-(SUM($F577:T577)-$E577),($E577*(1-$D$568))*$D577),0)*U$564</f>
        <v>16.831293295294401</v>
      </c>
      <c r="V577" s="319">
        <f>IF(V$566&gt;=$C577,MIN(-(SUM($F577:U577)-$E577),($E577*(1-$D$568))*$D577),0)*V$564</f>
        <v>16.831293295294387</v>
      </c>
      <c r="W577" s="319">
        <f>IF(W$566&gt;=$C577,MIN(-(SUM($F577:V577)-$E577),($E577*(1-$D$568))*$D577),0)*W$564</f>
        <v>0</v>
      </c>
      <c r="X577" s="319">
        <f>IF(X$566&gt;=$C577,MIN(-(SUM($F577:W577)-$E577),($E577*(1-$D$568))*$D577),0)*X$564</f>
        <v>0</v>
      </c>
      <c r="Y577" s="319">
        <f>IF(Y$566&gt;=$C577,MIN(-(SUM($F577:X577)-$E577),($E577*(1-$D$568))*$D577),0)*Y$564</f>
        <v>0</v>
      </c>
      <c r="Z577" s="319">
        <f>IF(Z$566&gt;=$C577,MIN(-(SUM($F577:Y577)-$E577),($E577*(1-$D$568))*$D577),0)*Z$564</f>
        <v>0</v>
      </c>
      <c r="AA577" s="319">
        <f>IF(AA$566&gt;=$C577,MIN(-(SUM($F577:Z577)-$E577),($E577*(1-$D$568))*$D577),0)*AA$564</f>
        <v>0</v>
      </c>
      <c r="AB577" s="319">
        <f>IF(AB$566&gt;=$C577,MIN(-(SUM($F577:AA577)-$E577),($E577*(1-$D$568))*$D577),0)*AB$564</f>
        <v>0</v>
      </c>
      <c r="AC577" s="319">
        <f>IF(AC$566&gt;=$C577,MIN(-(SUM($F577:AB577)-$E577),($E577*(1-$D$568))*$D577),0)*AC$564</f>
        <v>0</v>
      </c>
      <c r="AD577" s="319">
        <f>IF(AD$566&gt;=$C577,MIN(-(SUM($F577:AC577)-$E577),($E577*(1-$D$568))*$D577),0)*AD$564</f>
        <v>0</v>
      </c>
      <c r="AE577" s="319">
        <f>IF(AE$566&gt;=$C577,MIN(-(SUM($F577:AD577)-$E577),($E577*(1-$D$568))*$D577),0)*AE$564</f>
        <v>0</v>
      </c>
      <c r="AF577" s="319">
        <f>IF(AF$566&gt;=$C577,MIN(-(SUM($F577:AE577)-$E577),($E577*(1-$D$568))*$D577),0)*AF$564</f>
        <v>0</v>
      </c>
      <c r="AG577" s="319">
        <f>IF(AG$566&gt;=$C577,MIN(-(SUM($F577:AF577)-$E577),($E577*(1-$D$568))*$D577),0)*AG$564</f>
        <v>0</v>
      </c>
      <c r="AH577" s="319">
        <f>IF(AH$566&gt;=$C577,MIN(-(SUM($F577:AG577)-$E577),($E577*(1-$D$568))*$D577),0)*AH$564</f>
        <v>0</v>
      </c>
      <c r="AI577" s="319">
        <f>IF(AI$566&gt;=$C577,MIN(-(SUM($F577:AH577)-$E577),($E577*(1-$D$568))*$D577),0)*AI$564</f>
        <v>0</v>
      </c>
      <c r="AJ577" s="319">
        <f>IF(AJ$566&gt;=$C577,MIN(-(SUM($F577:AI577)-$E577),($E577*(1-$D$568))*$D577),0)*AJ$564</f>
        <v>0</v>
      </c>
      <c r="AK577" s="319">
        <f>IF(AK$566&gt;=$C577,MIN(-(SUM($F577:AJ577)-$E577),($E577*(1-$D$568))*$D577),0)*AK$564</f>
        <v>0</v>
      </c>
      <c r="AL577" s="319">
        <f>IF(AL$566&gt;=$C577,MIN(-(SUM($F577:AK577)-$E577),($E577*(1-$D$568))*$D577),0)*AL$564</f>
        <v>0</v>
      </c>
      <c r="AM577" s="319">
        <f>IF(AM$566&gt;=$C577,MIN(-(SUM($F577:AL577)-$E577),($E577*(1-$D$568))*$D577),0)*AM$564</f>
        <v>0</v>
      </c>
      <c r="AN577" s="319">
        <f>IF(AN$566&gt;=$C577,MIN(-(SUM($F577:AM577)-$E577),($E577*(1-$D$568))*$D577),0)*AN$564</f>
        <v>0</v>
      </c>
    </row>
    <row r="578" spans="3:40" outlineLevel="4">
      <c r="C578">
        <v>8</v>
      </c>
      <c r="D578">
        <f>Inputs!$D$261</f>
        <v>0.1</v>
      </c>
      <c r="E578" s="319">
        <v>52.042301674200004</v>
      </c>
      <c r="F578" s="461">
        <f>E578*D568</f>
        <v>0</v>
      </c>
      <c r="G578" s="319">
        <f>IF(G$566&gt;=$C578,MIN(-(SUM(F578:$F578)-$E578),($E578*(1-$D$568))*$D578),0)*G$564</f>
        <v>0</v>
      </c>
      <c r="H578" s="319">
        <f>IF(H$566&gt;=$C578,MIN(-(SUM($F578:G578)-$E578),($E578*(1-$D$568))*$D578),0)*H$564</f>
        <v>0</v>
      </c>
      <c r="I578" s="319">
        <f>IF(I$566&gt;=$C578,MIN(-(SUM($F578:H578)-$E578),($E578*(1-$D$568))*$D578),0)*I$564</f>
        <v>0</v>
      </c>
      <c r="J578" s="319">
        <f>IF(J$566&gt;=$C578,MIN(-(SUM($F578:I578)-$E578),($E578*(1-$D$568))*$D578),0)*J$564</f>
        <v>0</v>
      </c>
      <c r="K578" s="319">
        <f>IF(K$566&gt;=$C578,MIN(-(SUM($F578:J578)-$E578),($E578*(1-$D$568))*$D578),0)*K$564</f>
        <v>0</v>
      </c>
      <c r="L578" s="319">
        <f>IF(L$566&gt;=$C578,MIN(-(SUM($F578:K578)-$E578),($E578*(1-$D$568))*$D578),0)*L$564</f>
        <v>0</v>
      </c>
      <c r="M578" s="319">
        <f>IF(M$566&gt;=$C578,MIN(-(SUM($F578:L578)-$E578),($E578*(1-$D$568))*$D578),0)*M$564</f>
        <v>0</v>
      </c>
      <c r="N578" s="319">
        <f>IF(N$566&gt;=$C578,MIN(-(SUM($F578:M578)-$E578),($E578*(1-$D$568))*$D578),0)*N$564</f>
        <v>5.2042301674200004</v>
      </c>
      <c r="O578" s="319">
        <f>IF(O$566&gt;=$C578,MIN(-(SUM($F578:N578)-$E578),($E578*(1-$D$568))*$D578),0)*O$564</f>
        <v>5.2042301674200004</v>
      </c>
      <c r="P578" s="319">
        <f>IF(P$566&gt;=$C578,MIN(-(SUM($F578:O578)-$E578),($E578*(1-$D$568))*$D578),0)*P$564</f>
        <v>5.2042301674200004</v>
      </c>
      <c r="Q578" s="319">
        <f>IF(Q$566&gt;=$C578,MIN(-(SUM($F578:P578)-$E578),($E578*(1-$D$568))*$D578),0)*Q$564</f>
        <v>5.2042301674200004</v>
      </c>
      <c r="R578" s="319">
        <f>IF(R$566&gt;=$C578,MIN(-(SUM($F578:Q578)-$E578),($E578*(1-$D$568))*$D578),0)*R$564</f>
        <v>5.2042301674200004</v>
      </c>
      <c r="S578" s="319">
        <f>IF(S$566&gt;=$C578,MIN(-(SUM($F578:R578)-$E578),($E578*(1-$D$568))*$D578),0)*S$564</f>
        <v>5.2042301674200004</v>
      </c>
      <c r="T578" s="319">
        <f>IF(T$566&gt;=$C578,MIN(-(SUM($F578:S578)-$E578),($E578*(1-$D$568))*$D578),0)*T$564</f>
        <v>5.2042301674200004</v>
      </c>
      <c r="U578" s="319">
        <f>IF(U$566&gt;=$C578,MIN(-(SUM($F578:T578)-$E578),($E578*(1-$D$568))*$D578),0)*U$564</f>
        <v>5.2042301674200004</v>
      </c>
      <c r="V578" s="319">
        <f>IF(V$566&gt;=$C578,MIN(-(SUM($F578:U578)-$E578),($E578*(1-$D$568))*$D578),0)*V$564</f>
        <v>5.2042301674200004</v>
      </c>
      <c r="W578" s="319">
        <f>IF(W$566&gt;=$C578,MIN(-(SUM($F578:V578)-$E578),($E578*(1-$D$568))*$D578),0)*W$564</f>
        <v>5.2042301674200004</v>
      </c>
      <c r="X578" s="319">
        <f>IF(X$566&gt;=$C578,MIN(-(SUM($F578:W578)-$E578),($E578*(1-$D$568))*$D578),0)*X$564</f>
        <v>0</v>
      </c>
      <c r="Y578" s="319">
        <f>IF(Y$566&gt;=$C578,MIN(-(SUM($F578:X578)-$E578),($E578*(1-$D$568))*$D578),0)*Y$564</f>
        <v>0</v>
      </c>
      <c r="Z578" s="319">
        <f>IF(Z$566&gt;=$C578,MIN(-(SUM($F578:Y578)-$E578),($E578*(1-$D$568))*$D578),0)*Z$564</f>
        <v>0</v>
      </c>
      <c r="AA578" s="319">
        <f>IF(AA$566&gt;=$C578,MIN(-(SUM($F578:Z578)-$E578),($E578*(1-$D$568))*$D578),0)*AA$564</f>
        <v>0</v>
      </c>
      <c r="AB578" s="319">
        <f>IF(AB$566&gt;=$C578,MIN(-(SUM($F578:AA578)-$E578),($E578*(1-$D$568))*$D578),0)*AB$564</f>
        <v>0</v>
      </c>
      <c r="AC578" s="319">
        <f>IF(AC$566&gt;=$C578,MIN(-(SUM($F578:AB578)-$E578),($E578*(1-$D$568))*$D578),0)*AC$564</f>
        <v>0</v>
      </c>
      <c r="AD578" s="319">
        <f>IF(AD$566&gt;=$C578,MIN(-(SUM($F578:AC578)-$E578),($E578*(1-$D$568))*$D578),0)*AD$564</f>
        <v>0</v>
      </c>
      <c r="AE578" s="319">
        <f>IF(AE$566&gt;=$C578,MIN(-(SUM($F578:AD578)-$E578),($E578*(1-$D$568))*$D578),0)*AE$564</f>
        <v>0</v>
      </c>
      <c r="AF578" s="319">
        <f>IF(AF$566&gt;=$C578,MIN(-(SUM($F578:AE578)-$E578),($E578*(1-$D$568))*$D578),0)*AF$564</f>
        <v>0</v>
      </c>
      <c r="AG578" s="319">
        <f>IF(AG$566&gt;=$C578,MIN(-(SUM($F578:AF578)-$E578),($E578*(1-$D$568))*$D578),0)*AG$564</f>
        <v>0</v>
      </c>
      <c r="AH578" s="319">
        <f>IF(AH$566&gt;=$C578,MIN(-(SUM($F578:AG578)-$E578),($E578*(1-$D$568))*$D578),0)*AH$564</f>
        <v>0</v>
      </c>
      <c r="AI578" s="319">
        <f>IF(AI$566&gt;=$C578,MIN(-(SUM($F578:AH578)-$E578),($E578*(1-$D$568))*$D578),0)*AI$564</f>
        <v>0</v>
      </c>
      <c r="AJ578" s="319">
        <f>IF(AJ$566&gt;=$C578,MIN(-(SUM($F578:AI578)-$E578),($E578*(1-$D$568))*$D578),0)*AJ$564</f>
        <v>0</v>
      </c>
      <c r="AK578" s="319">
        <f>IF(AK$566&gt;=$C578,MIN(-(SUM($F578:AJ578)-$E578),($E578*(1-$D$568))*$D578),0)*AK$564</f>
        <v>0</v>
      </c>
      <c r="AL578" s="319">
        <f>IF(AL$566&gt;=$C578,MIN(-(SUM($F578:AK578)-$E578),($E578*(1-$D$568))*$D578),0)*AL$564</f>
        <v>0</v>
      </c>
      <c r="AM578" s="319">
        <f>IF(AM$566&gt;=$C578,MIN(-(SUM($F578:AL578)-$E578),($E578*(1-$D$568))*$D578),0)*AM$564</f>
        <v>0</v>
      </c>
      <c r="AN578" s="319">
        <f>IF(AN$566&gt;=$C578,MIN(-(SUM($F578:AM578)-$E578),($E578*(1-$D$568))*$D578),0)*AN$564</f>
        <v>0</v>
      </c>
    </row>
    <row r="579" spans="3:40" outlineLevel="4">
      <c r="C579">
        <v>9</v>
      </c>
      <c r="D579">
        <f>Inputs!$D$261</f>
        <v>0.1</v>
      </c>
      <c r="E579" s="319">
        <v>43.404541674200004</v>
      </c>
      <c r="F579" s="461">
        <f>E579*D568</f>
        <v>0</v>
      </c>
      <c r="G579" s="319">
        <f>IF(G$566&gt;=$C579,MIN(-(SUM(F579:$F579)-$E579),($E579*(1-$D$568))*$D579),0)*G$564</f>
        <v>0</v>
      </c>
      <c r="H579" s="319">
        <f>IF(H$566&gt;=$C579,MIN(-(SUM($F579:G579)-$E579),($E579*(1-$D$568))*$D579),0)*H$564</f>
        <v>0</v>
      </c>
      <c r="I579" s="319">
        <f>IF(I$566&gt;=$C579,MIN(-(SUM($F579:H579)-$E579),($E579*(1-$D$568))*$D579),0)*I$564</f>
        <v>0</v>
      </c>
      <c r="J579" s="319">
        <f>IF(J$566&gt;=$C579,MIN(-(SUM($F579:I579)-$E579),($E579*(1-$D$568))*$D579),0)*J$564</f>
        <v>0</v>
      </c>
      <c r="K579" s="319">
        <f>IF(K$566&gt;=$C579,MIN(-(SUM($F579:J579)-$E579),($E579*(1-$D$568))*$D579),0)*K$564</f>
        <v>0</v>
      </c>
      <c r="L579" s="319">
        <f>IF(L$566&gt;=$C579,MIN(-(SUM($F579:K579)-$E579),($E579*(1-$D$568))*$D579),0)*L$564</f>
        <v>0</v>
      </c>
      <c r="M579" s="319">
        <f>IF(M$566&gt;=$C579,MIN(-(SUM($F579:L579)-$E579),($E579*(1-$D$568))*$D579),0)*M$564</f>
        <v>0</v>
      </c>
      <c r="N579" s="319">
        <f>IF(N$566&gt;=$C579,MIN(-(SUM($F579:M579)-$E579),($E579*(1-$D$568))*$D579),0)*N$564</f>
        <v>0</v>
      </c>
      <c r="O579" s="319">
        <f>IF(O$566&gt;=$C579,MIN(-(SUM($F579:N579)-$E579),($E579*(1-$D$568))*$D579),0)*O$564</f>
        <v>4.3404541674200008</v>
      </c>
      <c r="P579" s="319">
        <f>IF(P$566&gt;=$C579,MIN(-(SUM($F579:O579)-$E579),($E579*(1-$D$568))*$D579),0)*P$564</f>
        <v>4.3404541674200008</v>
      </c>
      <c r="Q579" s="319">
        <f>IF(Q$566&gt;=$C579,MIN(-(SUM($F579:P579)-$E579),($E579*(1-$D$568))*$D579),0)*Q$564</f>
        <v>4.3404541674200008</v>
      </c>
      <c r="R579" s="319">
        <f>IF(R$566&gt;=$C579,MIN(-(SUM($F579:Q579)-$E579),($E579*(1-$D$568))*$D579),0)*R$564</f>
        <v>4.3404541674200008</v>
      </c>
      <c r="S579" s="319">
        <f>IF(S$566&gt;=$C579,MIN(-(SUM($F579:R579)-$E579),($E579*(1-$D$568))*$D579),0)*S$564</f>
        <v>4.3404541674200008</v>
      </c>
      <c r="T579" s="319">
        <f>IF(T$566&gt;=$C579,MIN(-(SUM($F579:S579)-$E579),($E579*(1-$D$568))*$D579),0)*T$564</f>
        <v>4.3404541674200008</v>
      </c>
      <c r="U579" s="319">
        <f>IF(U$566&gt;=$C579,MIN(-(SUM($F579:T579)-$E579),($E579*(1-$D$568))*$D579),0)*U$564</f>
        <v>4.3404541674200008</v>
      </c>
      <c r="V579" s="319">
        <f>IF(V$566&gt;=$C579,MIN(-(SUM($F579:U579)-$E579),($E579*(1-$D$568))*$D579),0)*V$564</f>
        <v>4.3404541674200008</v>
      </c>
      <c r="W579" s="319">
        <f>IF(W$566&gt;=$C579,MIN(-(SUM($F579:V579)-$E579),($E579*(1-$D$568))*$D579),0)*W$564</f>
        <v>4.3404541674200008</v>
      </c>
      <c r="X579" s="319">
        <f>IF(X$566&gt;=$C579,MIN(-(SUM($F579:W579)-$E579),($E579*(1-$D$568))*$D579),0)*X$564</f>
        <v>4.3404541674200008</v>
      </c>
      <c r="Y579" s="319">
        <f>IF(Y$566&gt;=$C579,MIN(-(SUM($F579:X579)-$E579),($E579*(1-$D$568))*$D579),0)*Y$564</f>
        <v>7.1054273576010019E-15</v>
      </c>
      <c r="Z579" s="319">
        <f>IF(Z$566&gt;=$C579,MIN(-(SUM($F579:Y579)-$E579),($E579*(1-$D$568))*$D579),0)*Z$564</f>
        <v>0</v>
      </c>
      <c r="AA579" s="319">
        <f>IF(AA$566&gt;=$C579,MIN(-(SUM($F579:Z579)-$E579),($E579*(1-$D$568))*$D579),0)*AA$564</f>
        <v>0</v>
      </c>
      <c r="AB579" s="319">
        <f>IF(AB$566&gt;=$C579,MIN(-(SUM($F579:AA579)-$E579),($E579*(1-$D$568))*$D579),0)*AB$564</f>
        <v>0</v>
      </c>
      <c r="AC579" s="319">
        <f>IF(AC$566&gt;=$C579,MIN(-(SUM($F579:AB579)-$E579),($E579*(1-$D$568))*$D579),0)*AC$564</f>
        <v>0</v>
      </c>
      <c r="AD579" s="319">
        <f>IF(AD$566&gt;=$C579,MIN(-(SUM($F579:AC579)-$E579),($E579*(1-$D$568))*$D579),0)*AD$564</f>
        <v>0</v>
      </c>
      <c r="AE579" s="319">
        <f>IF(AE$566&gt;=$C579,MIN(-(SUM($F579:AD579)-$E579),($E579*(1-$D$568))*$D579),0)*AE$564</f>
        <v>0</v>
      </c>
      <c r="AF579" s="319">
        <f>IF(AF$566&gt;=$C579,MIN(-(SUM($F579:AE579)-$E579),($E579*(1-$D$568))*$D579),0)*AF$564</f>
        <v>0</v>
      </c>
      <c r="AG579" s="319">
        <f>IF(AG$566&gt;=$C579,MIN(-(SUM($F579:AF579)-$E579),($E579*(1-$D$568))*$D579),0)*AG$564</f>
        <v>0</v>
      </c>
      <c r="AH579" s="319">
        <f>IF(AH$566&gt;=$C579,MIN(-(SUM($F579:AG579)-$E579),($E579*(1-$D$568))*$D579),0)*AH$564</f>
        <v>0</v>
      </c>
      <c r="AI579" s="319">
        <f>IF(AI$566&gt;=$C579,MIN(-(SUM($F579:AH579)-$E579),($E579*(1-$D$568))*$D579),0)*AI$564</f>
        <v>0</v>
      </c>
      <c r="AJ579" s="319">
        <f>IF(AJ$566&gt;=$C579,MIN(-(SUM($F579:AI579)-$E579),($E579*(1-$D$568))*$D579),0)*AJ$564</f>
        <v>0</v>
      </c>
      <c r="AK579" s="319">
        <f>IF(AK$566&gt;=$C579,MIN(-(SUM($F579:AJ579)-$E579),($E579*(1-$D$568))*$D579),0)*AK$564</f>
        <v>0</v>
      </c>
      <c r="AL579" s="319">
        <f>IF(AL$566&gt;=$C579,MIN(-(SUM($F579:AK579)-$E579),($E579*(1-$D$568))*$D579),0)*AL$564</f>
        <v>0</v>
      </c>
      <c r="AM579" s="319">
        <f>IF(AM$566&gt;=$C579,MIN(-(SUM($F579:AL579)-$E579),($E579*(1-$D$568))*$D579),0)*AM$564</f>
        <v>0</v>
      </c>
      <c r="AN579" s="319">
        <f>IF(AN$566&gt;=$C579,MIN(-(SUM($F579:AM579)-$E579),($E579*(1-$D$568))*$D579),0)*AN$564</f>
        <v>0</v>
      </c>
    </row>
    <row r="580" spans="3:40" outlineLevel="4">
      <c r="C580">
        <v>10</v>
      </c>
      <c r="D580">
        <f>Inputs!$D$261</f>
        <v>0.1</v>
      </c>
      <c r="E580" s="319">
        <v>49.327041674200004</v>
      </c>
      <c r="F580" s="461">
        <f>E580*D568</f>
        <v>0</v>
      </c>
      <c r="G580" s="319">
        <f>IF(G$566&gt;=$C580,MIN(-(SUM(F580:$F580)-$E580),($E580*(1-$D$568))*$D580),0)*G$564</f>
        <v>0</v>
      </c>
      <c r="H580" s="319">
        <f>IF(H$566&gt;=$C580,MIN(-(SUM($F580:G580)-$E580),($E580*(1-$D$568))*$D580),0)*H$564</f>
        <v>0</v>
      </c>
      <c r="I580" s="319">
        <f>IF(I$566&gt;=$C580,MIN(-(SUM($F580:H580)-$E580),($E580*(1-$D$568))*$D580),0)*I$564</f>
        <v>0</v>
      </c>
      <c r="J580" s="319">
        <f>IF(J$566&gt;=$C580,MIN(-(SUM($F580:I580)-$E580),($E580*(1-$D$568))*$D580),0)*J$564</f>
        <v>0</v>
      </c>
      <c r="K580" s="319">
        <f>IF(K$566&gt;=$C580,MIN(-(SUM($F580:J580)-$E580),($E580*(1-$D$568))*$D580),0)*K$564</f>
        <v>0</v>
      </c>
      <c r="L580" s="319">
        <f>IF(L$566&gt;=$C580,MIN(-(SUM($F580:K580)-$E580),($E580*(1-$D$568))*$D580),0)*L$564</f>
        <v>0</v>
      </c>
      <c r="M580" s="319">
        <f>IF(M$566&gt;=$C580,MIN(-(SUM($F580:L580)-$E580),($E580*(1-$D$568))*$D580),0)*M$564</f>
        <v>0</v>
      </c>
      <c r="N580" s="319">
        <f>IF(N$566&gt;=$C580,MIN(-(SUM($F580:M580)-$E580),($E580*(1-$D$568))*$D580),0)*N$564</f>
        <v>0</v>
      </c>
      <c r="O580" s="319">
        <f>IF(O$566&gt;=$C580,MIN(-(SUM($F580:N580)-$E580),($E580*(1-$D$568))*$D580),0)*O$564</f>
        <v>0</v>
      </c>
      <c r="P580" s="319">
        <f>IF(P$566&gt;=$C580,MIN(-(SUM($F580:O580)-$E580),($E580*(1-$D$568))*$D580),0)*P$564</f>
        <v>4.9327041674200007</v>
      </c>
      <c r="Q580" s="319">
        <f>IF(Q$566&gt;=$C580,MIN(-(SUM($F580:P580)-$E580),($E580*(1-$D$568))*$D580),0)*Q$564</f>
        <v>4.9327041674200007</v>
      </c>
      <c r="R580" s="319">
        <f>IF(R$566&gt;=$C580,MIN(-(SUM($F580:Q580)-$E580),($E580*(1-$D$568))*$D580),0)*R$564</f>
        <v>4.9327041674200007</v>
      </c>
      <c r="S580" s="319">
        <f>IF(S$566&gt;=$C580,MIN(-(SUM($F580:R580)-$E580),($E580*(1-$D$568))*$D580),0)*S$564</f>
        <v>4.9327041674200007</v>
      </c>
      <c r="T580" s="319">
        <f>IF(T$566&gt;=$C580,MIN(-(SUM($F580:S580)-$E580),($E580*(1-$D$568))*$D580),0)*T$564</f>
        <v>4.9327041674200007</v>
      </c>
      <c r="U580" s="319">
        <f>IF(U$566&gt;=$C580,MIN(-(SUM($F580:T580)-$E580),($E580*(1-$D$568))*$D580),0)*U$564</f>
        <v>4.9327041674200007</v>
      </c>
      <c r="V580" s="319">
        <f>IF(V$566&gt;=$C580,MIN(-(SUM($F580:U580)-$E580),($E580*(1-$D$568))*$D580),0)*V$564</f>
        <v>4.9327041674200007</v>
      </c>
      <c r="W580" s="319">
        <f>IF(W$566&gt;=$C580,MIN(-(SUM($F580:V580)-$E580),($E580*(1-$D$568))*$D580),0)*W$564</f>
        <v>4.9327041674200007</v>
      </c>
      <c r="X580" s="319">
        <f>IF(X$566&gt;=$C580,MIN(-(SUM($F580:W580)-$E580),($E580*(1-$D$568))*$D580),0)*X$564</f>
        <v>4.9327041674200007</v>
      </c>
      <c r="Y580" s="319">
        <f>IF(Y$566&gt;=$C580,MIN(-(SUM($F580:X580)-$E580),($E580*(1-$D$568))*$D580),0)*Y$564</f>
        <v>4.9327041674200007</v>
      </c>
      <c r="Z580" s="319">
        <f>IF(Z$566&gt;=$C580,MIN(-(SUM($F580:Y580)-$E580),($E580*(1-$D$568))*$D580),0)*Z$564</f>
        <v>7.1054273576010019E-15</v>
      </c>
      <c r="AA580" s="319">
        <f>IF(AA$566&gt;=$C580,MIN(-(SUM($F580:Z580)-$E580),($E580*(1-$D$568))*$D580),0)*AA$564</f>
        <v>0</v>
      </c>
      <c r="AB580" s="319">
        <f>IF(AB$566&gt;=$C580,MIN(-(SUM($F580:AA580)-$E580),($E580*(1-$D$568))*$D580),0)*AB$564</f>
        <v>0</v>
      </c>
      <c r="AC580" s="319">
        <f>IF(AC$566&gt;=$C580,MIN(-(SUM($F580:AB580)-$E580),($E580*(1-$D$568))*$D580),0)*AC$564</f>
        <v>0</v>
      </c>
      <c r="AD580" s="319">
        <f>IF(AD$566&gt;=$C580,MIN(-(SUM($F580:AC580)-$E580),($E580*(1-$D$568))*$D580),0)*AD$564</f>
        <v>0</v>
      </c>
      <c r="AE580" s="319">
        <f>IF(AE$566&gt;=$C580,MIN(-(SUM($F580:AD580)-$E580),($E580*(1-$D$568))*$D580),0)*AE$564</f>
        <v>0</v>
      </c>
      <c r="AF580" s="319">
        <f>IF(AF$566&gt;=$C580,MIN(-(SUM($F580:AE580)-$E580),($E580*(1-$D$568))*$D580),0)*AF$564</f>
        <v>0</v>
      </c>
      <c r="AG580" s="319">
        <f>IF(AG$566&gt;=$C580,MIN(-(SUM($F580:AF580)-$E580),($E580*(1-$D$568))*$D580),0)*AG$564</f>
        <v>0</v>
      </c>
      <c r="AH580" s="319">
        <f>IF(AH$566&gt;=$C580,MIN(-(SUM($F580:AG580)-$E580),($E580*(1-$D$568))*$D580),0)*AH$564</f>
        <v>0</v>
      </c>
      <c r="AI580" s="319">
        <f>IF(AI$566&gt;=$C580,MIN(-(SUM($F580:AH580)-$E580),($E580*(1-$D$568))*$D580),0)*AI$564</f>
        <v>0</v>
      </c>
      <c r="AJ580" s="319">
        <f>IF(AJ$566&gt;=$C580,MIN(-(SUM($F580:AI580)-$E580),($E580*(1-$D$568))*$D580),0)*AJ$564</f>
        <v>0</v>
      </c>
      <c r="AK580" s="319">
        <f>IF(AK$566&gt;=$C580,MIN(-(SUM($F580:AJ580)-$E580),($E580*(1-$D$568))*$D580),0)*AK$564</f>
        <v>0</v>
      </c>
      <c r="AL580" s="319">
        <f>IF(AL$566&gt;=$C580,MIN(-(SUM($F580:AK580)-$E580),($E580*(1-$D$568))*$D580),0)*AL$564</f>
        <v>0</v>
      </c>
      <c r="AM580" s="319">
        <f>IF(AM$566&gt;=$C580,MIN(-(SUM($F580:AL580)-$E580),($E580*(1-$D$568))*$D580),0)*AM$564</f>
        <v>0</v>
      </c>
      <c r="AN580" s="319">
        <f>IF(AN$566&gt;=$C580,MIN(-(SUM($F580:AM580)-$E580),($E580*(1-$D$568))*$D580),0)*AN$564</f>
        <v>0</v>
      </c>
    </row>
    <row r="581" spans="3:40" outlineLevel="4">
      <c r="C581">
        <v>11</v>
      </c>
      <c r="D581">
        <f>Inputs!$D$261</f>
        <v>0.1</v>
      </c>
      <c r="E581" s="319">
        <v>49.327041674200004</v>
      </c>
      <c r="F581" s="461">
        <f>E581*D568</f>
        <v>0</v>
      </c>
      <c r="G581" s="319">
        <f>IF(G$566&gt;=$C581,MIN(-(SUM(F581:$F581)-$E581),($E581*(1-$D$568))*$D581),0)*G$564</f>
        <v>0</v>
      </c>
      <c r="H581" s="319">
        <f>IF(H$566&gt;=$C581,MIN(-(SUM($F581:G581)-$E581),($E581*(1-$D$568))*$D581),0)*H$564</f>
        <v>0</v>
      </c>
      <c r="I581" s="319">
        <f>IF(I$566&gt;=$C581,MIN(-(SUM($F581:H581)-$E581),($E581*(1-$D$568))*$D581),0)*I$564</f>
        <v>0</v>
      </c>
      <c r="J581" s="319">
        <f>IF(J$566&gt;=$C581,MIN(-(SUM($F581:I581)-$E581),($E581*(1-$D$568))*$D581),0)*J$564</f>
        <v>0</v>
      </c>
      <c r="K581" s="319">
        <f>IF(K$566&gt;=$C581,MIN(-(SUM($F581:J581)-$E581),($E581*(1-$D$568))*$D581),0)*K$564</f>
        <v>0</v>
      </c>
      <c r="L581" s="319">
        <f>IF(L$566&gt;=$C581,MIN(-(SUM($F581:K581)-$E581),($E581*(1-$D$568))*$D581),0)*L$564</f>
        <v>0</v>
      </c>
      <c r="M581" s="319">
        <f>IF(M$566&gt;=$C581,MIN(-(SUM($F581:L581)-$E581),($E581*(1-$D$568))*$D581),0)*M$564</f>
        <v>0</v>
      </c>
      <c r="N581" s="319">
        <f>IF(N$566&gt;=$C581,MIN(-(SUM($F581:M581)-$E581),($E581*(1-$D$568))*$D581),0)*N$564</f>
        <v>0</v>
      </c>
      <c r="O581" s="319">
        <f>IF(O$566&gt;=$C581,MIN(-(SUM($F581:N581)-$E581),($E581*(1-$D$568))*$D581),0)*O$564</f>
        <v>0</v>
      </c>
      <c r="P581" s="319">
        <f>IF(P$566&gt;=$C581,MIN(-(SUM($F581:O581)-$E581),($E581*(1-$D$568))*$D581),0)*P$564</f>
        <v>0</v>
      </c>
      <c r="Q581" s="319">
        <f>IF(Q$566&gt;=$C581,MIN(-(SUM($F581:P581)-$E581),($E581*(1-$D$568))*$D581),0)*Q$564</f>
        <v>4.9327041674200007</v>
      </c>
      <c r="R581" s="319">
        <f>IF(R$566&gt;=$C581,MIN(-(SUM($F581:Q581)-$E581),($E581*(1-$D$568))*$D581),0)*R$564</f>
        <v>4.9327041674200007</v>
      </c>
      <c r="S581" s="319">
        <f>IF(S$566&gt;=$C581,MIN(-(SUM($F581:R581)-$E581),($E581*(1-$D$568))*$D581),0)*S$564</f>
        <v>4.9327041674200007</v>
      </c>
      <c r="T581" s="319">
        <f>IF(T$566&gt;=$C581,MIN(-(SUM($F581:S581)-$E581),($E581*(1-$D$568))*$D581),0)*T$564</f>
        <v>4.9327041674200007</v>
      </c>
      <c r="U581" s="319">
        <f>IF(U$566&gt;=$C581,MIN(-(SUM($F581:T581)-$E581),($E581*(1-$D$568))*$D581),0)*U$564</f>
        <v>4.9327041674200007</v>
      </c>
      <c r="V581" s="319">
        <f>IF(V$566&gt;=$C581,MIN(-(SUM($F581:U581)-$E581),($E581*(1-$D$568))*$D581),0)*V$564</f>
        <v>4.9327041674200007</v>
      </c>
      <c r="W581" s="319">
        <f>IF(W$566&gt;=$C581,MIN(-(SUM($F581:V581)-$E581),($E581*(1-$D$568))*$D581),0)*W$564</f>
        <v>4.9327041674200007</v>
      </c>
      <c r="X581" s="319">
        <f>IF(X$566&gt;=$C581,MIN(-(SUM($F581:W581)-$E581),($E581*(1-$D$568))*$D581),0)*X$564</f>
        <v>4.9327041674200007</v>
      </c>
      <c r="Y581" s="319">
        <f>IF(Y$566&gt;=$C581,MIN(-(SUM($F581:X581)-$E581),($E581*(1-$D$568))*$D581),0)*Y$564</f>
        <v>4.9327041674200007</v>
      </c>
      <c r="Z581" s="319">
        <f>IF(Z$566&gt;=$C581,MIN(-(SUM($F581:Y581)-$E581),($E581*(1-$D$568))*$D581),0)*Z$564</f>
        <v>4.9327041674200007</v>
      </c>
      <c r="AA581" s="319">
        <f>IF(AA$566&gt;=$C581,MIN(-(SUM($F581:Z581)-$E581),($E581*(1-$D$568))*$D581),0)*AA$564</f>
        <v>7.1054273576010019E-15</v>
      </c>
      <c r="AB581" s="319">
        <f>IF(AB$566&gt;=$C581,MIN(-(SUM($F581:AA581)-$E581),($E581*(1-$D$568))*$D581),0)*AB$564</f>
        <v>0</v>
      </c>
      <c r="AC581" s="319">
        <f>IF(AC$566&gt;=$C581,MIN(-(SUM($F581:AB581)-$E581),($E581*(1-$D$568))*$D581),0)*AC$564</f>
        <v>0</v>
      </c>
      <c r="AD581" s="319">
        <f>IF(AD$566&gt;=$C581,MIN(-(SUM($F581:AC581)-$E581),($E581*(1-$D$568))*$D581),0)*AD$564</f>
        <v>0</v>
      </c>
      <c r="AE581" s="319">
        <f>IF(AE$566&gt;=$C581,MIN(-(SUM($F581:AD581)-$E581),($E581*(1-$D$568))*$D581),0)*AE$564</f>
        <v>0</v>
      </c>
      <c r="AF581" s="319">
        <f>IF(AF$566&gt;=$C581,MIN(-(SUM($F581:AE581)-$E581),($E581*(1-$D$568))*$D581),0)*AF$564</f>
        <v>0</v>
      </c>
      <c r="AG581" s="319">
        <f>IF(AG$566&gt;=$C581,MIN(-(SUM($F581:AF581)-$E581),($E581*(1-$D$568))*$D581),0)*AG$564</f>
        <v>0</v>
      </c>
      <c r="AH581" s="319">
        <f>IF(AH$566&gt;=$C581,MIN(-(SUM($F581:AG581)-$E581),($E581*(1-$D$568))*$D581),0)*AH$564</f>
        <v>0</v>
      </c>
      <c r="AI581" s="319">
        <f>IF(AI$566&gt;=$C581,MIN(-(SUM($F581:AH581)-$E581),($E581*(1-$D$568))*$D581),0)*AI$564</f>
        <v>0</v>
      </c>
      <c r="AJ581" s="319">
        <f>IF(AJ$566&gt;=$C581,MIN(-(SUM($F581:AI581)-$E581),($E581*(1-$D$568))*$D581),0)*AJ$564</f>
        <v>0</v>
      </c>
      <c r="AK581" s="319">
        <f>IF(AK$566&gt;=$C581,MIN(-(SUM($F581:AJ581)-$E581),($E581*(1-$D$568))*$D581),0)*AK$564</f>
        <v>0</v>
      </c>
      <c r="AL581" s="319">
        <f>IF(AL$566&gt;=$C581,MIN(-(SUM($F581:AK581)-$E581),($E581*(1-$D$568))*$D581),0)*AL$564</f>
        <v>0</v>
      </c>
      <c r="AM581" s="319">
        <f>IF(AM$566&gt;=$C581,MIN(-(SUM($F581:AL581)-$E581),($E581*(1-$D$568))*$D581),0)*AM$564</f>
        <v>0</v>
      </c>
      <c r="AN581" s="319">
        <f>IF(AN$566&gt;=$C581,MIN(-(SUM($F581:AM581)-$E581),($E581*(1-$D$568))*$D581),0)*AN$564</f>
        <v>0</v>
      </c>
    </row>
    <row r="582" spans="3:40" outlineLevel="4">
      <c r="C582">
        <v>12</v>
      </c>
      <c r="D582">
        <f>Inputs!$D$261</f>
        <v>0.1</v>
      </c>
      <c r="E582" s="319">
        <v>88.907951674200007</v>
      </c>
      <c r="F582" s="461">
        <f>E582*D568</f>
        <v>0</v>
      </c>
      <c r="G582" s="319">
        <f>IF(G$566&gt;=$C582,MIN(-(SUM(F582:$F582)-$E582),($E582*(1-$D$568))*$D582),0)*G$564</f>
        <v>0</v>
      </c>
      <c r="H582" s="319">
        <f>IF(H$566&gt;=$C582,MIN(-(SUM($F582:G582)-$E582),($E582*(1-$D$568))*$D582),0)*H$564</f>
        <v>0</v>
      </c>
      <c r="I582" s="319">
        <f>IF(I$566&gt;=$C582,MIN(-(SUM($F582:H582)-$E582),($E582*(1-$D$568))*$D582),0)*I$564</f>
        <v>0</v>
      </c>
      <c r="J582" s="319">
        <f>IF(J$566&gt;=$C582,MIN(-(SUM($F582:I582)-$E582),($E582*(1-$D$568))*$D582),0)*J$564</f>
        <v>0</v>
      </c>
      <c r="K582" s="319">
        <f>IF(K$566&gt;=$C582,MIN(-(SUM($F582:J582)-$E582),($E582*(1-$D$568))*$D582),0)*K$564</f>
        <v>0</v>
      </c>
      <c r="L582" s="319">
        <f>IF(L$566&gt;=$C582,MIN(-(SUM($F582:K582)-$E582),($E582*(1-$D$568))*$D582),0)*L$564</f>
        <v>0</v>
      </c>
      <c r="M582" s="319">
        <f>IF(M$566&gt;=$C582,MIN(-(SUM($F582:L582)-$E582),($E582*(1-$D$568))*$D582),0)*M$564</f>
        <v>0</v>
      </c>
      <c r="N582" s="319">
        <f>IF(N$566&gt;=$C582,MIN(-(SUM($F582:M582)-$E582),($E582*(1-$D$568))*$D582),0)*N$564</f>
        <v>0</v>
      </c>
      <c r="O582" s="319">
        <f>IF(O$566&gt;=$C582,MIN(-(SUM($F582:N582)-$E582),($E582*(1-$D$568))*$D582),0)*O$564</f>
        <v>0</v>
      </c>
      <c r="P582" s="319">
        <f>IF(P$566&gt;=$C582,MIN(-(SUM($F582:O582)-$E582),($E582*(1-$D$568))*$D582),0)*P$564</f>
        <v>0</v>
      </c>
      <c r="Q582" s="319">
        <f>IF(Q$566&gt;=$C582,MIN(-(SUM($F582:P582)-$E582),($E582*(1-$D$568))*$D582),0)*Q$564</f>
        <v>0</v>
      </c>
      <c r="R582" s="319">
        <f>IF(R$566&gt;=$C582,MIN(-(SUM($F582:Q582)-$E582),($E582*(1-$D$568))*$D582),0)*R$564</f>
        <v>8.8907951674200003</v>
      </c>
      <c r="S582" s="319">
        <f>IF(S$566&gt;=$C582,MIN(-(SUM($F582:R582)-$E582),($E582*(1-$D$568))*$D582),0)*S$564</f>
        <v>8.8907951674200003</v>
      </c>
      <c r="T582" s="319">
        <f>IF(T$566&gt;=$C582,MIN(-(SUM($F582:S582)-$E582),($E582*(1-$D$568))*$D582),0)*T$564</f>
        <v>8.8907951674200003</v>
      </c>
      <c r="U582" s="319">
        <f>IF(U$566&gt;=$C582,MIN(-(SUM($F582:T582)-$E582),($E582*(1-$D$568))*$D582),0)*U$564</f>
        <v>8.8907951674200003</v>
      </c>
      <c r="V582" s="319">
        <f>IF(V$566&gt;=$C582,MIN(-(SUM($F582:U582)-$E582),($E582*(1-$D$568))*$D582),0)*V$564</f>
        <v>8.8907951674200003</v>
      </c>
      <c r="W582" s="319">
        <f>IF(W$566&gt;=$C582,MIN(-(SUM($F582:V582)-$E582),($E582*(1-$D$568))*$D582),0)*W$564</f>
        <v>8.8907951674200003</v>
      </c>
      <c r="X582" s="319">
        <f>IF(X$566&gt;=$C582,MIN(-(SUM($F582:W582)-$E582),($E582*(1-$D$568))*$D582),0)*X$564</f>
        <v>8.8907951674200003</v>
      </c>
      <c r="Y582" s="319">
        <f>IF(Y$566&gt;=$C582,MIN(-(SUM($F582:X582)-$E582),($E582*(1-$D$568))*$D582),0)*Y$564</f>
        <v>8.8907951674200003</v>
      </c>
      <c r="Z582" s="319">
        <f>IF(Z$566&gt;=$C582,MIN(-(SUM($F582:Y582)-$E582),($E582*(1-$D$568))*$D582),0)*Z$564</f>
        <v>8.8907951674200003</v>
      </c>
      <c r="AA582" s="319">
        <f>IF(AA$566&gt;=$C582,MIN(-(SUM($F582:Z582)-$E582),($E582*(1-$D$568))*$D582),0)*AA$564</f>
        <v>8.8907951674200003</v>
      </c>
      <c r="AB582" s="319">
        <f>IF(AB$566&gt;=$C582,MIN(-(SUM($F582:AA582)-$E582),($E582*(1-$D$568))*$D582),0)*AB$564</f>
        <v>1.4210854715202004E-14</v>
      </c>
      <c r="AC582" s="319">
        <f>IF(AC$566&gt;=$C582,MIN(-(SUM($F582:AB582)-$E582),($E582*(1-$D$568))*$D582),0)*AC$564</f>
        <v>0</v>
      </c>
      <c r="AD582" s="319">
        <f>IF(AD$566&gt;=$C582,MIN(-(SUM($F582:AC582)-$E582),($E582*(1-$D$568))*$D582),0)*AD$564</f>
        <v>0</v>
      </c>
      <c r="AE582" s="319">
        <f>IF(AE$566&gt;=$C582,MIN(-(SUM($F582:AD582)-$E582),($E582*(1-$D$568))*$D582),0)*AE$564</f>
        <v>0</v>
      </c>
      <c r="AF582" s="319">
        <f>IF(AF$566&gt;=$C582,MIN(-(SUM($F582:AE582)-$E582),($E582*(1-$D$568))*$D582),0)*AF$564</f>
        <v>0</v>
      </c>
      <c r="AG582" s="319">
        <f>IF(AG$566&gt;=$C582,MIN(-(SUM($F582:AF582)-$E582),($E582*(1-$D$568))*$D582),0)*AG$564</f>
        <v>0</v>
      </c>
      <c r="AH582" s="319">
        <f>IF(AH$566&gt;=$C582,MIN(-(SUM($F582:AG582)-$E582),($E582*(1-$D$568))*$D582),0)*AH$564</f>
        <v>0</v>
      </c>
      <c r="AI582" s="319">
        <f>IF(AI$566&gt;=$C582,MIN(-(SUM($F582:AH582)-$E582),($E582*(1-$D$568))*$D582),0)*AI$564</f>
        <v>0</v>
      </c>
      <c r="AJ582" s="319">
        <f>IF(AJ$566&gt;=$C582,MIN(-(SUM($F582:AI582)-$E582),($E582*(1-$D$568))*$D582),0)*AJ$564</f>
        <v>0</v>
      </c>
      <c r="AK582" s="319">
        <f>IF(AK$566&gt;=$C582,MIN(-(SUM($F582:AJ582)-$E582),($E582*(1-$D$568))*$D582),0)*AK$564</f>
        <v>0</v>
      </c>
      <c r="AL582" s="319">
        <f>IF(AL$566&gt;=$C582,MIN(-(SUM($F582:AK582)-$E582),($E582*(1-$D$568))*$D582),0)*AL$564</f>
        <v>0</v>
      </c>
      <c r="AM582" s="319">
        <f>IF(AM$566&gt;=$C582,MIN(-(SUM($F582:AL582)-$E582),($E582*(1-$D$568))*$D582),0)*AM$564</f>
        <v>0</v>
      </c>
      <c r="AN582" s="319">
        <f>IF(AN$566&gt;=$C582,MIN(-(SUM($F582:AM582)-$E582),($E582*(1-$D$568))*$D582),0)*AN$564</f>
        <v>0</v>
      </c>
    </row>
    <row r="583" spans="3:40" outlineLevel="4">
      <c r="C583">
        <v>13</v>
      </c>
      <c r="D583">
        <f>Inputs!$D$261</f>
        <v>0.1</v>
      </c>
      <c r="E583" s="319">
        <v>54.807301674200005</v>
      </c>
      <c r="F583" s="461">
        <f>E583*D568</f>
        <v>0</v>
      </c>
      <c r="G583" s="319">
        <f>IF(G$566&gt;=$C583,MIN(-(SUM(F583:$F583)-$E583),($E583*(1-$D$568))*$D583),0)*G$564</f>
        <v>0</v>
      </c>
      <c r="H583" s="319">
        <f>IF(H$566&gt;=$C583,MIN(-(SUM($F583:G583)-$E583),($E583*(1-$D$568))*$D583),0)*H$564</f>
        <v>0</v>
      </c>
      <c r="I583" s="319">
        <f>IF(I$566&gt;=$C583,MIN(-(SUM($F583:H583)-$E583),($E583*(1-$D$568))*$D583),0)*I$564</f>
        <v>0</v>
      </c>
      <c r="J583" s="319">
        <f>IF(J$566&gt;=$C583,MIN(-(SUM($F583:I583)-$E583),($E583*(1-$D$568))*$D583),0)*J$564</f>
        <v>0</v>
      </c>
      <c r="K583" s="319">
        <f>IF(K$566&gt;=$C583,MIN(-(SUM($F583:J583)-$E583),($E583*(1-$D$568))*$D583),0)*K$564</f>
        <v>0</v>
      </c>
      <c r="L583" s="319">
        <f>IF(L$566&gt;=$C583,MIN(-(SUM($F583:K583)-$E583),($E583*(1-$D$568))*$D583),0)*L$564</f>
        <v>0</v>
      </c>
      <c r="M583" s="319">
        <f>IF(M$566&gt;=$C583,MIN(-(SUM($F583:L583)-$E583),($E583*(1-$D$568))*$D583),0)*M$564</f>
        <v>0</v>
      </c>
      <c r="N583" s="319">
        <f>IF(N$566&gt;=$C583,MIN(-(SUM($F583:M583)-$E583),($E583*(1-$D$568))*$D583),0)*N$564</f>
        <v>0</v>
      </c>
      <c r="O583" s="319">
        <f>IF(O$566&gt;=$C583,MIN(-(SUM($F583:N583)-$E583),($E583*(1-$D$568))*$D583),0)*O$564</f>
        <v>0</v>
      </c>
      <c r="P583" s="319">
        <f>IF(P$566&gt;=$C583,MIN(-(SUM($F583:O583)-$E583),($E583*(1-$D$568))*$D583),0)*P$564</f>
        <v>0</v>
      </c>
      <c r="Q583" s="319">
        <f>IF(Q$566&gt;=$C583,MIN(-(SUM($F583:P583)-$E583),($E583*(1-$D$568))*$D583),0)*Q$564</f>
        <v>0</v>
      </c>
      <c r="R583" s="319">
        <f>IF(R$566&gt;=$C583,MIN(-(SUM($F583:Q583)-$E583),($E583*(1-$D$568))*$D583),0)*R$564</f>
        <v>0</v>
      </c>
      <c r="S583" s="319">
        <f>IF(S$566&gt;=$C583,MIN(-(SUM($F583:R583)-$E583),($E583*(1-$D$568))*$D583),0)*S$564</f>
        <v>5.4807301674200009</v>
      </c>
      <c r="T583" s="319">
        <f>IF(T$566&gt;=$C583,MIN(-(SUM($F583:S583)-$E583),($E583*(1-$D$568))*$D583),0)*T$564</f>
        <v>5.4807301674200009</v>
      </c>
      <c r="U583" s="319">
        <f>IF(U$566&gt;=$C583,MIN(-(SUM($F583:T583)-$E583),($E583*(1-$D$568))*$D583),0)*U$564</f>
        <v>5.4807301674200009</v>
      </c>
      <c r="V583" s="319">
        <f>IF(V$566&gt;=$C583,MIN(-(SUM($F583:U583)-$E583),($E583*(1-$D$568))*$D583),0)*V$564</f>
        <v>5.4807301674200009</v>
      </c>
      <c r="W583" s="319">
        <f>IF(W$566&gt;=$C583,MIN(-(SUM($F583:V583)-$E583),($E583*(1-$D$568))*$D583),0)*W$564</f>
        <v>5.4807301674200009</v>
      </c>
      <c r="X583" s="319">
        <f>IF(X$566&gt;=$C583,MIN(-(SUM($F583:W583)-$E583),($E583*(1-$D$568))*$D583),0)*X$564</f>
        <v>5.4807301674200009</v>
      </c>
      <c r="Y583" s="319">
        <f>IF(Y$566&gt;=$C583,MIN(-(SUM($F583:X583)-$E583),($E583*(1-$D$568))*$D583),0)*Y$564</f>
        <v>5.4807301674200009</v>
      </c>
      <c r="Z583" s="319">
        <f>IF(Z$566&gt;=$C583,MIN(-(SUM($F583:Y583)-$E583),($E583*(1-$D$568))*$D583),0)*Z$564</f>
        <v>5.4807301674200009</v>
      </c>
      <c r="AA583" s="319">
        <f>IF(AA$566&gt;=$C583,MIN(-(SUM($F583:Z583)-$E583),($E583*(1-$D$568))*$D583),0)*AA$564</f>
        <v>5.4807301674200009</v>
      </c>
      <c r="AB583" s="319">
        <f>IF(AB$566&gt;=$C583,MIN(-(SUM($F583:AA583)-$E583),($E583*(1-$D$568))*$D583),0)*AB$564</f>
        <v>5.4807301674200009</v>
      </c>
      <c r="AC583" s="319">
        <f>IF(AC$566&gt;=$C583,MIN(-(SUM($F583:AB583)-$E583),($E583*(1-$D$568))*$D583),0)*AC$564</f>
        <v>7.1054273576010019E-15</v>
      </c>
      <c r="AD583" s="319">
        <f>IF(AD$566&gt;=$C583,MIN(-(SUM($F583:AC583)-$E583),($E583*(1-$D$568))*$D583),0)*AD$564</f>
        <v>0</v>
      </c>
      <c r="AE583" s="319">
        <f>IF(AE$566&gt;=$C583,MIN(-(SUM($F583:AD583)-$E583),($E583*(1-$D$568))*$D583),0)*AE$564</f>
        <v>0</v>
      </c>
      <c r="AF583" s="319">
        <f>IF(AF$566&gt;=$C583,MIN(-(SUM($F583:AE583)-$E583),($E583*(1-$D$568))*$D583),0)*AF$564</f>
        <v>0</v>
      </c>
      <c r="AG583" s="319">
        <f>IF(AG$566&gt;=$C583,MIN(-(SUM($F583:AF583)-$E583),($E583*(1-$D$568))*$D583),0)*AG$564</f>
        <v>0</v>
      </c>
      <c r="AH583" s="319">
        <f>IF(AH$566&gt;=$C583,MIN(-(SUM($F583:AG583)-$E583),($E583*(1-$D$568))*$D583),0)*AH$564</f>
        <v>0</v>
      </c>
      <c r="AI583" s="319">
        <f>IF(AI$566&gt;=$C583,MIN(-(SUM($F583:AH583)-$E583),($E583*(1-$D$568))*$D583),0)*AI$564</f>
        <v>0</v>
      </c>
      <c r="AJ583" s="319">
        <f>IF(AJ$566&gt;=$C583,MIN(-(SUM($F583:AI583)-$E583),($E583*(1-$D$568))*$D583),0)*AJ$564</f>
        <v>0</v>
      </c>
      <c r="AK583" s="319">
        <f>IF(AK$566&gt;=$C583,MIN(-(SUM($F583:AJ583)-$E583),($E583*(1-$D$568))*$D583),0)*AK$564</f>
        <v>0</v>
      </c>
      <c r="AL583" s="319">
        <f>IF(AL$566&gt;=$C583,MIN(-(SUM($F583:AK583)-$E583),($E583*(1-$D$568))*$D583),0)*AL$564</f>
        <v>0</v>
      </c>
      <c r="AM583" s="319">
        <f>IF(AM$566&gt;=$C583,MIN(-(SUM($F583:AL583)-$E583),($E583*(1-$D$568))*$D583),0)*AM$564</f>
        <v>0</v>
      </c>
      <c r="AN583" s="319">
        <f>IF(AN$566&gt;=$C583,MIN(-(SUM($F583:AM583)-$E583),($E583*(1-$D$568))*$D583),0)*AN$564</f>
        <v>0</v>
      </c>
    </row>
    <row r="584" spans="3:40" outlineLevel="4">
      <c r="C584">
        <v>14</v>
      </c>
      <c r="D584">
        <f>Inputs!$D$261</f>
        <v>0.1</v>
      </c>
      <c r="E584" s="319">
        <v>158.80952295294401</v>
      </c>
      <c r="F584" s="461">
        <f>E584*D568</f>
        <v>0</v>
      </c>
      <c r="G584" s="319">
        <f>IF(G$566&gt;=$C584,MIN(-(SUM(F584:$F584)-$E584),($E584*(1-$D$568))*$D584),0)*G$564</f>
        <v>0</v>
      </c>
      <c r="H584" s="319">
        <f>IF(H$566&gt;=$C584,MIN(-(SUM($F584:G584)-$E584),($E584*(1-$D$568))*$D584),0)*H$564</f>
        <v>0</v>
      </c>
      <c r="I584" s="319">
        <f>IF(I$566&gt;=$C584,MIN(-(SUM($F584:H584)-$E584),($E584*(1-$D$568))*$D584),0)*I$564</f>
        <v>0</v>
      </c>
      <c r="J584" s="319">
        <f>IF(J$566&gt;=$C584,MIN(-(SUM($F584:I584)-$E584),($E584*(1-$D$568))*$D584),0)*J$564</f>
        <v>0</v>
      </c>
      <c r="K584" s="319">
        <f>IF(K$566&gt;=$C584,MIN(-(SUM($F584:J584)-$E584),($E584*(1-$D$568))*$D584),0)*K$564</f>
        <v>0</v>
      </c>
      <c r="L584" s="319">
        <f>IF(L$566&gt;=$C584,MIN(-(SUM($F584:K584)-$E584),($E584*(1-$D$568))*$D584),0)*L$564</f>
        <v>0</v>
      </c>
      <c r="M584" s="319">
        <f>IF(M$566&gt;=$C584,MIN(-(SUM($F584:L584)-$E584),($E584*(1-$D$568))*$D584),0)*M$564</f>
        <v>0</v>
      </c>
      <c r="N584" s="319">
        <f>IF(N$566&gt;=$C584,MIN(-(SUM($F584:M584)-$E584),($E584*(1-$D$568))*$D584),0)*N$564</f>
        <v>0</v>
      </c>
      <c r="O584" s="319">
        <f>IF(O$566&gt;=$C584,MIN(-(SUM($F584:N584)-$E584),($E584*(1-$D$568))*$D584),0)*O$564</f>
        <v>0</v>
      </c>
      <c r="P584" s="319">
        <f>IF(P$566&gt;=$C584,MIN(-(SUM($F584:O584)-$E584),($E584*(1-$D$568))*$D584),0)*P$564</f>
        <v>0</v>
      </c>
      <c r="Q584" s="319">
        <f>IF(Q$566&gt;=$C584,MIN(-(SUM($F584:P584)-$E584),($E584*(1-$D$568))*$D584),0)*Q$564</f>
        <v>0</v>
      </c>
      <c r="R584" s="319">
        <f>IF(R$566&gt;=$C584,MIN(-(SUM($F584:Q584)-$E584),($E584*(1-$D$568))*$D584),0)*R$564</f>
        <v>0</v>
      </c>
      <c r="S584" s="319">
        <f>IF(S$566&gt;=$C584,MIN(-(SUM($F584:R584)-$E584),($E584*(1-$D$568))*$D584),0)*S$564</f>
        <v>0</v>
      </c>
      <c r="T584" s="319">
        <f>IF(T$566&gt;=$C584,MIN(-(SUM($F584:S584)-$E584),($E584*(1-$D$568))*$D584),0)*T$564</f>
        <v>15.880952295294401</v>
      </c>
      <c r="U584" s="319">
        <f>IF(U$566&gt;=$C584,MIN(-(SUM($F584:T584)-$E584),($E584*(1-$D$568))*$D584),0)*U$564</f>
        <v>15.880952295294401</v>
      </c>
      <c r="V584" s="319">
        <f>IF(V$566&gt;=$C584,MIN(-(SUM($F584:U584)-$E584),($E584*(1-$D$568))*$D584),0)*V$564</f>
        <v>15.880952295294401</v>
      </c>
      <c r="W584" s="319">
        <f>IF(W$566&gt;=$C584,MIN(-(SUM($F584:V584)-$E584),($E584*(1-$D$568))*$D584),0)*W$564</f>
        <v>15.880952295294401</v>
      </c>
      <c r="X584" s="319">
        <f>IF(X$566&gt;=$C584,MIN(-(SUM($F584:W584)-$E584),($E584*(1-$D$568))*$D584),0)*X$564</f>
        <v>15.880952295294401</v>
      </c>
      <c r="Y584" s="319">
        <f>IF(Y$566&gt;=$C584,MIN(-(SUM($F584:X584)-$E584),($E584*(1-$D$568))*$D584),0)*Y$564</f>
        <v>15.880952295294401</v>
      </c>
      <c r="Z584" s="319">
        <f>IF(Z$566&gt;=$C584,MIN(-(SUM($F584:Y584)-$E584),($E584*(1-$D$568))*$D584),0)*Z$564</f>
        <v>15.880952295294401</v>
      </c>
      <c r="AA584" s="319">
        <f>IF(AA$566&gt;=$C584,MIN(-(SUM($F584:Z584)-$E584),($E584*(1-$D$568))*$D584),0)*AA$564</f>
        <v>15.880952295294401</v>
      </c>
      <c r="AB584" s="319">
        <f>IF(AB$566&gt;=$C584,MIN(-(SUM($F584:AA584)-$E584),($E584*(1-$D$568))*$D584),0)*AB$564</f>
        <v>15.880952295294401</v>
      </c>
      <c r="AC584" s="319">
        <f>IF(AC$566&gt;=$C584,MIN(-(SUM($F584:AB584)-$E584),($E584*(1-$D$568))*$D584),0)*AC$564</f>
        <v>15.880952295294378</v>
      </c>
      <c r="AD584" s="319">
        <f>IF(AD$566&gt;=$C584,MIN(-(SUM($F584:AC584)-$E584),($E584*(1-$D$568))*$D584),0)*AD$564</f>
        <v>0</v>
      </c>
      <c r="AE584" s="319">
        <f>IF(AE$566&gt;=$C584,MIN(-(SUM($F584:AD584)-$E584),($E584*(1-$D$568))*$D584),0)*AE$564</f>
        <v>0</v>
      </c>
      <c r="AF584" s="319">
        <f>IF(AF$566&gt;=$C584,MIN(-(SUM($F584:AE584)-$E584),($E584*(1-$D$568))*$D584),0)*AF$564</f>
        <v>0</v>
      </c>
      <c r="AG584" s="319">
        <f>IF(AG$566&gt;=$C584,MIN(-(SUM($F584:AF584)-$E584),($E584*(1-$D$568))*$D584),0)*AG$564</f>
        <v>0</v>
      </c>
      <c r="AH584" s="319">
        <f>IF(AH$566&gt;=$C584,MIN(-(SUM($F584:AG584)-$E584),($E584*(1-$D$568))*$D584),0)*AH$564</f>
        <v>0</v>
      </c>
      <c r="AI584" s="319">
        <f>IF(AI$566&gt;=$C584,MIN(-(SUM($F584:AH584)-$E584),($E584*(1-$D$568))*$D584),0)*AI$564</f>
        <v>0</v>
      </c>
      <c r="AJ584" s="319">
        <f>IF(AJ$566&gt;=$C584,MIN(-(SUM($F584:AI584)-$E584),($E584*(1-$D$568))*$D584),0)*AJ$564</f>
        <v>0</v>
      </c>
      <c r="AK584" s="319">
        <f>IF(AK$566&gt;=$C584,MIN(-(SUM($F584:AJ584)-$E584),($E584*(1-$D$568))*$D584),0)*AK$564</f>
        <v>0</v>
      </c>
      <c r="AL584" s="319">
        <f>IF(AL$566&gt;=$C584,MIN(-(SUM($F584:AK584)-$E584),($E584*(1-$D$568))*$D584),0)*AL$564</f>
        <v>0</v>
      </c>
      <c r="AM584" s="319">
        <f>IF(AM$566&gt;=$C584,MIN(-(SUM($F584:AL584)-$E584),($E584*(1-$D$568))*$D584),0)*AM$564</f>
        <v>0</v>
      </c>
      <c r="AN584" s="319">
        <f>IF(AN$566&gt;=$C584,MIN(-(SUM($F584:AM584)-$E584),($E584*(1-$D$568))*$D584),0)*AN$564</f>
        <v>0</v>
      </c>
    </row>
    <row r="585" spans="3:40" outlineLevel="4">
      <c r="C585">
        <v>15</v>
      </c>
      <c r="D585">
        <f>Inputs!$D$261</f>
        <v>0.1</v>
      </c>
      <c r="E585" s="319">
        <v>43.404541674200004</v>
      </c>
      <c r="F585" s="461">
        <f>E585*D568</f>
        <v>0</v>
      </c>
      <c r="G585" s="319">
        <f>IF(G$566&gt;=$C585,MIN(-(SUM(F585:$F585)-$E585),($E585*(1-$D$568))*$D585),0)*G$564</f>
        <v>0</v>
      </c>
      <c r="H585" s="319">
        <f>IF(H$566&gt;=$C585,MIN(-(SUM($F585:G585)-$E585),($E585*(1-$D$568))*$D585),0)*H$564</f>
        <v>0</v>
      </c>
      <c r="I585" s="319">
        <f>IF(I$566&gt;=$C585,MIN(-(SUM($F585:H585)-$E585),($E585*(1-$D$568))*$D585),0)*I$564</f>
        <v>0</v>
      </c>
      <c r="J585" s="319">
        <f>IF(J$566&gt;=$C585,MIN(-(SUM($F585:I585)-$E585),($E585*(1-$D$568))*$D585),0)*J$564</f>
        <v>0</v>
      </c>
      <c r="K585" s="319">
        <f>IF(K$566&gt;=$C585,MIN(-(SUM($F585:J585)-$E585),($E585*(1-$D$568))*$D585),0)*K$564</f>
        <v>0</v>
      </c>
      <c r="L585" s="319">
        <f>IF(L$566&gt;=$C585,MIN(-(SUM($F585:K585)-$E585),($E585*(1-$D$568))*$D585),0)*L$564</f>
        <v>0</v>
      </c>
      <c r="M585" s="319">
        <f>IF(M$566&gt;=$C585,MIN(-(SUM($F585:L585)-$E585),($E585*(1-$D$568))*$D585),0)*M$564</f>
        <v>0</v>
      </c>
      <c r="N585" s="319">
        <f>IF(N$566&gt;=$C585,MIN(-(SUM($F585:M585)-$E585),($E585*(1-$D$568))*$D585),0)*N$564</f>
        <v>0</v>
      </c>
      <c r="O585" s="319">
        <f>IF(O$566&gt;=$C585,MIN(-(SUM($F585:N585)-$E585),($E585*(1-$D$568))*$D585),0)*O$564</f>
        <v>0</v>
      </c>
      <c r="P585" s="319">
        <f>IF(P$566&gt;=$C585,MIN(-(SUM($F585:O585)-$E585),($E585*(1-$D$568))*$D585),0)*P$564</f>
        <v>0</v>
      </c>
      <c r="Q585" s="319">
        <f>IF(Q$566&gt;=$C585,MIN(-(SUM($F585:P585)-$E585),($E585*(1-$D$568))*$D585),0)*Q$564</f>
        <v>0</v>
      </c>
      <c r="R585" s="319">
        <f>IF(R$566&gt;=$C585,MIN(-(SUM($F585:Q585)-$E585),($E585*(1-$D$568))*$D585),0)*R$564</f>
        <v>0</v>
      </c>
      <c r="S585" s="319">
        <f>IF(S$566&gt;=$C585,MIN(-(SUM($F585:R585)-$E585),($E585*(1-$D$568))*$D585),0)*S$564</f>
        <v>0</v>
      </c>
      <c r="T585" s="319">
        <f>IF(T$566&gt;=$C585,MIN(-(SUM($F585:S585)-$E585),($E585*(1-$D$568))*$D585),0)*T$564</f>
        <v>0</v>
      </c>
      <c r="U585" s="319">
        <f>IF(U$566&gt;=$C585,MIN(-(SUM($F585:T585)-$E585),($E585*(1-$D$568))*$D585),0)*U$564</f>
        <v>4.3404541674200008</v>
      </c>
      <c r="V585" s="319">
        <f>IF(V$566&gt;=$C585,MIN(-(SUM($F585:U585)-$E585),($E585*(1-$D$568))*$D585),0)*V$564</f>
        <v>4.3404541674200008</v>
      </c>
      <c r="W585" s="319">
        <f>IF(W$566&gt;=$C585,MIN(-(SUM($F585:V585)-$E585),($E585*(1-$D$568))*$D585),0)*W$564</f>
        <v>4.3404541674200008</v>
      </c>
      <c r="X585" s="319">
        <f>IF(X$566&gt;=$C585,MIN(-(SUM($F585:W585)-$E585),($E585*(1-$D$568))*$D585),0)*X$564</f>
        <v>4.3404541674200008</v>
      </c>
      <c r="Y585" s="319">
        <f>IF(Y$566&gt;=$C585,MIN(-(SUM($F585:X585)-$E585),($E585*(1-$D$568))*$D585),0)*Y$564</f>
        <v>4.3404541674200008</v>
      </c>
      <c r="Z585" s="319">
        <f>IF(Z$566&gt;=$C585,MIN(-(SUM($F585:Y585)-$E585),($E585*(1-$D$568))*$D585),0)*Z$564</f>
        <v>4.3404541674200008</v>
      </c>
      <c r="AA585" s="319">
        <f>IF(AA$566&gt;=$C585,MIN(-(SUM($F585:Z585)-$E585),($E585*(1-$D$568))*$D585),0)*AA$564</f>
        <v>4.3404541674200008</v>
      </c>
      <c r="AB585" s="319">
        <f>IF(AB$566&gt;=$C585,MIN(-(SUM($F585:AA585)-$E585),($E585*(1-$D$568))*$D585),0)*AB$564</f>
        <v>4.3404541674200008</v>
      </c>
      <c r="AC585" s="319">
        <f>IF(AC$566&gt;=$C585,MIN(-(SUM($F585:AB585)-$E585),($E585*(1-$D$568))*$D585),0)*AC$564</f>
        <v>4.3404541674200008</v>
      </c>
      <c r="AD585" s="319">
        <f>IF(AD$566&gt;=$C585,MIN(-(SUM($F585:AC585)-$E585),($E585*(1-$D$568))*$D585),0)*AD$564</f>
        <v>4.3404541674200008</v>
      </c>
      <c r="AE585" s="319">
        <f>IF(AE$566&gt;=$C585,MIN(-(SUM($F585:AD585)-$E585),($E585*(1-$D$568))*$D585),0)*AE$564</f>
        <v>7.1054273576010019E-15</v>
      </c>
      <c r="AF585" s="319">
        <f>IF(AF$566&gt;=$C585,MIN(-(SUM($F585:AE585)-$E585),($E585*(1-$D$568))*$D585),0)*AF$564</f>
        <v>0</v>
      </c>
      <c r="AG585" s="319">
        <f>IF(AG$566&gt;=$C585,MIN(-(SUM($F585:AF585)-$E585),($E585*(1-$D$568))*$D585),0)*AG$564</f>
        <v>0</v>
      </c>
      <c r="AH585" s="319">
        <f>IF(AH$566&gt;=$C585,MIN(-(SUM($F585:AG585)-$E585),($E585*(1-$D$568))*$D585),0)*AH$564</f>
        <v>0</v>
      </c>
      <c r="AI585" s="319">
        <f>IF(AI$566&gt;=$C585,MIN(-(SUM($F585:AH585)-$E585),($E585*(1-$D$568))*$D585),0)*AI$564</f>
        <v>0</v>
      </c>
      <c r="AJ585" s="319">
        <f>IF(AJ$566&gt;=$C585,MIN(-(SUM($F585:AI585)-$E585),($E585*(1-$D$568))*$D585),0)*AJ$564</f>
        <v>0</v>
      </c>
      <c r="AK585" s="319">
        <f>IF(AK$566&gt;=$C585,MIN(-(SUM($F585:AJ585)-$E585),($E585*(1-$D$568))*$D585),0)*AK$564</f>
        <v>0</v>
      </c>
      <c r="AL585" s="319">
        <f>IF(AL$566&gt;=$C585,MIN(-(SUM($F585:AK585)-$E585),($E585*(1-$D$568))*$D585),0)*AL$564</f>
        <v>0</v>
      </c>
      <c r="AM585" s="319">
        <f>IF(AM$566&gt;=$C585,MIN(-(SUM($F585:AL585)-$E585),($E585*(1-$D$568))*$D585),0)*AM$564</f>
        <v>0</v>
      </c>
      <c r="AN585" s="319">
        <f>IF(AN$566&gt;=$C585,MIN(-(SUM($F585:AM585)-$E585),($E585*(1-$D$568))*$D585),0)*AN$564</f>
        <v>0</v>
      </c>
    </row>
    <row r="586" spans="3:40" outlineLevel="4">
      <c r="C586">
        <v>16</v>
      </c>
      <c r="D586">
        <f>Inputs!$D$261</f>
        <v>0.1</v>
      </c>
      <c r="E586" s="319">
        <v>49.389111710199998</v>
      </c>
      <c r="F586" s="461">
        <f>E586*D568</f>
        <v>0</v>
      </c>
      <c r="G586" s="319">
        <f>IF(G$566&gt;=$C586,MIN(-(SUM(F586:$F586)-$E586),($E586*(1-$D$568))*$D586),0)*G$564</f>
        <v>0</v>
      </c>
      <c r="H586" s="319">
        <f>IF(H$566&gt;=$C586,MIN(-(SUM($F586:G586)-$E586),($E586*(1-$D$568))*$D586),0)*H$564</f>
        <v>0</v>
      </c>
      <c r="I586" s="319">
        <f>IF(I$566&gt;=$C586,MIN(-(SUM($F586:H586)-$E586),($E586*(1-$D$568))*$D586),0)*I$564</f>
        <v>0</v>
      </c>
      <c r="J586" s="319">
        <f>IF(J$566&gt;=$C586,MIN(-(SUM($F586:I586)-$E586),($E586*(1-$D$568))*$D586),0)*J$564</f>
        <v>0</v>
      </c>
      <c r="K586" s="319">
        <f>IF(K$566&gt;=$C586,MIN(-(SUM($F586:J586)-$E586),($E586*(1-$D$568))*$D586),0)*K$564</f>
        <v>0</v>
      </c>
      <c r="L586" s="319">
        <f>IF(L$566&gt;=$C586,MIN(-(SUM($F586:K586)-$E586),($E586*(1-$D$568))*$D586),0)*L$564</f>
        <v>0</v>
      </c>
      <c r="M586" s="319">
        <f>IF(M$566&gt;=$C586,MIN(-(SUM($F586:L586)-$E586),($E586*(1-$D$568))*$D586),0)*M$564</f>
        <v>0</v>
      </c>
      <c r="N586" s="319">
        <f>IF(N$566&gt;=$C586,MIN(-(SUM($F586:M586)-$E586),($E586*(1-$D$568))*$D586),0)*N$564</f>
        <v>0</v>
      </c>
      <c r="O586" s="319">
        <f>IF(O$566&gt;=$C586,MIN(-(SUM($F586:N586)-$E586),($E586*(1-$D$568))*$D586),0)*O$564</f>
        <v>0</v>
      </c>
      <c r="P586" s="319">
        <f>IF(P$566&gt;=$C586,MIN(-(SUM($F586:O586)-$E586),($E586*(1-$D$568))*$D586),0)*P$564</f>
        <v>0</v>
      </c>
      <c r="Q586" s="319">
        <f>IF(Q$566&gt;=$C586,MIN(-(SUM($F586:P586)-$E586),($E586*(1-$D$568))*$D586),0)*Q$564</f>
        <v>0</v>
      </c>
      <c r="R586" s="319">
        <f>IF(R$566&gt;=$C586,MIN(-(SUM($F586:Q586)-$E586),($E586*(1-$D$568))*$D586),0)*R$564</f>
        <v>0</v>
      </c>
      <c r="S586" s="319">
        <f>IF(S$566&gt;=$C586,MIN(-(SUM($F586:R586)-$E586),($E586*(1-$D$568))*$D586),0)*S$564</f>
        <v>0</v>
      </c>
      <c r="T586" s="319">
        <f>IF(T$566&gt;=$C586,MIN(-(SUM($F586:S586)-$E586),($E586*(1-$D$568))*$D586),0)*T$564</f>
        <v>0</v>
      </c>
      <c r="U586" s="319">
        <f>IF(U$566&gt;=$C586,MIN(-(SUM($F586:T586)-$E586),($E586*(1-$D$568))*$D586),0)*U$564</f>
        <v>0</v>
      </c>
      <c r="V586" s="319">
        <f>IF(V$566&gt;=$C586,MIN(-(SUM($F586:U586)-$E586),($E586*(1-$D$568))*$D586),0)*V$564</f>
        <v>4.93891117102</v>
      </c>
      <c r="W586" s="319">
        <f>IF(W$566&gt;=$C586,MIN(-(SUM($F586:V586)-$E586),($E586*(1-$D$568))*$D586),0)*W$564</f>
        <v>4.93891117102</v>
      </c>
      <c r="X586" s="319">
        <f>IF(X$566&gt;=$C586,MIN(-(SUM($F586:W586)-$E586),($E586*(1-$D$568))*$D586),0)*X$564</f>
        <v>4.93891117102</v>
      </c>
      <c r="Y586" s="319">
        <f>IF(Y$566&gt;=$C586,MIN(-(SUM($F586:X586)-$E586),($E586*(1-$D$568))*$D586),0)*Y$564</f>
        <v>4.93891117102</v>
      </c>
      <c r="Z586" s="319">
        <f>IF(Z$566&gt;=$C586,MIN(-(SUM($F586:Y586)-$E586),($E586*(1-$D$568))*$D586),0)*Z$564</f>
        <v>4.93891117102</v>
      </c>
      <c r="AA586" s="319">
        <f>IF(AA$566&gt;=$C586,MIN(-(SUM($F586:Z586)-$E586),($E586*(1-$D$568))*$D586),0)*AA$564</f>
        <v>4.93891117102</v>
      </c>
      <c r="AB586" s="319">
        <f>IF(AB$566&gt;=$C586,MIN(-(SUM($F586:AA586)-$E586),($E586*(1-$D$568))*$D586),0)*AB$564</f>
        <v>4.93891117102</v>
      </c>
      <c r="AC586" s="319">
        <f>IF(AC$566&gt;=$C586,MIN(-(SUM($F586:AB586)-$E586),($E586*(1-$D$568))*$D586),0)*AC$564</f>
        <v>4.93891117102</v>
      </c>
      <c r="AD586" s="319">
        <f>IF(AD$566&gt;=$C586,MIN(-(SUM($F586:AC586)-$E586),($E586*(1-$D$568))*$D586),0)*AD$564</f>
        <v>4.93891117102</v>
      </c>
      <c r="AE586" s="319">
        <f>IF(AE$566&gt;=$C586,MIN(-(SUM($F586:AD586)-$E586),($E586*(1-$D$568))*$D586),0)*AE$564</f>
        <v>4.9389111710199955</v>
      </c>
      <c r="AF586" s="319">
        <f>IF(AF$566&gt;=$C586,MIN(-(SUM($F586:AE586)-$E586),($E586*(1-$D$568))*$D586),0)*AF$564</f>
        <v>0</v>
      </c>
      <c r="AG586" s="319">
        <f>IF(AG$566&gt;=$C586,MIN(-(SUM($F586:AF586)-$E586),($E586*(1-$D$568))*$D586),0)*AG$564</f>
        <v>0</v>
      </c>
      <c r="AH586" s="319">
        <f>IF(AH$566&gt;=$C586,MIN(-(SUM($F586:AG586)-$E586),($E586*(1-$D$568))*$D586),0)*AH$564</f>
        <v>0</v>
      </c>
      <c r="AI586" s="319">
        <f>IF(AI$566&gt;=$C586,MIN(-(SUM($F586:AH586)-$E586),($E586*(1-$D$568))*$D586),0)*AI$564</f>
        <v>0</v>
      </c>
      <c r="AJ586" s="319">
        <f>IF(AJ$566&gt;=$C586,MIN(-(SUM($F586:AI586)-$E586),($E586*(1-$D$568))*$D586),0)*AJ$564</f>
        <v>0</v>
      </c>
      <c r="AK586" s="319">
        <f>IF(AK$566&gt;=$C586,MIN(-(SUM($F586:AJ586)-$E586),($E586*(1-$D$568))*$D586),0)*AK$564</f>
        <v>0</v>
      </c>
      <c r="AL586" s="319">
        <f>IF(AL$566&gt;=$C586,MIN(-(SUM($F586:AK586)-$E586),($E586*(1-$D$568))*$D586),0)*AL$564</f>
        <v>0</v>
      </c>
      <c r="AM586" s="319">
        <f>IF(AM$566&gt;=$C586,MIN(-(SUM($F586:AL586)-$E586),($E586*(1-$D$568))*$D586),0)*AM$564</f>
        <v>0</v>
      </c>
      <c r="AN586" s="319">
        <f>IF(AN$566&gt;=$C586,MIN(-(SUM($F586:AM586)-$E586),($E586*(1-$D$568))*$D586),0)*AN$564</f>
        <v>0</v>
      </c>
    </row>
    <row r="587" spans="3:40" outlineLevel="4">
      <c r="C587">
        <v>17</v>
      </c>
      <c r="D587">
        <f>Inputs!$D$261</f>
        <v>0.1</v>
      </c>
      <c r="E587" s="319">
        <v>58.830451674199999</v>
      </c>
      <c r="F587" s="461">
        <f>E587*D568</f>
        <v>0</v>
      </c>
      <c r="G587" s="319">
        <f>IF(G$566&gt;=$C587,MIN(-(SUM(F587:$F587)-$E587),($E587*(1-$D$568))*$D587),0)*G$564</f>
        <v>0</v>
      </c>
      <c r="H587" s="319">
        <f>IF(H$566&gt;=$C587,MIN(-(SUM($F587:G587)-$E587),($E587*(1-$D$568))*$D587),0)*H$564</f>
        <v>0</v>
      </c>
      <c r="I587" s="319">
        <f>IF(I$566&gt;=$C587,MIN(-(SUM($F587:H587)-$E587),($E587*(1-$D$568))*$D587),0)*I$564</f>
        <v>0</v>
      </c>
      <c r="J587" s="319">
        <f>IF(J$566&gt;=$C587,MIN(-(SUM($F587:I587)-$E587),($E587*(1-$D$568))*$D587),0)*J$564</f>
        <v>0</v>
      </c>
      <c r="K587" s="319">
        <f>IF(K$566&gt;=$C587,MIN(-(SUM($F587:J587)-$E587),($E587*(1-$D$568))*$D587),0)*K$564</f>
        <v>0</v>
      </c>
      <c r="L587" s="319">
        <f>IF(L$566&gt;=$C587,MIN(-(SUM($F587:K587)-$E587),($E587*(1-$D$568))*$D587),0)*L$564</f>
        <v>0</v>
      </c>
      <c r="M587" s="319">
        <f>IF(M$566&gt;=$C587,MIN(-(SUM($F587:L587)-$E587),($E587*(1-$D$568))*$D587),0)*M$564</f>
        <v>0</v>
      </c>
      <c r="N587" s="319">
        <f>IF(N$566&gt;=$C587,MIN(-(SUM($F587:M587)-$E587),($E587*(1-$D$568))*$D587),0)*N$564</f>
        <v>0</v>
      </c>
      <c r="O587" s="319">
        <f>IF(O$566&gt;=$C587,MIN(-(SUM($F587:N587)-$E587),($E587*(1-$D$568))*$D587),0)*O$564</f>
        <v>0</v>
      </c>
      <c r="P587" s="319">
        <f>IF(P$566&gt;=$C587,MIN(-(SUM($F587:O587)-$E587),($E587*(1-$D$568))*$D587),0)*P$564</f>
        <v>0</v>
      </c>
      <c r="Q587" s="319">
        <f>IF(Q$566&gt;=$C587,MIN(-(SUM($F587:P587)-$E587),($E587*(1-$D$568))*$D587),0)*Q$564</f>
        <v>0</v>
      </c>
      <c r="R587" s="319">
        <f>IF(R$566&gt;=$C587,MIN(-(SUM($F587:Q587)-$E587),($E587*(1-$D$568))*$D587),0)*R$564</f>
        <v>0</v>
      </c>
      <c r="S587" s="319">
        <f>IF(S$566&gt;=$C587,MIN(-(SUM($F587:R587)-$E587),($E587*(1-$D$568))*$D587),0)*S$564</f>
        <v>0</v>
      </c>
      <c r="T587" s="319">
        <f>IF(T$566&gt;=$C587,MIN(-(SUM($F587:S587)-$E587),($E587*(1-$D$568))*$D587),0)*T$564</f>
        <v>0</v>
      </c>
      <c r="U587" s="319">
        <f>IF(U$566&gt;=$C587,MIN(-(SUM($F587:T587)-$E587),($E587*(1-$D$568))*$D587),0)*U$564</f>
        <v>0</v>
      </c>
      <c r="V587" s="319">
        <f>IF(V$566&gt;=$C587,MIN(-(SUM($F587:U587)-$E587),($E587*(1-$D$568))*$D587),0)*V$564</f>
        <v>0</v>
      </c>
      <c r="W587" s="319">
        <f>IF(W$566&gt;=$C587,MIN(-(SUM($F587:V587)-$E587),($E587*(1-$D$568))*$D587),0)*W$564</f>
        <v>5.8830451674200006</v>
      </c>
      <c r="X587" s="319">
        <f>IF(X$566&gt;=$C587,MIN(-(SUM($F587:W587)-$E587),($E587*(1-$D$568))*$D587),0)*X$564</f>
        <v>5.8830451674200006</v>
      </c>
      <c r="Y587" s="319">
        <f>IF(Y$566&gt;=$C587,MIN(-(SUM($F587:X587)-$E587),($E587*(1-$D$568))*$D587),0)*Y$564</f>
        <v>5.8830451674200006</v>
      </c>
      <c r="Z587" s="319">
        <f>IF(Z$566&gt;=$C587,MIN(-(SUM($F587:Y587)-$E587),($E587*(1-$D$568))*$D587),0)*Z$564</f>
        <v>5.8830451674200006</v>
      </c>
      <c r="AA587" s="319">
        <f>IF(AA$566&gt;=$C587,MIN(-(SUM($F587:Z587)-$E587),($E587*(1-$D$568))*$D587),0)*AA$564</f>
        <v>5.8830451674200006</v>
      </c>
      <c r="AB587" s="319">
        <f>IF(AB$566&gt;=$C587,MIN(-(SUM($F587:AA587)-$E587),($E587*(1-$D$568))*$D587),0)*AB$564</f>
        <v>5.8830451674200006</v>
      </c>
      <c r="AC587" s="319">
        <f>IF(AC$566&gt;=$C587,MIN(-(SUM($F587:AB587)-$E587),($E587*(1-$D$568))*$D587),0)*AC$564</f>
        <v>5.8830451674200006</v>
      </c>
      <c r="AD587" s="319">
        <f>IF(AD$566&gt;=$C587,MIN(-(SUM($F587:AC587)-$E587),($E587*(1-$D$568))*$D587),0)*AD$564</f>
        <v>5.8830451674200006</v>
      </c>
      <c r="AE587" s="319">
        <f>IF(AE$566&gt;=$C587,MIN(-(SUM($F587:AD587)-$E587),($E587*(1-$D$568))*$D587),0)*AE$564</f>
        <v>5.8830451674200006</v>
      </c>
      <c r="AF587" s="319">
        <f>IF(AF$566&gt;=$C587,MIN(-(SUM($F587:AE587)-$E587),($E587*(1-$D$568))*$D587),0)*AF$564</f>
        <v>5.8830451674199935</v>
      </c>
      <c r="AG587" s="319">
        <f>IF(AG$566&gt;=$C587,MIN(-(SUM($F587:AF587)-$E587),($E587*(1-$D$568))*$D587),0)*AG$564</f>
        <v>0</v>
      </c>
      <c r="AH587" s="319">
        <f>IF(AH$566&gt;=$C587,MIN(-(SUM($F587:AG587)-$E587),($E587*(1-$D$568))*$D587),0)*AH$564</f>
        <v>0</v>
      </c>
      <c r="AI587" s="319">
        <f>IF(AI$566&gt;=$C587,MIN(-(SUM($F587:AH587)-$E587),($E587*(1-$D$568))*$D587),0)*AI$564</f>
        <v>0</v>
      </c>
      <c r="AJ587" s="319">
        <f>IF(AJ$566&gt;=$C587,MIN(-(SUM($F587:AI587)-$E587),($E587*(1-$D$568))*$D587),0)*AJ$564</f>
        <v>0</v>
      </c>
      <c r="AK587" s="319">
        <f>IF(AK$566&gt;=$C587,MIN(-(SUM($F587:AJ587)-$E587),($E587*(1-$D$568))*$D587),0)*AK$564</f>
        <v>0</v>
      </c>
      <c r="AL587" s="319">
        <f>IF(AL$566&gt;=$C587,MIN(-(SUM($F587:AK587)-$E587),($E587*(1-$D$568))*$D587),0)*AL$564</f>
        <v>0</v>
      </c>
      <c r="AM587" s="319">
        <f>IF(AM$566&gt;=$C587,MIN(-(SUM($F587:AL587)-$E587),($E587*(1-$D$568))*$D587),0)*AM$564</f>
        <v>0</v>
      </c>
      <c r="AN587" s="319">
        <f>IF(AN$566&gt;=$C587,MIN(-(SUM($F587:AM587)-$E587),($E587*(1-$D$568))*$D587),0)*AN$564</f>
        <v>0</v>
      </c>
    </row>
    <row r="588" spans="3:40" outlineLevel="4">
      <c r="C588">
        <v>18</v>
      </c>
      <c r="D588">
        <f>Inputs!$D$261</f>
        <v>0.1</v>
      </c>
      <c r="E588" s="319">
        <v>46.119801674200005</v>
      </c>
      <c r="F588" s="461">
        <f>E588*D568</f>
        <v>0</v>
      </c>
      <c r="G588" s="319">
        <f>IF(G$566&gt;=$C588,MIN(-(SUM(F588:$F588)-$E588),($E588*(1-$D$568))*$D588),0)*G$564</f>
        <v>0</v>
      </c>
      <c r="H588" s="319">
        <f>IF(H$566&gt;=$C588,MIN(-(SUM($F588:G588)-$E588),($E588*(1-$D$568))*$D588),0)*H$564</f>
        <v>0</v>
      </c>
      <c r="I588" s="319">
        <f>IF(I$566&gt;=$C588,MIN(-(SUM($F588:H588)-$E588),($E588*(1-$D$568))*$D588),0)*I$564</f>
        <v>0</v>
      </c>
      <c r="J588" s="319">
        <f>IF(J$566&gt;=$C588,MIN(-(SUM($F588:I588)-$E588),($E588*(1-$D$568))*$D588),0)*J$564</f>
        <v>0</v>
      </c>
      <c r="K588" s="319">
        <f>IF(K$566&gt;=$C588,MIN(-(SUM($F588:J588)-$E588),($E588*(1-$D$568))*$D588),0)*K$564</f>
        <v>0</v>
      </c>
      <c r="L588" s="319">
        <f>IF(L$566&gt;=$C588,MIN(-(SUM($F588:K588)-$E588),($E588*(1-$D$568))*$D588),0)*L$564</f>
        <v>0</v>
      </c>
      <c r="M588" s="319">
        <f>IF(M$566&gt;=$C588,MIN(-(SUM($F588:L588)-$E588),($E588*(1-$D$568))*$D588),0)*M$564</f>
        <v>0</v>
      </c>
      <c r="N588" s="319">
        <f>IF(N$566&gt;=$C588,MIN(-(SUM($F588:M588)-$E588),($E588*(1-$D$568))*$D588),0)*N$564</f>
        <v>0</v>
      </c>
      <c r="O588" s="319">
        <f>IF(O$566&gt;=$C588,MIN(-(SUM($F588:N588)-$E588),($E588*(1-$D$568))*$D588),0)*O$564</f>
        <v>0</v>
      </c>
      <c r="P588" s="319">
        <f>IF(P$566&gt;=$C588,MIN(-(SUM($F588:O588)-$E588),($E588*(1-$D$568))*$D588),0)*P$564</f>
        <v>0</v>
      </c>
      <c r="Q588" s="319">
        <f>IF(Q$566&gt;=$C588,MIN(-(SUM($F588:P588)-$E588),($E588*(1-$D$568))*$D588),0)*Q$564</f>
        <v>0</v>
      </c>
      <c r="R588" s="319">
        <f>IF(R$566&gt;=$C588,MIN(-(SUM($F588:Q588)-$E588),($E588*(1-$D$568))*$D588),0)*R$564</f>
        <v>0</v>
      </c>
      <c r="S588" s="319">
        <f>IF(S$566&gt;=$C588,MIN(-(SUM($F588:R588)-$E588),($E588*(1-$D$568))*$D588),0)*S$564</f>
        <v>0</v>
      </c>
      <c r="T588" s="319">
        <f>IF(T$566&gt;=$C588,MIN(-(SUM($F588:S588)-$E588),($E588*(1-$D$568))*$D588),0)*T$564</f>
        <v>0</v>
      </c>
      <c r="U588" s="319">
        <f>IF(U$566&gt;=$C588,MIN(-(SUM($F588:T588)-$E588),($E588*(1-$D$568))*$D588),0)*U$564</f>
        <v>0</v>
      </c>
      <c r="V588" s="319">
        <f>IF(V$566&gt;=$C588,MIN(-(SUM($F588:U588)-$E588),($E588*(1-$D$568))*$D588),0)*V$564</f>
        <v>0</v>
      </c>
      <c r="W588" s="319">
        <f>IF(W$566&gt;=$C588,MIN(-(SUM($F588:V588)-$E588),($E588*(1-$D$568))*$D588),0)*W$564</f>
        <v>0</v>
      </c>
      <c r="X588" s="319">
        <f>IF(X$566&gt;=$C588,MIN(-(SUM($F588:W588)-$E588),($E588*(1-$D$568))*$D588),0)*X$564</f>
        <v>4.6119801674200005</v>
      </c>
      <c r="Y588" s="319">
        <f>IF(Y$566&gt;=$C588,MIN(-(SUM($F588:X588)-$E588),($E588*(1-$D$568))*$D588),0)*Y$564</f>
        <v>4.6119801674200005</v>
      </c>
      <c r="Z588" s="319">
        <f>IF(Z$566&gt;=$C588,MIN(-(SUM($F588:Y588)-$E588),($E588*(1-$D$568))*$D588),0)*Z$564</f>
        <v>4.6119801674200005</v>
      </c>
      <c r="AA588" s="319">
        <f>IF(AA$566&gt;=$C588,MIN(-(SUM($F588:Z588)-$E588),($E588*(1-$D$568))*$D588),0)*AA$564</f>
        <v>4.6119801674200005</v>
      </c>
      <c r="AB588" s="319">
        <f>IF(AB$566&gt;=$C588,MIN(-(SUM($F588:AA588)-$E588),($E588*(1-$D$568))*$D588),0)*AB$564</f>
        <v>4.6119801674200005</v>
      </c>
      <c r="AC588" s="319">
        <f>IF(AC$566&gt;=$C588,MIN(-(SUM($F588:AB588)-$E588),($E588*(1-$D$568))*$D588),0)*AC$564</f>
        <v>4.6119801674200005</v>
      </c>
      <c r="AD588" s="319">
        <f>IF(AD$566&gt;=$C588,MIN(-(SUM($F588:AC588)-$E588),($E588*(1-$D$568))*$D588),0)*AD$564</f>
        <v>4.6119801674200005</v>
      </c>
      <c r="AE588" s="319">
        <f>IF(AE$566&gt;=$C588,MIN(-(SUM($F588:AD588)-$E588),($E588*(1-$D$568))*$D588),0)*AE$564</f>
        <v>4.6119801674200005</v>
      </c>
      <c r="AF588" s="319">
        <f>IF(AF$566&gt;=$C588,MIN(-(SUM($F588:AE588)-$E588),($E588*(1-$D$568))*$D588),0)*AF$564</f>
        <v>4.6119801674200005</v>
      </c>
      <c r="AG588" s="319">
        <f>IF(AG$566&gt;=$C588,MIN(-(SUM($F588:AF588)-$E588),($E588*(1-$D$568))*$D588),0)*AG$564</f>
        <v>4.6119801674200005</v>
      </c>
      <c r="AH588" s="319">
        <f>IF(AH$566&gt;=$C588,MIN(-(SUM($F588:AG588)-$E588),($E588*(1-$D$568))*$D588),0)*AH$564</f>
        <v>0</v>
      </c>
      <c r="AI588" s="319">
        <f>IF(AI$566&gt;=$C588,MIN(-(SUM($F588:AH588)-$E588),($E588*(1-$D$568))*$D588),0)*AI$564</f>
        <v>0</v>
      </c>
      <c r="AJ588" s="319">
        <f>IF(AJ$566&gt;=$C588,MIN(-(SUM($F588:AI588)-$E588),($E588*(1-$D$568))*$D588),0)*AJ$564</f>
        <v>0</v>
      </c>
      <c r="AK588" s="319">
        <f>IF(AK$566&gt;=$C588,MIN(-(SUM($F588:AJ588)-$E588),($E588*(1-$D$568))*$D588),0)*AK$564</f>
        <v>0</v>
      </c>
      <c r="AL588" s="319">
        <f>IF(AL$566&gt;=$C588,MIN(-(SUM($F588:AK588)-$E588),($E588*(1-$D$568))*$D588),0)*AL$564</f>
        <v>0</v>
      </c>
      <c r="AM588" s="319">
        <f>IF(AM$566&gt;=$C588,MIN(-(SUM($F588:AL588)-$E588),($E588*(1-$D$568))*$D588),0)*AM$564</f>
        <v>0</v>
      </c>
      <c r="AN588" s="319">
        <f>IF(AN$566&gt;=$C588,MIN(-(SUM($F588:AM588)-$E588),($E588*(1-$D$568))*$D588),0)*AN$564</f>
        <v>0</v>
      </c>
    </row>
    <row r="589" spans="3:40" outlineLevel="4">
      <c r="C589">
        <v>19</v>
      </c>
      <c r="D589">
        <f>Inputs!$D$261</f>
        <v>0.1</v>
      </c>
      <c r="E589" s="319">
        <v>49.327041674200004</v>
      </c>
      <c r="F589" s="461">
        <f>E589*D568</f>
        <v>0</v>
      </c>
      <c r="G589" s="319">
        <f>IF(G$566&gt;=$C589,MIN(-(SUM(F589:$F589)-$E589),($E589*(1-$D$568))*$D589),0)*G$564</f>
        <v>0</v>
      </c>
      <c r="H589" s="319">
        <f>IF(H$566&gt;=$C589,MIN(-(SUM($F589:G589)-$E589),($E589*(1-$D$568))*$D589),0)*H$564</f>
        <v>0</v>
      </c>
      <c r="I589" s="319">
        <f>IF(I$566&gt;=$C589,MIN(-(SUM($F589:H589)-$E589),($E589*(1-$D$568))*$D589),0)*I$564</f>
        <v>0</v>
      </c>
      <c r="J589" s="319">
        <f>IF(J$566&gt;=$C589,MIN(-(SUM($F589:I589)-$E589),($E589*(1-$D$568))*$D589),0)*J$564</f>
        <v>0</v>
      </c>
      <c r="K589" s="319">
        <f>IF(K$566&gt;=$C589,MIN(-(SUM($F589:J589)-$E589),($E589*(1-$D$568))*$D589),0)*K$564</f>
        <v>0</v>
      </c>
      <c r="L589" s="319">
        <f>IF(L$566&gt;=$C589,MIN(-(SUM($F589:K589)-$E589),($E589*(1-$D$568))*$D589),0)*L$564</f>
        <v>0</v>
      </c>
      <c r="M589" s="319">
        <f>IF(M$566&gt;=$C589,MIN(-(SUM($F589:L589)-$E589),($E589*(1-$D$568))*$D589),0)*M$564</f>
        <v>0</v>
      </c>
      <c r="N589" s="319">
        <f>IF(N$566&gt;=$C589,MIN(-(SUM($F589:M589)-$E589),($E589*(1-$D$568))*$D589),0)*N$564</f>
        <v>0</v>
      </c>
      <c r="O589" s="319">
        <f>IF(O$566&gt;=$C589,MIN(-(SUM($F589:N589)-$E589),($E589*(1-$D$568))*$D589),0)*O$564</f>
        <v>0</v>
      </c>
      <c r="P589" s="319">
        <f>IF(P$566&gt;=$C589,MIN(-(SUM($F589:O589)-$E589),($E589*(1-$D$568))*$D589),0)*P$564</f>
        <v>0</v>
      </c>
      <c r="Q589" s="319">
        <f>IF(Q$566&gt;=$C589,MIN(-(SUM($F589:P589)-$E589),($E589*(1-$D$568))*$D589),0)*Q$564</f>
        <v>0</v>
      </c>
      <c r="R589" s="319">
        <f>IF(R$566&gt;=$C589,MIN(-(SUM($F589:Q589)-$E589),($E589*(1-$D$568))*$D589),0)*R$564</f>
        <v>0</v>
      </c>
      <c r="S589" s="319">
        <f>IF(S$566&gt;=$C589,MIN(-(SUM($F589:R589)-$E589),($E589*(1-$D$568))*$D589),0)*S$564</f>
        <v>0</v>
      </c>
      <c r="T589" s="319">
        <f>IF(T$566&gt;=$C589,MIN(-(SUM($F589:S589)-$E589),($E589*(1-$D$568))*$D589),0)*T$564</f>
        <v>0</v>
      </c>
      <c r="U589" s="319">
        <f>IF(U$566&gt;=$C589,MIN(-(SUM($F589:T589)-$E589),($E589*(1-$D$568))*$D589),0)*U$564</f>
        <v>0</v>
      </c>
      <c r="V589" s="319">
        <f>IF(V$566&gt;=$C589,MIN(-(SUM($F589:U589)-$E589),($E589*(1-$D$568))*$D589),0)*V$564</f>
        <v>0</v>
      </c>
      <c r="W589" s="319">
        <f>IF(W$566&gt;=$C589,MIN(-(SUM($F589:V589)-$E589),($E589*(1-$D$568))*$D589),0)*W$564</f>
        <v>0</v>
      </c>
      <c r="X589" s="319">
        <f>IF(X$566&gt;=$C589,MIN(-(SUM($F589:W589)-$E589),($E589*(1-$D$568))*$D589),0)*X$564</f>
        <v>0</v>
      </c>
      <c r="Y589" s="319">
        <f>IF(Y$566&gt;=$C589,MIN(-(SUM($F589:X589)-$E589),($E589*(1-$D$568))*$D589),0)*Y$564</f>
        <v>4.9327041674200007</v>
      </c>
      <c r="Z589" s="319">
        <f>IF(Z$566&gt;=$C589,MIN(-(SUM($F589:Y589)-$E589),($E589*(1-$D$568))*$D589),0)*Z$564</f>
        <v>4.9327041674200007</v>
      </c>
      <c r="AA589" s="319">
        <f>IF(AA$566&gt;=$C589,MIN(-(SUM($F589:Z589)-$E589),($E589*(1-$D$568))*$D589),0)*AA$564</f>
        <v>4.9327041674200007</v>
      </c>
      <c r="AB589" s="319">
        <f>IF(AB$566&gt;=$C589,MIN(-(SUM($F589:AA589)-$E589),($E589*(1-$D$568))*$D589),0)*AB$564</f>
        <v>4.9327041674200007</v>
      </c>
      <c r="AC589" s="319">
        <f>IF(AC$566&gt;=$C589,MIN(-(SUM($F589:AB589)-$E589),($E589*(1-$D$568))*$D589),0)*AC$564</f>
        <v>4.9327041674200007</v>
      </c>
      <c r="AD589" s="319">
        <f>IF(AD$566&gt;=$C589,MIN(-(SUM($F589:AC589)-$E589),($E589*(1-$D$568))*$D589),0)*AD$564</f>
        <v>4.9327041674200007</v>
      </c>
      <c r="AE589" s="319">
        <f>IF(AE$566&gt;=$C589,MIN(-(SUM($F589:AD589)-$E589),($E589*(1-$D$568))*$D589),0)*AE$564</f>
        <v>4.9327041674200007</v>
      </c>
      <c r="AF589" s="319">
        <f>IF(AF$566&gt;=$C589,MIN(-(SUM($F589:AE589)-$E589),($E589*(1-$D$568))*$D589),0)*AF$564</f>
        <v>4.9327041674200007</v>
      </c>
      <c r="AG589" s="319">
        <f>IF(AG$566&gt;=$C589,MIN(-(SUM($F589:AF589)-$E589),($E589*(1-$D$568))*$D589),0)*AG$564</f>
        <v>4.9327041674200007</v>
      </c>
      <c r="AH589" s="319">
        <f>IF(AH$566&gt;=$C589,MIN(-(SUM($F589:AG589)-$E589),($E589*(1-$D$568))*$D589),0)*AH$564</f>
        <v>4.9327041674200007</v>
      </c>
      <c r="AI589" s="319">
        <f>IF(AI$566&gt;=$C589,MIN(-(SUM($F589:AH589)-$E589),($E589*(1-$D$568))*$D589),0)*AI$564</f>
        <v>7.1054273576010019E-15</v>
      </c>
      <c r="AJ589" s="319">
        <f>IF(AJ$566&gt;=$C589,MIN(-(SUM($F589:AI589)-$E589),($E589*(1-$D$568))*$D589),0)*AJ$564</f>
        <v>0</v>
      </c>
      <c r="AK589" s="319">
        <f>IF(AK$566&gt;=$C589,MIN(-(SUM($F589:AJ589)-$E589),($E589*(1-$D$568))*$D589),0)*AK$564</f>
        <v>0</v>
      </c>
      <c r="AL589" s="319">
        <f>IF(AL$566&gt;=$C589,MIN(-(SUM($F589:AK589)-$E589),($E589*(1-$D$568))*$D589),0)*AL$564</f>
        <v>0</v>
      </c>
      <c r="AM589" s="319">
        <f>IF(AM$566&gt;=$C589,MIN(-(SUM($F589:AL589)-$E589),($E589*(1-$D$568))*$D589),0)*AM$564</f>
        <v>0</v>
      </c>
      <c r="AN589" s="319">
        <f>IF(AN$566&gt;=$C589,MIN(-(SUM($F589:AM589)-$E589),($E589*(1-$D$568))*$D589),0)*AN$564</f>
        <v>0</v>
      </c>
    </row>
    <row r="590" spans="3:40" outlineLevel="4">
      <c r="C590">
        <v>20</v>
      </c>
      <c r="D590">
        <f>Inputs!$D$261</f>
        <v>0.1</v>
      </c>
      <c r="E590" s="319">
        <v>49.327041674200004</v>
      </c>
      <c r="F590" s="461">
        <f>E590*D568</f>
        <v>0</v>
      </c>
      <c r="G590" s="319">
        <f>IF(G$566&gt;=$C590,MIN(-(SUM(F590:$F590)-$E590),($E590*(1-$D$568))*$D590),0)*G$564</f>
        <v>0</v>
      </c>
      <c r="H590" s="319">
        <f>IF(H$566&gt;=$C590,MIN(-(SUM($F590:G590)-$E590),($E590*(1-$D$568))*$D590),0)*H$564</f>
        <v>0</v>
      </c>
      <c r="I590" s="319">
        <f>IF(I$566&gt;=$C590,MIN(-(SUM($F590:H590)-$E590),($E590*(1-$D$568))*$D590),0)*I$564</f>
        <v>0</v>
      </c>
      <c r="J590" s="319">
        <f>IF(J$566&gt;=$C590,MIN(-(SUM($F590:I590)-$E590),($E590*(1-$D$568))*$D590),0)*J$564</f>
        <v>0</v>
      </c>
      <c r="K590" s="319">
        <f>IF(K$566&gt;=$C590,MIN(-(SUM($F590:J590)-$E590),($E590*(1-$D$568))*$D590),0)*K$564</f>
        <v>0</v>
      </c>
      <c r="L590" s="319">
        <f>IF(L$566&gt;=$C590,MIN(-(SUM($F590:K590)-$E590),($E590*(1-$D$568))*$D590),0)*L$564</f>
        <v>0</v>
      </c>
      <c r="M590" s="319">
        <f>IF(M$566&gt;=$C590,MIN(-(SUM($F590:L590)-$E590),($E590*(1-$D$568))*$D590),0)*M$564</f>
        <v>0</v>
      </c>
      <c r="N590" s="319">
        <f>IF(N$566&gt;=$C590,MIN(-(SUM($F590:M590)-$E590),($E590*(1-$D$568))*$D590),0)*N$564</f>
        <v>0</v>
      </c>
      <c r="O590" s="319">
        <f>IF(O$566&gt;=$C590,MIN(-(SUM($F590:N590)-$E590),($E590*(1-$D$568))*$D590),0)*O$564</f>
        <v>0</v>
      </c>
      <c r="P590" s="319">
        <f>IF(P$566&gt;=$C590,MIN(-(SUM($F590:O590)-$E590),($E590*(1-$D$568))*$D590),0)*P$564</f>
        <v>0</v>
      </c>
      <c r="Q590" s="319">
        <f>IF(Q$566&gt;=$C590,MIN(-(SUM($F590:P590)-$E590),($E590*(1-$D$568))*$D590),0)*Q$564</f>
        <v>0</v>
      </c>
      <c r="R590" s="319">
        <f>IF(R$566&gt;=$C590,MIN(-(SUM($F590:Q590)-$E590),($E590*(1-$D$568))*$D590),0)*R$564</f>
        <v>0</v>
      </c>
      <c r="S590" s="319">
        <f>IF(S$566&gt;=$C590,MIN(-(SUM($F590:R590)-$E590),($E590*(1-$D$568))*$D590),0)*S$564</f>
        <v>0</v>
      </c>
      <c r="T590" s="319">
        <f>IF(T$566&gt;=$C590,MIN(-(SUM($F590:S590)-$E590),($E590*(1-$D$568))*$D590),0)*T$564</f>
        <v>0</v>
      </c>
      <c r="U590" s="319">
        <f>IF(U$566&gt;=$C590,MIN(-(SUM($F590:T590)-$E590),($E590*(1-$D$568))*$D590),0)*U$564</f>
        <v>0</v>
      </c>
      <c r="V590" s="319">
        <f>IF(V$566&gt;=$C590,MIN(-(SUM($F590:U590)-$E590),($E590*(1-$D$568))*$D590),0)*V$564</f>
        <v>0</v>
      </c>
      <c r="W590" s="319">
        <f>IF(W$566&gt;=$C590,MIN(-(SUM($F590:V590)-$E590),($E590*(1-$D$568))*$D590),0)*W$564</f>
        <v>0</v>
      </c>
      <c r="X590" s="319">
        <f>IF(X$566&gt;=$C590,MIN(-(SUM($F590:W590)-$E590),($E590*(1-$D$568))*$D590),0)*X$564</f>
        <v>0</v>
      </c>
      <c r="Y590" s="319">
        <f>IF(Y$566&gt;=$C590,MIN(-(SUM($F590:X590)-$E590),($E590*(1-$D$568))*$D590),0)*Y$564</f>
        <v>0</v>
      </c>
      <c r="Z590" s="319">
        <f>IF(Z$566&gt;=$C590,MIN(-(SUM($F590:Y590)-$E590),($E590*(1-$D$568))*$D590),0)*Z$564</f>
        <v>4.9327041674200007</v>
      </c>
      <c r="AA590" s="319">
        <f>IF(AA$566&gt;=$C590,MIN(-(SUM($F590:Z590)-$E590),($E590*(1-$D$568))*$D590),0)*AA$564</f>
        <v>4.9327041674200007</v>
      </c>
      <c r="AB590" s="319">
        <f>IF(AB$566&gt;=$C590,MIN(-(SUM($F590:AA590)-$E590),($E590*(1-$D$568))*$D590),0)*AB$564</f>
        <v>4.9327041674200007</v>
      </c>
      <c r="AC590" s="319">
        <f>IF(AC$566&gt;=$C590,MIN(-(SUM($F590:AB590)-$E590),($E590*(1-$D$568))*$D590),0)*AC$564</f>
        <v>4.9327041674200007</v>
      </c>
      <c r="AD590" s="319">
        <f>IF(AD$566&gt;=$C590,MIN(-(SUM($F590:AC590)-$E590),($E590*(1-$D$568))*$D590),0)*AD$564</f>
        <v>4.9327041674200007</v>
      </c>
      <c r="AE590" s="319">
        <f>IF(AE$566&gt;=$C590,MIN(-(SUM($F590:AD590)-$E590),($E590*(1-$D$568))*$D590),0)*AE$564</f>
        <v>4.9327041674200007</v>
      </c>
      <c r="AF590" s="319">
        <f>IF(AF$566&gt;=$C590,MIN(-(SUM($F590:AE590)-$E590),($E590*(1-$D$568))*$D590),0)*AF$564</f>
        <v>4.9327041674200007</v>
      </c>
      <c r="AG590" s="319">
        <f>IF(AG$566&gt;=$C590,MIN(-(SUM($F590:AF590)-$E590),($E590*(1-$D$568))*$D590),0)*AG$564</f>
        <v>4.9327041674200007</v>
      </c>
      <c r="AH590" s="319">
        <f>IF(AH$566&gt;=$C590,MIN(-(SUM($F590:AG590)-$E590),($E590*(1-$D$568))*$D590),0)*AH$564</f>
        <v>4.9327041674200007</v>
      </c>
      <c r="AI590" s="319">
        <f>IF(AI$566&gt;=$C590,MIN(-(SUM($F590:AH590)-$E590),($E590*(1-$D$568))*$D590),0)*AI$564</f>
        <v>4.9327041674200007</v>
      </c>
      <c r="AJ590" s="319">
        <f>IF(AJ$566&gt;=$C590,MIN(-(SUM($F590:AI590)-$E590),($E590*(1-$D$568))*$D590),0)*AJ$564</f>
        <v>7.1054273576010019E-15</v>
      </c>
      <c r="AK590" s="319">
        <f>IF(AK$566&gt;=$C590,MIN(-(SUM($F590:AJ590)-$E590),($E590*(1-$D$568))*$D590),0)*AK$564</f>
        <v>0</v>
      </c>
      <c r="AL590" s="319">
        <f>IF(AL$566&gt;=$C590,MIN(-(SUM($F590:AK590)-$E590),($E590*(1-$D$568))*$D590),0)*AL$564</f>
        <v>0</v>
      </c>
      <c r="AM590" s="319">
        <f>IF(AM$566&gt;=$C590,MIN(-(SUM($F590:AL590)-$E590),($E590*(1-$D$568))*$D590),0)*AM$564</f>
        <v>0</v>
      </c>
      <c r="AN590" s="319">
        <f>IF(AN$566&gt;=$C590,MIN(-(SUM($F590:AM590)-$E590),($E590*(1-$D$568))*$D590),0)*AN$564</f>
        <v>0</v>
      </c>
    </row>
    <row r="591" spans="3:40" outlineLevel="4">
      <c r="C591">
        <v>21</v>
      </c>
      <c r="D591">
        <f>Inputs!$D$261</f>
        <v>0.1</v>
      </c>
      <c r="E591" s="319">
        <v>152.88702295294402</v>
      </c>
      <c r="F591" s="461">
        <f>E591*D568</f>
        <v>0</v>
      </c>
      <c r="G591" s="319">
        <f>IF(G$566&gt;=$C591,MIN(-(SUM(F591:$F591)-$E591),($E591*(1-$D$568))*$D591),0)*G$564</f>
        <v>0</v>
      </c>
      <c r="H591" s="319">
        <f>IF(H$566&gt;=$C591,MIN(-(SUM($F591:G591)-$E591),($E591*(1-$D$568))*$D591),0)*H$564</f>
        <v>0</v>
      </c>
      <c r="I591" s="319">
        <f>IF(I$566&gt;=$C591,MIN(-(SUM($F591:H591)-$E591),($E591*(1-$D$568))*$D591),0)*I$564</f>
        <v>0</v>
      </c>
      <c r="J591" s="319">
        <f>IF(J$566&gt;=$C591,MIN(-(SUM($F591:I591)-$E591),($E591*(1-$D$568))*$D591),0)*J$564</f>
        <v>0</v>
      </c>
      <c r="K591" s="319">
        <f>IF(K$566&gt;=$C591,MIN(-(SUM($F591:J591)-$E591),($E591*(1-$D$568))*$D591),0)*K$564</f>
        <v>0</v>
      </c>
      <c r="L591" s="319">
        <f>IF(L$566&gt;=$C591,MIN(-(SUM($F591:K591)-$E591),($E591*(1-$D$568))*$D591),0)*L$564</f>
        <v>0</v>
      </c>
      <c r="M591" s="319">
        <f>IF(M$566&gt;=$C591,MIN(-(SUM($F591:L591)-$E591),($E591*(1-$D$568))*$D591),0)*M$564</f>
        <v>0</v>
      </c>
      <c r="N591" s="319">
        <f>IF(N$566&gt;=$C591,MIN(-(SUM($F591:M591)-$E591),($E591*(1-$D$568))*$D591),0)*N$564</f>
        <v>0</v>
      </c>
      <c r="O591" s="319">
        <f>IF(O$566&gt;=$C591,MIN(-(SUM($F591:N591)-$E591),($E591*(1-$D$568))*$D591),0)*O$564</f>
        <v>0</v>
      </c>
      <c r="P591" s="319">
        <f>IF(P$566&gt;=$C591,MIN(-(SUM($F591:O591)-$E591),($E591*(1-$D$568))*$D591),0)*P$564</f>
        <v>0</v>
      </c>
      <c r="Q591" s="319">
        <f>IF(Q$566&gt;=$C591,MIN(-(SUM($F591:P591)-$E591),($E591*(1-$D$568))*$D591),0)*Q$564</f>
        <v>0</v>
      </c>
      <c r="R591" s="319">
        <f>IF(R$566&gt;=$C591,MIN(-(SUM($F591:Q591)-$E591),($E591*(1-$D$568))*$D591),0)*R$564</f>
        <v>0</v>
      </c>
      <c r="S591" s="319">
        <f>IF(S$566&gt;=$C591,MIN(-(SUM($F591:R591)-$E591),($E591*(1-$D$568))*$D591),0)*S$564</f>
        <v>0</v>
      </c>
      <c r="T591" s="319">
        <f>IF(T$566&gt;=$C591,MIN(-(SUM($F591:S591)-$E591),($E591*(1-$D$568))*$D591),0)*T$564</f>
        <v>0</v>
      </c>
      <c r="U591" s="319">
        <f>IF(U$566&gt;=$C591,MIN(-(SUM($F591:T591)-$E591),($E591*(1-$D$568))*$D591),0)*U$564</f>
        <v>0</v>
      </c>
      <c r="V591" s="319">
        <f>IF(V$566&gt;=$C591,MIN(-(SUM($F591:U591)-$E591),($E591*(1-$D$568))*$D591),0)*V$564</f>
        <v>0</v>
      </c>
      <c r="W591" s="319">
        <f>IF(W$566&gt;=$C591,MIN(-(SUM($F591:V591)-$E591),($E591*(1-$D$568))*$D591),0)*W$564</f>
        <v>0</v>
      </c>
      <c r="X591" s="319">
        <f>IF(X$566&gt;=$C591,MIN(-(SUM($F591:W591)-$E591),($E591*(1-$D$568))*$D591),0)*X$564</f>
        <v>0</v>
      </c>
      <c r="Y591" s="319">
        <f>IF(Y$566&gt;=$C591,MIN(-(SUM($F591:X591)-$E591),($E591*(1-$D$568))*$D591),0)*Y$564</f>
        <v>0</v>
      </c>
      <c r="Z591" s="319">
        <f>IF(Z$566&gt;=$C591,MIN(-(SUM($F591:Y591)-$E591),($E591*(1-$D$568))*$D591),0)*Z$564</f>
        <v>0</v>
      </c>
      <c r="AA591" s="319">
        <f>IF(AA$566&gt;=$C591,MIN(-(SUM($F591:Z591)-$E591),($E591*(1-$D$568))*$D591),0)*AA$564</f>
        <v>15.288702295294403</v>
      </c>
      <c r="AB591" s="319">
        <f>IF(AB$566&gt;=$C591,MIN(-(SUM($F591:AA591)-$E591),($E591*(1-$D$568))*$D591),0)*AB$564</f>
        <v>15.288702295294403</v>
      </c>
      <c r="AC591" s="319">
        <f>IF(AC$566&gt;=$C591,MIN(-(SUM($F591:AB591)-$E591),($E591*(1-$D$568))*$D591),0)*AC$564</f>
        <v>15.288702295294403</v>
      </c>
      <c r="AD591" s="319">
        <f>IF(AD$566&gt;=$C591,MIN(-(SUM($F591:AC591)-$E591),($E591*(1-$D$568))*$D591),0)*AD$564</f>
        <v>15.288702295294403</v>
      </c>
      <c r="AE591" s="319">
        <f>IF(AE$566&gt;=$C591,MIN(-(SUM($F591:AD591)-$E591),($E591*(1-$D$568))*$D591),0)*AE$564</f>
        <v>15.288702295294403</v>
      </c>
      <c r="AF591" s="319">
        <f>IF(AF$566&gt;=$C591,MIN(-(SUM($F591:AE591)-$E591),($E591*(1-$D$568))*$D591),0)*AF$564</f>
        <v>15.288702295294403</v>
      </c>
      <c r="AG591" s="319">
        <f>IF(AG$566&gt;=$C591,MIN(-(SUM($F591:AF591)-$E591),($E591*(1-$D$568))*$D591),0)*AG$564</f>
        <v>15.288702295294403</v>
      </c>
      <c r="AH591" s="319">
        <f>IF(AH$566&gt;=$C591,MIN(-(SUM($F591:AG591)-$E591),($E591*(1-$D$568))*$D591),0)*AH$564</f>
        <v>15.288702295294403</v>
      </c>
      <c r="AI591" s="319">
        <f>IF(AI$566&gt;=$C591,MIN(-(SUM($F591:AH591)-$E591),($E591*(1-$D$568))*$D591),0)*AI$564</f>
        <v>15.288702295294403</v>
      </c>
      <c r="AJ591" s="319">
        <f>IF(AJ$566&gt;=$C591,MIN(-(SUM($F591:AI591)-$E591),($E591*(1-$D$568))*$D591),0)*AJ$564</f>
        <v>15.288702295294399</v>
      </c>
      <c r="AK591" s="319">
        <f>IF(AK$566&gt;=$C591,MIN(-(SUM($F591:AJ591)-$E591),($E591*(1-$D$568))*$D591),0)*AK$564</f>
        <v>0</v>
      </c>
      <c r="AL591" s="319">
        <f>IF(AL$566&gt;=$C591,MIN(-(SUM($F591:AK591)-$E591),($E591*(1-$D$568))*$D591),0)*AL$564</f>
        <v>0</v>
      </c>
      <c r="AM591" s="319">
        <f>IF(AM$566&gt;=$C591,MIN(-(SUM($F591:AL591)-$E591),($E591*(1-$D$568))*$D591),0)*AM$564</f>
        <v>0</v>
      </c>
      <c r="AN591" s="319">
        <f>IF(AN$566&gt;=$C591,MIN(-(SUM($F591:AM591)-$E591),($E591*(1-$D$568))*$D591),0)*AN$564</f>
        <v>0</v>
      </c>
    </row>
    <row r="592" spans="3:40" outlineLevel="4">
      <c r="C592">
        <v>22</v>
      </c>
      <c r="D592">
        <f>Inputs!$D$261</f>
        <v>0.1</v>
      </c>
      <c r="E592" s="319">
        <v>94.830451674200006</v>
      </c>
      <c r="F592" s="461">
        <f>E592*D568</f>
        <v>0</v>
      </c>
      <c r="G592" s="319">
        <f>IF(G$566&gt;=$C592,MIN(-(SUM(F592:$F592)-$E592),($E592*(1-$D$568))*$D592),0)*G$564</f>
        <v>0</v>
      </c>
      <c r="H592" s="319">
        <f>IF(H$566&gt;=$C592,MIN(-(SUM($F592:G592)-$E592),($E592*(1-$D$568))*$D592),0)*H$564</f>
        <v>0</v>
      </c>
      <c r="I592" s="319">
        <f>IF(I$566&gt;=$C592,MIN(-(SUM($F592:H592)-$E592),($E592*(1-$D$568))*$D592),0)*I$564</f>
        <v>0</v>
      </c>
      <c r="J592" s="319">
        <f>IF(J$566&gt;=$C592,MIN(-(SUM($F592:I592)-$E592),($E592*(1-$D$568))*$D592),0)*J$564</f>
        <v>0</v>
      </c>
      <c r="K592" s="319">
        <f>IF(K$566&gt;=$C592,MIN(-(SUM($F592:J592)-$E592),($E592*(1-$D$568))*$D592),0)*K$564</f>
        <v>0</v>
      </c>
      <c r="L592" s="319">
        <f>IF(L$566&gt;=$C592,MIN(-(SUM($F592:K592)-$E592),($E592*(1-$D$568))*$D592),0)*L$564</f>
        <v>0</v>
      </c>
      <c r="M592" s="319">
        <f>IF(M$566&gt;=$C592,MIN(-(SUM($F592:L592)-$E592),($E592*(1-$D$568))*$D592),0)*M$564</f>
        <v>0</v>
      </c>
      <c r="N592" s="319">
        <f>IF(N$566&gt;=$C592,MIN(-(SUM($F592:M592)-$E592),($E592*(1-$D$568))*$D592),0)*N$564</f>
        <v>0</v>
      </c>
      <c r="O592" s="319">
        <f>IF(O$566&gt;=$C592,MIN(-(SUM($F592:N592)-$E592),($E592*(1-$D$568))*$D592),0)*O$564</f>
        <v>0</v>
      </c>
      <c r="P592" s="319">
        <f>IF(P$566&gt;=$C592,MIN(-(SUM($F592:O592)-$E592),($E592*(1-$D$568))*$D592),0)*P$564</f>
        <v>0</v>
      </c>
      <c r="Q592" s="319">
        <f>IF(Q$566&gt;=$C592,MIN(-(SUM($F592:P592)-$E592),($E592*(1-$D$568))*$D592),0)*Q$564</f>
        <v>0</v>
      </c>
      <c r="R592" s="319">
        <f>IF(R$566&gt;=$C592,MIN(-(SUM($F592:Q592)-$E592),($E592*(1-$D$568))*$D592),0)*R$564</f>
        <v>0</v>
      </c>
      <c r="S592" s="319">
        <f>IF(S$566&gt;=$C592,MIN(-(SUM($F592:R592)-$E592),($E592*(1-$D$568))*$D592),0)*S$564</f>
        <v>0</v>
      </c>
      <c r="T592" s="319">
        <f>IF(T$566&gt;=$C592,MIN(-(SUM($F592:S592)-$E592),($E592*(1-$D$568))*$D592),0)*T$564</f>
        <v>0</v>
      </c>
      <c r="U592" s="319">
        <f>IF(U$566&gt;=$C592,MIN(-(SUM($F592:T592)-$E592),($E592*(1-$D$568))*$D592),0)*U$564</f>
        <v>0</v>
      </c>
      <c r="V592" s="319">
        <f>IF(V$566&gt;=$C592,MIN(-(SUM($F592:U592)-$E592),($E592*(1-$D$568))*$D592),0)*V$564</f>
        <v>0</v>
      </c>
      <c r="W592" s="319">
        <f>IF(W$566&gt;=$C592,MIN(-(SUM($F592:V592)-$E592),($E592*(1-$D$568))*$D592),0)*W$564</f>
        <v>0</v>
      </c>
      <c r="X592" s="319">
        <f>IF(X$566&gt;=$C592,MIN(-(SUM($F592:W592)-$E592),($E592*(1-$D$568))*$D592),0)*X$564</f>
        <v>0</v>
      </c>
      <c r="Y592" s="319">
        <f>IF(Y$566&gt;=$C592,MIN(-(SUM($F592:X592)-$E592),($E592*(1-$D$568))*$D592),0)*Y$564</f>
        <v>0</v>
      </c>
      <c r="Z592" s="319">
        <f>IF(Z$566&gt;=$C592,MIN(-(SUM($F592:Y592)-$E592),($E592*(1-$D$568))*$D592),0)*Z$564</f>
        <v>0</v>
      </c>
      <c r="AA592" s="319">
        <f>IF(AA$566&gt;=$C592,MIN(-(SUM($F592:Z592)-$E592),($E592*(1-$D$568))*$D592),0)*AA$564</f>
        <v>0</v>
      </c>
      <c r="AB592" s="319">
        <f>IF(AB$566&gt;=$C592,MIN(-(SUM($F592:AA592)-$E592),($E592*(1-$D$568))*$D592),0)*AB$564</f>
        <v>9.4830451674200003</v>
      </c>
      <c r="AC592" s="319">
        <f>IF(AC$566&gt;=$C592,MIN(-(SUM($F592:AB592)-$E592),($E592*(1-$D$568))*$D592),0)*AC$564</f>
        <v>9.4830451674200003</v>
      </c>
      <c r="AD592" s="319">
        <f>IF(AD$566&gt;=$C592,MIN(-(SUM($F592:AC592)-$E592),($E592*(1-$D$568))*$D592),0)*AD$564</f>
        <v>9.4830451674200003</v>
      </c>
      <c r="AE592" s="319">
        <f>IF(AE$566&gt;=$C592,MIN(-(SUM($F592:AD592)-$E592),($E592*(1-$D$568))*$D592),0)*AE$564</f>
        <v>9.4830451674200003</v>
      </c>
      <c r="AF592" s="319">
        <f>IF(AF$566&gt;=$C592,MIN(-(SUM($F592:AE592)-$E592),($E592*(1-$D$568))*$D592),0)*AF$564</f>
        <v>9.4830451674200003</v>
      </c>
      <c r="AG592" s="319">
        <f>IF(AG$566&gt;=$C592,MIN(-(SUM($F592:AF592)-$E592),($E592*(1-$D$568))*$D592),0)*AG$564</f>
        <v>9.4830451674200003</v>
      </c>
      <c r="AH592" s="319">
        <f>IF(AH$566&gt;=$C592,MIN(-(SUM($F592:AG592)-$E592),($E592*(1-$D$568))*$D592),0)*AH$564</f>
        <v>9.4830451674200003</v>
      </c>
      <c r="AI592" s="319">
        <f>IF(AI$566&gt;=$C592,MIN(-(SUM($F592:AH592)-$E592),($E592*(1-$D$568))*$D592),0)*AI$564</f>
        <v>9.4830451674200003</v>
      </c>
      <c r="AJ592" s="319">
        <f>IF(AJ$566&gt;=$C592,MIN(-(SUM($F592:AI592)-$E592),($E592*(1-$D$568))*$D592),0)*AJ$564</f>
        <v>9.4830451674200003</v>
      </c>
      <c r="AK592" s="319">
        <f>IF(AK$566&gt;=$C592,MIN(-(SUM($F592:AJ592)-$E592),($E592*(1-$D$568))*$D592),0)*AK$564</f>
        <v>0</v>
      </c>
      <c r="AL592" s="319">
        <f>IF(AL$566&gt;=$C592,MIN(-(SUM($F592:AK592)-$E592),($E592*(1-$D$568))*$D592),0)*AL$564</f>
        <v>0</v>
      </c>
      <c r="AM592" s="319">
        <f>IF(AM$566&gt;=$C592,MIN(-(SUM($F592:AL592)-$E592),($E592*(1-$D$568))*$D592),0)*AM$564</f>
        <v>0</v>
      </c>
      <c r="AN592" s="319">
        <f>IF(AN$566&gt;=$C592,MIN(-(SUM($F592:AM592)-$E592),($E592*(1-$D$568))*$D592),0)*AN$564</f>
        <v>0</v>
      </c>
    </row>
    <row r="593" spans="3:160" outlineLevel="4">
      <c r="C593">
        <v>23</v>
      </c>
      <c r="D593">
        <f>Inputs!$D$261</f>
        <v>0.1</v>
      </c>
      <c r="E593" s="319">
        <v>54.807301674200005</v>
      </c>
      <c r="F593" s="461">
        <f>E593*D568</f>
        <v>0</v>
      </c>
      <c r="G593" s="319">
        <f>IF(G$566&gt;=$C593,MIN(-(SUM(F593:$F593)-$E593),($E593*(1-$D$568))*$D593),0)*G$564</f>
        <v>0</v>
      </c>
      <c r="H593" s="319">
        <f>IF(H$566&gt;=$C593,MIN(-(SUM($F593:G593)-$E593),($E593*(1-$D$568))*$D593),0)*H$564</f>
        <v>0</v>
      </c>
      <c r="I593" s="319">
        <f>IF(I$566&gt;=$C593,MIN(-(SUM($F593:H593)-$E593),($E593*(1-$D$568))*$D593),0)*I$564</f>
        <v>0</v>
      </c>
      <c r="J593" s="319">
        <f>IF(J$566&gt;=$C593,MIN(-(SUM($F593:I593)-$E593),($E593*(1-$D$568))*$D593),0)*J$564</f>
        <v>0</v>
      </c>
      <c r="K593" s="319">
        <f>IF(K$566&gt;=$C593,MIN(-(SUM($F593:J593)-$E593),($E593*(1-$D$568))*$D593),0)*K$564</f>
        <v>0</v>
      </c>
      <c r="L593" s="319">
        <f>IF(L$566&gt;=$C593,MIN(-(SUM($F593:K593)-$E593),($E593*(1-$D$568))*$D593),0)*L$564</f>
        <v>0</v>
      </c>
      <c r="M593" s="319">
        <f>IF(M$566&gt;=$C593,MIN(-(SUM($F593:L593)-$E593),($E593*(1-$D$568))*$D593),0)*M$564</f>
        <v>0</v>
      </c>
      <c r="N593" s="319">
        <f>IF(N$566&gt;=$C593,MIN(-(SUM($F593:M593)-$E593),($E593*(1-$D$568))*$D593),0)*N$564</f>
        <v>0</v>
      </c>
      <c r="O593" s="319">
        <f>IF(O$566&gt;=$C593,MIN(-(SUM($F593:N593)-$E593),($E593*(1-$D$568))*$D593),0)*O$564</f>
        <v>0</v>
      </c>
      <c r="P593" s="319">
        <f>IF(P$566&gt;=$C593,MIN(-(SUM($F593:O593)-$E593),($E593*(1-$D$568))*$D593),0)*P$564</f>
        <v>0</v>
      </c>
      <c r="Q593" s="319">
        <f>IF(Q$566&gt;=$C593,MIN(-(SUM($F593:P593)-$E593),($E593*(1-$D$568))*$D593),0)*Q$564</f>
        <v>0</v>
      </c>
      <c r="R593" s="319">
        <f>IF(R$566&gt;=$C593,MIN(-(SUM($F593:Q593)-$E593),($E593*(1-$D$568))*$D593),0)*R$564</f>
        <v>0</v>
      </c>
      <c r="S593" s="319">
        <f>IF(S$566&gt;=$C593,MIN(-(SUM($F593:R593)-$E593),($E593*(1-$D$568))*$D593),0)*S$564</f>
        <v>0</v>
      </c>
      <c r="T593" s="319">
        <f>IF(T$566&gt;=$C593,MIN(-(SUM($F593:S593)-$E593),($E593*(1-$D$568))*$D593),0)*T$564</f>
        <v>0</v>
      </c>
      <c r="U593" s="319">
        <f>IF(U$566&gt;=$C593,MIN(-(SUM($F593:T593)-$E593),($E593*(1-$D$568))*$D593),0)*U$564</f>
        <v>0</v>
      </c>
      <c r="V593" s="319">
        <f>IF(V$566&gt;=$C593,MIN(-(SUM($F593:U593)-$E593),($E593*(1-$D$568))*$D593),0)*V$564</f>
        <v>0</v>
      </c>
      <c r="W593" s="319">
        <f>IF(W$566&gt;=$C593,MIN(-(SUM($F593:V593)-$E593),($E593*(1-$D$568))*$D593),0)*W$564</f>
        <v>0</v>
      </c>
      <c r="X593" s="319">
        <f>IF(X$566&gt;=$C593,MIN(-(SUM($F593:W593)-$E593),($E593*(1-$D$568))*$D593),0)*X$564</f>
        <v>0</v>
      </c>
      <c r="Y593" s="319">
        <f>IF(Y$566&gt;=$C593,MIN(-(SUM($F593:X593)-$E593),($E593*(1-$D$568))*$D593),0)*Y$564</f>
        <v>0</v>
      </c>
      <c r="Z593" s="319">
        <f>IF(Z$566&gt;=$C593,MIN(-(SUM($F593:Y593)-$E593),($E593*(1-$D$568))*$D593),0)*Z$564</f>
        <v>0</v>
      </c>
      <c r="AA593" s="319">
        <f>IF(AA$566&gt;=$C593,MIN(-(SUM($F593:Z593)-$E593),($E593*(1-$D$568))*$D593),0)*AA$564</f>
        <v>0</v>
      </c>
      <c r="AB593" s="319">
        <f>IF(AB$566&gt;=$C593,MIN(-(SUM($F593:AA593)-$E593),($E593*(1-$D$568))*$D593),0)*AB$564</f>
        <v>0</v>
      </c>
      <c r="AC593" s="319">
        <f>IF(AC$566&gt;=$C593,MIN(-(SUM($F593:AB593)-$E593),($E593*(1-$D$568))*$D593),0)*AC$564</f>
        <v>5.4807301674200009</v>
      </c>
      <c r="AD593" s="319">
        <f>IF(AD$566&gt;=$C593,MIN(-(SUM($F593:AC593)-$E593),($E593*(1-$D$568))*$D593),0)*AD$564</f>
        <v>5.4807301674200009</v>
      </c>
      <c r="AE593" s="319">
        <f>IF(AE$566&gt;=$C593,MIN(-(SUM($F593:AD593)-$E593),($E593*(1-$D$568))*$D593),0)*AE$564</f>
        <v>5.4807301674200009</v>
      </c>
      <c r="AF593" s="319">
        <f>IF(AF$566&gt;=$C593,MIN(-(SUM($F593:AE593)-$E593),($E593*(1-$D$568))*$D593),0)*AF$564</f>
        <v>5.4807301674200009</v>
      </c>
      <c r="AG593" s="319">
        <f>IF(AG$566&gt;=$C593,MIN(-(SUM($F593:AF593)-$E593),($E593*(1-$D$568))*$D593),0)*AG$564</f>
        <v>5.4807301674200009</v>
      </c>
      <c r="AH593" s="319">
        <f>IF(AH$566&gt;=$C593,MIN(-(SUM($F593:AG593)-$E593),($E593*(1-$D$568))*$D593),0)*AH$564</f>
        <v>5.4807301674200009</v>
      </c>
      <c r="AI593" s="319">
        <f>IF(AI$566&gt;=$C593,MIN(-(SUM($F593:AH593)-$E593),($E593*(1-$D$568))*$D593),0)*AI$564</f>
        <v>5.4807301674200009</v>
      </c>
      <c r="AJ593" s="319">
        <f>IF(AJ$566&gt;=$C593,MIN(-(SUM($F593:AI593)-$E593),($E593*(1-$D$568))*$D593),0)*AJ$564</f>
        <v>5.4807301674200009</v>
      </c>
      <c r="AK593" s="319">
        <f>IF(AK$566&gt;=$C593,MIN(-(SUM($F593:AJ593)-$E593),($E593*(1-$D$568))*$D593),0)*AK$564</f>
        <v>0</v>
      </c>
      <c r="AL593" s="319">
        <f>IF(AL$566&gt;=$C593,MIN(-(SUM($F593:AK593)-$E593),($E593*(1-$D$568))*$D593),0)*AL$564</f>
        <v>0</v>
      </c>
      <c r="AM593" s="319">
        <f>IF(AM$566&gt;=$C593,MIN(-(SUM($F593:AL593)-$E593),($E593*(1-$D$568))*$D593),0)*AM$564</f>
        <v>0</v>
      </c>
      <c r="AN593" s="319">
        <f>IF(AN$566&gt;=$C593,MIN(-(SUM($F593:AM593)-$E593),($E593*(1-$D$568))*$D593),0)*AN$564</f>
        <v>0</v>
      </c>
    </row>
    <row r="594" spans="3:160" outlineLevel="4">
      <c r="C594">
        <v>24</v>
      </c>
      <c r="D594">
        <f>Inputs!$D$261</f>
        <v>0.1</v>
      </c>
      <c r="E594" s="319">
        <v>43.404541674200004</v>
      </c>
      <c r="F594" s="461">
        <f>E594*D568</f>
        <v>0</v>
      </c>
      <c r="G594" s="319">
        <f>IF(G$566&gt;=$C594,MIN(-(SUM(F594:$F594)-$E594),($E594*(1-$D$568))*$D594),0)*G$564</f>
        <v>0</v>
      </c>
      <c r="H594" s="319">
        <f>IF(H$566&gt;=$C594,MIN(-(SUM($F594:G594)-$E594),($E594*(1-$D$568))*$D594),0)*H$564</f>
        <v>0</v>
      </c>
      <c r="I594" s="319">
        <f>IF(I$566&gt;=$C594,MIN(-(SUM($F594:H594)-$E594),($E594*(1-$D$568))*$D594),0)*I$564</f>
        <v>0</v>
      </c>
      <c r="J594" s="319">
        <f>IF(J$566&gt;=$C594,MIN(-(SUM($F594:I594)-$E594),($E594*(1-$D$568))*$D594),0)*J$564</f>
        <v>0</v>
      </c>
      <c r="K594" s="319">
        <f>IF(K$566&gt;=$C594,MIN(-(SUM($F594:J594)-$E594),($E594*(1-$D$568))*$D594),0)*K$564</f>
        <v>0</v>
      </c>
      <c r="L594" s="319">
        <f>IF(L$566&gt;=$C594,MIN(-(SUM($F594:K594)-$E594),($E594*(1-$D$568))*$D594),0)*L$564</f>
        <v>0</v>
      </c>
      <c r="M594" s="319">
        <f>IF(M$566&gt;=$C594,MIN(-(SUM($F594:L594)-$E594),($E594*(1-$D$568))*$D594),0)*M$564</f>
        <v>0</v>
      </c>
      <c r="N594" s="319">
        <f>IF(N$566&gt;=$C594,MIN(-(SUM($F594:M594)-$E594),($E594*(1-$D$568))*$D594),0)*N$564</f>
        <v>0</v>
      </c>
      <c r="O594" s="319">
        <f>IF(O$566&gt;=$C594,MIN(-(SUM($F594:N594)-$E594),($E594*(1-$D$568))*$D594),0)*O$564</f>
        <v>0</v>
      </c>
      <c r="P594" s="319">
        <f>IF(P$566&gt;=$C594,MIN(-(SUM($F594:O594)-$E594),($E594*(1-$D$568))*$D594),0)*P$564</f>
        <v>0</v>
      </c>
      <c r="Q594" s="319">
        <f>IF(Q$566&gt;=$C594,MIN(-(SUM($F594:P594)-$E594),($E594*(1-$D$568))*$D594),0)*Q$564</f>
        <v>0</v>
      </c>
      <c r="R594" s="319">
        <f>IF(R$566&gt;=$C594,MIN(-(SUM($F594:Q594)-$E594),($E594*(1-$D$568))*$D594),0)*R$564</f>
        <v>0</v>
      </c>
      <c r="S594" s="319">
        <f>IF(S$566&gt;=$C594,MIN(-(SUM($F594:R594)-$E594),($E594*(1-$D$568))*$D594),0)*S$564</f>
        <v>0</v>
      </c>
      <c r="T594" s="319">
        <f>IF(T$566&gt;=$C594,MIN(-(SUM($F594:S594)-$E594),($E594*(1-$D$568))*$D594),0)*T$564</f>
        <v>0</v>
      </c>
      <c r="U594" s="319">
        <f>IF(U$566&gt;=$C594,MIN(-(SUM($F594:T594)-$E594),($E594*(1-$D$568))*$D594),0)*U$564</f>
        <v>0</v>
      </c>
      <c r="V594" s="319">
        <f>IF(V$566&gt;=$C594,MIN(-(SUM($F594:U594)-$E594),($E594*(1-$D$568))*$D594),0)*V$564</f>
        <v>0</v>
      </c>
      <c r="W594" s="319">
        <f>IF(W$566&gt;=$C594,MIN(-(SUM($F594:V594)-$E594),($E594*(1-$D$568))*$D594),0)*W$564</f>
        <v>0</v>
      </c>
      <c r="X594" s="319">
        <f>IF(X$566&gt;=$C594,MIN(-(SUM($F594:W594)-$E594),($E594*(1-$D$568))*$D594),0)*X$564</f>
        <v>0</v>
      </c>
      <c r="Y594" s="319">
        <f>IF(Y$566&gt;=$C594,MIN(-(SUM($F594:X594)-$E594),($E594*(1-$D$568))*$D594),0)*Y$564</f>
        <v>0</v>
      </c>
      <c r="Z594" s="319">
        <f>IF(Z$566&gt;=$C594,MIN(-(SUM($F594:Y594)-$E594),($E594*(1-$D$568))*$D594),0)*Z$564</f>
        <v>0</v>
      </c>
      <c r="AA594" s="319">
        <f>IF(AA$566&gt;=$C594,MIN(-(SUM($F594:Z594)-$E594),($E594*(1-$D$568))*$D594),0)*AA$564</f>
        <v>0</v>
      </c>
      <c r="AB594" s="319">
        <f>IF(AB$566&gt;=$C594,MIN(-(SUM($F594:AA594)-$E594),($E594*(1-$D$568))*$D594),0)*AB$564</f>
        <v>0</v>
      </c>
      <c r="AC594" s="319">
        <f>IF(AC$566&gt;=$C594,MIN(-(SUM($F594:AB594)-$E594),($E594*(1-$D$568))*$D594),0)*AC$564</f>
        <v>0</v>
      </c>
      <c r="AD594" s="319">
        <f>IF(AD$566&gt;=$C594,MIN(-(SUM($F594:AC594)-$E594),($E594*(1-$D$568))*$D594),0)*AD$564</f>
        <v>4.3404541674200008</v>
      </c>
      <c r="AE594" s="319">
        <f>IF(AE$566&gt;=$C594,MIN(-(SUM($F594:AD594)-$E594),($E594*(1-$D$568))*$D594),0)*AE$564</f>
        <v>4.3404541674200008</v>
      </c>
      <c r="AF594" s="319">
        <f>IF(AF$566&gt;=$C594,MIN(-(SUM($F594:AE594)-$E594),($E594*(1-$D$568))*$D594),0)*AF$564</f>
        <v>4.3404541674200008</v>
      </c>
      <c r="AG594" s="319">
        <f>IF(AG$566&gt;=$C594,MIN(-(SUM($F594:AF594)-$E594),($E594*(1-$D$568))*$D594),0)*AG$564</f>
        <v>4.3404541674200008</v>
      </c>
      <c r="AH594" s="319">
        <f>IF(AH$566&gt;=$C594,MIN(-(SUM($F594:AG594)-$E594),($E594*(1-$D$568))*$D594),0)*AH$564</f>
        <v>4.3404541674200008</v>
      </c>
      <c r="AI594" s="319">
        <f>IF(AI$566&gt;=$C594,MIN(-(SUM($F594:AH594)-$E594),($E594*(1-$D$568))*$D594),0)*AI$564</f>
        <v>4.3404541674200008</v>
      </c>
      <c r="AJ594" s="319">
        <f>IF(AJ$566&gt;=$C594,MIN(-(SUM($F594:AI594)-$E594),($E594*(1-$D$568))*$D594),0)*AJ$564</f>
        <v>4.3404541674200008</v>
      </c>
      <c r="AK594" s="319">
        <f>IF(AK$566&gt;=$C594,MIN(-(SUM($F594:AJ594)-$E594),($E594*(1-$D$568))*$D594),0)*AK$564</f>
        <v>0</v>
      </c>
      <c r="AL594" s="319">
        <f>IF(AL$566&gt;=$C594,MIN(-(SUM($F594:AK594)-$E594),($E594*(1-$D$568))*$D594),0)*AL$564</f>
        <v>0</v>
      </c>
      <c r="AM594" s="319">
        <f>IF(AM$566&gt;=$C594,MIN(-(SUM($F594:AL594)-$E594),($E594*(1-$D$568))*$D594),0)*AM$564</f>
        <v>0</v>
      </c>
      <c r="AN594" s="319">
        <f>IF(AN$566&gt;=$C594,MIN(-(SUM($F594:AM594)-$E594),($E594*(1-$D$568))*$D594),0)*AN$564</f>
        <v>0</v>
      </c>
    </row>
    <row r="595" spans="3:160" outlineLevel="4">
      <c r="C595">
        <v>25</v>
      </c>
      <c r="D595">
        <f>Inputs!$D$261</f>
        <v>0.1</v>
      </c>
      <c r="E595" s="319">
        <v>49.327041674200004</v>
      </c>
      <c r="F595" s="461">
        <f>E595*D568</f>
        <v>0</v>
      </c>
      <c r="G595" s="319">
        <f>IF(G$566&gt;=$C595,MIN(-(SUM(F595:$F595)-$E595),($E595*(1-$D$568))*$D595),0)*G$564</f>
        <v>0</v>
      </c>
      <c r="H595" s="319">
        <f>IF(H$566&gt;=$C595,MIN(-(SUM($F595:G595)-$E595),($E595*(1-$D$568))*$D595),0)*H$564</f>
        <v>0</v>
      </c>
      <c r="I595" s="319">
        <f>IF(I$566&gt;=$C595,MIN(-(SUM($F595:H595)-$E595),($E595*(1-$D$568))*$D595),0)*I$564</f>
        <v>0</v>
      </c>
      <c r="J595" s="319">
        <f>IF(J$566&gt;=$C595,MIN(-(SUM($F595:I595)-$E595),($E595*(1-$D$568))*$D595),0)*J$564</f>
        <v>0</v>
      </c>
      <c r="K595" s="319">
        <f>IF(K$566&gt;=$C595,MIN(-(SUM($F595:J595)-$E595),($E595*(1-$D$568))*$D595),0)*K$564</f>
        <v>0</v>
      </c>
      <c r="L595" s="319">
        <f>IF(L$566&gt;=$C595,MIN(-(SUM($F595:K595)-$E595),($E595*(1-$D$568))*$D595),0)*L$564</f>
        <v>0</v>
      </c>
      <c r="M595" s="319">
        <f>IF(M$566&gt;=$C595,MIN(-(SUM($F595:L595)-$E595),($E595*(1-$D$568))*$D595),0)*M$564</f>
        <v>0</v>
      </c>
      <c r="N595" s="319">
        <f>IF(N$566&gt;=$C595,MIN(-(SUM($F595:M595)-$E595),($E595*(1-$D$568))*$D595),0)*N$564</f>
        <v>0</v>
      </c>
      <c r="O595" s="319">
        <f>IF(O$566&gt;=$C595,MIN(-(SUM($F595:N595)-$E595),($E595*(1-$D$568))*$D595),0)*O$564</f>
        <v>0</v>
      </c>
      <c r="P595" s="319">
        <f>IF(P$566&gt;=$C595,MIN(-(SUM($F595:O595)-$E595),($E595*(1-$D$568))*$D595),0)*P$564</f>
        <v>0</v>
      </c>
      <c r="Q595" s="319">
        <f>IF(Q$566&gt;=$C595,MIN(-(SUM($F595:P595)-$E595),($E595*(1-$D$568))*$D595),0)*Q$564</f>
        <v>0</v>
      </c>
      <c r="R595" s="319">
        <f>IF(R$566&gt;=$C595,MIN(-(SUM($F595:Q595)-$E595),($E595*(1-$D$568))*$D595),0)*R$564</f>
        <v>0</v>
      </c>
      <c r="S595" s="319">
        <f>IF(S$566&gt;=$C595,MIN(-(SUM($F595:R595)-$E595),($E595*(1-$D$568))*$D595),0)*S$564</f>
        <v>0</v>
      </c>
      <c r="T595" s="319">
        <f>IF(T$566&gt;=$C595,MIN(-(SUM($F595:S595)-$E595),($E595*(1-$D$568))*$D595),0)*T$564</f>
        <v>0</v>
      </c>
      <c r="U595" s="319">
        <f>IF(U$566&gt;=$C595,MIN(-(SUM($F595:T595)-$E595),($E595*(1-$D$568))*$D595),0)*U$564</f>
        <v>0</v>
      </c>
      <c r="V595" s="319">
        <f>IF(V$566&gt;=$C595,MIN(-(SUM($F595:U595)-$E595),($E595*(1-$D$568))*$D595),0)*V$564</f>
        <v>0</v>
      </c>
      <c r="W595" s="319">
        <f>IF(W$566&gt;=$C595,MIN(-(SUM($F595:V595)-$E595),($E595*(1-$D$568))*$D595),0)*W$564</f>
        <v>0</v>
      </c>
      <c r="X595" s="319">
        <f>IF(X$566&gt;=$C595,MIN(-(SUM($F595:W595)-$E595),($E595*(1-$D$568))*$D595),0)*X$564</f>
        <v>0</v>
      </c>
      <c r="Y595" s="319">
        <f>IF(Y$566&gt;=$C595,MIN(-(SUM($F595:X595)-$E595),($E595*(1-$D$568))*$D595),0)*Y$564</f>
        <v>0</v>
      </c>
      <c r="Z595" s="319">
        <f>IF(Z$566&gt;=$C595,MIN(-(SUM($F595:Y595)-$E595),($E595*(1-$D$568))*$D595),0)*Z$564</f>
        <v>0</v>
      </c>
      <c r="AA595" s="319">
        <f>IF(AA$566&gt;=$C595,MIN(-(SUM($F595:Z595)-$E595),($E595*(1-$D$568))*$D595),0)*AA$564</f>
        <v>0</v>
      </c>
      <c r="AB595" s="319">
        <f>IF(AB$566&gt;=$C595,MIN(-(SUM($F595:AA595)-$E595),($E595*(1-$D$568))*$D595),0)*AB$564</f>
        <v>0</v>
      </c>
      <c r="AC595" s="319">
        <f>IF(AC$566&gt;=$C595,MIN(-(SUM($F595:AB595)-$E595),($E595*(1-$D$568))*$D595),0)*AC$564</f>
        <v>0</v>
      </c>
      <c r="AD595" s="319">
        <f>IF(AD$566&gt;=$C595,MIN(-(SUM($F595:AC595)-$E595),($E595*(1-$D$568))*$D595),0)*AD$564</f>
        <v>0</v>
      </c>
      <c r="AE595" s="319">
        <f>IF(AE$566&gt;=$C595,MIN(-(SUM($F595:AD595)-$E595),($E595*(1-$D$568))*$D595),0)*AE$564</f>
        <v>4.9327041674200007</v>
      </c>
      <c r="AF595" s="319">
        <f>IF(AF$566&gt;=$C595,MIN(-(SUM($F595:AE595)-$E595),($E595*(1-$D$568))*$D595),0)*AF$564</f>
        <v>4.9327041674200007</v>
      </c>
      <c r="AG595" s="319">
        <f>IF(AG$566&gt;=$C595,MIN(-(SUM($F595:AF595)-$E595),($E595*(1-$D$568))*$D595),0)*AG$564</f>
        <v>4.9327041674200007</v>
      </c>
      <c r="AH595" s="319">
        <f>IF(AH$566&gt;=$C595,MIN(-(SUM($F595:AG595)-$E595),($E595*(1-$D$568))*$D595),0)*AH$564</f>
        <v>4.9327041674200007</v>
      </c>
      <c r="AI595" s="319">
        <f>IF(AI$566&gt;=$C595,MIN(-(SUM($F595:AH595)-$E595),($E595*(1-$D$568))*$D595),0)*AI$564</f>
        <v>4.9327041674200007</v>
      </c>
      <c r="AJ595" s="319">
        <f>IF(AJ$566&gt;=$C595,MIN(-(SUM($F595:AI595)-$E595),($E595*(1-$D$568))*$D595),0)*AJ$564</f>
        <v>4.9327041674200007</v>
      </c>
      <c r="AK595" s="319">
        <f>IF(AK$566&gt;=$C595,MIN(-(SUM($F595:AJ595)-$E595),($E595*(1-$D$568))*$D595),0)*AK$564</f>
        <v>0</v>
      </c>
      <c r="AL595" s="319">
        <f>IF(AL$566&gt;=$C595,MIN(-(SUM($F595:AK595)-$E595),($E595*(1-$D$568))*$D595),0)*AL$564</f>
        <v>0</v>
      </c>
      <c r="AM595" s="319">
        <f>IF(AM$566&gt;=$C595,MIN(-(SUM($F595:AL595)-$E595),($E595*(1-$D$568))*$D595),0)*AM$564</f>
        <v>0</v>
      </c>
      <c r="AN595" s="319">
        <f>IF(AN$566&gt;=$C595,MIN(-(SUM($F595:AM595)-$E595),($E595*(1-$D$568))*$D595),0)*AN$564</f>
        <v>0</v>
      </c>
    </row>
    <row r="596" spans="3:160" outlineLevel="4">
      <c r="C596">
        <v>26</v>
      </c>
      <c r="D596">
        <f>Inputs!$D$261</f>
        <v>0.1</v>
      </c>
      <c r="E596" s="319">
        <v>49.637391854200004</v>
      </c>
      <c r="F596" s="461">
        <f>E596*D568</f>
        <v>0</v>
      </c>
      <c r="G596" s="319">
        <f>IF(G$566&gt;=$C596,MIN(-(SUM(F596:$F596)-$E596),($E596*(1-$D$568))*$D596),0)*G$564</f>
        <v>0</v>
      </c>
      <c r="H596" s="319">
        <f>IF(H$566&gt;=$C596,MIN(-(SUM($F596:G596)-$E596),($E596*(1-$D$568))*$D596),0)*H$564</f>
        <v>0</v>
      </c>
      <c r="I596" s="319">
        <f>IF(I$566&gt;=$C596,MIN(-(SUM($F596:H596)-$E596),($E596*(1-$D$568))*$D596),0)*I$564</f>
        <v>0</v>
      </c>
      <c r="J596" s="319">
        <f>IF(J$566&gt;=$C596,MIN(-(SUM($F596:I596)-$E596),($E596*(1-$D$568))*$D596),0)*J$564</f>
        <v>0</v>
      </c>
      <c r="K596" s="319">
        <f>IF(K$566&gt;=$C596,MIN(-(SUM($F596:J596)-$E596),($E596*(1-$D$568))*$D596),0)*K$564</f>
        <v>0</v>
      </c>
      <c r="L596" s="319">
        <f>IF(L$566&gt;=$C596,MIN(-(SUM($F596:K596)-$E596),($E596*(1-$D$568))*$D596),0)*L$564</f>
        <v>0</v>
      </c>
      <c r="M596" s="319">
        <f>IF(M$566&gt;=$C596,MIN(-(SUM($F596:L596)-$E596),($E596*(1-$D$568))*$D596),0)*M$564</f>
        <v>0</v>
      </c>
      <c r="N596" s="319">
        <f>IF(N$566&gt;=$C596,MIN(-(SUM($F596:M596)-$E596),($E596*(1-$D$568))*$D596),0)*N$564</f>
        <v>0</v>
      </c>
      <c r="O596" s="319">
        <f>IF(O$566&gt;=$C596,MIN(-(SUM($F596:N596)-$E596),($E596*(1-$D$568))*$D596),0)*O$564</f>
        <v>0</v>
      </c>
      <c r="P596" s="319">
        <f>IF(P$566&gt;=$C596,MIN(-(SUM($F596:O596)-$E596),($E596*(1-$D$568))*$D596),0)*P$564</f>
        <v>0</v>
      </c>
      <c r="Q596" s="319">
        <f>IF(Q$566&gt;=$C596,MIN(-(SUM($F596:P596)-$E596),($E596*(1-$D$568))*$D596),0)*Q$564</f>
        <v>0</v>
      </c>
      <c r="R596" s="319">
        <f>IF(R$566&gt;=$C596,MIN(-(SUM($F596:Q596)-$E596),($E596*(1-$D$568))*$D596),0)*R$564</f>
        <v>0</v>
      </c>
      <c r="S596" s="319">
        <f>IF(S$566&gt;=$C596,MIN(-(SUM($F596:R596)-$E596),($E596*(1-$D$568))*$D596),0)*S$564</f>
        <v>0</v>
      </c>
      <c r="T596" s="319">
        <f>IF(T$566&gt;=$C596,MIN(-(SUM($F596:S596)-$E596),($E596*(1-$D$568))*$D596),0)*T$564</f>
        <v>0</v>
      </c>
      <c r="U596" s="319">
        <f>IF(U$566&gt;=$C596,MIN(-(SUM($F596:T596)-$E596),($E596*(1-$D$568))*$D596),0)*U$564</f>
        <v>0</v>
      </c>
      <c r="V596" s="319">
        <f>IF(V$566&gt;=$C596,MIN(-(SUM($F596:U596)-$E596),($E596*(1-$D$568))*$D596),0)*V$564</f>
        <v>0</v>
      </c>
      <c r="W596" s="319">
        <f>IF(W$566&gt;=$C596,MIN(-(SUM($F596:V596)-$E596),($E596*(1-$D$568))*$D596),0)*W$564</f>
        <v>0</v>
      </c>
      <c r="X596" s="319">
        <f>IF(X$566&gt;=$C596,MIN(-(SUM($F596:W596)-$E596),($E596*(1-$D$568))*$D596),0)*X$564</f>
        <v>0</v>
      </c>
      <c r="Y596" s="319">
        <f>IF(Y$566&gt;=$C596,MIN(-(SUM($F596:X596)-$E596),($E596*(1-$D$568))*$D596),0)*Y$564</f>
        <v>0</v>
      </c>
      <c r="Z596" s="319">
        <f>IF(Z$566&gt;=$C596,MIN(-(SUM($F596:Y596)-$E596),($E596*(1-$D$568))*$D596),0)*Z$564</f>
        <v>0</v>
      </c>
      <c r="AA596" s="319">
        <f>IF(AA$566&gt;=$C596,MIN(-(SUM($F596:Z596)-$E596),($E596*(1-$D$568))*$D596),0)*AA$564</f>
        <v>0</v>
      </c>
      <c r="AB596" s="319">
        <f>IF(AB$566&gt;=$C596,MIN(-(SUM($F596:AA596)-$E596),($E596*(1-$D$568))*$D596),0)*AB$564</f>
        <v>0</v>
      </c>
      <c r="AC596" s="319">
        <f>IF(AC$566&gt;=$C596,MIN(-(SUM($F596:AB596)-$E596),($E596*(1-$D$568))*$D596),0)*AC$564</f>
        <v>0</v>
      </c>
      <c r="AD596" s="319">
        <f>IF(AD$566&gt;=$C596,MIN(-(SUM($F596:AC596)-$E596),($E596*(1-$D$568))*$D596),0)*AD$564</f>
        <v>0</v>
      </c>
      <c r="AE596" s="319">
        <f>IF(AE$566&gt;=$C596,MIN(-(SUM($F596:AD596)-$E596),($E596*(1-$D$568))*$D596),0)*AE$564</f>
        <v>0</v>
      </c>
      <c r="AF596" s="319">
        <f>IF(AF$566&gt;=$C596,MIN(-(SUM($F596:AE596)-$E596),($E596*(1-$D$568))*$D596),0)*AF$564</f>
        <v>4.9637391854200006</v>
      </c>
      <c r="AG596" s="319">
        <f>IF(AG$566&gt;=$C596,MIN(-(SUM($F596:AF596)-$E596),($E596*(1-$D$568))*$D596),0)*AG$564</f>
        <v>4.9637391854200006</v>
      </c>
      <c r="AH596" s="319">
        <f>IF(AH$566&gt;=$C596,MIN(-(SUM($F596:AG596)-$E596),($E596*(1-$D$568))*$D596),0)*AH$564</f>
        <v>4.9637391854200006</v>
      </c>
      <c r="AI596" s="319">
        <f>IF(AI$566&gt;=$C596,MIN(-(SUM($F596:AH596)-$E596),($E596*(1-$D$568))*$D596),0)*AI$564</f>
        <v>4.9637391854200006</v>
      </c>
      <c r="AJ596" s="319">
        <f>IF(AJ$566&gt;=$C596,MIN(-(SUM($F596:AI596)-$E596),($E596*(1-$D$568))*$D596),0)*AJ$564</f>
        <v>4.9637391854200006</v>
      </c>
      <c r="AK596" s="319">
        <f>IF(AK$566&gt;=$C596,MIN(-(SUM($F596:AJ596)-$E596),($E596*(1-$D$568))*$D596),0)*AK$564</f>
        <v>0</v>
      </c>
      <c r="AL596" s="319">
        <f>IF(AL$566&gt;=$C596,MIN(-(SUM($F596:AK596)-$E596),($E596*(1-$D$568))*$D596),0)*AL$564</f>
        <v>0</v>
      </c>
      <c r="AM596" s="319">
        <f>IF(AM$566&gt;=$C596,MIN(-(SUM($F596:AL596)-$E596),($E596*(1-$D$568))*$D596),0)*AM$564</f>
        <v>0</v>
      </c>
      <c r="AN596" s="319">
        <f>IF(AN$566&gt;=$C596,MIN(-(SUM($F596:AM596)-$E596),($E596*(1-$D$568))*$D596),0)*AN$564</f>
        <v>0</v>
      </c>
    </row>
    <row r="597" spans="3:160" outlineLevel="4">
      <c r="C597">
        <v>27</v>
      </c>
      <c r="D597">
        <f>Inputs!$D$261</f>
        <v>0.1</v>
      </c>
      <c r="E597" s="319">
        <v>52.9079516742</v>
      </c>
      <c r="F597" s="461">
        <f>E597*D568</f>
        <v>0</v>
      </c>
      <c r="G597" s="319">
        <f>IF(G$566&gt;=$C597,MIN(-(SUM(F597:$F597)-$E597),($E597*(1-$D$568))*$D597),0)*G$564</f>
        <v>0</v>
      </c>
      <c r="H597" s="319">
        <f>IF(H$566&gt;=$C597,MIN(-(SUM($F597:G597)-$E597),($E597*(1-$D$568))*$D597),0)*H$564</f>
        <v>0</v>
      </c>
      <c r="I597" s="319">
        <f>IF(I$566&gt;=$C597,MIN(-(SUM($F597:H597)-$E597),($E597*(1-$D$568))*$D597),0)*I$564</f>
        <v>0</v>
      </c>
      <c r="J597" s="319">
        <f>IF(J$566&gt;=$C597,MIN(-(SUM($F597:I597)-$E597),($E597*(1-$D$568))*$D597),0)*J$564</f>
        <v>0</v>
      </c>
      <c r="K597" s="319">
        <f>IF(K$566&gt;=$C597,MIN(-(SUM($F597:J597)-$E597),($E597*(1-$D$568))*$D597),0)*K$564</f>
        <v>0</v>
      </c>
      <c r="L597" s="319">
        <f>IF(L$566&gt;=$C597,MIN(-(SUM($F597:K597)-$E597),($E597*(1-$D$568))*$D597),0)*L$564</f>
        <v>0</v>
      </c>
      <c r="M597" s="319">
        <f>IF(M$566&gt;=$C597,MIN(-(SUM($F597:L597)-$E597),($E597*(1-$D$568))*$D597),0)*M$564</f>
        <v>0</v>
      </c>
      <c r="N597" s="319">
        <f>IF(N$566&gt;=$C597,MIN(-(SUM($F597:M597)-$E597),($E597*(1-$D$568))*$D597),0)*N$564</f>
        <v>0</v>
      </c>
      <c r="O597" s="319">
        <f>IF(O$566&gt;=$C597,MIN(-(SUM($F597:N597)-$E597),($E597*(1-$D$568))*$D597),0)*O$564</f>
        <v>0</v>
      </c>
      <c r="P597" s="319">
        <f>IF(P$566&gt;=$C597,MIN(-(SUM($F597:O597)-$E597),($E597*(1-$D$568))*$D597),0)*P$564</f>
        <v>0</v>
      </c>
      <c r="Q597" s="319">
        <f>IF(Q$566&gt;=$C597,MIN(-(SUM($F597:P597)-$E597),($E597*(1-$D$568))*$D597),0)*Q$564</f>
        <v>0</v>
      </c>
      <c r="R597" s="319">
        <f>IF(R$566&gt;=$C597,MIN(-(SUM($F597:Q597)-$E597),($E597*(1-$D$568))*$D597),0)*R$564</f>
        <v>0</v>
      </c>
      <c r="S597" s="319">
        <f>IF(S$566&gt;=$C597,MIN(-(SUM($F597:R597)-$E597),($E597*(1-$D$568))*$D597),0)*S$564</f>
        <v>0</v>
      </c>
      <c r="T597" s="319">
        <f>IF(T$566&gt;=$C597,MIN(-(SUM($F597:S597)-$E597),($E597*(1-$D$568))*$D597),0)*T$564</f>
        <v>0</v>
      </c>
      <c r="U597" s="319">
        <f>IF(U$566&gt;=$C597,MIN(-(SUM($F597:T597)-$E597),($E597*(1-$D$568))*$D597),0)*U$564</f>
        <v>0</v>
      </c>
      <c r="V597" s="319">
        <f>IF(V$566&gt;=$C597,MIN(-(SUM($F597:U597)-$E597),($E597*(1-$D$568))*$D597),0)*V$564</f>
        <v>0</v>
      </c>
      <c r="W597" s="319">
        <f>IF(W$566&gt;=$C597,MIN(-(SUM($F597:V597)-$E597),($E597*(1-$D$568))*$D597),0)*W$564</f>
        <v>0</v>
      </c>
      <c r="X597" s="319">
        <f>IF(X$566&gt;=$C597,MIN(-(SUM($F597:W597)-$E597),($E597*(1-$D$568))*$D597),0)*X$564</f>
        <v>0</v>
      </c>
      <c r="Y597" s="319">
        <f>IF(Y$566&gt;=$C597,MIN(-(SUM($F597:X597)-$E597),($E597*(1-$D$568))*$D597),0)*Y$564</f>
        <v>0</v>
      </c>
      <c r="Z597" s="319">
        <f>IF(Z$566&gt;=$C597,MIN(-(SUM($F597:Y597)-$E597),($E597*(1-$D$568))*$D597),0)*Z$564</f>
        <v>0</v>
      </c>
      <c r="AA597" s="319">
        <f>IF(AA$566&gt;=$C597,MIN(-(SUM($F597:Z597)-$E597),($E597*(1-$D$568))*$D597),0)*AA$564</f>
        <v>0</v>
      </c>
      <c r="AB597" s="319">
        <f>IF(AB$566&gt;=$C597,MIN(-(SUM($F597:AA597)-$E597),($E597*(1-$D$568))*$D597),0)*AB$564</f>
        <v>0</v>
      </c>
      <c r="AC597" s="319">
        <f>IF(AC$566&gt;=$C597,MIN(-(SUM($F597:AB597)-$E597),($E597*(1-$D$568))*$D597),0)*AC$564</f>
        <v>0</v>
      </c>
      <c r="AD597" s="319">
        <f>IF(AD$566&gt;=$C597,MIN(-(SUM($F597:AC597)-$E597),($E597*(1-$D$568))*$D597),0)*AD$564</f>
        <v>0</v>
      </c>
      <c r="AE597" s="319">
        <f>IF(AE$566&gt;=$C597,MIN(-(SUM($F597:AD597)-$E597),($E597*(1-$D$568))*$D597),0)*AE$564</f>
        <v>0</v>
      </c>
      <c r="AF597" s="319">
        <f>IF(AF$566&gt;=$C597,MIN(-(SUM($F597:AE597)-$E597),($E597*(1-$D$568))*$D597),0)*AF$564</f>
        <v>0</v>
      </c>
      <c r="AG597" s="319">
        <f>IF(AG$566&gt;=$C597,MIN(-(SUM($F597:AF597)-$E597),($E597*(1-$D$568))*$D597),0)*AG$564</f>
        <v>5.2907951674200007</v>
      </c>
      <c r="AH597" s="319">
        <f>IF(AH$566&gt;=$C597,MIN(-(SUM($F597:AG597)-$E597),($E597*(1-$D$568))*$D597),0)*AH$564</f>
        <v>5.2907951674200007</v>
      </c>
      <c r="AI597" s="319">
        <f>IF(AI$566&gt;=$C597,MIN(-(SUM($F597:AH597)-$E597),($E597*(1-$D$568))*$D597),0)*AI$564</f>
        <v>5.2907951674200007</v>
      </c>
      <c r="AJ597" s="319">
        <f>IF(AJ$566&gt;=$C597,MIN(-(SUM($F597:AI597)-$E597),($E597*(1-$D$568))*$D597),0)*AJ$564</f>
        <v>5.2907951674200007</v>
      </c>
      <c r="AK597" s="319">
        <f>IF(AK$566&gt;=$C597,MIN(-(SUM($F597:AJ597)-$E597),($E597*(1-$D$568))*$D597),0)*AK$564</f>
        <v>0</v>
      </c>
      <c r="AL597" s="319">
        <f>IF(AL$566&gt;=$C597,MIN(-(SUM($F597:AK597)-$E597),($E597*(1-$D$568))*$D597),0)*AL$564</f>
        <v>0</v>
      </c>
      <c r="AM597" s="319">
        <f>IF(AM$566&gt;=$C597,MIN(-(SUM($F597:AL597)-$E597),($E597*(1-$D$568))*$D597),0)*AM$564</f>
        <v>0</v>
      </c>
      <c r="AN597" s="319">
        <f>IF(AN$566&gt;=$C597,MIN(-(SUM($F597:AM597)-$E597),($E597*(1-$D$568))*$D597),0)*AN$564</f>
        <v>0</v>
      </c>
    </row>
    <row r="598" spans="3:160" outlineLevel="4">
      <c r="C598">
        <v>28</v>
      </c>
      <c r="D598">
        <f>Inputs!$D$261</f>
        <v>0.1</v>
      </c>
      <c r="E598" s="319">
        <v>161.52478295294401</v>
      </c>
      <c r="F598" s="461">
        <f>E598*D568</f>
        <v>0</v>
      </c>
      <c r="G598" s="319">
        <f>IF(G$566&gt;=$C598,MIN(-(SUM(F598:$F598)-$E598),($E598*(1-$D$568))*$D598),0)*G$564</f>
        <v>0</v>
      </c>
      <c r="H598" s="319">
        <f>IF(H$566&gt;=$C598,MIN(-(SUM($F598:G598)-$E598),($E598*(1-$D$568))*$D598),0)*H$564</f>
        <v>0</v>
      </c>
      <c r="I598" s="319">
        <f>IF(I$566&gt;=$C598,MIN(-(SUM($F598:H598)-$E598),($E598*(1-$D$568))*$D598),0)*I$564</f>
        <v>0</v>
      </c>
      <c r="J598" s="319">
        <f>IF(J$566&gt;=$C598,MIN(-(SUM($F598:I598)-$E598),($E598*(1-$D$568))*$D598),0)*J$564</f>
        <v>0</v>
      </c>
      <c r="K598" s="319">
        <f>IF(K$566&gt;=$C598,MIN(-(SUM($F598:J598)-$E598),($E598*(1-$D$568))*$D598),0)*K$564</f>
        <v>0</v>
      </c>
      <c r="L598" s="319">
        <f>IF(L$566&gt;=$C598,MIN(-(SUM($F598:K598)-$E598),($E598*(1-$D$568))*$D598),0)*L$564</f>
        <v>0</v>
      </c>
      <c r="M598" s="319">
        <f>IF(M$566&gt;=$C598,MIN(-(SUM($F598:L598)-$E598),($E598*(1-$D$568))*$D598),0)*M$564</f>
        <v>0</v>
      </c>
      <c r="N598" s="319">
        <f>IF(N$566&gt;=$C598,MIN(-(SUM($F598:M598)-$E598),($E598*(1-$D$568))*$D598),0)*N$564</f>
        <v>0</v>
      </c>
      <c r="O598" s="319">
        <f>IF(O$566&gt;=$C598,MIN(-(SUM($F598:N598)-$E598),($E598*(1-$D$568))*$D598),0)*O$564</f>
        <v>0</v>
      </c>
      <c r="P598" s="319">
        <f>IF(P$566&gt;=$C598,MIN(-(SUM($F598:O598)-$E598),($E598*(1-$D$568))*$D598),0)*P$564</f>
        <v>0</v>
      </c>
      <c r="Q598" s="319">
        <f>IF(Q$566&gt;=$C598,MIN(-(SUM($F598:P598)-$E598),($E598*(1-$D$568))*$D598),0)*Q$564</f>
        <v>0</v>
      </c>
      <c r="R598" s="319">
        <f>IF(R$566&gt;=$C598,MIN(-(SUM($F598:Q598)-$E598),($E598*(1-$D$568))*$D598),0)*R$564</f>
        <v>0</v>
      </c>
      <c r="S598" s="319">
        <f>IF(S$566&gt;=$C598,MIN(-(SUM($F598:R598)-$E598),($E598*(1-$D$568))*$D598),0)*S$564</f>
        <v>0</v>
      </c>
      <c r="T598" s="319">
        <f>IF(T$566&gt;=$C598,MIN(-(SUM($F598:S598)-$E598),($E598*(1-$D$568))*$D598),0)*T$564</f>
        <v>0</v>
      </c>
      <c r="U598" s="319">
        <f>IF(U$566&gt;=$C598,MIN(-(SUM($F598:T598)-$E598),($E598*(1-$D$568))*$D598),0)*U$564</f>
        <v>0</v>
      </c>
      <c r="V598" s="319">
        <f>IF(V$566&gt;=$C598,MIN(-(SUM($F598:U598)-$E598),($E598*(1-$D$568))*$D598),0)*V$564</f>
        <v>0</v>
      </c>
      <c r="W598" s="319">
        <f>IF(W$566&gt;=$C598,MIN(-(SUM($F598:V598)-$E598),($E598*(1-$D$568))*$D598),0)*W$564</f>
        <v>0</v>
      </c>
      <c r="X598" s="319">
        <f>IF(X$566&gt;=$C598,MIN(-(SUM($F598:W598)-$E598),($E598*(1-$D$568))*$D598),0)*X$564</f>
        <v>0</v>
      </c>
      <c r="Y598" s="319">
        <f>IF(Y$566&gt;=$C598,MIN(-(SUM($F598:X598)-$E598),($E598*(1-$D$568))*$D598),0)*Y$564</f>
        <v>0</v>
      </c>
      <c r="Z598" s="319">
        <f>IF(Z$566&gt;=$C598,MIN(-(SUM($F598:Y598)-$E598),($E598*(1-$D$568))*$D598),0)*Z$564</f>
        <v>0</v>
      </c>
      <c r="AA598" s="319">
        <f>IF(AA$566&gt;=$C598,MIN(-(SUM($F598:Z598)-$E598),($E598*(1-$D$568))*$D598),0)*AA$564</f>
        <v>0</v>
      </c>
      <c r="AB598" s="319">
        <f>IF(AB$566&gt;=$C598,MIN(-(SUM($F598:AA598)-$E598),($E598*(1-$D$568))*$D598),0)*AB$564</f>
        <v>0</v>
      </c>
      <c r="AC598" s="319">
        <f>IF(AC$566&gt;=$C598,MIN(-(SUM($F598:AB598)-$E598),($E598*(1-$D$568))*$D598),0)*AC$564</f>
        <v>0</v>
      </c>
      <c r="AD598" s="319">
        <f>IF(AD$566&gt;=$C598,MIN(-(SUM($F598:AC598)-$E598),($E598*(1-$D$568))*$D598),0)*AD$564</f>
        <v>0</v>
      </c>
      <c r="AE598" s="319">
        <f>IF(AE$566&gt;=$C598,MIN(-(SUM($F598:AD598)-$E598),($E598*(1-$D$568))*$D598),0)*AE$564</f>
        <v>0</v>
      </c>
      <c r="AF598" s="319">
        <f>IF(AF$566&gt;=$C598,MIN(-(SUM($F598:AE598)-$E598),($E598*(1-$D$568))*$D598),0)*AF$564</f>
        <v>0</v>
      </c>
      <c r="AG598" s="319">
        <f>IF(AG$566&gt;=$C598,MIN(-(SUM($F598:AF598)-$E598),($E598*(1-$D$568))*$D598),0)*AG$564</f>
        <v>0</v>
      </c>
      <c r="AH598" s="319">
        <f>IF(AH$566&gt;=$C598,MIN(-(SUM($F598:AG598)-$E598),($E598*(1-$D$568))*$D598),0)*AH$564</f>
        <v>16.152478295294401</v>
      </c>
      <c r="AI598" s="319">
        <f>IF(AI$566&gt;=$C598,MIN(-(SUM($F598:AH598)-$E598),($E598*(1-$D$568))*$D598),0)*AI$564</f>
        <v>16.152478295294401</v>
      </c>
      <c r="AJ598" s="319">
        <f>IF(AJ$566&gt;=$C598,MIN(-(SUM($F598:AI598)-$E598),($E598*(1-$D$568))*$D598),0)*AJ$564</f>
        <v>16.152478295294401</v>
      </c>
      <c r="AK598" s="319">
        <f>IF(AK$566&gt;=$C598,MIN(-(SUM($F598:AJ598)-$E598),($E598*(1-$D$568))*$D598),0)*AK$564</f>
        <v>0</v>
      </c>
      <c r="AL598" s="319">
        <f>IF(AL$566&gt;=$C598,MIN(-(SUM($F598:AK598)-$E598),($E598*(1-$D$568))*$D598),0)*AL$564</f>
        <v>0</v>
      </c>
      <c r="AM598" s="319">
        <f>IF(AM$566&gt;=$C598,MIN(-(SUM($F598:AL598)-$E598),($E598*(1-$D$568))*$D598),0)*AM$564</f>
        <v>0</v>
      </c>
      <c r="AN598" s="319">
        <f>IF(AN$566&gt;=$C598,MIN(-(SUM($F598:AM598)-$E598),($E598*(1-$D$568))*$D598),0)*AN$564</f>
        <v>0</v>
      </c>
    </row>
    <row r="599" spans="3:160" outlineLevel="4">
      <c r="C599">
        <v>29</v>
      </c>
      <c r="D599">
        <f>Inputs!$D$261</f>
        <v>0.1</v>
      </c>
      <c r="E599" s="319">
        <v>49.327041674200004</v>
      </c>
      <c r="F599" s="461">
        <f>E599*D568</f>
        <v>0</v>
      </c>
      <c r="G599" s="319">
        <f>IF(G$566&gt;=$C599,MIN(-(SUM(F599:$F599)-$E599),($E599*(1-$D$568))*$D599),0)*G$564</f>
        <v>0</v>
      </c>
      <c r="H599" s="319">
        <f>IF(H$566&gt;=$C599,MIN(-(SUM($F599:G599)-$E599),($E599*(1-$D$568))*$D599),0)*H$564</f>
        <v>0</v>
      </c>
      <c r="I599" s="319">
        <f>IF(I$566&gt;=$C599,MIN(-(SUM($F599:H599)-$E599),($E599*(1-$D$568))*$D599),0)*I$564</f>
        <v>0</v>
      </c>
      <c r="J599" s="319">
        <f>IF(J$566&gt;=$C599,MIN(-(SUM($F599:I599)-$E599),($E599*(1-$D$568))*$D599),0)*J$564</f>
        <v>0</v>
      </c>
      <c r="K599" s="319">
        <f>IF(K$566&gt;=$C599,MIN(-(SUM($F599:J599)-$E599),($E599*(1-$D$568))*$D599),0)*K$564</f>
        <v>0</v>
      </c>
      <c r="L599" s="319">
        <f>IF(L$566&gt;=$C599,MIN(-(SUM($F599:K599)-$E599),($E599*(1-$D$568))*$D599),0)*L$564</f>
        <v>0</v>
      </c>
      <c r="M599" s="319">
        <f>IF(M$566&gt;=$C599,MIN(-(SUM($F599:L599)-$E599),($E599*(1-$D$568))*$D599),0)*M$564</f>
        <v>0</v>
      </c>
      <c r="N599" s="319">
        <f>IF(N$566&gt;=$C599,MIN(-(SUM($F599:M599)-$E599),($E599*(1-$D$568))*$D599),0)*N$564</f>
        <v>0</v>
      </c>
      <c r="O599" s="319">
        <f>IF(O$566&gt;=$C599,MIN(-(SUM($F599:N599)-$E599),($E599*(1-$D$568))*$D599),0)*O$564</f>
        <v>0</v>
      </c>
      <c r="P599" s="319">
        <f>IF(P$566&gt;=$C599,MIN(-(SUM($F599:O599)-$E599),($E599*(1-$D$568))*$D599),0)*P$564</f>
        <v>0</v>
      </c>
      <c r="Q599" s="319">
        <f>IF(Q$566&gt;=$C599,MIN(-(SUM($F599:P599)-$E599),($E599*(1-$D$568))*$D599),0)*Q$564</f>
        <v>0</v>
      </c>
      <c r="R599" s="319">
        <f>IF(R$566&gt;=$C599,MIN(-(SUM($F599:Q599)-$E599),($E599*(1-$D$568))*$D599),0)*R$564</f>
        <v>0</v>
      </c>
      <c r="S599" s="319">
        <f>IF(S$566&gt;=$C599,MIN(-(SUM($F599:R599)-$E599),($E599*(1-$D$568))*$D599),0)*S$564</f>
        <v>0</v>
      </c>
      <c r="T599" s="319">
        <f>IF(T$566&gt;=$C599,MIN(-(SUM($F599:S599)-$E599),($E599*(1-$D$568))*$D599),0)*T$564</f>
        <v>0</v>
      </c>
      <c r="U599" s="319">
        <f>IF(U$566&gt;=$C599,MIN(-(SUM($F599:T599)-$E599),($E599*(1-$D$568))*$D599),0)*U$564</f>
        <v>0</v>
      </c>
      <c r="V599" s="319">
        <f>IF(V$566&gt;=$C599,MIN(-(SUM($F599:U599)-$E599),($E599*(1-$D$568))*$D599),0)*V$564</f>
        <v>0</v>
      </c>
      <c r="W599" s="319">
        <f>IF(W$566&gt;=$C599,MIN(-(SUM($F599:V599)-$E599),($E599*(1-$D$568))*$D599),0)*W$564</f>
        <v>0</v>
      </c>
      <c r="X599" s="319">
        <f>IF(X$566&gt;=$C599,MIN(-(SUM($F599:W599)-$E599),($E599*(1-$D$568))*$D599),0)*X$564</f>
        <v>0</v>
      </c>
      <c r="Y599" s="319">
        <f>IF(Y$566&gt;=$C599,MIN(-(SUM($F599:X599)-$E599),($E599*(1-$D$568))*$D599),0)*Y$564</f>
        <v>0</v>
      </c>
      <c r="Z599" s="319">
        <f>IF(Z$566&gt;=$C599,MIN(-(SUM($F599:Y599)-$E599),($E599*(1-$D$568))*$D599),0)*Z$564</f>
        <v>0</v>
      </c>
      <c r="AA599" s="319">
        <f>IF(AA$566&gt;=$C599,MIN(-(SUM($F599:Z599)-$E599),($E599*(1-$D$568))*$D599),0)*AA$564</f>
        <v>0</v>
      </c>
      <c r="AB599" s="319">
        <f>IF(AB$566&gt;=$C599,MIN(-(SUM($F599:AA599)-$E599),($E599*(1-$D$568))*$D599),0)*AB$564</f>
        <v>0</v>
      </c>
      <c r="AC599" s="319">
        <f>IF(AC$566&gt;=$C599,MIN(-(SUM($F599:AB599)-$E599),($E599*(1-$D$568))*$D599),0)*AC$564</f>
        <v>0</v>
      </c>
      <c r="AD599" s="319">
        <f>IF(AD$566&gt;=$C599,MIN(-(SUM($F599:AC599)-$E599),($E599*(1-$D$568))*$D599),0)*AD$564</f>
        <v>0</v>
      </c>
      <c r="AE599" s="319">
        <f>IF(AE$566&gt;=$C599,MIN(-(SUM($F599:AD599)-$E599),($E599*(1-$D$568))*$D599),0)*AE$564</f>
        <v>0</v>
      </c>
      <c r="AF599" s="319">
        <f>IF(AF$566&gt;=$C599,MIN(-(SUM($F599:AE599)-$E599),($E599*(1-$D$568))*$D599),0)*AF$564</f>
        <v>0</v>
      </c>
      <c r="AG599" s="319">
        <f>IF(AG$566&gt;=$C599,MIN(-(SUM($F599:AF599)-$E599),($E599*(1-$D$568))*$D599),0)*AG$564</f>
        <v>0</v>
      </c>
      <c r="AH599" s="319">
        <f>IF(AH$566&gt;=$C599,MIN(-(SUM($F599:AG599)-$E599),($E599*(1-$D$568))*$D599),0)*AH$564</f>
        <v>0</v>
      </c>
      <c r="AI599" s="319">
        <f>IF(AI$566&gt;=$C599,MIN(-(SUM($F599:AH599)-$E599),($E599*(1-$D$568))*$D599),0)*AI$564</f>
        <v>4.9327041674200007</v>
      </c>
      <c r="AJ599" s="319">
        <f>IF(AJ$566&gt;=$C599,MIN(-(SUM($F599:AI599)-$E599),($E599*(1-$D$568))*$D599),0)*AJ$564</f>
        <v>4.9327041674200007</v>
      </c>
      <c r="AK599" s="319">
        <f>IF(AK$566&gt;=$C599,MIN(-(SUM($F599:AJ599)-$E599),($E599*(1-$D$568))*$D599),0)*AK$564</f>
        <v>0</v>
      </c>
      <c r="AL599" s="319">
        <f>IF(AL$566&gt;=$C599,MIN(-(SUM($F599:AK599)-$E599),($E599*(1-$D$568))*$D599),0)*AL$564</f>
        <v>0</v>
      </c>
      <c r="AM599" s="319">
        <f>IF(AM$566&gt;=$C599,MIN(-(SUM($F599:AL599)-$E599),($E599*(1-$D$568))*$D599),0)*AM$564</f>
        <v>0</v>
      </c>
      <c r="AN599" s="319">
        <f>IF(AN$566&gt;=$C599,MIN(-(SUM($F599:AM599)-$E599),($E599*(1-$D$568))*$D599),0)*AN$564</f>
        <v>0</v>
      </c>
    </row>
    <row r="600" spans="3:160" outlineLevel="4">
      <c r="C600">
        <v>30</v>
      </c>
      <c r="D600">
        <f>Inputs!$D$261</f>
        <v>0.1</v>
      </c>
      <c r="E600" s="319">
        <v>43.404541674200004</v>
      </c>
      <c r="F600" s="461">
        <f>E600*D568</f>
        <v>0</v>
      </c>
      <c r="G600" s="319">
        <f>IF(G$566&gt;=$C600,MIN(-(SUM(F600:$F600)-$E600),($E600*(1-$D$568))*$D600),0)*G$564</f>
        <v>0</v>
      </c>
      <c r="H600" s="319">
        <f>IF(H$566&gt;=$C600,MIN(-(SUM($F600:G600)-$E600),($E600*(1-$D$568))*$D600),0)*H$564</f>
        <v>0</v>
      </c>
      <c r="I600" s="319">
        <f>IF(I$566&gt;=$C600,MIN(-(SUM($F600:H600)-$E600),($E600*(1-$D$568))*$D600),0)*I$564</f>
        <v>0</v>
      </c>
      <c r="J600" s="319">
        <f>IF(J$566&gt;=$C600,MIN(-(SUM($F600:I600)-$E600),($E600*(1-$D$568))*$D600),0)*J$564</f>
        <v>0</v>
      </c>
      <c r="K600" s="319">
        <f>IF(K$566&gt;=$C600,MIN(-(SUM($F600:J600)-$E600),($E600*(1-$D$568))*$D600),0)*K$564</f>
        <v>0</v>
      </c>
      <c r="L600" s="319">
        <f>IF(L$566&gt;=$C600,MIN(-(SUM($F600:K600)-$E600),($E600*(1-$D$568))*$D600),0)*L$564</f>
        <v>0</v>
      </c>
      <c r="M600" s="319">
        <f>IF(M$566&gt;=$C600,MIN(-(SUM($F600:L600)-$E600),($E600*(1-$D$568))*$D600),0)*M$564</f>
        <v>0</v>
      </c>
      <c r="N600" s="319">
        <f>IF(N$566&gt;=$C600,MIN(-(SUM($F600:M600)-$E600),($E600*(1-$D$568))*$D600),0)*N$564</f>
        <v>0</v>
      </c>
      <c r="O600" s="319">
        <f>IF(O$566&gt;=$C600,MIN(-(SUM($F600:N600)-$E600),($E600*(1-$D$568))*$D600),0)*O$564</f>
        <v>0</v>
      </c>
      <c r="P600" s="319">
        <f>IF(P$566&gt;=$C600,MIN(-(SUM($F600:O600)-$E600),($E600*(1-$D$568))*$D600),0)*P$564</f>
        <v>0</v>
      </c>
      <c r="Q600" s="319">
        <f>IF(Q$566&gt;=$C600,MIN(-(SUM($F600:P600)-$E600),($E600*(1-$D$568))*$D600),0)*Q$564</f>
        <v>0</v>
      </c>
      <c r="R600" s="319">
        <f>IF(R$566&gt;=$C600,MIN(-(SUM($F600:Q600)-$E600),($E600*(1-$D$568))*$D600),0)*R$564</f>
        <v>0</v>
      </c>
      <c r="S600" s="319">
        <f>IF(S$566&gt;=$C600,MIN(-(SUM($F600:R600)-$E600),($E600*(1-$D$568))*$D600),0)*S$564</f>
        <v>0</v>
      </c>
      <c r="T600" s="319">
        <f>IF(T$566&gt;=$C600,MIN(-(SUM($F600:S600)-$E600),($E600*(1-$D$568))*$D600),0)*T$564</f>
        <v>0</v>
      </c>
      <c r="U600" s="319">
        <f>IF(U$566&gt;=$C600,MIN(-(SUM($F600:T600)-$E600),($E600*(1-$D$568))*$D600),0)*U$564</f>
        <v>0</v>
      </c>
      <c r="V600" s="319">
        <f>IF(V$566&gt;=$C600,MIN(-(SUM($F600:U600)-$E600),($E600*(1-$D$568))*$D600),0)*V$564</f>
        <v>0</v>
      </c>
      <c r="W600" s="319">
        <f>IF(W$566&gt;=$C600,MIN(-(SUM($F600:V600)-$E600),($E600*(1-$D$568))*$D600),0)*W$564</f>
        <v>0</v>
      </c>
      <c r="X600" s="319">
        <f>IF(X$566&gt;=$C600,MIN(-(SUM($F600:W600)-$E600),($E600*(1-$D$568))*$D600),0)*X$564</f>
        <v>0</v>
      </c>
      <c r="Y600" s="319">
        <f>IF(Y$566&gt;=$C600,MIN(-(SUM($F600:X600)-$E600),($E600*(1-$D$568))*$D600),0)*Y$564</f>
        <v>0</v>
      </c>
      <c r="Z600" s="319">
        <f>IF(Z$566&gt;=$C600,MIN(-(SUM($F600:Y600)-$E600),($E600*(1-$D$568))*$D600),0)*Z$564</f>
        <v>0</v>
      </c>
      <c r="AA600" s="319">
        <f>IF(AA$566&gt;=$C600,MIN(-(SUM($F600:Z600)-$E600),($E600*(1-$D$568))*$D600),0)*AA$564</f>
        <v>0</v>
      </c>
      <c r="AB600" s="319">
        <f>IF(AB$566&gt;=$C600,MIN(-(SUM($F600:AA600)-$E600),($E600*(1-$D$568))*$D600),0)*AB$564</f>
        <v>0</v>
      </c>
      <c r="AC600" s="319">
        <f>IF(AC$566&gt;=$C600,MIN(-(SUM($F600:AB600)-$E600),($E600*(1-$D$568))*$D600),0)*AC$564</f>
        <v>0</v>
      </c>
      <c r="AD600" s="319">
        <f>IF(AD$566&gt;=$C600,MIN(-(SUM($F600:AC600)-$E600),($E600*(1-$D$568))*$D600),0)*AD$564</f>
        <v>0</v>
      </c>
      <c r="AE600" s="319">
        <f>IF(AE$566&gt;=$C600,MIN(-(SUM($F600:AD600)-$E600),($E600*(1-$D$568))*$D600),0)*AE$564</f>
        <v>0</v>
      </c>
      <c r="AF600" s="319">
        <f>IF(AF$566&gt;=$C600,MIN(-(SUM($F600:AE600)-$E600),($E600*(1-$D$568))*$D600),0)*AF$564</f>
        <v>0</v>
      </c>
      <c r="AG600" s="319">
        <f>IF(AG$566&gt;=$C600,MIN(-(SUM($F600:AF600)-$E600),($E600*(1-$D$568))*$D600),0)*AG$564</f>
        <v>0</v>
      </c>
      <c r="AH600" s="319">
        <f>IF(AH$566&gt;=$C600,MIN(-(SUM($F600:AG600)-$E600),($E600*(1-$D$568))*$D600),0)*AH$564</f>
        <v>0</v>
      </c>
      <c r="AI600" s="319">
        <f>IF(AI$566&gt;=$C600,MIN(-(SUM($F600:AH600)-$E600),($E600*(1-$D$568))*$D600),0)*AI$564</f>
        <v>0</v>
      </c>
      <c r="AJ600" s="319">
        <f>IF(AJ$566&gt;=$C600,MIN(-(SUM($F600:AI600)-$E600),($E600*(1-$D$568))*$D600),0)*AJ$564</f>
        <v>4.3404541674200008</v>
      </c>
      <c r="AK600" s="319">
        <f>IF(AK$566&gt;=$C600,MIN(-(SUM($F600:AJ600)-$E600),($E600*(1-$D$568))*$D600),0)*AK$564</f>
        <v>0</v>
      </c>
      <c r="AL600" s="319">
        <f>IF(AL$566&gt;=$C600,MIN(-(SUM($F600:AK600)-$E600),($E600*(1-$D$568))*$D600),0)*AL$564</f>
        <v>0</v>
      </c>
      <c r="AM600" s="319">
        <f>IF(AM$566&gt;=$C600,MIN(-(SUM($F600:AL600)-$E600),($E600*(1-$D$568))*$D600),0)*AM$564</f>
        <v>0</v>
      </c>
      <c r="AN600" s="319">
        <f>IF(AN$566&gt;=$C600,MIN(-(SUM($F600:AM600)-$E600),($E600*(1-$D$568))*$D600),0)*AN$564</f>
        <v>0</v>
      </c>
    </row>
    <row r="601" spans="3:160" outlineLevel="4">
      <c r="C601">
        <v>31</v>
      </c>
      <c r="D601">
        <f>Inputs!$D$261</f>
        <v>0.1</v>
      </c>
      <c r="E601" s="319">
        <v>0</v>
      </c>
      <c r="F601" s="461">
        <f>E601*D568</f>
        <v>0</v>
      </c>
      <c r="G601" s="319">
        <f>IF(G$566&gt;=$C601,MIN(-(SUM(F601:$F601)-$E601),($E601*(1-$D$568))*$D601),0)*G$564</f>
        <v>0</v>
      </c>
      <c r="H601" s="319">
        <f>IF(H$566&gt;=$C601,MIN(-(SUM($F601:G601)-$E601),($E601*(1-$D$568))*$D601),0)*H$564</f>
        <v>0</v>
      </c>
      <c r="I601" s="319">
        <f>IF(I$566&gt;=$C601,MIN(-(SUM($F601:H601)-$E601),($E601*(1-$D$568))*$D601),0)*I$564</f>
        <v>0</v>
      </c>
      <c r="J601" s="319">
        <f>IF(J$566&gt;=$C601,MIN(-(SUM($F601:I601)-$E601),($E601*(1-$D$568))*$D601),0)*J$564</f>
        <v>0</v>
      </c>
      <c r="K601" s="319">
        <f>IF(K$566&gt;=$C601,MIN(-(SUM($F601:J601)-$E601),($E601*(1-$D$568))*$D601),0)*K$564</f>
        <v>0</v>
      </c>
      <c r="L601" s="319">
        <f>IF(L$566&gt;=$C601,MIN(-(SUM($F601:K601)-$E601),($E601*(1-$D$568))*$D601),0)*L$564</f>
        <v>0</v>
      </c>
      <c r="M601" s="319">
        <f>IF(M$566&gt;=$C601,MIN(-(SUM($F601:L601)-$E601),($E601*(1-$D$568))*$D601),0)*M$564</f>
        <v>0</v>
      </c>
      <c r="N601" s="319">
        <f>IF(N$566&gt;=$C601,MIN(-(SUM($F601:M601)-$E601),($E601*(1-$D$568))*$D601),0)*N$564</f>
        <v>0</v>
      </c>
      <c r="O601" s="319">
        <f>IF(O$566&gt;=$C601,MIN(-(SUM($F601:N601)-$E601),($E601*(1-$D$568))*$D601),0)*O$564</f>
        <v>0</v>
      </c>
      <c r="P601" s="319">
        <f>IF(P$566&gt;=$C601,MIN(-(SUM($F601:O601)-$E601),($E601*(1-$D$568))*$D601),0)*P$564</f>
        <v>0</v>
      </c>
      <c r="Q601" s="319">
        <f>IF(Q$566&gt;=$C601,MIN(-(SUM($F601:P601)-$E601),($E601*(1-$D$568))*$D601),0)*Q$564</f>
        <v>0</v>
      </c>
      <c r="R601" s="319">
        <f>IF(R$566&gt;=$C601,MIN(-(SUM($F601:Q601)-$E601),($E601*(1-$D$568))*$D601),0)*R$564</f>
        <v>0</v>
      </c>
      <c r="S601" s="319">
        <f>IF(S$566&gt;=$C601,MIN(-(SUM($F601:R601)-$E601),($E601*(1-$D$568))*$D601),0)*S$564</f>
        <v>0</v>
      </c>
      <c r="T601" s="319">
        <f>IF(T$566&gt;=$C601,MIN(-(SUM($F601:S601)-$E601),($E601*(1-$D$568))*$D601),0)*T$564</f>
        <v>0</v>
      </c>
      <c r="U601" s="319">
        <f>IF(U$566&gt;=$C601,MIN(-(SUM($F601:T601)-$E601),($E601*(1-$D$568))*$D601),0)*U$564</f>
        <v>0</v>
      </c>
      <c r="V601" s="319">
        <f>IF(V$566&gt;=$C601,MIN(-(SUM($F601:U601)-$E601),($E601*(1-$D$568))*$D601),0)*V$564</f>
        <v>0</v>
      </c>
      <c r="W601" s="319">
        <f>IF(W$566&gt;=$C601,MIN(-(SUM($F601:V601)-$E601),($E601*(1-$D$568))*$D601),0)*W$564</f>
        <v>0</v>
      </c>
      <c r="X601" s="319">
        <f>IF(X$566&gt;=$C601,MIN(-(SUM($F601:W601)-$E601),($E601*(1-$D$568))*$D601),0)*X$564</f>
        <v>0</v>
      </c>
      <c r="Y601" s="319">
        <f>IF(Y$566&gt;=$C601,MIN(-(SUM($F601:X601)-$E601),($E601*(1-$D$568))*$D601),0)*Y$564</f>
        <v>0</v>
      </c>
      <c r="Z601" s="319">
        <f>IF(Z$566&gt;=$C601,MIN(-(SUM($F601:Y601)-$E601),($E601*(1-$D$568))*$D601),0)*Z$564</f>
        <v>0</v>
      </c>
      <c r="AA601" s="319">
        <f>IF(AA$566&gt;=$C601,MIN(-(SUM($F601:Z601)-$E601),($E601*(1-$D$568))*$D601),0)*AA$564</f>
        <v>0</v>
      </c>
      <c r="AB601" s="319">
        <f>IF(AB$566&gt;=$C601,MIN(-(SUM($F601:AA601)-$E601),($E601*(1-$D$568))*$D601),0)*AB$564</f>
        <v>0</v>
      </c>
      <c r="AC601" s="319">
        <f>IF(AC$566&gt;=$C601,MIN(-(SUM($F601:AB601)-$E601),($E601*(1-$D$568))*$D601),0)*AC$564</f>
        <v>0</v>
      </c>
      <c r="AD601" s="319">
        <f>IF(AD$566&gt;=$C601,MIN(-(SUM($F601:AC601)-$E601),($E601*(1-$D$568))*$D601),0)*AD$564</f>
        <v>0</v>
      </c>
      <c r="AE601" s="319">
        <f>IF(AE$566&gt;=$C601,MIN(-(SUM($F601:AD601)-$E601),($E601*(1-$D$568))*$D601),0)*AE$564</f>
        <v>0</v>
      </c>
      <c r="AF601" s="319">
        <f>IF(AF$566&gt;=$C601,MIN(-(SUM($F601:AE601)-$E601),($E601*(1-$D$568))*$D601),0)*AF$564</f>
        <v>0</v>
      </c>
      <c r="AG601" s="319">
        <f>IF(AG$566&gt;=$C601,MIN(-(SUM($F601:AF601)-$E601),($E601*(1-$D$568))*$D601),0)*AG$564</f>
        <v>0</v>
      </c>
      <c r="AH601" s="319">
        <f>IF(AH$566&gt;=$C601,MIN(-(SUM($F601:AG601)-$E601),($E601*(1-$D$568))*$D601),0)*AH$564</f>
        <v>0</v>
      </c>
      <c r="AI601" s="319">
        <f>IF(AI$566&gt;=$C601,MIN(-(SUM($F601:AH601)-$E601),($E601*(1-$D$568))*$D601),0)*AI$564</f>
        <v>0</v>
      </c>
      <c r="AJ601" s="319">
        <f>IF(AJ$566&gt;=$C601,MIN(-(SUM($F601:AI601)-$E601),($E601*(1-$D$568))*$D601),0)*AJ$564</f>
        <v>0</v>
      </c>
      <c r="AK601" s="319">
        <f>IF(AK$566&gt;=$C601,MIN(-(SUM($F601:AJ601)-$E601),($E601*(1-$D$568))*$D601),0)*AK$564</f>
        <v>0</v>
      </c>
      <c r="AL601" s="319">
        <f>IF(AL$566&gt;=$C601,MIN(-(SUM($F601:AK601)-$E601),($E601*(1-$D$568))*$D601),0)*AL$564</f>
        <v>0</v>
      </c>
      <c r="AM601" s="319">
        <f>IF(AM$566&gt;=$C601,MIN(-(SUM($F601:AL601)-$E601),($E601*(1-$D$568))*$D601),0)*AM$564</f>
        <v>0</v>
      </c>
      <c r="AN601" s="319">
        <f>IF(AN$566&gt;=$C601,MIN(-(SUM($F601:AM601)-$E601),($E601*(1-$D$568))*$D601),0)*AN$564</f>
        <v>0</v>
      </c>
    </row>
    <row r="602" spans="3:160" outlineLevel="4">
      <c r="C602">
        <v>32</v>
      </c>
      <c r="D602">
        <f>Inputs!$D$261</f>
        <v>0.1</v>
      </c>
      <c r="E602" s="319">
        <v>0</v>
      </c>
      <c r="F602" s="461">
        <f>E602*D568</f>
        <v>0</v>
      </c>
      <c r="G602" s="319">
        <f>IF(G$566&gt;=$C602,MIN(-(SUM(F602:$F602)-$E602),($E602*(1-$D$568))*$D602),0)*G$564</f>
        <v>0</v>
      </c>
      <c r="H602" s="319">
        <f>IF(H$566&gt;=$C602,MIN(-(SUM($F602:G602)-$E602),($E602*(1-$D$568))*$D602),0)*H$564</f>
        <v>0</v>
      </c>
      <c r="I602" s="319">
        <f>IF(I$566&gt;=$C602,MIN(-(SUM($F602:H602)-$E602),($E602*(1-$D$568))*$D602),0)*I$564</f>
        <v>0</v>
      </c>
      <c r="J602" s="319">
        <f>IF(J$566&gt;=$C602,MIN(-(SUM($F602:I602)-$E602),($E602*(1-$D$568))*$D602),0)*J$564</f>
        <v>0</v>
      </c>
      <c r="K602" s="319">
        <f>IF(K$566&gt;=$C602,MIN(-(SUM($F602:J602)-$E602),($E602*(1-$D$568))*$D602),0)*K$564</f>
        <v>0</v>
      </c>
      <c r="L602" s="319">
        <f>IF(L$566&gt;=$C602,MIN(-(SUM($F602:K602)-$E602),($E602*(1-$D$568))*$D602),0)*L$564</f>
        <v>0</v>
      </c>
      <c r="M602" s="319">
        <f>IF(M$566&gt;=$C602,MIN(-(SUM($F602:L602)-$E602),($E602*(1-$D$568))*$D602),0)*M$564</f>
        <v>0</v>
      </c>
      <c r="N602" s="319">
        <f>IF(N$566&gt;=$C602,MIN(-(SUM($F602:M602)-$E602),($E602*(1-$D$568))*$D602),0)*N$564</f>
        <v>0</v>
      </c>
      <c r="O602" s="319">
        <f>IF(O$566&gt;=$C602,MIN(-(SUM($F602:N602)-$E602),($E602*(1-$D$568))*$D602),0)*O$564</f>
        <v>0</v>
      </c>
      <c r="P602" s="319">
        <f>IF(P$566&gt;=$C602,MIN(-(SUM($F602:O602)-$E602),($E602*(1-$D$568))*$D602),0)*P$564</f>
        <v>0</v>
      </c>
      <c r="Q602" s="319">
        <f>IF(Q$566&gt;=$C602,MIN(-(SUM($F602:P602)-$E602),($E602*(1-$D$568))*$D602),0)*Q$564</f>
        <v>0</v>
      </c>
      <c r="R602" s="319">
        <f>IF(R$566&gt;=$C602,MIN(-(SUM($F602:Q602)-$E602),($E602*(1-$D$568))*$D602),0)*R$564</f>
        <v>0</v>
      </c>
      <c r="S602" s="319">
        <f>IF(S$566&gt;=$C602,MIN(-(SUM($F602:R602)-$E602),($E602*(1-$D$568))*$D602),0)*S$564</f>
        <v>0</v>
      </c>
      <c r="T602" s="319">
        <f>IF(T$566&gt;=$C602,MIN(-(SUM($F602:S602)-$E602),($E602*(1-$D$568))*$D602),0)*T$564</f>
        <v>0</v>
      </c>
      <c r="U602" s="319">
        <f>IF(U$566&gt;=$C602,MIN(-(SUM($F602:T602)-$E602),($E602*(1-$D$568))*$D602),0)*U$564</f>
        <v>0</v>
      </c>
      <c r="V602" s="319">
        <f>IF(V$566&gt;=$C602,MIN(-(SUM($F602:U602)-$E602),($E602*(1-$D$568))*$D602),0)*V$564</f>
        <v>0</v>
      </c>
      <c r="W602" s="319">
        <f>IF(W$566&gt;=$C602,MIN(-(SUM($F602:V602)-$E602),($E602*(1-$D$568))*$D602),0)*W$564</f>
        <v>0</v>
      </c>
      <c r="X602" s="319">
        <f>IF(X$566&gt;=$C602,MIN(-(SUM($F602:W602)-$E602),($E602*(1-$D$568))*$D602),0)*X$564</f>
        <v>0</v>
      </c>
      <c r="Y602" s="319">
        <f>IF(Y$566&gt;=$C602,MIN(-(SUM($F602:X602)-$E602),($E602*(1-$D$568))*$D602),0)*Y$564</f>
        <v>0</v>
      </c>
      <c r="Z602" s="319">
        <f>IF(Z$566&gt;=$C602,MIN(-(SUM($F602:Y602)-$E602),($E602*(1-$D$568))*$D602),0)*Z$564</f>
        <v>0</v>
      </c>
      <c r="AA602" s="319">
        <f>IF(AA$566&gt;=$C602,MIN(-(SUM($F602:Z602)-$E602),($E602*(1-$D$568))*$D602),0)*AA$564</f>
        <v>0</v>
      </c>
      <c r="AB602" s="319">
        <f>IF(AB$566&gt;=$C602,MIN(-(SUM($F602:AA602)-$E602),($E602*(1-$D$568))*$D602),0)*AB$564</f>
        <v>0</v>
      </c>
      <c r="AC602" s="319">
        <f>IF(AC$566&gt;=$C602,MIN(-(SUM($F602:AB602)-$E602),($E602*(1-$D$568))*$D602),0)*AC$564</f>
        <v>0</v>
      </c>
      <c r="AD602" s="319">
        <f>IF(AD$566&gt;=$C602,MIN(-(SUM($F602:AC602)-$E602),($E602*(1-$D$568))*$D602),0)*AD$564</f>
        <v>0</v>
      </c>
      <c r="AE602" s="319">
        <f>IF(AE$566&gt;=$C602,MIN(-(SUM($F602:AD602)-$E602),($E602*(1-$D$568))*$D602),0)*AE$564</f>
        <v>0</v>
      </c>
      <c r="AF602" s="319">
        <f>IF(AF$566&gt;=$C602,MIN(-(SUM($F602:AE602)-$E602),($E602*(1-$D$568))*$D602),0)*AF$564</f>
        <v>0</v>
      </c>
      <c r="AG602" s="319">
        <f>IF(AG$566&gt;=$C602,MIN(-(SUM($F602:AF602)-$E602),($E602*(1-$D$568))*$D602),0)*AG$564</f>
        <v>0</v>
      </c>
      <c r="AH602" s="319">
        <f>IF(AH$566&gt;=$C602,MIN(-(SUM($F602:AG602)-$E602),($E602*(1-$D$568))*$D602),0)*AH$564</f>
        <v>0</v>
      </c>
      <c r="AI602" s="319">
        <f>IF(AI$566&gt;=$C602,MIN(-(SUM($F602:AH602)-$E602),($E602*(1-$D$568))*$D602),0)*AI$564</f>
        <v>0</v>
      </c>
      <c r="AJ602" s="319">
        <f>IF(AJ$566&gt;=$C602,MIN(-(SUM($F602:AI602)-$E602),($E602*(1-$D$568))*$D602),0)*AJ$564</f>
        <v>0</v>
      </c>
      <c r="AK602" s="319">
        <f>IF(AK$566&gt;=$C602,MIN(-(SUM($F602:AJ602)-$E602),($E602*(1-$D$568))*$D602),0)*AK$564</f>
        <v>0</v>
      </c>
      <c r="AL602" s="319">
        <f>IF(AL$566&gt;=$C602,MIN(-(SUM($F602:AK602)-$E602),($E602*(1-$D$568))*$D602),0)*AL$564</f>
        <v>0</v>
      </c>
      <c r="AM602" s="319">
        <f>IF(AM$566&gt;=$C602,MIN(-(SUM($F602:AL602)-$E602),($E602*(1-$D$568))*$D602),0)*AM$564</f>
        <v>0</v>
      </c>
      <c r="AN602" s="319">
        <f>IF(AN$566&gt;=$C602,MIN(-(SUM($F602:AM602)-$E602),($E602*(1-$D$568))*$D602),0)*AN$564</f>
        <v>0</v>
      </c>
    </row>
    <row r="603" spans="3:160" outlineLevel="4">
      <c r="C603">
        <v>33</v>
      </c>
      <c r="D603">
        <f>Inputs!$D$261</f>
        <v>0.1</v>
      </c>
      <c r="E603" s="319">
        <v>0</v>
      </c>
      <c r="F603" s="461">
        <f>E603*D568</f>
        <v>0</v>
      </c>
      <c r="G603" s="319">
        <f>IF(G$566&gt;=$C603,MIN(-(SUM(F603:$F603)-$E603),($E603*(1-$D$568))*$D603),0)*G$564</f>
        <v>0</v>
      </c>
      <c r="H603" s="319">
        <f>IF(H$566&gt;=$C603,MIN(-(SUM($F603:G603)-$E603),($E603*(1-$D$568))*$D603),0)*H$564</f>
        <v>0</v>
      </c>
      <c r="I603" s="319">
        <f>IF(I$566&gt;=$C603,MIN(-(SUM($F603:H603)-$E603),($E603*(1-$D$568))*$D603),0)*I$564</f>
        <v>0</v>
      </c>
      <c r="J603" s="319">
        <f>IF(J$566&gt;=$C603,MIN(-(SUM($F603:I603)-$E603),($E603*(1-$D$568))*$D603),0)*J$564</f>
        <v>0</v>
      </c>
      <c r="K603" s="319">
        <f>IF(K$566&gt;=$C603,MIN(-(SUM($F603:J603)-$E603),($E603*(1-$D$568))*$D603),0)*K$564</f>
        <v>0</v>
      </c>
      <c r="L603" s="319">
        <f>IF(L$566&gt;=$C603,MIN(-(SUM($F603:K603)-$E603),($E603*(1-$D$568))*$D603),0)*L$564</f>
        <v>0</v>
      </c>
      <c r="M603" s="319">
        <f>IF(M$566&gt;=$C603,MIN(-(SUM($F603:L603)-$E603),($E603*(1-$D$568))*$D603),0)*M$564</f>
        <v>0</v>
      </c>
      <c r="N603" s="319">
        <f>IF(N$566&gt;=$C603,MIN(-(SUM($F603:M603)-$E603),($E603*(1-$D$568))*$D603),0)*N$564</f>
        <v>0</v>
      </c>
      <c r="O603" s="319">
        <f>IF(O$566&gt;=$C603,MIN(-(SUM($F603:N603)-$E603),($E603*(1-$D$568))*$D603),0)*O$564</f>
        <v>0</v>
      </c>
      <c r="P603" s="319">
        <f>IF(P$566&gt;=$C603,MIN(-(SUM($F603:O603)-$E603),($E603*(1-$D$568))*$D603),0)*P$564</f>
        <v>0</v>
      </c>
      <c r="Q603" s="319">
        <f>IF(Q$566&gt;=$C603,MIN(-(SUM($F603:P603)-$E603),($E603*(1-$D$568))*$D603),0)*Q$564</f>
        <v>0</v>
      </c>
      <c r="R603" s="319">
        <f>IF(R$566&gt;=$C603,MIN(-(SUM($F603:Q603)-$E603),($E603*(1-$D$568))*$D603),0)*R$564</f>
        <v>0</v>
      </c>
      <c r="S603" s="319">
        <f>IF(S$566&gt;=$C603,MIN(-(SUM($F603:R603)-$E603),($E603*(1-$D$568))*$D603),0)*S$564</f>
        <v>0</v>
      </c>
      <c r="T603" s="319">
        <f>IF(T$566&gt;=$C603,MIN(-(SUM($F603:S603)-$E603),($E603*(1-$D$568))*$D603),0)*T$564</f>
        <v>0</v>
      </c>
      <c r="U603" s="319">
        <f>IF(U$566&gt;=$C603,MIN(-(SUM($F603:T603)-$E603),($E603*(1-$D$568))*$D603),0)*U$564</f>
        <v>0</v>
      </c>
      <c r="V603" s="319">
        <f>IF(V$566&gt;=$C603,MIN(-(SUM($F603:U603)-$E603),($E603*(1-$D$568))*$D603),0)*V$564</f>
        <v>0</v>
      </c>
      <c r="W603" s="319">
        <f>IF(W$566&gt;=$C603,MIN(-(SUM($F603:V603)-$E603),($E603*(1-$D$568))*$D603),0)*W$564</f>
        <v>0</v>
      </c>
      <c r="X603" s="319">
        <f>IF(X$566&gt;=$C603,MIN(-(SUM($F603:W603)-$E603),($E603*(1-$D$568))*$D603),0)*X$564</f>
        <v>0</v>
      </c>
      <c r="Y603" s="319">
        <f>IF(Y$566&gt;=$C603,MIN(-(SUM($F603:X603)-$E603),($E603*(1-$D$568))*$D603),0)*Y$564</f>
        <v>0</v>
      </c>
      <c r="Z603" s="319">
        <f>IF(Z$566&gt;=$C603,MIN(-(SUM($F603:Y603)-$E603),($E603*(1-$D$568))*$D603),0)*Z$564</f>
        <v>0</v>
      </c>
      <c r="AA603" s="319">
        <f>IF(AA$566&gt;=$C603,MIN(-(SUM($F603:Z603)-$E603),($E603*(1-$D$568))*$D603),0)*AA$564</f>
        <v>0</v>
      </c>
      <c r="AB603" s="319">
        <f>IF(AB$566&gt;=$C603,MIN(-(SUM($F603:AA603)-$E603),($E603*(1-$D$568))*$D603),0)*AB$564</f>
        <v>0</v>
      </c>
      <c r="AC603" s="319">
        <f>IF(AC$566&gt;=$C603,MIN(-(SUM($F603:AB603)-$E603),($E603*(1-$D$568))*$D603),0)*AC$564</f>
        <v>0</v>
      </c>
      <c r="AD603" s="319">
        <f>IF(AD$566&gt;=$C603,MIN(-(SUM($F603:AC603)-$E603),($E603*(1-$D$568))*$D603),0)*AD$564</f>
        <v>0</v>
      </c>
      <c r="AE603" s="319">
        <f>IF(AE$566&gt;=$C603,MIN(-(SUM($F603:AD603)-$E603),($E603*(1-$D$568))*$D603),0)*AE$564</f>
        <v>0</v>
      </c>
      <c r="AF603" s="319">
        <f>IF(AF$566&gt;=$C603,MIN(-(SUM($F603:AE603)-$E603),($E603*(1-$D$568))*$D603),0)*AF$564</f>
        <v>0</v>
      </c>
      <c r="AG603" s="319">
        <f>IF(AG$566&gt;=$C603,MIN(-(SUM($F603:AF603)-$E603),($E603*(1-$D$568))*$D603),0)*AG$564</f>
        <v>0</v>
      </c>
      <c r="AH603" s="319">
        <f>IF(AH$566&gt;=$C603,MIN(-(SUM($F603:AG603)-$E603),($E603*(1-$D$568))*$D603),0)*AH$564</f>
        <v>0</v>
      </c>
      <c r="AI603" s="319">
        <f>IF(AI$566&gt;=$C603,MIN(-(SUM($F603:AH603)-$E603),($E603*(1-$D$568))*$D603),0)*AI$564</f>
        <v>0</v>
      </c>
      <c r="AJ603" s="319">
        <f>IF(AJ$566&gt;=$C603,MIN(-(SUM($F603:AI603)-$E603),($E603*(1-$D$568))*$D603),0)*AJ$564</f>
        <v>0</v>
      </c>
      <c r="AK603" s="319">
        <f>IF(AK$566&gt;=$C603,MIN(-(SUM($F603:AJ603)-$E603),($E603*(1-$D$568))*$D603),0)*AK$564</f>
        <v>0</v>
      </c>
      <c r="AL603" s="319">
        <f>IF(AL$566&gt;=$C603,MIN(-(SUM($F603:AK603)-$E603),($E603*(1-$D$568))*$D603),0)*AL$564</f>
        <v>0</v>
      </c>
      <c r="AM603" s="319">
        <f>IF(AM$566&gt;=$C603,MIN(-(SUM($F603:AL603)-$E603),($E603*(1-$D$568))*$D603),0)*AM$564</f>
        <v>0</v>
      </c>
      <c r="AN603" s="319">
        <f>IF(AN$566&gt;=$C603,MIN(-(SUM($F603:AM603)-$E603),($E603*(1-$D$568))*$D603),0)*AN$564</f>
        <v>0</v>
      </c>
    </row>
    <row r="604" spans="3:160" outlineLevel="4">
      <c r="C604">
        <v>34</v>
      </c>
      <c r="D604">
        <f>Inputs!$D$261</f>
        <v>0.1</v>
      </c>
      <c r="E604" s="319">
        <v>0</v>
      </c>
      <c r="F604" s="461">
        <f>E604*D568</f>
        <v>0</v>
      </c>
      <c r="G604" s="319">
        <f>IF(G$566&gt;=$C604,MIN(-(SUM(F604:$F604)-$E604),($E604*(1-$D$568))*$D604),0)*G$564</f>
        <v>0</v>
      </c>
      <c r="H604" s="319">
        <f>IF(H$566&gt;=$C604,MIN(-(SUM($F604:G604)-$E604),($E604*(1-$D$568))*$D604),0)*H$564</f>
        <v>0</v>
      </c>
      <c r="I604" s="319">
        <f>IF(I$566&gt;=$C604,MIN(-(SUM($F604:H604)-$E604),($E604*(1-$D$568))*$D604),0)*I$564</f>
        <v>0</v>
      </c>
      <c r="J604" s="319">
        <f>IF(J$566&gt;=$C604,MIN(-(SUM($F604:I604)-$E604),($E604*(1-$D$568))*$D604),0)*J$564</f>
        <v>0</v>
      </c>
      <c r="K604" s="319">
        <f>IF(K$566&gt;=$C604,MIN(-(SUM($F604:J604)-$E604),($E604*(1-$D$568))*$D604),0)*K$564</f>
        <v>0</v>
      </c>
      <c r="L604" s="319">
        <f>IF(L$566&gt;=$C604,MIN(-(SUM($F604:K604)-$E604),($E604*(1-$D$568))*$D604),0)*L$564</f>
        <v>0</v>
      </c>
      <c r="M604" s="319">
        <f>IF(M$566&gt;=$C604,MIN(-(SUM($F604:L604)-$E604),($E604*(1-$D$568))*$D604),0)*M$564</f>
        <v>0</v>
      </c>
      <c r="N604" s="319">
        <f>IF(N$566&gt;=$C604,MIN(-(SUM($F604:M604)-$E604),($E604*(1-$D$568))*$D604),0)*N$564</f>
        <v>0</v>
      </c>
      <c r="O604" s="319">
        <f>IF(O$566&gt;=$C604,MIN(-(SUM($F604:N604)-$E604),($E604*(1-$D$568))*$D604),0)*O$564</f>
        <v>0</v>
      </c>
      <c r="P604" s="319">
        <f>IF(P$566&gt;=$C604,MIN(-(SUM($F604:O604)-$E604),($E604*(1-$D$568))*$D604),0)*P$564</f>
        <v>0</v>
      </c>
      <c r="Q604" s="319">
        <f>IF(Q$566&gt;=$C604,MIN(-(SUM($F604:P604)-$E604),($E604*(1-$D$568))*$D604),0)*Q$564</f>
        <v>0</v>
      </c>
      <c r="R604" s="319">
        <f>IF(R$566&gt;=$C604,MIN(-(SUM($F604:Q604)-$E604),($E604*(1-$D$568))*$D604),0)*R$564</f>
        <v>0</v>
      </c>
      <c r="S604" s="319">
        <f>IF(S$566&gt;=$C604,MIN(-(SUM($F604:R604)-$E604),($E604*(1-$D$568))*$D604),0)*S$564</f>
        <v>0</v>
      </c>
      <c r="T604" s="319">
        <f>IF(T$566&gt;=$C604,MIN(-(SUM($F604:S604)-$E604),($E604*(1-$D$568))*$D604),0)*T$564</f>
        <v>0</v>
      </c>
      <c r="U604" s="319">
        <f>IF(U$566&gt;=$C604,MIN(-(SUM($F604:T604)-$E604),($E604*(1-$D$568))*$D604),0)*U$564</f>
        <v>0</v>
      </c>
      <c r="V604" s="319">
        <f>IF(V$566&gt;=$C604,MIN(-(SUM($F604:U604)-$E604),($E604*(1-$D$568))*$D604),0)*V$564</f>
        <v>0</v>
      </c>
      <c r="W604" s="319">
        <f>IF(W$566&gt;=$C604,MIN(-(SUM($F604:V604)-$E604),($E604*(1-$D$568))*$D604),0)*W$564</f>
        <v>0</v>
      </c>
      <c r="X604" s="319">
        <f>IF(X$566&gt;=$C604,MIN(-(SUM($F604:W604)-$E604),($E604*(1-$D$568))*$D604),0)*X$564</f>
        <v>0</v>
      </c>
      <c r="Y604" s="319">
        <f>IF(Y$566&gt;=$C604,MIN(-(SUM($F604:X604)-$E604),($E604*(1-$D$568))*$D604),0)*Y$564</f>
        <v>0</v>
      </c>
      <c r="Z604" s="319">
        <f>IF(Z$566&gt;=$C604,MIN(-(SUM($F604:Y604)-$E604),($E604*(1-$D$568))*$D604),0)*Z$564</f>
        <v>0</v>
      </c>
      <c r="AA604" s="319">
        <f>IF(AA$566&gt;=$C604,MIN(-(SUM($F604:Z604)-$E604),($E604*(1-$D$568))*$D604),0)*AA$564</f>
        <v>0</v>
      </c>
      <c r="AB604" s="319">
        <f>IF(AB$566&gt;=$C604,MIN(-(SUM($F604:AA604)-$E604),($E604*(1-$D$568))*$D604),0)*AB$564</f>
        <v>0</v>
      </c>
      <c r="AC604" s="319">
        <f>IF(AC$566&gt;=$C604,MIN(-(SUM($F604:AB604)-$E604),($E604*(1-$D$568))*$D604),0)*AC$564</f>
        <v>0</v>
      </c>
      <c r="AD604" s="319">
        <f>IF(AD$566&gt;=$C604,MIN(-(SUM($F604:AC604)-$E604),($E604*(1-$D$568))*$D604),0)*AD$564</f>
        <v>0</v>
      </c>
      <c r="AE604" s="319">
        <f>IF(AE$566&gt;=$C604,MIN(-(SUM($F604:AD604)-$E604),($E604*(1-$D$568))*$D604),0)*AE$564</f>
        <v>0</v>
      </c>
      <c r="AF604" s="319">
        <f>IF(AF$566&gt;=$C604,MIN(-(SUM($F604:AE604)-$E604),($E604*(1-$D$568))*$D604),0)*AF$564</f>
        <v>0</v>
      </c>
      <c r="AG604" s="319">
        <f>IF(AG$566&gt;=$C604,MIN(-(SUM($F604:AF604)-$E604),($E604*(1-$D$568))*$D604),0)*AG$564</f>
        <v>0</v>
      </c>
      <c r="AH604" s="319">
        <f>IF(AH$566&gt;=$C604,MIN(-(SUM($F604:AG604)-$E604),($E604*(1-$D$568))*$D604),0)*AH$564</f>
        <v>0</v>
      </c>
      <c r="AI604" s="319">
        <f>IF(AI$566&gt;=$C604,MIN(-(SUM($F604:AH604)-$E604),($E604*(1-$D$568))*$D604),0)*AI$564</f>
        <v>0</v>
      </c>
      <c r="AJ604" s="319">
        <f>IF(AJ$566&gt;=$C604,MIN(-(SUM($F604:AI604)-$E604),($E604*(1-$D$568))*$D604),0)*AJ$564</f>
        <v>0</v>
      </c>
      <c r="AK604" s="319">
        <f>IF(AK$566&gt;=$C604,MIN(-(SUM($F604:AJ604)-$E604),($E604*(1-$D$568))*$D604),0)*AK$564</f>
        <v>0</v>
      </c>
      <c r="AL604" s="319">
        <f>IF(AL$566&gt;=$C604,MIN(-(SUM($F604:AK604)-$E604),($E604*(1-$D$568))*$D604),0)*AL$564</f>
        <v>0</v>
      </c>
      <c r="AM604" s="319">
        <f>IF(AM$566&gt;=$C604,MIN(-(SUM($F604:AL604)-$E604),($E604*(1-$D$568))*$D604),0)*AM$564</f>
        <v>0</v>
      </c>
      <c r="AN604" s="319">
        <f>IF(AN$566&gt;=$C604,MIN(-(SUM($F604:AM604)-$E604),($E604*(1-$D$568))*$D604),0)*AN$564</f>
        <v>0</v>
      </c>
    </row>
    <row r="605" spans="3:160" ht="16.2" outlineLevel="4" thickBot="1">
      <c r="C605" s="323" t="s">
        <v>473</v>
      </c>
      <c r="D605"/>
      <c r="E605" s="233"/>
      <c r="F605" s="324" t="s">
        <v>13</v>
      </c>
      <c r="G605" s="319">
        <f t="shared" ref="G605" si="535">SUM(G571:G604)</f>
        <v>4.9327041674200007</v>
      </c>
      <c r="H605" s="319">
        <f t="shared" ref="H605" si="536">SUM(H571:H604)</f>
        <v>14.144223334840001</v>
      </c>
      <c r="I605" s="319">
        <f t="shared" ref="I605" si="537">SUM(I571:I604)</f>
        <v>18.761177502260001</v>
      </c>
      <c r="J605" s="319">
        <f t="shared" ref="J605" si="538">SUM(J571:J604)</f>
        <v>23.693881669680003</v>
      </c>
      <c r="K605" s="319">
        <f t="shared" ref="K605" si="539">SUM(K571:K604)</f>
        <v>28.626585837100002</v>
      </c>
      <c r="L605" s="319">
        <f t="shared" ref="L605" si="540">SUM(L571:L604)</f>
        <v>32.973247008120005</v>
      </c>
      <c r="M605" s="319">
        <f t="shared" ref="M605" si="541">SUM(M571:M604)</f>
        <v>49.804540303414406</v>
      </c>
      <c r="N605" s="319">
        <f t="shared" ref="N605" si="542">SUM(N571:N604)</f>
        <v>55.008770470834406</v>
      </c>
      <c r="O605" s="319">
        <f t="shared" ref="O605" si="543">SUM(O571:O604)</f>
        <v>59.349224638254405</v>
      </c>
      <c r="P605" s="319">
        <f t="shared" ref="P605" si="544">SUM(P571:P604)</f>
        <v>64.281928805674411</v>
      </c>
      <c r="Q605" s="319">
        <f t="shared" ref="Q605" si="545">SUM(Q571:Q604)</f>
        <v>64.281928805674411</v>
      </c>
      <c r="R605" s="319">
        <f t="shared" ref="R605" si="546">SUM(R571:R604)</f>
        <v>63.96120480567442</v>
      </c>
      <c r="S605" s="319">
        <f t="shared" ref="S605" si="547">SUM(S571:S604)</f>
        <v>64.824980805674414</v>
      </c>
      <c r="T605" s="319">
        <f t="shared" ref="T605" si="548">SUM(T571:T604)</f>
        <v>75.773228933548808</v>
      </c>
      <c r="U605" s="319">
        <f t="shared" ref="U605" si="549">SUM(U571:U604)</f>
        <v>75.180978933548815</v>
      </c>
      <c r="V605" s="319">
        <f t="shared" ref="V605" si="550">SUM(V571:V604)</f>
        <v>75.773228933548793</v>
      </c>
      <c r="W605" s="319">
        <f t="shared" ref="W605" si="551">SUM(W571:W604)</f>
        <v>64.824980805674414</v>
      </c>
      <c r="X605" s="319">
        <f t="shared" ref="X605" si="552">SUM(X571:X604)</f>
        <v>64.232730805674407</v>
      </c>
      <c r="Y605" s="319">
        <f t="shared" ref="Y605" si="553">SUM(Y571:Y604)</f>
        <v>64.824980805674414</v>
      </c>
      <c r="Z605" s="319">
        <f t="shared" ref="Z605" si="554">SUM(Z571:Z604)</f>
        <v>64.824980805674414</v>
      </c>
      <c r="AA605" s="319">
        <f t="shared" ref="AA605" si="555">SUM(AA571:AA604)</f>
        <v>75.180978933548815</v>
      </c>
      <c r="AB605" s="319">
        <f t="shared" ref="AB605" si="556">SUM(AB571:AB604)</f>
        <v>75.773228933548822</v>
      </c>
      <c r="AC605" s="319">
        <f t="shared" ref="AC605" si="557">SUM(AC571:AC604)</f>
        <v>75.773228933548793</v>
      </c>
      <c r="AD605" s="319">
        <f t="shared" ref="AD605" si="558">SUM(AD571:AD604)</f>
        <v>64.232730805674407</v>
      </c>
      <c r="AE605" s="319">
        <f t="shared" ref="AE605" si="559">SUM(AE571:AE604)</f>
        <v>64.8249808056744</v>
      </c>
      <c r="AF605" s="319">
        <f t="shared" ref="AF605" si="560">SUM(AF571:AF604)</f>
        <v>64.849808820074401</v>
      </c>
      <c r="AG605" s="319">
        <f t="shared" ref="AG605" si="561">SUM(AG571:AG604)</f>
        <v>64.257558820074408</v>
      </c>
      <c r="AH605" s="319">
        <f t="shared" ref="AH605" si="562">SUM(AH571:AH604)</f>
        <v>75.798056947948808</v>
      </c>
      <c r="AI605" s="319">
        <f t="shared" ref="AI605" si="563">SUM(AI571:AI604)</f>
        <v>75.798056947948808</v>
      </c>
      <c r="AJ605" s="319">
        <f t="shared" ref="AJ605" si="564">SUM(AJ571:AJ604)</f>
        <v>75.205806947948815</v>
      </c>
      <c r="AK605" s="319">
        <f t="shared" ref="AK605" si="565">SUM(AK571:AK604)</f>
        <v>0</v>
      </c>
      <c r="AL605" s="319">
        <f t="shared" ref="AL605" si="566">SUM(AL571:AL604)</f>
        <v>0</v>
      </c>
      <c r="AM605" s="319">
        <f t="shared" ref="AM605" si="567">SUM(AM571:AM604)</f>
        <v>0</v>
      </c>
      <c r="AN605" s="319">
        <f t="shared" ref="AN605" si="568">SUM(AN571:AN604)</f>
        <v>0</v>
      </c>
      <c r="AO605" s="325"/>
      <c r="AP605" s="325"/>
      <c r="AQ605" s="325"/>
      <c r="AR605" s="325"/>
      <c r="AS605" s="325"/>
      <c r="AT605" s="325"/>
      <c r="AU605" s="325"/>
      <c r="AV605" s="325"/>
      <c r="AW605" s="325"/>
      <c r="AX605" s="325"/>
      <c r="AY605" s="325"/>
      <c r="AZ605" s="325"/>
      <c r="BA605" s="325"/>
      <c r="BB605" s="325"/>
      <c r="BC605" s="325"/>
      <c r="BD605" s="325"/>
      <c r="BE605" s="325"/>
      <c r="BF605" s="325"/>
      <c r="BG605" s="325"/>
      <c r="BH605" s="325"/>
      <c r="BI605" s="325"/>
      <c r="BJ605" s="325"/>
      <c r="BK605" s="325"/>
      <c r="BL605" s="325"/>
      <c r="BM605" s="325"/>
      <c r="BN605" s="325"/>
      <c r="BO605" s="325"/>
      <c r="BP605" s="325"/>
      <c r="BQ605" s="325"/>
      <c r="BR605" s="325"/>
      <c r="BS605" s="325"/>
      <c r="BT605" s="325"/>
      <c r="BU605" s="325"/>
      <c r="BV605" s="325"/>
      <c r="BW605" s="325"/>
      <c r="BX605" s="325"/>
      <c r="BY605" s="325"/>
      <c r="BZ605" s="325"/>
      <c r="CA605" s="325"/>
      <c r="CB605" s="325"/>
      <c r="CC605" s="325"/>
      <c r="CD605" s="325"/>
      <c r="CE605" s="325"/>
      <c r="CF605" s="325"/>
      <c r="CG605" s="325"/>
      <c r="CH605" s="325"/>
      <c r="CI605" s="325"/>
      <c r="CJ605" s="325"/>
      <c r="CK605" s="325"/>
      <c r="CL605" s="325"/>
      <c r="CM605" s="325"/>
      <c r="CN605" s="325"/>
      <c r="CO605" s="325"/>
      <c r="CP605" s="325"/>
      <c r="CQ605" s="325"/>
      <c r="CR605" s="325"/>
      <c r="CS605" s="325"/>
      <c r="CT605" s="325"/>
      <c r="CU605" s="325"/>
      <c r="CV605" s="325"/>
      <c r="CW605" s="325"/>
      <c r="CX605" s="325"/>
      <c r="CY605" s="325"/>
      <c r="CZ605" s="325"/>
      <c r="DA605" s="325"/>
      <c r="DB605" s="325"/>
      <c r="DC605" s="325"/>
      <c r="DD605" s="325"/>
      <c r="DE605" s="325"/>
      <c r="DF605" s="325"/>
      <c r="DG605" s="325"/>
      <c r="DH605" s="325"/>
      <c r="DI605" s="325"/>
      <c r="DJ605" s="325"/>
      <c r="DK605" s="325"/>
      <c r="DL605" s="325"/>
      <c r="DM605" s="325"/>
      <c r="DN605" s="325"/>
      <c r="DO605" s="325"/>
      <c r="DP605" s="325"/>
      <c r="DQ605" s="325"/>
      <c r="DR605" s="325"/>
      <c r="DS605" s="325"/>
      <c r="DT605" s="325"/>
      <c r="DU605" s="325"/>
      <c r="DV605" s="325"/>
      <c r="DW605" s="325"/>
      <c r="DX605" s="325"/>
      <c r="DY605" s="325"/>
      <c r="DZ605" s="325"/>
      <c r="EA605" s="325"/>
      <c r="EB605" s="325"/>
      <c r="EC605" s="325"/>
      <c r="ED605" s="325"/>
      <c r="EE605" s="325"/>
      <c r="EF605" s="325"/>
      <c r="EG605" s="325"/>
      <c r="EH605" s="325"/>
      <c r="EI605" s="325"/>
      <c r="EJ605" s="325"/>
      <c r="EK605" s="325"/>
      <c r="EL605" s="325"/>
      <c r="EM605" s="325"/>
      <c r="EN605" s="325"/>
      <c r="EO605" s="325"/>
      <c r="EP605" s="325"/>
      <c r="EQ605" s="325"/>
      <c r="ER605" s="325"/>
      <c r="ES605" s="325"/>
      <c r="ET605" s="325"/>
      <c r="EU605" s="325"/>
      <c r="EV605" s="325"/>
      <c r="EW605" s="325"/>
      <c r="EX605" s="325"/>
      <c r="EY605" s="325"/>
      <c r="EZ605" s="325"/>
      <c r="FA605" s="325"/>
      <c r="FB605" s="325"/>
      <c r="FC605" s="325"/>
      <c r="FD605" s="325"/>
    </row>
    <row r="606" spans="3:160" ht="16.2" outlineLevel="3" thickTop="1">
      <c r="C606"/>
      <c r="D606" s="266"/>
      <c r="E606" s="76"/>
      <c r="F606"/>
    </row>
    <row r="607" spans="3:160" outlineLevel="2">
      <c r="C607"/>
      <c r="D607" s="266"/>
      <c r="E607" s="76"/>
      <c r="F607"/>
    </row>
    <row r="608" spans="3:160" outlineLevel="2">
      <c r="C608" t="s">
        <v>299</v>
      </c>
      <c r="D608" s="266"/>
      <c r="E608" s="76"/>
      <c r="F608"/>
    </row>
    <row r="609" spans="3:40" outlineLevel="3">
      <c r="C609"/>
      <c r="D609" s="266"/>
      <c r="E609" s="76"/>
      <c r="F609"/>
    </row>
    <row r="610" spans="3:40" outlineLevel="3">
      <c r="C610" t="s">
        <v>464</v>
      </c>
      <c r="D610" s="266"/>
      <c r="E610" s="76"/>
      <c r="F610"/>
    </row>
    <row r="611" spans="3:40" outlineLevel="4">
      <c r="C611"/>
      <c r="D611" s="266"/>
      <c r="E611" s="76"/>
      <c r="F611"/>
    </row>
    <row r="612" spans="3:40" outlineLevel="4">
      <c r="C612" t="s">
        <v>481</v>
      </c>
      <c r="D612" s="266"/>
      <c r="E612" s="76" t="s">
        <v>13</v>
      </c>
      <c r="F612" s="273"/>
      <c r="G612" s="273">
        <f t="shared" ref="G612:AN612" si="569">F615</f>
        <v>0</v>
      </c>
      <c r="H612" s="273">
        <f t="shared" si="569"/>
        <v>344.98729729961826</v>
      </c>
      <c r="I612" s="273">
        <f t="shared" si="569"/>
        <v>1493.5854622631989</v>
      </c>
      <c r="J612" s="273">
        <f t="shared" si="569"/>
        <v>2267.1028743199349</v>
      </c>
      <c r="K612" s="273">
        <f t="shared" si="569"/>
        <v>2249.0078922166704</v>
      </c>
      <c r="L612" s="273">
        <f t="shared" si="569"/>
        <v>2587.8254101134057</v>
      </c>
      <c r="M612" s="273">
        <f t="shared" si="569"/>
        <v>13154.601877504385</v>
      </c>
      <c r="N612" s="273">
        <f t="shared" si="569"/>
        <v>11563.840623235094</v>
      </c>
      <c r="O612" s="273">
        <f t="shared" si="569"/>
        <v>10033.573624965804</v>
      </c>
      <c r="P612" s="273">
        <f t="shared" si="569"/>
        <v>8436.0907866965135</v>
      </c>
      <c r="Q612" s="273">
        <f t="shared" si="569"/>
        <v>7499.0504484272233</v>
      </c>
      <c r="R612" s="273">
        <f t="shared" si="569"/>
        <v>6175.7373876400361</v>
      </c>
      <c r="S612" s="273">
        <f t="shared" si="569"/>
        <v>5515.5148741507255</v>
      </c>
      <c r="T612" s="273">
        <f t="shared" si="569"/>
        <v>4016.7669511360455</v>
      </c>
      <c r="U612" s="273">
        <f t="shared" si="569"/>
        <v>2532.7921696893654</v>
      </c>
      <c r="V612" s="273">
        <f t="shared" si="569"/>
        <v>1160.6941442426862</v>
      </c>
      <c r="W612" s="273">
        <f t="shared" si="569"/>
        <v>3125.4908408608817</v>
      </c>
      <c r="X612" s="273">
        <f t="shared" si="569"/>
        <v>3301.2224931470232</v>
      </c>
      <c r="Y612" s="273">
        <f t="shared" si="569"/>
        <v>3044.8277294331651</v>
      </c>
      <c r="Z612" s="273">
        <f t="shared" si="569"/>
        <v>3125.345465719307</v>
      </c>
      <c r="AA612" s="273">
        <f t="shared" si="569"/>
        <v>2565.4207020054487</v>
      </c>
      <c r="AB612" s="273">
        <f t="shared" si="569"/>
        <v>2092.0971111359499</v>
      </c>
      <c r="AC612" s="273">
        <f t="shared" si="569"/>
        <v>1968.7633249522607</v>
      </c>
      <c r="AD612" s="273">
        <f t="shared" si="569"/>
        <v>1531.8323356704025</v>
      </c>
      <c r="AE612" s="273">
        <f t="shared" si="569"/>
        <v>1707.5639879565442</v>
      </c>
      <c r="AF612" s="273">
        <f t="shared" si="569"/>
        <v>1433.1692242426859</v>
      </c>
      <c r="AG612" s="273">
        <f t="shared" si="569"/>
        <v>3965.1945048608814</v>
      </c>
      <c r="AH612" s="273">
        <f t="shared" si="569"/>
        <v>3403.2697411470231</v>
      </c>
      <c r="AI612" s="273">
        <f t="shared" si="569"/>
        <v>2882.0805774331648</v>
      </c>
      <c r="AJ612" s="273">
        <f t="shared" si="569"/>
        <v>2471.2715697193066</v>
      </c>
      <c r="AK612" s="273">
        <f t="shared" si="569"/>
        <v>2022.5607220054485</v>
      </c>
      <c r="AL612" s="273">
        <f t="shared" si="569"/>
        <v>2022.5607220054485</v>
      </c>
      <c r="AM612" s="273">
        <f t="shared" si="569"/>
        <v>2022.5607220054485</v>
      </c>
      <c r="AN612" s="273">
        <f t="shared" si="569"/>
        <v>2022.5607220054485</v>
      </c>
    </row>
    <row r="613" spans="3:40" outlineLevel="4">
      <c r="C613" t="s">
        <v>482</v>
      </c>
      <c r="D613" s="275"/>
      <c r="E613" s="203" t="s">
        <v>13</v>
      </c>
      <c r="F613" s="88">
        <f>SUM(G613:AN613)</f>
        <v>26995.009496970077</v>
      </c>
      <c r="G613" s="322">
        <f t="shared" ref="G613:AN613" si="570">G426</f>
        <v>383.31921922179805</v>
      </c>
      <c r="H613" s="322">
        <f t="shared" si="570"/>
        <v>1318.8112076508448</v>
      </c>
      <c r="I613" s="322">
        <f t="shared" si="570"/>
        <v>1048.5893941600002</v>
      </c>
      <c r="J613" s="322">
        <f t="shared" si="570"/>
        <v>285.52999999999997</v>
      </c>
      <c r="K613" s="322">
        <f t="shared" si="570"/>
        <v>713.82500000000005</v>
      </c>
      <c r="L613" s="322">
        <f t="shared" si="570"/>
        <v>12157.53772166027</v>
      </c>
      <c r="M613" s="322">
        <f t="shared" si="570"/>
        <v>0</v>
      </c>
      <c r="N613" s="322">
        <f t="shared" si="570"/>
        <v>67.21584</v>
      </c>
      <c r="O613" s="322">
        <f t="shared" si="570"/>
        <v>0</v>
      </c>
      <c r="P613" s="322">
        <f t="shared" si="570"/>
        <v>733.82500000000005</v>
      </c>
      <c r="Q613" s="322">
        <f t="shared" si="570"/>
        <v>343.57817284435959</v>
      </c>
      <c r="R613" s="322">
        <f t="shared" si="570"/>
        <v>971.98622153016913</v>
      </c>
      <c r="S613" s="322">
        <f t="shared" si="570"/>
        <v>31.779858432000005</v>
      </c>
      <c r="T613" s="322">
        <f t="shared" si="570"/>
        <v>20</v>
      </c>
      <c r="U613" s="322">
        <f t="shared" si="570"/>
        <v>67.21584</v>
      </c>
      <c r="V613" s="322">
        <f t="shared" si="570"/>
        <v>2431.5075443320538</v>
      </c>
      <c r="W613" s="322">
        <f t="shared" si="570"/>
        <v>713.82500000000005</v>
      </c>
      <c r="X613" s="322">
        <f t="shared" si="570"/>
        <v>305.52999999999997</v>
      </c>
      <c r="Y613" s="322">
        <f t="shared" si="570"/>
        <v>713.82500000000005</v>
      </c>
      <c r="Z613" s="322">
        <f t="shared" si="570"/>
        <v>0</v>
      </c>
      <c r="AA613" s="322">
        <f t="shared" si="570"/>
        <v>58.048172844359605</v>
      </c>
      <c r="AB613" s="322">
        <f t="shared" si="570"/>
        <v>345.37706153016904</v>
      </c>
      <c r="AC613" s="322">
        <f t="shared" si="570"/>
        <v>31.779858432000005</v>
      </c>
      <c r="AD613" s="322">
        <f t="shared" si="570"/>
        <v>713.82500000000005</v>
      </c>
      <c r="AE613" s="322">
        <f t="shared" si="570"/>
        <v>285.52999999999997</v>
      </c>
      <c r="AF613" s="322">
        <f t="shared" si="570"/>
        <v>3165.3325443320537</v>
      </c>
      <c r="AG613" s="322">
        <f t="shared" si="570"/>
        <v>0</v>
      </c>
      <c r="AH613" s="322">
        <f t="shared" si="570"/>
        <v>11.314</v>
      </c>
      <c r="AI613" s="322">
        <f t="shared" si="570"/>
        <v>55.90184</v>
      </c>
      <c r="AJ613" s="322">
        <f t="shared" si="570"/>
        <v>20</v>
      </c>
      <c r="AK613" s="322">
        <f t="shared" si="570"/>
        <v>0</v>
      </c>
      <c r="AL613" s="322">
        <f t="shared" si="570"/>
        <v>0</v>
      </c>
      <c r="AM613" s="322">
        <f t="shared" si="570"/>
        <v>0</v>
      </c>
      <c r="AN613" s="322">
        <f t="shared" si="570"/>
        <v>0</v>
      </c>
    </row>
    <row r="614" spans="3:40" outlineLevel="4">
      <c r="C614" t="s">
        <v>467</v>
      </c>
      <c r="D614" s="266"/>
      <c r="E614" s="76" t="s">
        <v>13</v>
      </c>
      <c r="F614" s="50">
        <f>SUM(G614:AN614)</f>
        <v>-24972.448774964621</v>
      </c>
      <c r="G614" s="273">
        <f t="shared" ref="G614:AN614" si="571">-G660</f>
        <v>-38.331921922179809</v>
      </c>
      <c r="H614" s="273">
        <f t="shared" si="571"/>
        <v>-170.21304268726431</v>
      </c>
      <c r="I614" s="273">
        <f t="shared" si="571"/>
        <v>-275.0719821032643</v>
      </c>
      <c r="J614" s="273">
        <f t="shared" si="571"/>
        <v>-303.6249821032643</v>
      </c>
      <c r="K614" s="273">
        <f t="shared" si="571"/>
        <v>-375.00748210326429</v>
      </c>
      <c r="L614" s="273">
        <f t="shared" si="571"/>
        <v>-1590.7612542692914</v>
      </c>
      <c r="M614" s="273">
        <f t="shared" si="571"/>
        <v>-1590.7612542692914</v>
      </c>
      <c r="N614" s="273">
        <f t="shared" si="571"/>
        <v>-1597.4828382692913</v>
      </c>
      <c r="O614" s="273">
        <f t="shared" si="571"/>
        <v>-1597.4828382692913</v>
      </c>
      <c r="P614" s="273">
        <f t="shared" si="571"/>
        <v>-1670.8653382692912</v>
      </c>
      <c r="Q614" s="273">
        <f t="shared" si="571"/>
        <v>-1666.8912336315473</v>
      </c>
      <c r="R614" s="273">
        <f t="shared" si="571"/>
        <v>-1632.2087350194799</v>
      </c>
      <c r="S614" s="273">
        <f t="shared" si="571"/>
        <v>-1530.5277814466799</v>
      </c>
      <c r="T614" s="273">
        <f t="shared" si="571"/>
        <v>-1503.9747814466798</v>
      </c>
      <c r="U614" s="273">
        <f t="shared" si="571"/>
        <v>-1439.3138654466791</v>
      </c>
      <c r="V614" s="273">
        <f t="shared" si="571"/>
        <v>-466.71084771385824</v>
      </c>
      <c r="W614" s="273">
        <f t="shared" si="571"/>
        <v>-538.09334771385829</v>
      </c>
      <c r="X614" s="273">
        <f t="shared" si="571"/>
        <v>-561.92476371385828</v>
      </c>
      <c r="Y614" s="273">
        <f t="shared" si="571"/>
        <v>-633.30726371385833</v>
      </c>
      <c r="Z614" s="273">
        <f t="shared" si="571"/>
        <v>-559.92476371385828</v>
      </c>
      <c r="AA614" s="273">
        <f t="shared" si="571"/>
        <v>-531.37176371385829</v>
      </c>
      <c r="AB614" s="273">
        <f t="shared" si="571"/>
        <v>-468.7108477138583</v>
      </c>
      <c r="AC614" s="273">
        <f t="shared" si="571"/>
        <v>-468.7108477138583</v>
      </c>
      <c r="AD614" s="273">
        <f t="shared" si="571"/>
        <v>-538.09334771385829</v>
      </c>
      <c r="AE614" s="273">
        <f t="shared" si="571"/>
        <v>-559.92476371385828</v>
      </c>
      <c r="AF614" s="273">
        <f t="shared" si="571"/>
        <v>-633.30726371385867</v>
      </c>
      <c r="AG614" s="273">
        <f t="shared" si="571"/>
        <v>-561.92476371385828</v>
      </c>
      <c r="AH614" s="273">
        <f t="shared" si="571"/>
        <v>-532.50316371385816</v>
      </c>
      <c r="AI614" s="273">
        <f t="shared" si="571"/>
        <v>-466.71084771385824</v>
      </c>
      <c r="AJ614" s="273">
        <f t="shared" si="571"/>
        <v>-468.71084771385824</v>
      </c>
      <c r="AK614" s="273">
        <f t="shared" si="571"/>
        <v>0</v>
      </c>
      <c r="AL614" s="273">
        <f t="shared" si="571"/>
        <v>0</v>
      </c>
      <c r="AM614" s="273">
        <f t="shared" si="571"/>
        <v>0</v>
      </c>
      <c r="AN614" s="273">
        <f t="shared" si="571"/>
        <v>0</v>
      </c>
    </row>
    <row r="615" spans="3:40" outlineLevel="4">
      <c r="C615" t="s">
        <v>483</v>
      </c>
      <c r="D615" s="275"/>
      <c r="E615" s="203" t="s">
        <v>13</v>
      </c>
      <c r="F615" s="89"/>
      <c r="G615" s="287">
        <f t="shared" ref="G615:AN615" si="572">SUM(G612:G614)</f>
        <v>344.98729729961826</v>
      </c>
      <c r="H615" s="287">
        <f t="shared" si="572"/>
        <v>1493.5854622631989</v>
      </c>
      <c r="I615" s="287">
        <f t="shared" si="572"/>
        <v>2267.1028743199349</v>
      </c>
      <c r="J615" s="287">
        <f t="shared" si="572"/>
        <v>2249.0078922166704</v>
      </c>
      <c r="K615" s="287">
        <f t="shared" si="572"/>
        <v>2587.8254101134057</v>
      </c>
      <c r="L615" s="287">
        <f t="shared" si="572"/>
        <v>13154.601877504385</v>
      </c>
      <c r="M615" s="287">
        <f t="shared" si="572"/>
        <v>11563.840623235094</v>
      </c>
      <c r="N615" s="287">
        <f t="shared" si="572"/>
        <v>10033.573624965804</v>
      </c>
      <c r="O615" s="287">
        <f t="shared" si="572"/>
        <v>8436.0907866965135</v>
      </c>
      <c r="P615" s="287">
        <f t="shared" si="572"/>
        <v>7499.0504484272233</v>
      </c>
      <c r="Q615" s="287">
        <f t="shared" si="572"/>
        <v>6175.7373876400361</v>
      </c>
      <c r="R615" s="287">
        <f t="shared" si="572"/>
        <v>5515.5148741507255</v>
      </c>
      <c r="S615" s="287">
        <f t="shared" si="572"/>
        <v>4016.7669511360455</v>
      </c>
      <c r="T615" s="287">
        <f t="shared" si="572"/>
        <v>2532.7921696893654</v>
      </c>
      <c r="U615" s="287">
        <f t="shared" si="572"/>
        <v>1160.6941442426862</v>
      </c>
      <c r="V615" s="287">
        <f t="shared" si="572"/>
        <v>3125.4908408608817</v>
      </c>
      <c r="W615" s="287">
        <f t="shared" si="572"/>
        <v>3301.2224931470232</v>
      </c>
      <c r="X615" s="287">
        <f t="shared" si="572"/>
        <v>3044.8277294331651</v>
      </c>
      <c r="Y615" s="287">
        <f t="shared" si="572"/>
        <v>3125.345465719307</v>
      </c>
      <c r="Z615" s="287">
        <f t="shared" si="572"/>
        <v>2565.4207020054487</v>
      </c>
      <c r="AA615" s="287">
        <f t="shared" si="572"/>
        <v>2092.0971111359499</v>
      </c>
      <c r="AB615" s="287">
        <f t="shared" si="572"/>
        <v>1968.7633249522607</v>
      </c>
      <c r="AC615" s="287">
        <f t="shared" si="572"/>
        <v>1531.8323356704025</v>
      </c>
      <c r="AD615" s="287">
        <f t="shared" si="572"/>
        <v>1707.5639879565442</v>
      </c>
      <c r="AE615" s="287">
        <f t="shared" si="572"/>
        <v>1433.1692242426859</v>
      </c>
      <c r="AF615" s="287">
        <f t="shared" si="572"/>
        <v>3965.1945048608814</v>
      </c>
      <c r="AG615" s="287">
        <f t="shared" si="572"/>
        <v>3403.2697411470231</v>
      </c>
      <c r="AH615" s="287">
        <f t="shared" si="572"/>
        <v>2882.0805774331648</v>
      </c>
      <c r="AI615" s="287">
        <f t="shared" si="572"/>
        <v>2471.2715697193066</v>
      </c>
      <c r="AJ615" s="287">
        <f t="shared" si="572"/>
        <v>2022.5607220054485</v>
      </c>
      <c r="AK615" s="287">
        <f t="shared" si="572"/>
        <v>2022.5607220054485</v>
      </c>
      <c r="AL615" s="287">
        <f t="shared" si="572"/>
        <v>2022.5607220054485</v>
      </c>
      <c r="AM615" s="287">
        <f t="shared" si="572"/>
        <v>2022.5607220054485</v>
      </c>
      <c r="AN615" s="287">
        <f t="shared" si="572"/>
        <v>2022.5607220054485</v>
      </c>
    </row>
    <row r="616" spans="3:40" outlineLevel="3">
      <c r="C616"/>
      <c r="D616" s="266"/>
      <c r="E616" s="76"/>
      <c r="F616"/>
    </row>
    <row r="617" spans="3:40" outlineLevel="3">
      <c r="C617" t="s">
        <v>469</v>
      </c>
      <c r="D617" s="266"/>
      <c r="E617" s="76"/>
      <c r="F617"/>
    </row>
    <row r="618" spans="3:40" outlineLevel="4">
      <c r="C618"/>
      <c r="D618" s="266"/>
      <c r="E618" s="76"/>
      <c r="F618"/>
    </row>
    <row r="619" spans="3:40" outlineLevel="4">
      <c r="C619" s="303" t="str">
        <f>Flags!C$72</f>
        <v>Cons + Ops Flag</v>
      </c>
      <c r="D619" s="319"/>
      <c r="E619" s="41" t="str">
        <f>Flags!E$72</f>
        <v>Flag</v>
      </c>
      <c r="F619" s="23">
        <f>Flags!F$72</f>
        <v>30</v>
      </c>
      <c r="G619" s="25">
        <f>Flags!G$72</f>
        <v>1</v>
      </c>
      <c r="H619" s="25">
        <f>Flags!H$72</f>
        <v>1</v>
      </c>
      <c r="I619" s="25">
        <f>Flags!I$72</f>
        <v>1</v>
      </c>
      <c r="J619" s="25">
        <f>Flags!J$72</f>
        <v>1</v>
      </c>
      <c r="K619" s="25">
        <f>Flags!K$72</f>
        <v>1</v>
      </c>
      <c r="L619" s="25">
        <f>Flags!L$72</f>
        <v>1</v>
      </c>
      <c r="M619" s="25">
        <f>Flags!M$72</f>
        <v>1</v>
      </c>
      <c r="N619" s="25">
        <f>Flags!N$72</f>
        <v>1</v>
      </c>
      <c r="O619" s="25">
        <f>Flags!O$72</f>
        <v>1</v>
      </c>
      <c r="P619" s="25">
        <f>Flags!P$72</f>
        <v>1</v>
      </c>
      <c r="Q619" s="25">
        <f>Flags!Q$72</f>
        <v>1</v>
      </c>
      <c r="R619" s="25">
        <f>Flags!R$72</f>
        <v>1</v>
      </c>
      <c r="S619" s="25">
        <f>Flags!S$72</f>
        <v>1</v>
      </c>
      <c r="T619" s="25">
        <f>Flags!T$72</f>
        <v>1</v>
      </c>
      <c r="U619" s="25">
        <f>Flags!U$72</f>
        <v>1</v>
      </c>
      <c r="V619" s="25">
        <f>Flags!V$72</f>
        <v>1</v>
      </c>
      <c r="W619" s="25">
        <f>Flags!W$72</f>
        <v>1</v>
      </c>
      <c r="X619" s="25">
        <f>Flags!X$72</f>
        <v>1</v>
      </c>
      <c r="Y619" s="25">
        <f>Flags!Y$72</f>
        <v>1</v>
      </c>
      <c r="Z619" s="25">
        <f>Flags!Z$72</f>
        <v>1</v>
      </c>
      <c r="AA619" s="25">
        <f>Flags!AA$72</f>
        <v>1</v>
      </c>
      <c r="AB619" s="25">
        <f>Flags!AB$72</f>
        <v>1</v>
      </c>
      <c r="AC619" s="25">
        <f>Flags!AC$72</f>
        <v>1</v>
      </c>
      <c r="AD619" s="25">
        <f>Flags!AD$72</f>
        <v>1</v>
      </c>
      <c r="AE619" s="25">
        <f>Flags!AE$72</f>
        <v>1</v>
      </c>
      <c r="AF619" s="25">
        <f>Flags!AF$72</f>
        <v>1</v>
      </c>
      <c r="AG619" s="25">
        <f>Flags!AG$72</f>
        <v>1</v>
      </c>
      <c r="AH619" s="25">
        <f>Flags!AH$72</f>
        <v>1</v>
      </c>
      <c r="AI619" s="25">
        <f>Flags!AI$72</f>
        <v>1</v>
      </c>
      <c r="AJ619" s="25">
        <f>Flags!AJ$72</f>
        <v>1</v>
      </c>
      <c r="AK619" s="25">
        <f>Flags!AK$72</f>
        <v>0</v>
      </c>
      <c r="AL619" s="25">
        <f>Flags!AL$72</f>
        <v>0</v>
      </c>
      <c r="AM619" s="25">
        <f>Flags!AM$72</f>
        <v>0</v>
      </c>
      <c r="AN619" s="25">
        <f>Flags!AN$72</f>
        <v>0</v>
      </c>
    </row>
    <row r="620" spans="3:40" outlineLevel="4">
      <c r="C620"/>
      <c r="D620" s="266"/>
      <c r="E620" s="76"/>
      <c r="F620"/>
    </row>
    <row r="621" spans="3:40" outlineLevel="4">
      <c r="C621" s="303" t="str">
        <f>Flags!C$14</f>
        <v>Counter</v>
      </c>
      <c r="D621" s="266"/>
      <c r="E621" s="76" t="str">
        <f>Flags!E$14</f>
        <v>Counter</v>
      </c>
      <c r="F621" s="89">
        <f>Flags!F$14</f>
        <v>0</v>
      </c>
      <c r="G621" s="266">
        <f>Flags!G$14</f>
        <v>1</v>
      </c>
      <c r="H621" s="266">
        <f>Flags!H$14</f>
        <v>2</v>
      </c>
      <c r="I621" s="266">
        <f>Flags!I$14</f>
        <v>3</v>
      </c>
      <c r="J621" s="266">
        <f>Flags!J$14</f>
        <v>4</v>
      </c>
      <c r="K621" s="266">
        <f>Flags!K$14</f>
        <v>5</v>
      </c>
      <c r="L621" s="266">
        <f>Flags!L$14</f>
        <v>6</v>
      </c>
      <c r="M621" s="266">
        <f>Flags!M$14</f>
        <v>7</v>
      </c>
      <c r="N621" s="266">
        <f>Flags!N$14</f>
        <v>8</v>
      </c>
      <c r="O621" s="266">
        <f>Flags!O$14</f>
        <v>9</v>
      </c>
      <c r="P621" s="266">
        <f>Flags!P$14</f>
        <v>10</v>
      </c>
      <c r="Q621" s="266">
        <f>Flags!Q$14</f>
        <v>11</v>
      </c>
      <c r="R621" s="266">
        <f>Flags!R$14</f>
        <v>12</v>
      </c>
      <c r="S621" s="266">
        <f>Flags!S$14</f>
        <v>13</v>
      </c>
      <c r="T621" s="266">
        <f>Flags!T$14</f>
        <v>14</v>
      </c>
      <c r="U621" s="266">
        <f>Flags!U$14</f>
        <v>15</v>
      </c>
      <c r="V621" s="266">
        <f>Flags!V$14</f>
        <v>16</v>
      </c>
      <c r="W621" s="266">
        <f>Flags!W$14</f>
        <v>17</v>
      </c>
      <c r="X621" s="266">
        <f>Flags!X$14</f>
        <v>18</v>
      </c>
      <c r="Y621" s="266">
        <f>Flags!Y$14</f>
        <v>19</v>
      </c>
      <c r="Z621" s="266">
        <f>Flags!Z$14</f>
        <v>20</v>
      </c>
      <c r="AA621" s="266">
        <f>Flags!AA$14</f>
        <v>21</v>
      </c>
      <c r="AB621" s="266">
        <f>Flags!AB$14</f>
        <v>22</v>
      </c>
      <c r="AC621" s="266">
        <f>Flags!AC$14</f>
        <v>23</v>
      </c>
      <c r="AD621" s="266">
        <f>Flags!AD$14</f>
        <v>24</v>
      </c>
      <c r="AE621" s="266">
        <f>Flags!AE$14</f>
        <v>25</v>
      </c>
      <c r="AF621" s="266">
        <f>Flags!AF$14</f>
        <v>26</v>
      </c>
      <c r="AG621" s="266">
        <f>Flags!AG$14</f>
        <v>27</v>
      </c>
      <c r="AH621" s="266">
        <f>Flags!AH$14</f>
        <v>28</v>
      </c>
      <c r="AI621" s="266">
        <f>Flags!AI$14</f>
        <v>29</v>
      </c>
      <c r="AJ621" s="266">
        <f>Flags!AJ$14</f>
        <v>30</v>
      </c>
      <c r="AK621" s="266">
        <f>Flags!AK$14</f>
        <v>31</v>
      </c>
      <c r="AL621" s="266">
        <f>Flags!AL$14</f>
        <v>32</v>
      </c>
      <c r="AM621" s="266">
        <f>Flags!AM$14</f>
        <v>33</v>
      </c>
      <c r="AN621" s="266">
        <f>Flags!AN$14</f>
        <v>34</v>
      </c>
    </row>
    <row r="622" spans="3:40" outlineLevel="4">
      <c r="C622"/>
      <c r="D622" s="266"/>
      <c r="E622" s="76"/>
      <c r="F622"/>
    </row>
    <row r="623" spans="3:40" outlineLevel="4">
      <c r="C623" t="str">
        <f>Inputs!$E$258</f>
        <v>Valor residual</v>
      </c>
      <c r="D623">
        <f>Inputs!E299</f>
        <v>0</v>
      </c>
      <c r="E623" s="76"/>
      <c r="F623"/>
    </row>
    <row r="624" spans="3:40" outlineLevel="4">
      <c r="C624"/>
      <c r="D624" s="266"/>
      <c r="E624" s="76"/>
      <c r="F624"/>
    </row>
    <row r="625" spans="3:40" outlineLevel="4">
      <c r="C625" t="s">
        <v>470</v>
      </c>
      <c r="D625" t="s">
        <v>471</v>
      </c>
      <c r="E625" t="s">
        <v>79</v>
      </c>
      <c r="F625" s="309" t="s">
        <v>472</v>
      </c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</row>
    <row r="626" spans="3:40" outlineLevel="4">
      <c r="C626">
        <f t="array" ref="C626:C659">TRANSPOSE(G621:AN621)</f>
        <v>1</v>
      </c>
      <c r="D626">
        <f>Inputs!$D$262</f>
        <v>0.1</v>
      </c>
      <c r="E626" s="319">
        <f t="array" ref="E626:E659">TRANSPOSE(G613:AN613)</f>
        <v>383.31921922179805</v>
      </c>
      <c r="F626" s="319">
        <f>E626*D623</f>
        <v>0</v>
      </c>
      <c r="G626" s="319">
        <f>IF(G$621&gt;=$C626,MIN(-(SUM(F626:$F626)-$E626),($E626*(1-$D$623))*$D626),0)*G$619</f>
        <v>38.331921922179809</v>
      </c>
      <c r="H626" s="319">
        <f>IF(H$621&gt;=$C626,MIN(-(SUM($F626:G626)-$E626),($E626*(1-$D$623))*$D626),0)*H$619</f>
        <v>38.331921922179809</v>
      </c>
      <c r="I626" s="319">
        <f>IF(I$621&gt;=$C626,MIN(-(SUM($F626:H626)-$E626),($E626*(1-$D$623))*$D626),0)*I$619</f>
        <v>38.331921922179809</v>
      </c>
      <c r="J626" s="319">
        <f>IF(J$621&gt;=$C626,MIN(-(SUM($F626:I626)-$E626),($E626*(1-$D$623))*$D626),0)*J$619</f>
        <v>38.331921922179809</v>
      </c>
      <c r="K626" s="319">
        <f>IF(K$621&gt;=$C626,MIN(-(SUM($F626:J626)-$E626),($E626*(1-$D$623))*$D626),0)*K$619</f>
        <v>38.331921922179809</v>
      </c>
      <c r="L626" s="319">
        <f>IF(L$621&gt;=$C626,MIN(-(SUM($F626:K626)-$E626),($E626*(1-$D$623))*$D626),0)*L$619</f>
        <v>38.331921922179809</v>
      </c>
      <c r="M626" s="319">
        <f>IF(M$621&gt;=$C626,MIN(-(SUM($F626:L626)-$E626),($E626*(1-$D$623))*$D626),0)*M$619</f>
        <v>38.331921922179809</v>
      </c>
      <c r="N626" s="319">
        <f>IF(N$621&gt;=$C626,MIN(-(SUM($F626:M626)-$E626),($E626*(1-$D$623))*$D626),0)*N$619</f>
        <v>38.331921922179809</v>
      </c>
      <c r="O626" s="319">
        <f>IF(O$621&gt;=$C626,MIN(-(SUM($F626:N626)-$E626),($E626*(1-$D$623))*$D626),0)*O$619</f>
        <v>38.331921922179809</v>
      </c>
      <c r="P626" s="319">
        <f>IF(P$621&gt;=$C626,MIN(-(SUM($F626:O626)-$E626),($E626*(1-$D$623))*$D626),0)*P$619</f>
        <v>38.331921922179788</v>
      </c>
      <c r="Q626" s="319">
        <f>IF(Q$621&gt;=$C626,MIN(-(SUM($F626:P626)-$E626),($E626*(1-$D$623))*$D626),0)*Q$619</f>
        <v>0</v>
      </c>
      <c r="R626" s="319">
        <f>IF(R$621&gt;=$C626,MIN(-(SUM($F626:Q626)-$E626),($E626*(1-$D$623))*$D626),0)*R$619</f>
        <v>0</v>
      </c>
      <c r="S626" s="319">
        <f>IF(S$621&gt;=$C626,MIN(-(SUM($F626:R626)-$E626),($E626*(1-$D$623))*$D626),0)*S$619</f>
        <v>0</v>
      </c>
      <c r="T626" s="319">
        <f>IF(T$621&gt;=$C626,MIN(-(SUM($F626:S626)-$E626),($E626*(1-$D$623))*$D626),0)*T$619</f>
        <v>0</v>
      </c>
      <c r="U626" s="319">
        <f>IF(U$621&gt;=$C626,MIN(-(SUM($F626:T626)-$E626),($E626*(1-$D$623))*$D626),0)*U$619</f>
        <v>0</v>
      </c>
      <c r="V626" s="319">
        <f>IF(V$621&gt;=$C626,MIN(-(SUM($F626:U626)-$E626),($E626*(1-$D$623))*$D626),0)*V$619</f>
        <v>0</v>
      </c>
      <c r="W626" s="319">
        <f>IF(W$621&gt;=$C626,MIN(-(SUM($F626:V626)-$E626),($E626*(1-$D$623))*$D626),0)*W$619</f>
        <v>0</v>
      </c>
      <c r="X626" s="319">
        <f>IF(X$621&gt;=$C626,MIN(-(SUM($F626:W626)-$E626),($E626*(1-$D$623))*$D626),0)*X$619</f>
        <v>0</v>
      </c>
      <c r="Y626" s="319">
        <f>IF(Y$621&gt;=$C626,MIN(-(SUM($F626:X626)-$E626),($E626*(1-$D$623))*$D626),0)*Y$619</f>
        <v>0</v>
      </c>
      <c r="Z626" s="319">
        <f>IF(Z$621&gt;=$C626,MIN(-(SUM($F626:Y626)-$E626),($E626*(1-$D$623))*$D626),0)*Z$619</f>
        <v>0</v>
      </c>
      <c r="AA626" s="319">
        <f>IF(AA$621&gt;=$C626,MIN(-(SUM($F626:Z626)-$E626),($E626*(1-$D$623))*$D626),0)*AA$619</f>
        <v>0</v>
      </c>
      <c r="AB626" s="319">
        <f>IF(AB$621&gt;=$C626,MIN(-(SUM($F626:AA626)-$E626),($E626*(1-$D$623))*$D626),0)*AB$619</f>
        <v>0</v>
      </c>
      <c r="AC626" s="319">
        <f>IF(AC$621&gt;=$C626,MIN(-(SUM($F626:AB626)-$E626),($E626*(1-$D$623))*$D626),0)*AC$619</f>
        <v>0</v>
      </c>
      <c r="AD626" s="319">
        <f>IF(AD$621&gt;=$C626,MIN(-(SUM($F626:AC626)-$E626),($E626*(1-$D$623))*$D626),0)*AD$619</f>
        <v>0</v>
      </c>
      <c r="AE626" s="319">
        <f>IF(AE$621&gt;=$C626,MIN(-(SUM($F626:AD626)-$E626),($E626*(1-$D$623))*$D626),0)*AE$619</f>
        <v>0</v>
      </c>
      <c r="AF626" s="319">
        <f>IF(AF$621&gt;=$C626,MIN(-(SUM($F626:AE626)-$E626),($E626*(1-$D$623))*$D626),0)*AF$619</f>
        <v>0</v>
      </c>
      <c r="AG626" s="319">
        <f>IF(AG$621&gt;=$C626,MIN(-(SUM($F626:AF626)-$E626),($E626*(1-$D$623))*$D626),0)*AG$619</f>
        <v>0</v>
      </c>
      <c r="AH626" s="319">
        <f>IF(AH$621&gt;=$C626,MIN(-(SUM($F626:AG626)-$E626),($E626*(1-$D$623))*$D626),0)*AH$619</f>
        <v>0</v>
      </c>
      <c r="AI626" s="319">
        <f>IF(AI$621&gt;=$C626,MIN(-(SUM($F626:AH626)-$E626),($E626*(1-$D$623))*$D626),0)*AI$619</f>
        <v>0</v>
      </c>
      <c r="AJ626" s="319">
        <f>IF(AJ$621&gt;=$C626,MIN(-(SUM($F626:AI626)-$E626),($E626*(1-$D$623))*$D626),0)*AJ$619</f>
        <v>0</v>
      </c>
      <c r="AK626" s="319">
        <f>IF(AK$621&gt;=$C626,MIN(-(SUM($F626:AJ626)-$E626),($E626*(1-$D$623))*$D626),0)*AK$619</f>
        <v>0</v>
      </c>
      <c r="AL626" s="319">
        <f>IF(AL$621&gt;=$C626,MIN(-(SUM($F626:AK626)-$E626),($E626*(1-$D$623))*$D626),0)*AL$619</f>
        <v>0</v>
      </c>
      <c r="AM626" s="319">
        <f>IF(AM$621&gt;=$C626,MIN(-(SUM($F626:AL626)-$E626),($E626*(1-$D$623))*$D626),0)*AM$619</f>
        <v>0</v>
      </c>
      <c r="AN626" s="319">
        <f>IF(AN$621&gt;=$C626,MIN(-(SUM($F626:AM626)-$E626),($E626*(1-$D$623))*$D626),0)*AN$619</f>
        <v>0</v>
      </c>
    </row>
    <row r="627" spans="3:40" outlineLevel="4">
      <c r="C627">
        <v>2</v>
      </c>
      <c r="D627">
        <f>Inputs!$D$262</f>
        <v>0.1</v>
      </c>
      <c r="E627" s="319">
        <v>1318.8112076508448</v>
      </c>
      <c r="F627" s="319">
        <f>E627*D623</f>
        <v>0</v>
      </c>
      <c r="G627" s="319">
        <f>IF(G$621&gt;=$C627,MIN(-(SUM(F627:$F627)-$E627),($E627*(1-$D$623))*$D627),0)*G$619</f>
        <v>0</v>
      </c>
      <c r="H627" s="319">
        <f>IF(H$621&gt;=$C627,MIN(-(SUM($F627:G627)-$E627),($E627*(1-$D$623))*$D627),0)*H$619</f>
        <v>131.88112076508449</v>
      </c>
      <c r="I627" s="319">
        <f>IF(I$621&gt;=$C627,MIN(-(SUM($F627:H627)-$E627),($E627*(1-$D$623))*$D627),0)*I$619</f>
        <v>131.88112076508449</v>
      </c>
      <c r="J627" s="319">
        <f>IF(J$621&gt;=$C627,MIN(-(SUM($F627:I627)-$E627),($E627*(1-$D$623))*$D627),0)*J$619</f>
        <v>131.88112076508449</v>
      </c>
      <c r="K627" s="319">
        <f>IF(K$621&gt;=$C627,MIN(-(SUM($F627:J627)-$E627),($E627*(1-$D$623))*$D627),0)*K$619</f>
        <v>131.88112076508449</v>
      </c>
      <c r="L627" s="319">
        <f>IF(L$621&gt;=$C627,MIN(-(SUM($F627:K627)-$E627),($E627*(1-$D$623))*$D627),0)*L$619</f>
        <v>131.88112076508449</v>
      </c>
      <c r="M627" s="319">
        <f>IF(M$621&gt;=$C627,MIN(-(SUM($F627:L627)-$E627),($E627*(1-$D$623))*$D627),0)*M$619</f>
        <v>131.88112076508449</v>
      </c>
      <c r="N627" s="319">
        <f>IF(N$621&gt;=$C627,MIN(-(SUM($F627:M627)-$E627),($E627*(1-$D$623))*$D627),0)*N$619</f>
        <v>131.88112076508449</v>
      </c>
      <c r="O627" s="319">
        <f>IF(O$621&gt;=$C627,MIN(-(SUM($F627:N627)-$E627),($E627*(1-$D$623))*$D627),0)*O$619</f>
        <v>131.88112076508449</v>
      </c>
      <c r="P627" s="319">
        <f>IF(P$621&gt;=$C627,MIN(-(SUM($F627:O627)-$E627),($E627*(1-$D$623))*$D627),0)*P$619</f>
        <v>131.88112076508449</v>
      </c>
      <c r="Q627" s="319">
        <f>IF(Q$621&gt;=$C627,MIN(-(SUM($F627:P627)-$E627),($E627*(1-$D$623))*$D627),0)*Q$619</f>
        <v>131.88112076508446</v>
      </c>
      <c r="R627" s="319">
        <f>IF(R$621&gt;=$C627,MIN(-(SUM($F627:Q627)-$E627),($E627*(1-$D$623))*$D627),0)*R$619</f>
        <v>0</v>
      </c>
      <c r="S627" s="319">
        <f>IF(S$621&gt;=$C627,MIN(-(SUM($F627:R627)-$E627),($E627*(1-$D$623))*$D627),0)*S$619</f>
        <v>0</v>
      </c>
      <c r="T627" s="319">
        <f>IF(T$621&gt;=$C627,MIN(-(SUM($F627:S627)-$E627),($E627*(1-$D$623))*$D627),0)*T$619</f>
        <v>0</v>
      </c>
      <c r="U627" s="319">
        <f>IF(U$621&gt;=$C627,MIN(-(SUM($F627:T627)-$E627),($E627*(1-$D$623))*$D627),0)*U$619</f>
        <v>0</v>
      </c>
      <c r="V627" s="319">
        <f>IF(V$621&gt;=$C627,MIN(-(SUM($F627:U627)-$E627),($E627*(1-$D$623))*$D627),0)*V$619</f>
        <v>0</v>
      </c>
      <c r="W627" s="319">
        <f>IF(W$621&gt;=$C627,MIN(-(SUM($F627:V627)-$E627),($E627*(1-$D$623))*$D627),0)*W$619</f>
        <v>0</v>
      </c>
      <c r="X627" s="319">
        <f>IF(X$621&gt;=$C627,MIN(-(SUM($F627:W627)-$E627),($E627*(1-$D$623))*$D627),0)*X$619</f>
        <v>0</v>
      </c>
      <c r="Y627" s="319">
        <f>IF(Y$621&gt;=$C627,MIN(-(SUM($F627:X627)-$E627),($E627*(1-$D$623))*$D627),0)*Y$619</f>
        <v>0</v>
      </c>
      <c r="Z627" s="319">
        <f>IF(Z$621&gt;=$C627,MIN(-(SUM($F627:Y627)-$E627),($E627*(1-$D$623))*$D627),0)*Z$619</f>
        <v>0</v>
      </c>
      <c r="AA627" s="319">
        <f>IF(AA$621&gt;=$C627,MIN(-(SUM($F627:Z627)-$E627),($E627*(1-$D$623))*$D627),0)*AA$619</f>
        <v>0</v>
      </c>
      <c r="AB627" s="319">
        <f>IF(AB$621&gt;=$C627,MIN(-(SUM($F627:AA627)-$E627),($E627*(1-$D$623))*$D627),0)*AB$619</f>
        <v>0</v>
      </c>
      <c r="AC627" s="319">
        <f>IF(AC$621&gt;=$C627,MIN(-(SUM($F627:AB627)-$E627),($E627*(1-$D$623))*$D627),0)*AC$619</f>
        <v>0</v>
      </c>
      <c r="AD627" s="319">
        <f>IF(AD$621&gt;=$C627,MIN(-(SUM($F627:AC627)-$E627),($E627*(1-$D$623))*$D627),0)*AD$619</f>
        <v>0</v>
      </c>
      <c r="AE627" s="319">
        <f>IF(AE$621&gt;=$C627,MIN(-(SUM($F627:AD627)-$E627),($E627*(1-$D$623))*$D627),0)*AE$619</f>
        <v>0</v>
      </c>
      <c r="AF627" s="319">
        <f>IF(AF$621&gt;=$C627,MIN(-(SUM($F627:AE627)-$E627),($E627*(1-$D$623))*$D627),0)*AF$619</f>
        <v>0</v>
      </c>
      <c r="AG627" s="319">
        <f>IF(AG$621&gt;=$C627,MIN(-(SUM($F627:AF627)-$E627),($E627*(1-$D$623))*$D627),0)*AG$619</f>
        <v>0</v>
      </c>
      <c r="AH627" s="319">
        <f>IF(AH$621&gt;=$C627,MIN(-(SUM($F627:AG627)-$E627),($E627*(1-$D$623))*$D627),0)*AH$619</f>
        <v>0</v>
      </c>
      <c r="AI627" s="319">
        <f>IF(AI$621&gt;=$C627,MIN(-(SUM($F627:AH627)-$E627),($E627*(1-$D$623))*$D627),0)*AI$619</f>
        <v>0</v>
      </c>
      <c r="AJ627" s="319">
        <f>IF(AJ$621&gt;=$C627,MIN(-(SUM($F627:AI627)-$E627),($E627*(1-$D$623))*$D627),0)*AJ$619</f>
        <v>0</v>
      </c>
      <c r="AK627" s="319">
        <f>IF(AK$621&gt;=$C627,MIN(-(SUM($F627:AJ627)-$E627),($E627*(1-$D$623))*$D627),0)*AK$619</f>
        <v>0</v>
      </c>
      <c r="AL627" s="319">
        <f>IF(AL$621&gt;=$C627,MIN(-(SUM($F627:AK627)-$E627),($E627*(1-$D$623))*$D627),0)*AL$619</f>
        <v>0</v>
      </c>
      <c r="AM627" s="319">
        <f>IF(AM$621&gt;=$C627,MIN(-(SUM($F627:AL627)-$E627),($E627*(1-$D$623))*$D627),0)*AM$619</f>
        <v>0</v>
      </c>
      <c r="AN627" s="319">
        <f>IF(AN$621&gt;=$C627,MIN(-(SUM($F627:AM627)-$E627),($E627*(1-$D$623))*$D627),0)*AN$619</f>
        <v>0</v>
      </c>
    </row>
    <row r="628" spans="3:40" outlineLevel="4">
      <c r="C628">
        <v>3</v>
      </c>
      <c r="D628">
        <f>Inputs!$D$262</f>
        <v>0.1</v>
      </c>
      <c r="E628" s="319">
        <v>1048.5893941600002</v>
      </c>
      <c r="F628" s="319">
        <f>E628*D623</f>
        <v>0</v>
      </c>
      <c r="G628" s="319">
        <f>IF(G$621&gt;=$C628,MIN(-(SUM(F628:$F628)-$E628),($E628*(1-$D$623))*$D628),0)*G$619</f>
        <v>0</v>
      </c>
      <c r="H628" s="319">
        <f>IF(H$621&gt;=$C628,MIN(-(SUM($F628:G628)-$E628),($E628*(1-$D$623))*$D628),0)*H$619</f>
        <v>0</v>
      </c>
      <c r="I628" s="319">
        <f>IF(I$621&gt;=$C628,MIN(-(SUM($F628:H628)-$E628),($E628*(1-$D$623))*$D628),0)*I$619</f>
        <v>104.85893941600003</v>
      </c>
      <c r="J628" s="319">
        <f>IF(J$621&gt;=$C628,MIN(-(SUM($F628:I628)-$E628),($E628*(1-$D$623))*$D628),0)*J$619</f>
        <v>104.85893941600003</v>
      </c>
      <c r="K628" s="319">
        <f>IF(K$621&gt;=$C628,MIN(-(SUM($F628:J628)-$E628),($E628*(1-$D$623))*$D628),0)*K$619</f>
        <v>104.85893941600003</v>
      </c>
      <c r="L628" s="319">
        <f>IF(L$621&gt;=$C628,MIN(-(SUM($F628:K628)-$E628),($E628*(1-$D$623))*$D628),0)*L$619</f>
        <v>104.85893941600003</v>
      </c>
      <c r="M628" s="319">
        <f>IF(M$621&gt;=$C628,MIN(-(SUM($F628:L628)-$E628),($E628*(1-$D$623))*$D628),0)*M$619</f>
        <v>104.85893941600003</v>
      </c>
      <c r="N628" s="319">
        <f>IF(N$621&gt;=$C628,MIN(-(SUM($F628:M628)-$E628),($E628*(1-$D$623))*$D628),0)*N$619</f>
        <v>104.85893941600003</v>
      </c>
      <c r="O628" s="319">
        <f>IF(O$621&gt;=$C628,MIN(-(SUM($F628:N628)-$E628),($E628*(1-$D$623))*$D628),0)*O$619</f>
        <v>104.85893941600003</v>
      </c>
      <c r="P628" s="319">
        <f>IF(P$621&gt;=$C628,MIN(-(SUM($F628:O628)-$E628),($E628*(1-$D$623))*$D628),0)*P$619</f>
        <v>104.85893941600003</v>
      </c>
      <c r="Q628" s="319">
        <f>IF(Q$621&gt;=$C628,MIN(-(SUM($F628:P628)-$E628),($E628*(1-$D$623))*$D628),0)*Q$619</f>
        <v>104.85893941600003</v>
      </c>
      <c r="R628" s="319">
        <f>IF(R$621&gt;=$C628,MIN(-(SUM($F628:Q628)-$E628),($E628*(1-$D$623))*$D628),0)*R$619</f>
        <v>104.85893941600003</v>
      </c>
      <c r="S628" s="319">
        <f>IF(S$621&gt;=$C628,MIN(-(SUM($F628:R628)-$E628),($E628*(1-$D$623))*$D628),0)*S$619</f>
        <v>0</v>
      </c>
      <c r="T628" s="319">
        <f>IF(T$621&gt;=$C628,MIN(-(SUM($F628:S628)-$E628),($E628*(1-$D$623))*$D628),0)*T$619</f>
        <v>0</v>
      </c>
      <c r="U628" s="319">
        <f>IF(U$621&gt;=$C628,MIN(-(SUM($F628:T628)-$E628),($E628*(1-$D$623))*$D628),0)*U$619</f>
        <v>0</v>
      </c>
      <c r="V628" s="319">
        <f>IF(V$621&gt;=$C628,MIN(-(SUM($F628:U628)-$E628),($E628*(1-$D$623))*$D628),0)*V$619</f>
        <v>0</v>
      </c>
      <c r="W628" s="319">
        <f>IF(W$621&gt;=$C628,MIN(-(SUM($F628:V628)-$E628),($E628*(1-$D$623))*$D628),0)*W$619</f>
        <v>0</v>
      </c>
      <c r="X628" s="319">
        <f>IF(X$621&gt;=$C628,MIN(-(SUM($F628:W628)-$E628),($E628*(1-$D$623))*$D628),0)*X$619</f>
        <v>0</v>
      </c>
      <c r="Y628" s="319">
        <f>IF(Y$621&gt;=$C628,MIN(-(SUM($F628:X628)-$E628),($E628*(1-$D$623))*$D628),0)*Y$619</f>
        <v>0</v>
      </c>
      <c r="Z628" s="319">
        <f>IF(Z$621&gt;=$C628,MIN(-(SUM($F628:Y628)-$E628),($E628*(1-$D$623))*$D628),0)*Z$619</f>
        <v>0</v>
      </c>
      <c r="AA628" s="319">
        <f>IF(AA$621&gt;=$C628,MIN(-(SUM($F628:Z628)-$E628),($E628*(1-$D$623))*$D628),0)*AA$619</f>
        <v>0</v>
      </c>
      <c r="AB628" s="319">
        <f>IF(AB$621&gt;=$C628,MIN(-(SUM($F628:AA628)-$E628),($E628*(1-$D$623))*$D628),0)*AB$619</f>
        <v>0</v>
      </c>
      <c r="AC628" s="319">
        <f>IF(AC$621&gt;=$C628,MIN(-(SUM($F628:AB628)-$E628),($E628*(1-$D$623))*$D628),0)*AC$619</f>
        <v>0</v>
      </c>
      <c r="AD628" s="319">
        <f>IF(AD$621&gt;=$C628,MIN(-(SUM($F628:AC628)-$E628),($E628*(1-$D$623))*$D628),0)*AD$619</f>
        <v>0</v>
      </c>
      <c r="AE628" s="319">
        <f>IF(AE$621&gt;=$C628,MIN(-(SUM($F628:AD628)-$E628),($E628*(1-$D$623))*$D628),0)*AE$619</f>
        <v>0</v>
      </c>
      <c r="AF628" s="319">
        <f>IF(AF$621&gt;=$C628,MIN(-(SUM($F628:AE628)-$E628),($E628*(1-$D$623))*$D628),0)*AF$619</f>
        <v>0</v>
      </c>
      <c r="AG628" s="319">
        <f>IF(AG$621&gt;=$C628,MIN(-(SUM($F628:AF628)-$E628),($E628*(1-$D$623))*$D628),0)*AG$619</f>
        <v>0</v>
      </c>
      <c r="AH628" s="319">
        <f>IF(AH$621&gt;=$C628,MIN(-(SUM($F628:AG628)-$E628),($E628*(1-$D$623))*$D628),0)*AH$619</f>
        <v>0</v>
      </c>
      <c r="AI628" s="319">
        <f>IF(AI$621&gt;=$C628,MIN(-(SUM($F628:AH628)-$E628),($E628*(1-$D$623))*$D628),0)*AI$619</f>
        <v>0</v>
      </c>
      <c r="AJ628" s="319">
        <f>IF(AJ$621&gt;=$C628,MIN(-(SUM($F628:AI628)-$E628),($E628*(1-$D$623))*$D628),0)*AJ$619</f>
        <v>0</v>
      </c>
      <c r="AK628" s="319">
        <f>IF(AK$621&gt;=$C628,MIN(-(SUM($F628:AJ628)-$E628),($E628*(1-$D$623))*$D628),0)*AK$619</f>
        <v>0</v>
      </c>
      <c r="AL628" s="319">
        <f>IF(AL$621&gt;=$C628,MIN(-(SUM($F628:AK628)-$E628),($E628*(1-$D$623))*$D628),0)*AL$619</f>
        <v>0</v>
      </c>
      <c r="AM628" s="319">
        <f>IF(AM$621&gt;=$C628,MIN(-(SUM($F628:AL628)-$E628),($E628*(1-$D$623))*$D628),0)*AM$619</f>
        <v>0</v>
      </c>
      <c r="AN628" s="319">
        <f>IF(AN$621&gt;=$C628,MIN(-(SUM($F628:AM628)-$E628),($E628*(1-$D$623))*$D628),0)*AN$619</f>
        <v>0</v>
      </c>
    </row>
    <row r="629" spans="3:40" outlineLevel="4">
      <c r="C629">
        <v>4</v>
      </c>
      <c r="D629">
        <f>Inputs!$D$262</f>
        <v>0.1</v>
      </c>
      <c r="E629" s="319">
        <v>285.52999999999997</v>
      </c>
      <c r="F629" s="319">
        <f>E629*D623</f>
        <v>0</v>
      </c>
      <c r="G629" s="319">
        <f>IF(G$621&gt;=$C629,MIN(-(SUM(F629:$F629)-$E629),($E629*(1-$D$623))*$D629),0)*G$619</f>
        <v>0</v>
      </c>
      <c r="H629" s="319">
        <f>IF(H$621&gt;=$C629,MIN(-(SUM($F629:G629)-$E629),($E629*(1-$D$623))*$D629),0)*H$619</f>
        <v>0</v>
      </c>
      <c r="I629" s="319">
        <f>IF(I$621&gt;=$C629,MIN(-(SUM($F629:H629)-$E629),($E629*(1-$D$623))*$D629),0)*I$619</f>
        <v>0</v>
      </c>
      <c r="J629" s="319">
        <f>IF(J$621&gt;=$C629,MIN(-(SUM($F629:I629)-$E629),($E629*(1-$D$623))*$D629),0)*J$619</f>
        <v>28.552999999999997</v>
      </c>
      <c r="K629" s="319">
        <f>IF(K$621&gt;=$C629,MIN(-(SUM($F629:J629)-$E629),($E629*(1-$D$623))*$D629),0)*K$619</f>
        <v>28.552999999999997</v>
      </c>
      <c r="L629" s="319">
        <f>IF(L$621&gt;=$C629,MIN(-(SUM($F629:K629)-$E629),($E629*(1-$D$623))*$D629),0)*L$619</f>
        <v>28.552999999999997</v>
      </c>
      <c r="M629" s="319">
        <f>IF(M$621&gt;=$C629,MIN(-(SUM($F629:L629)-$E629),($E629*(1-$D$623))*$D629),0)*M$619</f>
        <v>28.552999999999997</v>
      </c>
      <c r="N629" s="319">
        <f>IF(N$621&gt;=$C629,MIN(-(SUM($F629:M629)-$E629),($E629*(1-$D$623))*$D629),0)*N$619</f>
        <v>28.552999999999997</v>
      </c>
      <c r="O629" s="319">
        <f>IF(O$621&gt;=$C629,MIN(-(SUM($F629:N629)-$E629),($E629*(1-$D$623))*$D629),0)*O$619</f>
        <v>28.552999999999997</v>
      </c>
      <c r="P629" s="319">
        <f>IF(P$621&gt;=$C629,MIN(-(SUM($F629:O629)-$E629),($E629*(1-$D$623))*$D629),0)*P$619</f>
        <v>28.552999999999997</v>
      </c>
      <c r="Q629" s="319">
        <f>IF(Q$621&gt;=$C629,MIN(-(SUM($F629:P629)-$E629),($E629*(1-$D$623))*$D629),0)*Q$619</f>
        <v>28.552999999999997</v>
      </c>
      <c r="R629" s="319">
        <f>IF(R$621&gt;=$C629,MIN(-(SUM($F629:Q629)-$E629),($E629*(1-$D$623))*$D629),0)*R$619</f>
        <v>28.552999999999997</v>
      </c>
      <c r="S629" s="319">
        <f>IF(S$621&gt;=$C629,MIN(-(SUM($F629:R629)-$E629),($E629*(1-$D$623))*$D629),0)*S$619</f>
        <v>28.552999999999997</v>
      </c>
      <c r="T629" s="319">
        <f>IF(T$621&gt;=$C629,MIN(-(SUM($F629:S629)-$E629),($E629*(1-$D$623))*$D629),0)*T$619</f>
        <v>0</v>
      </c>
      <c r="U629" s="319">
        <f>IF(U$621&gt;=$C629,MIN(-(SUM($F629:T629)-$E629),($E629*(1-$D$623))*$D629),0)*U$619</f>
        <v>0</v>
      </c>
      <c r="V629" s="319">
        <f>IF(V$621&gt;=$C629,MIN(-(SUM($F629:U629)-$E629),($E629*(1-$D$623))*$D629),0)*V$619</f>
        <v>0</v>
      </c>
      <c r="W629" s="319">
        <f>IF(W$621&gt;=$C629,MIN(-(SUM($F629:V629)-$E629),($E629*(1-$D$623))*$D629),0)*W$619</f>
        <v>0</v>
      </c>
      <c r="X629" s="319">
        <f>IF(X$621&gt;=$C629,MIN(-(SUM($F629:W629)-$E629),($E629*(1-$D$623))*$D629),0)*X$619</f>
        <v>0</v>
      </c>
      <c r="Y629" s="319">
        <f>IF(Y$621&gt;=$C629,MIN(-(SUM($F629:X629)-$E629),($E629*(1-$D$623))*$D629),0)*Y$619</f>
        <v>0</v>
      </c>
      <c r="Z629" s="319">
        <f>IF(Z$621&gt;=$C629,MIN(-(SUM($F629:Y629)-$E629),($E629*(1-$D$623))*$D629),0)*Z$619</f>
        <v>0</v>
      </c>
      <c r="AA629" s="319">
        <f>IF(AA$621&gt;=$C629,MIN(-(SUM($F629:Z629)-$E629),($E629*(1-$D$623))*$D629),0)*AA$619</f>
        <v>0</v>
      </c>
      <c r="AB629" s="319">
        <f>IF(AB$621&gt;=$C629,MIN(-(SUM($F629:AA629)-$E629),($E629*(1-$D$623))*$D629),0)*AB$619</f>
        <v>0</v>
      </c>
      <c r="AC629" s="319">
        <f>IF(AC$621&gt;=$C629,MIN(-(SUM($F629:AB629)-$E629),($E629*(1-$D$623))*$D629),0)*AC$619</f>
        <v>0</v>
      </c>
      <c r="AD629" s="319">
        <f>IF(AD$621&gt;=$C629,MIN(-(SUM($F629:AC629)-$E629),($E629*(1-$D$623))*$D629),0)*AD$619</f>
        <v>0</v>
      </c>
      <c r="AE629" s="319">
        <f>IF(AE$621&gt;=$C629,MIN(-(SUM($F629:AD629)-$E629),($E629*(1-$D$623))*$D629),0)*AE$619</f>
        <v>0</v>
      </c>
      <c r="AF629" s="319">
        <f>IF(AF$621&gt;=$C629,MIN(-(SUM($F629:AE629)-$E629),($E629*(1-$D$623))*$D629),0)*AF$619</f>
        <v>0</v>
      </c>
      <c r="AG629" s="319">
        <f>IF(AG$621&gt;=$C629,MIN(-(SUM($F629:AF629)-$E629),($E629*(1-$D$623))*$D629),0)*AG$619</f>
        <v>0</v>
      </c>
      <c r="AH629" s="319">
        <f>IF(AH$621&gt;=$C629,MIN(-(SUM($F629:AG629)-$E629),($E629*(1-$D$623))*$D629),0)*AH$619</f>
        <v>0</v>
      </c>
      <c r="AI629" s="319">
        <f>IF(AI$621&gt;=$C629,MIN(-(SUM($F629:AH629)-$E629),($E629*(1-$D$623))*$D629),0)*AI$619</f>
        <v>0</v>
      </c>
      <c r="AJ629" s="319">
        <f>IF(AJ$621&gt;=$C629,MIN(-(SUM($F629:AI629)-$E629),($E629*(1-$D$623))*$D629),0)*AJ$619</f>
        <v>0</v>
      </c>
      <c r="AK629" s="319">
        <f>IF(AK$621&gt;=$C629,MIN(-(SUM($F629:AJ629)-$E629),($E629*(1-$D$623))*$D629),0)*AK$619</f>
        <v>0</v>
      </c>
      <c r="AL629" s="319">
        <f>IF(AL$621&gt;=$C629,MIN(-(SUM($F629:AK629)-$E629),($E629*(1-$D$623))*$D629),0)*AL$619</f>
        <v>0</v>
      </c>
      <c r="AM629" s="319">
        <f>IF(AM$621&gt;=$C629,MIN(-(SUM($F629:AL629)-$E629),($E629*(1-$D$623))*$D629),0)*AM$619</f>
        <v>0</v>
      </c>
      <c r="AN629" s="319">
        <f>IF(AN$621&gt;=$C629,MIN(-(SUM($F629:AM629)-$E629),($E629*(1-$D$623))*$D629),0)*AN$619</f>
        <v>0</v>
      </c>
    </row>
    <row r="630" spans="3:40" outlineLevel="4">
      <c r="C630">
        <v>5</v>
      </c>
      <c r="D630">
        <f>Inputs!$D$262</f>
        <v>0.1</v>
      </c>
      <c r="E630" s="319">
        <v>713.82500000000005</v>
      </c>
      <c r="F630" s="319">
        <f>E630*D623</f>
        <v>0</v>
      </c>
      <c r="G630" s="319">
        <f>IF(G$621&gt;=$C630,MIN(-(SUM(F630:$F630)-$E630),($E630*(1-$D$623))*$D630),0)*G$619</f>
        <v>0</v>
      </c>
      <c r="H630" s="319">
        <f>IF(H$621&gt;=$C630,MIN(-(SUM($F630:G630)-$E630),($E630*(1-$D$623))*$D630),0)*H$619</f>
        <v>0</v>
      </c>
      <c r="I630" s="319">
        <f>IF(I$621&gt;=$C630,MIN(-(SUM($F630:H630)-$E630),($E630*(1-$D$623))*$D630),0)*I$619</f>
        <v>0</v>
      </c>
      <c r="J630" s="319">
        <f>IF(J$621&gt;=$C630,MIN(-(SUM($F630:I630)-$E630),($E630*(1-$D$623))*$D630),0)*J$619</f>
        <v>0</v>
      </c>
      <c r="K630" s="319">
        <f>IF(K$621&gt;=$C630,MIN(-(SUM($F630:J630)-$E630),($E630*(1-$D$623))*$D630),0)*K$619</f>
        <v>71.382500000000007</v>
      </c>
      <c r="L630" s="319">
        <f>IF(L$621&gt;=$C630,MIN(-(SUM($F630:K630)-$E630),($E630*(1-$D$623))*$D630),0)*L$619</f>
        <v>71.382500000000007</v>
      </c>
      <c r="M630" s="319">
        <f>IF(M$621&gt;=$C630,MIN(-(SUM($F630:L630)-$E630),($E630*(1-$D$623))*$D630),0)*M$619</f>
        <v>71.382500000000007</v>
      </c>
      <c r="N630" s="319">
        <f>IF(N$621&gt;=$C630,MIN(-(SUM($F630:M630)-$E630),($E630*(1-$D$623))*$D630),0)*N$619</f>
        <v>71.382500000000007</v>
      </c>
      <c r="O630" s="319">
        <f>IF(O$621&gt;=$C630,MIN(-(SUM($F630:N630)-$E630),($E630*(1-$D$623))*$D630),0)*O$619</f>
        <v>71.382500000000007</v>
      </c>
      <c r="P630" s="319">
        <f>IF(P$621&gt;=$C630,MIN(-(SUM($F630:O630)-$E630),($E630*(1-$D$623))*$D630),0)*P$619</f>
        <v>71.382500000000007</v>
      </c>
      <c r="Q630" s="319">
        <f>IF(Q$621&gt;=$C630,MIN(-(SUM($F630:P630)-$E630),($E630*(1-$D$623))*$D630),0)*Q$619</f>
        <v>71.382500000000007</v>
      </c>
      <c r="R630" s="319">
        <f>IF(R$621&gt;=$C630,MIN(-(SUM($F630:Q630)-$E630),($E630*(1-$D$623))*$D630),0)*R$619</f>
        <v>71.382500000000007</v>
      </c>
      <c r="S630" s="319">
        <f>IF(S$621&gt;=$C630,MIN(-(SUM($F630:R630)-$E630),($E630*(1-$D$623))*$D630),0)*S$619</f>
        <v>71.382500000000007</v>
      </c>
      <c r="T630" s="319">
        <f>IF(T$621&gt;=$C630,MIN(-(SUM($F630:S630)-$E630),($E630*(1-$D$623))*$D630),0)*T$619</f>
        <v>71.382499999999936</v>
      </c>
      <c r="U630" s="319">
        <f>IF(U$621&gt;=$C630,MIN(-(SUM($F630:T630)-$E630),($E630*(1-$D$623))*$D630),0)*U$619</f>
        <v>0</v>
      </c>
      <c r="V630" s="319">
        <f>IF(V$621&gt;=$C630,MIN(-(SUM($F630:U630)-$E630),($E630*(1-$D$623))*$D630),0)*V$619</f>
        <v>0</v>
      </c>
      <c r="W630" s="319">
        <f>IF(W$621&gt;=$C630,MIN(-(SUM($F630:V630)-$E630),($E630*(1-$D$623))*$D630),0)*W$619</f>
        <v>0</v>
      </c>
      <c r="X630" s="319">
        <f>IF(X$621&gt;=$C630,MIN(-(SUM($F630:W630)-$E630),($E630*(1-$D$623))*$D630),0)*X$619</f>
        <v>0</v>
      </c>
      <c r="Y630" s="319">
        <f>IF(Y$621&gt;=$C630,MIN(-(SUM($F630:X630)-$E630),($E630*(1-$D$623))*$D630),0)*Y$619</f>
        <v>0</v>
      </c>
      <c r="Z630" s="319">
        <f>IF(Z$621&gt;=$C630,MIN(-(SUM($F630:Y630)-$E630),($E630*(1-$D$623))*$D630),0)*Z$619</f>
        <v>0</v>
      </c>
      <c r="AA630" s="319">
        <f>IF(AA$621&gt;=$C630,MIN(-(SUM($F630:Z630)-$E630),($E630*(1-$D$623))*$D630),0)*AA$619</f>
        <v>0</v>
      </c>
      <c r="AB630" s="319">
        <f>IF(AB$621&gt;=$C630,MIN(-(SUM($F630:AA630)-$E630),($E630*(1-$D$623))*$D630),0)*AB$619</f>
        <v>0</v>
      </c>
      <c r="AC630" s="319">
        <f>IF(AC$621&gt;=$C630,MIN(-(SUM($F630:AB630)-$E630),($E630*(1-$D$623))*$D630),0)*AC$619</f>
        <v>0</v>
      </c>
      <c r="AD630" s="319">
        <f>IF(AD$621&gt;=$C630,MIN(-(SUM($F630:AC630)-$E630),($E630*(1-$D$623))*$D630),0)*AD$619</f>
        <v>0</v>
      </c>
      <c r="AE630" s="319">
        <f>IF(AE$621&gt;=$C630,MIN(-(SUM($F630:AD630)-$E630),($E630*(1-$D$623))*$D630),0)*AE$619</f>
        <v>0</v>
      </c>
      <c r="AF630" s="319">
        <f>IF(AF$621&gt;=$C630,MIN(-(SUM($F630:AE630)-$E630),($E630*(1-$D$623))*$D630),0)*AF$619</f>
        <v>0</v>
      </c>
      <c r="AG630" s="319">
        <f>IF(AG$621&gt;=$C630,MIN(-(SUM($F630:AF630)-$E630),($E630*(1-$D$623))*$D630),0)*AG$619</f>
        <v>0</v>
      </c>
      <c r="AH630" s="319">
        <f>IF(AH$621&gt;=$C630,MIN(-(SUM($F630:AG630)-$E630),($E630*(1-$D$623))*$D630),0)*AH$619</f>
        <v>0</v>
      </c>
      <c r="AI630" s="319">
        <f>IF(AI$621&gt;=$C630,MIN(-(SUM($F630:AH630)-$E630),($E630*(1-$D$623))*$D630),0)*AI$619</f>
        <v>0</v>
      </c>
      <c r="AJ630" s="319">
        <f>IF(AJ$621&gt;=$C630,MIN(-(SUM($F630:AI630)-$E630),($E630*(1-$D$623))*$D630),0)*AJ$619</f>
        <v>0</v>
      </c>
      <c r="AK630" s="319">
        <f>IF(AK$621&gt;=$C630,MIN(-(SUM($F630:AJ630)-$E630),($E630*(1-$D$623))*$D630),0)*AK$619</f>
        <v>0</v>
      </c>
      <c r="AL630" s="319">
        <f>IF(AL$621&gt;=$C630,MIN(-(SUM($F630:AK630)-$E630),($E630*(1-$D$623))*$D630),0)*AL$619</f>
        <v>0</v>
      </c>
      <c r="AM630" s="319">
        <f>IF(AM$621&gt;=$C630,MIN(-(SUM($F630:AL630)-$E630),($E630*(1-$D$623))*$D630),0)*AM$619</f>
        <v>0</v>
      </c>
      <c r="AN630" s="319">
        <f>IF(AN$621&gt;=$C630,MIN(-(SUM($F630:AM630)-$E630),($E630*(1-$D$623))*$D630),0)*AN$619</f>
        <v>0</v>
      </c>
    </row>
    <row r="631" spans="3:40" outlineLevel="4">
      <c r="C631">
        <v>6</v>
      </c>
      <c r="D631">
        <f>Inputs!$D$262</f>
        <v>0.1</v>
      </c>
      <c r="E631" s="319">
        <v>12157.53772166027</v>
      </c>
      <c r="F631" s="319">
        <f>E631*D623</f>
        <v>0</v>
      </c>
      <c r="G631" s="319">
        <f>IF(G$621&gt;=$C631,MIN(-(SUM(F631:$F631)-$E631),($E631*(1-$D$623))*$D631),0)*G$619</f>
        <v>0</v>
      </c>
      <c r="H631" s="319">
        <f>IF(H$621&gt;=$C631,MIN(-(SUM($F631:G631)-$E631),($E631*(1-$D$623))*$D631),0)*H$619</f>
        <v>0</v>
      </c>
      <c r="I631" s="319">
        <f>IF(I$621&gt;=$C631,MIN(-(SUM($F631:H631)-$E631),($E631*(1-$D$623))*$D631),0)*I$619</f>
        <v>0</v>
      </c>
      <c r="J631" s="319">
        <f>IF(J$621&gt;=$C631,MIN(-(SUM($F631:I631)-$E631),($E631*(1-$D$623))*$D631),0)*J$619</f>
        <v>0</v>
      </c>
      <c r="K631" s="319">
        <f>IF(K$621&gt;=$C631,MIN(-(SUM($F631:J631)-$E631),($E631*(1-$D$623))*$D631),0)*K$619</f>
        <v>0</v>
      </c>
      <c r="L631" s="319">
        <f>IF(L$621&gt;=$C631,MIN(-(SUM($F631:K631)-$E631),($E631*(1-$D$623))*$D631),0)*L$619</f>
        <v>1215.7537721660271</v>
      </c>
      <c r="M631" s="319">
        <f>IF(M$621&gt;=$C631,MIN(-(SUM($F631:L631)-$E631),($E631*(1-$D$623))*$D631),0)*M$619</f>
        <v>1215.7537721660271</v>
      </c>
      <c r="N631" s="319">
        <f>IF(N$621&gt;=$C631,MIN(-(SUM($F631:M631)-$E631),($E631*(1-$D$623))*$D631),0)*N$619</f>
        <v>1215.7537721660271</v>
      </c>
      <c r="O631" s="319">
        <f>IF(O$621&gt;=$C631,MIN(-(SUM($F631:N631)-$E631),($E631*(1-$D$623))*$D631),0)*O$619</f>
        <v>1215.7537721660271</v>
      </c>
      <c r="P631" s="319">
        <f>IF(P$621&gt;=$C631,MIN(-(SUM($F631:O631)-$E631),($E631*(1-$D$623))*$D631),0)*P$619</f>
        <v>1215.7537721660271</v>
      </c>
      <c r="Q631" s="319">
        <f>IF(Q$621&gt;=$C631,MIN(-(SUM($F631:P631)-$E631),($E631*(1-$D$623))*$D631),0)*Q$619</f>
        <v>1215.7537721660271</v>
      </c>
      <c r="R631" s="319">
        <f>IF(R$621&gt;=$C631,MIN(-(SUM($F631:Q631)-$E631),($E631*(1-$D$623))*$D631),0)*R$619</f>
        <v>1215.7537721660271</v>
      </c>
      <c r="S631" s="319">
        <f>IF(S$621&gt;=$C631,MIN(-(SUM($F631:R631)-$E631),($E631*(1-$D$623))*$D631),0)*S$619</f>
        <v>1215.7537721660271</v>
      </c>
      <c r="T631" s="319">
        <f>IF(T$621&gt;=$C631,MIN(-(SUM($F631:S631)-$E631),($E631*(1-$D$623))*$D631),0)*T$619</f>
        <v>1215.7537721660271</v>
      </c>
      <c r="U631" s="319">
        <f>IF(U$621&gt;=$C631,MIN(-(SUM($F631:T631)-$E631),($E631*(1-$D$623))*$D631),0)*U$619</f>
        <v>1215.7537721660265</v>
      </c>
      <c r="V631" s="319">
        <f>IF(V$621&gt;=$C631,MIN(-(SUM($F631:U631)-$E631),($E631*(1-$D$623))*$D631),0)*V$619</f>
        <v>0</v>
      </c>
      <c r="W631" s="319">
        <f>IF(W$621&gt;=$C631,MIN(-(SUM($F631:V631)-$E631),($E631*(1-$D$623))*$D631),0)*W$619</f>
        <v>0</v>
      </c>
      <c r="X631" s="319">
        <f>IF(X$621&gt;=$C631,MIN(-(SUM($F631:W631)-$E631),($E631*(1-$D$623))*$D631),0)*X$619</f>
        <v>0</v>
      </c>
      <c r="Y631" s="319">
        <f>IF(Y$621&gt;=$C631,MIN(-(SUM($F631:X631)-$E631),($E631*(1-$D$623))*$D631),0)*Y$619</f>
        <v>0</v>
      </c>
      <c r="Z631" s="319">
        <f>IF(Z$621&gt;=$C631,MIN(-(SUM($F631:Y631)-$E631),($E631*(1-$D$623))*$D631),0)*Z$619</f>
        <v>0</v>
      </c>
      <c r="AA631" s="319">
        <f>IF(AA$621&gt;=$C631,MIN(-(SUM($F631:Z631)-$E631),($E631*(1-$D$623))*$D631),0)*AA$619</f>
        <v>0</v>
      </c>
      <c r="AB631" s="319">
        <f>IF(AB$621&gt;=$C631,MIN(-(SUM($F631:AA631)-$E631),($E631*(1-$D$623))*$D631),0)*AB$619</f>
        <v>0</v>
      </c>
      <c r="AC631" s="319">
        <f>IF(AC$621&gt;=$C631,MIN(-(SUM($F631:AB631)-$E631),($E631*(1-$D$623))*$D631),0)*AC$619</f>
        <v>0</v>
      </c>
      <c r="AD631" s="319">
        <f>IF(AD$621&gt;=$C631,MIN(-(SUM($F631:AC631)-$E631),($E631*(1-$D$623))*$D631),0)*AD$619</f>
        <v>0</v>
      </c>
      <c r="AE631" s="319">
        <f>IF(AE$621&gt;=$C631,MIN(-(SUM($F631:AD631)-$E631),($E631*(1-$D$623))*$D631),0)*AE$619</f>
        <v>0</v>
      </c>
      <c r="AF631" s="319">
        <f>IF(AF$621&gt;=$C631,MIN(-(SUM($F631:AE631)-$E631),($E631*(1-$D$623))*$D631),0)*AF$619</f>
        <v>0</v>
      </c>
      <c r="AG631" s="319">
        <f>IF(AG$621&gt;=$C631,MIN(-(SUM($F631:AF631)-$E631),($E631*(1-$D$623))*$D631),0)*AG$619</f>
        <v>0</v>
      </c>
      <c r="AH631" s="319">
        <f>IF(AH$621&gt;=$C631,MIN(-(SUM($F631:AG631)-$E631),($E631*(1-$D$623))*$D631),0)*AH$619</f>
        <v>0</v>
      </c>
      <c r="AI631" s="319">
        <f>IF(AI$621&gt;=$C631,MIN(-(SUM($F631:AH631)-$E631),($E631*(1-$D$623))*$D631),0)*AI$619</f>
        <v>0</v>
      </c>
      <c r="AJ631" s="319">
        <f>IF(AJ$621&gt;=$C631,MIN(-(SUM($F631:AI631)-$E631),($E631*(1-$D$623))*$D631),0)*AJ$619</f>
        <v>0</v>
      </c>
      <c r="AK631" s="319">
        <f>IF(AK$621&gt;=$C631,MIN(-(SUM($F631:AJ631)-$E631),($E631*(1-$D$623))*$D631),0)*AK$619</f>
        <v>0</v>
      </c>
      <c r="AL631" s="319">
        <f>IF(AL$621&gt;=$C631,MIN(-(SUM($F631:AK631)-$E631),($E631*(1-$D$623))*$D631),0)*AL$619</f>
        <v>0</v>
      </c>
      <c r="AM631" s="319">
        <f>IF(AM$621&gt;=$C631,MIN(-(SUM($F631:AL631)-$E631),($E631*(1-$D$623))*$D631),0)*AM$619</f>
        <v>0</v>
      </c>
      <c r="AN631" s="319">
        <f>IF(AN$621&gt;=$C631,MIN(-(SUM($F631:AM631)-$E631),($E631*(1-$D$623))*$D631),0)*AN$619</f>
        <v>0</v>
      </c>
    </row>
    <row r="632" spans="3:40" outlineLevel="4">
      <c r="C632">
        <v>7</v>
      </c>
      <c r="D632">
        <f>Inputs!$D$262</f>
        <v>0.1</v>
      </c>
      <c r="E632" s="319">
        <v>0</v>
      </c>
      <c r="F632" s="319">
        <f>E632*D623</f>
        <v>0</v>
      </c>
      <c r="G632" s="319">
        <f>IF(G$621&gt;=$C632,MIN(-(SUM(F632:$F632)-$E632),($E632*(1-$D$623))*$D632),0)*G$619</f>
        <v>0</v>
      </c>
      <c r="H632" s="319">
        <f>IF(H$621&gt;=$C632,MIN(-(SUM($F632:G632)-$E632),($E632*(1-$D$623))*$D632),0)*H$619</f>
        <v>0</v>
      </c>
      <c r="I632" s="319">
        <f>IF(I$621&gt;=$C632,MIN(-(SUM($F632:H632)-$E632),($E632*(1-$D$623))*$D632),0)*I$619</f>
        <v>0</v>
      </c>
      <c r="J632" s="319">
        <f>IF(J$621&gt;=$C632,MIN(-(SUM($F632:I632)-$E632),($E632*(1-$D$623))*$D632),0)*J$619</f>
        <v>0</v>
      </c>
      <c r="K632" s="319">
        <f>IF(K$621&gt;=$C632,MIN(-(SUM($F632:J632)-$E632),($E632*(1-$D$623))*$D632),0)*K$619</f>
        <v>0</v>
      </c>
      <c r="L632" s="319">
        <f>IF(L$621&gt;=$C632,MIN(-(SUM($F632:K632)-$E632),($E632*(1-$D$623))*$D632),0)*L$619</f>
        <v>0</v>
      </c>
      <c r="M632" s="319">
        <f>IF(M$621&gt;=$C632,MIN(-(SUM($F632:L632)-$E632),($E632*(1-$D$623))*$D632),0)*M$619</f>
        <v>0</v>
      </c>
      <c r="N632" s="319">
        <f>IF(N$621&gt;=$C632,MIN(-(SUM($F632:M632)-$E632),($E632*(1-$D$623))*$D632),0)*N$619</f>
        <v>0</v>
      </c>
      <c r="O632" s="319">
        <f>IF(O$621&gt;=$C632,MIN(-(SUM($F632:N632)-$E632),($E632*(1-$D$623))*$D632),0)*O$619</f>
        <v>0</v>
      </c>
      <c r="P632" s="319">
        <f>IF(P$621&gt;=$C632,MIN(-(SUM($F632:O632)-$E632),($E632*(1-$D$623))*$D632),0)*P$619</f>
        <v>0</v>
      </c>
      <c r="Q632" s="319">
        <f>IF(Q$621&gt;=$C632,MIN(-(SUM($F632:P632)-$E632),($E632*(1-$D$623))*$D632),0)*Q$619</f>
        <v>0</v>
      </c>
      <c r="R632" s="319">
        <f>IF(R$621&gt;=$C632,MIN(-(SUM($F632:Q632)-$E632),($E632*(1-$D$623))*$D632),0)*R$619</f>
        <v>0</v>
      </c>
      <c r="S632" s="319">
        <f>IF(S$621&gt;=$C632,MIN(-(SUM($F632:R632)-$E632),($E632*(1-$D$623))*$D632),0)*S$619</f>
        <v>0</v>
      </c>
      <c r="T632" s="319">
        <f>IF(T$621&gt;=$C632,MIN(-(SUM($F632:S632)-$E632),($E632*(1-$D$623))*$D632),0)*T$619</f>
        <v>0</v>
      </c>
      <c r="U632" s="319">
        <f>IF(U$621&gt;=$C632,MIN(-(SUM($F632:T632)-$E632),($E632*(1-$D$623))*$D632),0)*U$619</f>
        <v>0</v>
      </c>
      <c r="V632" s="319">
        <f>IF(V$621&gt;=$C632,MIN(-(SUM($F632:U632)-$E632),($E632*(1-$D$623))*$D632),0)*V$619</f>
        <v>0</v>
      </c>
      <c r="W632" s="319">
        <f>IF(W$621&gt;=$C632,MIN(-(SUM($F632:V632)-$E632),($E632*(1-$D$623))*$D632),0)*W$619</f>
        <v>0</v>
      </c>
      <c r="X632" s="319">
        <f>IF(X$621&gt;=$C632,MIN(-(SUM($F632:W632)-$E632),($E632*(1-$D$623))*$D632),0)*X$619</f>
        <v>0</v>
      </c>
      <c r="Y632" s="319">
        <f>IF(Y$621&gt;=$C632,MIN(-(SUM($F632:X632)-$E632),($E632*(1-$D$623))*$D632),0)*Y$619</f>
        <v>0</v>
      </c>
      <c r="Z632" s="319">
        <f>IF(Z$621&gt;=$C632,MIN(-(SUM($F632:Y632)-$E632),($E632*(1-$D$623))*$D632),0)*Z$619</f>
        <v>0</v>
      </c>
      <c r="AA632" s="319">
        <f>IF(AA$621&gt;=$C632,MIN(-(SUM($F632:Z632)-$E632),($E632*(1-$D$623))*$D632),0)*AA$619</f>
        <v>0</v>
      </c>
      <c r="AB632" s="319">
        <f>IF(AB$621&gt;=$C632,MIN(-(SUM($F632:AA632)-$E632),($E632*(1-$D$623))*$D632),0)*AB$619</f>
        <v>0</v>
      </c>
      <c r="AC632" s="319">
        <f>IF(AC$621&gt;=$C632,MIN(-(SUM($F632:AB632)-$E632),($E632*(1-$D$623))*$D632),0)*AC$619</f>
        <v>0</v>
      </c>
      <c r="AD632" s="319">
        <f>IF(AD$621&gt;=$C632,MIN(-(SUM($F632:AC632)-$E632),($E632*(1-$D$623))*$D632),0)*AD$619</f>
        <v>0</v>
      </c>
      <c r="AE632" s="319">
        <f>IF(AE$621&gt;=$C632,MIN(-(SUM($F632:AD632)-$E632),($E632*(1-$D$623))*$D632),0)*AE$619</f>
        <v>0</v>
      </c>
      <c r="AF632" s="319">
        <f>IF(AF$621&gt;=$C632,MIN(-(SUM($F632:AE632)-$E632),($E632*(1-$D$623))*$D632),0)*AF$619</f>
        <v>0</v>
      </c>
      <c r="AG632" s="319">
        <f>IF(AG$621&gt;=$C632,MIN(-(SUM($F632:AF632)-$E632),($E632*(1-$D$623))*$D632),0)*AG$619</f>
        <v>0</v>
      </c>
      <c r="AH632" s="319">
        <f>IF(AH$621&gt;=$C632,MIN(-(SUM($F632:AG632)-$E632),($E632*(1-$D$623))*$D632),0)*AH$619</f>
        <v>0</v>
      </c>
      <c r="AI632" s="319">
        <f>IF(AI$621&gt;=$C632,MIN(-(SUM($F632:AH632)-$E632),($E632*(1-$D$623))*$D632),0)*AI$619</f>
        <v>0</v>
      </c>
      <c r="AJ632" s="319">
        <f>IF(AJ$621&gt;=$C632,MIN(-(SUM($F632:AI632)-$E632),($E632*(1-$D$623))*$D632),0)*AJ$619</f>
        <v>0</v>
      </c>
      <c r="AK632" s="319">
        <f>IF(AK$621&gt;=$C632,MIN(-(SUM($F632:AJ632)-$E632),($E632*(1-$D$623))*$D632),0)*AK$619</f>
        <v>0</v>
      </c>
      <c r="AL632" s="319">
        <f>IF(AL$621&gt;=$C632,MIN(-(SUM($F632:AK632)-$E632),($E632*(1-$D$623))*$D632),0)*AL$619</f>
        <v>0</v>
      </c>
      <c r="AM632" s="319">
        <f>IF(AM$621&gt;=$C632,MIN(-(SUM($F632:AL632)-$E632),($E632*(1-$D$623))*$D632),0)*AM$619</f>
        <v>0</v>
      </c>
      <c r="AN632" s="319">
        <f>IF(AN$621&gt;=$C632,MIN(-(SUM($F632:AM632)-$E632),($E632*(1-$D$623))*$D632),0)*AN$619</f>
        <v>0</v>
      </c>
    </row>
    <row r="633" spans="3:40" outlineLevel="4">
      <c r="C633">
        <v>8</v>
      </c>
      <c r="D633">
        <f>Inputs!$D$262</f>
        <v>0.1</v>
      </c>
      <c r="E633" s="319">
        <v>67.21584</v>
      </c>
      <c r="F633" s="319">
        <f>E633*D623</f>
        <v>0</v>
      </c>
      <c r="G633" s="319">
        <f>IF(G$621&gt;=$C633,MIN(-(SUM(F633:$F633)-$E633),($E633*(1-$D$623))*$D633),0)*G$619</f>
        <v>0</v>
      </c>
      <c r="H633" s="319">
        <f>IF(H$621&gt;=$C633,MIN(-(SUM($F633:G633)-$E633),($E633*(1-$D$623))*$D633),0)*H$619</f>
        <v>0</v>
      </c>
      <c r="I633" s="319">
        <f>IF(I$621&gt;=$C633,MIN(-(SUM($F633:H633)-$E633),($E633*(1-$D$623))*$D633),0)*I$619</f>
        <v>0</v>
      </c>
      <c r="J633" s="319">
        <f>IF(J$621&gt;=$C633,MIN(-(SUM($F633:I633)-$E633),($E633*(1-$D$623))*$D633),0)*J$619</f>
        <v>0</v>
      </c>
      <c r="K633" s="319">
        <f>IF(K$621&gt;=$C633,MIN(-(SUM($F633:J633)-$E633),($E633*(1-$D$623))*$D633),0)*K$619</f>
        <v>0</v>
      </c>
      <c r="L633" s="319">
        <f>IF(L$621&gt;=$C633,MIN(-(SUM($F633:K633)-$E633),($E633*(1-$D$623))*$D633),0)*L$619</f>
        <v>0</v>
      </c>
      <c r="M633" s="319">
        <f>IF(M$621&gt;=$C633,MIN(-(SUM($F633:L633)-$E633),($E633*(1-$D$623))*$D633),0)*M$619</f>
        <v>0</v>
      </c>
      <c r="N633" s="319">
        <f>IF(N$621&gt;=$C633,MIN(-(SUM($F633:M633)-$E633),($E633*(1-$D$623))*$D633),0)*N$619</f>
        <v>6.721584</v>
      </c>
      <c r="O633" s="319">
        <f>IF(O$621&gt;=$C633,MIN(-(SUM($F633:N633)-$E633),($E633*(1-$D$623))*$D633),0)*O$619</f>
        <v>6.721584</v>
      </c>
      <c r="P633" s="319">
        <f>IF(P$621&gt;=$C633,MIN(-(SUM($F633:O633)-$E633),($E633*(1-$D$623))*$D633),0)*P$619</f>
        <v>6.721584</v>
      </c>
      <c r="Q633" s="319">
        <f>IF(Q$621&gt;=$C633,MIN(-(SUM($F633:P633)-$E633),($E633*(1-$D$623))*$D633),0)*Q$619</f>
        <v>6.721584</v>
      </c>
      <c r="R633" s="319">
        <f>IF(R$621&gt;=$C633,MIN(-(SUM($F633:Q633)-$E633),($E633*(1-$D$623))*$D633),0)*R$619</f>
        <v>6.721584</v>
      </c>
      <c r="S633" s="319">
        <f>IF(S$621&gt;=$C633,MIN(-(SUM($F633:R633)-$E633),($E633*(1-$D$623))*$D633),0)*S$619</f>
        <v>6.721584</v>
      </c>
      <c r="T633" s="319">
        <f>IF(T$621&gt;=$C633,MIN(-(SUM($F633:S633)-$E633),($E633*(1-$D$623))*$D633),0)*T$619</f>
        <v>6.721584</v>
      </c>
      <c r="U633" s="319">
        <f>IF(U$621&gt;=$C633,MIN(-(SUM($F633:T633)-$E633),($E633*(1-$D$623))*$D633),0)*U$619</f>
        <v>6.721584</v>
      </c>
      <c r="V633" s="319">
        <f>IF(V$621&gt;=$C633,MIN(-(SUM($F633:U633)-$E633),($E633*(1-$D$623))*$D633),0)*V$619</f>
        <v>6.721584</v>
      </c>
      <c r="W633" s="319">
        <f>IF(W$621&gt;=$C633,MIN(-(SUM($F633:V633)-$E633),($E633*(1-$D$623))*$D633),0)*W$619</f>
        <v>6.721584</v>
      </c>
      <c r="X633" s="319">
        <f>IF(X$621&gt;=$C633,MIN(-(SUM($F633:W633)-$E633),($E633*(1-$D$623))*$D633),0)*X$619</f>
        <v>0</v>
      </c>
      <c r="Y633" s="319">
        <f>IF(Y$621&gt;=$C633,MIN(-(SUM($F633:X633)-$E633),($E633*(1-$D$623))*$D633),0)*Y$619</f>
        <v>0</v>
      </c>
      <c r="Z633" s="319">
        <f>IF(Z$621&gt;=$C633,MIN(-(SUM($F633:Y633)-$E633),($E633*(1-$D$623))*$D633),0)*Z$619</f>
        <v>0</v>
      </c>
      <c r="AA633" s="319">
        <f>IF(AA$621&gt;=$C633,MIN(-(SUM($F633:Z633)-$E633),($E633*(1-$D$623))*$D633),0)*AA$619</f>
        <v>0</v>
      </c>
      <c r="AB633" s="319">
        <f>IF(AB$621&gt;=$C633,MIN(-(SUM($F633:AA633)-$E633),($E633*(1-$D$623))*$D633),0)*AB$619</f>
        <v>0</v>
      </c>
      <c r="AC633" s="319">
        <f>IF(AC$621&gt;=$C633,MIN(-(SUM($F633:AB633)-$E633),($E633*(1-$D$623))*$D633),0)*AC$619</f>
        <v>0</v>
      </c>
      <c r="AD633" s="319">
        <f>IF(AD$621&gt;=$C633,MIN(-(SUM($F633:AC633)-$E633),($E633*(1-$D$623))*$D633),0)*AD$619</f>
        <v>0</v>
      </c>
      <c r="AE633" s="319">
        <f>IF(AE$621&gt;=$C633,MIN(-(SUM($F633:AD633)-$E633),($E633*(1-$D$623))*$D633),0)*AE$619</f>
        <v>0</v>
      </c>
      <c r="AF633" s="319">
        <f>IF(AF$621&gt;=$C633,MIN(-(SUM($F633:AE633)-$E633),($E633*(1-$D$623))*$D633),0)*AF$619</f>
        <v>0</v>
      </c>
      <c r="AG633" s="319">
        <f>IF(AG$621&gt;=$C633,MIN(-(SUM($F633:AF633)-$E633),($E633*(1-$D$623))*$D633),0)*AG$619</f>
        <v>0</v>
      </c>
      <c r="AH633" s="319">
        <f>IF(AH$621&gt;=$C633,MIN(-(SUM($F633:AG633)-$E633),($E633*(1-$D$623))*$D633),0)*AH$619</f>
        <v>0</v>
      </c>
      <c r="AI633" s="319">
        <f>IF(AI$621&gt;=$C633,MIN(-(SUM($F633:AH633)-$E633),($E633*(1-$D$623))*$D633),0)*AI$619</f>
        <v>0</v>
      </c>
      <c r="AJ633" s="319">
        <f>IF(AJ$621&gt;=$C633,MIN(-(SUM($F633:AI633)-$E633),($E633*(1-$D$623))*$D633),0)*AJ$619</f>
        <v>0</v>
      </c>
      <c r="AK633" s="319">
        <f>IF(AK$621&gt;=$C633,MIN(-(SUM($F633:AJ633)-$E633),($E633*(1-$D$623))*$D633),0)*AK$619</f>
        <v>0</v>
      </c>
      <c r="AL633" s="319">
        <f>IF(AL$621&gt;=$C633,MIN(-(SUM($F633:AK633)-$E633),($E633*(1-$D$623))*$D633),0)*AL$619</f>
        <v>0</v>
      </c>
      <c r="AM633" s="319">
        <f>IF(AM$621&gt;=$C633,MIN(-(SUM($F633:AL633)-$E633),($E633*(1-$D$623))*$D633),0)*AM$619</f>
        <v>0</v>
      </c>
      <c r="AN633" s="319">
        <f>IF(AN$621&gt;=$C633,MIN(-(SUM($F633:AM633)-$E633),($E633*(1-$D$623))*$D633),0)*AN$619</f>
        <v>0</v>
      </c>
    </row>
    <row r="634" spans="3:40" outlineLevel="4">
      <c r="C634">
        <v>9</v>
      </c>
      <c r="D634">
        <f>Inputs!$D$262</f>
        <v>0.1</v>
      </c>
      <c r="E634" s="319">
        <v>0</v>
      </c>
      <c r="F634" s="319">
        <f>E634*D623</f>
        <v>0</v>
      </c>
      <c r="G634" s="319">
        <f>IF(G$621&gt;=$C634,MIN(-(SUM(F634:$F634)-$E634),($E634*(1-$D$623))*$D634),0)*G$619</f>
        <v>0</v>
      </c>
      <c r="H634" s="319">
        <f>IF(H$621&gt;=$C634,MIN(-(SUM($F634:G634)-$E634),($E634*(1-$D$623))*$D634),0)*H$619</f>
        <v>0</v>
      </c>
      <c r="I634" s="319">
        <f>IF(I$621&gt;=$C634,MIN(-(SUM($F634:H634)-$E634),($E634*(1-$D$623))*$D634),0)*I$619</f>
        <v>0</v>
      </c>
      <c r="J634" s="319">
        <f>IF(J$621&gt;=$C634,MIN(-(SUM($F634:I634)-$E634),($E634*(1-$D$623))*$D634),0)*J$619</f>
        <v>0</v>
      </c>
      <c r="K634" s="319">
        <f>IF(K$621&gt;=$C634,MIN(-(SUM($F634:J634)-$E634),($E634*(1-$D$623))*$D634),0)*K$619</f>
        <v>0</v>
      </c>
      <c r="L634" s="319">
        <f>IF(L$621&gt;=$C634,MIN(-(SUM($F634:K634)-$E634),($E634*(1-$D$623))*$D634),0)*L$619</f>
        <v>0</v>
      </c>
      <c r="M634" s="319">
        <f>IF(M$621&gt;=$C634,MIN(-(SUM($F634:L634)-$E634),($E634*(1-$D$623))*$D634),0)*M$619</f>
        <v>0</v>
      </c>
      <c r="N634" s="319">
        <f>IF(N$621&gt;=$C634,MIN(-(SUM($F634:M634)-$E634),($E634*(1-$D$623))*$D634),0)*N$619</f>
        <v>0</v>
      </c>
      <c r="O634" s="319">
        <f>IF(O$621&gt;=$C634,MIN(-(SUM($F634:N634)-$E634),($E634*(1-$D$623))*$D634),0)*O$619</f>
        <v>0</v>
      </c>
      <c r="P634" s="319">
        <f>IF(P$621&gt;=$C634,MIN(-(SUM($F634:O634)-$E634),($E634*(1-$D$623))*$D634),0)*P$619</f>
        <v>0</v>
      </c>
      <c r="Q634" s="319">
        <f>IF(Q$621&gt;=$C634,MIN(-(SUM($F634:P634)-$E634),($E634*(1-$D$623))*$D634),0)*Q$619</f>
        <v>0</v>
      </c>
      <c r="R634" s="319">
        <f>IF(R$621&gt;=$C634,MIN(-(SUM($F634:Q634)-$E634),($E634*(1-$D$623))*$D634),0)*R$619</f>
        <v>0</v>
      </c>
      <c r="S634" s="319">
        <f>IF(S$621&gt;=$C634,MIN(-(SUM($F634:R634)-$E634),($E634*(1-$D$623))*$D634),0)*S$619</f>
        <v>0</v>
      </c>
      <c r="T634" s="319">
        <f>IF(T$621&gt;=$C634,MIN(-(SUM($F634:S634)-$E634),($E634*(1-$D$623))*$D634),0)*T$619</f>
        <v>0</v>
      </c>
      <c r="U634" s="319">
        <f>IF(U$621&gt;=$C634,MIN(-(SUM($F634:T634)-$E634),($E634*(1-$D$623))*$D634),0)*U$619</f>
        <v>0</v>
      </c>
      <c r="V634" s="319">
        <f>IF(V$621&gt;=$C634,MIN(-(SUM($F634:U634)-$E634),($E634*(1-$D$623))*$D634),0)*V$619</f>
        <v>0</v>
      </c>
      <c r="W634" s="319">
        <f>IF(W$621&gt;=$C634,MIN(-(SUM($F634:V634)-$E634),($E634*(1-$D$623))*$D634),0)*W$619</f>
        <v>0</v>
      </c>
      <c r="X634" s="319">
        <f>IF(X$621&gt;=$C634,MIN(-(SUM($F634:W634)-$E634),($E634*(1-$D$623))*$D634),0)*X$619</f>
        <v>0</v>
      </c>
      <c r="Y634" s="319">
        <f>IF(Y$621&gt;=$C634,MIN(-(SUM($F634:X634)-$E634),($E634*(1-$D$623))*$D634),0)*Y$619</f>
        <v>0</v>
      </c>
      <c r="Z634" s="319">
        <f>IF(Z$621&gt;=$C634,MIN(-(SUM($F634:Y634)-$E634),($E634*(1-$D$623))*$D634),0)*Z$619</f>
        <v>0</v>
      </c>
      <c r="AA634" s="319">
        <f>IF(AA$621&gt;=$C634,MIN(-(SUM($F634:Z634)-$E634),($E634*(1-$D$623))*$D634),0)*AA$619</f>
        <v>0</v>
      </c>
      <c r="AB634" s="319">
        <f>IF(AB$621&gt;=$C634,MIN(-(SUM($F634:AA634)-$E634),($E634*(1-$D$623))*$D634),0)*AB$619</f>
        <v>0</v>
      </c>
      <c r="AC634" s="319">
        <f>IF(AC$621&gt;=$C634,MIN(-(SUM($F634:AB634)-$E634),($E634*(1-$D$623))*$D634),0)*AC$619</f>
        <v>0</v>
      </c>
      <c r="AD634" s="319">
        <f>IF(AD$621&gt;=$C634,MIN(-(SUM($F634:AC634)-$E634),($E634*(1-$D$623))*$D634),0)*AD$619</f>
        <v>0</v>
      </c>
      <c r="AE634" s="319">
        <f>IF(AE$621&gt;=$C634,MIN(-(SUM($F634:AD634)-$E634),($E634*(1-$D$623))*$D634),0)*AE$619</f>
        <v>0</v>
      </c>
      <c r="AF634" s="319">
        <f>IF(AF$621&gt;=$C634,MIN(-(SUM($F634:AE634)-$E634),($E634*(1-$D$623))*$D634),0)*AF$619</f>
        <v>0</v>
      </c>
      <c r="AG634" s="319">
        <f>IF(AG$621&gt;=$C634,MIN(-(SUM($F634:AF634)-$E634),($E634*(1-$D$623))*$D634),0)*AG$619</f>
        <v>0</v>
      </c>
      <c r="AH634" s="319">
        <f>IF(AH$621&gt;=$C634,MIN(-(SUM($F634:AG634)-$E634),($E634*(1-$D$623))*$D634),0)*AH$619</f>
        <v>0</v>
      </c>
      <c r="AI634" s="319">
        <f>IF(AI$621&gt;=$C634,MIN(-(SUM($F634:AH634)-$E634),($E634*(1-$D$623))*$D634),0)*AI$619</f>
        <v>0</v>
      </c>
      <c r="AJ634" s="319">
        <f>IF(AJ$621&gt;=$C634,MIN(-(SUM($F634:AI634)-$E634),($E634*(1-$D$623))*$D634),0)*AJ$619</f>
        <v>0</v>
      </c>
      <c r="AK634" s="319">
        <f>IF(AK$621&gt;=$C634,MIN(-(SUM($F634:AJ634)-$E634),($E634*(1-$D$623))*$D634),0)*AK$619</f>
        <v>0</v>
      </c>
      <c r="AL634" s="319">
        <f>IF(AL$621&gt;=$C634,MIN(-(SUM($F634:AK634)-$E634),($E634*(1-$D$623))*$D634),0)*AL$619</f>
        <v>0</v>
      </c>
      <c r="AM634" s="319">
        <f>IF(AM$621&gt;=$C634,MIN(-(SUM($F634:AL634)-$E634),($E634*(1-$D$623))*$D634),0)*AM$619</f>
        <v>0</v>
      </c>
      <c r="AN634" s="319">
        <f>IF(AN$621&gt;=$C634,MIN(-(SUM($F634:AM634)-$E634),($E634*(1-$D$623))*$D634),0)*AN$619</f>
        <v>0</v>
      </c>
    </row>
    <row r="635" spans="3:40" outlineLevel="4">
      <c r="C635">
        <v>10</v>
      </c>
      <c r="D635">
        <f>Inputs!$D$262</f>
        <v>0.1</v>
      </c>
      <c r="E635" s="319">
        <v>733.82500000000005</v>
      </c>
      <c r="F635" s="319">
        <f>E635*D623</f>
        <v>0</v>
      </c>
      <c r="G635" s="319">
        <f>IF(G$621&gt;=$C635,MIN(-(SUM(F635:$F635)-$E635),($E635*(1-$D$623))*$D635),0)*G$619</f>
        <v>0</v>
      </c>
      <c r="H635" s="319">
        <f>IF(H$621&gt;=$C635,MIN(-(SUM($F635:G635)-$E635),($E635*(1-$D$623))*$D635),0)*H$619</f>
        <v>0</v>
      </c>
      <c r="I635" s="319">
        <f>IF(I$621&gt;=$C635,MIN(-(SUM($F635:H635)-$E635),($E635*(1-$D$623))*$D635),0)*I$619</f>
        <v>0</v>
      </c>
      <c r="J635" s="319">
        <f>IF(J$621&gt;=$C635,MIN(-(SUM($F635:I635)-$E635),($E635*(1-$D$623))*$D635),0)*J$619</f>
        <v>0</v>
      </c>
      <c r="K635" s="319">
        <f>IF(K$621&gt;=$C635,MIN(-(SUM($F635:J635)-$E635),($E635*(1-$D$623))*$D635),0)*K$619</f>
        <v>0</v>
      </c>
      <c r="L635" s="319">
        <f>IF(L$621&gt;=$C635,MIN(-(SUM($F635:K635)-$E635),($E635*(1-$D$623))*$D635),0)*L$619</f>
        <v>0</v>
      </c>
      <c r="M635" s="319">
        <f>IF(M$621&gt;=$C635,MIN(-(SUM($F635:L635)-$E635),($E635*(1-$D$623))*$D635),0)*M$619</f>
        <v>0</v>
      </c>
      <c r="N635" s="319">
        <f>IF(N$621&gt;=$C635,MIN(-(SUM($F635:M635)-$E635),($E635*(1-$D$623))*$D635),0)*N$619</f>
        <v>0</v>
      </c>
      <c r="O635" s="319">
        <f>IF(O$621&gt;=$C635,MIN(-(SUM($F635:N635)-$E635),($E635*(1-$D$623))*$D635),0)*O$619</f>
        <v>0</v>
      </c>
      <c r="P635" s="319">
        <f>IF(P$621&gt;=$C635,MIN(-(SUM($F635:O635)-$E635),($E635*(1-$D$623))*$D635),0)*P$619</f>
        <v>73.382500000000007</v>
      </c>
      <c r="Q635" s="319">
        <f>IF(Q$621&gt;=$C635,MIN(-(SUM($F635:P635)-$E635),($E635*(1-$D$623))*$D635),0)*Q$619</f>
        <v>73.382500000000007</v>
      </c>
      <c r="R635" s="319">
        <f>IF(R$621&gt;=$C635,MIN(-(SUM($F635:Q635)-$E635),($E635*(1-$D$623))*$D635),0)*R$619</f>
        <v>73.382500000000007</v>
      </c>
      <c r="S635" s="319">
        <f>IF(S$621&gt;=$C635,MIN(-(SUM($F635:R635)-$E635),($E635*(1-$D$623))*$D635),0)*S$619</f>
        <v>73.382500000000007</v>
      </c>
      <c r="T635" s="319">
        <f>IF(T$621&gt;=$C635,MIN(-(SUM($F635:S635)-$E635),($E635*(1-$D$623))*$D635),0)*T$619</f>
        <v>73.382500000000007</v>
      </c>
      <c r="U635" s="319">
        <f>IF(U$621&gt;=$C635,MIN(-(SUM($F635:T635)-$E635),($E635*(1-$D$623))*$D635),0)*U$619</f>
        <v>73.382500000000007</v>
      </c>
      <c r="V635" s="319">
        <f>IF(V$621&gt;=$C635,MIN(-(SUM($F635:U635)-$E635),($E635*(1-$D$623))*$D635),0)*V$619</f>
        <v>73.382500000000007</v>
      </c>
      <c r="W635" s="319">
        <f>IF(W$621&gt;=$C635,MIN(-(SUM($F635:V635)-$E635),($E635*(1-$D$623))*$D635),0)*W$619</f>
        <v>73.382500000000007</v>
      </c>
      <c r="X635" s="319">
        <f>IF(X$621&gt;=$C635,MIN(-(SUM($F635:W635)-$E635),($E635*(1-$D$623))*$D635),0)*X$619</f>
        <v>73.382500000000007</v>
      </c>
      <c r="Y635" s="319">
        <f>IF(Y$621&gt;=$C635,MIN(-(SUM($F635:X635)-$E635),($E635*(1-$D$623))*$D635),0)*Y$619</f>
        <v>73.382499999999936</v>
      </c>
      <c r="Z635" s="319">
        <f>IF(Z$621&gt;=$C635,MIN(-(SUM($F635:Y635)-$E635),($E635*(1-$D$623))*$D635),0)*Z$619</f>
        <v>0</v>
      </c>
      <c r="AA635" s="319">
        <f>IF(AA$621&gt;=$C635,MIN(-(SUM($F635:Z635)-$E635),($E635*(1-$D$623))*$D635),0)*AA$619</f>
        <v>0</v>
      </c>
      <c r="AB635" s="319">
        <f>IF(AB$621&gt;=$C635,MIN(-(SUM($F635:AA635)-$E635),($E635*(1-$D$623))*$D635),0)*AB$619</f>
        <v>0</v>
      </c>
      <c r="AC635" s="319">
        <f>IF(AC$621&gt;=$C635,MIN(-(SUM($F635:AB635)-$E635),($E635*(1-$D$623))*$D635),0)*AC$619</f>
        <v>0</v>
      </c>
      <c r="AD635" s="319">
        <f>IF(AD$621&gt;=$C635,MIN(-(SUM($F635:AC635)-$E635),($E635*(1-$D$623))*$D635),0)*AD$619</f>
        <v>0</v>
      </c>
      <c r="AE635" s="319">
        <f>IF(AE$621&gt;=$C635,MIN(-(SUM($F635:AD635)-$E635),($E635*(1-$D$623))*$D635),0)*AE$619</f>
        <v>0</v>
      </c>
      <c r="AF635" s="319">
        <f>IF(AF$621&gt;=$C635,MIN(-(SUM($F635:AE635)-$E635),($E635*(1-$D$623))*$D635),0)*AF$619</f>
        <v>0</v>
      </c>
      <c r="AG635" s="319">
        <f>IF(AG$621&gt;=$C635,MIN(-(SUM($F635:AF635)-$E635),($E635*(1-$D$623))*$D635),0)*AG$619</f>
        <v>0</v>
      </c>
      <c r="AH635" s="319">
        <f>IF(AH$621&gt;=$C635,MIN(-(SUM($F635:AG635)-$E635),($E635*(1-$D$623))*$D635),0)*AH$619</f>
        <v>0</v>
      </c>
      <c r="AI635" s="319">
        <f>IF(AI$621&gt;=$C635,MIN(-(SUM($F635:AH635)-$E635),($E635*(1-$D$623))*$D635),0)*AI$619</f>
        <v>0</v>
      </c>
      <c r="AJ635" s="319">
        <f>IF(AJ$621&gt;=$C635,MIN(-(SUM($F635:AI635)-$E635),($E635*(1-$D$623))*$D635),0)*AJ$619</f>
        <v>0</v>
      </c>
      <c r="AK635" s="319">
        <f>IF(AK$621&gt;=$C635,MIN(-(SUM($F635:AJ635)-$E635),($E635*(1-$D$623))*$D635),0)*AK$619</f>
        <v>0</v>
      </c>
      <c r="AL635" s="319">
        <f>IF(AL$621&gt;=$C635,MIN(-(SUM($F635:AK635)-$E635),($E635*(1-$D$623))*$D635),0)*AL$619</f>
        <v>0</v>
      </c>
      <c r="AM635" s="319">
        <f>IF(AM$621&gt;=$C635,MIN(-(SUM($F635:AL635)-$E635),($E635*(1-$D$623))*$D635),0)*AM$619</f>
        <v>0</v>
      </c>
      <c r="AN635" s="319">
        <f>IF(AN$621&gt;=$C635,MIN(-(SUM($F635:AM635)-$E635),($E635*(1-$D$623))*$D635),0)*AN$619</f>
        <v>0</v>
      </c>
    </row>
    <row r="636" spans="3:40" outlineLevel="4">
      <c r="C636">
        <v>11</v>
      </c>
      <c r="D636">
        <f>Inputs!$D$262</f>
        <v>0.1</v>
      </c>
      <c r="E636" s="319">
        <v>343.57817284435959</v>
      </c>
      <c r="F636" s="319">
        <f>E636*D623</f>
        <v>0</v>
      </c>
      <c r="G636" s="319">
        <f>IF(G$621&gt;=$C636,MIN(-(SUM(F636:$F636)-$E636),($E636*(1-$D$623))*$D636),0)*G$619</f>
        <v>0</v>
      </c>
      <c r="H636" s="319">
        <f>IF(H$621&gt;=$C636,MIN(-(SUM($F636:G636)-$E636),($E636*(1-$D$623))*$D636),0)*H$619</f>
        <v>0</v>
      </c>
      <c r="I636" s="319">
        <f>IF(I$621&gt;=$C636,MIN(-(SUM($F636:H636)-$E636),($E636*(1-$D$623))*$D636),0)*I$619</f>
        <v>0</v>
      </c>
      <c r="J636" s="319">
        <f>IF(J$621&gt;=$C636,MIN(-(SUM($F636:I636)-$E636),($E636*(1-$D$623))*$D636),0)*J$619</f>
        <v>0</v>
      </c>
      <c r="K636" s="319">
        <f>IF(K$621&gt;=$C636,MIN(-(SUM($F636:J636)-$E636),($E636*(1-$D$623))*$D636),0)*K$619</f>
        <v>0</v>
      </c>
      <c r="L636" s="319">
        <f>IF(L$621&gt;=$C636,MIN(-(SUM($F636:K636)-$E636),($E636*(1-$D$623))*$D636),0)*L$619</f>
        <v>0</v>
      </c>
      <c r="M636" s="319">
        <f>IF(M$621&gt;=$C636,MIN(-(SUM($F636:L636)-$E636),($E636*(1-$D$623))*$D636),0)*M$619</f>
        <v>0</v>
      </c>
      <c r="N636" s="319">
        <f>IF(N$621&gt;=$C636,MIN(-(SUM($F636:M636)-$E636),($E636*(1-$D$623))*$D636),0)*N$619</f>
        <v>0</v>
      </c>
      <c r="O636" s="319">
        <f>IF(O$621&gt;=$C636,MIN(-(SUM($F636:N636)-$E636),($E636*(1-$D$623))*$D636),0)*O$619</f>
        <v>0</v>
      </c>
      <c r="P636" s="319">
        <f>IF(P$621&gt;=$C636,MIN(-(SUM($F636:O636)-$E636),($E636*(1-$D$623))*$D636),0)*P$619</f>
        <v>0</v>
      </c>
      <c r="Q636" s="319">
        <f>IF(Q$621&gt;=$C636,MIN(-(SUM($F636:P636)-$E636),($E636*(1-$D$623))*$D636),0)*Q$619</f>
        <v>34.35781728443596</v>
      </c>
      <c r="R636" s="319">
        <f>IF(R$621&gt;=$C636,MIN(-(SUM($F636:Q636)-$E636),($E636*(1-$D$623))*$D636),0)*R$619</f>
        <v>34.35781728443596</v>
      </c>
      <c r="S636" s="319">
        <f>IF(S$621&gt;=$C636,MIN(-(SUM($F636:R636)-$E636),($E636*(1-$D$623))*$D636),0)*S$619</f>
        <v>34.35781728443596</v>
      </c>
      <c r="T636" s="319">
        <f>IF(T$621&gt;=$C636,MIN(-(SUM($F636:S636)-$E636),($E636*(1-$D$623))*$D636),0)*T$619</f>
        <v>34.35781728443596</v>
      </c>
      <c r="U636" s="319">
        <f>IF(U$621&gt;=$C636,MIN(-(SUM($F636:T636)-$E636),($E636*(1-$D$623))*$D636),0)*U$619</f>
        <v>34.35781728443596</v>
      </c>
      <c r="V636" s="319">
        <f>IF(V$621&gt;=$C636,MIN(-(SUM($F636:U636)-$E636),($E636*(1-$D$623))*$D636),0)*V$619</f>
        <v>34.35781728443596</v>
      </c>
      <c r="W636" s="319">
        <f>IF(W$621&gt;=$C636,MIN(-(SUM($F636:V636)-$E636),($E636*(1-$D$623))*$D636),0)*W$619</f>
        <v>34.35781728443596</v>
      </c>
      <c r="X636" s="319">
        <f>IF(X$621&gt;=$C636,MIN(-(SUM($F636:W636)-$E636),($E636*(1-$D$623))*$D636),0)*X$619</f>
        <v>34.35781728443596</v>
      </c>
      <c r="Y636" s="319">
        <f>IF(Y$621&gt;=$C636,MIN(-(SUM($F636:X636)-$E636),($E636*(1-$D$623))*$D636),0)*Y$619</f>
        <v>34.35781728443596</v>
      </c>
      <c r="Z636" s="319">
        <f>IF(Z$621&gt;=$C636,MIN(-(SUM($F636:Y636)-$E636),($E636*(1-$D$623))*$D636),0)*Z$619</f>
        <v>34.357817284435953</v>
      </c>
      <c r="AA636" s="319">
        <f>IF(AA$621&gt;=$C636,MIN(-(SUM($F636:Z636)-$E636),($E636*(1-$D$623))*$D636),0)*AA$619</f>
        <v>0</v>
      </c>
      <c r="AB636" s="319">
        <f>IF(AB$621&gt;=$C636,MIN(-(SUM($F636:AA636)-$E636),($E636*(1-$D$623))*$D636),0)*AB$619</f>
        <v>0</v>
      </c>
      <c r="AC636" s="319">
        <f>IF(AC$621&gt;=$C636,MIN(-(SUM($F636:AB636)-$E636),($E636*(1-$D$623))*$D636),0)*AC$619</f>
        <v>0</v>
      </c>
      <c r="AD636" s="319">
        <f>IF(AD$621&gt;=$C636,MIN(-(SUM($F636:AC636)-$E636),($E636*(1-$D$623))*$D636),0)*AD$619</f>
        <v>0</v>
      </c>
      <c r="AE636" s="319">
        <f>IF(AE$621&gt;=$C636,MIN(-(SUM($F636:AD636)-$E636),($E636*(1-$D$623))*$D636),0)*AE$619</f>
        <v>0</v>
      </c>
      <c r="AF636" s="319">
        <f>IF(AF$621&gt;=$C636,MIN(-(SUM($F636:AE636)-$E636),($E636*(1-$D$623))*$D636),0)*AF$619</f>
        <v>0</v>
      </c>
      <c r="AG636" s="319">
        <f>IF(AG$621&gt;=$C636,MIN(-(SUM($F636:AF636)-$E636),($E636*(1-$D$623))*$D636),0)*AG$619</f>
        <v>0</v>
      </c>
      <c r="AH636" s="319">
        <f>IF(AH$621&gt;=$C636,MIN(-(SUM($F636:AG636)-$E636),($E636*(1-$D$623))*$D636),0)*AH$619</f>
        <v>0</v>
      </c>
      <c r="AI636" s="319">
        <f>IF(AI$621&gt;=$C636,MIN(-(SUM($F636:AH636)-$E636),($E636*(1-$D$623))*$D636),0)*AI$619</f>
        <v>0</v>
      </c>
      <c r="AJ636" s="319">
        <f>IF(AJ$621&gt;=$C636,MIN(-(SUM($F636:AI636)-$E636),($E636*(1-$D$623))*$D636),0)*AJ$619</f>
        <v>0</v>
      </c>
      <c r="AK636" s="319">
        <f>IF(AK$621&gt;=$C636,MIN(-(SUM($F636:AJ636)-$E636),($E636*(1-$D$623))*$D636),0)*AK$619</f>
        <v>0</v>
      </c>
      <c r="AL636" s="319">
        <f>IF(AL$621&gt;=$C636,MIN(-(SUM($F636:AK636)-$E636),($E636*(1-$D$623))*$D636),0)*AL$619</f>
        <v>0</v>
      </c>
      <c r="AM636" s="319">
        <f>IF(AM$621&gt;=$C636,MIN(-(SUM($F636:AL636)-$E636),($E636*(1-$D$623))*$D636),0)*AM$619</f>
        <v>0</v>
      </c>
      <c r="AN636" s="319">
        <f>IF(AN$621&gt;=$C636,MIN(-(SUM($F636:AM636)-$E636),($E636*(1-$D$623))*$D636),0)*AN$619</f>
        <v>0</v>
      </c>
    </row>
    <row r="637" spans="3:40" outlineLevel="4">
      <c r="C637">
        <v>12</v>
      </c>
      <c r="D637">
        <f>Inputs!$D$262</f>
        <v>0.1</v>
      </c>
      <c r="E637" s="319">
        <v>971.98622153016913</v>
      </c>
      <c r="F637" s="319">
        <f>E637*D623</f>
        <v>0</v>
      </c>
      <c r="G637" s="319">
        <f>IF(G$621&gt;=$C637,MIN(-(SUM(F637:$F637)-$E637),($E637*(1-$D$623))*$D637),0)*G$619</f>
        <v>0</v>
      </c>
      <c r="H637" s="319">
        <f>IF(H$621&gt;=$C637,MIN(-(SUM($F637:G637)-$E637),($E637*(1-$D$623))*$D637),0)*H$619</f>
        <v>0</v>
      </c>
      <c r="I637" s="319">
        <f>IF(I$621&gt;=$C637,MIN(-(SUM($F637:H637)-$E637),($E637*(1-$D$623))*$D637),0)*I$619</f>
        <v>0</v>
      </c>
      <c r="J637" s="319">
        <f>IF(J$621&gt;=$C637,MIN(-(SUM($F637:I637)-$E637),($E637*(1-$D$623))*$D637),0)*J$619</f>
        <v>0</v>
      </c>
      <c r="K637" s="319">
        <f>IF(K$621&gt;=$C637,MIN(-(SUM($F637:J637)-$E637),($E637*(1-$D$623))*$D637),0)*K$619</f>
        <v>0</v>
      </c>
      <c r="L637" s="319">
        <f>IF(L$621&gt;=$C637,MIN(-(SUM($F637:K637)-$E637),($E637*(1-$D$623))*$D637),0)*L$619</f>
        <v>0</v>
      </c>
      <c r="M637" s="319">
        <f>IF(M$621&gt;=$C637,MIN(-(SUM($F637:L637)-$E637),($E637*(1-$D$623))*$D637),0)*M$619</f>
        <v>0</v>
      </c>
      <c r="N637" s="319">
        <f>IF(N$621&gt;=$C637,MIN(-(SUM($F637:M637)-$E637),($E637*(1-$D$623))*$D637),0)*N$619</f>
        <v>0</v>
      </c>
      <c r="O637" s="319">
        <f>IF(O$621&gt;=$C637,MIN(-(SUM($F637:N637)-$E637),($E637*(1-$D$623))*$D637),0)*O$619</f>
        <v>0</v>
      </c>
      <c r="P637" s="319">
        <f>IF(P$621&gt;=$C637,MIN(-(SUM($F637:O637)-$E637),($E637*(1-$D$623))*$D637),0)*P$619</f>
        <v>0</v>
      </c>
      <c r="Q637" s="319">
        <f>IF(Q$621&gt;=$C637,MIN(-(SUM($F637:P637)-$E637),($E637*(1-$D$623))*$D637),0)*Q$619</f>
        <v>0</v>
      </c>
      <c r="R637" s="319">
        <f>IF(R$621&gt;=$C637,MIN(-(SUM($F637:Q637)-$E637),($E637*(1-$D$623))*$D637),0)*R$619</f>
        <v>97.198622153016913</v>
      </c>
      <c r="S637" s="319">
        <f>IF(S$621&gt;=$C637,MIN(-(SUM($F637:R637)-$E637),($E637*(1-$D$623))*$D637),0)*S$619</f>
        <v>97.198622153016913</v>
      </c>
      <c r="T637" s="319">
        <f>IF(T$621&gt;=$C637,MIN(-(SUM($F637:S637)-$E637),($E637*(1-$D$623))*$D637),0)*T$619</f>
        <v>97.198622153016913</v>
      </c>
      <c r="U637" s="319">
        <f>IF(U$621&gt;=$C637,MIN(-(SUM($F637:T637)-$E637),($E637*(1-$D$623))*$D637),0)*U$619</f>
        <v>97.198622153016913</v>
      </c>
      <c r="V637" s="319">
        <f>IF(V$621&gt;=$C637,MIN(-(SUM($F637:U637)-$E637),($E637*(1-$D$623))*$D637),0)*V$619</f>
        <v>97.198622153016913</v>
      </c>
      <c r="W637" s="319">
        <f>IF(W$621&gt;=$C637,MIN(-(SUM($F637:V637)-$E637),($E637*(1-$D$623))*$D637),0)*W$619</f>
        <v>97.198622153016913</v>
      </c>
      <c r="X637" s="319">
        <f>IF(X$621&gt;=$C637,MIN(-(SUM($F637:W637)-$E637),($E637*(1-$D$623))*$D637),0)*X$619</f>
        <v>97.198622153016913</v>
      </c>
      <c r="Y637" s="319">
        <f>IF(Y$621&gt;=$C637,MIN(-(SUM($F637:X637)-$E637),($E637*(1-$D$623))*$D637),0)*Y$619</f>
        <v>97.198622153016913</v>
      </c>
      <c r="Z637" s="319">
        <f>IF(Z$621&gt;=$C637,MIN(-(SUM($F637:Y637)-$E637),($E637*(1-$D$623))*$D637),0)*Z$619</f>
        <v>97.198622153016913</v>
      </c>
      <c r="AA637" s="319">
        <f>IF(AA$621&gt;=$C637,MIN(-(SUM($F637:Z637)-$E637),($E637*(1-$D$623))*$D637),0)*AA$619</f>
        <v>97.198622153016913</v>
      </c>
      <c r="AB637" s="319">
        <f>IF(AB$621&gt;=$C637,MIN(-(SUM($F637:AA637)-$E637),($E637*(1-$D$623))*$D637),0)*AB$619</f>
        <v>0</v>
      </c>
      <c r="AC637" s="319">
        <f>IF(AC$621&gt;=$C637,MIN(-(SUM($F637:AB637)-$E637),($E637*(1-$D$623))*$D637),0)*AC$619</f>
        <v>0</v>
      </c>
      <c r="AD637" s="319">
        <f>IF(AD$621&gt;=$C637,MIN(-(SUM($F637:AC637)-$E637),($E637*(1-$D$623))*$D637),0)*AD$619</f>
        <v>0</v>
      </c>
      <c r="AE637" s="319">
        <f>IF(AE$621&gt;=$C637,MIN(-(SUM($F637:AD637)-$E637),($E637*(1-$D$623))*$D637),0)*AE$619</f>
        <v>0</v>
      </c>
      <c r="AF637" s="319">
        <f>IF(AF$621&gt;=$C637,MIN(-(SUM($F637:AE637)-$E637),($E637*(1-$D$623))*$D637),0)*AF$619</f>
        <v>0</v>
      </c>
      <c r="AG637" s="319">
        <f>IF(AG$621&gt;=$C637,MIN(-(SUM($F637:AF637)-$E637),($E637*(1-$D$623))*$D637),0)*AG$619</f>
        <v>0</v>
      </c>
      <c r="AH637" s="319">
        <f>IF(AH$621&gt;=$C637,MIN(-(SUM($F637:AG637)-$E637),($E637*(1-$D$623))*$D637),0)*AH$619</f>
        <v>0</v>
      </c>
      <c r="AI637" s="319">
        <f>IF(AI$621&gt;=$C637,MIN(-(SUM($F637:AH637)-$E637),($E637*(1-$D$623))*$D637),0)*AI$619</f>
        <v>0</v>
      </c>
      <c r="AJ637" s="319">
        <f>IF(AJ$621&gt;=$C637,MIN(-(SUM($F637:AI637)-$E637),($E637*(1-$D$623))*$D637),0)*AJ$619</f>
        <v>0</v>
      </c>
      <c r="AK637" s="319">
        <f>IF(AK$621&gt;=$C637,MIN(-(SUM($F637:AJ637)-$E637),($E637*(1-$D$623))*$D637),0)*AK$619</f>
        <v>0</v>
      </c>
      <c r="AL637" s="319">
        <f>IF(AL$621&gt;=$C637,MIN(-(SUM($F637:AK637)-$E637),($E637*(1-$D$623))*$D637),0)*AL$619</f>
        <v>0</v>
      </c>
      <c r="AM637" s="319">
        <f>IF(AM$621&gt;=$C637,MIN(-(SUM($F637:AL637)-$E637),($E637*(1-$D$623))*$D637),0)*AM$619</f>
        <v>0</v>
      </c>
      <c r="AN637" s="319">
        <f>IF(AN$621&gt;=$C637,MIN(-(SUM($F637:AM637)-$E637),($E637*(1-$D$623))*$D637),0)*AN$619</f>
        <v>0</v>
      </c>
    </row>
    <row r="638" spans="3:40" outlineLevel="4">
      <c r="C638">
        <v>13</v>
      </c>
      <c r="D638">
        <f>Inputs!$D$262</f>
        <v>0.1</v>
      </c>
      <c r="E638" s="319">
        <v>31.779858432000005</v>
      </c>
      <c r="F638" s="319">
        <f>E638*D623</f>
        <v>0</v>
      </c>
      <c r="G638" s="319">
        <f>IF(G$621&gt;=$C638,MIN(-(SUM(F638:$F638)-$E638),($E638*(1-$D$623))*$D638),0)*G$619</f>
        <v>0</v>
      </c>
      <c r="H638" s="319">
        <f>IF(H$621&gt;=$C638,MIN(-(SUM($F638:G638)-$E638),($E638*(1-$D$623))*$D638),0)*H$619</f>
        <v>0</v>
      </c>
      <c r="I638" s="319">
        <f>IF(I$621&gt;=$C638,MIN(-(SUM($F638:H638)-$E638),($E638*(1-$D$623))*$D638),0)*I$619</f>
        <v>0</v>
      </c>
      <c r="J638" s="319">
        <f>IF(J$621&gt;=$C638,MIN(-(SUM($F638:I638)-$E638),($E638*(1-$D$623))*$D638),0)*J$619</f>
        <v>0</v>
      </c>
      <c r="K638" s="319">
        <f>IF(K$621&gt;=$C638,MIN(-(SUM($F638:J638)-$E638),($E638*(1-$D$623))*$D638),0)*K$619</f>
        <v>0</v>
      </c>
      <c r="L638" s="319">
        <f>IF(L$621&gt;=$C638,MIN(-(SUM($F638:K638)-$E638),($E638*(1-$D$623))*$D638),0)*L$619</f>
        <v>0</v>
      </c>
      <c r="M638" s="319">
        <f>IF(M$621&gt;=$C638,MIN(-(SUM($F638:L638)-$E638),($E638*(1-$D$623))*$D638),0)*M$619</f>
        <v>0</v>
      </c>
      <c r="N638" s="319">
        <f>IF(N$621&gt;=$C638,MIN(-(SUM($F638:M638)-$E638),($E638*(1-$D$623))*$D638),0)*N$619</f>
        <v>0</v>
      </c>
      <c r="O638" s="319">
        <f>IF(O$621&gt;=$C638,MIN(-(SUM($F638:N638)-$E638),($E638*(1-$D$623))*$D638),0)*O$619</f>
        <v>0</v>
      </c>
      <c r="P638" s="319">
        <f>IF(P$621&gt;=$C638,MIN(-(SUM($F638:O638)-$E638),($E638*(1-$D$623))*$D638),0)*P$619</f>
        <v>0</v>
      </c>
      <c r="Q638" s="319">
        <f>IF(Q$621&gt;=$C638,MIN(-(SUM($F638:P638)-$E638),($E638*(1-$D$623))*$D638),0)*Q$619</f>
        <v>0</v>
      </c>
      <c r="R638" s="319">
        <f>IF(R$621&gt;=$C638,MIN(-(SUM($F638:Q638)-$E638),($E638*(1-$D$623))*$D638),0)*R$619</f>
        <v>0</v>
      </c>
      <c r="S638" s="319">
        <f>IF(S$621&gt;=$C638,MIN(-(SUM($F638:R638)-$E638),($E638*(1-$D$623))*$D638),0)*S$619</f>
        <v>3.1779858432000005</v>
      </c>
      <c r="T638" s="319">
        <f>IF(T$621&gt;=$C638,MIN(-(SUM($F638:S638)-$E638),($E638*(1-$D$623))*$D638),0)*T$619</f>
        <v>3.1779858432000005</v>
      </c>
      <c r="U638" s="319">
        <f>IF(U$621&gt;=$C638,MIN(-(SUM($F638:T638)-$E638),($E638*(1-$D$623))*$D638),0)*U$619</f>
        <v>3.1779858432000005</v>
      </c>
      <c r="V638" s="319">
        <f>IF(V$621&gt;=$C638,MIN(-(SUM($F638:U638)-$E638),($E638*(1-$D$623))*$D638),0)*V$619</f>
        <v>3.1779858432000005</v>
      </c>
      <c r="W638" s="319">
        <f>IF(W$621&gt;=$C638,MIN(-(SUM($F638:V638)-$E638),($E638*(1-$D$623))*$D638),0)*W$619</f>
        <v>3.1779858432000005</v>
      </c>
      <c r="X638" s="319">
        <f>IF(X$621&gt;=$C638,MIN(-(SUM($F638:W638)-$E638),($E638*(1-$D$623))*$D638),0)*X$619</f>
        <v>3.1779858432000005</v>
      </c>
      <c r="Y638" s="319">
        <f>IF(Y$621&gt;=$C638,MIN(-(SUM($F638:X638)-$E638),($E638*(1-$D$623))*$D638),0)*Y$619</f>
        <v>3.1779858432000005</v>
      </c>
      <c r="Z638" s="319">
        <f>IF(Z$621&gt;=$C638,MIN(-(SUM($F638:Y638)-$E638),($E638*(1-$D$623))*$D638),0)*Z$619</f>
        <v>3.1779858432000005</v>
      </c>
      <c r="AA638" s="319">
        <f>IF(AA$621&gt;=$C638,MIN(-(SUM($F638:Z638)-$E638),($E638*(1-$D$623))*$D638),0)*AA$619</f>
        <v>3.1779858432000005</v>
      </c>
      <c r="AB638" s="319">
        <f>IF(AB$621&gt;=$C638,MIN(-(SUM($F638:AA638)-$E638),($E638*(1-$D$623))*$D638),0)*AB$619</f>
        <v>3.1779858431999948</v>
      </c>
      <c r="AC638" s="319">
        <f>IF(AC$621&gt;=$C638,MIN(-(SUM($F638:AB638)-$E638),($E638*(1-$D$623))*$D638),0)*AC$619</f>
        <v>0</v>
      </c>
      <c r="AD638" s="319">
        <f>IF(AD$621&gt;=$C638,MIN(-(SUM($F638:AC638)-$E638),($E638*(1-$D$623))*$D638),0)*AD$619</f>
        <v>0</v>
      </c>
      <c r="AE638" s="319">
        <f>IF(AE$621&gt;=$C638,MIN(-(SUM($F638:AD638)-$E638),($E638*(1-$D$623))*$D638),0)*AE$619</f>
        <v>0</v>
      </c>
      <c r="AF638" s="319">
        <f>IF(AF$621&gt;=$C638,MIN(-(SUM($F638:AE638)-$E638),($E638*(1-$D$623))*$D638),0)*AF$619</f>
        <v>0</v>
      </c>
      <c r="AG638" s="319">
        <f>IF(AG$621&gt;=$C638,MIN(-(SUM($F638:AF638)-$E638),($E638*(1-$D$623))*$D638),0)*AG$619</f>
        <v>0</v>
      </c>
      <c r="AH638" s="319">
        <f>IF(AH$621&gt;=$C638,MIN(-(SUM($F638:AG638)-$E638),($E638*(1-$D$623))*$D638),0)*AH$619</f>
        <v>0</v>
      </c>
      <c r="AI638" s="319">
        <f>IF(AI$621&gt;=$C638,MIN(-(SUM($F638:AH638)-$E638),($E638*(1-$D$623))*$D638),0)*AI$619</f>
        <v>0</v>
      </c>
      <c r="AJ638" s="319">
        <f>IF(AJ$621&gt;=$C638,MIN(-(SUM($F638:AI638)-$E638),($E638*(1-$D$623))*$D638),0)*AJ$619</f>
        <v>0</v>
      </c>
      <c r="AK638" s="319">
        <f>IF(AK$621&gt;=$C638,MIN(-(SUM($F638:AJ638)-$E638),($E638*(1-$D$623))*$D638),0)*AK$619</f>
        <v>0</v>
      </c>
      <c r="AL638" s="319">
        <f>IF(AL$621&gt;=$C638,MIN(-(SUM($F638:AK638)-$E638),($E638*(1-$D$623))*$D638),0)*AL$619</f>
        <v>0</v>
      </c>
      <c r="AM638" s="319">
        <f>IF(AM$621&gt;=$C638,MIN(-(SUM($F638:AL638)-$E638),($E638*(1-$D$623))*$D638),0)*AM$619</f>
        <v>0</v>
      </c>
      <c r="AN638" s="319">
        <f>IF(AN$621&gt;=$C638,MIN(-(SUM($F638:AM638)-$E638),($E638*(1-$D$623))*$D638),0)*AN$619</f>
        <v>0</v>
      </c>
    </row>
    <row r="639" spans="3:40" outlineLevel="4">
      <c r="C639">
        <v>14</v>
      </c>
      <c r="D639">
        <f>Inputs!$D$262</f>
        <v>0.1</v>
      </c>
      <c r="E639" s="319">
        <v>20</v>
      </c>
      <c r="F639" s="319">
        <f>E639*D623</f>
        <v>0</v>
      </c>
      <c r="G639" s="319">
        <f>IF(G$621&gt;=$C639,MIN(-(SUM(F639:$F639)-$E639),($E639*(1-$D$623))*$D639),0)*G$619</f>
        <v>0</v>
      </c>
      <c r="H639" s="319">
        <f>IF(H$621&gt;=$C639,MIN(-(SUM($F639:G639)-$E639),($E639*(1-$D$623))*$D639),0)*H$619</f>
        <v>0</v>
      </c>
      <c r="I639" s="319">
        <f>IF(I$621&gt;=$C639,MIN(-(SUM($F639:H639)-$E639),($E639*(1-$D$623))*$D639),0)*I$619</f>
        <v>0</v>
      </c>
      <c r="J639" s="319">
        <f>IF(J$621&gt;=$C639,MIN(-(SUM($F639:I639)-$E639),($E639*(1-$D$623))*$D639),0)*J$619</f>
        <v>0</v>
      </c>
      <c r="K639" s="319">
        <f>IF(K$621&gt;=$C639,MIN(-(SUM($F639:J639)-$E639),($E639*(1-$D$623))*$D639),0)*K$619</f>
        <v>0</v>
      </c>
      <c r="L639" s="319">
        <f>IF(L$621&gt;=$C639,MIN(-(SUM($F639:K639)-$E639),($E639*(1-$D$623))*$D639),0)*L$619</f>
        <v>0</v>
      </c>
      <c r="M639" s="319">
        <f>IF(M$621&gt;=$C639,MIN(-(SUM($F639:L639)-$E639),($E639*(1-$D$623))*$D639),0)*M$619</f>
        <v>0</v>
      </c>
      <c r="N639" s="319">
        <f>IF(N$621&gt;=$C639,MIN(-(SUM($F639:M639)-$E639),($E639*(1-$D$623))*$D639),0)*N$619</f>
        <v>0</v>
      </c>
      <c r="O639" s="319">
        <f>IF(O$621&gt;=$C639,MIN(-(SUM($F639:N639)-$E639),($E639*(1-$D$623))*$D639),0)*O$619</f>
        <v>0</v>
      </c>
      <c r="P639" s="319">
        <f>IF(P$621&gt;=$C639,MIN(-(SUM($F639:O639)-$E639),($E639*(1-$D$623))*$D639),0)*P$619</f>
        <v>0</v>
      </c>
      <c r="Q639" s="319">
        <f>IF(Q$621&gt;=$C639,MIN(-(SUM($F639:P639)-$E639),($E639*(1-$D$623))*$D639),0)*Q$619</f>
        <v>0</v>
      </c>
      <c r="R639" s="319">
        <f>IF(R$621&gt;=$C639,MIN(-(SUM($F639:Q639)-$E639),($E639*(1-$D$623))*$D639),0)*R$619</f>
        <v>0</v>
      </c>
      <c r="S639" s="319">
        <f>IF(S$621&gt;=$C639,MIN(-(SUM($F639:R639)-$E639),($E639*(1-$D$623))*$D639),0)*S$619</f>
        <v>0</v>
      </c>
      <c r="T639" s="319">
        <f>IF(T$621&gt;=$C639,MIN(-(SUM($F639:S639)-$E639),($E639*(1-$D$623))*$D639),0)*T$619</f>
        <v>2</v>
      </c>
      <c r="U639" s="319">
        <f>IF(U$621&gt;=$C639,MIN(-(SUM($F639:T639)-$E639),($E639*(1-$D$623))*$D639),0)*U$619</f>
        <v>2</v>
      </c>
      <c r="V639" s="319">
        <f>IF(V$621&gt;=$C639,MIN(-(SUM($F639:U639)-$E639),($E639*(1-$D$623))*$D639),0)*V$619</f>
        <v>2</v>
      </c>
      <c r="W639" s="319">
        <f>IF(W$621&gt;=$C639,MIN(-(SUM($F639:V639)-$E639),($E639*(1-$D$623))*$D639),0)*W$619</f>
        <v>2</v>
      </c>
      <c r="X639" s="319">
        <f>IF(X$621&gt;=$C639,MIN(-(SUM($F639:W639)-$E639),($E639*(1-$D$623))*$D639),0)*X$619</f>
        <v>2</v>
      </c>
      <c r="Y639" s="319">
        <f>IF(Y$621&gt;=$C639,MIN(-(SUM($F639:X639)-$E639),($E639*(1-$D$623))*$D639),0)*Y$619</f>
        <v>2</v>
      </c>
      <c r="Z639" s="319">
        <f>IF(Z$621&gt;=$C639,MIN(-(SUM($F639:Y639)-$E639),($E639*(1-$D$623))*$D639),0)*Z$619</f>
        <v>2</v>
      </c>
      <c r="AA639" s="319">
        <f>IF(AA$621&gt;=$C639,MIN(-(SUM($F639:Z639)-$E639),($E639*(1-$D$623))*$D639),0)*AA$619</f>
        <v>2</v>
      </c>
      <c r="AB639" s="319">
        <f>IF(AB$621&gt;=$C639,MIN(-(SUM($F639:AA639)-$E639),($E639*(1-$D$623))*$D639),0)*AB$619</f>
        <v>2</v>
      </c>
      <c r="AC639" s="319">
        <f>IF(AC$621&gt;=$C639,MIN(-(SUM($F639:AB639)-$E639),($E639*(1-$D$623))*$D639),0)*AC$619</f>
        <v>2</v>
      </c>
      <c r="AD639" s="319">
        <f>IF(AD$621&gt;=$C639,MIN(-(SUM($F639:AC639)-$E639),($E639*(1-$D$623))*$D639),0)*AD$619</f>
        <v>0</v>
      </c>
      <c r="AE639" s="319">
        <f>IF(AE$621&gt;=$C639,MIN(-(SUM($F639:AD639)-$E639),($E639*(1-$D$623))*$D639),0)*AE$619</f>
        <v>0</v>
      </c>
      <c r="AF639" s="319">
        <f>IF(AF$621&gt;=$C639,MIN(-(SUM($F639:AE639)-$E639),($E639*(1-$D$623))*$D639),0)*AF$619</f>
        <v>0</v>
      </c>
      <c r="AG639" s="319">
        <f>IF(AG$621&gt;=$C639,MIN(-(SUM($F639:AF639)-$E639),($E639*(1-$D$623))*$D639),0)*AG$619</f>
        <v>0</v>
      </c>
      <c r="AH639" s="319">
        <f>IF(AH$621&gt;=$C639,MIN(-(SUM($F639:AG639)-$E639),($E639*(1-$D$623))*$D639),0)*AH$619</f>
        <v>0</v>
      </c>
      <c r="AI639" s="319">
        <f>IF(AI$621&gt;=$C639,MIN(-(SUM($F639:AH639)-$E639),($E639*(1-$D$623))*$D639),0)*AI$619</f>
        <v>0</v>
      </c>
      <c r="AJ639" s="319">
        <f>IF(AJ$621&gt;=$C639,MIN(-(SUM($F639:AI639)-$E639),($E639*(1-$D$623))*$D639),0)*AJ$619</f>
        <v>0</v>
      </c>
      <c r="AK639" s="319">
        <f>IF(AK$621&gt;=$C639,MIN(-(SUM($F639:AJ639)-$E639),($E639*(1-$D$623))*$D639),0)*AK$619</f>
        <v>0</v>
      </c>
      <c r="AL639" s="319">
        <f>IF(AL$621&gt;=$C639,MIN(-(SUM($F639:AK639)-$E639),($E639*(1-$D$623))*$D639),0)*AL$619</f>
        <v>0</v>
      </c>
      <c r="AM639" s="319">
        <f>IF(AM$621&gt;=$C639,MIN(-(SUM($F639:AL639)-$E639),($E639*(1-$D$623))*$D639),0)*AM$619</f>
        <v>0</v>
      </c>
      <c r="AN639" s="319">
        <f>IF(AN$621&gt;=$C639,MIN(-(SUM($F639:AM639)-$E639),($E639*(1-$D$623))*$D639),0)*AN$619</f>
        <v>0</v>
      </c>
    </row>
    <row r="640" spans="3:40" outlineLevel="4">
      <c r="C640">
        <v>15</v>
      </c>
      <c r="D640">
        <f>Inputs!$D$262</f>
        <v>0.1</v>
      </c>
      <c r="E640" s="319">
        <v>67.21584</v>
      </c>
      <c r="F640" s="319">
        <f>E640*D623</f>
        <v>0</v>
      </c>
      <c r="G640" s="319">
        <f>IF(G$621&gt;=$C640,MIN(-(SUM(F640:$F640)-$E640),($E640*(1-$D$623))*$D640),0)*G$619</f>
        <v>0</v>
      </c>
      <c r="H640" s="319">
        <f>IF(H$621&gt;=$C640,MIN(-(SUM($F640:G640)-$E640),($E640*(1-$D$623))*$D640),0)*H$619</f>
        <v>0</v>
      </c>
      <c r="I640" s="319">
        <f>IF(I$621&gt;=$C640,MIN(-(SUM($F640:H640)-$E640),($E640*(1-$D$623))*$D640),0)*I$619</f>
        <v>0</v>
      </c>
      <c r="J640" s="319">
        <f>IF(J$621&gt;=$C640,MIN(-(SUM($F640:I640)-$E640),($E640*(1-$D$623))*$D640),0)*J$619</f>
        <v>0</v>
      </c>
      <c r="K640" s="319">
        <f>IF(K$621&gt;=$C640,MIN(-(SUM($F640:J640)-$E640),($E640*(1-$D$623))*$D640),0)*K$619</f>
        <v>0</v>
      </c>
      <c r="L640" s="319">
        <f>IF(L$621&gt;=$C640,MIN(-(SUM($F640:K640)-$E640),($E640*(1-$D$623))*$D640),0)*L$619</f>
        <v>0</v>
      </c>
      <c r="M640" s="319">
        <f>IF(M$621&gt;=$C640,MIN(-(SUM($F640:L640)-$E640),($E640*(1-$D$623))*$D640),0)*M$619</f>
        <v>0</v>
      </c>
      <c r="N640" s="319">
        <f>IF(N$621&gt;=$C640,MIN(-(SUM($F640:M640)-$E640),($E640*(1-$D$623))*$D640),0)*N$619</f>
        <v>0</v>
      </c>
      <c r="O640" s="319">
        <f>IF(O$621&gt;=$C640,MIN(-(SUM($F640:N640)-$E640),($E640*(1-$D$623))*$D640),0)*O$619</f>
        <v>0</v>
      </c>
      <c r="P640" s="319">
        <f>IF(P$621&gt;=$C640,MIN(-(SUM($F640:O640)-$E640),($E640*(1-$D$623))*$D640),0)*P$619</f>
        <v>0</v>
      </c>
      <c r="Q640" s="319">
        <f>IF(Q$621&gt;=$C640,MIN(-(SUM($F640:P640)-$E640),($E640*(1-$D$623))*$D640),0)*Q$619</f>
        <v>0</v>
      </c>
      <c r="R640" s="319">
        <f>IF(R$621&gt;=$C640,MIN(-(SUM($F640:Q640)-$E640),($E640*(1-$D$623))*$D640),0)*R$619</f>
        <v>0</v>
      </c>
      <c r="S640" s="319">
        <f>IF(S$621&gt;=$C640,MIN(-(SUM($F640:R640)-$E640),($E640*(1-$D$623))*$D640),0)*S$619</f>
        <v>0</v>
      </c>
      <c r="T640" s="319">
        <f>IF(T$621&gt;=$C640,MIN(-(SUM($F640:S640)-$E640),($E640*(1-$D$623))*$D640),0)*T$619</f>
        <v>0</v>
      </c>
      <c r="U640" s="319">
        <f>IF(U$621&gt;=$C640,MIN(-(SUM($F640:T640)-$E640),($E640*(1-$D$623))*$D640),0)*U$619</f>
        <v>6.721584</v>
      </c>
      <c r="V640" s="319">
        <f>IF(V$621&gt;=$C640,MIN(-(SUM($F640:U640)-$E640),($E640*(1-$D$623))*$D640),0)*V$619</f>
        <v>6.721584</v>
      </c>
      <c r="W640" s="319">
        <f>IF(W$621&gt;=$C640,MIN(-(SUM($F640:V640)-$E640),($E640*(1-$D$623))*$D640),0)*W$619</f>
        <v>6.721584</v>
      </c>
      <c r="X640" s="319">
        <f>IF(X$621&gt;=$C640,MIN(-(SUM($F640:W640)-$E640),($E640*(1-$D$623))*$D640),0)*X$619</f>
        <v>6.721584</v>
      </c>
      <c r="Y640" s="319">
        <f>IF(Y$621&gt;=$C640,MIN(-(SUM($F640:X640)-$E640),($E640*(1-$D$623))*$D640),0)*Y$619</f>
        <v>6.721584</v>
      </c>
      <c r="Z640" s="319">
        <f>IF(Z$621&gt;=$C640,MIN(-(SUM($F640:Y640)-$E640),($E640*(1-$D$623))*$D640),0)*Z$619</f>
        <v>6.721584</v>
      </c>
      <c r="AA640" s="319">
        <f>IF(AA$621&gt;=$C640,MIN(-(SUM($F640:Z640)-$E640),($E640*(1-$D$623))*$D640),0)*AA$619</f>
        <v>6.721584</v>
      </c>
      <c r="AB640" s="319">
        <f>IF(AB$621&gt;=$C640,MIN(-(SUM($F640:AA640)-$E640),($E640*(1-$D$623))*$D640),0)*AB$619</f>
        <v>6.721584</v>
      </c>
      <c r="AC640" s="319">
        <f>IF(AC$621&gt;=$C640,MIN(-(SUM($F640:AB640)-$E640),($E640*(1-$D$623))*$D640),0)*AC$619</f>
        <v>6.721584</v>
      </c>
      <c r="AD640" s="319">
        <f>IF(AD$621&gt;=$C640,MIN(-(SUM($F640:AC640)-$E640),($E640*(1-$D$623))*$D640),0)*AD$619</f>
        <v>6.721584</v>
      </c>
      <c r="AE640" s="319">
        <f>IF(AE$621&gt;=$C640,MIN(-(SUM($F640:AD640)-$E640),($E640*(1-$D$623))*$D640),0)*AE$619</f>
        <v>0</v>
      </c>
      <c r="AF640" s="319">
        <f>IF(AF$621&gt;=$C640,MIN(-(SUM($F640:AE640)-$E640),($E640*(1-$D$623))*$D640),0)*AF$619</f>
        <v>0</v>
      </c>
      <c r="AG640" s="319">
        <f>IF(AG$621&gt;=$C640,MIN(-(SUM($F640:AF640)-$E640),($E640*(1-$D$623))*$D640),0)*AG$619</f>
        <v>0</v>
      </c>
      <c r="AH640" s="319">
        <f>IF(AH$621&gt;=$C640,MIN(-(SUM($F640:AG640)-$E640),($E640*(1-$D$623))*$D640),0)*AH$619</f>
        <v>0</v>
      </c>
      <c r="AI640" s="319">
        <f>IF(AI$621&gt;=$C640,MIN(-(SUM($F640:AH640)-$E640),($E640*(1-$D$623))*$D640),0)*AI$619</f>
        <v>0</v>
      </c>
      <c r="AJ640" s="319">
        <f>IF(AJ$621&gt;=$C640,MIN(-(SUM($F640:AI640)-$E640),($E640*(1-$D$623))*$D640),0)*AJ$619</f>
        <v>0</v>
      </c>
      <c r="AK640" s="319">
        <f>IF(AK$621&gt;=$C640,MIN(-(SUM($F640:AJ640)-$E640),($E640*(1-$D$623))*$D640),0)*AK$619</f>
        <v>0</v>
      </c>
      <c r="AL640" s="319">
        <f>IF(AL$621&gt;=$C640,MIN(-(SUM($F640:AK640)-$E640),($E640*(1-$D$623))*$D640),0)*AL$619</f>
        <v>0</v>
      </c>
      <c r="AM640" s="319">
        <f>IF(AM$621&gt;=$C640,MIN(-(SUM($F640:AL640)-$E640),($E640*(1-$D$623))*$D640),0)*AM$619</f>
        <v>0</v>
      </c>
      <c r="AN640" s="319">
        <f>IF(AN$621&gt;=$C640,MIN(-(SUM($F640:AM640)-$E640),($E640*(1-$D$623))*$D640),0)*AN$619</f>
        <v>0</v>
      </c>
    </row>
    <row r="641" spans="3:40" outlineLevel="4">
      <c r="C641">
        <v>16</v>
      </c>
      <c r="D641">
        <f>Inputs!$D$262</f>
        <v>0.1</v>
      </c>
      <c r="E641" s="319">
        <v>2431.5075443320538</v>
      </c>
      <c r="F641" s="319">
        <f>E641*D623</f>
        <v>0</v>
      </c>
      <c r="G641" s="319">
        <f>IF(G$621&gt;=$C641,MIN(-(SUM(F641:$F641)-$E641),($E641*(1-$D$623))*$D641),0)*G$619</f>
        <v>0</v>
      </c>
      <c r="H641" s="319">
        <f>IF(H$621&gt;=$C641,MIN(-(SUM($F641:G641)-$E641),($E641*(1-$D$623))*$D641),0)*H$619</f>
        <v>0</v>
      </c>
      <c r="I641" s="319">
        <f>IF(I$621&gt;=$C641,MIN(-(SUM($F641:H641)-$E641),($E641*(1-$D$623))*$D641),0)*I$619</f>
        <v>0</v>
      </c>
      <c r="J641" s="319">
        <f>IF(J$621&gt;=$C641,MIN(-(SUM($F641:I641)-$E641),($E641*(1-$D$623))*$D641),0)*J$619</f>
        <v>0</v>
      </c>
      <c r="K641" s="319">
        <f>IF(K$621&gt;=$C641,MIN(-(SUM($F641:J641)-$E641),($E641*(1-$D$623))*$D641),0)*K$619</f>
        <v>0</v>
      </c>
      <c r="L641" s="319">
        <f>IF(L$621&gt;=$C641,MIN(-(SUM($F641:K641)-$E641),($E641*(1-$D$623))*$D641),0)*L$619</f>
        <v>0</v>
      </c>
      <c r="M641" s="319">
        <f>IF(M$621&gt;=$C641,MIN(-(SUM($F641:L641)-$E641),($E641*(1-$D$623))*$D641),0)*M$619</f>
        <v>0</v>
      </c>
      <c r="N641" s="319">
        <f>IF(N$621&gt;=$C641,MIN(-(SUM($F641:M641)-$E641),($E641*(1-$D$623))*$D641),0)*N$619</f>
        <v>0</v>
      </c>
      <c r="O641" s="319">
        <f>IF(O$621&gt;=$C641,MIN(-(SUM($F641:N641)-$E641),($E641*(1-$D$623))*$D641),0)*O$619</f>
        <v>0</v>
      </c>
      <c r="P641" s="319">
        <f>IF(P$621&gt;=$C641,MIN(-(SUM($F641:O641)-$E641),($E641*(1-$D$623))*$D641),0)*P$619</f>
        <v>0</v>
      </c>
      <c r="Q641" s="319">
        <f>IF(Q$621&gt;=$C641,MIN(-(SUM($F641:P641)-$E641),($E641*(1-$D$623))*$D641),0)*Q$619</f>
        <v>0</v>
      </c>
      <c r="R641" s="319">
        <f>IF(R$621&gt;=$C641,MIN(-(SUM($F641:Q641)-$E641),($E641*(1-$D$623))*$D641),0)*R$619</f>
        <v>0</v>
      </c>
      <c r="S641" s="319">
        <f>IF(S$621&gt;=$C641,MIN(-(SUM($F641:R641)-$E641),($E641*(1-$D$623))*$D641),0)*S$619</f>
        <v>0</v>
      </c>
      <c r="T641" s="319">
        <f>IF(T$621&gt;=$C641,MIN(-(SUM($F641:S641)-$E641),($E641*(1-$D$623))*$D641),0)*T$619</f>
        <v>0</v>
      </c>
      <c r="U641" s="319">
        <f>IF(U$621&gt;=$C641,MIN(-(SUM($F641:T641)-$E641),($E641*(1-$D$623))*$D641),0)*U$619</f>
        <v>0</v>
      </c>
      <c r="V641" s="319">
        <f>IF(V$621&gt;=$C641,MIN(-(SUM($F641:U641)-$E641),($E641*(1-$D$623))*$D641),0)*V$619</f>
        <v>243.15075443320541</v>
      </c>
      <c r="W641" s="319">
        <f>IF(W$621&gt;=$C641,MIN(-(SUM($F641:V641)-$E641),($E641*(1-$D$623))*$D641),0)*W$619</f>
        <v>243.15075443320541</v>
      </c>
      <c r="X641" s="319">
        <f>IF(X$621&gt;=$C641,MIN(-(SUM($F641:W641)-$E641),($E641*(1-$D$623))*$D641),0)*X$619</f>
        <v>243.15075443320541</v>
      </c>
      <c r="Y641" s="319">
        <f>IF(Y$621&gt;=$C641,MIN(-(SUM($F641:X641)-$E641),($E641*(1-$D$623))*$D641),0)*Y$619</f>
        <v>243.15075443320541</v>
      </c>
      <c r="Z641" s="319">
        <f>IF(Z$621&gt;=$C641,MIN(-(SUM($F641:Y641)-$E641),($E641*(1-$D$623))*$D641),0)*Z$619</f>
        <v>243.15075443320541</v>
      </c>
      <c r="AA641" s="319">
        <f>IF(AA$621&gt;=$C641,MIN(-(SUM($F641:Z641)-$E641),($E641*(1-$D$623))*$D641),0)*AA$619</f>
        <v>243.15075443320541</v>
      </c>
      <c r="AB641" s="319">
        <f>IF(AB$621&gt;=$C641,MIN(-(SUM($F641:AA641)-$E641),($E641*(1-$D$623))*$D641),0)*AB$619</f>
        <v>243.15075443320541</v>
      </c>
      <c r="AC641" s="319">
        <f>IF(AC$621&gt;=$C641,MIN(-(SUM($F641:AB641)-$E641),($E641*(1-$D$623))*$D641),0)*AC$619</f>
        <v>243.15075443320541</v>
      </c>
      <c r="AD641" s="319">
        <f>IF(AD$621&gt;=$C641,MIN(-(SUM($F641:AC641)-$E641),($E641*(1-$D$623))*$D641),0)*AD$619</f>
        <v>243.15075443320541</v>
      </c>
      <c r="AE641" s="319">
        <f>IF(AE$621&gt;=$C641,MIN(-(SUM($F641:AD641)-$E641),($E641*(1-$D$623))*$D641),0)*AE$619</f>
        <v>243.15075443320541</v>
      </c>
      <c r="AF641" s="319">
        <f>IF(AF$621&gt;=$C641,MIN(-(SUM($F641:AE641)-$E641),($E641*(1-$D$623))*$D641),0)*AF$619</f>
        <v>4.5474735088646412E-13</v>
      </c>
      <c r="AG641" s="319">
        <f>IF(AG$621&gt;=$C641,MIN(-(SUM($F641:AF641)-$E641),($E641*(1-$D$623))*$D641),0)*AG$619</f>
        <v>0</v>
      </c>
      <c r="AH641" s="319">
        <f>IF(AH$621&gt;=$C641,MIN(-(SUM($F641:AG641)-$E641),($E641*(1-$D$623))*$D641),0)*AH$619</f>
        <v>0</v>
      </c>
      <c r="AI641" s="319">
        <f>IF(AI$621&gt;=$C641,MIN(-(SUM($F641:AH641)-$E641),($E641*(1-$D$623))*$D641),0)*AI$619</f>
        <v>0</v>
      </c>
      <c r="AJ641" s="319">
        <f>IF(AJ$621&gt;=$C641,MIN(-(SUM($F641:AI641)-$E641),($E641*(1-$D$623))*$D641),0)*AJ$619</f>
        <v>0</v>
      </c>
      <c r="AK641" s="319">
        <f>IF(AK$621&gt;=$C641,MIN(-(SUM($F641:AJ641)-$E641),($E641*(1-$D$623))*$D641),0)*AK$619</f>
        <v>0</v>
      </c>
      <c r="AL641" s="319">
        <f>IF(AL$621&gt;=$C641,MIN(-(SUM($F641:AK641)-$E641),($E641*(1-$D$623))*$D641),0)*AL$619</f>
        <v>0</v>
      </c>
      <c r="AM641" s="319">
        <f>IF(AM$621&gt;=$C641,MIN(-(SUM($F641:AL641)-$E641),($E641*(1-$D$623))*$D641),0)*AM$619</f>
        <v>0</v>
      </c>
      <c r="AN641" s="319">
        <f>IF(AN$621&gt;=$C641,MIN(-(SUM($F641:AM641)-$E641),($E641*(1-$D$623))*$D641),0)*AN$619</f>
        <v>0</v>
      </c>
    </row>
    <row r="642" spans="3:40" outlineLevel="4">
      <c r="C642">
        <v>17</v>
      </c>
      <c r="D642">
        <f>Inputs!$D$262</f>
        <v>0.1</v>
      </c>
      <c r="E642" s="319">
        <v>713.82500000000005</v>
      </c>
      <c r="F642" s="319">
        <f>E642*D623</f>
        <v>0</v>
      </c>
      <c r="G642" s="319">
        <f>IF(G$621&gt;=$C642,MIN(-(SUM(F642:$F642)-$E642),($E642*(1-$D$623))*$D642),0)*G$619</f>
        <v>0</v>
      </c>
      <c r="H642" s="319">
        <f>IF(H$621&gt;=$C642,MIN(-(SUM($F642:G642)-$E642),($E642*(1-$D$623))*$D642),0)*H$619</f>
        <v>0</v>
      </c>
      <c r="I642" s="319">
        <f>IF(I$621&gt;=$C642,MIN(-(SUM($F642:H642)-$E642),($E642*(1-$D$623))*$D642),0)*I$619</f>
        <v>0</v>
      </c>
      <c r="J642" s="319">
        <f>IF(J$621&gt;=$C642,MIN(-(SUM($F642:I642)-$E642),($E642*(1-$D$623))*$D642),0)*J$619</f>
        <v>0</v>
      </c>
      <c r="K642" s="319">
        <f>IF(K$621&gt;=$C642,MIN(-(SUM($F642:J642)-$E642),($E642*(1-$D$623))*$D642),0)*K$619</f>
        <v>0</v>
      </c>
      <c r="L642" s="319">
        <f>IF(L$621&gt;=$C642,MIN(-(SUM($F642:K642)-$E642),($E642*(1-$D$623))*$D642),0)*L$619</f>
        <v>0</v>
      </c>
      <c r="M642" s="319">
        <f>IF(M$621&gt;=$C642,MIN(-(SUM($F642:L642)-$E642),($E642*(1-$D$623))*$D642),0)*M$619</f>
        <v>0</v>
      </c>
      <c r="N642" s="319">
        <f>IF(N$621&gt;=$C642,MIN(-(SUM($F642:M642)-$E642),($E642*(1-$D$623))*$D642),0)*N$619</f>
        <v>0</v>
      </c>
      <c r="O642" s="319">
        <f>IF(O$621&gt;=$C642,MIN(-(SUM($F642:N642)-$E642),($E642*(1-$D$623))*$D642),0)*O$619</f>
        <v>0</v>
      </c>
      <c r="P642" s="319">
        <f>IF(P$621&gt;=$C642,MIN(-(SUM($F642:O642)-$E642),($E642*(1-$D$623))*$D642),0)*P$619</f>
        <v>0</v>
      </c>
      <c r="Q642" s="319">
        <f>IF(Q$621&gt;=$C642,MIN(-(SUM($F642:P642)-$E642),($E642*(1-$D$623))*$D642),0)*Q$619</f>
        <v>0</v>
      </c>
      <c r="R642" s="319">
        <f>IF(R$621&gt;=$C642,MIN(-(SUM($F642:Q642)-$E642),($E642*(1-$D$623))*$D642),0)*R$619</f>
        <v>0</v>
      </c>
      <c r="S642" s="319">
        <f>IF(S$621&gt;=$C642,MIN(-(SUM($F642:R642)-$E642),($E642*(1-$D$623))*$D642),0)*S$619</f>
        <v>0</v>
      </c>
      <c r="T642" s="319">
        <f>IF(T$621&gt;=$C642,MIN(-(SUM($F642:S642)-$E642),($E642*(1-$D$623))*$D642),0)*T$619</f>
        <v>0</v>
      </c>
      <c r="U642" s="319">
        <f>IF(U$621&gt;=$C642,MIN(-(SUM($F642:T642)-$E642),($E642*(1-$D$623))*$D642),0)*U$619</f>
        <v>0</v>
      </c>
      <c r="V642" s="319">
        <f>IF(V$621&gt;=$C642,MIN(-(SUM($F642:U642)-$E642),($E642*(1-$D$623))*$D642),0)*V$619</f>
        <v>0</v>
      </c>
      <c r="W642" s="319">
        <f>IF(W$621&gt;=$C642,MIN(-(SUM($F642:V642)-$E642),($E642*(1-$D$623))*$D642),0)*W$619</f>
        <v>71.382500000000007</v>
      </c>
      <c r="X642" s="319">
        <f>IF(X$621&gt;=$C642,MIN(-(SUM($F642:W642)-$E642),($E642*(1-$D$623))*$D642),0)*X$619</f>
        <v>71.382500000000007</v>
      </c>
      <c r="Y642" s="319">
        <f>IF(Y$621&gt;=$C642,MIN(-(SUM($F642:X642)-$E642),($E642*(1-$D$623))*$D642),0)*Y$619</f>
        <v>71.382500000000007</v>
      </c>
      <c r="Z642" s="319">
        <f>IF(Z$621&gt;=$C642,MIN(-(SUM($F642:Y642)-$E642),($E642*(1-$D$623))*$D642),0)*Z$619</f>
        <v>71.382500000000007</v>
      </c>
      <c r="AA642" s="319">
        <f>IF(AA$621&gt;=$C642,MIN(-(SUM($F642:Z642)-$E642),($E642*(1-$D$623))*$D642),0)*AA$619</f>
        <v>71.382500000000007</v>
      </c>
      <c r="AB642" s="319">
        <f>IF(AB$621&gt;=$C642,MIN(-(SUM($F642:AA642)-$E642),($E642*(1-$D$623))*$D642),0)*AB$619</f>
        <v>71.382500000000007</v>
      </c>
      <c r="AC642" s="319">
        <f>IF(AC$621&gt;=$C642,MIN(-(SUM($F642:AB642)-$E642),($E642*(1-$D$623))*$D642),0)*AC$619</f>
        <v>71.382500000000007</v>
      </c>
      <c r="AD642" s="319">
        <f>IF(AD$621&gt;=$C642,MIN(-(SUM($F642:AC642)-$E642),($E642*(1-$D$623))*$D642),0)*AD$619</f>
        <v>71.382500000000007</v>
      </c>
      <c r="AE642" s="319">
        <f>IF(AE$621&gt;=$C642,MIN(-(SUM($F642:AD642)-$E642),($E642*(1-$D$623))*$D642),0)*AE$619</f>
        <v>71.382500000000007</v>
      </c>
      <c r="AF642" s="319">
        <f>IF(AF$621&gt;=$C642,MIN(-(SUM($F642:AE642)-$E642),($E642*(1-$D$623))*$D642),0)*AF$619</f>
        <v>71.382499999999936</v>
      </c>
      <c r="AG642" s="319">
        <f>IF(AG$621&gt;=$C642,MIN(-(SUM($F642:AF642)-$E642),($E642*(1-$D$623))*$D642),0)*AG$619</f>
        <v>0</v>
      </c>
      <c r="AH642" s="319">
        <f>IF(AH$621&gt;=$C642,MIN(-(SUM($F642:AG642)-$E642),($E642*(1-$D$623))*$D642),0)*AH$619</f>
        <v>0</v>
      </c>
      <c r="AI642" s="319">
        <f>IF(AI$621&gt;=$C642,MIN(-(SUM($F642:AH642)-$E642),($E642*(1-$D$623))*$D642),0)*AI$619</f>
        <v>0</v>
      </c>
      <c r="AJ642" s="319">
        <f>IF(AJ$621&gt;=$C642,MIN(-(SUM($F642:AI642)-$E642),($E642*(1-$D$623))*$D642),0)*AJ$619</f>
        <v>0</v>
      </c>
      <c r="AK642" s="319">
        <f>IF(AK$621&gt;=$C642,MIN(-(SUM($F642:AJ642)-$E642),($E642*(1-$D$623))*$D642),0)*AK$619</f>
        <v>0</v>
      </c>
      <c r="AL642" s="319">
        <f>IF(AL$621&gt;=$C642,MIN(-(SUM($F642:AK642)-$E642),($E642*(1-$D$623))*$D642),0)*AL$619</f>
        <v>0</v>
      </c>
      <c r="AM642" s="319">
        <f>IF(AM$621&gt;=$C642,MIN(-(SUM($F642:AL642)-$E642),($E642*(1-$D$623))*$D642),0)*AM$619</f>
        <v>0</v>
      </c>
      <c r="AN642" s="319">
        <f>IF(AN$621&gt;=$C642,MIN(-(SUM($F642:AM642)-$E642),($E642*(1-$D$623))*$D642),0)*AN$619</f>
        <v>0</v>
      </c>
    </row>
    <row r="643" spans="3:40" outlineLevel="4">
      <c r="C643">
        <v>18</v>
      </c>
      <c r="D643">
        <f>Inputs!$D$262</f>
        <v>0.1</v>
      </c>
      <c r="E643" s="319">
        <v>305.52999999999997</v>
      </c>
      <c r="F643" s="319">
        <f>E643*D623</f>
        <v>0</v>
      </c>
      <c r="G643" s="319">
        <f>IF(G$621&gt;=$C643,MIN(-(SUM(F643:$F643)-$E643),($E643*(1-$D$623))*$D643),0)*G$619</f>
        <v>0</v>
      </c>
      <c r="H643" s="319">
        <f>IF(H$621&gt;=$C643,MIN(-(SUM($F643:G643)-$E643),($E643*(1-$D$623))*$D643),0)*H$619</f>
        <v>0</v>
      </c>
      <c r="I643" s="319">
        <f>IF(I$621&gt;=$C643,MIN(-(SUM($F643:H643)-$E643),($E643*(1-$D$623))*$D643),0)*I$619</f>
        <v>0</v>
      </c>
      <c r="J643" s="319">
        <f>IF(J$621&gt;=$C643,MIN(-(SUM($F643:I643)-$E643),($E643*(1-$D$623))*$D643),0)*J$619</f>
        <v>0</v>
      </c>
      <c r="K643" s="319">
        <f>IF(K$621&gt;=$C643,MIN(-(SUM($F643:J643)-$E643),($E643*(1-$D$623))*$D643),0)*K$619</f>
        <v>0</v>
      </c>
      <c r="L643" s="319">
        <f>IF(L$621&gt;=$C643,MIN(-(SUM($F643:K643)-$E643),($E643*(1-$D$623))*$D643),0)*L$619</f>
        <v>0</v>
      </c>
      <c r="M643" s="319">
        <f>IF(M$621&gt;=$C643,MIN(-(SUM($F643:L643)-$E643),($E643*(1-$D$623))*$D643),0)*M$619</f>
        <v>0</v>
      </c>
      <c r="N643" s="319">
        <f>IF(N$621&gt;=$C643,MIN(-(SUM($F643:M643)-$E643),($E643*(1-$D$623))*$D643),0)*N$619</f>
        <v>0</v>
      </c>
      <c r="O643" s="319">
        <f>IF(O$621&gt;=$C643,MIN(-(SUM($F643:N643)-$E643),($E643*(1-$D$623))*$D643),0)*O$619</f>
        <v>0</v>
      </c>
      <c r="P643" s="319">
        <f>IF(P$621&gt;=$C643,MIN(-(SUM($F643:O643)-$E643),($E643*(1-$D$623))*$D643),0)*P$619</f>
        <v>0</v>
      </c>
      <c r="Q643" s="319">
        <f>IF(Q$621&gt;=$C643,MIN(-(SUM($F643:P643)-$E643),($E643*(1-$D$623))*$D643),0)*Q$619</f>
        <v>0</v>
      </c>
      <c r="R643" s="319">
        <f>IF(R$621&gt;=$C643,MIN(-(SUM($F643:Q643)-$E643),($E643*(1-$D$623))*$D643),0)*R$619</f>
        <v>0</v>
      </c>
      <c r="S643" s="319">
        <f>IF(S$621&gt;=$C643,MIN(-(SUM($F643:R643)-$E643),($E643*(1-$D$623))*$D643),0)*S$619</f>
        <v>0</v>
      </c>
      <c r="T643" s="319">
        <f>IF(T$621&gt;=$C643,MIN(-(SUM($F643:S643)-$E643),($E643*(1-$D$623))*$D643),0)*T$619</f>
        <v>0</v>
      </c>
      <c r="U643" s="319">
        <f>IF(U$621&gt;=$C643,MIN(-(SUM($F643:T643)-$E643),($E643*(1-$D$623))*$D643),0)*U$619</f>
        <v>0</v>
      </c>
      <c r="V643" s="319">
        <f>IF(V$621&gt;=$C643,MIN(-(SUM($F643:U643)-$E643),($E643*(1-$D$623))*$D643),0)*V$619</f>
        <v>0</v>
      </c>
      <c r="W643" s="319">
        <f>IF(W$621&gt;=$C643,MIN(-(SUM($F643:V643)-$E643),($E643*(1-$D$623))*$D643),0)*W$619</f>
        <v>0</v>
      </c>
      <c r="X643" s="319">
        <f>IF(X$621&gt;=$C643,MIN(-(SUM($F643:W643)-$E643),($E643*(1-$D$623))*$D643),0)*X$619</f>
        <v>30.552999999999997</v>
      </c>
      <c r="Y643" s="319">
        <f>IF(Y$621&gt;=$C643,MIN(-(SUM($F643:X643)-$E643),($E643*(1-$D$623))*$D643),0)*Y$619</f>
        <v>30.552999999999997</v>
      </c>
      <c r="Z643" s="319">
        <f>IF(Z$621&gt;=$C643,MIN(-(SUM($F643:Y643)-$E643),($E643*(1-$D$623))*$D643),0)*Z$619</f>
        <v>30.552999999999997</v>
      </c>
      <c r="AA643" s="319">
        <f>IF(AA$621&gt;=$C643,MIN(-(SUM($F643:Z643)-$E643),($E643*(1-$D$623))*$D643),0)*AA$619</f>
        <v>30.552999999999997</v>
      </c>
      <c r="AB643" s="319">
        <f>IF(AB$621&gt;=$C643,MIN(-(SUM($F643:AA643)-$E643),($E643*(1-$D$623))*$D643),0)*AB$619</f>
        <v>30.552999999999997</v>
      </c>
      <c r="AC643" s="319">
        <f>IF(AC$621&gt;=$C643,MIN(-(SUM($F643:AB643)-$E643),($E643*(1-$D$623))*$D643),0)*AC$619</f>
        <v>30.552999999999997</v>
      </c>
      <c r="AD643" s="319">
        <f>IF(AD$621&gt;=$C643,MIN(-(SUM($F643:AC643)-$E643),($E643*(1-$D$623))*$D643),0)*AD$619</f>
        <v>30.552999999999997</v>
      </c>
      <c r="AE643" s="319">
        <f>IF(AE$621&gt;=$C643,MIN(-(SUM($F643:AD643)-$E643),($E643*(1-$D$623))*$D643),0)*AE$619</f>
        <v>30.552999999999997</v>
      </c>
      <c r="AF643" s="319">
        <f>IF(AF$621&gt;=$C643,MIN(-(SUM($F643:AE643)-$E643),($E643*(1-$D$623))*$D643),0)*AF$619</f>
        <v>30.552999999999997</v>
      </c>
      <c r="AG643" s="319">
        <f>IF(AG$621&gt;=$C643,MIN(-(SUM($F643:AF643)-$E643),($E643*(1-$D$623))*$D643),0)*AG$619</f>
        <v>30.552999999999997</v>
      </c>
      <c r="AH643" s="319">
        <f>IF(AH$621&gt;=$C643,MIN(-(SUM($F643:AG643)-$E643),($E643*(1-$D$623))*$D643),0)*AH$619</f>
        <v>0</v>
      </c>
      <c r="AI643" s="319">
        <f>IF(AI$621&gt;=$C643,MIN(-(SUM($F643:AH643)-$E643),($E643*(1-$D$623))*$D643),0)*AI$619</f>
        <v>0</v>
      </c>
      <c r="AJ643" s="319">
        <f>IF(AJ$621&gt;=$C643,MIN(-(SUM($F643:AI643)-$E643),($E643*(1-$D$623))*$D643),0)*AJ$619</f>
        <v>0</v>
      </c>
      <c r="AK643" s="319">
        <f>IF(AK$621&gt;=$C643,MIN(-(SUM($F643:AJ643)-$E643),($E643*(1-$D$623))*$D643),0)*AK$619</f>
        <v>0</v>
      </c>
      <c r="AL643" s="319">
        <f>IF(AL$621&gt;=$C643,MIN(-(SUM($F643:AK643)-$E643),($E643*(1-$D$623))*$D643),0)*AL$619</f>
        <v>0</v>
      </c>
      <c r="AM643" s="319">
        <f>IF(AM$621&gt;=$C643,MIN(-(SUM($F643:AL643)-$E643),($E643*(1-$D$623))*$D643),0)*AM$619</f>
        <v>0</v>
      </c>
      <c r="AN643" s="319">
        <f>IF(AN$621&gt;=$C643,MIN(-(SUM($F643:AM643)-$E643),($E643*(1-$D$623))*$D643),0)*AN$619</f>
        <v>0</v>
      </c>
    </row>
    <row r="644" spans="3:40" outlineLevel="4">
      <c r="C644">
        <v>19</v>
      </c>
      <c r="D644">
        <f>Inputs!$D$262</f>
        <v>0.1</v>
      </c>
      <c r="E644" s="319">
        <v>713.82500000000005</v>
      </c>
      <c r="F644" s="319">
        <f>E644*D623</f>
        <v>0</v>
      </c>
      <c r="G644" s="319">
        <f>IF(G$621&gt;=$C644,MIN(-(SUM(F644:$F644)-$E644),($E644*(1-$D$623))*$D644),0)*G$619</f>
        <v>0</v>
      </c>
      <c r="H644" s="319">
        <f>IF(H$621&gt;=$C644,MIN(-(SUM($F644:G644)-$E644),($E644*(1-$D$623))*$D644),0)*H$619</f>
        <v>0</v>
      </c>
      <c r="I644" s="319">
        <f>IF(I$621&gt;=$C644,MIN(-(SUM($F644:H644)-$E644),($E644*(1-$D$623))*$D644),0)*I$619</f>
        <v>0</v>
      </c>
      <c r="J644" s="319">
        <f>IF(J$621&gt;=$C644,MIN(-(SUM($F644:I644)-$E644),($E644*(1-$D$623))*$D644),0)*J$619</f>
        <v>0</v>
      </c>
      <c r="K644" s="319">
        <f>IF(K$621&gt;=$C644,MIN(-(SUM($F644:J644)-$E644),($E644*(1-$D$623))*$D644),0)*K$619</f>
        <v>0</v>
      </c>
      <c r="L644" s="319">
        <f>IF(L$621&gt;=$C644,MIN(-(SUM($F644:K644)-$E644),($E644*(1-$D$623))*$D644),0)*L$619</f>
        <v>0</v>
      </c>
      <c r="M644" s="319">
        <f>IF(M$621&gt;=$C644,MIN(-(SUM($F644:L644)-$E644),($E644*(1-$D$623))*$D644),0)*M$619</f>
        <v>0</v>
      </c>
      <c r="N644" s="319">
        <f>IF(N$621&gt;=$C644,MIN(-(SUM($F644:M644)-$E644),($E644*(1-$D$623))*$D644),0)*N$619</f>
        <v>0</v>
      </c>
      <c r="O644" s="319">
        <f>IF(O$621&gt;=$C644,MIN(-(SUM($F644:N644)-$E644),($E644*(1-$D$623))*$D644),0)*O$619</f>
        <v>0</v>
      </c>
      <c r="P644" s="319">
        <f>IF(P$621&gt;=$C644,MIN(-(SUM($F644:O644)-$E644),($E644*(1-$D$623))*$D644),0)*P$619</f>
        <v>0</v>
      </c>
      <c r="Q644" s="319">
        <f>IF(Q$621&gt;=$C644,MIN(-(SUM($F644:P644)-$E644),($E644*(1-$D$623))*$D644),0)*Q$619</f>
        <v>0</v>
      </c>
      <c r="R644" s="319">
        <f>IF(R$621&gt;=$C644,MIN(-(SUM($F644:Q644)-$E644),($E644*(1-$D$623))*$D644),0)*R$619</f>
        <v>0</v>
      </c>
      <c r="S644" s="319">
        <f>IF(S$621&gt;=$C644,MIN(-(SUM($F644:R644)-$E644),($E644*(1-$D$623))*$D644),0)*S$619</f>
        <v>0</v>
      </c>
      <c r="T644" s="319">
        <f>IF(T$621&gt;=$C644,MIN(-(SUM($F644:S644)-$E644),($E644*(1-$D$623))*$D644),0)*T$619</f>
        <v>0</v>
      </c>
      <c r="U644" s="319">
        <f>IF(U$621&gt;=$C644,MIN(-(SUM($F644:T644)-$E644),($E644*(1-$D$623))*$D644),0)*U$619</f>
        <v>0</v>
      </c>
      <c r="V644" s="319">
        <f>IF(V$621&gt;=$C644,MIN(-(SUM($F644:U644)-$E644),($E644*(1-$D$623))*$D644),0)*V$619</f>
        <v>0</v>
      </c>
      <c r="W644" s="319">
        <f>IF(W$621&gt;=$C644,MIN(-(SUM($F644:V644)-$E644),($E644*(1-$D$623))*$D644),0)*W$619</f>
        <v>0</v>
      </c>
      <c r="X644" s="319">
        <f>IF(X$621&gt;=$C644,MIN(-(SUM($F644:W644)-$E644),($E644*(1-$D$623))*$D644),0)*X$619</f>
        <v>0</v>
      </c>
      <c r="Y644" s="319">
        <f>IF(Y$621&gt;=$C644,MIN(-(SUM($F644:X644)-$E644),($E644*(1-$D$623))*$D644),0)*Y$619</f>
        <v>71.382500000000007</v>
      </c>
      <c r="Z644" s="319">
        <f>IF(Z$621&gt;=$C644,MIN(-(SUM($F644:Y644)-$E644),($E644*(1-$D$623))*$D644),0)*Z$619</f>
        <v>71.382500000000007</v>
      </c>
      <c r="AA644" s="319">
        <f>IF(AA$621&gt;=$C644,MIN(-(SUM($F644:Z644)-$E644),($E644*(1-$D$623))*$D644),0)*AA$619</f>
        <v>71.382500000000007</v>
      </c>
      <c r="AB644" s="319">
        <f>IF(AB$621&gt;=$C644,MIN(-(SUM($F644:AA644)-$E644),($E644*(1-$D$623))*$D644),0)*AB$619</f>
        <v>71.382500000000007</v>
      </c>
      <c r="AC644" s="319">
        <f>IF(AC$621&gt;=$C644,MIN(-(SUM($F644:AB644)-$E644),($E644*(1-$D$623))*$D644),0)*AC$619</f>
        <v>71.382500000000007</v>
      </c>
      <c r="AD644" s="319">
        <f>IF(AD$621&gt;=$C644,MIN(-(SUM($F644:AC644)-$E644),($E644*(1-$D$623))*$D644),0)*AD$619</f>
        <v>71.382500000000007</v>
      </c>
      <c r="AE644" s="319">
        <f>IF(AE$621&gt;=$C644,MIN(-(SUM($F644:AD644)-$E644),($E644*(1-$D$623))*$D644),0)*AE$619</f>
        <v>71.382500000000007</v>
      </c>
      <c r="AF644" s="319">
        <f>IF(AF$621&gt;=$C644,MIN(-(SUM($F644:AE644)-$E644),($E644*(1-$D$623))*$D644),0)*AF$619</f>
        <v>71.382500000000007</v>
      </c>
      <c r="AG644" s="319">
        <f>IF(AG$621&gt;=$C644,MIN(-(SUM($F644:AF644)-$E644),($E644*(1-$D$623))*$D644),0)*AG$619</f>
        <v>71.382500000000007</v>
      </c>
      <c r="AH644" s="319">
        <f>IF(AH$621&gt;=$C644,MIN(-(SUM($F644:AG644)-$E644),($E644*(1-$D$623))*$D644),0)*AH$619</f>
        <v>71.382499999999936</v>
      </c>
      <c r="AI644" s="319">
        <f>IF(AI$621&gt;=$C644,MIN(-(SUM($F644:AH644)-$E644),($E644*(1-$D$623))*$D644),0)*AI$619</f>
        <v>0</v>
      </c>
      <c r="AJ644" s="319">
        <f>IF(AJ$621&gt;=$C644,MIN(-(SUM($F644:AI644)-$E644),($E644*(1-$D$623))*$D644),0)*AJ$619</f>
        <v>0</v>
      </c>
      <c r="AK644" s="319">
        <f>IF(AK$621&gt;=$C644,MIN(-(SUM($F644:AJ644)-$E644),($E644*(1-$D$623))*$D644),0)*AK$619</f>
        <v>0</v>
      </c>
      <c r="AL644" s="319">
        <f>IF(AL$621&gt;=$C644,MIN(-(SUM($F644:AK644)-$E644),($E644*(1-$D$623))*$D644),0)*AL$619</f>
        <v>0</v>
      </c>
      <c r="AM644" s="319">
        <f>IF(AM$621&gt;=$C644,MIN(-(SUM($F644:AL644)-$E644),($E644*(1-$D$623))*$D644),0)*AM$619</f>
        <v>0</v>
      </c>
      <c r="AN644" s="319">
        <f>IF(AN$621&gt;=$C644,MIN(-(SUM($F644:AM644)-$E644),($E644*(1-$D$623))*$D644),0)*AN$619</f>
        <v>0</v>
      </c>
    </row>
    <row r="645" spans="3:40" outlineLevel="4">
      <c r="C645">
        <v>20</v>
      </c>
      <c r="D645">
        <f>Inputs!$D$262</f>
        <v>0.1</v>
      </c>
      <c r="E645" s="319">
        <v>0</v>
      </c>
      <c r="F645" s="319">
        <f>E645*D623</f>
        <v>0</v>
      </c>
      <c r="G645" s="319">
        <f>IF(G$621&gt;=$C645,MIN(-(SUM(F645:$F645)-$E645),($E645*(1-$D$623))*$D645),0)*G$619</f>
        <v>0</v>
      </c>
      <c r="H645" s="319">
        <f>IF(H$621&gt;=$C645,MIN(-(SUM($F645:G645)-$E645),($E645*(1-$D$623))*$D645),0)*H$619</f>
        <v>0</v>
      </c>
      <c r="I645" s="319">
        <f>IF(I$621&gt;=$C645,MIN(-(SUM($F645:H645)-$E645),($E645*(1-$D$623))*$D645),0)*I$619</f>
        <v>0</v>
      </c>
      <c r="J645" s="319">
        <f>IF(J$621&gt;=$C645,MIN(-(SUM($F645:I645)-$E645),($E645*(1-$D$623))*$D645),0)*J$619</f>
        <v>0</v>
      </c>
      <c r="K645" s="319">
        <f>IF(K$621&gt;=$C645,MIN(-(SUM($F645:J645)-$E645),($E645*(1-$D$623))*$D645),0)*K$619</f>
        <v>0</v>
      </c>
      <c r="L645" s="319">
        <f>IF(L$621&gt;=$C645,MIN(-(SUM($F645:K645)-$E645),($E645*(1-$D$623))*$D645),0)*L$619</f>
        <v>0</v>
      </c>
      <c r="M645" s="319">
        <f>IF(M$621&gt;=$C645,MIN(-(SUM($F645:L645)-$E645),($E645*(1-$D$623))*$D645),0)*M$619</f>
        <v>0</v>
      </c>
      <c r="N645" s="319">
        <f>IF(N$621&gt;=$C645,MIN(-(SUM($F645:M645)-$E645),($E645*(1-$D$623))*$D645),0)*N$619</f>
        <v>0</v>
      </c>
      <c r="O645" s="319">
        <f>IF(O$621&gt;=$C645,MIN(-(SUM($F645:N645)-$E645),($E645*(1-$D$623))*$D645),0)*O$619</f>
        <v>0</v>
      </c>
      <c r="P645" s="319">
        <f>IF(P$621&gt;=$C645,MIN(-(SUM($F645:O645)-$E645),($E645*(1-$D$623))*$D645),0)*P$619</f>
        <v>0</v>
      </c>
      <c r="Q645" s="319">
        <f>IF(Q$621&gt;=$C645,MIN(-(SUM($F645:P645)-$E645),($E645*(1-$D$623))*$D645),0)*Q$619</f>
        <v>0</v>
      </c>
      <c r="R645" s="319">
        <f>IF(R$621&gt;=$C645,MIN(-(SUM($F645:Q645)-$E645),($E645*(1-$D$623))*$D645),0)*R$619</f>
        <v>0</v>
      </c>
      <c r="S645" s="319">
        <f>IF(S$621&gt;=$C645,MIN(-(SUM($F645:R645)-$E645),($E645*(1-$D$623))*$D645),0)*S$619</f>
        <v>0</v>
      </c>
      <c r="T645" s="319">
        <f>IF(T$621&gt;=$C645,MIN(-(SUM($F645:S645)-$E645),($E645*(1-$D$623))*$D645),0)*T$619</f>
        <v>0</v>
      </c>
      <c r="U645" s="319">
        <f>IF(U$621&gt;=$C645,MIN(-(SUM($F645:T645)-$E645),($E645*(1-$D$623))*$D645),0)*U$619</f>
        <v>0</v>
      </c>
      <c r="V645" s="319">
        <f>IF(V$621&gt;=$C645,MIN(-(SUM($F645:U645)-$E645),($E645*(1-$D$623))*$D645),0)*V$619</f>
        <v>0</v>
      </c>
      <c r="W645" s="319">
        <f>IF(W$621&gt;=$C645,MIN(-(SUM($F645:V645)-$E645),($E645*(1-$D$623))*$D645),0)*W$619</f>
        <v>0</v>
      </c>
      <c r="X645" s="319">
        <f>IF(X$621&gt;=$C645,MIN(-(SUM($F645:W645)-$E645),($E645*(1-$D$623))*$D645),0)*X$619</f>
        <v>0</v>
      </c>
      <c r="Y645" s="319">
        <f>IF(Y$621&gt;=$C645,MIN(-(SUM($F645:X645)-$E645),($E645*(1-$D$623))*$D645),0)*Y$619</f>
        <v>0</v>
      </c>
      <c r="Z645" s="319">
        <f>IF(Z$621&gt;=$C645,MIN(-(SUM($F645:Y645)-$E645),($E645*(1-$D$623))*$D645),0)*Z$619</f>
        <v>0</v>
      </c>
      <c r="AA645" s="319">
        <f>IF(AA$621&gt;=$C645,MIN(-(SUM($F645:Z645)-$E645),($E645*(1-$D$623))*$D645),0)*AA$619</f>
        <v>0</v>
      </c>
      <c r="AB645" s="319">
        <f>IF(AB$621&gt;=$C645,MIN(-(SUM($F645:AA645)-$E645),($E645*(1-$D$623))*$D645),0)*AB$619</f>
        <v>0</v>
      </c>
      <c r="AC645" s="319">
        <f>IF(AC$621&gt;=$C645,MIN(-(SUM($F645:AB645)-$E645),($E645*(1-$D$623))*$D645),0)*AC$619</f>
        <v>0</v>
      </c>
      <c r="AD645" s="319">
        <f>IF(AD$621&gt;=$C645,MIN(-(SUM($F645:AC645)-$E645),($E645*(1-$D$623))*$D645),0)*AD$619</f>
        <v>0</v>
      </c>
      <c r="AE645" s="319">
        <f>IF(AE$621&gt;=$C645,MIN(-(SUM($F645:AD645)-$E645),($E645*(1-$D$623))*$D645),0)*AE$619</f>
        <v>0</v>
      </c>
      <c r="AF645" s="319">
        <f>IF(AF$621&gt;=$C645,MIN(-(SUM($F645:AE645)-$E645),($E645*(1-$D$623))*$D645),0)*AF$619</f>
        <v>0</v>
      </c>
      <c r="AG645" s="319">
        <f>IF(AG$621&gt;=$C645,MIN(-(SUM($F645:AF645)-$E645),($E645*(1-$D$623))*$D645),0)*AG$619</f>
        <v>0</v>
      </c>
      <c r="AH645" s="319">
        <f>IF(AH$621&gt;=$C645,MIN(-(SUM($F645:AG645)-$E645),($E645*(1-$D$623))*$D645),0)*AH$619</f>
        <v>0</v>
      </c>
      <c r="AI645" s="319">
        <f>IF(AI$621&gt;=$C645,MIN(-(SUM($F645:AH645)-$E645),($E645*(1-$D$623))*$D645),0)*AI$619</f>
        <v>0</v>
      </c>
      <c r="AJ645" s="319">
        <f>IF(AJ$621&gt;=$C645,MIN(-(SUM($F645:AI645)-$E645),($E645*(1-$D$623))*$D645),0)*AJ$619</f>
        <v>0</v>
      </c>
      <c r="AK645" s="319">
        <f>IF(AK$621&gt;=$C645,MIN(-(SUM($F645:AJ645)-$E645),($E645*(1-$D$623))*$D645),0)*AK$619</f>
        <v>0</v>
      </c>
      <c r="AL645" s="319">
        <f>IF(AL$621&gt;=$C645,MIN(-(SUM($F645:AK645)-$E645),($E645*(1-$D$623))*$D645),0)*AL$619</f>
        <v>0</v>
      </c>
      <c r="AM645" s="319">
        <f>IF(AM$621&gt;=$C645,MIN(-(SUM($F645:AL645)-$E645),($E645*(1-$D$623))*$D645),0)*AM$619</f>
        <v>0</v>
      </c>
      <c r="AN645" s="319">
        <f>IF(AN$621&gt;=$C645,MIN(-(SUM($F645:AM645)-$E645),($E645*(1-$D$623))*$D645),0)*AN$619</f>
        <v>0</v>
      </c>
    </row>
    <row r="646" spans="3:40" outlineLevel="4">
      <c r="C646">
        <v>21</v>
      </c>
      <c r="D646">
        <f>Inputs!$D$262</f>
        <v>0.1</v>
      </c>
      <c r="E646" s="319">
        <v>58.048172844359605</v>
      </c>
      <c r="F646" s="319">
        <f>E646*D623</f>
        <v>0</v>
      </c>
      <c r="G646" s="319">
        <f>IF(G$621&gt;=$C646,MIN(-(SUM(F646:$F646)-$E646),($E646*(1-$D$623))*$D646),0)*G$619</f>
        <v>0</v>
      </c>
      <c r="H646" s="319">
        <f>IF(H$621&gt;=$C646,MIN(-(SUM($F646:G646)-$E646),($E646*(1-$D$623))*$D646),0)*H$619</f>
        <v>0</v>
      </c>
      <c r="I646" s="319">
        <f>IF(I$621&gt;=$C646,MIN(-(SUM($F646:H646)-$E646),($E646*(1-$D$623))*$D646),0)*I$619</f>
        <v>0</v>
      </c>
      <c r="J646" s="319">
        <f>IF(J$621&gt;=$C646,MIN(-(SUM($F646:I646)-$E646),($E646*(1-$D$623))*$D646),0)*J$619</f>
        <v>0</v>
      </c>
      <c r="K646" s="319">
        <f>IF(K$621&gt;=$C646,MIN(-(SUM($F646:J646)-$E646),($E646*(1-$D$623))*$D646),0)*K$619</f>
        <v>0</v>
      </c>
      <c r="L646" s="319">
        <f>IF(L$621&gt;=$C646,MIN(-(SUM($F646:K646)-$E646),($E646*(1-$D$623))*$D646),0)*L$619</f>
        <v>0</v>
      </c>
      <c r="M646" s="319">
        <f>IF(M$621&gt;=$C646,MIN(-(SUM($F646:L646)-$E646),($E646*(1-$D$623))*$D646),0)*M$619</f>
        <v>0</v>
      </c>
      <c r="N646" s="319">
        <f>IF(N$621&gt;=$C646,MIN(-(SUM($F646:M646)-$E646),($E646*(1-$D$623))*$D646),0)*N$619</f>
        <v>0</v>
      </c>
      <c r="O646" s="319">
        <f>IF(O$621&gt;=$C646,MIN(-(SUM($F646:N646)-$E646),($E646*(1-$D$623))*$D646),0)*O$619</f>
        <v>0</v>
      </c>
      <c r="P646" s="319">
        <f>IF(P$621&gt;=$C646,MIN(-(SUM($F646:O646)-$E646),($E646*(1-$D$623))*$D646),0)*P$619</f>
        <v>0</v>
      </c>
      <c r="Q646" s="319">
        <f>IF(Q$621&gt;=$C646,MIN(-(SUM($F646:P646)-$E646),($E646*(1-$D$623))*$D646),0)*Q$619</f>
        <v>0</v>
      </c>
      <c r="R646" s="319">
        <f>IF(R$621&gt;=$C646,MIN(-(SUM($F646:Q646)-$E646),($E646*(1-$D$623))*$D646),0)*R$619</f>
        <v>0</v>
      </c>
      <c r="S646" s="319">
        <f>IF(S$621&gt;=$C646,MIN(-(SUM($F646:R646)-$E646),($E646*(1-$D$623))*$D646),0)*S$619</f>
        <v>0</v>
      </c>
      <c r="T646" s="319">
        <f>IF(T$621&gt;=$C646,MIN(-(SUM($F646:S646)-$E646),($E646*(1-$D$623))*$D646),0)*T$619</f>
        <v>0</v>
      </c>
      <c r="U646" s="319">
        <f>IF(U$621&gt;=$C646,MIN(-(SUM($F646:T646)-$E646),($E646*(1-$D$623))*$D646),0)*U$619</f>
        <v>0</v>
      </c>
      <c r="V646" s="319">
        <f>IF(V$621&gt;=$C646,MIN(-(SUM($F646:U646)-$E646),($E646*(1-$D$623))*$D646),0)*V$619</f>
        <v>0</v>
      </c>
      <c r="W646" s="319">
        <f>IF(W$621&gt;=$C646,MIN(-(SUM($F646:V646)-$E646),($E646*(1-$D$623))*$D646),0)*W$619</f>
        <v>0</v>
      </c>
      <c r="X646" s="319">
        <f>IF(X$621&gt;=$C646,MIN(-(SUM($F646:W646)-$E646),($E646*(1-$D$623))*$D646),0)*X$619</f>
        <v>0</v>
      </c>
      <c r="Y646" s="319">
        <f>IF(Y$621&gt;=$C646,MIN(-(SUM($F646:X646)-$E646),($E646*(1-$D$623))*$D646),0)*Y$619</f>
        <v>0</v>
      </c>
      <c r="Z646" s="319">
        <f>IF(Z$621&gt;=$C646,MIN(-(SUM($F646:Y646)-$E646),($E646*(1-$D$623))*$D646),0)*Z$619</f>
        <v>0</v>
      </c>
      <c r="AA646" s="319">
        <f>IF(AA$621&gt;=$C646,MIN(-(SUM($F646:Z646)-$E646),($E646*(1-$D$623))*$D646),0)*AA$619</f>
        <v>5.8048172844359609</v>
      </c>
      <c r="AB646" s="319">
        <f>IF(AB$621&gt;=$C646,MIN(-(SUM($F646:AA646)-$E646),($E646*(1-$D$623))*$D646),0)*AB$619</f>
        <v>5.8048172844359609</v>
      </c>
      <c r="AC646" s="319">
        <f>IF(AC$621&gt;=$C646,MIN(-(SUM($F646:AB646)-$E646),($E646*(1-$D$623))*$D646),0)*AC$619</f>
        <v>5.8048172844359609</v>
      </c>
      <c r="AD646" s="319">
        <f>IF(AD$621&gt;=$C646,MIN(-(SUM($F646:AC646)-$E646),($E646*(1-$D$623))*$D646),0)*AD$619</f>
        <v>5.8048172844359609</v>
      </c>
      <c r="AE646" s="319">
        <f>IF(AE$621&gt;=$C646,MIN(-(SUM($F646:AD646)-$E646),($E646*(1-$D$623))*$D646),0)*AE$619</f>
        <v>5.8048172844359609</v>
      </c>
      <c r="AF646" s="319">
        <f>IF(AF$621&gt;=$C646,MIN(-(SUM($F646:AE646)-$E646),($E646*(1-$D$623))*$D646),0)*AF$619</f>
        <v>5.8048172844359609</v>
      </c>
      <c r="AG646" s="319">
        <f>IF(AG$621&gt;=$C646,MIN(-(SUM($F646:AF646)-$E646),($E646*(1-$D$623))*$D646),0)*AG$619</f>
        <v>5.8048172844359609</v>
      </c>
      <c r="AH646" s="319">
        <f>IF(AH$621&gt;=$C646,MIN(-(SUM($F646:AG646)-$E646),($E646*(1-$D$623))*$D646),0)*AH$619</f>
        <v>5.8048172844359609</v>
      </c>
      <c r="AI646" s="319">
        <f>IF(AI$621&gt;=$C646,MIN(-(SUM($F646:AH646)-$E646),($E646*(1-$D$623))*$D646),0)*AI$619</f>
        <v>5.8048172844359609</v>
      </c>
      <c r="AJ646" s="319">
        <f>IF(AJ$621&gt;=$C646,MIN(-(SUM($F646:AI646)-$E646),($E646*(1-$D$623))*$D646),0)*AJ$619</f>
        <v>5.8048172844359485</v>
      </c>
      <c r="AK646" s="319">
        <f>IF(AK$621&gt;=$C646,MIN(-(SUM($F646:AJ646)-$E646),($E646*(1-$D$623))*$D646),0)*AK$619</f>
        <v>0</v>
      </c>
      <c r="AL646" s="319">
        <f>IF(AL$621&gt;=$C646,MIN(-(SUM($F646:AK646)-$E646),($E646*(1-$D$623))*$D646),0)*AL$619</f>
        <v>0</v>
      </c>
      <c r="AM646" s="319">
        <f>IF(AM$621&gt;=$C646,MIN(-(SUM($F646:AL646)-$E646),($E646*(1-$D$623))*$D646),0)*AM$619</f>
        <v>0</v>
      </c>
      <c r="AN646" s="319">
        <f>IF(AN$621&gt;=$C646,MIN(-(SUM($F646:AM646)-$E646),($E646*(1-$D$623))*$D646),0)*AN$619</f>
        <v>0</v>
      </c>
    </row>
    <row r="647" spans="3:40" outlineLevel="4">
      <c r="C647">
        <v>22</v>
      </c>
      <c r="D647">
        <f>Inputs!$D$262</f>
        <v>0.1</v>
      </c>
      <c r="E647" s="319">
        <v>345.37706153016904</v>
      </c>
      <c r="F647" s="319">
        <f>E647*D623</f>
        <v>0</v>
      </c>
      <c r="G647" s="319">
        <f>IF(G$621&gt;=$C647,MIN(-(SUM(F647:$F647)-$E647),($E647*(1-$D$623))*$D647),0)*G$619</f>
        <v>0</v>
      </c>
      <c r="H647" s="319">
        <f>IF(H$621&gt;=$C647,MIN(-(SUM($F647:G647)-$E647),($E647*(1-$D$623))*$D647),0)*H$619</f>
        <v>0</v>
      </c>
      <c r="I647" s="319">
        <f>IF(I$621&gt;=$C647,MIN(-(SUM($F647:H647)-$E647),($E647*(1-$D$623))*$D647),0)*I$619</f>
        <v>0</v>
      </c>
      <c r="J647" s="319">
        <f>IF(J$621&gt;=$C647,MIN(-(SUM($F647:I647)-$E647),($E647*(1-$D$623))*$D647),0)*J$619</f>
        <v>0</v>
      </c>
      <c r="K647" s="319">
        <f>IF(K$621&gt;=$C647,MIN(-(SUM($F647:J647)-$E647),($E647*(1-$D$623))*$D647),0)*K$619</f>
        <v>0</v>
      </c>
      <c r="L647" s="319">
        <f>IF(L$621&gt;=$C647,MIN(-(SUM($F647:K647)-$E647),($E647*(1-$D$623))*$D647),0)*L$619</f>
        <v>0</v>
      </c>
      <c r="M647" s="319">
        <f>IF(M$621&gt;=$C647,MIN(-(SUM($F647:L647)-$E647),($E647*(1-$D$623))*$D647),0)*M$619</f>
        <v>0</v>
      </c>
      <c r="N647" s="319">
        <f>IF(N$621&gt;=$C647,MIN(-(SUM($F647:M647)-$E647),($E647*(1-$D$623))*$D647),0)*N$619</f>
        <v>0</v>
      </c>
      <c r="O647" s="319">
        <f>IF(O$621&gt;=$C647,MIN(-(SUM($F647:N647)-$E647),($E647*(1-$D$623))*$D647),0)*O$619</f>
        <v>0</v>
      </c>
      <c r="P647" s="319">
        <f>IF(P$621&gt;=$C647,MIN(-(SUM($F647:O647)-$E647),($E647*(1-$D$623))*$D647),0)*P$619</f>
        <v>0</v>
      </c>
      <c r="Q647" s="319">
        <f>IF(Q$621&gt;=$C647,MIN(-(SUM($F647:P647)-$E647),($E647*(1-$D$623))*$D647),0)*Q$619</f>
        <v>0</v>
      </c>
      <c r="R647" s="319">
        <f>IF(R$621&gt;=$C647,MIN(-(SUM($F647:Q647)-$E647),($E647*(1-$D$623))*$D647),0)*R$619</f>
        <v>0</v>
      </c>
      <c r="S647" s="319">
        <f>IF(S$621&gt;=$C647,MIN(-(SUM($F647:R647)-$E647),($E647*(1-$D$623))*$D647),0)*S$619</f>
        <v>0</v>
      </c>
      <c r="T647" s="319">
        <f>IF(T$621&gt;=$C647,MIN(-(SUM($F647:S647)-$E647),($E647*(1-$D$623))*$D647),0)*T$619</f>
        <v>0</v>
      </c>
      <c r="U647" s="319">
        <f>IF(U$621&gt;=$C647,MIN(-(SUM($F647:T647)-$E647),($E647*(1-$D$623))*$D647),0)*U$619</f>
        <v>0</v>
      </c>
      <c r="V647" s="319">
        <f>IF(V$621&gt;=$C647,MIN(-(SUM($F647:U647)-$E647),($E647*(1-$D$623))*$D647),0)*V$619</f>
        <v>0</v>
      </c>
      <c r="W647" s="319">
        <f>IF(W$621&gt;=$C647,MIN(-(SUM($F647:V647)-$E647),($E647*(1-$D$623))*$D647),0)*W$619</f>
        <v>0</v>
      </c>
      <c r="X647" s="319">
        <f>IF(X$621&gt;=$C647,MIN(-(SUM($F647:W647)-$E647),($E647*(1-$D$623))*$D647),0)*X$619</f>
        <v>0</v>
      </c>
      <c r="Y647" s="319">
        <f>IF(Y$621&gt;=$C647,MIN(-(SUM($F647:X647)-$E647),($E647*(1-$D$623))*$D647),0)*Y$619</f>
        <v>0</v>
      </c>
      <c r="Z647" s="319">
        <f>IF(Z$621&gt;=$C647,MIN(-(SUM($F647:Y647)-$E647),($E647*(1-$D$623))*$D647),0)*Z$619</f>
        <v>0</v>
      </c>
      <c r="AA647" s="319">
        <f>IF(AA$621&gt;=$C647,MIN(-(SUM($F647:Z647)-$E647),($E647*(1-$D$623))*$D647),0)*AA$619</f>
        <v>0</v>
      </c>
      <c r="AB647" s="319">
        <f>IF(AB$621&gt;=$C647,MIN(-(SUM($F647:AA647)-$E647),($E647*(1-$D$623))*$D647),0)*AB$619</f>
        <v>34.537706153016906</v>
      </c>
      <c r="AC647" s="319">
        <f>IF(AC$621&gt;=$C647,MIN(-(SUM($F647:AB647)-$E647),($E647*(1-$D$623))*$D647),0)*AC$619</f>
        <v>34.537706153016906</v>
      </c>
      <c r="AD647" s="319">
        <f>IF(AD$621&gt;=$C647,MIN(-(SUM($F647:AC647)-$E647),($E647*(1-$D$623))*$D647),0)*AD$619</f>
        <v>34.537706153016906</v>
      </c>
      <c r="AE647" s="319">
        <f>IF(AE$621&gt;=$C647,MIN(-(SUM($F647:AD647)-$E647),($E647*(1-$D$623))*$D647),0)*AE$619</f>
        <v>34.537706153016906</v>
      </c>
      <c r="AF647" s="319">
        <f>IF(AF$621&gt;=$C647,MIN(-(SUM($F647:AE647)-$E647),($E647*(1-$D$623))*$D647),0)*AF$619</f>
        <v>34.537706153016906</v>
      </c>
      <c r="AG647" s="319">
        <f>IF(AG$621&gt;=$C647,MIN(-(SUM($F647:AF647)-$E647),($E647*(1-$D$623))*$D647),0)*AG$619</f>
        <v>34.537706153016906</v>
      </c>
      <c r="AH647" s="319">
        <f>IF(AH$621&gt;=$C647,MIN(-(SUM($F647:AG647)-$E647),($E647*(1-$D$623))*$D647),0)*AH$619</f>
        <v>34.537706153016906</v>
      </c>
      <c r="AI647" s="319">
        <f>IF(AI$621&gt;=$C647,MIN(-(SUM($F647:AH647)-$E647),($E647*(1-$D$623))*$D647),0)*AI$619</f>
        <v>34.537706153016906</v>
      </c>
      <c r="AJ647" s="319">
        <f>IF(AJ$621&gt;=$C647,MIN(-(SUM($F647:AI647)-$E647),($E647*(1-$D$623))*$D647),0)*AJ$619</f>
        <v>34.537706153016906</v>
      </c>
      <c r="AK647" s="319">
        <f>IF(AK$621&gt;=$C647,MIN(-(SUM($F647:AJ647)-$E647),($E647*(1-$D$623))*$D647),0)*AK$619</f>
        <v>0</v>
      </c>
      <c r="AL647" s="319">
        <f>IF(AL$621&gt;=$C647,MIN(-(SUM($F647:AK647)-$E647),($E647*(1-$D$623))*$D647),0)*AL$619</f>
        <v>0</v>
      </c>
      <c r="AM647" s="319">
        <f>IF(AM$621&gt;=$C647,MIN(-(SUM($F647:AL647)-$E647),($E647*(1-$D$623))*$D647),0)*AM$619</f>
        <v>0</v>
      </c>
      <c r="AN647" s="319">
        <f>IF(AN$621&gt;=$C647,MIN(-(SUM($F647:AM647)-$E647),($E647*(1-$D$623))*$D647),0)*AN$619</f>
        <v>0</v>
      </c>
    </row>
    <row r="648" spans="3:40" outlineLevel="4">
      <c r="C648">
        <v>23</v>
      </c>
      <c r="D648">
        <f>Inputs!$D$262</f>
        <v>0.1</v>
      </c>
      <c r="E648" s="319">
        <v>31.779858432000005</v>
      </c>
      <c r="F648" s="319">
        <f>E648*D623</f>
        <v>0</v>
      </c>
      <c r="G648" s="319">
        <f>IF(G$621&gt;=$C648,MIN(-(SUM(F648:$F648)-$E648),($E648*(1-$D$623))*$D648),0)*G$619</f>
        <v>0</v>
      </c>
      <c r="H648" s="319">
        <f>IF(H$621&gt;=$C648,MIN(-(SUM($F648:G648)-$E648),($E648*(1-$D$623))*$D648),0)*H$619</f>
        <v>0</v>
      </c>
      <c r="I648" s="319">
        <f>IF(I$621&gt;=$C648,MIN(-(SUM($F648:H648)-$E648),($E648*(1-$D$623))*$D648),0)*I$619</f>
        <v>0</v>
      </c>
      <c r="J648" s="319">
        <f>IF(J$621&gt;=$C648,MIN(-(SUM($F648:I648)-$E648),($E648*(1-$D$623))*$D648),0)*J$619</f>
        <v>0</v>
      </c>
      <c r="K648" s="319">
        <f>IF(K$621&gt;=$C648,MIN(-(SUM($F648:J648)-$E648),($E648*(1-$D$623))*$D648),0)*K$619</f>
        <v>0</v>
      </c>
      <c r="L648" s="319">
        <f>IF(L$621&gt;=$C648,MIN(-(SUM($F648:K648)-$E648),($E648*(1-$D$623))*$D648),0)*L$619</f>
        <v>0</v>
      </c>
      <c r="M648" s="319">
        <f>IF(M$621&gt;=$C648,MIN(-(SUM($F648:L648)-$E648),($E648*(1-$D$623))*$D648),0)*M$619</f>
        <v>0</v>
      </c>
      <c r="N648" s="319">
        <f>IF(N$621&gt;=$C648,MIN(-(SUM($F648:M648)-$E648),($E648*(1-$D$623))*$D648),0)*N$619</f>
        <v>0</v>
      </c>
      <c r="O648" s="319">
        <f>IF(O$621&gt;=$C648,MIN(-(SUM($F648:N648)-$E648),($E648*(1-$D$623))*$D648),0)*O$619</f>
        <v>0</v>
      </c>
      <c r="P648" s="319">
        <f>IF(P$621&gt;=$C648,MIN(-(SUM($F648:O648)-$E648),($E648*(1-$D$623))*$D648),0)*P$619</f>
        <v>0</v>
      </c>
      <c r="Q648" s="319">
        <f>IF(Q$621&gt;=$C648,MIN(-(SUM($F648:P648)-$E648),($E648*(1-$D$623))*$D648),0)*Q$619</f>
        <v>0</v>
      </c>
      <c r="R648" s="319">
        <f>IF(R$621&gt;=$C648,MIN(-(SUM($F648:Q648)-$E648),($E648*(1-$D$623))*$D648),0)*R$619</f>
        <v>0</v>
      </c>
      <c r="S648" s="319">
        <f>IF(S$621&gt;=$C648,MIN(-(SUM($F648:R648)-$E648),($E648*(1-$D$623))*$D648),0)*S$619</f>
        <v>0</v>
      </c>
      <c r="T648" s="319">
        <f>IF(T$621&gt;=$C648,MIN(-(SUM($F648:S648)-$E648),($E648*(1-$D$623))*$D648),0)*T$619</f>
        <v>0</v>
      </c>
      <c r="U648" s="319">
        <f>IF(U$621&gt;=$C648,MIN(-(SUM($F648:T648)-$E648),($E648*(1-$D$623))*$D648),0)*U$619</f>
        <v>0</v>
      </c>
      <c r="V648" s="319">
        <f>IF(V$621&gt;=$C648,MIN(-(SUM($F648:U648)-$E648),($E648*(1-$D$623))*$D648),0)*V$619</f>
        <v>0</v>
      </c>
      <c r="W648" s="319">
        <f>IF(W$621&gt;=$C648,MIN(-(SUM($F648:V648)-$E648),($E648*(1-$D$623))*$D648),0)*W$619</f>
        <v>0</v>
      </c>
      <c r="X648" s="319">
        <f>IF(X$621&gt;=$C648,MIN(-(SUM($F648:W648)-$E648),($E648*(1-$D$623))*$D648),0)*X$619</f>
        <v>0</v>
      </c>
      <c r="Y648" s="319">
        <f>IF(Y$621&gt;=$C648,MIN(-(SUM($F648:X648)-$E648),($E648*(1-$D$623))*$D648),0)*Y$619</f>
        <v>0</v>
      </c>
      <c r="Z648" s="319">
        <f>IF(Z$621&gt;=$C648,MIN(-(SUM($F648:Y648)-$E648),($E648*(1-$D$623))*$D648),0)*Z$619</f>
        <v>0</v>
      </c>
      <c r="AA648" s="319">
        <f>IF(AA$621&gt;=$C648,MIN(-(SUM($F648:Z648)-$E648),($E648*(1-$D$623))*$D648),0)*AA$619</f>
        <v>0</v>
      </c>
      <c r="AB648" s="319">
        <f>IF(AB$621&gt;=$C648,MIN(-(SUM($F648:AA648)-$E648),($E648*(1-$D$623))*$D648),0)*AB$619</f>
        <v>0</v>
      </c>
      <c r="AC648" s="319">
        <f>IF(AC$621&gt;=$C648,MIN(-(SUM($F648:AB648)-$E648),($E648*(1-$D$623))*$D648),0)*AC$619</f>
        <v>3.1779858432000005</v>
      </c>
      <c r="AD648" s="319">
        <f>IF(AD$621&gt;=$C648,MIN(-(SUM($F648:AC648)-$E648),($E648*(1-$D$623))*$D648),0)*AD$619</f>
        <v>3.1779858432000005</v>
      </c>
      <c r="AE648" s="319">
        <f>IF(AE$621&gt;=$C648,MIN(-(SUM($F648:AD648)-$E648),($E648*(1-$D$623))*$D648),0)*AE$619</f>
        <v>3.1779858432000005</v>
      </c>
      <c r="AF648" s="319">
        <f>IF(AF$621&gt;=$C648,MIN(-(SUM($F648:AE648)-$E648),($E648*(1-$D$623))*$D648),0)*AF$619</f>
        <v>3.1779858432000005</v>
      </c>
      <c r="AG648" s="319">
        <f>IF(AG$621&gt;=$C648,MIN(-(SUM($F648:AF648)-$E648),($E648*(1-$D$623))*$D648),0)*AG$619</f>
        <v>3.1779858432000005</v>
      </c>
      <c r="AH648" s="319">
        <f>IF(AH$621&gt;=$C648,MIN(-(SUM($F648:AG648)-$E648),($E648*(1-$D$623))*$D648),0)*AH$619</f>
        <v>3.1779858432000005</v>
      </c>
      <c r="AI648" s="319">
        <f>IF(AI$621&gt;=$C648,MIN(-(SUM($F648:AH648)-$E648),($E648*(1-$D$623))*$D648),0)*AI$619</f>
        <v>3.1779858432000005</v>
      </c>
      <c r="AJ648" s="319">
        <f>IF(AJ$621&gt;=$C648,MIN(-(SUM($F648:AI648)-$E648),($E648*(1-$D$623))*$D648),0)*AJ$619</f>
        <v>3.1779858432000005</v>
      </c>
      <c r="AK648" s="319">
        <f>IF(AK$621&gt;=$C648,MIN(-(SUM($F648:AJ648)-$E648),($E648*(1-$D$623))*$D648),0)*AK$619</f>
        <v>0</v>
      </c>
      <c r="AL648" s="319">
        <f>IF(AL$621&gt;=$C648,MIN(-(SUM($F648:AK648)-$E648),($E648*(1-$D$623))*$D648),0)*AL$619</f>
        <v>0</v>
      </c>
      <c r="AM648" s="319">
        <f>IF(AM$621&gt;=$C648,MIN(-(SUM($F648:AL648)-$E648),($E648*(1-$D$623))*$D648),0)*AM$619</f>
        <v>0</v>
      </c>
      <c r="AN648" s="319">
        <f>IF(AN$621&gt;=$C648,MIN(-(SUM($F648:AM648)-$E648),($E648*(1-$D$623))*$D648),0)*AN$619</f>
        <v>0</v>
      </c>
    </row>
    <row r="649" spans="3:40" outlineLevel="4">
      <c r="C649">
        <v>24</v>
      </c>
      <c r="D649">
        <f>Inputs!$D$262</f>
        <v>0.1</v>
      </c>
      <c r="E649" s="319">
        <v>713.82500000000005</v>
      </c>
      <c r="F649" s="319">
        <f>E649*D623</f>
        <v>0</v>
      </c>
      <c r="G649" s="319">
        <f>IF(G$621&gt;=$C649,MIN(-(SUM(F649:$F649)-$E649),($E649*(1-$D$623))*$D649),0)*G$619</f>
        <v>0</v>
      </c>
      <c r="H649" s="319">
        <f>IF(H$621&gt;=$C649,MIN(-(SUM($F649:G649)-$E649),($E649*(1-$D$623))*$D649),0)*H$619</f>
        <v>0</v>
      </c>
      <c r="I649" s="319">
        <f>IF(I$621&gt;=$C649,MIN(-(SUM($F649:H649)-$E649),($E649*(1-$D$623))*$D649),0)*I$619</f>
        <v>0</v>
      </c>
      <c r="J649" s="319">
        <f>IF(J$621&gt;=$C649,MIN(-(SUM($F649:I649)-$E649),($E649*(1-$D$623))*$D649),0)*J$619</f>
        <v>0</v>
      </c>
      <c r="K649" s="319">
        <f>IF(K$621&gt;=$C649,MIN(-(SUM($F649:J649)-$E649),($E649*(1-$D$623))*$D649),0)*K$619</f>
        <v>0</v>
      </c>
      <c r="L649" s="319">
        <f>IF(L$621&gt;=$C649,MIN(-(SUM($F649:K649)-$E649),($E649*(1-$D$623))*$D649),0)*L$619</f>
        <v>0</v>
      </c>
      <c r="M649" s="319">
        <f>IF(M$621&gt;=$C649,MIN(-(SUM($F649:L649)-$E649),($E649*(1-$D$623))*$D649),0)*M$619</f>
        <v>0</v>
      </c>
      <c r="N649" s="319">
        <f>IF(N$621&gt;=$C649,MIN(-(SUM($F649:M649)-$E649),($E649*(1-$D$623))*$D649),0)*N$619</f>
        <v>0</v>
      </c>
      <c r="O649" s="319">
        <f>IF(O$621&gt;=$C649,MIN(-(SUM($F649:N649)-$E649),($E649*(1-$D$623))*$D649),0)*O$619</f>
        <v>0</v>
      </c>
      <c r="P649" s="319">
        <f>IF(P$621&gt;=$C649,MIN(-(SUM($F649:O649)-$E649),($E649*(1-$D$623))*$D649),0)*P$619</f>
        <v>0</v>
      </c>
      <c r="Q649" s="319">
        <f>IF(Q$621&gt;=$C649,MIN(-(SUM($F649:P649)-$E649),($E649*(1-$D$623))*$D649),0)*Q$619</f>
        <v>0</v>
      </c>
      <c r="R649" s="319">
        <f>IF(R$621&gt;=$C649,MIN(-(SUM($F649:Q649)-$E649),($E649*(1-$D$623))*$D649),0)*R$619</f>
        <v>0</v>
      </c>
      <c r="S649" s="319">
        <f>IF(S$621&gt;=$C649,MIN(-(SUM($F649:R649)-$E649),($E649*(1-$D$623))*$D649),0)*S$619</f>
        <v>0</v>
      </c>
      <c r="T649" s="319">
        <f>IF(T$621&gt;=$C649,MIN(-(SUM($F649:S649)-$E649),($E649*(1-$D$623))*$D649),0)*T$619</f>
        <v>0</v>
      </c>
      <c r="U649" s="319">
        <f>IF(U$621&gt;=$C649,MIN(-(SUM($F649:T649)-$E649),($E649*(1-$D$623))*$D649),0)*U$619</f>
        <v>0</v>
      </c>
      <c r="V649" s="319">
        <f>IF(V$621&gt;=$C649,MIN(-(SUM($F649:U649)-$E649),($E649*(1-$D$623))*$D649),0)*V$619</f>
        <v>0</v>
      </c>
      <c r="W649" s="319">
        <f>IF(W$621&gt;=$C649,MIN(-(SUM($F649:V649)-$E649),($E649*(1-$D$623))*$D649),0)*W$619</f>
        <v>0</v>
      </c>
      <c r="X649" s="319">
        <f>IF(X$621&gt;=$C649,MIN(-(SUM($F649:W649)-$E649),($E649*(1-$D$623))*$D649),0)*X$619</f>
        <v>0</v>
      </c>
      <c r="Y649" s="319">
        <f>IF(Y$621&gt;=$C649,MIN(-(SUM($F649:X649)-$E649),($E649*(1-$D$623))*$D649),0)*Y$619</f>
        <v>0</v>
      </c>
      <c r="Z649" s="319">
        <f>IF(Z$621&gt;=$C649,MIN(-(SUM($F649:Y649)-$E649),($E649*(1-$D$623))*$D649),0)*Z$619</f>
        <v>0</v>
      </c>
      <c r="AA649" s="319">
        <f>IF(AA$621&gt;=$C649,MIN(-(SUM($F649:Z649)-$E649),($E649*(1-$D$623))*$D649),0)*AA$619</f>
        <v>0</v>
      </c>
      <c r="AB649" s="319">
        <f>IF(AB$621&gt;=$C649,MIN(-(SUM($F649:AA649)-$E649),($E649*(1-$D$623))*$D649),0)*AB$619</f>
        <v>0</v>
      </c>
      <c r="AC649" s="319">
        <f>IF(AC$621&gt;=$C649,MIN(-(SUM($F649:AB649)-$E649),($E649*(1-$D$623))*$D649),0)*AC$619</f>
        <v>0</v>
      </c>
      <c r="AD649" s="319">
        <f>IF(AD$621&gt;=$C649,MIN(-(SUM($F649:AC649)-$E649),($E649*(1-$D$623))*$D649),0)*AD$619</f>
        <v>71.382500000000007</v>
      </c>
      <c r="AE649" s="319">
        <f>IF(AE$621&gt;=$C649,MIN(-(SUM($F649:AD649)-$E649),($E649*(1-$D$623))*$D649),0)*AE$619</f>
        <v>71.382500000000007</v>
      </c>
      <c r="AF649" s="319">
        <f>IF(AF$621&gt;=$C649,MIN(-(SUM($F649:AE649)-$E649),($E649*(1-$D$623))*$D649),0)*AF$619</f>
        <v>71.382500000000007</v>
      </c>
      <c r="AG649" s="319">
        <f>IF(AG$621&gt;=$C649,MIN(-(SUM($F649:AF649)-$E649),($E649*(1-$D$623))*$D649),0)*AG$619</f>
        <v>71.382500000000007</v>
      </c>
      <c r="AH649" s="319">
        <f>IF(AH$621&gt;=$C649,MIN(-(SUM($F649:AG649)-$E649),($E649*(1-$D$623))*$D649),0)*AH$619</f>
        <v>71.382500000000007</v>
      </c>
      <c r="AI649" s="319">
        <f>IF(AI$621&gt;=$C649,MIN(-(SUM($F649:AH649)-$E649),($E649*(1-$D$623))*$D649),0)*AI$619</f>
        <v>71.382500000000007</v>
      </c>
      <c r="AJ649" s="319">
        <f>IF(AJ$621&gt;=$C649,MIN(-(SUM($F649:AI649)-$E649),($E649*(1-$D$623))*$D649),0)*AJ$619</f>
        <v>71.382500000000007</v>
      </c>
      <c r="AK649" s="319">
        <f>IF(AK$621&gt;=$C649,MIN(-(SUM($F649:AJ649)-$E649),($E649*(1-$D$623))*$D649),0)*AK$619</f>
        <v>0</v>
      </c>
      <c r="AL649" s="319">
        <f>IF(AL$621&gt;=$C649,MIN(-(SUM($F649:AK649)-$E649),($E649*(1-$D$623))*$D649),0)*AL$619</f>
        <v>0</v>
      </c>
      <c r="AM649" s="319">
        <f>IF(AM$621&gt;=$C649,MIN(-(SUM($F649:AL649)-$E649),($E649*(1-$D$623))*$D649),0)*AM$619</f>
        <v>0</v>
      </c>
      <c r="AN649" s="319">
        <f>IF(AN$621&gt;=$C649,MIN(-(SUM($F649:AM649)-$E649),($E649*(1-$D$623))*$D649),0)*AN$619</f>
        <v>0</v>
      </c>
    </row>
    <row r="650" spans="3:40" outlineLevel="4">
      <c r="C650">
        <v>25</v>
      </c>
      <c r="D650">
        <f>Inputs!$D$262</f>
        <v>0.1</v>
      </c>
      <c r="E650" s="319">
        <v>285.52999999999997</v>
      </c>
      <c r="F650" s="319">
        <f>E650*D623</f>
        <v>0</v>
      </c>
      <c r="G650" s="319">
        <f>IF(G$621&gt;=$C650,MIN(-(SUM(F650:$F650)-$E650),($E650*(1-$D$623))*$D650),0)*G$619</f>
        <v>0</v>
      </c>
      <c r="H650" s="319">
        <f>IF(H$621&gt;=$C650,MIN(-(SUM($F650:G650)-$E650),($E650*(1-$D$623))*$D650),0)*H$619</f>
        <v>0</v>
      </c>
      <c r="I650" s="319">
        <f>IF(I$621&gt;=$C650,MIN(-(SUM($F650:H650)-$E650),($E650*(1-$D$623))*$D650),0)*I$619</f>
        <v>0</v>
      </c>
      <c r="J650" s="319">
        <f>IF(J$621&gt;=$C650,MIN(-(SUM($F650:I650)-$E650),($E650*(1-$D$623))*$D650),0)*J$619</f>
        <v>0</v>
      </c>
      <c r="K650" s="319">
        <f>IF(K$621&gt;=$C650,MIN(-(SUM($F650:J650)-$E650),($E650*(1-$D$623))*$D650),0)*K$619</f>
        <v>0</v>
      </c>
      <c r="L650" s="319">
        <f>IF(L$621&gt;=$C650,MIN(-(SUM($F650:K650)-$E650),($E650*(1-$D$623))*$D650),0)*L$619</f>
        <v>0</v>
      </c>
      <c r="M650" s="319">
        <f>IF(M$621&gt;=$C650,MIN(-(SUM($F650:L650)-$E650),($E650*(1-$D$623))*$D650),0)*M$619</f>
        <v>0</v>
      </c>
      <c r="N650" s="319">
        <f>IF(N$621&gt;=$C650,MIN(-(SUM($F650:M650)-$E650),($E650*(1-$D$623))*$D650),0)*N$619</f>
        <v>0</v>
      </c>
      <c r="O650" s="319">
        <f>IF(O$621&gt;=$C650,MIN(-(SUM($F650:N650)-$E650),($E650*(1-$D$623))*$D650),0)*O$619</f>
        <v>0</v>
      </c>
      <c r="P650" s="319">
        <f>IF(P$621&gt;=$C650,MIN(-(SUM($F650:O650)-$E650),($E650*(1-$D$623))*$D650),0)*P$619</f>
        <v>0</v>
      </c>
      <c r="Q650" s="319">
        <f>IF(Q$621&gt;=$C650,MIN(-(SUM($F650:P650)-$E650),($E650*(1-$D$623))*$D650),0)*Q$619</f>
        <v>0</v>
      </c>
      <c r="R650" s="319">
        <f>IF(R$621&gt;=$C650,MIN(-(SUM($F650:Q650)-$E650),($E650*(1-$D$623))*$D650),0)*R$619</f>
        <v>0</v>
      </c>
      <c r="S650" s="319">
        <f>IF(S$621&gt;=$C650,MIN(-(SUM($F650:R650)-$E650),($E650*(1-$D$623))*$D650),0)*S$619</f>
        <v>0</v>
      </c>
      <c r="T650" s="319">
        <f>IF(T$621&gt;=$C650,MIN(-(SUM($F650:S650)-$E650),($E650*(1-$D$623))*$D650),0)*T$619</f>
        <v>0</v>
      </c>
      <c r="U650" s="319">
        <f>IF(U$621&gt;=$C650,MIN(-(SUM($F650:T650)-$E650),($E650*(1-$D$623))*$D650),0)*U$619</f>
        <v>0</v>
      </c>
      <c r="V650" s="319">
        <f>IF(V$621&gt;=$C650,MIN(-(SUM($F650:U650)-$E650),($E650*(1-$D$623))*$D650),0)*V$619</f>
        <v>0</v>
      </c>
      <c r="W650" s="319">
        <f>IF(W$621&gt;=$C650,MIN(-(SUM($F650:V650)-$E650),($E650*(1-$D$623))*$D650),0)*W$619</f>
        <v>0</v>
      </c>
      <c r="X650" s="319">
        <f>IF(X$621&gt;=$C650,MIN(-(SUM($F650:W650)-$E650),($E650*(1-$D$623))*$D650),0)*X$619</f>
        <v>0</v>
      </c>
      <c r="Y650" s="319">
        <f>IF(Y$621&gt;=$C650,MIN(-(SUM($F650:X650)-$E650),($E650*(1-$D$623))*$D650),0)*Y$619</f>
        <v>0</v>
      </c>
      <c r="Z650" s="319">
        <f>IF(Z$621&gt;=$C650,MIN(-(SUM($F650:Y650)-$E650),($E650*(1-$D$623))*$D650),0)*Z$619</f>
        <v>0</v>
      </c>
      <c r="AA650" s="319">
        <f>IF(AA$621&gt;=$C650,MIN(-(SUM($F650:Z650)-$E650),($E650*(1-$D$623))*$D650),0)*AA$619</f>
        <v>0</v>
      </c>
      <c r="AB650" s="319">
        <f>IF(AB$621&gt;=$C650,MIN(-(SUM($F650:AA650)-$E650),($E650*(1-$D$623))*$D650),0)*AB$619</f>
        <v>0</v>
      </c>
      <c r="AC650" s="319">
        <f>IF(AC$621&gt;=$C650,MIN(-(SUM($F650:AB650)-$E650),($E650*(1-$D$623))*$D650),0)*AC$619</f>
        <v>0</v>
      </c>
      <c r="AD650" s="319">
        <f>IF(AD$621&gt;=$C650,MIN(-(SUM($F650:AC650)-$E650),($E650*(1-$D$623))*$D650),0)*AD$619</f>
        <v>0</v>
      </c>
      <c r="AE650" s="319">
        <f>IF(AE$621&gt;=$C650,MIN(-(SUM($F650:AD650)-$E650),($E650*(1-$D$623))*$D650),0)*AE$619</f>
        <v>28.552999999999997</v>
      </c>
      <c r="AF650" s="319">
        <f>IF(AF$621&gt;=$C650,MIN(-(SUM($F650:AE650)-$E650),($E650*(1-$D$623))*$D650),0)*AF$619</f>
        <v>28.552999999999997</v>
      </c>
      <c r="AG650" s="319">
        <f>IF(AG$621&gt;=$C650,MIN(-(SUM($F650:AF650)-$E650),($E650*(1-$D$623))*$D650),0)*AG$619</f>
        <v>28.552999999999997</v>
      </c>
      <c r="AH650" s="319">
        <f>IF(AH$621&gt;=$C650,MIN(-(SUM($F650:AG650)-$E650),($E650*(1-$D$623))*$D650),0)*AH$619</f>
        <v>28.552999999999997</v>
      </c>
      <c r="AI650" s="319">
        <f>IF(AI$621&gt;=$C650,MIN(-(SUM($F650:AH650)-$E650),($E650*(1-$D$623))*$D650),0)*AI$619</f>
        <v>28.552999999999997</v>
      </c>
      <c r="AJ650" s="319">
        <f>IF(AJ$621&gt;=$C650,MIN(-(SUM($F650:AI650)-$E650),($E650*(1-$D$623))*$D650),0)*AJ$619</f>
        <v>28.552999999999997</v>
      </c>
      <c r="AK650" s="319">
        <f>IF(AK$621&gt;=$C650,MIN(-(SUM($F650:AJ650)-$E650),($E650*(1-$D$623))*$D650),0)*AK$619</f>
        <v>0</v>
      </c>
      <c r="AL650" s="319">
        <f>IF(AL$621&gt;=$C650,MIN(-(SUM($F650:AK650)-$E650),($E650*(1-$D$623))*$D650),0)*AL$619</f>
        <v>0</v>
      </c>
      <c r="AM650" s="319">
        <f>IF(AM$621&gt;=$C650,MIN(-(SUM($F650:AL650)-$E650),($E650*(1-$D$623))*$D650),0)*AM$619</f>
        <v>0</v>
      </c>
      <c r="AN650" s="319">
        <f>IF(AN$621&gt;=$C650,MIN(-(SUM($F650:AM650)-$E650),($E650*(1-$D$623))*$D650),0)*AN$619</f>
        <v>0</v>
      </c>
    </row>
    <row r="651" spans="3:40" outlineLevel="4">
      <c r="C651">
        <v>26</v>
      </c>
      <c r="D651">
        <f>Inputs!$D$262</f>
        <v>0.1</v>
      </c>
      <c r="E651" s="319">
        <v>3165.3325443320537</v>
      </c>
      <c r="F651" s="319">
        <f>E651*D623</f>
        <v>0</v>
      </c>
      <c r="G651" s="319">
        <f>IF(G$621&gt;=$C651,MIN(-(SUM(F651:$F651)-$E651),($E651*(1-$D$623))*$D651),0)*G$619</f>
        <v>0</v>
      </c>
      <c r="H651" s="319">
        <f>IF(H$621&gt;=$C651,MIN(-(SUM($F651:G651)-$E651),($E651*(1-$D$623))*$D651),0)*H$619</f>
        <v>0</v>
      </c>
      <c r="I651" s="319">
        <f>IF(I$621&gt;=$C651,MIN(-(SUM($F651:H651)-$E651),($E651*(1-$D$623))*$D651),0)*I$619</f>
        <v>0</v>
      </c>
      <c r="J651" s="319">
        <f>IF(J$621&gt;=$C651,MIN(-(SUM($F651:I651)-$E651),($E651*(1-$D$623))*$D651),0)*J$619</f>
        <v>0</v>
      </c>
      <c r="K651" s="319">
        <f>IF(K$621&gt;=$C651,MIN(-(SUM($F651:J651)-$E651),($E651*(1-$D$623))*$D651),0)*K$619</f>
        <v>0</v>
      </c>
      <c r="L651" s="319">
        <f>IF(L$621&gt;=$C651,MIN(-(SUM($F651:K651)-$E651),($E651*(1-$D$623))*$D651),0)*L$619</f>
        <v>0</v>
      </c>
      <c r="M651" s="319">
        <f>IF(M$621&gt;=$C651,MIN(-(SUM($F651:L651)-$E651),($E651*(1-$D$623))*$D651),0)*M$619</f>
        <v>0</v>
      </c>
      <c r="N651" s="319">
        <f>IF(N$621&gt;=$C651,MIN(-(SUM($F651:M651)-$E651),($E651*(1-$D$623))*$D651),0)*N$619</f>
        <v>0</v>
      </c>
      <c r="O651" s="319">
        <f>IF(O$621&gt;=$C651,MIN(-(SUM($F651:N651)-$E651),($E651*(1-$D$623))*$D651),0)*O$619</f>
        <v>0</v>
      </c>
      <c r="P651" s="319">
        <f>IF(P$621&gt;=$C651,MIN(-(SUM($F651:O651)-$E651),($E651*(1-$D$623))*$D651),0)*P$619</f>
        <v>0</v>
      </c>
      <c r="Q651" s="319">
        <f>IF(Q$621&gt;=$C651,MIN(-(SUM($F651:P651)-$E651),($E651*(1-$D$623))*$D651),0)*Q$619</f>
        <v>0</v>
      </c>
      <c r="R651" s="319">
        <f>IF(R$621&gt;=$C651,MIN(-(SUM($F651:Q651)-$E651),($E651*(1-$D$623))*$D651),0)*R$619</f>
        <v>0</v>
      </c>
      <c r="S651" s="319">
        <f>IF(S$621&gt;=$C651,MIN(-(SUM($F651:R651)-$E651),($E651*(1-$D$623))*$D651),0)*S$619</f>
        <v>0</v>
      </c>
      <c r="T651" s="319">
        <f>IF(T$621&gt;=$C651,MIN(-(SUM($F651:S651)-$E651),($E651*(1-$D$623))*$D651),0)*T$619</f>
        <v>0</v>
      </c>
      <c r="U651" s="319">
        <f>IF(U$621&gt;=$C651,MIN(-(SUM($F651:T651)-$E651),($E651*(1-$D$623))*$D651),0)*U$619</f>
        <v>0</v>
      </c>
      <c r="V651" s="319">
        <f>IF(V$621&gt;=$C651,MIN(-(SUM($F651:U651)-$E651),($E651*(1-$D$623))*$D651),0)*V$619</f>
        <v>0</v>
      </c>
      <c r="W651" s="319">
        <f>IF(W$621&gt;=$C651,MIN(-(SUM($F651:V651)-$E651),($E651*(1-$D$623))*$D651),0)*W$619</f>
        <v>0</v>
      </c>
      <c r="X651" s="319">
        <f>IF(X$621&gt;=$C651,MIN(-(SUM($F651:W651)-$E651),($E651*(1-$D$623))*$D651),0)*X$619</f>
        <v>0</v>
      </c>
      <c r="Y651" s="319">
        <f>IF(Y$621&gt;=$C651,MIN(-(SUM($F651:X651)-$E651),($E651*(1-$D$623))*$D651),0)*Y$619</f>
        <v>0</v>
      </c>
      <c r="Z651" s="319">
        <f>IF(Z$621&gt;=$C651,MIN(-(SUM($F651:Y651)-$E651),($E651*(1-$D$623))*$D651),0)*Z$619</f>
        <v>0</v>
      </c>
      <c r="AA651" s="319">
        <f>IF(AA$621&gt;=$C651,MIN(-(SUM($F651:Z651)-$E651),($E651*(1-$D$623))*$D651),0)*AA$619</f>
        <v>0</v>
      </c>
      <c r="AB651" s="319">
        <f>IF(AB$621&gt;=$C651,MIN(-(SUM($F651:AA651)-$E651),($E651*(1-$D$623))*$D651),0)*AB$619</f>
        <v>0</v>
      </c>
      <c r="AC651" s="319">
        <f>IF(AC$621&gt;=$C651,MIN(-(SUM($F651:AB651)-$E651),($E651*(1-$D$623))*$D651),0)*AC$619</f>
        <v>0</v>
      </c>
      <c r="AD651" s="319">
        <f>IF(AD$621&gt;=$C651,MIN(-(SUM($F651:AC651)-$E651),($E651*(1-$D$623))*$D651),0)*AD$619</f>
        <v>0</v>
      </c>
      <c r="AE651" s="319">
        <f>IF(AE$621&gt;=$C651,MIN(-(SUM($F651:AD651)-$E651),($E651*(1-$D$623))*$D651),0)*AE$619</f>
        <v>0</v>
      </c>
      <c r="AF651" s="319">
        <f>IF(AF$621&gt;=$C651,MIN(-(SUM($F651:AE651)-$E651),($E651*(1-$D$623))*$D651),0)*AF$619</f>
        <v>316.5332544332054</v>
      </c>
      <c r="AG651" s="319">
        <f>IF(AG$621&gt;=$C651,MIN(-(SUM($F651:AF651)-$E651),($E651*(1-$D$623))*$D651),0)*AG$619</f>
        <v>316.5332544332054</v>
      </c>
      <c r="AH651" s="319">
        <f>IF(AH$621&gt;=$C651,MIN(-(SUM($F651:AG651)-$E651),($E651*(1-$D$623))*$D651),0)*AH$619</f>
        <v>316.5332544332054</v>
      </c>
      <c r="AI651" s="319">
        <f>IF(AI$621&gt;=$C651,MIN(-(SUM($F651:AH651)-$E651),($E651*(1-$D$623))*$D651),0)*AI$619</f>
        <v>316.5332544332054</v>
      </c>
      <c r="AJ651" s="319">
        <f>IF(AJ$621&gt;=$C651,MIN(-(SUM($F651:AI651)-$E651),($E651*(1-$D$623))*$D651),0)*AJ$619</f>
        <v>316.5332544332054</v>
      </c>
      <c r="AK651" s="319">
        <f>IF(AK$621&gt;=$C651,MIN(-(SUM($F651:AJ651)-$E651),($E651*(1-$D$623))*$D651),0)*AK$619</f>
        <v>0</v>
      </c>
      <c r="AL651" s="319">
        <f>IF(AL$621&gt;=$C651,MIN(-(SUM($F651:AK651)-$E651),($E651*(1-$D$623))*$D651),0)*AL$619</f>
        <v>0</v>
      </c>
      <c r="AM651" s="319">
        <f>IF(AM$621&gt;=$C651,MIN(-(SUM($F651:AL651)-$E651),($E651*(1-$D$623))*$D651),0)*AM$619</f>
        <v>0</v>
      </c>
      <c r="AN651" s="319">
        <f>IF(AN$621&gt;=$C651,MIN(-(SUM($F651:AM651)-$E651),($E651*(1-$D$623))*$D651),0)*AN$619</f>
        <v>0</v>
      </c>
    </row>
    <row r="652" spans="3:40" outlineLevel="4">
      <c r="C652">
        <v>27</v>
      </c>
      <c r="D652">
        <f>Inputs!$D$262</f>
        <v>0.1</v>
      </c>
      <c r="E652" s="319">
        <v>0</v>
      </c>
      <c r="F652" s="319">
        <f>E652*D623</f>
        <v>0</v>
      </c>
      <c r="G652" s="319">
        <f>IF(G$621&gt;=$C652,MIN(-(SUM(F652:$F652)-$E652),($E652*(1-$D$623))*$D652),0)*G$619</f>
        <v>0</v>
      </c>
      <c r="H652" s="319">
        <f>IF(H$621&gt;=$C652,MIN(-(SUM($F652:G652)-$E652),($E652*(1-$D$623))*$D652),0)*H$619</f>
        <v>0</v>
      </c>
      <c r="I652" s="319">
        <f>IF(I$621&gt;=$C652,MIN(-(SUM($F652:H652)-$E652),($E652*(1-$D$623))*$D652),0)*I$619</f>
        <v>0</v>
      </c>
      <c r="J652" s="319">
        <f>IF(J$621&gt;=$C652,MIN(-(SUM($F652:I652)-$E652),($E652*(1-$D$623))*$D652),0)*J$619</f>
        <v>0</v>
      </c>
      <c r="K652" s="319">
        <f>IF(K$621&gt;=$C652,MIN(-(SUM($F652:J652)-$E652),($E652*(1-$D$623))*$D652),0)*K$619</f>
        <v>0</v>
      </c>
      <c r="L652" s="319">
        <f>IF(L$621&gt;=$C652,MIN(-(SUM($F652:K652)-$E652),($E652*(1-$D$623))*$D652),0)*L$619</f>
        <v>0</v>
      </c>
      <c r="M652" s="319">
        <f>IF(M$621&gt;=$C652,MIN(-(SUM($F652:L652)-$E652),($E652*(1-$D$623))*$D652),0)*M$619</f>
        <v>0</v>
      </c>
      <c r="N652" s="319">
        <f>IF(N$621&gt;=$C652,MIN(-(SUM($F652:M652)-$E652),($E652*(1-$D$623))*$D652),0)*N$619</f>
        <v>0</v>
      </c>
      <c r="O652" s="319">
        <f>IF(O$621&gt;=$C652,MIN(-(SUM($F652:N652)-$E652),($E652*(1-$D$623))*$D652),0)*O$619</f>
        <v>0</v>
      </c>
      <c r="P652" s="319">
        <f>IF(P$621&gt;=$C652,MIN(-(SUM($F652:O652)-$E652),($E652*(1-$D$623))*$D652),0)*P$619</f>
        <v>0</v>
      </c>
      <c r="Q652" s="319">
        <f>IF(Q$621&gt;=$C652,MIN(-(SUM($F652:P652)-$E652),($E652*(1-$D$623))*$D652),0)*Q$619</f>
        <v>0</v>
      </c>
      <c r="R652" s="319">
        <f>IF(R$621&gt;=$C652,MIN(-(SUM($F652:Q652)-$E652),($E652*(1-$D$623))*$D652),0)*R$619</f>
        <v>0</v>
      </c>
      <c r="S652" s="319">
        <f>IF(S$621&gt;=$C652,MIN(-(SUM($F652:R652)-$E652),($E652*(1-$D$623))*$D652),0)*S$619</f>
        <v>0</v>
      </c>
      <c r="T652" s="319">
        <f>IF(T$621&gt;=$C652,MIN(-(SUM($F652:S652)-$E652),($E652*(1-$D$623))*$D652),0)*T$619</f>
        <v>0</v>
      </c>
      <c r="U652" s="319">
        <f>IF(U$621&gt;=$C652,MIN(-(SUM($F652:T652)-$E652),($E652*(1-$D$623))*$D652),0)*U$619</f>
        <v>0</v>
      </c>
      <c r="V652" s="319">
        <f>IF(V$621&gt;=$C652,MIN(-(SUM($F652:U652)-$E652),($E652*(1-$D$623))*$D652),0)*V$619</f>
        <v>0</v>
      </c>
      <c r="W652" s="319">
        <f>IF(W$621&gt;=$C652,MIN(-(SUM($F652:V652)-$E652),($E652*(1-$D$623))*$D652),0)*W$619</f>
        <v>0</v>
      </c>
      <c r="X652" s="319">
        <f>IF(X$621&gt;=$C652,MIN(-(SUM($F652:W652)-$E652),($E652*(1-$D$623))*$D652),0)*X$619</f>
        <v>0</v>
      </c>
      <c r="Y652" s="319">
        <f>IF(Y$621&gt;=$C652,MIN(-(SUM($F652:X652)-$E652),($E652*(1-$D$623))*$D652),0)*Y$619</f>
        <v>0</v>
      </c>
      <c r="Z652" s="319">
        <f>IF(Z$621&gt;=$C652,MIN(-(SUM($F652:Y652)-$E652),($E652*(1-$D$623))*$D652),0)*Z$619</f>
        <v>0</v>
      </c>
      <c r="AA652" s="319">
        <f>IF(AA$621&gt;=$C652,MIN(-(SUM($F652:Z652)-$E652),($E652*(1-$D$623))*$D652),0)*AA$619</f>
        <v>0</v>
      </c>
      <c r="AB652" s="319">
        <f>IF(AB$621&gt;=$C652,MIN(-(SUM($F652:AA652)-$E652),($E652*(1-$D$623))*$D652),0)*AB$619</f>
        <v>0</v>
      </c>
      <c r="AC652" s="319">
        <f>IF(AC$621&gt;=$C652,MIN(-(SUM($F652:AB652)-$E652),($E652*(1-$D$623))*$D652),0)*AC$619</f>
        <v>0</v>
      </c>
      <c r="AD652" s="319">
        <f>IF(AD$621&gt;=$C652,MIN(-(SUM($F652:AC652)-$E652),($E652*(1-$D$623))*$D652),0)*AD$619</f>
        <v>0</v>
      </c>
      <c r="AE652" s="319">
        <f>IF(AE$621&gt;=$C652,MIN(-(SUM($F652:AD652)-$E652),($E652*(1-$D$623))*$D652),0)*AE$619</f>
        <v>0</v>
      </c>
      <c r="AF652" s="319">
        <f>IF(AF$621&gt;=$C652,MIN(-(SUM($F652:AE652)-$E652),($E652*(1-$D$623))*$D652),0)*AF$619</f>
        <v>0</v>
      </c>
      <c r="AG652" s="319">
        <f>IF(AG$621&gt;=$C652,MIN(-(SUM($F652:AF652)-$E652),($E652*(1-$D$623))*$D652),0)*AG$619</f>
        <v>0</v>
      </c>
      <c r="AH652" s="319">
        <f>IF(AH$621&gt;=$C652,MIN(-(SUM($F652:AG652)-$E652),($E652*(1-$D$623))*$D652),0)*AH$619</f>
        <v>0</v>
      </c>
      <c r="AI652" s="319">
        <f>IF(AI$621&gt;=$C652,MIN(-(SUM($F652:AH652)-$E652),($E652*(1-$D$623))*$D652),0)*AI$619</f>
        <v>0</v>
      </c>
      <c r="AJ652" s="319">
        <f>IF(AJ$621&gt;=$C652,MIN(-(SUM($F652:AI652)-$E652),($E652*(1-$D$623))*$D652),0)*AJ$619</f>
        <v>0</v>
      </c>
      <c r="AK652" s="319">
        <f>IF(AK$621&gt;=$C652,MIN(-(SUM($F652:AJ652)-$E652),($E652*(1-$D$623))*$D652),0)*AK$619</f>
        <v>0</v>
      </c>
      <c r="AL652" s="319">
        <f>IF(AL$621&gt;=$C652,MIN(-(SUM($F652:AK652)-$E652),($E652*(1-$D$623))*$D652),0)*AL$619</f>
        <v>0</v>
      </c>
      <c r="AM652" s="319">
        <f>IF(AM$621&gt;=$C652,MIN(-(SUM($F652:AL652)-$E652),($E652*(1-$D$623))*$D652),0)*AM$619</f>
        <v>0</v>
      </c>
      <c r="AN652" s="319">
        <f>IF(AN$621&gt;=$C652,MIN(-(SUM($F652:AM652)-$E652),($E652*(1-$D$623))*$D652),0)*AN$619</f>
        <v>0</v>
      </c>
    </row>
    <row r="653" spans="3:40" outlineLevel="4">
      <c r="C653">
        <v>28</v>
      </c>
      <c r="D653">
        <f>Inputs!$D$262</f>
        <v>0.1</v>
      </c>
      <c r="E653" s="319">
        <v>11.314</v>
      </c>
      <c r="F653" s="319">
        <f>E653*D623</f>
        <v>0</v>
      </c>
      <c r="G653" s="319">
        <f>IF(G$621&gt;=$C653,MIN(-(SUM(F653:$F653)-$E653),($E653*(1-$D$623))*$D653),0)*G$619</f>
        <v>0</v>
      </c>
      <c r="H653" s="319">
        <f>IF(H$621&gt;=$C653,MIN(-(SUM($F653:G653)-$E653),($E653*(1-$D$623))*$D653),0)*H$619</f>
        <v>0</v>
      </c>
      <c r="I653" s="319">
        <f>IF(I$621&gt;=$C653,MIN(-(SUM($F653:H653)-$E653),($E653*(1-$D$623))*$D653),0)*I$619</f>
        <v>0</v>
      </c>
      <c r="J653" s="319">
        <f>IF(J$621&gt;=$C653,MIN(-(SUM($F653:I653)-$E653),($E653*(1-$D$623))*$D653),0)*J$619</f>
        <v>0</v>
      </c>
      <c r="K653" s="319">
        <f>IF(K$621&gt;=$C653,MIN(-(SUM($F653:J653)-$E653),($E653*(1-$D$623))*$D653),0)*K$619</f>
        <v>0</v>
      </c>
      <c r="L653" s="319">
        <f>IF(L$621&gt;=$C653,MIN(-(SUM($F653:K653)-$E653),($E653*(1-$D$623))*$D653),0)*L$619</f>
        <v>0</v>
      </c>
      <c r="M653" s="319">
        <f>IF(M$621&gt;=$C653,MIN(-(SUM($F653:L653)-$E653),($E653*(1-$D$623))*$D653),0)*M$619</f>
        <v>0</v>
      </c>
      <c r="N653" s="319">
        <f>IF(N$621&gt;=$C653,MIN(-(SUM($F653:M653)-$E653),($E653*(1-$D$623))*$D653),0)*N$619</f>
        <v>0</v>
      </c>
      <c r="O653" s="319">
        <f>IF(O$621&gt;=$C653,MIN(-(SUM($F653:N653)-$E653),($E653*(1-$D$623))*$D653),0)*O$619</f>
        <v>0</v>
      </c>
      <c r="P653" s="319">
        <f>IF(P$621&gt;=$C653,MIN(-(SUM($F653:O653)-$E653),($E653*(1-$D$623))*$D653),0)*P$619</f>
        <v>0</v>
      </c>
      <c r="Q653" s="319">
        <f>IF(Q$621&gt;=$C653,MIN(-(SUM($F653:P653)-$E653),($E653*(1-$D$623))*$D653),0)*Q$619</f>
        <v>0</v>
      </c>
      <c r="R653" s="319">
        <f>IF(R$621&gt;=$C653,MIN(-(SUM($F653:Q653)-$E653),($E653*(1-$D$623))*$D653),0)*R$619</f>
        <v>0</v>
      </c>
      <c r="S653" s="319">
        <f>IF(S$621&gt;=$C653,MIN(-(SUM($F653:R653)-$E653),($E653*(1-$D$623))*$D653),0)*S$619</f>
        <v>0</v>
      </c>
      <c r="T653" s="319">
        <f>IF(T$621&gt;=$C653,MIN(-(SUM($F653:S653)-$E653),($E653*(1-$D$623))*$D653),0)*T$619</f>
        <v>0</v>
      </c>
      <c r="U653" s="319">
        <f>IF(U$621&gt;=$C653,MIN(-(SUM($F653:T653)-$E653),($E653*(1-$D$623))*$D653),0)*U$619</f>
        <v>0</v>
      </c>
      <c r="V653" s="319">
        <f>IF(V$621&gt;=$C653,MIN(-(SUM($F653:U653)-$E653),($E653*(1-$D$623))*$D653),0)*V$619</f>
        <v>0</v>
      </c>
      <c r="W653" s="319">
        <f>IF(W$621&gt;=$C653,MIN(-(SUM($F653:V653)-$E653),($E653*(1-$D$623))*$D653),0)*W$619</f>
        <v>0</v>
      </c>
      <c r="X653" s="319">
        <f>IF(X$621&gt;=$C653,MIN(-(SUM($F653:W653)-$E653),($E653*(1-$D$623))*$D653),0)*X$619</f>
        <v>0</v>
      </c>
      <c r="Y653" s="319">
        <f>IF(Y$621&gt;=$C653,MIN(-(SUM($F653:X653)-$E653),($E653*(1-$D$623))*$D653),0)*Y$619</f>
        <v>0</v>
      </c>
      <c r="Z653" s="319">
        <f>IF(Z$621&gt;=$C653,MIN(-(SUM($F653:Y653)-$E653),($E653*(1-$D$623))*$D653),0)*Z$619</f>
        <v>0</v>
      </c>
      <c r="AA653" s="319">
        <f>IF(AA$621&gt;=$C653,MIN(-(SUM($F653:Z653)-$E653),($E653*(1-$D$623))*$D653),0)*AA$619</f>
        <v>0</v>
      </c>
      <c r="AB653" s="319">
        <f>IF(AB$621&gt;=$C653,MIN(-(SUM($F653:AA653)-$E653),($E653*(1-$D$623))*$D653),0)*AB$619</f>
        <v>0</v>
      </c>
      <c r="AC653" s="319">
        <f>IF(AC$621&gt;=$C653,MIN(-(SUM($F653:AB653)-$E653),($E653*(1-$D$623))*$D653),0)*AC$619</f>
        <v>0</v>
      </c>
      <c r="AD653" s="319">
        <f>IF(AD$621&gt;=$C653,MIN(-(SUM($F653:AC653)-$E653),($E653*(1-$D$623))*$D653),0)*AD$619</f>
        <v>0</v>
      </c>
      <c r="AE653" s="319">
        <f>IF(AE$621&gt;=$C653,MIN(-(SUM($F653:AD653)-$E653),($E653*(1-$D$623))*$D653),0)*AE$619</f>
        <v>0</v>
      </c>
      <c r="AF653" s="319">
        <f>IF(AF$621&gt;=$C653,MIN(-(SUM($F653:AE653)-$E653),($E653*(1-$D$623))*$D653),0)*AF$619</f>
        <v>0</v>
      </c>
      <c r="AG653" s="319">
        <f>IF(AG$621&gt;=$C653,MIN(-(SUM($F653:AF653)-$E653),($E653*(1-$D$623))*$D653),0)*AG$619</f>
        <v>0</v>
      </c>
      <c r="AH653" s="319">
        <f>IF(AH$621&gt;=$C653,MIN(-(SUM($F653:AG653)-$E653),($E653*(1-$D$623))*$D653),0)*AH$619</f>
        <v>1.1314</v>
      </c>
      <c r="AI653" s="319">
        <f>IF(AI$621&gt;=$C653,MIN(-(SUM($F653:AH653)-$E653),($E653*(1-$D$623))*$D653),0)*AI$619</f>
        <v>1.1314</v>
      </c>
      <c r="AJ653" s="319">
        <f>IF(AJ$621&gt;=$C653,MIN(-(SUM($F653:AI653)-$E653),($E653*(1-$D$623))*$D653),0)*AJ$619</f>
        <v>1.1314</v>
      </c>
      <c r="AK653" s="319">
        <f>IF(AK$621&gt;=$C653,MIN(-(SUM($F653:AJ653)-$E653),($E653*(1-$D$623))*$D653),0)*AK$619</f>
        <v>0</v>
      </c>
      <c r="AL653" s="319">
        <f>IF(AL$621&gt;=$C653,MIN(-(SUM($F653:AK653)-$E653),($E653*(1-$D$623))*$D653),0)*AL$619</f>
        <v>0</v>
      </c>
      <c r="AM653" s="319">
        <f>IF(AM$621&gt;=$C653,MIN(-(SUM($F653:AL653)-$E653),($E653*(1-$D$623))*$D653),0)*AM$619</f>
        <v>0</v>
      </c>
      <c r="AN653" s="319">
        <f>IF(AN$621&gt;=$C653,MIN(-(SUM($F653:AM653)-$E653),($E653*(1-$D$623))*$D653),0)*AN$619</f>
        <v>0</v>
      </c>
    </row>
    <row r="654" spans="3:40" outlineLevel="4">
      <c r="C654">
        <v>29</v>
      </c>
      <c r="D654">
        <f>Inputs!$D$262</f>
        <v>0.1</v>
      </c>
      <c r="E654" s="319">
        <v>55.90184</v>
      </c>
      <c r="F654" s="319">
        <f>E654*D623</f>
        <v>0</v>
      </c>
      <c r="G654" s="319">
        <f>IF(G$621&gt;=$C654,MIN(-(SUM(F654:$F654)-$E654),($E654*(1-$D$623))*$D654),0)*G$619</f>
        <v>0</v>
      </c>
      <c r="H654" s="319">
        <f>IF(H$621&gt;=$C654,MIN(-(SUM($F654:G654)-$E654),($E654*(1-$D$623))*$D654),0)*H$619</f>
        <v>0</v>
      </c>
      <c r="I654" s="319">
        <f>IF(I$621&gt;=$C654,MIN(-(SUM($F654:H654)-$E654),($E654*(1-$D$623))*$D654),0)*I$619</f>
        <v>0</v>
      </c>
      <c r="J654" s="319">
        <f>IF(J$621&gt;=$C654,MIN(-(SUM($F654:I654)-$E654),($E654*(1-$D$623))*$D654),0)*J$619</f>
        <v>0</v>
      </c>
      <c r="K654" s="319">
        <f>IF(K$621&gt;=$C654,MIN(-(SUM($F654:J654)-$E654),($E654*(1-$D$623))*$D654),0)*K$619</f>
        <v>0</v>
      </c>
      <c r="L654" s="319">
        <f>IF(L$621&gt;=$C654,MIN(-(SUM($F654:K654)-$E654),($E654*(1-$D$623))*$D654),0)*L$619</f>
        <v>0</v>
      </c>
      <c r="M654" s="319">
        <f>IF(M$621&gt;=$C654,MIN(-(SUM($F654:L654)-$E654),($E654*(1-$D$623))*$D654),0)*M$619</f>
        <v>0</v>
      </c>
      <c r="N654" s="319">
        <f>IF(N$621&gt;=$C654,MIN(-(SUM($F654:M654)-$E654),($E654*(1-$D$623))*$D654),0)*N$619</f>
        <v>0</v>
      </c>
      <c r="O654" s="319">
        <f>IF(O$621&gt;=$C654,MIN(-(SUM($F654:N654)-$E654),($E654*(1-$D$623))*$D654),0)*O$619</f>
        <v>0</v>
      </c>
      <c r="P654" s="319">
        <f>IF(P$621&gt;=$C654,MIN(-(SUM($F654:O654)-$E654),($E654*(1-$D$623))*$D654),0)*P$619</f>
        <v>0</v>
      </c>
      <c r="Q654" s="319">
        <f>IF(Q$621&gt;=$C654,MIN(-(SUM($F654:P654)-$E654),($E654*(1-$D$623))*$D654),0)*Q$619</f>
        <v>0</v>
      </c>
      <c r="R654" s="319">
        <f>IF(R$621&gt;=$C654,MIN(-(SUM($F654:Q654)-$E654),($E654*(1-$D$623))*$D654),0)*R$619</f>
        <v>0</v>
      </c>
      <c r="S654" s="319">
        <f>IF(S$621&gt;=$C654,MIN(-(SUM($F654:R654)-$E654),($E654*(1-$D$623))*$D654),0)*S$619</f>
        <v>0</v>
      </c>
      <c r="T654" s="319">
        <f>IF(T$621&gt;=$C654,MIN(-(SUM($F654:S654)-$E654),($E654*(1-$D$623))*$D654),0)*T$619</f>
        <v>0</v>
      </c>
      <c r="U654" s="319">
        <f>IF(U$621&gt;=$C654,MIN(-(SUM($F654:T654)-$E654),($E654*(1-$D$623))*$D654),0)*U$619</f>
        <v>0</v>
      </c>
      <c r="V654" s="319">
        <f>IF(V$621&gt;=$C654,MIN(-(SUM($F654:U654)-$E654),($E654*(1-$D$623))*$D654),0)*V$619</f>
        <v>0</v>
      </c>
      <c r="W654" s="319">
        <f>IF(W$621&gt;=$C654,MIN(-(SUM($F654:V654)-$E654),($E654*(1-$D$623))*$D654),0)*W$619</f>
        <v>0</v>
      </c>
      <c r="X654" s="319">
        <f>IF(X$621&gt;=$C654,MIN(-(SUM($F654:W654)-$E654),($E654*(1-$D$623))*$D654),0)*X$619</f>
        <v>0</v>
      </c>
      <c r="Y654" s="319">
        <f>IF(Y$621&gt;=$C654,MIN(-(SUM($F654:X654)-$E654),($E654*(1-$D$623))*$D654),0)*Y$619</f>
        <v>0</v>
      </c>
      <c r="Z654" s="319">
        <f>IF(Z$621&gt;=$C654,MIN(-(SUM($F654:Y654)-$E654),($E654*(1-$D$623))*$D654),0)*Z$619</f>
        <v>0</v>
      </c>
      <c r="AA654" s="319">
        <f>IF(AA$621&gt;=$C654,MIN(-(SUM($F654:Z654)-$E654),($E654*(1-$D$623))*$D654),0)*AA$619</f>
        <v>0</v>
      </c>
      <c r="AB654" s="319">
        <f>IF(AB$621&gt;=$C654,MIN(-(SUM($F654:AA654)-$E654),($E654*(1-$D$623))*$D654),0)*AB$619</f>
        <v>0</v>
      </c>
      <c r="AC654" s="319">
        <f>IF(AC$621&gt;=$C654,MIN(-(SUM($F654:AB654)-$E654),($E654*(1-$D$623))*$D654),0)*AC$619</f>
        <v>0</v>
      </c>
      <c r="AD654" s="319">
        <f>IF(AD$621&gt;=$C654,MIN(-(SUM($F654:AC654)-$E654),($E654*(1-$D$623))*$D654),0)*AD$619</f>
        <v>0</v>
      </c>
      <c r="AE654" s="319">
        <f>IF(AE$621&gt;=$C654,MIN(-(SUM($F654:AD654)-$E654),($E654*(1-$D$623))*$D654),0)*AE$619</f>
        <v>0</v>
      </c>
      <c r="AF654" s="319">
        <f>IF(AF$621&gt;=$C654,MIN(-(SUM($F654:AE654)-$E654),($E654*(1-$D$623))*$D654),0)*AF$619</f>
        <v>0</v>
      </c>
      <c r="AG654" s="319">
        <f>IF(AG$621&gt;=$C654,MIN(-(SUM($F654:AF654)-$E654),($E654*(1-$D$623))*$D654),0)*AG$619</f>
        <v>0</v>
      </c>
      <c r="AH654" s="319">
        <f>IF(AH$621&gt;=$C654,MIN(-(SUM($F654:AG654)-$E654),($E654*(1-$D$623))*$D654),0)*AH$619</f>
        <v>0</v>
      </c>
      <c r="AI654" s="319">
        <f>IF(AI$621&gt;=$C654,MIN(-(SUM($F654:AH654)-$E654),($E654*(1-$D$623))*$D654),0)*AI$619</f>
        <v>5.5901840000000007</v>
      </c>
      <c r="AJ654" s="319">
        <f>IF(AJ$621&gt;=$C654,MIN(-(SUM($F654:AI654)-$E654),($E654*(1-$D$623))*$D654),0)*AJ$619</f>
        <v>5.5901840000000007</v>
      </c>
      <c r="AK654" s="319">
        <f>IF(AK$621&gt;=$C654,MIN(-(SUM($F654:AJ654)-$E654),($E654*(1-$D$623))*$D654),0)*AK$619</f>
        <v>0</v>
      </c>
      <c r="AL654" s="319">
        <f>IF(AL$621&gt;=$C654,MIN(-(SUM($F654:AK654)-$E654),($E654*(1-$D$623))*$D654),0)*AL$619</f>
        <v>0</v>
      </c>
      <c r="AM654" s="319">
        <f>IF(AM$621&gt;=$C654,MIN(-(SUM($F654:AL654)-$E654),($E654*(1-$D$623))*$D654),0)*AM$619</f>
        <v>0</v>
      </c>
      <c r="AN654" s="319">
        <f>IF(AN$621&gt;=$C654,MIN(-(SUM($F654:AM654)-$E654),($E654*(1-$D$623))*$D654),0)*AN$619</f>
        <v>0</v>
      </c>
    </row>
    <row r="655" spans="3:40" outlineLevel="4">
      <c r="C655">
        <v>30</v>
      </c>
      <c r="D655">
        <f>Inputs!$D$262</f>
        <v>0.1</v>
      </c>
      <c r="E655" s="319">
        <v>20</v>
      </c>
      <c r="F655" s="319">
        <f>E655*D623</f>
        <v>0</v>
      </c>
      <c r="G655" s="319">
        <f>IF(G$621&gt;=$C655,MIN(-(SUM(F655:$F655)-$E655),($E655*(1-$D$623))*$D655),0)*G$619</f>
        <v>0</v>
      </c>
      <c r="H655" s="319">
        <f>IF(H$621&gt;=$C655,MIN(-(SUM($F655:G655)-$E655),($E655*(1-$D$623))*$D655),0)*H$619</f>
        <v>0</v>
      </c>
      <c r="I655" s="319">
        <f>IF(I$621&gt;=$C655,MIN(-(SUM($F655:H655)-$E655),($E655*(1-$D$623))*$D655),0)*I$619</f>
        <v>0</v>
      </c>
      <c r="J655" s="319">
        <f>IF(J$621&gt;=$C655,MIN(-(SUM($F655:I655)-$E655),($E655*(1-$D$623))*$D655),0)*J$619</f>
        <v>0</v>
      </c>
      <c r="K655" s="319">
        <f>IF(K$621&gt;=$C655,MIN(-(SUM($F655:J655)-$E655),($E655*(1-$D$623))*$D655),0)*K$619</f>
        <v>0</v>
      </c>
      <c r="L655" s="319">
        <f>IF(L$621&gt;=$C655,MIN(-(SUM($F655:K655)-$E655),($E655*(1-$D$623))*$D655),0)*L$619</f>
        <v>0</v>
      </c>
      <c r="M655" s="319">
        <f>IF(M$621&gt;=$C655,MIN(-(SUM($F655:L655)-$E655),($E655*(1-$D$623))*$D655),0)*M$619</f>
        <v>0</v>
      </c>
      <c r="N655" s="319">
        <f>IF(N$621&gt;=$C655,MIN(-(SUM($F655:M655)-$E655),($E655*(1-$D$623))*$D655),0)*N$619</f>
        <v>0</v>
      </c>
      <c r="O655" s="319">
        <f>IF(O$621&gt;=$C655,MIN(-(SUM($F655:N655)-$E655),($E655*(1-$D$623))*$D655),0)*O$619</f>
        <v>0</v>
      </c>
      <c r="P655" s="319">
        <f>IF(P$621&gt;=$C655,MIN(-(SUM($F655:O655)-$E655),($E655*(1-$D$623))*$D655),0)*P$619</f>
        <v>0</v>
      </c>
      <c r="Q655" s="319">
        <f>IF(Q$621&gt;=$C655,MIN(-(SUM($F655:P655)-$E655),($E655*(1-$D$623))*$D655),0)*Q$619</f>
        <v>0</v>
      </c>
      <c r="R655" s="319">
        <f>IF(R$621&gt;=$C655,MIN(-(SUM($F655:Q655)-$E655),($E655*(1-$D$623))*$D655),0)*R$619</f>
        <v>0</v>
      </c>
      <c r="S655" s="319">
        <f>IF(S$621&gt;=$C655,MIN(-(SUM($F655:R655)-$E655),($E655*(1-$D$623))*$D655),0)*S$619</f>
        <v>0</v>
      </c>
      <c r="T655" s="319">
        <f>IF(T$621&gt;=$C655,MIN(-(SUM($F655:S655)-$E655),($E655*(1-$D$623))*$D655),0)*T$619</f>
        <v>0</v>
      </c>
      <c r="U655" s="319">
        <f>IF(U$621&gt;=$C655,MIN(-(SUM($F655:T655)-$E655),($E655*(1-$D$623))*$D655),0)*U$619</f>
        <v>0</v>
      </c>
      <c r="V655" s="319">
        <f>IF(V$621&gt;=$C655,MIN(-(SUM($F655:U655)-$E655),($E655*(1-$D$623))*$D655),0)*V$619</f>
        <v>0</v>
      </c>
      <c r="W655" s="319">
        <f>IF(W$621&gt;=$C655,MIN(-(SUM($F655:V655)-$E655),($E655*(1-$D$623))*$D655),0)*W$619</f>
        <v>0</v>
      </c>
      <c r="X655" s="319">
        <f>IF(X$621&gt;=$C655,MIN(-(SUM($F655:W655)-$E655),($E655*(1-$D$623))*$D655),0)*X$619</f>
        <v>0</v>
      </c>
      <c r="Y655" s="319">
        <f>IF(Y$621&gt;=$C655,MIN(-(SUM($F655:X655)-$E655),($E655*(1-$D$623))*$D655),0)*Y$619</f>
        <v>0</v>
      </c>
      <c r="Z655" s="319">
        <f>IF(Z$621&gt;=$C655,MIN(-(SUM($F655:Y655)-$E655),($E655*(1-$D$623))*$D655),0)*Z$619</f>
        <v>0</v>
      </c>
      <c r="AA655" s="319">
        <f>IF(AA$621&gt;=$C655,MIN(-(SUM($F655:Z655)-$E655),($E655*(1-$D$623))*$D655),0)*AA$619</f>
        <v>0</v>
      </c>
      <c r="AB655" s="319">
        <f>IF(AB$621&gt;=$C655,MIN(-(SUM($F655:AA655)-$E655),($E655*(1-$D$623))*$D655),0)*AB$619</f>
        <v>0</v>
      </c>
      <c r="AC655" s="319">
        <f>IF(AC$621&gt;=$C655,MIN(-(SUM($F655:AB655)-$E655),($E655*(1-$D$623))*$D655),0)*AC$619</f>
        <v>0</v>
      </c>
      <c r="AD655" s="319">
        <f>IF(AD$621&gt;=$C655,MIN(-(SUM($F655:AC655)-$E655),($E655*(1-$D$623))*$D655),0)*AD$619</f>
        <v>0</v>
      </c>
      <c r="AE655" s="319">
        <f>IF(AE$621&gt;=$C655,MIN(-(SUM($F655:AD655)-$E655),($E655*(1-$D$623))*$D655),0)*AE$619</f>
        <v>0</v>
      </c>
      <c r="AF655" s="319">
        <f>IF(AF$621&gt;=$C655,MIN(-(SUM($F655:AE655)-$E655),($E655*(1-$D$623))*$D655),0)*AF$619</f>
        <v>0</v>
      </c>
      <c r="AG655" s="319">
        <f>IF(AG$621&gt;=$C655,MIN(-(SUM($F655:AF655)-$E655),($E655*(1-$D$623))*$D655),0)*AG$619</f>
        <v>0</v>
      </c>
      <c r="AH655" s="319">
        <f>IF(AH$621&gt;=$C655,MIN(-(SUM($F655:AG655)-$E655),($E655*(1-$D$623))*$D655),0)*AH$619</f>
        <v>0</v>
      </c>
      <c r="AI655" s="319">
        <f>IF(AI$621&gt;=$C655,MIN(-(SUM($F655:AH655)-$E655),($E655*(1-$D$623))*$D655),0)*AI$619</f>
        <v>0</v>
      </c>
      <c r="AJ655" s="319">
        <f>IF(AJ$621&gt;=$C655,MIN(-(SUM($F655:AI655)-$E655),($E655*(1-$D$623))*$D655),0)*AJ$619</f>
        <v>2</v>
      </c>
      <c r="AK655" s="319">
        <f>IF(AK$621&gt;=$C655,MIN(-(SUM($F655:AJ655)-$E655),($E655*(1-$D$623))*$D655),0)*AK$619</f>
        <v>0</v>
      </c>
      <c r="AL655" s="319">
        <f>IF(AL$621&gt;=$C655,MIN(-(SUM($F655:AK655)-$E655),($E655*(1-$D$623))*$D655),0)*AL$619</f>
        <v>0</v>
      </c>
      <c r="AM655" s="319">
        <f>IF(AM$621&gt;=$C655,MIN(-(SUM($F655:AL655)-$E655),($E655*(1-$D$623))*$D655),0)*AM$619</f>
        <v>0</v>
      </c>
      <c r="AN655" s="319">
        <f>IF(AN$621&gt;=$C655,MIN(-(SUM($F655:AM655)-$E655),($E655*(1-$D$623))*$D655),0)*AN$619</f>
        <v>0</v>
      </c>
    </row>
    <row r="656" spans="3:40" outlineLevel="4">
      <c r="C656">
        <v>31</v>
      </c>
      <c r="D656">
        <f>Inputs!$D$262</f>
        <v>0.1</v>
      </c>
      <c r="E656" s="319">
        <v>0</v>
      </c>
      <c r="F656" s="319">
        <f>E656*D623</f>
        <v>0</v>
      </c>
      <c r="G656" s="319">
        <f>IF(G$621&gt;=$C656,MIN(-(SUM(F656:$F656)-$E656),($E656*(1-$D$623))*$D656),0)*G$619</f>
        <v>0</v>
      </c>
      <c r="H656" s="319">
        <f>IF(H$621&gt;=$C656,MIN(-(SUM($F656:G656)-$E656),($E656*(1-$D$623))*$D656),0)*H$619</f>
        <v>0</v>
      </c>
      <c r="I656" s="319">
        <f>IF(I$621&gt;=$C656,MIN(-(SUM($F656:H656)-$E656),($E656*(1-$D$623))*$D656),0)*I$619</f>
        <v>0</v>
      </c>
      <c r="J656" s="319">
        <f>IF(J$621&gt;=$C656,MIN(-(SUM($F656:I656)-$E656),($E656*(1-$D$623))*$D656),0)*J$619</f>
        <v>0</v>
      </c>
      <c r="K656" s="319">
        <f>IF(K$621&gt;=$C656,MIN(-(SUM($F656:J656)-$E656),($E656*(1-$D$623))*$D656),0)*K$619</f>
        <v>0</v>
      </c>
      <c r="L656" s="319">
        <f>IF(L$621&gt;=$C656,MIN(-(SUM($F656:K656)-$E656),($E656*(1-$D$623))*$D656),0)*L$619</f>
        <v>0</v>
      </c>
      <c r="M656" s="319">
        <f>IF(M$621&gt;=$C656,MIN(-(SUM($F656:L656)-$E656),($E656*(1-$D$623))*$D656),0)*M$619</f>
        <v>0</v>
      </c>
      <c r="N656" s="319">
        <f>IF(N$621&gt;=$C656,MIN(-(SUM($F656:M656)-$E656),($E656*(1-$D$623))*$D656),0)*N$619</f>
        <v>0</v>
      </c>
      <c r="O656" s="319">
        <f>IF(O$621&gt;=$C656,MIN(-(SUM($F656:N656)-$E656),($E656*(1-$D$623))*$D656),0)*O$619</f>
        <v>0</v>
      </c>
      <c r="P656" s="319">
        <f>IF(P$621&gt;=$C656,MIN(-(SUM($F656:O656)-$E656),($E656*(1-$D$623))*$D656),0)*P$619</f>
        <v>0</v>
      </c>
      <c r="Q656" s="319">
        <f>IF(Q$621&gt;=$C656,MIN(-(SUM($F656:P656)-$E656),($E656*(1-$D$623))*$D656),0)*Q$619</f>
        <v>0</v>
      </c>
      <c r="R656" s="319">
        <f>IF(R$621&gt;=$C656,MIN(-(SUM($F656:Q656)-$E656),($E656*(1-$D$623))*$D656),0)*R$619</f>
        <v>0</v>
      </c>
      <c r="S656" s="319">
        <f>IF(S$621&gt;=$C656,MIN(-(SUM($F656:R656)-$E656),($E656*(1-$D$623))*$D656),0)*S$619</f>
        <v>0</v>
      </c>
      <c r="T656" s="319">
        <f>IF(T$621&gt;=$C656,MIN(-(SUM($F656:S656)-$E656),($E656*(1-$D$623))*$D656),0)*T$619</f>
        <v>0</v>
      </c>
      <c r="U656" s="319">
        <f>IF(U$621&gt;=$C656,MIN(-(SUM($F656:T656)-$E656),($E656*(1-$D$623))*$D656),0)*U$619</f>
        <v>0</v>
      </c>
      <c r="V656" s="319">
        <f>IF(V$621&gt;=$C656,MIN(-(SUM($F656:U656)-$E656),($E656*(1-$D$623))*$D656),0)*V$619</f>
        <v>0</v>
      </c>
      <c r="W656" s="319">
        <f>IF(W$621&gt;=$C656,MIN(-(SUM($F656:V656)-$E656),($E656*(1-$D$623))*$D656),0)*W$619</f>
        <v>0</v>
      </c>
      <c r="X656" s="319">
        <f>IF(X$621&gt;=$C656,MIN(-(SUM($F656:W656)-$E656),($E656*(1-$D$623))*$D656),0)*X$619</f>
        <v>0</v>
      </c>
      <c r="Y656" s="319">
        <f>IF(Y$621&gt;=$C656,MIN(-(SUM($F656:X656)-$E656),($E656*(1-$D$623))*$D656),0)*Y$619</f>
        <v>0</v>
      </c>
      <c r="Z656" s="319">
        <f>IF(Z$621&gt;=$C656,MIN(-(SUM($F656:Y656)-$E656),($E656*(1-$D$623))*$D656),0)*Z$619</f>
        <v>0</v>
      </c>
      <c r="AA656" s="319">
        <f>IF(AA$621&gt;=$C656,MIN(-(SUM($F656:Z656)-$E656),($E656*(1-$D$623))*$D656),0)*AA$619</f>
        <v>0</v>
      </c>
      <c r="AB656" s="319">
        <f>IF(AB$621&gt;=$C656,MIN(-(SUM($F656:AA656)-$E656),($E656*(1-$D$623))*$D656),0)*AB$619</f>
        <v>0</v>
      </c>
      <c r="AC656" s="319">
        <f>IF(AC$621&gt;=$C656,MIN(-(SUM($F656:AB656)-$E656),($E656*(1-$D$623))*$D656),0)*AC$619</f>
        <v>0</v>
      </c>
      <c r="AD656" s="319">
        <f>IF(AD$621&gt;=$C656,MIN(-(SUM($F656:AC656)-$E656),($E656*(1-$D$623))*$D656),0)*AD$619</f>
        <v>0</v>
      </c>
      <c r="AE656" s="319">
        <f>IF(AE$621&gt;=$C656,MIN(-(SUM($F656:AD656)-$E656),($E656*(1-$D$623))*$D656),0)*AE$619</f>
        <v>0</v>
      </c>
      <c r="AF656" s="319">
        <f>IF(AF$621&gt;=$C656,MIN(-(SUM($F656:AE656)-$E656),($E656*(1-$D$623))*$D656),0)*AF$619</f>
        <v>0</v>
      </c>
      <c r="AG656" s="319">
        <f>IF(AG$621&gt;=$C656,MIN(-(SUM($F656:AF656)-$E656),($E656*(1-$D$623))*$D656),0)*AG$619</f>
        <v>0</v>
      </c>
      <c r="AH656" s="319">
        <f>IF(AH$621&gt;=$C656,MIN(-(SUM($F656:AG656)-$E656),($E656*(1-$D$623))*$D656),0)*AH$619</f>
        <v>0</v>
      </c>
      <c r="AI656" s="319">
        <f>IF(AI$621&gt;=$C656,MIN(-(SUM($F656:AH656)-$E656),($E656*(1-$D$623))*$D656),0)*AI$619</f>
        <v>0</v>
      </c>
      <c r="AJ656" s="319">
        <f>IF(AJ$621&gt;=$C656,MIN(-(SUM($F656:AI656)-$E656),($E656*(1-$D$623))*$D656),0)*AJ$619</f>
        <v>0</v>
      </c>
      <c r="AK656" s="319">
        <f>IF(AK$621&gt;=$C656,MIN(-(SUM($F656:AJ656)-$E656),($E656*(1-$D$623))*$D656),0)*AK$619</f>
        <v>0</v>
      </c>
      <c r="AL656" s="319">
        <f>IF(AL$621&gt;=$C656,MIN(-(SUM($F656:AK656)-$E656),($E656*(1-$D$623))*$D656),0)*AL$619</f>
        <v>0</v>
      </c>
      <c r="AM656" s="319">
        <f>IF(AM$621&gt;=$C656,MIN(-(SUM($F656:AL656)-$E656),($E656*(1-$D$623))*$D656),0)*AM$619</f>
        <v>0</v>
      </c>
      <c r="AN656" s="319">
        <f>IF(AN$621&gt;=$C656,MIN(-(SUM($F656:AM656)-$E656),($E656*(1-$D$623))*$D656),0)*AN$619</f>
        <v>0</v>
      </c>
    </row>
    <row r="657" spans="3:160" outlineLevel="4">
      <c r="C657">
        <v>32</v>
      </c>
      <c r="D657">
        <f>Inputs!$D$262</f>
        <v>0.1</v>
      </c>
      <c r="E657" s="319">
        <v>0</v>
      </c>
      <c r="F657" s="319">
        <f>E657*D623</f>
        <v>0</v>
      </c>
      <c r="G657" s="319">
        <f>IF(G$621&gt;=$C657,MIN(-(SUM(F657:$F657)-$E657),($E657*(1-$D$623))*$D657),0)*G$619</f>
        <v>0</v>
      </c>
      <c r="H657" s="319">
        <f>IF(H$621&gt;=$C657,MIN(-(SUM($F657:G657)-$E657),($E657*(1-$D$623))*$D657),0)*H$619</f>
        <v>0</v>
      </c>
      <c r="I657" s="319">
        <f>IF(I$621&gt;=$C657,MIN(-(SUM($F657:H657)-$E657),($E657*(1-$D$623))*$D657),0)*I$619</f>
        <v>0</v>
      </c>
      <c r="J657" s="319">
        <f>IF(J$621&gt;=$C657,MIN(-(SUM($F657:I657)-$E657),($E657*(1-$D$623))*$D657),0)*J$619</f>
        <v>0</v>
      </c>
      <c r="K657" s="319">
        <f>IF(K$621&gt;=$C657,MIN(-(SUM($F657:J657)-$E657),($E657*(1-$D$623))*$D657),0)*K$619</f>
        <v>0</v>
      </c>
      <c r="L657" s="319">
        <f>IF(L$621&gt;=$C657,MIN(-(SUM($F657:K657)-$E657),($E657*(1-$D$623))*$D657),0)*L$619</f>
        <v>0</v>
      </c>
      <c r="M657" s="319">
        <f>IF(M$621&gt;=$C657,MIN(-(SUM($F657:L657)-$E657),($E657*(1-$D$623))*$D657),0)*M$619</f>
        <v>0</v>
      </c>
      <c r="N657" s="319">
        <f>IF(N$621&gt;=$C657,MIN(-(SUM($F657:M657)-$E657),($E657*(1-$D$623))*$D657),0)*N$619</f>
        <v>0</v>
      </c>
      <c r="O657" s="319">
        <f>IF(O$621&gt;=$C657,MIN(-(SUM($F657:N657)-$E657),($E657*(1-$D$623))*$D657),0)*O$619</f>
        <v>0</v>
      </c>
      <c r="P657" s="319">
        <f>IF(P$621&gt;=$C657,MIN(-(SUM($F657:O657)-$E657),($E657*(1-$D$623))*$D657),0)*P$619</f>
        <v>0</v>
      </c>
      <c r="Q657" s="319">
        <f>IF(Q$621&gt;=$C657,MIN(-(SUM($F657:P657)-$E657),($E657*(1-$D$623))*$D657),0)*Q$619</f>
        <v>0</v>
      </c>
      <c r="R657" s="319">
        <f>IF(R$621&gt;=$C657,MIN(-(SUM($F657:Q657)-$E657),($E657*(1-$D$623))*$D657),0)*R$619</f>
        <v>0</v>
      </c>
      <c r="S657" s="319">
        <f>IF(S$621&gt;=$C657,MIN(-(SUM($F657:R657)-$E657),($E657*(1-$D$623))*$D657),0)*S$619</f>
        <v>0</v>
      </c>
      <c r="T657" s="319">
        <f>IF(T$621&gt;=$C657,MIN(-(SUM($F657:S657)-$E657),($E657*(1-$D$623))*$D657),0)*T$619</f>
        <v>0</v>
      </c>
      <c r="U657" s="319">
        <f>IF(U$621&gt;=$C657,MIN(-(SUM($F657:T657)-$E657),($E657*(1-$D$623))*$D657),0)*U$619</f>
        <v>0</v>
      </c>
      <c r="V657" s="319">
        <f>IF(V$621&gt;=$C657,MIN(-(SUM($F657:U657)-$E657),($E657*(1-$D$623))*$D657),0)*V$619</f>
        <v>0</v>
      </c>
      <c r="W657" s="319">
        <f>IF(W$621&gt;=$C657,MIN(-(SUM($F657:V657)-$E657),($E657*(1-$D$623))*$D657),0)*W$619</f>
        <v>0</v>
      </c>
      <c r="X657" s="319">
        <f>IF(X$621&gt;=$C657,MIN(-(SUM($F657:W657)-$E657),($E657*(1-$D$623))*$D657),0)*X$619</f>
        <v>0</v>
      </c>
      <c r="Y657" s="319">
        <f>IF(Y$621&gt;=$C657,MIN(-(SUM($F657:X657)-$E657),($E657*(1-$D$623))*$D657),0)*Y$619</f>
        <v>0</v>
      </c>
      <c r="Z657" s="319">
        <f>IF(Z$621&gt;=$C657,MIN(-(SUM($F657:Y657)-$E657),($E657*(1-$D$623))*$D657),0)*Z$619</f>
        <v>0</v>
      </c>
      <c r="AA657" s="319">
        <f>IF(AA$621&gt;=$C657,MIN(-(SUM($F657:Z657)-$E657),($E657*(1-$D$623))*$D657),0)*AA$619</f>
        <v>0</v>
      </c>
      <c r="AB657" s="319">
        <f>IF(AB$621&gt;=$C657,MIN(-(SUM($F657:AA657)-$E657),($E657*(1-$D$623))*$D657),0)*AB$619</f>
        <v>0</v>
      </c>
      <c r="AC657" s="319">
        <f>IF(AC$621&gt;=$C657,MIN(-(SUM($F657:AB657)-$E657),($E657*(1-$D$623))*$D657),0)*AC$619</f>
        <v>0</v>
      </c>
      <c r="AD657" s="319">
        <f>IF(AD$621&gt;=$C657,MIN(-(SUM($F657:AC657)-$E657),($E657*(1-$D$623))*$D657),0)*AD$619</f>
        <v>0</v>
      </c>
      <c r="AE657" s="319">
        <f>IF(AE$621&gt;=$C657,MIN(-(SUM($F657:AD657)-$E657),($E657*(1-$D$623))*$D657),0)*AE$619</f>
        <v>0</v>
      </c>
      <c r="AF657" s="319">
        <f>IF(AF$621&gt;=$C657,MIN(-(SUM($F657:AE657)-$E657),($E657*(1-$D$623))*$D657),0)*AF$619</f>
        <v>0</v>
      </c>
      <c r="AG657" s="319">
        <f>IF(AG$621&gt;=$C657,MIN(-(SUM($F657:AF657)-$E657),($E657*(1-$D$623))*$D657),0)*AG$619</f>
        <v>0</v>
      </c>
      <c r="AH657" s="319">
        <f>IF(AH$621&gt;=$C657,MIN(-(SUM($F657:AG657)-$E657),($E657*(1-$D$623))*$D657),0)*AH$619</f>
        <v>0</v>
      </c>
      <c r="AI657" s="319">
        <f>IF(AI$621&gt;=$C657,MIN(-(SUM($F657:AH657)-$E657),($E657*(1-$D$623))*$D657),0)*AI$619</f>
        <v>0</v>
      </c>
      <c r="AJ657" s="319">
        <f>IF(AJ$621&gt;=$C657,MIN(-(SUM($F657:AI657)-$E657),($E657*(1-$D$623))*$D657),0)*AJ$619</f>
        <v>0</v>
      </c>
      <c r="AK657" s="319">
        <f>IF(AK$621&gt;=$C657,MIN(-(SUM($F657:AJ657)-$E657),($E657*(1-$D$623))*$D657),0)*AK$619</f>
        <v>0</v>
      </c>
      <c r="AL657" s="319">
        <f>IF(AL$621&gt;=$C657,MIN(-(SUM($F657:AK657)-$E657),($E657*(1-$D$623))*$D657),0)*AL$619</f>
        <v>0</v>
      </c>
      <c r="AM657" s="319">
        <f>IF(AM$621&gt;=$C657,MIN(-(SUM($F657:AL657)-$E657),($E657*(1-$D$623))*$D657),0)*AM$619</f>
        <v>0</v>
      </c>
      <c r="AN657" s="319">
        <f>IF(AN$621&gt;=$C657,MIN(-(SUM($F657:AM657)-$E657),($E657*(1-$D$623))*$D657),0)*AN$619</f>
        <v>0</v>
      </c>
    </row>
    <row r="658" spans="3:160" outlineLevel="4">
      <c r="C658">
        <v>33</v>
      </c>
      <c r="D658">
        <f>Inputs!$D$262</f>
        <v>0.1</v>
      </c>
      <c r="E658" s="319">
        <v>0</v>
      </c>
      <c r="F658" s="319">
        <f>E658*D623</f>
        <v>0</v>
      </c>
      <c r="G658" s="319">
        <f>IF(G$621&gt;=$C658,MIN(-(SUM(F658:$F658)-$E658),($E658*(1-$D$623))*$D658),0)*G$619</f>
        <v>0</v>
      </c>
      <c r="H658" s="319">
        <f>IF(H$621&gt;=$C658,MIN(-(SUM($F658:G658)-$E658),($E658*(1-$D$623))*$D658),0)*H$619</f>
        <v>0</v>
      </c>
      <c r="I658" s="319">
        <f>IF(I$621&gt;=$C658,MIN(-(SUM($F658:H658)-$E658),($E658*(1-$D$623))*$D658),0)*I$619</f>
        <v>0</v>
      </c>
      <c r="J658" s="319">
        <f>IF(J$621&gt;=$C658,MIN(-(SUM($F658:I658)-$E658),($E658*(1-$D$623))*$D658),0)*J$619</f>
        <v>0</v>
      </c>
      <c r="K658" s="319">
        <f>IF(K$621&gt;=$C658,MIN(-(SUM($F658:J658)-$E658),($E658*(1-$D$623))*$D658),0)*K$619</f>
        <v>0</v>
      </c>
      <c r="L658" s="319">
        <f>IF(L$621&gt;=$C658,MIN(-(SUM($F658:K658)-$E658),($E658*(1-$D$623))*$D658),0)*L$619</f>
        <v>0</v>
      </c>
      <c r="M658" s="319">
        <f>IF(M$621&gt;=$C658,MIN(-(SUM($F658:L658)-$E658),($E658*(1-$D$623))*$D658),0)*M$619</f>
        <v>0</v>
      </c>
      <c r="N658" s="319">
        <f>IF(N$621&gt;=$C658,MIN(-(SUM($F658:M658)-$E658),($E658*(1-$D$623))*$D658),0)*N$619</f>
        <v>0</v>
      </c>
      <c r="O658" s="319">
        <f>IF(O$621&gt;=$C658,MIN(-(SUM($F658:N658)-$E658),($E658*(1-$D$623))*$D658),0)*O$619</f>
        <v>0</v>
      </c>
      <c r="P658" s="319">
        <f>IF(P$621&gt;=$C658,MIN(-(SUM($F658:O658)-$E658),($E658*(1-$D$623))*$D658),0)*P$619</f>
        <v>0</v>
      </c>
      <c r="Q658" s="319">
        <f>IF(Q$621&gt;=$C658,MIN(-(SUM($F658:P658)-$E658),($E658*(1-$D$623))*$D658),0)*Q$619</f>
        <v>0</v>
      </c>
      <c r="R658" s="319">
        <f>IF(R$621&gt;=$C658,MIN(-(SUM($F658:Q658)-$E658),($E658*(1-$D$623))*$D658),0)*R$619</f>
        <v>0</v>
      </c>
      <c r="S658" s="319">
        <f>IF(S$621&gt;=$C658,MIN(-(SUM($F658:R658)-$E658),($E658*(1-$D$623))*$D658),0)*S$619</f>
        <v>0</v>
      </c>
      <c r="T658" s="319">
        <f>IF(T$621&gt;=$C658,MIN(-(SUM($F658:S658)-$E658),($E658*(1-$D$623))*$D658),0)*T$619</f>
        <v>0</v>
      </c>
      <c r="U658" s="319">
        <f>IF(U$621&gt;=$C658,MIN(-(SUM($F658:T658)-$E658),($E658*(1-$D$623))*$D658),0)*U$619</f>
        <v>0</v>
      </c>
      <c r="V658" s="319">
        <f>IF(V$621&gt;=$C658,MIN(-(SUM($F658:U658)-$E658),($E658*(1-$D$623))*$D658),0)*V$619</f>
        <v>0</v>
      </c>
      <c r="W658" s="319">
        <f>IF(W$621&gt;=$C658,MIN(-(SUM($F658:V658)-$E658),($E658*(1-$D$623))*$D658),0)*W$619</f>
        <v>0</v>
      </c>
      <c r="X658" s="319">
        <f>IF(X$621&gt;=$C658,MIN(-(SUM($F658:W658)-$E658),($E658*(1-$D$623))*$D658),0)*X$619</f>
        <v>0</v>
      </c>
      <c r="Y658" s="319">
        <f>IF(Y$621&gt;=$C658,MIN(-(SUM($F658:X658)-$E658),($E658*(1-$D$623))*$D658),0)*Y$619</f>
        <v>0</v>
      </c>
      <c r="Z658" s="319">
        <f>IF(Z$621&gt;=$C658,MIN(-(SUM($F658:Y658)-$E658),($E658*(1-$D$623))*$D658),0)*Z$619</f>
        <v>0</v>
      </c>
      <c r="AA658" s="319">
        <f>IF(AA$621&gt;=$C658,MIN(-(SUM($F658:Z658)-$E658),($E658*(1-$D$623))*$D658),0)*AA$619</f>
        <v>0</v>
      </c>
      <c r="AB658" s="319">
        <f>IF(AB$621&gt;=$C658,MIN(-(SUM($F658:AA658)-$E658),($E658*(1-$D$623))*$D658),0)*AB$619</f>
        <v>0</v>
      </c>
      <c r="AC658" s="319">
        <f>IF(AC$621&gt;=$C658,MIN(-(SUM($F658:AB658)-$E658),($E658*(1-$D$623))*$D658),0)*AC$619</f>
        <v>0</v>
      </c>
      <c r="AD658" s="319">
        <f>IF(AD$621&gt;=$C658,MIN(-(SUM($F658:AC658)-$E658),($E658*(1-$D$623))*$D658),0)*AD$619</f>
        <v>0</v>
      </c>
      <c r="AE658" s="319">
        <f>IF(AE$621&gt;=$C658,MIN(-(SUM($F658:AD658)-$E658),($E658*(1-$D$623))*$D658),0)*AE$619</f>
        <v>0</v>
      </c>
      <c r="AF658" s="319">
        <f>IF(AF$621&gt;=$C658,MIN(-(SUM($F658:AE658)-$E658),($E658*(1-$D$623))*$D658),0)*AF$619</f>
        <v>0</v>
      </c>
      <c r="AG658" s="319">
        <f>IF(AG$621&gt;=$C658,MIN(-(SUM($F658:AF658)-$E658),($E658*(1-$D$623))*$D658),0)*AG$619</f>
        <v>0</v>
      </c>
      <c r="AH658" s="319">
        <f>IF(AH$621&gt;=$C658,MIN(-(SUM($F658:AG658)-$E658),($E658*(1-$D$623))*$D658),0)*AH$619</f>
        <v>0</v>
      </c>
      <c r="AI658" s="319">
        <f>IF(AI$621&gt;=$C658,MIN(-(SUM($F658:AH658)-$E658),($E658*(1-$D$623))*$D658),0)*AI$619</f>
        <v>0</v>
      </c>
      <c r="AJ658" s="319">
        <f>IF(AJ$621&gt;=$C658,MIN(-(SUM($F658:AI658)-$E658),($E658*(1-$D$623))*$D658),0)*AJ$619</f>
        <v>0</v>
      </c>
      <c r="AK658" s="319">
        <f>IF(AK$621&gt;=$C658,MIN(-(SUM($F658:AJ658)-$E658),($E658*(1-$D$623))*$D658),0)*AK$619</f>
        <v>0</v>
      </c>
      <c r="AL658" s="319">
        <f>IF(AL$621&gt;=$C658,MIN(-(SUM($F658:AK658)-$E658),($E658*(1-$D$623))*$D658),0)*AL$619</f>
        <v>0</v>
      </c>
      <c r="AM658" s="319">
        <f>IF(AM$621&gt;=$C658,MIN(-(SUM($F658:AL658)-$E658),($E658*(1-$D$623))*$D658),0)*AM$619</f>
        <v>0</v>
      </c>
      <c r="AN658" s="319">
        <f>IF(AN$621&gt;=$C658,MIN(-(SUM($F658:AM658)-$E658),($E658*(1-$D$623))*$D658),0)*AN$619</f>
        <v>0</v>
      </c>
    </row>
    <row r="659" spans="3:160" outlineLevel="4">
      <c r="C659">
        <v>34</v>
      </c>
      <c r="D659">
        <f>Inputs!$D$262</f>
        <v>0.1</v>
      </c>
      <c r="E659" s="319">
        <v>0</v>
      </c>
      <c r="F659" s="319">
        <f>E659*D623</f>
        <v>0</v>
      </c>
      <c r="G659" s="319">
        <f>IF(G$621&gt;=$C659,MIN(-(SUM(F659:$F659)-$E659),($E659*(1-$D$623))*$D659),0)*G$619</f>
        <v>0</v>
      </c>
      <c r="H659" s="319">
        <f>IF(H$621&gt;=$C659,MIN(-(SUM($F659:G659)-$E659),($E659*(1-$D$623))*$D659),0)*H$619</f>
        <v>0</v>
      </c>
      <c r="I659" s="319">
        <f>IF(I$621&gt;=$C659,MIN(-(SUM($F659:H659)-$E659),($E659*(1-$D$623))*$D659),0)*I$619</f>
        <v>0</v>
      </c>
      <c r="J659" s="319">
        <f>IF(J$621&gt;=$C659,MIN(-(SUM($F659:I659)-$E659),($E659*(1-$D$623))*$D659),0)*J$619</f>
        <v>0</v>
      </c>
      <c r="K659" s="319">
        <f>IF(K$621&gt;=$C659,MIN(-(SUM($F659:J659)-$E659),($E659*(1-$D$623))*$D659),0)*K$619</f>
        <v>0</v>
      </c>
      <c r="L659" s="319">
        <f>IF(L$621&gt;=$C659,MIN(-(SUM($F659:K659)-$E659),($E659*(1-$D$623))*$D659),0)*L$619</f>
        <v>0</v>
      </c>
      <c r="M659" s="319">
        <f>IF(M$621&gt;=$C659,MIN(-(SUM($F659:L659)-$E659),($E659*(1-$D$623))*$D659),0)*M$619</f>
        <v>0</v>
      </c>
      <c r="N659" s="319">
        <f>IF(N$621&gt;=$C659,MIN(-(SUM($F659:M659)-$E659),($E659*(1-$D$623))*$D659),0)*N$619</f>
        <v>0</v>
      </c>
      <c r="O659" s="319">
        <f>IF(O$621&gt;=$C659,MIN(-(SUM($F659:N659)-$E659),($E659*(1-$D$623))*$D659),0)*O$619</f>
        <v>0</v>
      </c>
      <c r="P659" s="319">
        <f>IF(P$621&gt;=$C659,MIN(-(SUM($F659:O659)-$E659),($E659*(1-$D$623))*$D659),0)*P$619</f>
        <v>0</v>
      </c>
      <c r="Q659" s="319">
        <f>IF(Q$621&gt;=$C659,MIN(-(SUM($F659:P659)-$E659),($E659*(1-$D$623))*$D659),0)*Q$619</f>
        <v>0</v>
      </c>
      <c r="R659" s="319">
        <f>IF(R$621&gt;=$C659,MIN(-(SUM($F659:Q659)-$E659),($E659*(1-$D$623))*$D659),0)*R$619</f>
        <v>0</v>
      </c>
      <c r="S659" s="319">
        <f>IF(S$621&gt;=$C659,MIN(-(SUM($F659:R659)-$E659),($E659*(1-$D$623))*$D659),0)*S$619</f>
        <v>0</v>
      </c>
      <c r="T659" s="319">
        <f>IF(T$621&gt;=$C659,MIN(-(SUM($F659:S659)-$E659),($E659*(1-$D$623))*$D659),0)*T$619</f>
        <v>0</v>
      </c>
      <c r="U659" s="319">
        <f>IF(U$621&gt;=$C659,MIN(-(SUM($F659:T659)-$E659),($E659*(1-$D$623))*$D659),0)*U$619</f>
        <v>0</v>
      </c>
      <c r="V659" s="319">
        <f>IF(V$621&gt;=$C659,MIN(-(SUM($F659:U659)-$E659),($E659*(1-$D$623))*$D659),0)*V$619</f>
        <v>0</v>
      </c>
      <c r="W659" s="319">
        <f>IF(W$621&gt;=$C659,MIN(-(SUM($F659:V659)-$E659),($E659*(1-$D$623))*$D659),0)*W$619</f>
        <v>0</v>
      </c>
      <c r="X659" s="319">
        <f>IF(X$621&gt;=$C659,MIN(-(SUM($F659:W659)-$E659),($E659*(1-$D$623))*$D659),0)*X$619</f>
        <v>0</v>
      </c>
      <c r="Y659" s="319">
        <f>IF(Y$621&gt;=$C659,MIN(-(SUM($F659:X659)-$E659),($E659*(1-$D$623))*$D659),0)*Y$619</f>
        <v>0</v>
      </c>
      <c r="Z659" s="319">
        <f>IF(Z$621&gt;=$C659,MIN(-(SUM($F659:Y659)-$E659),($E659*(1-$D$623))*$D659),0)*Z$619</f>
        <v>0</v>
      </c>
      <c r="AA659" s="319">
        <f>IF(AA$621&gt;=$C659,MIN(-(SUM($F659:Z659)-$E659),($E659*(1-$D$623))*$D659),0)*AA$619</f>
        <v>0</v>
      </c>
      <c r="AB659" s="319">
        <f>IF(AB$621&gt;=$C659,MIN(-(SUM($F659:AA659)-$E659),($E659*(1-$D$623))*$D659),0)*AB$619</f>
        <v>0</v>
      </c>
      <c r="AC659" s="319">
        <f>IF(AC$621&gt;=$C659,MIN(-(SUM($F659:AB659)-$E659),($E659*(1-$D$623))*$D659),0)*AC$619</f>
        <v>0</v>
      </c>
      <c r="AD659" s="319">
        <f>IF(AD$621&gt;=$C659,MIN(-(SUM($F659:AC659)-$E659),($E659*(1-$D$623))*$D659),0)*AD$619</f>
        <v>0</v>
      </c>
      <c r="AE659" s="319">
        <f>IF(AE$621&gt;=$C659,MIN(-(SUM($F659:AD659)-$E659),($E659*(1-$D$623))*$D659),0)*AE$619</f>
        <v>0</v>
      </c>
      <c r="AF659" s="319">
        <f>IF(AF$621&gt;=$C659,MIN(-(SUM($F659:AE659)-$E659),($E659*(1-$D$623))*$D659),0)*AF$619</f>
        <v>0</v>
      </c>
      <c r="AG659" s="319">
        <f>IF(AG$621&gt;=$C659,MIN(-(SUM($F659:AF659)-$E659),($E659*(1-$D$623))*$D659),0)*AG$619</f>
        <v>0</v>
      </c>
      <c r="AH659" s="319">
        <f>IF(AH$621&gt;=$C659,MIN(-(SUM($F659:AG659)-$E659),($E659*(1-$D$623))*$D659),0)*AH$619</f>
        <v>0</v>
      </c>
      <c r="AI659" s="319">
        <f>IF(AI$621&gt;=$C659,MIN(-(SUM($F659:AH659)-$E659),($E659*(1-$D$623))*$D659),0)*AI$619</f>
        <v>0</v>
      </c>
      <c r="AJ659" s="319">
        <f>IF(AJ$621&gt;=$C659,MIN(-(SUM($F659:AI659)-$E659),($E659*(1-$D$623))*$D659),0)*AJ$619</f>
        <v>0</v>
      </c>
      <c r="AK659" s="319">
        <f>IF(AK$621&gt;=$C659,MIN(-(SUM($F659:AJ659)-$E659),($E659*(1-$D$623))*$D659),0)*AK$619</f>
        <v>0</v>
      </c>
      <c r="AL659" s="319">
        <f>IF(AL$621&gt;=$C659,MIN(-(SUM($F659:AK659)-$E659),($E659*(1-$D$623))*$D659),0)*AL$619</f>
        <v>0</v>
      </c>
      <c r="AM659" s="319">
        <f>IF(AM$621&gt;=$C659,MIN(-(SUM($F659:AL659)-$E659),($E659*(1-$D$623))*$D659),0)*AM$619</f>
        <v>0</v>
      </c>
      <c r="AN659" s="319">
        <f>IF(AN$621&gt;=$C659,MIN(-(SUM($F659:AM659)-$E659),($E659*(1-$D$623))*$D659),0)*AN$619</f>
        <v>0</v>
      </c>
    </row>
    <row r="660" spans="3:160" ht="16.2" outlineLevel="4" thickBot="1">
      <c r="C660" s="323" t="s">
        <v>473</v>
      </c>
      <c r="D660"/>
      <c r="E660" s="233"/>
      <c r="F660" s="319" t="s">
        <v>13</v>
      </c>
      <c r="G660" s="319">
        <f t="shared" ref="G660" si="573">SUM(G626:G659)</f>
        <v>38.331921922179809</v>
      </c>
      <c r="H660" s="319">
        <f t="shared" ref="H660" si="574">SUM(H626:H659)</f>
        <v>170.21304268726431</v>
      </c>
      <c r="I660" s="319">
        <f t="shared" ref="I660" si="575">SUM(I626:I659)</f>
        <v>275.0719821032643</v>
      </c>
      <c r="J660" s="319">
        <f t="shared" ref="J660" si="576">SUM(J626:J659)</f>
        <v>303.6249821032643</v>
      </c>
      <c r="K660" s="319">
        <f t="shared" ref="K660" si="577">SUM(K626:K659)</f>
        <v>375.00748210326429</v>
      </c>
      <c r="L660" s="319">
        <f t="shared" ref="L660" si="578">SUM(L626:L659)</f>
        <v>1590.7612542692914</v>
      </c>
      <c r="M660" s="319">
        <f t="shared" ref="M660" si="579">SUM(M626:M659)</f>
        <v>1590.7612542692914</v>
      </c>
      <c r="N660" s="319">
        <f t="shared" ref="N660" si="580">SUM(N626:N659)</f>
        <v>1597.4828382692913</v>
      </c>
      <c r="O660" s="319">
        <f t="shared" ref="O660" si="581">SUM(O626:O659)</f>
        <v>1597.4828382692913</v>
      </c>
      <c r="P660" s="319">
        <f t="shared" ref="P660" si="582">SUM(P626:P659)</f>
        <v>1670.8653382692912</v>
      </c>
      <c r="Q660" s="319">
        <f t="shared" ref="Q660" si="583">SUM(Q626:Q659)</f>
        <v>1666.8912336315473</v>
      </c>
      <c r="R660" s="319">
        <f t="shared" ref="R660" si="584">SUM(R626:R659)</f>
        <v>1632.2087350194799</v>
      </c>
      <c r="S660" s="319">
        <f t="shared" ref="S660" si="585">SUM(S626:S659)</f>
        <v>1530.5277814466799</v>
      </c>
      <c r="T660" s="319">
        <f t="shared" ref="T660" si="586">SUM(T626:T659)</f>
        <v>1503.9747814466798</v>
      </c>
      <c r="U660" s="319">
        <f t="shared" ref="U660" si="587">SUM(U626:U659)</f>
        <v>1439.3138654466791</v>
      </c>
      <c r="V660" s="319">
        <f t="shared" ref="V660" si="588">SUM(V626:V659)</f>
        <v>466.71084771385824</v>
      </c>
      <c r="W660" s="319">
        <f t="shared" ref="W660" si="589">SUM(W626:W659)</f>
        <v>538.09334771385829</v>
      </c>
      <c r="X660" s="319">
        <f t="shared" ref="X660" si="590">SUM(X626:X659)</f>
        <v>561.92476371385828</v>
      </c>
      <c r="Y660" s="319">
        <f t="shared" ref="Y660" si="591">SUM(Y626:Y659)</f>
        <v>633.30726371385833</v>
      </c>
      <c r="Z660" s="319">
        <f t="shared" ref="Z660" si="592">SUM(Z626:Z659)</f>
        <v>559.92476371385828</v>
      </c>
      <c r="AA660" s="319">
        <f t="shared" ref="AA660" si="593">SUM(AA626:AA659)</f>
        <v>531.37176371385829</v>
      </c>
      <c r="AB660" s="319">
        <f t="shared" ref="AB660" si="594">SUM(AB626:AB659)</f>
        <v>468.7108477138583</v>
      </c>
      <c r="AC660" s="319">
        <f t="shared" ref="AC660" si="595">SUM(AC626:AC659)</f>
        <v>468.7108477138583</v>
      </c>
      <c r="AD660" s="319">
        <f t="shared" ref="AD660" si="596">SUM(AD626:AD659)</f>
        <v>538.09334771385829</v>
      </c>
      <c r="AE660" s="319">
        <f t="shared" ref="AE660" si="597">SUM(AE626:AE659)</f>
        <v>559.92476371385828</v>
      </c>
      <c r="AF660" s="319">
        <f t="shared" ref="AF660" si="598">SUM(AF626:AF659)</f>
        <v>633.30726371385867</v>
      </c>
      <c r="AG660" s="319">
        <f t="shared" ref="AG660" si="599">SUM(AG626:AG659)</f>
        <v>561.92476371385828</v>
      </c>
      <c r="AH660" s="319">
        <f t="shared" ref="AH660" si="600">SUM(AH626:AH659)</f>
        <v>532.50316371385816</v>
      </c>
      <c r="AI660" s="319">
        <f t="shared" ref="AI660" si="601">SUM(AI626:AI659)</f>
        <v>466.71084771385824</v>
      </c>
      <c r="AJ660" s="319">
        <f t="shared" ref="AJ660" si="602">SUM(AJ626:AJ659)</f>
        <v>468.71084771385824</v>
      </c>
      <c r="AK660" s="319">
        <f t="shared" ref="AK660" si="603">SUM(AK626:AK659)</f>
        <v>0</v>
      </c>
      <c r="AL660" s="319">
        <f t="shared" ref="AL660" si="604">SUM(AL626:AL659)</f>
        <v>0</v>
      </c>
      <c r="AM660" s="319">
        <f t="shared" ref="AM660" si="605">SUM(AM626:AM659)</f>
        <v>0</v>
      </c>
      <c r="AN660" s="319">
        <f t="shared" ref="AN660" si="606">SUM(AN626:AN659)</f>
        <v>0</v>
      </c>
      <c r="AO660" s="325"/>
      <c r="AP660" s="325"/>
      <c r="AQ660" s="325"/>
      <c r="AR660" s="325"/>
      <c r="AS660" s="325"/>
      <c r="AT660" s="325"/>
      <c r="AU660" s="325"/>
      <c r="AV660" s="325"/>
      <c r="AW660" s="325"/>
      <c r="AX660" s="325"/>
      <c r="AY660" s="325"/>
      <c r="AZ660" s="325"/>
      <c r="BA660" s="325"/>
      <c r="BB660" s="325"/>
      <c r="BC660" s="325"/>
      <c r="BD660" s="325"/>
      <c r="BE660" s="325"/>
      <c r="BF660" s="325"/>
      <c r="BG660" s="325"/>
      <c r="BH660" s="325"/>
      <c r="BI660" s="325"/>
      <c r="BJ660" s="325"/>
      <c r="BK660" s="325"/>
      <c r="BL660" s="325"/>
      <c r="BM660" s="325"/>
      <c r="BN660" s="325"/>
      <c r="BO660" s="325"/>
      <c r="BP660" s="325"/>
      <c r="BQ660" s="325"/>
      <c r="BR660" s="325"/>
      <c r="BS660" s="325"/>
      <c r="BT660" s="325"/>
      <c r="BU660" s="325"/>
      <c r="BV660" s="325"/>
      <c r="BW660" s="325"/>
      <c r="BX660" s="325"/>
      <c r="BY660" s="325"/>
      <c r="BZ660" s="325"/>
      <c r="CA660" s="325"/>
      <c r="CB660" s="325"/>
      <c r="CC660" s="325"/>
      <c r="CD660" s="325"/>
      <c r="CE660" s="325"/>
      <c r="CF660" s="325"/>
      <c r="CG660" s="325"/>
      <c r="CH660" s="325"/>
      <c r="CI660" s="325"/>
      <c r="CJ660" s="325"/>
      <c r="CK660" s="325"/>
      <c r="CL660" s="325"/>
      <c r="CM660" s="325"/>
      <c r="CN660" s="325"/>
      <c r="CO660" s="325"/>
      <c r="CP660" s="325"/>
      <c r="CQ660" s="325"/>
      <c r="CR660" s="325"/>
      <c r="CS660" s="325"/>
      <c r="CT660" s="325"/>
      <c r="CU660" s="325"/>
      <c r="CV660" s="325"/>
      <c r="CW660" s="325"/>
      <c r="CX660" s="325"/>
      <c r="CY660" s="325"/>
      <c r="CZ660" s="325"/>
      <c r="DA660" s="325"/>
      <c r="DB660" s="325"/>
      <c r="DC660" s="325"/>
      <c r="DD660" s="325"/>
      <c r="DE660" s="325"/>
      <c r="DF660" s="325"/>
      <c r="DG660" s="325"/>
      <c r="DH660" s="325"/>
      <c r="DI660" s="325"/>
      <c r="DJ660" s="325"/>
      <c r="DK660" s="325"/>
      <c r="DL660" s="325"/>
      <c r="DM660" s="325"/>
      <c r="DN660" s="325"/>
      <c r="DO660" s="325"/>
      <c r="DP660" s="325"/>
      <c r="DQ660" s="325"/>
      <c r="DR660" s="325"/>
      <c r="DS660" s="325"/>
      <c r="DT660" s="325"/>
      <c r="DU660" s="325"/>
      <c r="DV660" s="325"/>
      <c r="DW660" s="325"/>
      <c r="DX660" s="325"/>
      <c r="DY660" s="325"/>
      <c r="DZ660" s="325"/>
      <c r="EA660" s="325"/>
      <c r="EB660" s="325"/>
      <c r="EC660" s="325"/>
      <c r="ED660" s="325"/>
      <c r="EE660" s="325"/>
      <c r="EF660" s="325"/>
      <c r="EG660" s="325"/>
      <c r="EH660" s="325"/>
      <c r="EI660" s="325"/>
      <c r="EJ660" s="325"/>
      <c r="EK660" s="325"/>
      <c r="EL660" s="325"/>
      <c r="EM660" s="325"/>
      <c r="EN660" s="325"/>
      <c r="EO660" s="325"/>
      <c r="EP660" s="325"/>
      <c r="EQ660" s="325"/>
      <c r="ER660" s="325"/>
      <c r="ES660" s="325"/>
      <c r="ET660" s="325"/>
      <c r="EU660" s="325"/>
      <c r="EV660" s="325"/>
      <c r="EW660" s="325"/>
      <c r="EX660" s="325"/>
      <c r="EY660" s="325"/>
      <c r="EZ660" s="325"/>
      <c r="FA660" s="325"/>
      <c r="FB660" s="325"/>
      <c r="FC660" s="325"/>
      <c r="FD660" s="325"/>
    </row>
    <row r="661" spans="3:160" ht="16.2" outlineLevel="3" thickTop="1">
      <c r="C661"/>
      <c r="D661" s="266"/>
      <c r="E661" s="76"/>
      <c r="F661"/>
    </row>
    <row r="662" spans="3:160" outlineLevel="2">
      <c r="C662"/>
      <c r="D662" s="266"/>
      <c r="E662" s="76"/>
      <c r="F662"/>
    </row>
    <row r="663" spans="3:160" outlineLevel="2">
      <c r="C663"/>
      <c r="D663" s="266"/>
      <c r="E663" s="76"/>
      <c r="F663"/>
    </row>
    <row r="664" spans="3:160" outlineLevel="1">
      <c r="C664"/>
      <c r="D664" s="266"/>
      <c r="E664" s="76"/>
      <c r="F664"/>
    </row>
    <row r="665" spans="3:160" outlineLevel="1">
      <c r="C665" t="s">
        <v>484</v>
      </c>
      <c r="D665" s="266"/>
      <c r="E665" s="76"/>
      <c r="F665"/>
    </row>
    <row r="666" spans="3:160" outlineLevel="2">
      <c r="C666"/>
      <c r="D666" s="266"/>
      <c r="E666" s="76"/>
      <c r="F666"/>
    </row>
    <row r="667" spans="3:160" outlineLevel="2">
      <c r="C667" t="s">
        <v>296</v>
      </c>
      <c r="D667" s="266"/>
      <c r="E667" s="76"/>
      <c r="F667"/>
    </row>
    <row r="668" spans="3:160" outlineLevel="3">
      <c r="C668"/>
      <c r="D668" s="266"/>
      <c r="E668" s="76"/>
      <c r="F668"/>
    </row>
    <row r="669" spans="3:160" outlineLevel="3">
      <c r="C669" t="s">
        <v>464</v>
      </c>
      <c r="D669" s="266"/>
      <c r="E669" s="76"/>
      <c r="F669"/>
    </row>
    <row r="670" spans="3:160" outlineLevel="4">
      <c r="C670"/>
      <c r="D670" s="266"/>
      <c r="E670" s="76"/>
      <c r="F670"/>
    </row>
    <row r="671" spans="3:160" outlineLevel="4">
      <c r="C671" t="s">
        <v>465</v>
      </c>
      <c r="D671" s="266"/>
      <c r="E671" s="76" t="s">
        <v>13</v>
      </c>
      <c r="F671" s="273"/>
      <c r="G671" s="273">
        <f t="shared" ref="G671:AN671" si="607">F674</f>
        <v>0</v>
      </c>
      <c r="H671" s="273">
        <f t="shared" si="607"/>
        <v>0</v>
      </c>
      <c r="I671" s="273">
        <f t="shared" si="607"/>
        <v>0</v>
      </c>
      <c r="J671" s="273">
        <f t="shared" si="607"/>
        <v>0</v>
      </c>
      <c r="K671" s="273">
        <f t="shared" si="607"/>
        <v>0</v>
      </c>
      <c r="L671" s="273">
        <f t="shared" si="607"/>
        <v>0</v>
      </c>
      <c r="M671" s="273">
        <f t="shared" si="607"/>
        <v>0</v>
      </c>
      <c r="N671" s="273">
        <f t="shared" si="607"/>
        <v>0</v>
      </c>
      <c r="O671" s="273">
        <f t="shared" si="607"/>
        <v>0</v>
      </c>
      <c r="P671" s="273">
        <f t="shared" si="607"/>
        <v>0</v>
      </c>
      <c r="Q671" s="273">
        <f t="shared" si="607"/>
        <v>0</v>
      </c>
      <c r="R671" s="273">
        <f t="shared" si="607"/>
        <v>0</v>
      </c>
      <c r="S671" s="273">
        <f t="shared" si="607"/>
        <v>0</v>
      </c>
      <c r="T671" s="273">
        <f t="shared" si="607"/>
        <v>0</v>
      </c>
      <c r="U671" s="273">
        <f t="shared" si="607"/>
        <v>0</v>
      </c>
      <c r="V671" s="273">
        <f t="shared" si="607"/>
        <v>0</v>
      </c>
      <c r="W671" s="273">
        <f t="shared" si="607"/>
        <v>0</v>
      </c>
      <c r="X671" s="273">
        <f t="shared" si="607"/>
        <v>0</v>
      </c>
      <c r="Y671" s="273">
        <f t="shared" si="607"/>
        <v>0</v>
      </c>
      <c r="Z671" s="273">
        <f t="shared" si="607"/>
        <v>0</v>
      </c>
      <c r="AA671" s="273">
        <f t="shared" si="607"/>
        <v>0</v>
      </c>
      <c r="AB671" s="273">
        <f t="shared" si="607"/>
        <v>0</v>
      </c>
      <c r="AC671" s="273">
        <f t="shared" si="607"/>
        <v>0</v>
      </c>
      <c r="AD671" s="273">
        <f t="shared" si="607"/>
        <v>0</v>
      </c>
      <c r="AE671" s="273">
        <f t="shared" si="607"/>
        <v>0</v>
      </c>
      <c r="AF671" s="273">
        <f t="shared" si="607"/>
        <v>0</v>
      </c>
      <c r="AG671" s="273">
        <f t="shared" si="607"/>
        <v>0</v>
      </c>
      <c r="AH671" s="273">
        <f t="shared" si="607"/>
        <v>0</v>
      </c>
      <c r="AI671" s="273">
        <f t="shared" si="607"/>
        <v>0</v>
      </c>
      <c r="AJ671" s="273">
        <f t="shared" si="607"/>
        <v>0</v>
      </c>
      <c r="AK671" s="273">
        <f t="shared" si="607"/>
        <v>0</v>
      </c>
      <c r="AL671" s="273">
        <f t="shared" si="607"/>
        <v>0</v>
      </c>
      <c r="AM671" s="273">
        <f t="shared" si="607"/>
        <v>0</v>
      </c>
      <c r="AN671" s="273">
        <f t="shared" si="607"/>
        <v>0</v>
      </c>
    </row>
    <row r="672" spans="3:160" outlineLevel="4">
      <c r="C672" t="s">
        <v>466</v>
      </c>
      <c r="D672" s="275"/>
      <c r="E672" s="203" t="s">
        <v>13</v>
      </c>
      <c r="F672" s="88">
        <f>SUM(G672:AN672)</f>
        <v>0</v>
      </c>
      <c r="G672" s="322">
        <f t="shared" ref="G672:AN672" si="608">G433</f>
        <v>0</v>
      </c>
      <c r="H672" s="322">
        <f t="shared" si="608"/>
        <v>0</v>
      </c>
      <c r="I672" s="322">
        <f t="shared" si="608"/>
        <v>0</v>
      </c>
      <c r="J672" s="322">
        <f t="shared" si="608"/>
        <v>0</v>
      </c>
      <c r="K672" s="322">
        <f t="shared" si="608"/>
        <v>0</v>
      </c>
      <c r="L672" s="322">
        <f t="shared" si="608"/>
        <v>0</v>
      </c>
      <c r="M672" s="322">
        <f t="shared" si="608"/>
        <v>0</v>
      </c>
      <c r="N672" s="322">
        <f t="shared" si="608"/>
        <v>0</v>
      </c>
      <c r="O672" s="322">
        <f t="shared" si="608"/>
        <v>0</v>
      </c>
      <c r="P672" s="322">
        <f t="shared" si="608"/>
        <v>0</v>
      </c>
      <c r="Q672" s="322">
        <f t="shared" si="608"/>
        <v>0</v>
      </c>
      <c r="R672" s="322">
        <f t="shared" si="608"/>
        <v>0</v>
      </c>
      <c r="S672" s="322">
        <f t="shared" si="608"/>
        <v>0</v>
      </c>
      <c r="T672" s="322">
        <f t="shared" si="608"/>
        <v>0</v>
      </c>
      <c r="U672" s="322">
        <f t="shared" si="608"/>
        <v>0</v>
      </c>
      <c r="V672" s="322">
        <f t="shared" si="608"/>
        <v>0</v>
      </c>
      <c r="W672" s="322">
        <f t="shared" si="608"/>
        <v>0</v>
      </c>
      <c r="X672" s="322">
        <f t="shared" si="608"/>
        <v>0</v>
      </c>
      <c r="Y672" s="322">
        <f t="shared" si="608"/>
        <v>0</v>
      </c>
      <c r="Z672" s="322">
        <f t="shared" si="608"/>
        <v>0</v>
      </c>
      <c r="AA672" s="322">
        <f t="shared" si="608"/>
        <v>0</v>
      </c>
      <c r="AB672" s="322">
        <f t="shared" si="608"/>
        <v>0</v>
      </c>
      <c r="AC672" s="322">
        <f t="shared" si="608"/>
        <v>0</v>
      </c>
      <c r="AD672" s="322">
        <f t="shared" si="608"/>
        <v>0</v>
      </c>
      <c r="AE672" s="322">
        <f t="shared" si="608"/>
        <v>0</v>
      </c>
      <c r="AF672" s="322">
        <f t="shared" si="608"/>
        <v>0</v>
      </c>
      <c r="AG672" s="322">
        <f t="shared" si="608"/>
        <v>0</v>
      </c>
      <c r="AH672" s="322">
        <f t="shared" si="608"/>
        <v>0</v>
      </c>
      <c r="AI672" s="322">
        <f t="shared" si="608"/>
        <v>0</v>
      </c>
      <c r="AJ672" s="322">
        <f t="shared" si="608"/>
        <v>0</v>
      </c>
      <c r="AK672" s="322">
        <f t="shared" si="608"/>
        <v>0</v>
      </c>
      <c r="AL672" s="322">
        <f t="shared" si="608"/>
        <v>0</v>
      </c>
      <c r="AM672" s="322">
        <f t="shared" si="608"/>
        <v>0</v>
      </c>
      <c r="AN672" s="322">
        <f t="shared" si="608"/>
        <v>0</v>
      </c>
    </row>
    <row r="673" spans="3:40" outlineLevel="4">
      <c r="C673" t="s">
        <v>467</v>
      </c>
      <c r="D673" s="266"/>
      <c r="E673" s="76" t="s">
        <v>13</v>
      </c>
      <c r="F673" s="50">
        <f>SUM(G673:AN673)</f>
        <v>0</v>
      </c>
      <c r="G673" s="273">
        <f t="shared" ref="G673:AN673" si="609">-G719</f>
        <v>0</v>
      </c>
      <c r="H673" s="273">
        <f t="shared" si="609"/>
        <v>0</v>
      </c>
      <c r="I673" s="273">
        <f t="shared" si="609"/>
        <v>0</v>
      </c>
      <c r="J673" s="273">
        <f t="shared" si="609"/>
        <v>0</v>
      </c>
      <c r="K673" s="273">
        <f t="shared" si="609"/>
        <v>0</v>
      </c>
      <c r="L673" s="273">
        <f t="shared" si="609"/>
        <v>0</v>
      </c>
      <c r="M673" s="273">
        <f t="shared" si="609"/>
        <v>0</v>
      </c>
      <c r="N673" s="273">
        <f t="shared" si="609"/>
        <v>0</v>
      </c>
      <c r="O673" s="273">
        <f t="shared" si="609"/>
        <v>0</v>
      </c>
      <c r="P673" s="273">
        <f t="shared" si="609"/>
        <v>0</v>
      </c>
      <c r="Q673" s="273">
        <f t="shared" si="609"/>
        <v>0</v>
      </c>
      <c r="R673" s="273">
        <f t="shared" si="609"/>
        <v>0</v>
      </c>
      <c r="S673" s="273">
        <f t="shared" si="609"/>
        <v>0</v>
      </c>
      <c r="T673" s="273">
        <f t="shared" si="609"/>
        <v>0</v>
      </c>
      <c r="U673" s="273">
        <f t="shared" si="609"/>
        <v>0</v>
      </c>
      <c r="V673" s="273">
        <f t="shared" si="609"/>
        <v>0</v>
      </c>
      <c r="W673" s="273">
        <f t="shared" si="609"/>
        <v>0</v>
      </c>
      <c r="X673" s="273">
        <f t="shared" si="609"/>
        <v>0</v>
      </c>
      <c r="Y673" s="273">
        <f t="shared" si="609"/>
        <v>0</v>
      </c>
      <c r="Z673" s="273">
        <f t="shared" si="609"/>
        <v>0</v>
      </c>
      <c r="AA673" s="273">
        <f t="shared" si="609"/>
        <v>0</v>
      </c>
      <c r="AB673" s="273">
        <f t="shared" si="609"/>
        <v>0</v>
      </c>
      <c r="AC673" s="273">
        <f t="shared" si="609"/>
        <v>0</v>
      </c>
      <c r="AD673" s="273">
        <f t="shared" si="609"/>
        <v>0</v>
      </c>
      <c r="AE673" s="273">
        <f t="shared" si="609"/>
        <v>0</v>
      </c>
      <c r="AF673" s="273">
        <f t="shared" si="609"/>
        <v>0</v>
      </c>
      <c r="AG673" s="273">
        <f t="shared" si="609"/>
        <v>0</v>
      </c>
      <c r="AH673" s="273">
        <f t="shared" si="609"/>
        <v>0</v>
      </c>
      <c r="AI673" s="273">
        <f t="shared" si="609"/>
        <v>0</v>
      </c>
      <c r="AJ673" s="273">
        <f t="shared" si="609"/>
        <v>0</v>
      </c>
      <c r="AK673" s="273">
        <f t="shared" si="609"/>
        <v>0</v>
      </c>
      <c r="AL673" s="273">
        <f t="shared" si="609"/>
        <v>0</v>
      </c>
      <c r="AM673" s="273">
        <f t="shared" si="609"/>
        <v>0</v>
      </c>
      <c r="AN673" s="273">
        <f t="shared" si="609"/>
        <v>0</v>
      </c>
    </row>
    <row r="674" spans="3:40" outlineLevel="4">
      <c r="C674" t="s">
        <v>468</v>
      </c>
      <c r="D674" s="275"/>
      <c r="E674" s="203" t="s">
        <v>13</v>
      </c>
      <c r="F674" s="89"/>
      <c r="G674" s="287">
        <f t="shared" ref="G674:AN674" si="610">SUM(G671:G673)</f>
        <v>0</v>
      </c>
      <c r="H674" s="287">
        <f t="shared" si="610"/>
        <v>0</v>
      </c>
      <c r="I674" s="287">
        <f t="shared" si="610"/>
        <v>0</v>
      </c>
      <c r="J674" s="287">
        <f t="shared" si="610"/>
        <v>0</v>
      </c>
      <c r="K674" s="287">
        <f t="shared" si="610"/>
        <v>0</v>
      </c>
      <c r="L674" s="287">
        <f t="shared" si="610"/>
        <v>0</v>
      </c>
      <c r="M674" s="287">
        <f t="shared" si="610"/>
        <v>0</v>
      </c>
      <c r="N674" s="287">
        <f t="shared" si="610"/>
        <v>0</v>
      </c>
      <c r="O674" s="287">
        <f t="shared" si="610"/>
        <v>0</v>
      </c>
      <c r="P674" s="287">
        <f t="shared" si="610"/>
        <v>0</v>
      </c>
      <c r="Q674" s="287">
        <f t="shared" si="610"/>
        <v>0</v>
      </c>
      <c r="R674" s="287">
        <f t="shared" si="610"/>
        <v>0</v>
      </c>
      <c r="S674" s="287">
        <f t="shared" si="610"/>
        <v>0</v>
      </c>
      <c r="T674" s="287">
        <f t="shared" si="610"/>
        <v>0</v>
      </c>
      <c r="U674" s="287">
        <f t="shared" si="610"/>
        <v>0</v>
      </c>
      <c r="V674" s="287">
        <f t="shared" si="610"/>
        <v>0</v>
      </c>
      <c r="W674" s="287">
        <f t="shared" si="610"/>
        <v>0</v>
      </c>
      <c r="X674" s="287">
        <f t="shared" si="610"/>
        <v>0</v>
      </c>
      <c r="Y674" s="287">
        <f t="shared" si="610"/>
        <v>0</v>
      </c>
      <c r="Z674" s="287">
        <f t="shared" si="610"/>
        <v>0</v>
      </c>
      <c r="AA674" s="287">
        <f t="shared" si="610"/>
        <v>0</v>
      </c>
      <c r="AB674" s="287">
        <f t="shared" si="610"/>
        <v>0</v>
      </c>
      <c r="AC674" s="287">
        <f t="shared" si="610"/>
        <v>0</v>
      </c>
      <c r="AD674" s="287">
        <f t="shared" si="610"/>
        <v>0</v>
      </c>
      <c r="AE674" s="287">
        <f t="shared" si="610"/>
        <v>0</v>
      </c>
      <c r="AF674" s="287">
        <f t="shared" si="610"/>
        <v>0</v>
      </c>
      <c r="AG674" s="287">
        <f t="shared" si="610"/>
        <v>0</v>
      </c>
      <c r="AH674" s="287">
        <f t="shared" si="610"/>
        <v>0</v>
      </c>
      <c r="AI674" s="287">
        <f t="shared" si="610"/>
        <v>0</v>
      </c>
      <c r="AJ674" s="287">
        <f t="shared" si="610"/>
        <v>0</v>
      </c>
      <c r="AK674" s="287">
        <f t="shared" si="610"/>
        <v>0</v>
      </c>
      <c r="AL674" s="287">
        <f t="shared" si="610"/>
        <v>0</v>
      </c>
      <c r="AM674" s="287">
        <f t="shared" si="610"/>
        <v>0</v>
      </c>
      <c r="AN674" s="287">
        <f t="shared" si="610"/>
        <v>0</v>
      </c>
    </row>
    <row r="675" spans="3:40" outlineLevel="3">
      <c r="C675"/>
      <c r="D675" s="266"/>
      <c r="E675" s="76"/>
      <c r="F675"/>
    </row>
    <row r="676" spans="3:40" outlineLevel="3">
      <c r="C676" t="s">
        <v>469</v>
      </c>
      <c r="D676" s="266"/>
      <c r="E676" s="76"/>
      <c r="F676"/>
    </row>
    <row r="677" spans="3:40" outlineLevel="4">
      <c r="C677"/>
      <c r="D677" s="266"/>
      <c r="E677" s="76"/>
      <c r="F677"/>
    </row>
    <row r="678" spans="3:40" outlineLevel="4">
      <c r="C678" s="303" t="str">
        <f>Flags!C$72</f>
        <v>Cons + Ops Flag</v>
      </c>
      <c r="D678" s="319"/>
      <c r="E678" s="41" t="str">
        <f>Flags!E$72</f>
        <v>Flag</v>
      </c>
      <c r="F678" s="23">
        <f>Flags!F$72</f>
        <v>30</v>
      </c>
      <c r="G678" s="25">
        <f>Flags!G$72</f>
        <v>1</v>
      </c>
      <c r="H678" s="25">
        <f>Flags!H$72</f>
        <v>1</v>
      </c>
      <c r="I678" s="25">
        <f>Flags!I$72</f>
        <v>1</v>
      </c>
      <c r="J678" s="25">
        <f>Flags!J$72</f>
        <v>1</v>
      </c>
      <c r="K678" s="25">
        <f>Flags!K$72</f>
        <v>1</v>
      </c>
      <c r="L678" s="25">
        <f>Flags!L$72</f>
        <v>1</v>
      </c>
      <c r="M678" s="25">
        <f>Flags!M$72</f>
        <v>1</v>
      </c>
      <c r="N678" s="25">
        <f>Flags!N$72</f>
        <v>1</v>
      </c>
      <c r="O678" s="25">
        <f>Flags!O$72</f>
        <v>1</v>
      </c>
      <c r="P678" s="25">
        <f>Flags!P$72</f>
        <v>1</v>
      </c>
      <c r="Q678" s="25">
        <f>Flags!Q$72</f>
        <v>1</v>
      </c>
      <c r="R678" s="25">
        <f>Flags!R$72</f>
        <v>1</v>
      </c>
      <c r="S678" s="25">
        <f>Flags!S$72</f>
        <v>1</v>
      </c>
      <c r="T678" s="25">
        <f>Flags!T$72</f>
        <v>1</v>
      </c>
      <c r="U678" s="25">
        <f>Flags!U$72</f>
        <v>1</v>
      </c>
      <c r="V678" s="25">
        <f>Flags!V$72</f>
        <v>1</v>
      </c>
      <c r="W678" s="25">
        <f>Flags!W$72</f>
        <v>1</v>
      </c>
      <c r="X678" s="25">
        <f>Flags!X$72</f>
        <v>1</v>
      </c>
      <c r="Y678" s="25">
        <f>Flags!Y$72</f>
        <v>1</v>
      </c>
      <c r="Z678" s="25">
        <f>Flags!Z$72</f>
        <v>1</v>
      </c>
      <c r="AA678" s="25">
        <f>Flags!AA$72</f>
        <v>1</v>
      </c>
      <c r="AB678" s="25">
        <f>Flags!AB$72</f>
        <v>1</v>
      </c>
      <c r="AC678" s="25">
        <f>Flags!AC$72</f>
        <v>1</v>
      </c>
      <c r="AD678" s="25">
        <f>Flags!AD$72</f>
        <v>1</v>
      </c>
      <c r="AE678" s="25">
        <f>Flags!AE$72</f>
        <v>1</v>
      </c>
      <c r="AF678" s="25">
        <f>Flags!AF$72</f>
        <v>1</v>
      </c>
      <c r="AG678" s="25">
        <f>Flags!AG$72</f>
        <v>1</v>
      </c>
      <c r="AH678" s="25">
        <f>Flags!AH$72</f>
        <v>1</v>
      </c>
      <c r="AI678" s="25">
        <f>Flags!AI$72</f>
        <v>1</v>
      </c>
      <c r="AJ678" s="25">
        <f>Flags!AJ$72</f>
        <v>1</v>
      </c>
      <c r="AK678" s="25">
        <f>Flags!AK$72</f>
        <v>0</v>
      </c>
      <c r="AL678" s="25">
        <f>Flags!AL$72</f>
        <v>0</v>
      </c>
      <c r="AM678" s="25">
        <f>Flags!AM$72</f>
        <v>0</v>
      </c>
      <c r="AN678" s="25">
        <f>Flags!AN$72</f>
        <v>0</v>
      </c>
    </row>
    <row r="679" spans="3:40" outlineLevel="4">
      <c r="C679"/>
      <c r="D679" s="266"/>
      <c r="E679" s="76"/>
      <c r="F679"/>
    </row>
    <row r="680" spans="3:40" outlineLevel="4">
      <c r="C680" s="303" t="str">
        <f>Flags!C$14</f>
        <v>Counter</v>
      </c>
      <c r="D680" s="266"/>
      <c r="E680" s="76" t="str">
        <f>Flags!E$14</f>
        <v>Counter</v>
      </c>
      <c r="F680" s="89">
        <f>Flags!F$14</f>
        <v>0</v>
      </c>
      <c r="G680" s="266">
        <f>Flags!G$14</f>
        <v>1</v>
      </c>
      <c r="H680" s="266">
        <f>Flags!H$14</f>
        <v>2</v>
      </c>
      <c r="I680" s="266">
        <f>Flags!I$14</f>
        <v>3</v>
      </c>
      <c r="J680" s="266">
        <f>Flags!J$14</f>
        <v>4</v>
      </c>
      <c r="K680" s="266">
        <f>Flags!K$14</f>
        <v>5</v>
      </c>
      <c r="L680" s="266">
        <f>Flags!L$14</f>
        <v>6</v>
      </c>
      <c r="M680" s="266">
        <f>Flags!M$14</f>
        <v>7</v>
      </c>
      <c r="N680" s="266">
        <f>Flags!N$14</f>
        <v>8</v>
      </c>
      <c r="O680" s="266">
        <f>Flags!O$14</f>
        <v>9</v>
      </c>
      <c r="P680" s="266">
        <f>Flags!P$14</f>
        <v>10</v>
      </c>
      <c r="Q680" s="266">
        <f>Flags!Q$14</f>
        <v>11</v>
      </c>
      <c r="R680" s="266">
        <f>Flags!R$14</f>
        <v>12</v>
      </c>
      <c r="S680" s="266">
        <f>Flags!S$14</f>
        <v>13</v>
      </c>
      <c r="T680" s="266">
        <f>Flags!T$14</f>
        <v>14</v>
      </c>
      <c r="U680" s="266">
        <f>Flags!U$14</f>
        <v>15</v>
      </c>
      <c r="V680" s="266">
        <f>Flags!V$14</f>
        <v>16</v>
      </c>
      <c r="W680" s="266">
        <f>Flags!W$14</f>
        <v>17</v>
      </c>
      <c r="X680" s="266">
        <f>Flags!X$14</f>
        <v>18</v>
      </c>
      <c r="Y680" s="266">
        <f>Flags!Y$14</f>
        <v>19</v>
      </c>
      <c r="Z680" s="266">
        <f>Flags!Z$14</f>
        <v>20</v>
      </c>
      <c r="AA680" s="266">
        <f>Flags!AA$14</f>
        <v>21</v>
      </c>
      <c r="AB680" s="266">
        <f>Flags!AB$14</f>
        <v>22</v>
      </c>
      <c r="AC680" s="266">
        <f>Flags!AC$14</f>
        <v>23</v>
      </c>
      <c r="AD680" s="266">
        <f>Flags!AD$14</f>
        <v>24</v>
      </c>
      <c r="AE680" s="266">
        <f>Flags!AE$14</f>
        <v>25</v>
      </c>
      <c r="AF680" s="266">
        <f>Flags!AF$14</f>
        <v>26</v>
      </c>
      <c r="AG680" s="266">
        <f>Flags!AG$14</f>
        <v>27</v>
      </c>
      <c r="AH680" s="266">
        <f>Flags!AH$14</f>
        <v>28</v>
      </c>
      <c r="AI680" s="266">
        <f>Flags!AI$14</f>
        <v>29</v>
      </c>
      <c r="AJ680" s="266">
        <f>Flags!AJ$14</f>
        <v>30</v>
      </c>
      <c r="AK680" s="266">
        <f>Flags!AK$14</f>
        <v>31</v>
      </c>
      <c r="AL680" s="266">
        <f>Flags!AL$14</f>
        <v>32</v>
      </c>
      <c r="AM680" s="266">
        <f>Flags!AM$14</f>
        <v>33</v>
      </c>
      <c r="AN680" s="266">
        <f>Flags!AN$14</f>
        <v>34</v>
      </c>
    </row>
    <row r="681" spans="3:40" outlineLevel="4">
      <c r="C681"/>
      <c r="D681" s="266"/>
      <c r="E681" s="76"/>
      <c r="F681"/>
    </row>
    <row r="682" spans="3:40" outlineLevel="4">
      <c r="C682" t="str">
        <f>Inputs!$E$258</f>
        <v>Valor residual</v>
      </c>
      <c r="D682">
        <f>Inputs!$E$259</f>
        <v>0</v>
      </c>
      <c r="E682" s="76"/>
      <c r="F682"/>
    </row>
    <row r="683" spans="3:40" outlineLevel="4">
      <c r="C683"/>
      <c r="D683" s="266"/>
      <c r="E683" s="76"/>
      <c r="F683"/>
    </row>
    <row r="684" spans="3:40" outlineLevel="4">
      <c r="C684" t="s">
        <v>470</v>
      </c>
      <c r="D684" t="s">
        <v>471</v>
      </c>
      <c r="E684" t="s">
        <v>79</v>
      </c>
      <c r="F684" s="309" t="s">
        <v>472</v>
      </c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</row>
    <row r="685" spans="3:40" outlineLevel="4">
      <c r="C685">
        <f t="array" ref="C685:C718">TRANSPOSE(G680:AN680)</f>
        <v>1</v>
      </c>
      <c r="D685">
        <f>Inputs!$D$259</f>
        <v>0.1</v>
      </c>
      <c r="E685">
        <f t="array" ref="E685:E718">TRANSPOSE(G672:AN672)</f>
        <v>0</v>
      </c>
      <c r="F685" s="461">
        <f>E685*D682</f>
        <v>0</v>
      </c>
      <c r="G685">
        <f>IF(G$455&gt;=$C685,MIN(-(SUM(F685:$F685)-$E685),($E685*(1-$D$457))*$D685),0)*G$453</f>
        <v>0</v>
      </c>
      <c r="H685">
        <f>IF(H$455&gt;=$C685,MIN(-(SUM($F685:G685)-$E685),($E685*(1-$D$457))*$D685),0)*H$453</f>
        <v>0</v>
      </c>
      <c r="I685">
        <f>IF(I$455&gt;=$C685,MIN(-(SUM($F685:H685)-$E685),($E685*(1-$D$457))*$D685),0)*I$453</f>
        <v>0</v>
      </c>
      <c r="J685">
        <f>IF(J$455&gt;=$C685,MIN(-(SUM($F685:I685)-$E685),($E685*(1-$D$457))*$D685),0)*J$453</f>
        <v>0</v>
      </c>
      <c r="K685">
        <f>IF(K$455&gt;=$C685,MIN(-(SUM($F685:J685)-$E685),($E685*(1-$D$457))*$D685),0)*K$453</f>
        <v>0</v>
      </c>
      <c r="L685">
        <f>IF(L$455&gt;=$C685,MIN(-(SUM($F685:K685)-$E685),($E685*(1-$D$457))*$D685),0)*L$453</f>
        <v>0</v>
      </c>
      <c r="M685">
        <f>IF(M$455&gt;=$C685,MIN(-(SUM($F685:L685)-$E685),($E685*(1-$D$457))*$D685),0)*M$453</f>
        <v>0</v>
      </c>
      <c r="N685">
        <f>IF(N$455&gt;=$C685,MIN(-(SUM($F685:M685)-$E685),($E685*(1-$D$457))*$D685),0)*N$453</f>
        <v>0</v>
      </c>
      <c r="O685">
        <f>IF(O$455&gt;=$C685,MIN(-(SUM($F685:N685)-$E685),($E685*(1-$D$457))*$D685),0)*O$453</f>
        <v>0</v>
      </c>
      <c r="P685">
        <f>IF(P$455&gt;=$C685,MIN(-(SUM($F685:O685)-$E685),($E685*(1-$D$457))*$D685),0)*P$453</f>
        <v>0</v>
      </c>
      <c r="Q685">
        <f>IF(Q$455&gt;=$C685,MIN(-(SUM($F685:P685)-$E685),($E685*(1-$D$457))*$D685),0)*Q$453</f>
        <v>0</v>
      </c>
      <c r="R685">
        <f>IF(R$455&gt;=$C685,MIN(-(SUM($F685:Q685)-$E685),($E685*(1-$D$457))*$D685),0)*R$453</f>
        <v>0</v>
      </c>
      <c r="S685">
        <f>IF(S$455&gt;=$C685,MIN(-(SUM($F685:R685)-$E685),($E685*(1-$D$457))*$D685),0)*S$453</f>
        <v>0</v>
      </c>
      <c r="T685">
        <f>IF(T$455&gt;=$C685,MIN(-(SUM($F685:S685)-$E685),($E685*(1-$D$457))*$D685),0)*T$453</f>
        <v>0</v>
      </c>
      <c r="U685">
        <f>IF(U$455&gt;=$C685,MIN(-(SUM($F685:T685)-$E685),($E685*(1-$D$457))*$D685),0)*U$453</f>
        <v>0</v>
      </c>
      <c r="V685">
        <f>IF(V$455&gt;=$C685,MIN(-(SUM($F685:U685)-$E685),($E685*(1-$D$457))*$D685),0)*V$453</f>
        <v>0</v>
      </c>
      <c r="W685">
        <f>IF(W$455&gt;=$C685,MIN(-(SUM($F685:V685)-$E685),($E685*(1-$D$457))*$D685),0)*W$453</f>
        <v>0</v>
      </c>
      <c r="X685">
        <f>IF(X$455&gt;=$C685,MIN(-(SUM($F685:W685)-$E685),($E685*(1-$D$457))*$D685),0)*X$453</f>
        <v>0</v>
      </c>
      <c r="Y685">
        <f>IF(Y$455&gt;=$C685,MIN(-(SUM($F685:X685)-$E685),($E685*(1-$D$457))*$D685),0)*Y$453</f>
        <v>0</v>
      </c>
      <c r="Z685">
        <f>IF(Z$455&gt;=$C685,MIN(-(SUM($F685:Y685)-$E685),($E685*(1-$D$457))*$D685),0)*Z$453</f>
        <v>0</v>
      </c>
      <c r="AA685">
        <f>IF(AA$455&gt;=$C685,MIN(-(SUM($F685:Z685)-$E685),($E685*(1-$D$457))*$D685),0)*AA$453</f>
        <v>0</v>
      </c>
      <c r="AB685">
        <f>IF(AB$455&gt;=$C685,MIN(-(SUM($F685:AA685)-$E685),($E685*(1-$D$457))*$D685),0)*AB$453</f>
        <v>0</v>
      </c>
      <c r="AC685">
        <f>IF(AC$455&gt;=$C685,MIN(-(SUM($F685:AB685)-$E685),($E685*(1-$D$457))*$D685),0)*AC$453</f>
        <v>0</v>
      </c>
      <c r="AD685">
        <f>IF(AD$455&gt;=$C685,MIN(-(SUM($F685:AC685)-$E685),($E685*(1-$D$457))*$D685),0)*AD$453</f>
        <v>0</v>
      </c>
      <c r="AE685">
        <f>IF(AE$455&gt;=$C685,MIN(-(SUM($F685:AD685)-$E685),($E685*(1-$D$457))*$D685),0)*AE$453</f>
        <v>0</v>
      </c>
      <c r="AF685">
        <f>IF(AF$455&gt;=$C685,MIN(-(SUM($F685:AE685)-$E685),($E685*(1-$D$457))*$D685),0)*AF$453</f>
        <v>0</v>
      </c>
      <c r="AG685">
        <f>IF(AG$455&gt;=$C685,MIN(-(SUM($F685:AF685)-$E685),($E685*(1-$D$457))*$D685),0)*AG$453</f>
        <v>0</v>
      </c>
      <c r="AH685">
        <f>IF(AH$455&gt;=$C685,MIN(-(SUM($F685:AG685)-$E685),($E685*(1-$D$457))*$D685),0)*AH$453</f>
        <v>0</v>
      </c>
      <c r="AI685">
        <f>IF(AI$455&gt;=$C685,MIN(-(SUM($F685:AH685)-$E685),($E685*(1-$D$457))*$D685),0)*AI$453</f>
        <v>0</v>
      </c>
      <c r="AJ685">
        <f>IF(AJ$455&gt;=$C685,MIN(-(SUM($F685:AI685)-$E685),($E685*(1-$D$457))*$D685),0)*AJ$453</f>
        <v>0</v>
      </c>
      <c r="AK685">
        <f>IF(AK$455&gt;=$C685,MIN(-(SUM($F685:AJ685)-$E685),($E685*(1-$D$457))*$D685),0)*AK$453</f>
        <v>0</v>
      </c>
      <c r="AL685">
        <f>IF(AL$455&gt;=$C685,MIN(-(SUM($F685:AK685)-$E685),($E685*(1-$D$457))*$D685),0)*AL$453</f>
        <v>0</v>
      </c>
      <c r="AM685">
        <f>IF(AM$455&gt;=$C685,MIN(-(SUM($F685:AL685)-$E685),($E685*(1-$D$457))*$D685),0)*AM$453</f>
        <v>0</v>
      </c>
      <c r="AN685">
        <f>IF(AN$455&gt;=$C685,MIN(-(SUM($F685:AM685)-$E685),($E685*(1-$D$457))*$D685),0)*AN$453</f>
        <v>0</v>
      </c>
    </row>
    <row r="686" spans="3:40" outlineLevel="4">
      <c r="C686">
        <v>2</v>
      </c>
      <c r="D686">
        <f>Inputs!$D$259</f>
        <v>0.1</v>
      </c>
      <c r="E686">
        <v>0</v>
      </c>
      <c r="F686" s="461">
        <f>E686*D682</f>
        <v>0</v>
      </c>
      <c r="G686">
        <f>IF(G$455&gt;=$C686,MIN(-(SUM(F686:$F686)-$E686),($E686*(1-$D$457))*$D686),0)*G$453</f>
        <v>0</v>
      </c>
      <c r="H686">
        <f>IF(H$455&gt;=$C686,MIN(-(SUM($F686:G686)-$E686),($E686*(1-$D$457))*$D686),0)*H$453</f>
        <v>0</v>
      </c>
      <c r="I686">
        <f>IF(I$455&gt;=$C686,MIN(-(SUM($F686:H686)-$E686),($E686*(1-$D$457))*$D686),0)*I$453</f>
        <v>0</v>
      </c>
      <c r="J686">
        <f>IF(J$455&gt;=$C686,MIN(-(SUM($F686:I686)-$E686),($E686*(1-$D$457))*$D686),0)*J$453</f>
        <v>0</v>
      </c>
      <c r="K686">
        <f>IF(K$455&gt;=$C686,MIN(-(SUM($F686:J686)-$E686),($E686*(1-$D$457))*$D686),0)*K$453</f>
        <v>0</v>
      </c>
      <c r="L686">
        <f>IF(L$455&gt;=$C686,MIN(-(SUM($F686:K686)-$E686),($E686*(1-$D$457))*$D686),0)*L$453</f>
        <v>0</v>
      </c>
      <c r="M686">
        <f>IF(M$455&gt;=$C686,MIN(-(SUM($F686:L686)-$E686),($E686*(1-$D$457))*$D686),0)*M$453</f>
        <v>0</v>
      </c>
      <c r="N686">
        <f>IF(N$455&gt;=$C686,MIN(-(SUM($F686:M686)-$E686),($E686*(1-$D$457))*$D686),0)*N$453</f>
        <v>0</v>
      </c>
      <c r="O686">
        <f>IF(O$455&gt;=$C686,MIN(-(SUM($F686:N686)-$E686),($E686*(1-$D$457))*$D686),0)*O$453</f>
        <v>0</v>
      </c>
      <c r="P686">
        <f>IF(P$455&gt;=$C686,MIN(-(SUM($F686:O686)-$E686),($E686*(1-$D$457))*$D686),0)*P$453</f>
        <v>0</v>
      </c>
      <c r="Q686">
        <f>IF(Q$455&gt;=$C686,MIN(-(SUM($F686:P686)-$E686),($E686*(1-$D$457))*$D686),0)*Q$453</f>
        <v>0</v>
      </c>
      <c r="R686">
        <f>IF(R$455&gt;=$C686,MIN(-(SUM($F686:Q686)-$E686),($E686*(1-$D$457))*$D686),0)*R$453</f>
        <v>0</v>
      </c>
      <c r="S686">
        <f>IF(S$455&gt;=$C686,MIN(-(SUM($F686:R686)-$E686),($E686*(1-$D$457))*$D686),0)*S$453</f>
        <v>0</v>
      </c>
      <c r="T686">
        <f>IF(T$455&gt;=$C686,MIN(-(SUM($F686:S686)-$E686),($E686*(1-$D$457))*$D686),0)*T$453</f>
        <v>0</v>
      </c>
      <c r="U686">
        <f>IF(U$455&gt;=$C686,MIN(-(SUM($F686:T686)-$E686),($E686*(1-$D$457))*$D686),0)*U$453</f>
        <v>0</v>
      </c>
      <c r="V686">
        <f>IF(V$455&gt;=$C686,MIN(-(SUM($F686:U686)-$E686),($E686*(1-$D$457))*$D686),0)*V$453</f>
        <v>0</v>
      </c>
      <c r="W686">
        <f>IF(W$455&gt;=$C686,MIN(-(SUM($F686:V686)-$E686),($E686*(1-$D$457))*$D686),0)*W$453</f>
        <v>0</v>
      </c>
      <c r="X686">
        <f>IF(X$455&gt;=$C686,MIN(-(SUM($F686:W686)-$E686),($E686*(1-$D$457))*$D686),0)*X$453</f>
        <v>0</v>
      </c>
      <c r="Y686">
        <f>IF(Y$455&gt;=$C686,MIN(-(SUM($F686:X686)-$E686),($E686*(1-$D$457))*$D686),0)*Y$453</f>
        <v>0</v>
      </c>
      <c r="Z686">
        <f>IF(Z$455&gt;=$C686,MIN(-(SUM($F686:Y686)-$E686),($E686*(1-$D$457))*$D686),0)*Z$453</f>
        <v>0</v>
      </c>
      <c r="AA686">
        <f>IF(AA$455&gt;=$C686,MIN(-(SUM($F686:Z686)-$E686),($E686*(1-$D$457))*$D686),0)*AA$453</f>
        <v>0</v>
      </c>
      <c r="AB686">
        <f>IF(AB$455&gt;=$C686,MIN(-(SUM($F686:AA686)-$E686),($E686*(1-$D$457))*$D686),0)*AB$453</f>
        <v>0</v>
      </c>
      <c r="AC686">
        <f>IF(AC$455&gt;=$C686,MIN(-(SUM($F686:AB686)-$E686),($E686*(1-$D$457))*$D686),0)*AC$453</f>
        <v>0</v>
      </c>
      <c r="AD686">
        <f>IF(AD$455&gt;=$C686,MIN(-(SUM($F686:AC686)-$E686),($E686*(1-$D$457))*$D686),0)*AD$453</f>
        <v>0</v>
      </c>
      <c r="AE686">
        <f>IF(AE$455&gt;=$C686,MIN(-(SUM($F686:AD686)-$E686),($E686*(1-$D$457))*$D686),0)*AE$453</f>
        <v>0</v>
      </c>
      <c r="AF686">
        <f>IF(AF$455&gt;=$C686,MIN(-(SUM($F686:AE686)-$E686),($E686*(1-$D$457))*$D686),0)*AF$453</f>
        <v>0</v>
      </c>
      <c r="AG686">
        <f>IF(AG$455&gt;=$C686,MIN(-(SUM($F686:AF686)-$E686),($E686*(1-$D$457))*$D686),0)*AG$453</f>
        <v>0</v>
      </c>
      <c r="AH686">
        <f>IF(AH$455&gt;=$C686,MIN(-(SUM($F686:AG686)-$E686),($E686*(1-$D$457))*$D686),0)*AH$453</f>
        <v>0</v>
      </c>
      <c r="AI686">
        <f>IF(AI$455&gt;=$C686,MIN(-(SUM($F686:AH686)-$E686),($E686*(1-$D$457))*$D686),0)*AI$453</f>
        <v>0</v>
      </c>
      <c r="AJ686">
        <f>IF(AJ$455&gt;=$C686,MIN(-(SUM($F686:AI686)-$E686),($E686*(1-$D$457))*$D686),0)*AJ$453</f>
        <v>0</v>
      </c>
      <c r="AK686">
        <f>IF(AK$455&gt;=$C686,MIN(-(SUM($F686:AJ686)-$E686),($E686*(1-$D$457))*$D686),0)*AK$453</f>
        <v>0</v>
      </c>
      <c r="AL686">
        <f>IF(AL$455&gt;=$C686,MIN(-(SUM($F686:AK686)-$E686),($E686*(1-$D$457))*$D686),0)*AL$453</f>
        <v>0</v>
      </c>
      <c r="AM686">
        <f>IF(AM$455&gt;=$C686,MIN(-(SUM($F686:AL686)-$E686),($E686*(1-$D$457))*$D686),0)*AM$453</f>
        <v>0</v>
      </c>
      <c r="AN686">
        <f>IF(AN$455&gt;=$C686,MIN(-(SUM($F686:AM686)-$E686),($E686*(1-$D$457))*$D686),0)*AN$453</f>
        <v>0</v>
      </c>
    </row>
    <row r="687" spans="3:40" outlineLevel="4">
      <c r="C687">
        <v>3</v>
      </c>
      <c r="D687">
        <f>Inputs!$D$259</f>
        <v>0.1</v>
      </c>
      <c r="E687">
        <v>0</v>
      </c>
      <c r="F687" s="461">
        <f>E687*D682</f>
        <v>0</v>
      </c>
      <c r="G687">
        <f>IF(G$455&gt;=$C687,MIN(-(SUM(F687:$F687)-$E687),($E687*(1-$D$457))*$D687),0)*G$453</f>
        <v>0</v>
      </c>
      <c r="H687">
        <f>IF(H$455&gt;=$C687,MIN(-(SUM($F687:G687)-$E687),($E687*(1-$D$457))*$D687),0)*H$453</f>
        <v>0</v>
      </c>
      <c r="I687">
        <f>IF(I$455&gt;=$C687,MIN(-(SUM($F687:H687)-$E687),($E687*(1-$D$457))*$D687),0)*I$453</f>
        <v>0</v>
      </c>
      <c r="J687">
        <f>IF(J$455&gt;=$C687,MIN(-(SUM($F687:I687)-$E687),($E687*(1-$D$457))*$D687),0)*J$453</f>
        <v>0</v>
      </c>
      <c r="K687">
        <f>IF(K$455&gt;=$C687,MIN(-(SUM($F687:J687)-$E687),($E687*(1-$D$457))*$D687),0)*K$453</f>
        <v>0</v>
      </c>
      <c r="L687">
        <f>IF(L$455&gt;=$C687,MIN(-(SUM($F687:K687)-$E687),($E687*(1-$D$457))*$D687),0)*L$453</f>
        <v>0</v>
      </c>
      <c r="M687">
        <f>IF(M$455&gt;=$C687,MIN(-(SUM($F687:L687)-$E687),($E687*(1-$D$457))*$D687),0)*M$453</f>
        <v>0</v>
      </c>
      <c r="N687">
        <f>IF(N$455&gt;=$C687,MIN(-(SUM($F687:M687)-$E687),($E687*(1-$D$457))*$D687),0)*N$453</f>
        <v>0</v>
      </c>
      <c r="O687">
        <f>IF(O$455&gt;=$C687,MIN(-(SUM($F687:N687)-$E687),($E687*(1-$D$457))*$D687),0)*O$453</f>
        <v>0</v>
      </c>
      <c r="P687">
        <f>IF(P$455&gt;=$C687,MIN(-(SUM($F687:O687)-$E687),($E687*(1-$D$457))*$D687),0)*P$453</f>
        <v>0</v>
      </c>
      <c r="Q687">
        <f>IF(Q$455&gt;=$C687,MIN(-(SUM($F687:P687)-$E687),($E687*(1-$D$457))*$D687),0)*Q$453</f>
        <v>0</v>
      </c>
      <c r="R687">
        <f>IF(R$455&gt;=$C687,MIN(-(SUM($F687:Q687)-$E687),($E687*(1-$D$457))*$D687),0)*R$453</f>
        <v>0</v>
      </c>
      <c r="S687">
        <f>IF(S$455&gt;=$C687,MIN(-(SUM($F687:R687)-$E687),($E687*(1-$D$457))*$D687),0)*S$453</f>
        <v>0</v>
      </c>
      <c r="T687">
        <f>IF(T$455&gt;=$C687,MIN(-(SUM($F687:S687)-$E687),($E687*(1-$D$457))*$D687),0)*T$453</f>
        <v>0</v>
      </c>
      <c r="U687">
        <f>IF(U$455&gt;=$C687,MIN(-(SUM($F687:T687)-$E687),($E687*(1-$D$457))*$D687),0)*U$453</f>
        <v>0</v>
      </c>
      <c r="V687">
        <f>IF(V$455&gt;=$C687,MIN(-(SUM($F687:U687)-$E687),($E687*(1-$D$457))*$D687),0)*V$453</f>
        <v>0</v>
      </c>
      <c r="W687">
        <f>IF(W$455&gt;=$C687,MIN(-(SUM($F687:V687)-$E687),($E687*(1-$D$457))*$D687),0)*W$453</f>
        <v>0</v>
      </c>
      <c r="X687">
        <f>IF(X$455&gt;=$C687,MIN(-(SUM($F687:W687)-$E687),($E687*(1-$D$457))*$D687),0)*X$453</f>
        <v>0</v>
      </c>
      <c r="Y687">
        <f>IF(Y$455&gt;=$C687,MIN(-(SUM($F687:X687)-$E687),($E687*(1-$D$457))*$D687),0)*Y$453</f>
        <v>0</v>
      </c>
      <c r="Z687">
        <f>IF(Z$455&gt;=$C687,MIN(-(SUM($F687:Y687)-$E687),($E687*(1-$D$457))*$D687),0)*Z$453</f>
        <v>0</v>
      </c>
      <c r="AA687">
        <f>IF(AA$455&gt;=$C687,MIN(-(SUM($F687:Z687)-$E687),($E687*(1-$D$457))*$D687),0)*AA$453</f>
        <v>0</v>
      </c>
      <c r="AB687">
        <f>IF(AB$455&gt;=$C687,MIN(-(SUM($F687:AA687)-$E687),($E687*(1-$D$457))*$D687),0)*AB$453</f>
        <v>0</v>
      </c>
      <c r="AC687">
        <f>IF(AC$455&gt;=$C687,MIN(-(SUM($F687:AB687)-$E687),($E687*(1-$D$457))*$D687),0)*AC$453</f>
        <v>0</v>
      </c>
      <c r="AD687">
        <f>IF(AD$455&gt;=$C687,MIN(-(SUM($F687:AC687)-$E687),($E687*(1-$D$457))*$D687),0)*AD$453</f>
        <v>0</v>
      </c>
      <c r="AE687">
        <f>IF(AE$455&gt;=$C687,MIN(-(SUM($F687:AD687)-$E687),($E687*(1-$D$457))*$D687),0)*AE$453</f>
        <v>0</v>
      </c>
      <c r="AF687">
        <f>IF(AF$455&gt;=$C687,MIN(-(SUM($F687:AE687)-$E687),($E687*(1-$D$457))*$D687),0)*AF$453</f>
        <v>0</v>
      </c>
      <c r="AG687">
        <f>IF(AG$455&gt;=$C687,MIN(-(SUM($F687:AF687)-$E687),($E687*(1-$D$457))*$D687),0)*AG$453</f>
        <v>0</v>
      </c>
      <c r="AH687">
        <f>IF(AH$455&gt;=$C687,MIN(-(SUM($F687:AG687)-$E687),($E687*(1-$D$457))*$D687),0)*AH$453</f>
        <v>0</v>
      </c>
      <c r="AI687">
        <f>IF(AI$455&gt;=$C687,MIN(-(SUM($F687:AH687)-$E687),($E687*(1-$D$457))*$D687),0)*AI$453</f>
        <v>0</v>
      </c>
      <c r="AJ687">
        <f>IF(AJ$455&gt;=$C687,MIN(-(SUM($F687:AI687)-$E687),($E687*(1-$D$457))*$D687),0)*AJ$453</f>
        <v>0</v>
      </c>
      <c r="AK687">
        <f>IF(AK$455&gt;=$C687,MIN(-(SUM($F687:AJ687)-$E687),($E687*(1-$D$457))*$D687),0)*AK$453</f>
        <v>0</v>
      </c>
      <c r="AL687">
        <f>IF(AL$455&gt;=$C687,MIN(-(SUM($F687:AK687)-$E687),($E687*(1-$D$457))*$D687),0)*AL$453</f>
        <v>0</v>
      </c>
      <c r="AM687">
        <f>IF(AM$455&gt;=$C687,MIN(-(SUM($F687:AL687)-$E687),($E687*(1-$D$457))*$D687),0)*AM$453</f>
        <v>0</v>
      </c>
      <c r="AN687">
        <f>IF(AN$455&gt;=$C687,MIN(-(SUM($F687:AM687)-$E687),($E687*(1-$D$457))*$D687),0)*AN$453</f>
        <v>0</v>
      </c>
    </row>
    <row r="688" spans="3:40" outlineLevel="4">
      <c r="C688">
        <v>4</v>
      </c>
      <c r="D688">
        <f>Inputs!$D$259</f>
        <v>0.1</v>
      </c>
      <c r="E688">
        <v>0</v>
      </c>
      <c r="F688" s="461">
        <f>E688*D682</f>
        <v>0</v>
      </c>
      <c r="G688">
        <f>IF(G$455&gt;=$C688,MIN(-(SUM(F688:$F688)-$E688),($E688*(1-$D$457))*$D688),0)*G$453</f>
        <v>0</v>
      </c>
      <c r="H688">
        <f>IF(H$455&gt;=$C688,MIN(-(SUM($F688:G688)-$E688),($E688*(1-$D$457))*$D688),0)*H$453</f>
        <v>0</v>
      </c>
      <c r="I688">
        <f>IF(I$455&gt;=$C688,MIN(-(SUM($F688:H688)-$E688),($E688*(1-$D$457))*$D688),0)*I$453</f>
        <v>0</v>
      </c>
      <c r="J688">
        <f>IF(J$455&gt;=$C688,MIN(-(SUM($F688:I688)-$E688),($E688*(1-$D$457))*$D688),0)*J$453</f>
        <v>0</v>
      </c>
      <c r="K688">
        <f>IF(K$455&gt;=$C688,MIN(-(SUM($F688:J688)-$E688),($E688*(1-$D$457))*$D688),0)*K$453</f>
        <v>0</v>
      </c>
      <c r="L688">
        <f>IF(L$455&gt;=$C688,MIN(-(SUM($F688:K688)-$E688),($E688*(1-$D$457))*$D688),0)*L$453</f>
        <v>0</v>
      </c>
      <c r="M688">
        <f>IF(M$455&gt;=$C688,MIN(-(SUM($F688:L688)-$E688),($E688*(1-$D$457))*$D688),0)*M$453</f>
        <v>0</v>
      </c>
      <c r="N688">
        <f>IF(N$455&gt;=$C688,MIN(-(SUM($F688:M688)-$E688),($E688*(1-$D$457))*$D688),0)*N$453</f>
        <v>0</v>
      </c>
      <c r="O688">
        <f>IF(O$455&gt;=$C688,MIN(-(SUM($F688:N688)-$E688),($E688*(1-$D$457))*$D688),0)*O$453</f>
        <v>0</v>
      </c>
      <c r="P688">
        <f>IF(P$455&gt;=$C688,MIN(-(SUM($F688:O688)-$E688),($E688*(1-$D$457))*$D688),0)*P$453</f>
        <v>0</v>
      </c>
      <c r="Q688">
        <f>IF(Q$455&gt;=$C688,MIN(-(SUM($F688:P688)-$E688),($E688*(1-$D$457))*$D688),0)*Q$453</f>
        <v>0</v>
      </c>
      <c r="R688">
        <f>IF(R$455&gt;=$C688,MIN(-(SUM($F688:Q688)-$E688),($E688*(1-$D$457))*$D688),0)*R$453</f>
        <v>0</v>
      </c>
      <c r="S688">
        <f>IF(S$455&gt;=$C688,MIN(-(SUM($F688:R688)-$E688),($E688*(1-$D$457))*$D688),0)*S$453</f>
        <v>0</v>
      </c>
      <c r="T688">
        <f>IF(T$455&gt;=$C688,MIN(-(SUM($F688:S688)-$E688),($E688*(1-$D$457))*$D688),0)*T$453</f>
        <v>0</v>
      </c>
      <c r="U688">
        <f>IF(U$455&gt;=$C688,MIN(-(SUM($F688:T688)-$E688),($E688*(1-$D$457))*$D688),0)*U$453</f>
        <v>0</v>
      </c>
      <c r="V688">
        <f>IF(V$455&gt;=$C688,MIN(-(SUM($F688:U688)-$E688),($E688*(1-$D$457))*$D688),0)*V$453</f>
        <v>0</v>
      </c>
      <c r="W688">
        <f>IF(W$455&gt;=$C688,MIN(-(SUM($F688:V688)-$E688),($E688*(1-$D$457))*$D688),0)*W$453</f>
        <v>0</v>
      </c>
      <c r="X688">
        <f>IF(X$455&gt;=$C688,MIN(-(SUM($F688:W688)-$E688),($E688*(1-$D$457))*$D688),0)*X$453</f>
        <v>0</v>
      </c>
      <c r="Y688">
        <f>IF(Y$455&gt;=$C688,MIN(-(SUM($F688:X688)-$E688),($E688*(1-$D$457))*$D688),0)*Y$453</f>
        <v>0</v>
      </c>
      <c r="Z688">
        <f>IF(Z$455&gt;=$C688,MIN(-(SUM($F688:Y688)-$E688),($E688*(1-$D$457))*$D688),0)*Z$453</f>
        <v>0</v>
      </c>
      <c r="AA688">
        <f>IF(AA$455&gt;=$C688,MIN(-(SUM($F688:Z688)-$E688),($E688*(1-$D$457))*$D688),0)*AA$453</f>
        <v>0</v>
      </c>
      <c r="AB688">
        <f>IF(AB$455&gt;=$C688,MIN(-(SUM($F688:AA688)-$E688),($E688*(1-$D$457))*$D688),0)*AB$453</f>
        <v>0</v>
      </c>
      <c r="AC688">
        <f>IF(AC$455&gt;=$C688,MIN(-(SUM($F688:AB688)-$E688),($E688*(1-$D$457))*$D688),0)*AC$453</f>
        <v>0</v>
      </c>
      <c r="AD688">
        <f>IF(AD$455&gt;=$C688,MIN(-(SUM($F688:AC688)-$E688),($E688*(1-$D$457))*$D688),0)*AD$453</f>
        <v>0</v>
      </c>
      <c r="AE688">
        <f>IF(AE$455&gt;=$C688,MIN(-(SUM($F688:AD688)-$E688),($E688*(1-$D$457))*$D688),0)*AE$453</f>
        <v>0</v>
      </c>
      <c r="AF688">
        <f>IF(AF$455&gt;=$C688,MIN(-(SUM($F688:AE688)-$E688),($E688*(1-$D$457))*$D688),0)*AF$453</f>
        <v>0</v>
      </c>
      <c r="AG688">
        <f>IF(AG$455&gt;=$C688,MIN(-(SUM($F688:AF688)-$E688),($E688*(1-$D$457))*$D688),0)*AG$453</f>
        <v>0</v>
      </c>
      <c r="AH688">
        <f>IF(AH$455&gt;=$C688,MIN(-(SUM($F688:AG688)-$E688),($E688*(1-$D$457))*$D688),0)*AH$453</f>
        <v>0</v>
      </c>
      <c r="AI688">
        <f>IF(AI$455&gt;=$C688,MIN(-(SUM($F688:AH688)-$E688),($E688*(1-$D$457))*$D688),0)*AI$453</f>
        <v>0</v>
      </c>
      <c r="AJ688">
        <f>IF(AJ$455&gt;=$C688,MIN(-(SUM($F688:AI688)-$E688),($E688*(1-$D$457))*$D688),0)*AJ$453</f>
        <v>0</v>
      </c>
      <c r="AK688">
        <f>IF(AK$455&gt;=$C688,MIN(-(SUM($F688:AJ688)-$E688),($E688*(1-$D$457))*$D688),0)*AK$453</f>
        <v>0</v>
      </c>
      <c r="AL688">
        <f>IF(AL$455&gt;=$C688,MIN(-(SUM($F688:AK688)-$E688),($E688*(1-$D$457))*$D688),0)*AL$453</f>
        <v>0</v>
      </c>
      <c r="AM688">
        <f>IF(AM$455&gt;=$C688,MIN(-(SUM($F688:AL688)-$E688),($E688*(1-$D$457))*$D688),0)*AM$453</f>
        <v>0</v>
      </c>
      <c r="AN688">
        <f>IF(AN$455&gt;=$C688,MIN(-(SUM($F688:AM688)-$E688),($E688*(1-$D$457))*$D688),0)*AN$453</f>
        <v>0</v>
      </c>
    </row>
    <row r="689" spans="3:40" outlineLevel="4">
      <c r="C689">
        <v>5</v>
      </c>
      <c r="D689">
        <f>Inputs!$D$259</f>
        <v>0.1</v>
      </c>
      <c r="E689">
        <v>0</v>
      </c>
      <c r="F689" s="461">
        <f>E689*D682</f>
        <v>0</v>
      </c>
      <c r="G689">
        <f>IF(G$455&gt;=$C689,MIN(-(SUM(F689:$F689)-$E689),($E689*(1-$D$457))*$D689),0)*G$453</f>
        <v>0</v>
      </c>
      <c r="H689">
        <f>IF(H$455&gt;=$C689,MIN(-(SUM($F689:G689)-$E689),($E689*(1-$D$457))*$D689),0)*H$453</f>
        <v>0</v>
      </c>
      <c r="I689">
        <f>IF(I$455&gt;=$C689,MIN(-(SUM($F689:H689)-$E689),($E689*(1-$D$457))*$D689),0)*I$453</f>
        <v>0</v>
      </c>
      <c r="J689">
        <f>IF(J$455&gt;=$C689,MIN(-(SUM($F689:I689)-$E689),($E689*(1-$D$457))*$D689),0)*J$453</f>
        <v>0</v>
      </c>
      <c r="K689">
        <f>IF(K$455&gt;=$C689,MIN(-(SUM($F689:J689)-$E689),($E689*(1-$D$457))*$D689),0)*K$453</f>
        <v>0</v>
      </c>
      <c r="L689">
        <f>IF(L$455&gt;=$C689,MIN(-(SUM($F689:K689)-$E689),($E689*(1-$D$457))*$D689),0)*L$453</f>
        <v>0</v>
      </c>
      <c r="M689">
        <f>IF(M$455&gt;=$C689,MIN(-(SUM($F689:L689)-$E689),($E689*(1-$D$457))*$D689),0)*M$453</f>
        <v>0</v>
      </c>
      <c r="N689">
        <f>IF(N$455&gt;=$C689,MIN(-(SUM($F689:M689)-$E689),($E689*(1-$D$457))*$D689),0)*N$453</f>
        <v>0</v>
      </c>
      <c r="O689">
        <f>IF(O$455&gt;=$C689,MIN(-(SUM($F689:N689)-$E689),($E689*(1-$D$457))*$D689),0)*O$453</f>
        <v>0</v>
      </c>
      <c r="P689">
        <f>IF(P$455&gt;=$C689,MIN(-(SUM($F689:O689)-$E689),($E689*(1-$D$457))*$D689),0)*P$453</f>
        <v>0</v>
      </c>
      <c r="Q689">
        <f>IF(Q$455&gt;=$C689,MIN(-(SUM($F689:P689)-$E689),($E689*(1-$D$457))*$D689),0)*Q$453</f>
        <v>0</v>
      </c>
      <c r="R689">
        <f>IF(R$455&gt;=$C689,MIN(-(SUM($F689:Q689)-$E689),($E689*(1-$D$457))*$D689),0)*R$453</f>
        <v>0</v>
      </c>
      <c r="S689">
        <f>IF(S$455&gt;=$C689,MIN(-(SUM($F689:R689)-$E689),($E689*(1-$D$457))*$D689),0)*S$453</f>
        <v>0</v>
      </c>
      <c r="T689">
        <f>IF(T$455&gt;=$C689,MIN(-(SUM($F689:S689)-$E689),($E689*(1-$D$457))*$D689),0)*T$453</f>
        <v>0</v>
      </c>
      <c r="U689">
        <f>IF(U$455&gt;=$C689,MIN(-(SUM($F689:T689)-$E689),($E689*(1-$D$457))*$D689),0)*U$453</f>
        <v>0</v>
      </c>
      <c r="V689">
        <f>IF(V$455&gt;=$C689,MIN(-(SUM($F689:U689)-$E689),($E689*(1-$D$457))*$D689),0)*V$453</f>
        <v>0</v>
      </c>
      <c r="W689">
        <f>IF(W$455&gt;=$C689,MIN(-(SUM($F689:V689)-$E689),($E689*(1-$D$457))*$D689),0)*W$453</f>
        <v>0</v>
      </c>
      <c r="X689">
        <f>IF(X$455&gt;=$C689,MIN(-(SUM($F689:W689)-$E689),($E689*(1-$D$457))*$D689),0)*X$453</f>
        <v>0</v>
      </c>
      <c r="Y689">
        <f>IF(Y$455&gt;=$C689,MIN(-(SUM($F689:X689)-$E689),($E689*(1-$D$457))*$D689),0)*Y$453</f>
        <v>0</v>
      </c>
      <c r="Z689">
        <f>IF(Z$455&gt;=$C689,MIN(-(SUM($F689:Y689)-$E689),($E689*(1-$D$457))*$D689),0)*Z$453</f>
        <v>0</v>
      </c>
      <c r="AA689">
        <f>IF(AA$455&gt;=$C689,MIN(-(SUM($F689:Z689)-$E689),($E689*(1-$D$457))*$D689),0)*AA$453</f>
        <v>0</v>
      </c>
      <c r="AB689">
        <f>IF(AB$455&gt;=$C689,MIN(-(SUM($F689:AA689)-$E689),($E689*(1-$D$457))*$D689),0)*AB$453</f>
        <v>0</v>
      </c>
      <c r="AC689">
        <f>IF(AC$455&gt;=$C689,MIN(-(SUM($F689:AB689)-$E689),($E689*(1-$D$457))*$D689),0)*AC$453</f>
        <v>0</v>
      </c>
      <c r="AD689">
        <f>IF(AD$455&gt;=$C689,MIN(-(SUM($F689:AC689)-$E689),($E689*(1-$D$457))*$D689),0)*AD$453</f>
        <v>0</v>
      </c>
      <c r="AE689">
        <f>IF(AE$455&gt;=$C689,MIN(-(SUM($F689:AD689)-$E689),($E689*(1-$D$457))*$D689),0)*AE$453</f>
        <v>0</v>
      </c>
      <c r="AF689">
        <f>IF(AF$455&gt;=$C689,MIN(-(SUM($F689:AE689)-$E689),($E689*(1-$D$457))*$D689),0)*AF$453</f>
        <v>0</v>
      </c>
      <c r="AG689">
        <f>IF(AG$455&gt;=$C689,MIN(-(SUM($F689:AF689)-$E689),($E689*(1-$D$457))*$D689),0)*AG$453</f>
        <v>0</v>
      </c>
      <c r="AH689">
        <f>IF(AH$455&gt;=$C689,MIN(-(SUM($F689:AG689)-$E689),($E689*(1-$D$457))*$D689),0)*AH$453</f>
        <v>0</v>
      </c>
      <c r="AI689">
        <f>IF(AI$455&gt;=$C689,MIN(-(SUM($F689:AH689)-$E689),($E689*(1-$D$457))*$D689),0)*AI$453</f>
        <v>0</v>
      </c>
      <c r="AJ689">
        <f>IF(AJ$455&gt;=$C689,MIN(-(SUM($F689:AI689)-$E689),($E689*(1-$D$457))*$D689),0)*AJ$453</f>
        <v>0</v>
      </c>
      <c r="AK689">
        <f>IF(AK$455&gt;=$C689,MIN(-(SUM($F689:AJ689)-$E689),($E689*(1-$D$457))*$D689),0)*AK$453</f>
        <v>0</v>
      </c>
      <c r="AL689">
        <f>IF(AL$455&gt;=$C689,MIN(-(SUM($F689:AK689)-$E689),($E689*(1-$D$457))*$D689),0)*AL$453</f>
        <v>0</v>
      </c>
      <c r="AM689">
        <f>IF(AM$455&gt;=$C689,MIN(-(SUM($F689:AL689)-$E689),($E689*(1-$D$457))*$D689),0)*AM$453</f>
        <v>0</v>
      </c>
      <c r="AN689">
        <f>IF(AN$455&gt;=$C689,MIN(-(SUM($F689:AM689)-$E689),($E689*(1-$D$457))*$D689),0)*AN$453</f>
        <v>0</v>
      </c>
    </row>
    <row r="690" spans="3:40" outlineLevel="4">
      <c r="C690">
        <v>6</v>
      </c>
      <c r="D690">
        <f>Inputs!$D$259</f>
        <v>0.1</v>
      </c>
      <c r="E690">
        <v>0</v>
      </c>
      <c r="F690" s="461">
        <f>E690*D682</f>
        <v>0</v>
      </c>
      <c r="G690">
        <f>IF(G$455&gt;=$C690,MIN(-(SUM(F690:$F690)-$E690),($E690*(1-$D$457))*$D690),0)*G$453</f>
        <v>0</v>
      </c>
      <c r="H690">
        <f>IF(H$455&gt;=$C690,MIN(-(SUM($F690:G690)-$E690),($E690*(1-$D$457))*$D690),0)*H$453</f>
        <v>0</v>
      </c>
      <c r="I690">
        <f>IF(I$455&gt;=$C690,MIN(-(SUM($F690:H690)-$E690),($E690*(1-$D$457))*$D690),0)*I$453</f>
        <v>0</v>
      </c>
      <c r="J690">
        <f>IF(J$455&gt;=$C690,MIN(-(SUM($F690:I690)-$E690),($E690*(1-$D$457))*$D690),0)*J$453</f>
        <v>0</v>
      </c>
      <c r="K690">
        <f>IF(K$455&gt;=$C690,MIN(-(SUM($F690:J690)-$E690),($E690*(1-$D$457))*$D690),0)*K$453</f>
        <v>0</v>
      </c>
      <c r="L690">
        <f>IF(L$455&gt;=$C690,MIN(-(SUM($F690:K690)-$E690),($E690*(1-$D$457))*$D690),0)*L$453</f>
        <v>0</v>
      </c>
      <c r="M690">
        <f>IF(M$455&gt;=$C690,MIN(-(SUM($F690:L690)-$E690),($E690*(1-$D$457))*$D690),0)*M$453</f>
        <v>0</v>
      </c>
      <c r="N690">
        <f>IF(N$455&gt;=$C690,MIN(-(SUM($F690:M690)-$E690),($E690*(1-$D$457))*$D690),0)*N$453</f>
        <v>0</v>
      </c>
      <c r="O690">
        <f>IF(O$455&gt;=$C690,MIN(-(SUM($F690:N690)-$E690),($E690*(1-$D$457))*$D690),0)*O$453</f>
        <v>0</v>
      </c>
      <c r="P690">
        <f>IF(P$455&gt;=$C690,MIN(-(SUM($F690:O690)-$E690),($E690*(1-$D$457))*$D690),0)*P$453</f>
        <v>0</v>
      </c>
      <c r="Q690">
        <f>IF(Q$455&gt;=$C690,MIN(-(SUM($F690:P690)-$E690),($E690*(1-$D$457))*$D690),0)*Q$453</f>
        <v>0</v>
      </c>
      <c r="R690">
        <f>IF(R$455&gt;=$C690,MIN(-(SUM($F690:Q690)-$E690),($E690*(1-$D$457))*$D690),0)*R$453</f>
        <v>0</v>
      </c>
      <c r="S690">
        <f>IF(S$455&gt;=$C690,MIN(-(SUM($F690:R690)-$E690),($E690*(1-$D$457))*$D690),0)*S$453</f>
        <v>0</v>
      </c>
      <c r="T690">
        <f>IF(T$455&gt;=$C690,MIN(-(SUM($F690:S690)-$E690),($E690*(1-$D$457))*$D690),0)*T$453</f>
        <v>0</v>
      </c>
      <c r="U690">
        <f>IF(U$455&gt;=$C690,MIN(-(SUM($F690:T690)-$E690),($E690*(1-$D$457))*$D690),0)*U$453</f>
        <v>0</v>
      </c>
      <c r="V690">
        <f>IF(V$455&gt;=$C690,MIN(-(SUM($F690:U690)-$E690),($E690*(1-$D$457))*$D690),0)*V$453</f>
        <v>0</v>
      </c>
      <c r="W690">
        <f>IF(W$455&gt;=$C690,MIN(-(SUM($F690:V690)-$E690),($E690*(1-$D$457))*$D690),0)*W$453</f>
        <v>0</v>
      </c>
      <c r="X690">
        <f>IF(X$455&gt;=$C690,MIN(-(SUM($F690:W690)-$E690),($E690*(1-$D$457))*$D690),0)*X$453</f>
        <v>0</v>
      </c>
      <c r="Y690">
        <f>IF(Y$455&gt;=$C690,MIN(-(SUM($F690:X690)-$E690),($E690*(1-$D$457))*$D690),0)*Y$453</f>
        <v>0</v>
      </c>
      <c r="Z690">
        <f>IF(Z$455&gt;=$C690,MIN(-(SUM($F690:Y690)-$E690),($E690*(1-$D$457))*$D690),0)*Z$453</f>
        <v>0</v>
      </c>
      <c r="AA690">
        <f>IF(AA$455&gt;=$C690,MIN(-(SUM($F690:Z690)-$E690),($E690*(1-$D$457))*$D690),0)*AA$453</f>
        <v>0</v>
      </c>
      <c r="AB690">
        <f>IF(AB$455&gt;=$C690,MIN(-(SUM($F690:AA690)-$E690),($E690*(1-$D$457))*$D690),0)*AB$453</f>
        <v>0</v>
      </c>
      <c r="AC690">
        <f>IF(AC$455&gt;=$C690,MIN(-(SUM($F690:AB690)-$E690),($E690*(1-$D$457))*$D690),0)*AC$453</f>
        <v>0</v>
      </c>
      <c r="AD690">
        <f>IF(AD$455&gt;=$C690,MIN(-(SUM($F690:AC690)-$E690),($E690*(1-$D$457))*$D690),0)*AD$453</f>
        <v>0</v>
      </c>
      <c r="AE690">
        <f>IF(AE$455&gt;=$C690,MIN(-(SUM($F690:AD690)-$E690),($E690*(1-$D$457))*$D690),0)*AE$453</f>
        <v>0</v>
      </c>
      <c r="AF690">
        <f>IF(AF$455&gt;=$C690,MIN(-(SUM($F690:AE690)-$E690),($E690*(1-$D$457))*$D690),0)*AF$453</f>
        <v>0</v>
      </c>
      <c r="AG690">
        <f>IF(AG$455&gt;=$C690,MIN(-(SUM($F690:AF690)-$E690),($E690*(1-$D$457))*$D690),0)*AG$453</f>
        <v>0</v>
      </c>
      <c r="AH690">
        <f>IF(AH$455&gt;=$C690,MIN(-(SUM($F690:AG690)-$E690),($E690*(1-$D$457))*$D690),0)*AH$453</f>
        <v>0</v>
      </c>
      <c r="AI690">
        <f>IF(AI$455&gt;=$C690,MIN(-(SUM($F690:AH690)-$E690),($E690*(1-$D$457))*$D690),0)*AI$453</f>
        <v>0</v>
      </c>
      <c r="AJ690">
        <f>IF(AJ$455&gt;=$C690,MIN(-(SUM($F690:AI690)-$E690),($E690*(1-$D$457))*$D690),0)*AJ$453</f>
        <v>0</v>
      </c>
      <c r="AK690">
        <f>IF(AK$455&gt;=$C690,MIN(-(SUM($F690:AJ690)-$E690),($E690*(1-$D$457))*$D690),0)*AK$453</f>
        <v>0</v>
      </c>
      <c r="AL690">
        <f>IF(AL$455&gt;=$C690,MIN(-(SUM($F690:AK690)-$E690),($E690*(1-$D$457))*$D690),0)*AL$453</f>
        <v>0</v>
      </c>
      <c r="AM690">
        <f>IF(AM$455&gt;=$C690,MIN(-(SUM($F690:AL690)-$E690),($E690*(1-$D$457))*$D690),0)*AM$453</f>
        <v>0</v>
      </c>
      <c r="AN690">
        <f>IF(AN$455&gt;=$C690,MIN(-(SUM($F690:AM690)-$E690),($E690*(1-$D$457))*$D690),0)*AN$453</f>
        <v>0</v>
      </c>
    </row>
    <row r="691" spans="3:40" outlineLevel="4">
      <c r="C691">
        <v>7</v>
      </c>
      <c r="D691">
        <f>Inputs!$D$259</f>
        <v>0.1</v>
      </c>
      <c r="E691">
        <v>0</v>
      </c>
      <c r="F691" s="461">
        <f>E691*D682</f>
        <v>0</v>
      </c>
      <c r="G691">
        <f>IF(G$455&gt;=$C691,MIN(-(SUM(F691:$F691)-$E691),($E691*(1-$D$457))*$D691),0)*G$453</f>
        <v>0</v>
      </c>
      <c r="H691">
        <f>IF(H$455&gt;=$C691,MIN(-(SUM($F691:G691)-$E691),($E691*(1-$D$457))*$D691),0)*H$453</f>
        <v>0</v>
      </c>
      <c r="I691">
        <f>IF(I$455&gt;=$C691,MIN(-(SUM($F691:H691)-$E691),($E691*(1-$D$457))*$D691),0)*I$453</f>
        <v>0</v>
      </c>
      <c r="J691">
        <f>IF(J$455&gt;=$C691,MIN(-(SUM($F691:I691)-$E691),($E691*(1-$D$457))*$D691),0)*J$453</f>
        <v>0</v>
      </c>
      <c r="K691">
        <f>IF(K$455&gt;=$C691,MIN(-(SUM($F691:J691)-$E691),($E691*(1-$D$457))*$D691),0)*K$453</f>
        <v>0</v>
      </c>
      <c r="L691">
        <f>IF(L$455&gt;=$C691,MIN(-(SUM($F691:K691)-$E691),($E691*(1-$D$457))*$D691),0)*L$453</f>
        <v>0</v>
      </c>
      <c r="M691">
        <f>IF(M$455&gt;=$C691,MIN(-(SUM($F691:L691)-$E691),($E691*(1-$D$457))*$D691),0)*M$453</f>
        <v>0</v>
      </c>
      <c r="N691">
        <f>IF(N$455&gt;=$C691,MIN(-(SUM($F691:M691)-$E691),($E691*(1-$D$457))*$D691),0)*N$453</f>
        <v>0</v>
      </c>
      <c r="O691">
        <f>IF(O$455&gt;=$C691,MIN(-(SUM($F691:N691)-$E691),($E691*(1-$D$457))*$D691),0)*O$453</f>
        <v>0</v>
      </c>
      <c r="P691">
        <f>IF(P$455&gt;=$C691,MIN(-(SUM($F691:O691)-$E691),($E691*(1-$D$457))*$D691),0)*P$453</f>
        <v>0</v>
      </c>
      <c r="Q691">
        <f>IF(Q$455&gt;=$C691,MIN(-(SUM($F691:P691)-$E691),($E691*(1-$D$457))*$D691),0)*Q$453</f>
        <v>0</v>
      </c>
      <c r="R691">
        <f>IF(R$455&gt;=$C691,MIN(-(SUM($F691:Q691)-$E691),($E691*(1-$D$457))*$D691),0)*R$453</f>
        <v>0</v>
      </c>
      <c r="S691">
        <f>IF(S$455&gt;=$C691,MIN(-(SUM($F691:R691)-$E691),($E691*(1-$D$457))*$D691),0)*S$453</f>
        <v>0</v>
      </c>
      <c r="T691">
        <f>IF(T$455&gt;=$C691,MIN(-(SUM($F691:S691)-$E691),($E691*(1-$D$457))*$D691),0)*T$453</f>
        <v>0</v>
      </c>
      <c r="U691">
        <f>IF(U$455&gt;=$C691,MIN(-(SUM($F691:T691)-$E691),($E691*(1-$D$457))*$D691),0)*U$453</f>
        <v>0</v>
      </c>
      <c r="V691">
        <f>IF(V$455&gt;=$C691,MIN(-(SUM($F691:U691)-$E691),($E691*(1-$D$457))*$D691),0)*V$453</f>
        <v>0</v>
      </c>
      <c r="W691">
        <f>IF(W$455&gt;=$C691,MIN(-(SUM($F691:V691)-$E691),($E691*(1-$D$457))*$D691),0)*W$453</f>
        <v>0</v>
      </c>
      <c r="X691">
        <f>IF(X$455&gt;=$C691,MIN(-(SUM($F691:W691)-$E691),($E691*(1-$D$457))*$D691),0)*X$453</f>
        <v>0</v>
      </c>
      <c r="Y691">
        <f>IF(Y$455&gt;=$C691,MIN(-(SUM($F691:X691)-$E691),($E691*(1-$D$457))*$D691),0)*Y$453</f>
        <v>0</v>
      </c>
      <c r="Z691">
        <f>IF(Z$455&gt;=$C691,MIN(-(SUM($F691:Y691)-$E691),($E691*(1-$D$457))*$D691),0)*Z$453</f>
        <v>0</v>
      </c>
      <c r="AA691">
        <f>IF(AA$455&gt;=$C691,MIN(-(SUM($F691:Z691)-$E691),($E691*(1-$D$457))*$D691),0)*AA$453</f>
        <v>0</v>
      </c>
      <c r="AB691">
        <f>IF(AB$455&gt;=$C691,MIN(-(SUM($F691:AA691)-$E691),($E691*(1-$D$457))*$D691),0)*AB$453</f>
        <v>0</v>
      </c>
      <c r="AC691">
        <f>IF(AC$455&gt;=$C691,MIN(-(SUM($F691:AB691)-$E691),($E691*(1-$D$457))*$D691),0)*AC$453</f>
        <v>0</v>
      </c>
      <c r="AD691">
        <f>IF(AD$455&gt;=$C691,MIN(-(SUM($F691:AC691)-$E691),($E691*(1-$D$457))*$D691),0)*AD$453</f>
        <v>0</v>
      </c>
      <c r="AE691">
        <f>IF(AE$455&gt;=$C691,MIN(-(SUM($F691:AD691)-$E691),($E691*(1-$D$457))*$D691),0)*AE$453</f>
        <v>0</v>
      </c>
      <c r="AF691">
        <f>IF(AF$455&gt;=$C691,MIN(-(SUM($F691:AE691)-$E691),($E691*(1-$D$457))*$D691),0)*AF$453</f>
        <v>0</v>
      </c>
      <c r="AG691">
        <f>IF(AG$455&gt;=$C691,MIN(-(SUM($F691:AF691)-$E691),($E691*(1-$D$457))*$D691),0)*AG$453</f>
        <v>0</v>
      </c>
      <c r="AH691">
        <f>IF(AH$455&gt;=$C691,MIN(-(SUM($F691:AG691)-$E691),($E691*(1-$D$457))*$D691),0)*AH$453</f>
        <v>0</v>
      </c>
      <c r="AI691">
        <f>IF(AI$455&gt;=$C691,MIN(-(SUM($F691:AH691)-$E691),($E691*(1-$D$457))*$D691),0)*AI$453</f>
        <v>0</v>
      </c>
      <c r="AJ691">
        <f>IF(AJ$455&gt;=$C691,MIN(-(SUM($F691:AI691)-$E691),($E691*(1-$D$457))*$D691),0)*AJ$453</f>
        <v>0</v>
      </c>
      <c r="AK691">
        <f>IF(AK$455&gt;=$C691,MIN(-(SUM($F691:AJ691)-$E691),($E691*(1-$D$457))*$D691),0)*AK$453</f>
        <v>0</v>
      </c>
      <c r="AL691">
        <f>IF(AL$455&gt;=$C691,MIN(-(SUM($F691:AK691)-$E691),($E691*(1-$D$457))*$D691),0)*AL$453</f>
        <v>0</v>
      </c>
      <c r="AM691">
        <f>IF(AM$455&gt;=$C691,MIN(-(SUM($F691:AL691)-$E691),($E691*(1-$D$457))*$D691),0)*AM$453</f>
        <v>0</v>
      </c>
      <c r="AN691">
        <f>IF(AN$455&gt;=$C691,MIN(-(SUM($F691:AM691)-$E691),($E691*(1-$D$457))*$D691),0)*AN$453</f>
        <v>0</v>
      </c>
    </row>
    <row r="692" spans="3:40" outlineLevel="4">
      <c r="C692">
        <v>8</v>
      </c>
      <c r="D692">
        <f>Inputs!$D$259</f>
        <v>0.1</v>
      </c>
      <c r="E692">
        <v>0</v>
      </c>
      <c r="F692" s="461">
        <f>E692*D682</f>
        <v>0</v>
      </c>
      <c r="G692">
        <f>IF(G$455&gt;=$C692,MIN(-(SUM(F692:$F692)-$E692),($E692*(1-$D$457))*$D692),0)*G$453</f>
        <v>0</v>
      </c>
      <c r="H692">
        <f>IF(H$455&gt;=$C692,MIN(-(SUM($F692:G692)-$E692),($E692*(1-$D$457))*$D692),0)*H$453</f>
        <v>0</v>
      </c>
      <c r="I692">
        <f>IF(I$455&gt;=$C692,MIN(-(SUM($F692:H692)-$E692),($E692*(1-$D$457))*$D692),0)*I$453</f>
        <v>0</v>
      </c>
      <c r="J692">
        <f>IF(J$455&gt;=$C692,MIN(-(SUM($F692:I692)-$E692),($E692*(1-$D$457))*$D692),0)*J$453</f>
        <v>0</v>
      </c>
      <c r="K692">
        <f>IF(K$455&gt;=$C692,MIN(-(SUM($F692:J692)-$E692),($E692*(1-$D$457))*$D692),0)*K$453</f>
        <v>0</v>
      </c>
      <c r="L692">
        <f>IF(L$455&gt;=$C692,MIN(-(SUM($F692:K692)-$E692),($E692*(1-$D$457))*$D692),0)*L$453</f>
        <v>0</v>
      </c>
      <c r="M692">
        <f>IF(M$455&gt;=$C692,MIN(-(SUM($F692:L692)-$E692),($E692*(1-$D$457))*$D692),0)*M$453</f>
        <v>0</v>
      </c>
      <c r="N692">
        <f>IF(N$455&gt;=$C692,MIN(-(SUM($F692:M692)-$E692),($E692*(1-$D$457))*$D692),0)*N$453</f>
        <v>0</v>
      </c>
      <c r="O692">
        <f>IF(O$455&gt;=$C692,MIN(-(SUM($F692:N692)-$E692),($E692*(1-$D$457))*$D692),0)*O$453</f>
        <v>0</v>
      </c>
      <c r="P692">
        <f>IF(P$455&gt;=$C692,MIN(-(SUM($F692:O692)-$E692),($E692*(1-$D$457))*$D692),0)*P$453</f>
        <v>0</v>
      </c>
      <c r="Q692">
        <f>IF(Q$455&gt;=$C692,MIN(-(SUM($F692:P692)-$E692),($E692*(1-$D$457))*$D692),0)*Q$453</f>
        <v>0</v>
      </c>
      <c r="R692">
        <f>IF(R$455&gt;=$C692,MIN(-(SUM($F692:Q692)-$E692),($E692*(1-$D$457))*$D692),0)*R$453</f>
        <v>0</v>
      </c>
      <c r="S692">
        <f>IF(S$455&gt;=$C692,MIN(-(SUM($F692:R692)-$E692),($E692*(1-$D$457))*$D692),0)*S$453</f>
        <v>0</v>
      </c>
      <c r="T692">
        <f>IF(T$455&gt;=$C692,MIN(-(SUM($F692:S692)-$E692),($E692*(1-$D$457))*$D692),0)*T$453</f>
        <v>0</v>
      </c>
      <c r="U692">
        <f>IF(U$455&gt;=$C692,MIN(-(SUM($F692:T692)-$E692),($E692*(1-$D$457))*$D692),0)*U$453</f>
        <v>0</v>
      </c>
      <c r="V692">
        <f>IF(V$455&gt;=$C692,MIN(-(SUM($F692:U692)-$E692),($E692*(1-$D$457))*$D692),0)*V$453</f>
        <v>0</v>
      </c>
      <c r="W692">
        <f>IF(W$455&gt;=$C692,MIN(-(SUM($F692:V692)-$E692),($E692*(1-$D$457))*$D692),0)*W$453</f>
        <v>0</v>
      </c>
      <c r="X692">
        <f>IF(X$455&gt;=$C692,MIN(-(SUM($F692:W692)-$E692),($E692*(1-$D$457))*$D692),0)*X$453</f>
        <v>0</v>
      </c>
      <c r="Y692">
        <f>IF(Y$455&gt;=$C692,MIN(-(SUM($F692:X692)-$E692),($E692*(1-$D$457))*$D692),0)*Y$453</f>
        <v>0</v>
      </c>
      <c r="Z692">
        <f>IF(Z$455&gt;=$C692,MIN(-(SUM($F692:Y692)-$E692),($E692*(1-$D$457))*$D692),0)*Z$453</f>
        <v>0</v>
      </c>
      <c r="AA692">
        <f>IF(AA$455&gt;=$C692,MIN(-(SUM($F692:Z692)-$E692),($E692*(1-$D$457))*$D692),0)*AA$453</f>
        <v>0</v>
      </c>
      <c r="AB692">
        <f>IF(AB$455&gt;=$C692,MIN(-(SUM($F692:AA692)-$E692),($E692*(1-$D$457))*$D692),0)*AB$453</f>
        <v>0</v>
      </c>
      <c r="AC692">
        <f>IF(AC$455&gt;=$C692,MIN(-(SUM($F692:AB692)-$E692),($E692*(1-$D$457))*$D692),0)*AC$453</f>
        <v>0</v>
      </c>
      <c r="AD692">
        <f>IF(AD$455&gt;=$C692,MIN(-(SUM($F692:AC692)-$E692),($E692*(1-$D$457))*$D692),0)*AD$453</f>
        <v>0</v>
      </c>
      <c r="AE692">
        <f>IF(AE$455&gt;=$C692,MIN(-(SUM($F692:AD692)-$E692),($E692*(1-$D$457))*$D692),0)*AE$453</f>
        <v>0</v>
      </c>
      <c r="AF692">
        <f>IF(AF$455&gt;=$C692,MIN(-(SUM($F692:AE692)-$E692),($E692*(1-$D$457))*$D692),0)*AF$453</f>
        <v>0</v>
      </c>
      <c r="AG692">
        <f>IF(AG$455&gt;=$C692,MIN(-(SUM($F692:AF692)-$E692),($E692*(1-$D$457))*$D692),0)*AG$453</f>
        <v>0</v>
      </c>
      <c r="AH692">
        <f>IF(AH$455&gt;=$C692,MIN(-(SUM($F692:AG692)-$E692),($E692*(1-$D$457))*$D692),0)*AH$453</f>
        <v>0</v>
      </c>
      <c r="AI692">
        <f>IF(AI$455&gt;=$C692,MIN(-(SUM($F692:AH692)-$E692),($E692*(1-$D$457))*$D692),0)*AI$453</f>
        <v>0</v>
      </c>
      <c r="AJ692">
        <f>IF(AJ$455&gt;=$C692,MIN(-(SUM($F692:AI692)-$E692),($E692*(1-$D$457))*$D692),0)*AJ$453</f>
        <v>0</v>
      </c>
      <c r="AK692">
        <f>IF(AK$455&gt;=$C692,MIN(-(SUM($F692:AJ692)-$E692),($E692*(1-$D$457))*$D692),0)*AK$453</f>
        <v>0</v>
      </c>
      <c r="AL692">
        <f>IF(AL$455&gt;=$C692,MIN(-(SUM($F692:AK692)-$E692),($E692*(1-$D$457))*$D692),0)*AL$453</f>
        <v>0</v>
      </c>
      <c r="AM692">
        <f>IF(AM$455&gt;=$C692,MIN(-(SUM($F692:AL692)-$E692),($E692*(1-$D$457))*$D692),0)*AM$453</f>
        <v>0</v>
      </c>
      <c r="AN692">
        <f>IF(AN$455&gt;=$C692,MIN(-(SUM($F692:AM692)-$E692),($E692*(1-$D$457))*$D692),0)*AN$453</f>
        <v>0</v>
      </c>
    </row>
    <row r="693" spans="3:40" outlineLevel="4">
      <c r="C693">
        <v>9</v>
      </c>
      <c r="D693">
        <f>Inputs!$D$259</f>
        <v>0.1</v>
      </c>
      <c r="E693">
        <v>0</v>
      </c>
      <c r="F693" s="461">
        <f>E693*D682</f>
        <v>0</v>
      </c>
      <c r="G693">
        <f>IF(G$455&gt;=$C693,MIN(-(SUM(F693:$F693)-$E693),($E693*(1-$D$457))*$D693),0)*G$453</f>
        <v>0</v>
      </c>
      <c r="H693">
        <f>IF(H$455&gt;=$C693,MIN(-(SUM($F693:G693)-$E693),($E693*(1-$D$457))*$D693),0)*H$453</f>
        <v>0</v>
      </c>
      <c r="I693">
        <f>IF(I$455&gt;=$C693,MIN(-(SUM($F693:H693)-$E693),($E693*(1-$D$457))*$D693),0)*I$453</f>
        <v>0</v>
      </c>
      <c r="J693">
        <f>IF(J$455&gt;=$C693,MIN(-(SUM($F693:I693)-$E693),($E693*(1-$D$457))*$D693),0)*J$453</f>
        <v>0</v>
      </c>
      <c r="K693">
        <f>IF(K$455&gt;=$C693,MIN(-(SUM($F693:J693)-$E693),($E693*(1-$D$457))*$D693),0)*K$453</f>
        <v>0</v>
      </c>
      <c r="L693">
        <f>IF(L$455&gt;=$C693,MIN(-(SUM($F693:K693)-$E693),($E693*(1-$D$457))*$D693),0)*L$453</f>
        <v>0</v>
      </c>
      <c r="M693">
        <f>IF(M$455&gt;=$C693,MIN(-(SUM($F693:L693)-$E693),($E693*(1-$D$457))*$D693),0)*M$453</f>
        <v>0</v>
      </c>
      <c r="N693">
        <f>IF(N$455&gt;=$C693,MIN(-(SUM($F693:M693)-$E693),($E693*(1-$D$457))*$D693),0)*N$453</f>
        <v>0</v>
      </c>
      <c r="O693">
        <f>IF(O$455&gt;=$C693,MIN(-(SUM($F693:N693)-$E693),($E693*(1-$D$457))*$D693),0)*O$453</f>
        <v>0</v>
      </c>
      <c r="P693">
        <f>IF(P$455&gt;=$C693,MIN(-(SUM($F693:O693)-$E693),($E693*(1-$D$457))*$D693),0)*P$453</f>
        <v>0</v>
      </c>
      <c r="Q693">
        <f>IF(Q$455&gt;=$C693,MIN(-(SUM($F693:P693)-$E693),($E693*(1-$D$457))*$D693),0)*Q$453</f>
        <v>0</v>
      </c>
      <c r="R693">
        <f>IF(R$455&gt;=$C693,MIN(-(SUM($F693:Q693)-$E693),($E693*(1-$D$457))*$D693),0)*R$453</f>
        <v>0</v>
      </c>
      <c r="S693">
        <f>IF(S$455&gt;=$C693,MIN(-(SUM($F693:R693)-$E693),($E693*(1-$D$457))*$D693),0)*S$453</f>
        <v>0</v>
      </c>
      <c r="T693">
        <f>IF(T$455&gt;=$C693,MIN(-(SUM($F693:S693)-$E693),($E693*(1-$D$457))*$D693),0)*T$453</f>
        <v>0</v>
      </c>
      <c r="U693">
        <f>IF(U$455&gt;=$C693,MIN(-(SUM($F693:T693)-$E693),($E693*(1-$D$457))*$D693),0)*U$453</f>
        <v>0</v>
      </c>
      <c r="V693">
        <f>IF(V$455&gt;=$C693,MIN(-(SUM($F693:U693)-$E693),($E693*(1-$D$457))*$D693),0)*V$453</f>
        <v>0</v>
      </c>
      <c r="W693">
        <f>IF(W$455&gt;=$C693,MIN(-(SUM($F693:V693)-$E693),($E693*(1-$D$457))*$D693),0)*W$453</f>
        <v>0</v>
      </c>
      <c r="X693">
        <f>IF(X$455&gt;=$C693,MIN(-(SUM($F693:W693)-$E693),($E693*(1-$D$457))*$D693),0)*X$453</f>
        <v>0</v>
      </c>
      <c r="Y693">
        <f>IF(Y$455&gt;=$C693,MIN(-(SUM($F693:X693)-$E693),($E693*(1-$D$457))*$D693),0)*Y$453</f>
        <v>0</v>
      </c>
      <c r="Z693">
        <f>IF(Z$455&gt;=$C693,MIN(-(SUM($F693:Y693)-$E693),($E693*(1-$D$457))*$D693),0)*Z$453</f>
        <v>0</v>
      </c>
      <c r="AA693">
        <f>IF(AA$455&gt;=$C693,MIN(-(SUM($F693:Z693)-$E693),($E693*(1-$D$457))*$D693),0)*AA$453</f>
        <v>0</v>
      </c>
      <c r="AB693">
        <f>IF(AB$455&gt;=$C693,MIN(-(SUM($F693:AA693)-$E693),($E693*(1-$D$457))*$D693),0)*AB$453</f>
        <v>0</v>
      </c>
      <c r="AC693">
        <f>IF(AC$455&gt;=$C693,MIN(-(SUM($F693:AB693)-$E693),($E693*(1-$D$457))*$D693),0)*AC$453</f>
        <v>0</v>
      </c>
      <c r="AD693">
        <f>IF(AD$455&gt;=$C693,MIN(-(SUM($F693:AC693)-$E693),($E693*(1-$D$457))*$D693),0)*AD$453</f>
        <v>0</v>
      </c>
      <c r="AE693">
        <f>IF(AE$455&gt;=$C693,MIN(-(SUM($F693:AD693)-$E693),($E693*(1-$D$457))*$D693),0)*AE$453</f>
        <v>0</v>
      </c>
      <c r="AF693">
        <f>IF(AF$455&gt;=$C693,MIN(-(SUM($F693:AE693)-$E693),($E693*(1-$D$457))*$D693),0)*AF$453</f>
        <v>0</v>
      </c>
      <c r="AG693">
        <f>IF(AG$455&gt;=$C693,MIN(-(SUM($F693:AF693)-$E693),($E693*(1-$D$457))*$D693),0)*AG$453</f>
        <v>0</v>
      </c>
      <c r="AH693">
        <f>IF(AH$455&gt;=$C693,MIN(-(SUM($F693:AG693)-$E693),($E693*(1-$D$457))*$D693),0)*AH$453</f>
        <v>0</v>
      </c>
      <c r="AI693">
        <f>IF(AI$455&gt;=$C693,MIN(-(SUM($F693:AH693)-$E693),($E693*(1-$D$457))*$D693),0)*AI$453</f>
        <v>0</v>
      </c>
      <c r="AJ693">
        <f>IF(AJ$455&gt;=$C693,MIN(-(SUM($F693:AI693)-$E693),($E693*(1-$D$457))*$D693),0)*AJ$453</f>
        <v>0</v>
      </c>
      <c r="AK693">
        <f>IF(AK$455&gt;=$C693,MIN(-(SUM($F693:AJ693)-$E693),($E693*(1-$D$457))*$D693),0)*AK$453</f>
        <v>0</v>
      </c>
      <c r="AL693">
        <f>IF(AL$455&gt;=$C693,MIN(-(SUM($F693:AK693)-$E693),($E693*(1-$D$457))*$D693),0)*AL$453</f>
        <v>0</v>
      </c>
      <c r="AM693">
        <f>IF(AM$455&gt;=$C693,MIN(-(SUM($F693:AL693)-$E693),($E693*(1-$D$457))*$D693),0)*AM$453</f>
        <v>0</v>
      </c>
      <c r="AN693">
        <f>IF(AN$455&gt;=$C693,MIN(-(SUM($F693:AM693)-$E693),($E693*(1-$D$457))*$D693),0)*AN$453</f>
        <v>0</v>
      </c>
    </row>
    <row r="694" spans="3:40" outlineLevel="4">
      <c r="C694">
        <v>10</v>
      </c>
      <c r="D694">
        <f>Inputs!$D$259</f>
        <v>0.1</v>
      </c>
      <c r="E694">
        <v>0</v>
      </c>
      <c r="F694" s="461">
        <f>E694*D682</f>
        <v>0</v>
      </c>
      <c r="G694">
        <f>IF(G$455&gt;=$C694,MIN(-(SUM(F694:$F694)-$E694),($E694*(1-$D$457))*$D694),0)*G$453</f>
        <v>0</v>
      </c>
      <c r="H694">
        <f>IF(H$455&gt;=$C694,MIN(-(SUM($F694:G694)-$E694),($E694*(1-$D$457))*$D694),0)*H$453</f>
        <v>0</v>
      </c>
      <c r="I694">
        <f>IF(I$455&gt;=$C694,MIN(-(SUM($F694:H694)-$E694),($E694*(1-$D$457))*$D694),0)*I$453</f>
        <v>0</v>
      </c>
      <c r="J694">
        <f>IF(J$455&gt;=$C694,MIN(-(SUM($F694:I694)-$E694),($E694*(1-$D$457))*$D694),0)*J$453</f>
        <v>0</v>
      </c>
      <c r="K694">
        <f>IF(K$455&gt;=$C694,MIN(-(SUM($F694:J694)-$E694),($E694*(1-$D$457))*$D694),0)*K$453</f>
        <v>0</v>
      </c>
      <c r="L694">
        <f>IF(L$455&gt;=$C694,MIN(-(SUM($F694:K694)-$E694),($E694*(1-$D$457))*$D694),0)*L$453</f>
        <v>0</v>
      </c>
      <c r="M694">
        <f>IF(M$455&gt;=$C694,MIN(-(SUM($F694:L694)-$E694),($E694*(1-$D$457))*$D694),0)*M$453</f>
        <v>0</v>
      </c>
      <c r="N694">
        <f>IF(N$455&gt;=$C694,MIN(-(SUM($F694:M694)-$E694),($E694*(1-$D$457))*$D694),0)*N$453</f>
        <v>0</v>
      </c>
      <c r="O694">
        <f>IF(O$455&gt;=$C694,MIN(-(SUM($F694:N694)-$E694),($E694*(1-$D$457))*$D694),0)*O$453</f>
        <v>0</v>
      </c>
      <c r="P694">
        <f>IF(P$455&gt;=$C694,MIN(-(SUM($F694:O694)-$E694),($E694*(1-$D$457))*$D694),0)*P$453</f>
        <v>0</v>
      </c>
      <c r="Q694">
        <f>IF(Q$455&gt;=$C694,MIN(-(SUM($F694:P694)-$E694),($E694*(1-$D$457))*$D694),0)*Q$453</f>
        <v>0</v>
      </c>
      <c r="R694">
        <f>IF(R$455&gt;=$C694,MIN(-(SUM($F694:Q694)-$E694),($E694*(1-$D$457))*$D694),0)*R$453</f>
        <v>0</v>
      </c>
      <c r="S694">
        <f>IF(S$455&gt;=$C694,MIN(-(SUM($F694:R694)-$E694),($E694*(1-$D$457))*$D694),0)*S$453</f>
        <v>0</v>
      </c>
      <c r="T694">
        <f>IF(T$455&gt;=$C694,MIN(-(SUM($F694:S694)-$E694),($E694*(1-$D$457))*$D694),0)*T$453</f>
        <v>0</v>
      </c>
      <c r="U694">
        <f>IF(U$455&gt;=$C694,MIN(-(SUM($F694:T694)-$E694),($E694*(1-$D$457))*$D694),0)*U$453</f>
        <v>0</v>
      </c>
      <c r="V694">
        <f>IF(V$455&gt;=$C694,MIN(-(SUM($F694:U694)-$E694),($E694*(1-$D$457))*$D694),0)*V$453</f>
        <v>0</v>
      </c>
      <c r="W694">
        <f>IF(W$455&gt;=$C694,MIN(-(SUM($F694:V694)-$E694),($E694*(1-$D$457))*$D694),0)*W$453</f>
        <v>0</v>
      </c>
      <c r="X694">
        <f>IF(X$455&gt;=$C694,MIN(-(SUM($F694:W694)-$E694),($E694*(1-$D$457))*$D694),0)*X$453</f>
        <v>0</v>
      </c>
      <c r="Y694">
        <f>IF(Y$455&gt;=$C694,MIN(-(SUM($F694:X694)-$E694),($E694*(1-$D$457))*$D694),0)*Y$453</f>
        <v>0</v>
      </c>
      <c r="Z694">
        <f>IF(Z$455&gt;=$C694,MIN(-(SUM($F694:Y694)-$E694),($E694*(1-$D$457))*$D694),0)*Z$453</f>
        <v>0</v>
      </c>
      <c r="AA694">
        <f>IF(AA$455&gt;=$C694,MIN(-(SUM($F694:Z694)-$E694),($E694*(1-$D$457))*$D694),0)*AA$453</f>
        <v>0</v>
      </c>
      <c r="AB694">
        <f>IF(AB$455&gt;=$C694,MIN(-(SUM($F694:AA694)-$E694),($E694*(1-$D$457))*$D694),0)*AB$453</f>
        <v>0</v>
      </c>
      <c r="AC694">
        <f>IF(AC$455&gt;=$C694,MIN(-(SUM($F694:AB694)-$E694),($E694*(1-$D$457))*$D694),0)*AC$453</f>
        <v>0</v>
      </c>
      <c r="AD694">
        <f>IF(AD$455&gt;=$C694,MIN(-(SUM($F694:AC694)-$E694),($E694*(1-$D$457))*$D694),0)*AD$453</f>
        <v>0</v>
      </c>
      <c r="AE694">
        <f>IF(AE$455&gt;=$C694,MIN(-(SUM($F694:AD694)-$E694),($E694*(1-$D$457))*$D694),0)*AE$453</f>
        <v>0</v>
      </c>
      <c r="AF694">
        <f>IF(AF$455&gt;=$C694,MIN(-(SUM($F694:AE694)-$E694),($E694*(1-$D$457))*$D694),0)*AF$453</f>
        <v>0</v>
      </c>
      <c r="AG694">
        <f>IF(AG$455&gt;=$C694,MIN(-(SUM($F694:AF694)-$E694),($E694*(1-$D$457))*$D694),0)*AG$453</f>
        <v>0</v>
      </c>
      <c r="AH694">
        <f>IF(AH$455&gt;=$C694,MIN(-(SUM($F694:AG694)-$E694),($E694*(1-$D$457))*$D694),0)*AH$453</f>
        <v>0</v>
      </c>
      <c r="AI694">
        <f>IF(AI$455&gt;=$C694,MIN(-(SUM($F694:AH694)-$E694),($E694*(1-$D$457))*$D694),0)*AI$453</f>
        <v>0</v>
      </c>
      <c r="AJ694">
        <f>IF(AJ$455&gt;=$C694,MIN(-(SUM($F694:AI694)-$E694),($E694*(1-$D$457))*$D694),0)*AJ$453</f>
        <v>0</v>
      </c>
      <c r="AK694">
        <f>IF(AK$455&gt;=$C694,MIN(-(SUM($F694:AJ694)-$E694),($E694*(1-$D$457))*$D694),0)*AK$453</f>
        <v>0</v>
      </c>
      <c r="AL694">
        <f>IF(AL$455&gt;=$C694,MIN(-(SUM($F694:AK694)-$E694),($E694*(1-$D$457))*$D694),0)*AL$453</f>
        <v>0</v>
      </c>
      <c r="AM694">
        <f>IF(AM$455&gt;=$C694,MIN(-(SUM($F694:AL694)-$E694),($E694*(1-$D$457))*$D694),0)*AM$453</f>
        <v>0</v>
      </c>
      <c r="AN694">
        <f>IF(AN$455&gt;=$C694,MIN(-(SUM($F694:AM694)-$E694),($E694*(1-$D$457))*$D694),0)*AN$453</f>
        <v>0</v>
      </c>
    </row>
    <row r="695" spans="3:40" outlineLevel="4">
      <c r="C695">
        <v>11</v>
      </c>
      <c r="D695">
        <f>Inputs!$D$259</f>
        <v>0.1</v>
      </c>
      <c r="E695">
        <v>0</v>
      </c>
      <c r="F695" s="461">
        <f>E695*D682</f>
        <v>0</v>
      </c>
      <c r="G695">
        <f>IF(G$455&gt;=$C695,MIN(-(SUM(F695:$F695)-$E695),($E695*(1-$D$457))*$D695),0)*G$453</f>
        <v>0</v>
      </c>
      <c r="H695">
        <f>IF(H$455&gt;=$C695,MIN(-(SUM($F695:G695)-$E695),($E695*(1-$D$457))*$D695),0)*H$453</f>
        <v>0</v>
      </c>
      <c r="I695">
        <f>IF(I$455&gt;=$C695,MIN(-(SUM($F695:H695)-$E695),($E695*(1-$D$457))*$D695),0)*I$453</f>
        <v>0</v>
      </c>
      <c r="J695">
        <f>IF(J$455&gt;=$C695,MIN(-(SUM($F695:I695)-$E695),($E695*(1-$D$457))*$D695),0)*J$453</f>
        <v>0</v>
      </c>
      <c r="K695">
        <f>IF(K$455&gt;=$C695,MIN(-(SUM($F695:J695)-$E695),($E695*(1-$D$457))*$D695),0)*K$453</f>
        <v>0</v>
      </c>
      <c r="L695">
        <f>IF(L$455&gt;=$C695,MIN(-(SUM($F695:K695)-$E695),($E695*(1-$D$457))*$D695),0)*L$453</f>
        <v>0</v>
      </c>
      <c r="M695">
        <f>IF(M$455&gt;=$C695,MIN(-(SUM($F695:L695)-$E695),($E695*(1-$D$457))*$D695),0)*M$453</f>
        <v>0</v>
      </c>
      <c r="N695">
        <f>IF(N$455&gt;=$C695,MIN(-(SUM($F695:M695)-$E695),($E695*(1-$D$457))*$D695),0)*N$453</f>
        <v>0</v>
      </c>
      <c r="O695">
        <f>IF(O$455&gt;=$C695,MIN(-(SUM($F695:N695)-$E695),($E695*(1-$D$457))*$D695),0)*O$453</f>
        <v>0</v>
      </c>
      <c r="P695">
        <f>IF(P$455&gt;=$C695,MIN(-(SUM($F695:O695)-$E695),($E695*(1-$D$457))*$D695),0)*P$453</f>
        <v>0</v>
      </c>
      <c r="Q695">
        <f>IF(Q$455&gt;=$C695,MIN(-(SUM($F695:P695)-$E695),($E695*(1-$D$457))*$D695),0)*Q$453</f>
        <v>0</v>
      </c>
      <c r="R695">
        <f>IF(R$455&gt;=$C695,MIN(-(SUM($F695:Q695)-$E695),($E695*(1-$D$457))*$D695),0)*R$453</f>
        <v>0</v>
      </c>
      <c r="S695">
        <f>IF(S$455&gt;=$C695,MIN(-(SUM($F695:R695)-$E695),($E695*(1-$D$457))*$D695),0)*S$453</f>
        <v>0</v>
      </c>
      <c r="T695">
        <f>IF(T$455&gt;=$C695,MIN(-(SUM($F695:S695)-$E695),($E695*(1-$D$457))*$D695),0)*T$453</f>
        <v>0</v>
      </c>
      <c r="U695">
        <f>IF(U$455&gt;=$C695,MIN(-(SUM($F695:T695)-$E695),($E695*(1-$D$457))*$D695),0)*U$453</f>
        <v>0</v>
      </c>
      <c r="V695">
        <f>IF(V$455&gt;=$C695,MIN(-(SUM($F695:U695)-$E695),($E695*(1-$D$457))*$D695),0)*V$453</f>
        <v>0</v>
      </c>
      <c r="W695">
        <f>IF(W$455&gt;=$C695,MIN(-(SUM($F695:V695)-$E695),($E695*(1-$D$457))*$D695),0)*W$453</f>
        <v>0</v>
      </c>
      <c r="X695">
        <f>IF(X$455&gt;=$C695,MIN(-(SUM($F695:W695)-$E695),($E695*(1-$D$457))*$D695),0)*X$453</f>
        <v>0</v>
      </c>
      <c r="Y695">
        <f>IF(Y$455&gt;=$C695,MIN(-(SUM($F695:X695)-$E695),($E695*(1-$D$457))*$D695),0)*Y$453</f>
        <v>0</v>
      </c>
      <c r="Z695">
        <f>IF(Z$455&gt;=$C695,MIN(-(SUM($F695:Y695)-$E695),($E695*(1-$D$457))*$D695),0)*Z$453</f>
        <v>0</v>
      </c>
      <c r="AA695">
        <f>IF(AA$455&gt;=$C695,MIN(-(SUM($F695:Z695)-$E695),($E695*(1-$D$457))*$D695),0)*AA$453</f>
        <v>0</v>
      </c>
      <c r="AB695">
        <f>IF(AB$455&gt;=$C695,MIN(-(SUM($F695:AA695)-$E695),($E695*(1-$D$457))*$D695),0)*AB$453</f>
        <v>0</v>
      </c>
      <c r="AC695">
        <f>IF(AC$455&gt;=$C695,MIN(-(SUM($F695:AB695)-$E695),($E695*(1-$D$457))*$D695),0)*AC$453</f>
        <v>0</v>
      </c>
      <c r="AD695">
        <f>IF(AD$455&gt;=$C695,MIN(-(SUM($F695:AC695)-$E695),($E695*(1-$D$457))*$D695),0)*AD$453</f>
        <v>0</v>
      </c>
      <c r="AE695">
        <f>IF(AE$455&gt;=$C695,MIN(-(SUM($F695:AD695)-$E695),($E695*(1-$D$457))*$D695),0)*AE$453</f>
        <v>0</v>
      </c>
      <c r="AF695">
        <f>IF(AF$455&gt;=$C695,MIN(-(SUM($F695:AE695)-$E695),($E695*(1-$D$457))*$D695),0)*AF$453</f>
        <v>0</v>
      </c>
      <c r="AG695">
        <f>IF(AG$455&gt;=$C695,MIN(-(SUM($F695:AF695)-$E695),($E695*(1-$D$457))*$D695),0)*AG$453</f>
        <v>0</v>
      </c>
      <c r="AH695">
        <f>IF(AH$455&gt;=$C695,MIN(-(SUM($F695:AG695)-$E695),($E695*(1-$D$457))*$D695),0)*AH$453</f>
        <v>0</v>
      </c>
      <c r="AI695">
        <f>IF(AI$455&gt;=$C695,MIN(-(SUM($F695:AH695)-$E695),($E695*(1-$D$457))*$D695),0)*AI$453</f>
        <v>0</v>
      </c>
      <c r="AJ695">
        <f>IF(AJ$455&gt;=$C695,MIN(-(SUM($F695:AI695)-$E695),($E695*(1-$D$457))*$D695),0)*AJ$453</f>
        <v>0</v>
      </c>
      <c r="AK695">
        <f>IF(AK$455&gt;=$C695,MIN(-(SUM($F695:AJ695)-$E695),($E695*(1-$D$457))*$D695),0)*AK$453</f>
        <v>0</v>
      </c>
      <c r="AL695">
        <f>IF(AL$455&gt;=$C695,MIN(-(SUM($F695:AK695)-$E695),($E695*(1-$D$457))*$D695),0)*AL$453</f>
        <v>0</v>
      </c>
      <c r="AM695">
        <f>IF(AM$455&gt;=$C695,MIN(-(SUM($F695:AL695)-$E695),($E695*(1-$D$457))*$D695),0)*AM$453</f>
        <v>0</v>
      </c>
      <c r="AN695">
        <f>IF(AN$455&gt;=$C695,MIN(-(SUM($F695:AM695)-$E695),($E695*(1-$D$457))*$D695),0)*AN$453</f>
        <v>0</v>
      </c>
    </row>
    <row r="696" spans="3:40" outlineLevel="4">
      <c r="C696">
        <v>12</v>
      </c>
      <c r="D696">
        <f>Inputs!$D$259</f>
        <v>0.1</v>
      </c>
      <c r="E696">
        <v>0</v>
      </c>
      <c r="F696" s="461">
        <f>E696*D682</f>
        <v>0</v>
      </c>
      <c r="G696">
        <f>IF(G$455&gt;=$C696,MIN(-(SUM(F696:$F696)-$E696),($E696*(1-$D$457))*$D696),0)*G$453</f>
        <v>0</v>
      </c>
      <c r="H696">
        <f>IF(H$455&gt;=$C696,MIN(-(SUM($F696:G696)-$E696),($E696*(1-$D$457))*$D696),0)*H$453</f>
        <v>0</v>
      </c>
      <c r="I696">
        <f>IF(I$455&gt;=$C696,MIN(-(SUM($F696:H696)-$E696),($E696*(1-$D$457))*$D696),0)*I$453</f>
        <v>0</v>
      </c>
      <c r="J696">
        <f>IF(J$455&gt;=$C696,MIN(-(SUM($F696:I696)-$E696),($E696*(1-$D$457))*$D696),0)*J$453</f>
        <v>0</v>
      </c>
      <c r="K696">
        <f>IF(K$455&gt;=$C696,MIN(-(SUM($F696:J696)-$E696),($E696*(1-$D$457))*$D696),0)*K$453</f>
        <v>0</v>
      </c>
      <c r="L696">
        <f>IF(L$455&gt;=$C696,MIN(-(SUM($F696:K696)-$E696),($E696*(1-$D$457))*$D696),0)*L$453</f>
        <v>0</v>
      </c>
      <c r="M696">
        <f>IF(M$455&gt;=$C696,MIN(-(SUM($F696:L696)-$E696),($E696*(1-$D$457))*$D696),0)*M$453</f>
        <v>0</v>
      </c>
      <c r="N696">
        <f>IF(N$455&gt;=$C696,MIN(-(SUM($F696:M696)-$E696),($E696*(1-$D$457))*$D696),0)*N$453</f>
        <v>0</v>
      </c>
      <c r="O696">
        <f>IF(O$455&gt;=$C696,MIN(-(SUM($F696:N696)-$E696),($E696*(1-$D$457))*$D696),0)*O$453</f>
        <v>0</v>
      </c>
      <c r="P696">
        <f>IF(P$455&gt;=$C696,MIN(-(SUM($F696:O696)-$E696),($E696*(1-$D$457))*$D696),0)*P$453</f>
        <v>0</v>
      </c>
      <c r="Q696">
        <f>IF(Q$455&gt;=$C696,MIN(-(SUM($F696:P696)-$E696),($E696*(1-$D$457))*$D696),0)*Q$453</f>
        <v>0</v>
      </c>
      <c r="R696">
        <f>IF(R$455&gt;=$C696,MIN(-(SUM($F696:Q696)-$E696),($E696*(1-$D$457))*$D696),0)*R$453</f>
        <v>0</v>
      </c>
      <c r="S696">
        <f>IF(S$455&gt;=$C696,MIN(-(SUM($F696:R696)-$E696),($E696*(1-$D$457))*$D696),0)*S$453</f>
        <v>0</v>
      </c>
      <c r="T696">
        <f>IF(T$455&gt;=$C696,MIN(-(SUM($F696:S696)-$E696),($E696*(1-$D$457))*$D696),0)*T$453</f>
        <v>0</v>
      </c>
      <c r="U696">
        <f>IF(U$455&gt;=$C696,MIN(-(SUM($F696:T696)-$E696),($E696*(1-$D$457))*$D696),0)*U$453</f>
        <v>0</v>
      </c>
      <c r="V696">
        <f>IF(V$455&gt;=$C696,MIN(-(SUM($F696:U696)-$E696),($E696*(1-$D$457))*$D696),0)*V$453</f>
        <v>0</v>
      </c>
      <c r="W696">
        <f>IF(W$455&gt;=$C696,MIN(-(SUM($F696:V696)-$E696),($E696*(1-$D$457))*$D696),0)*W$453</f>
        <v>0</v>
      </c>
      <c r="X696">
        <f>IF(X$455&gt;=$C696,MIN(-(SUM($F696:W696)-$E696),($E696*(1-$D$457))*$D696),0)*X$453</f>
        <v>0</v>
      </c>
      <c r="Y696">
        <f>IF(Y$455&gt;=$C696,MIN(-(SUM($F696:X696)-$E696),($E696*(1-$D$457))*$D696),0)*Y$453</f>
        <v>0</v>
      </c>
      <c r="Z696">
        <f>IF(Z$455&gt;=$C696,MIN(-(SUM($F696:Y696)-$E696),($E696*(1-$D$457))*$D696),0)*Z$453</f>
        <v>0</v>
      </c>
      <c r="AA696">
        <f>IF(AA$455&gt;=$C696,MIN(-(SUM($F696:Z696)-$E696),($E696*(1-$D$457))*$D696),0)*AA$453</f>
        <v>0</v>
      </c>
      <c r="AB696">
        <f>IF(AB$455&gt;=$C696,MIN(-(SUM($F696:AA696)-$E696),($E696*(1-$D$457))*$D696),0)*AB$453</f>
        <v>0</v>
      </c>
      <c r="AC696">
        <f>IF(AC$455&gt;=$C696,MIN(-(SUM($F696:AB696)-$E696),($E696*(1-$D$457))*$D696),0)*AC$453</f>
        <v>0</v>
      </c>
      <c r="AD696">
        <f>IF(AD$455&gt;=$C696,MIN(-(SUM($F696:AC696)-$E696),($E696*(1-$D$457))*$D696),0)*AD$453</f>
        <v>0</v>
      </c>
      <c r="AE696">
        <f>IF(AE$455&gt;=$C696,MIN(-(SUM($F696:AD696)-$E696),($E696*(1-$D$457))*$D696),0)*AE$453</f>
        <v>0</v>
      </c>
      <c r="AF696">
        <f>IF(AF$455&gt;=$C696,MIN(-(SUM($F696:AE696)-$E696),($E696*(1-$D$457))*$D696),0)*AF$453</f>
        <v>0</v>
      </c>
      <c r="AG696">
        <f>IF(AG$455&gt;=$C696,MIN(-(SUM($F696:AF696)-$E696),($E696*(1-$D$457))*$D696),0)*AG$453</f>
        <v>0</v>
      </c>
      <c r="AH696">
        <f>IF(AH$455&gt;=$C696,MIN(-(SUM($F696:AG696)-$E696),($E696*(1-$D$457))*$D696),0)*AH$453</f>
        <v>0</v>
      </c>
      <c r="AI696">
        <f>IF(AI$455&gt;=$C696,MIN(-(SUM($F696:AH696)-$E696),($E696*(1-$D$457))*$D696),0)*AI$453</f>
        <v>0</v>
      </c>
      <c r="AJ696">
        <f>IF(AJ$455&gt;=$C696,MIN(-(SUM($F696:AI696)-$E696),($E696*(1-$D$457))*$D696),0)*AJ$453</f>
        <v>0</v>
      </c>
      <c r="AK696">
        <f>IF(AK$455&gt;=$C696,MIN(-(SUM($F696:AJ696)-$E696),($E696*(1-$D$457))*$D696),0)*AK$453</f>
        <v>0</v>
      </c>
      <c r="AL696">
        <f>IF(AL$455&gt;=$C696,MIN(-(SUM($F696:AK696)-$E696),($E696*(1-$D$457))*$D696),0)*AL$453</f>
        <v>0</v>
      </c>
      <c r="AM696">
        <f>IF(AM$455&gt;=$C696,MIN(-(SUM($F696:AL696)-$E696),($E696*(1-$D$457))*$D696),0)*AM$453</f>
        <v>0</v>
      </c>
      <c r="AN696">
        <f>IF(AN$455&gt;=$C696,MIN(-(SUM($F696:AM696)-$E696),($E696*(1-$D$457))*$D696),0)*AN$453</f>
        <v>0</v>
      </c>
    </row>
    <row r="697" spans="3:40" outlineLevel="4">
      <c r="C697">
        <v>13</v>
      </c>
      <c r="D697">
        <f>Inputs!$D$259</f>
        <v>0.1</v>
      </c>
      <c r="E697">
        <v>0</v>
      </c>
      <c r="F697" s="461">
        <f>E697*D682</f>
        <v>0</v>
      </c>
      <c r="G697">
        <f>IF(G$455&gt;=$C697,MIN(-(SUM(F697:$F697)-$E697),($E697*(1-$D$457))*$D697),0)*G$453</f>
        <v>0</v>
      </c>
      <c r="H697">
        <f>IF(H$455&gt;=$C697,MIN(-(SUM($F697:G697)-$E697),($E697*(1-$D$457))*$D697),0)*H$453</f>
        <v>0</v>
      </c>
      <c r="I697">
        <f>IF(I$455&gt;=$C697,MIN(-(SUM($F697:H697)-$E697),($E697*(1-$D$457))*$D697),0)*I$453</f>
        <v>0</v>
      </c>
      <c r="J697">
        <f>IF(J$455&gt;=$C697,MIN(-(SUM($F697:I697)-$E697),($E697*(1-$D$457))*$D697),0)*J$453</f>
        <v>0</v>
      </c>
      <c r="K697">
        <f>IF(K$455&gt;=$C697,MIN(-(SUM($F697:J697)-$E697),($E697*(1-$D$457))*$D697),0)*K$453</f>
        <v>0</v>
      </c>
      <c r="L697">
        <f>IF(L$455&gt;=$C697,MIN(-(SUM($F697:K697)-$E697),($E697*(1-$D$457))*$D697),0)*L$453</f>
        <v>0</v>
      </c>
      <c r="M697">
        <f>IF(M$455&gt;=$C697,MIN(-(SUM($F697:L697)-$E697),($E697*(1-$D$457))*$D697),0)*M$453</f>
        <v>0</v>
      </c>
      <c r="N697">
        <f>IF(N$455&gt;=$C697,MIN(-(SUM($F697:M697)-$E697),($E697*(1-$D$457))*$D697),0)*N$453</f>
        <v>0</v>
      </c>
      <c r="O697">
        <f>IF(O$455&gt;=$C697,MIN(-(SUM($F697:N697)-$E697),($E697*(1-$D$457))*$D697),0)*O$453</f>
        <v>0</v>
      </c>
      <c r="P697">
        <f>IF(P$455&gt;=$C697,MIN(-(SUM($F697:O697)-$E697),($E697*(1-$D$457))*$D697),0)*P$453</f>
        <v>0</v>
      </c>
      <c r="Q697">
        <f>IF(Q$455&gt;=$C697,MIN(-(SUM($F697:P697)-$E697),($E697*(1-$D$457))*$D697),0)*Q$453</f>
        <v>0</v>
      </c>
      <c r="R697">
        <f>IF(R$455&gt;=$C697,MIN(-(SUM($F697:Q697)-$E697),($E697*(1-$D$457))*$D697),0)*R$453</f>
        <v>0</v>
      </c>
      <c r="S697">
        <f>IF(S$455&gt;=$C697,MIN(-(SUM($F697:R697)-$E697),($E697*(1-$D$457))*$D697),0)*S$453</f>
        <v>0</v>
      </c>
      <c r="T697">
        <f>IF(T$455&gt;=$C697,MIN(-(SUM($F697:S697)-$E697),($E697*(1-$D$457))*$D697),0)*T$453</f>
        <v>0</v>
      </c>
      <c r="U697">
        <f>IF(U$455&gt;=$C697,MIN(-(SUM($F697:T697)-$E697),($E697*(1-$D$457))*$D697),0)*U$453</f>
        <v>0</v>
      </c>
      <c r="V697">
        <f>IF(V$455&gt;=$C697,MIN(-(SUM($F697:U697)-$E697),($E697*(1-$D$457))*$D697),0)*V$453</f>
        <v>0</v>
      </c>
      <c r="W697">
        <f>IF(W$455&gt;=$C697,MIN(-(SUM($F697:V697)-$E697),($E697*(1-$D$457))*$D697),0)*W$453</f>
        <v>0</v>
      </c>
      <c r="X697">
        <f>IF(X$455&gt;=$C697,MIN(-(SUM($F697:W697)-$E697),($E697*(1-$D$457))*$D697),0)*X$453</f>
        <v>0</v>
      </c>
      <c r="Y697">
        <f>IF(Y$455&gt;=$C697,MIN(-(SUM($F697:X697)-$E697),($E697*(1-$D$457))*$D697),0)*Y$453</f>
        <v>0</v>
      </c>
      <c r="Z697">
        <f>IF(Z$455&gt;=$C697,MIN(-(SUM($F697:Y697)-$E697),($E697*(1-$D$457))*$D697),0)*Z$453</f>
        <v>0</v>
      </c>
      <c r="AA697">
        <f>IF(AA$455&gt;=$C697,MIN(-(SUM($F697:Z697)-$E697),($E697*(1-$D$457))*$D697),0)*AA$453</f>
        <v>0</v>
      </c>
      <c r="AB697">
        <f>IF(AB$455&gt;=$C697,MIN(-(SUM($F697:AA697)-$E697),($E697*(1-$D$457))*$D697),0)*AB$453</f>
        <v>0</v>
      </c>
      <c r="AC697">
        <f>IF(AC$455&gt;=$C697,MIN(-(SUM($F697:AB697)-$E697),($E697*(1-$D$457))*$D697),0)*AC$453</f>
        <v>0</v>
      </c>
      <c r="AD697">
        <f>IF(AD$455&gt;=$C697,MIN(-(SUM($F697:AC697)-$E697),($E697*(1-$D$457))*$D697),0)*AD$453</f>
        <v>0</v>
      </c>
      <c r="AE697">
        <f>IF(AE$455&gt;=$C697,MIN(-(SUM($F697:AD697)-$E697),($E697*(1-$D$457))*$D697),0)*AE$453</f>
        <v>0</v>
      </c>
      <c r="AF697">
        <f>IF(AF$455&gt;=$C697,MIN(-(SUM($F697:AE697)-$E697),($E697*(1-$D$457))*$D697),0)*AF$453</f>
        <v>0</v>
      </c>
      <c r="AG697">
        <f>IF(AG$455&gt;=$C697,MIN(-(SUM($F697:AF697)-$E697),($E697*(1-$D$457))*$D697),0)*AG$453</f>
        <v>0</v>
      </c>
      <c r="AH697">
        <f>IF(AH$455&gt;=$C697,MIN(-(SUM($F697:AG697)-$E697),($E697*(1-$D$457))*$D697),0)*AH$453</f>
        <v>0</v>
      </c>
      <c r="AI697">
        <f>IF(AI$455&gt;=$C697,MIN(-(SUM($F697:AH697)-$E697),($E697*(1-$D$457))*$D697),0)*AI$453</f>
        <v>0</v>
      </c>
      <c r="AJ697">
        <f>IF(AJ$455&gt;=$C697,MIN(-(SUM($F697:AI697)-$E697),($E697*(1-$D$457))*$D697),0)*AJ$453</f>
        <v>0</v>
      </c>
      <c r="AK697">
        <f>IF(AK$455&gt;=$C697,MIN(-(SUM($F697:AJ697)-$E697),($E697*(1-$D$457))*$D697),0)*AK$453</f>
        <v>0</v>
      </c>
      <c r="AL697">
        <f>IF(AL$455&gt;=$C697,MIN(-(SUM($F697:AK697)-$E697),($E697*(1-$D$457))*$D697),0)*AL$453</f>
        <v>0</v>
      </c>
      <c r="AM697">
        <f>IF(AM$455&gt;=$C697,MIN(-(SUM($F697:AL697)-$E697),($E697*(1-$D$457))*$D697),0)*AM$453</f>
        <v>0</v>
      </c>
      <c r="AN697">
        <f>IF(AN$455&gt;=$C697,MIN(-(SUM($F697:AM697)-$E697),($E697*(1-$D$457))*$D697),0)*AN$453</f>
        <v>0</v>
      </c>
    </row>
    <row r="698" spans="3:40" outlineLevel="4">
      <c r="C698">
        <v>14</v>
      </c>
      <c r="D698">
        <f>Inputs!$D$259</f>
        <v>0.1</v>
      </c>
      <c r="E698">
        <v>0</v>
      </c>
      <c r="F698" s="461">
        <f>E698*D682</f>
        <v>0</v>
      </c>
      <c r="G698">
        <f>IF(G$455&gt;=$C698,MIN(-(SUM(F698:$F698)-$E698),($E698*(1-$D$457))*$D698),0)*G$453</f>
        <v>0</v>
      </c>
      <c r="H698">
        <f>IF(H$455&gt;=$C698,MIN(-(SUM($F698:G698)-$E698),($E698*(1-$D$457))*$D698),0)*H$453</f>
        <v>0</v>
      </c>
      <c r="I698">
        <f>IF(I$455&gt;=$C698,MIN(-(SUM($F698:H698)-$E698),($E698*(1-$D$457))*$D698),0)*I$453</f>
        <v>0</v>
      </c>
      <c r="J698">
        <f>IF(J$455&gt;=$C698,MIN(-(SUM($F698:I698)-$E698),($E698*(1-$D$457))*$D698),0)*J$453</f>
        <v>0</v>
      </c>
      <c r="K698">
        <f>IF(K$455&gt;=$C698,MIN(-(SUM($F698:J698)-$E698),($E698*(1-$D$457))*$D698),0)*K$453</f>
        <v>0</v>
      </c>
      <c r="L698">
        <f>IF(L$455&gt;=$C698,MIN(-(SUM($F698:K698)-$E698),($E698*(1-$D$457))*$D698),0)*L$453</f>
        <v>0</v>
      </c>
      <c r="M698">
        <f>IF(M$455&gt;=$C698,MIN(-(SUM($F698:L698)-$E698),($E698*(1-$D$457))*$D698),0)*M$453</f>
        <v>0</v>
      </c>
      <c r="N698">
        <f>IF(N$455&gt;=$C698,MIN(-(SUM($F698:M698)-$E698),($E698*(1-$D$457))*$D698),0)*N$453</f>
        <v>0</v>
      </c>
      <c r="O698">
        <f>IF(O$455&gt;=$C698,MIN(-(SUM($F698:N698)-$E698),($E698*(1-$D$457))*$D698),0)*O$453</f>
        <v>0</v>
      </c>
      <c r="P698">
        <f>IF(P$455&gt;=$C698,MIN(-(SUM($F698:O698)-$E698),($E698*(1-$D$457))*$D698),0)*P$453</f>
        <v>0</v>
      </c>
      <c r="Q698">
        <f>IF(Q$455&gt;=$C698,MIN(-(SUM($F698:P698)-$E698),($E698*(1-$D$457))*$D698),0)*Q$453</f>
        <v>0</v>
      </c>
      <c r="R698">
        <f>IF(R$455&gt;=$C698,MIN(-(SUM($F698:Q698)-$E698),($E698*(1-$D$457))*$D698),0)*R$453</f>
        <v>0</v>
      </c>
      <c r="S698">
        <f>IF(S$455&gt;=$C698,MIN(-(SUM($F698:R698)-$E698),($E698*(1-$D$457))*$D698),0)*S$453</f>
        <v>0</v>
      </c>
      <c r="T698">
        <f>IF(T$455&gt;=$C698,MIN(-(SUM($F698:S698)-$E698),($E698*(1-$D$457))*$D698),0)*T$453</f>
        <v>0</v>
      </c>
      <c r="U698">
        <f>IF(U$455&gt;=$C698,MIN(-(SUM($F698:T698)-$E698),($E698*(1-$D$457))*$D698),0)*U$453</f>
        <v>0</v>
      </c>
      <c r="V698">
        <f>IF(V$455&gt;=$C698,MIN(-(SUM($F698:U698)-$E698),($E698*(1-$D$457))*$D698),0)*V$453</f>
        <v>0</v>
      </c>
      <c r="W698">
        <f>IF(W$455&gt;=$C698,MIN(-(SUM($F698:V698)-$E698),($E698*(1-$D$457))*$D698),0)*W$453</f>
        <v>0</v>
      </c>
      <c r="X698">
        <f>IF(X$455&gt;=$C698,MIN(-(SUM($F698:W698)-$E698),($E698*(1-$D$457))*$D698),0)*X$453</f>
        <v>0</v>
      </c>
      <c r="Y698">
        <f>IF(Y$455&gt;=$C698,MIN(-(SUM($F698:X698)-$E698),($E698*(1-$D$457))*$D698),0)*Y$453</f>
        <v>0</v>
      </c>
      <c r="Z698">
        <f>IF(Z$455&gt;=$C698,MIN(-(SUM($F698:Y698)-$E698),($E698*(1-$D$457))*$D698),0)*Z$453</f>
        <v>0</v>
      </c>
      <c r="AA698">
        <f>IF(AA$455&gt;=$C698,MIN(-(SUM($F698:Z698)-$E698),($E698*(1-$D$457))*$D698),0)*AA$453</f>
        <v>0</v>
      </c>
      <c r="AB698">
        <f>IF(AB$455&gt;=$C698,MIN(-(SUM($F698:AA698)-$E698),($E698*(1-$D$457))*$D698),0)*AB$453</f>
        <v>0</v>
      </c>
      <c r="AC698">
        <f>IF(AC$455&gt;=$C698,MIN(-(SUM($F698:AB698)-$E698),($E698*(1-$D$457))*$D698),0)*AC$453</f>
        <v>0</v>
      </c>
      <c r="AD698">
        <f>IF(AD$455&gt;=$C698,MIN(-(SUM($F698:AC698)-$E698),($E698*(1-$D$457))*$D698),0)*AD$453</f>
        <v>0</v>
      </c>
      <c r="AE698">
        <f>IF(AE$455&gt;=$C698,MIN(-(SUM($F698:AD698)-$E698),($E698*(1-$D$457))*$D698),0)*AE$453</f>
        <v>0</v>
      </c>
      <c r="AF698">
        <f>IF(AF$455&gt;=$C698,MIN(-(SUM($F698:AE698)-$E698),($E698*(1-$D$457))*$D698),0)*AF$453</f>
        <v>0</v>
      </c>
      <c r="AG698">
        <f>IF(AG$455&gt;=$C698,MIN(-(SUM($F698:AF698)-$E698),($E698*(1-$D$457))*$D698),0)*AG$453</f>
        <v>0</v>
      </c>
      <c r="AH698">
        <f>IF(AH$455&gt;=$C698,MIN(-(SUM($F698:AG698)-$E698),($E698*(1-$D$457))*$D698),0)*AH$453</f>
        <v>0</v>
      </c>
      <c r="AI698">
        <f>IF(AI$455&gt;=$C698,MIN(-(SUM($F698:AH698)-$E698),($E698*(1-$D$457))*$D698),0)*AI$453</f>
        <v>0</v>
      </c>
      <c r="AJ698">
        <f>IF(AJ$455&gt;=$C698,MIN(-(SUM($F698:AI698)-$E698),($E698*(1-$D$457))*$D698),0)*AJ$453</f>
        <v>0</v>
      </c>
      <c r="AK698">
        <f>IF(AK$455&gt;=$C698,MIN(-(SUM($F698:AJ698)-$E698),($E698*(1-$D$457))*$D698),0)*AK$453</f>
        <v>0</v>
      </c>
      <c r="AL698">
        <f>IF(AL$455&gt;=$C698,MIN(-(SUM($F698:AK698)-$E698),($E698*(1-$D$457))*$D698),0)*AL$453</f>
        <v>0</v>
      </c>
      <c r="AM698">
        <f>IF(AM$455&gt;=$C698,MIN(-(SUM($F698:AL698)-$E698),($E698*(1-$D$457))*$D698),0)*AM$453</f>
        <v>0</v>
      </c>
      <c r="AN698">
        <f>IF(AN$455&gt;=$C698,MIN(-(SUM($F698:AM698)-$E698),($E698*(1-$D$457))*$D698),0)*AN$453</f>
        <v>0</v>
      </c>
    </row>
    <row r="699" spans="3:40" outlineLevel="4">
      <c r="C699">
        <v>15</v>
      </c>
      <c r="D699">
        <f>Inputs!$D$259</f>
        <v>0.1</v>
      </c>
      <c r="E699">
        <v>0</v>
      </c>
      <c r="F699" s="461">
        <f>E699*D682</f>
        <v>0</v>
      </c>
      <c r="G699">
        <f>IF(G$455&gt;=$C699,MIN(-(SUM(F699:$F699)-$E699),($E699*(1-$D$457))*$D699),0)*G$453</f>
        <v>0</v>
      </c>
      <c r="H699">
        <f>IF(H$455&gt;=$C699,MIN(-(SUM($F699:G699)-$E699),($E699*(1-$D$457))*$D699),0)*H$453</f>
        <v>0</v>
      </c>
      <c r="I699">
        <f>IF(I$455&gt;=$C699,MIN(-(SUM($F699:H699)-$E699),($E699*(1-$D$457))*$D699),0)*I$453</f>
        <v>0</v>
      </c>
      <c r="J699">
        <f>IF(J$455&gt;=$C699,MIN(-(SUM($F699:I699)-$E699),($E699*(1-$D$457))*$D699),0)*J$453</f>
        <v>0</v>
      </c>
      <c r="K699">
        <f>IF(K$455&gt;=$C699,MIN(-(SUM($F699:J699)-$E699),($E699*(1-$D$457))*$D699),0)*K$453</f>
        <v>0</v>
      </c>
      <c r="L699">
        <f>IF(L$455&gt;=$C699,MIN(-(SUM($F699:K699)-$E699),($E699*(1-$D$457))*$D699),0)*L$453</f>
        <v>0</v>
      </c>
      <c r="M699">
        <f>IF(M$455&gt;=$C699,MIN(-(SUM($F699:L699)-$E699),($E699*(1-$D$457))*$D699),0)*M$453</f>
        <v>0</v>
      </c>
      <c r="N699">
        <f>IF(N$455&gt;=$C699,MIN(-(SUM($F699:M699)-$E699),($E699*(1-$D$457))*$D699),0)*N$453</f>
        <v>0</v>
      </c>
      <c r="O699">
        <f>IF(O$455&gt;=$C699,MIN(-(SUM($F699:N699)-$E699),($E699*(1-$D$457))*$D699),0)*O$453</f>
        <v>0</v>
      </c>
      <c r="P699">
        <f>IF(P$455&gt;=$C699,MIN(-(SUM($F699:O699)-$E699),($E699*(1-$D$457))*$D699),0)*P$453</f>
        <v>0</v>
      </c>
      <c r="Q699">
        <f>IF(Q$455&gt;=$C699,MIN(-(SUM($F699:P699)-$E699),($E699*(1-$D$457))*$D699),0)*Q$453</f>
        <v>0</v>
      </c>
      <c r="R699">
        <f>IF(R$455&gt;=$C699,MIN(-(SUM($F699:Q699)-$E699),($E699*(1-$D$457))*$D699),0)*R$453</f>
        <v>0</v>
      </c>
      <c r="S699">
        <f>IF(S$455&gt;=$C699,MIN(-(SUM($F699:R699)-$E699),($E699*(1-$D$457))*$D699),0)*S$453</f>
        <v>0</v>
      </c>
      <c r="T699">
        <f>IF(T$455&gt;=$C699,MIN(-(SUM($F699:S699)-$E699),($E699*(1-$D$457))*$D699),0)*T$453</f>
        <v>0</v>
      </c>
      <c r="U699">
        <f>IF(U$455&gt;=$C699,MIN(-(SUM($F699:T699)-$E699),($E699*(1-$D$457))*$D699),0)*U$453</f>
        <v>0</v>
      </c>
      <c r="V699">
        <f>IF(V$455&gt;=$C699,MIN(-(SUM($F699:U699)-$E699),($E699*(1-$D$457))*$D699),0)*V$453</f>
        <v>0</v>
      </c>
      <c r="W699">
        <f>IF(W$455&gt;=$C699,MIN(-(SUM($F699:V699)-$E699),($E699*(1-$D$457))*$D699),0)*W$453</f>
        <v>0</v>
      </c>
      <c r="X699">
        <f>IF(X$455&gt;=$C699,MIN(-(SUM($F699:W699)-$E699),($E699*(1-$D$457))*$D699),0)*X$453</f>
        <v>0</v>
      </c>
      <c r="Y699">
        <f>IF(Y$455&gt;=$C699,MIN(-(SUM($F699:X699)-$E699),($E699*(1-$D$457))*$D699),0)*Y$453</f>
        <v>0</v>
      </c>
      <c r="Z699">
        <f>IF(Z$455&gt;=$C699,MIN(-(SUM($F699:Y699)-$E699),($E699*(1-$D$457))*$D699),0)*Z$453</f>
        <v>0</v>
      </c>
      <c r="AA699">
        <f>IF(AA$455&gt;=$C699,MIN(-(SUM($F699:Z699)-$E699),($E699*(1-$D$457))*$D699),0)*AA$453</f>
        <v>0</v>
      </c>
      <c r="AB699">
        <f>IF(AB$455&gt;=$C699,MIN(-(SUM($F699:AA699)-$E699),($E699*(1-$D$457))*$D699),0)*AB$453</f>
        <v>0</v>
      </c>
      <c r="AC699">
        <f>IF(AC$455&gt;=$C699,MIN(-(SUM($F699:AB699)-$E699),($E699*(1-$D$457))*$D699),0)*AC$453</f>
        <v>0</v>
      </c>
      <c r="AD699">
        <f>IF(AD$455&gt;=$C699,MIN(-(SUM($F699:AC699)-$E699),($E699*(1-$D$457))*$D699),0)*AD$453</f>
        <v>0</v>
      </c>
      <c r="AE699">
        <f>IF(AE$455&gt;=$C699,MIN(-(SUM($F699:AD699)-$E699),($E699*(1-$D$457))*$D699),0)*AE$453</f>
        <v>0</v>
      </c>
      <c r="AF699">
        <f>IF(AF$455&gt;=$C699,MIN(-(SUM($F699:AE699)-$E699),($E699*(1-$D$457))*$D699),0)*AF$453</f>
        <v>0</v>
      </c>
      <c r="AG699">
        <f>IF(AG$455&gt;=$C699,MIN(-(SUM($F699:AF699)-$E699),($E699*(1-$D$457))*$D699),0)*AG$453</f>
        <v>0</v>
      </c>
      <c r="AH699">
        <f>IF(AH$455&gt;=$C699,MIN(-(SUM($F699:AG699)-$E699),($E699*(1-$D$457))*$D699),0)*AH$453</f>
        <v>0</v>
      </c>
      <c r="AI699">
        <f>IF(AI$455&gt;=$C699,MIN(-(SUM($F699:AH699)-$E699),($E699*(1-$D$457))*$D699),0)*AI$453</f>
        <v>0</v>
      </c>
      <c r="AJ699">
        <f>IF(AJ$455&gt;=$C699,MIN(-(SUM($F699:AI699)-$E699),($E699*(1-$D$457))*$D699),0)*AJ$453</f>
        <v>0</v>
      </c>
      <c r="AK699">
        <f>IF(AK$455&gt;=$C699,MIN(-(SUM($F699:AJ699)-$E699),($E699*(1-$D$457))*$D699),0)*AK$453</f>
        <v>0</v>
      </c>
      <c r="AL699">
        <f>IF(AL$455&gt;=$C699,MIN(-(SUM($F699:AK699)-$E699),($E699*(1-$D$457))*$D699),0)*AL$453</f>
        <v>0</v>
      </c>
      <c r="AM699">
        <f>IF(AM$455&gt;=$C699,MIN(-(SUM($F699:AL699)-$E699),($E699*(1-$D$457))*$D699),0)*AM$453</f>
        <v>0</v>
      </c>
      <c r="AN699">
        <f>IF(AN$455&gt;=$C699,MIN(-(SUM($F699:AM699)-$E699),($E699*(1-$D$457))*$D699),0)*AN$453</f>
        <v>0</v>
      </c>
    </row>
    <row r="700" spans="3:40" outlineLevel="4">
      <c r="C700">
        <v>16</v>
      </c>
      <c r="D700">
        <f>Inputs!$D$259</f>
        <v>0.1</v>
      </c>
      <c r="E700">
        <v>0</v>
      </c>
      <c r="F700" s="461">
        <f>E700*D682</f>
        <v>0</v>
      </c>
      <c r="G700">
        <f>IF(G$455&gt;=$C700,MIN(-(SUM(F700:$F700)-$E700),($E700*(1-$D$457))*$D700),0)*G$453</f>
        <v>0</v>
      </c>
      <c r="H700">
        <f>IF(H$455&gt;=$C700,MIN(-(SUM($F700:G700)-$E700),($E700*(1-$D$457))*$D700),0)*H$453</f>
        <v>0</v>
      </c>
      <c r="I700">
        <f>IF(I$455&gt;=$C700,MIN(-(SUM($F700:H700)-$E700),($E700*(1-$D$457))*$D700),0)*I$453</f>
        <v>0</v>
      </c>
      <c r="J700">
        <f>IF(J$455&gt;=$C700,MIN(-(SUM($F700:I700)-$E700),($E700*(1-$D$457))*$D700),0)*J$453</f>
        <v>0</v>
      </c>
      <c r="K700">
        <f>IF(K$455&gt;=$C700,MIN(-(SUM($F700:J700)-$E700),($E700*(1-$D$457))*$D700),0)*K$453</f>
        <v>0</v>
      </c>
      <c r="L700">
        <f>IF(L$455&gt;=$C700,MIN(-(SUM($F700:K700)-$E700),($E700*(1-$D$457))*$D700),0)*L$453</f>
        <v>0</v>
      </c>
      <c r="M700">
        <f>IF(M$455&gt;=$C700,MIN(-(SUM($F700:L700)-$E700),($E700*(1-$D$457))*$D700),0)*M$453</f>
        <v>0</v>
      </c>
      <c r="N700">
        <f>IF(N$455&gt;=$C700,MIN(-(SUM($F700:M700)-$E700),($E700*(1-$D$457))*$D700),0)*N$453</f>
        <v>0</v>
      </c>
      <c r="O700">
        <f>IF(O$455&gt;=$C700,MIN(-(SUM($F700:N700)-$E700),($E700*(1-$D$457))*$D700),0)*O$453</f>
        <v>0</v>
      </c>
      <c r="P700">
        <f>IF(P$455&gt;=$C700,MIN(-(SUM($F700:O700)-$E700),($E700*(1-$D$457))*$D700),0)*P$453</f>
        <v>0</v>
      </c>
      <c r="Q700">
        <f>IF(Q$455&gt;=$C700,MIN(-(SUM($F700:P700)-$E700),($E700*(1-$D$457))*$D700),0)*Q$453</f>
        <v>0</v>
      </c>
      <c r="R700">
        <f>IF(R$455&gt;=$C700,MIN(-(SUM($F700:Q700)-$E700),($E700*(1-$D$457))*$D700),0)*R$453</f>
        <v>0</v>
      </c>
      <c r="S700">
        <f>IF(S$455&gt;=$C700,MIN(-(SUM($F700:R700)-$E700),($E700*(1-$D$457))*$D700),0)*S$453</f>
        <v>0</v>
      </c>
      <c r="T700">
        <f>IF(T$455&gt;=$C700,MIN(-(SUM($F700:S700)-$E700),($E700*(1-$D$457))*$D700),0)*T$453</f>
        <v>0</v>
      </c>
      <c r="U700">
        <f>IF(U$455&gt;=$C700,MIN(-(SUM($F700:T700)-$E700),($E700*(1-$D$457))*$D700),0)*U$453</f>
        <v>0</v>
      </c>
      <c r="V700">
        <f>IF(V$455&gt;=$C700,MIN(-(SUM($F700:U700)-$E700),($E700*(1-$D$457))*$D700),0)*V$453</f>
        <v>0</v>
      </c>
      <c r="W700">
        <f>IF(W$455&gt;=$C700,MIN(-(SUM($F700:V700)-$E700),($E700*(1-$D$457))*$D700),0)*W$453</f>
        <v>0</v>
      </c>
      <c r="X700">
        <f>IF(X$455&gt;=$C700,MIN(-(SUM($F700:W700)-$E700),($E700*(1-$D$457))*$D700),0)*X$453</f>
        <v>0</v>
      </c>
      <c r="Y700">
        <f>IF(Y$455&gt;=$C700,MIN(-(SUM($F700:X700)-$E700),($E700*(1-$D$457))*$D700),0)*Y$453</f>
        <v>0</v>
      </c>
      <c r="Z700">
        <f>IF(Z$455&gt;=$C700,MIN(-(SUM($F700:Y700)-$E700),($E700*(1-$D$457))*$D700),0)*Z$453</f>
        <v>0</v>
      </c>
      <c r="AA700">
        <f>IF(AA$455&gt;=$C700,MIN(-(SUM($F700:Z700)-$E700),($E700*(1-$D$457))*$D700),0)*AA$453</f>
        <v>0</v>
      </c>
      <c r="AB700">
        <f>IF(AB$455&gt;=$C700,MIN(-(SUM($F700:AA700)-$E700),($E700*(1-$D$457))*$D700),0)*AB$453</f>
        <v>0</v>
      </c>
      <c r="AC700">
        <f>IF(AC$455&gt;=$C700,MIN(-(SUM($F700:AB700)-$E700),($E700*(1-$D$457))*$D700),0)*AC$453</f>
        <v>0</v>
      </c>
      <c r="AD700">
        <f>IF(AD$455&gt;=$C700,MIN(-(SUM($F700:AC700)-$E700),($E700*(1-$D$457))*$D700),0)*AD$453</f>
        <v>0</v>
      </c>
      <c r="AE700">
        <f>IF(AE$455&gt;=$C700,MIN(-(SUM($F700:AD700)-$E700),($E700*(1-$D$457))*$D700),0)*AE$453</f>
        <v>0</v>
      </c>
      <c r="AF700">
        <f>IF(AF$455&gt;=$C700,MIN(-(SUM($F700:AE700)-$E700),($E700*(1-$D$457))*$D700),0)*AF$453</f>
        <v>0</v>
      </c>
      <c r="AG700">
        <f>IF(AG$455&gt;=$C700,MIN(-(SUM($F700:AF700)-$E700),($E700*(1-$D$457))*$D700),0)*AG$453</f>
        <v>0</v>
      </c>
      <c r="AH700">
        <f>IF(AH$455&gt;=$C700,MIN(-(SUM($F700:AG700)-$E700),($E700*(1-$D$457))*$D700),0)*AH$453</f>
        <v>0</v>
      </c>
      <c r="AI700">
        <f>IF(AI$455&gt;=$C700,MIN(-(SUM($F700:AH700)-$E700),($E700*(1-$D$457))*$D700),0)*AI$453</f>
        <v>0</v>
      </c>
      <c r="AJ700">
        <f>IF(AJ$455&gt;=$C700,MIN(-(SUM($F700:AI700)-$E700),($E700*(1-$D$457))*$D700),0)*AJ$453</f>
        <v>0</v>
      </c>
      <c r="AK700">
        <f>IF(AK$455&gt;=$C700,MIN(-(SUM($F700:AJ700)-$E700),($E700*(1-$D$457))*$D700),0)*AK$453</f>
        <v>0</v>
      </c>
      <c r="AL700">
        <f>IF(AL$455&gt;=$C700,MIN(-(SUM($F700:AK700)-$E700),($E700*(1-$D$457))*$D700),0)*AL$453</f>
        <v>0</v>
      </c>
      <c r="AM700">
        <f>IF(AM$455&gt;=$C700,MIN(-(SUM($F700:AL700)-$E700),($E700*(1-$D$457))*$D700),0)*AM$453</f>
        <v>0</v>
      </c>
      <c r="AN700">
        <f>IF(AN$455&gt;=$C700,MIN(-(SUM($F700:AM700)-$E700),($E700*(1-$D$457))*$D700),0)*AN$453</f>
        <v>0</v>
      </c>
    </row>
    <row r="701" spans="3:40" outlineLevel="4">
      <c r="C701">
        <v>17</v>
      </c>
      <c r="D701">
        <f>Inputs!$D$259</f>
        <v>0.1</v>
      </c>
      <c r="E701">
        <v>0</v>
      </c>
      <c r="F701" s="461">
        <f>E701*D682</f>
        <v>0</v>
      </c>
      <c r="G701">
        <f>IF(G$455&gt;=$C701,MIN(-(SUM(F701:$F701)-$E701),($E701*(1-$D$457))*$D701),0)*G$453</f>
        <v>0</v>
      </c>
      <c r="H701">
        <f>IF(H$455&gt;=$C701,MIN(-(SUM($F701:G701)-$E701),($E701*(1-$D$457))*$D701),0)*H$453</f>
        <v>0</v>
      </c>
      <c r="I701">
        <f>IF(I$455&gt;=$C701,MIN(-(SUM($F701:H701)-$E701),($E701*(1-$D$457))*$D701),0)*I$453</f>
        <v>0</v>
      </c>
      <c r="J701">
        <f>IF(J$455&gt;=$C701,MIN(-(SUM($F701:I701)-$E701),($E701*(1-$D$457))*$D701),0)*J$453</f>
        <v>0</v>
      </c>
      <c r="K701">
        <f>IF(K$455&gt;=$C701,MIN(-(SUM($F701:J701)-$E701),($E701*(1-$D$457))*$D701),0)*K$453</f>
        <v>0</v>
      </c>
      <c r="L701">
        <f>IF(L$455&gt;=$C701,MIN(-(SUM($F701:K701)-$E701),($E701*(1-$D$457))*$D701),0)*L$453</f>
        <v>0</v>
      </c>
      <c r="M701">
        <f>IF(M$455&gt;=$C701,MIN(-(SUM($F701:L701)-$E701),($E701*(1-$D$457))*$D701),0)*M$453</f>
        <v>0</v>
      </c>
      <c r="N701">
        <f>IF(N$455&gt;=$C701,MIN(-(SUM($F701:M701)-$E701),($E701*(1-$D$457))*$D701),0)*N$453</f>
        <v>0</v>
      </c>
      <c r="O701">
        <f>IF(O$455&gt;=$C701,MIN(-(SUM($F701:N701)-$E701),($E701*(1-$D$457))*$D701),0)*O$453</f>
        <v>0</v>
      </c>
      <c r="P701">
        <f>IF(P$455&gt;=$C701,MIN(-(SUM($F701:O701)-$E701),($E701*(1-$D$457))*$D701),0)*P$453</f>
        <v>0</v>
      </c>
      <c r="Q701">
        <f>IF(Q$455&gt;=$C701,MIN(-(SUM($F701:P701)-$E701),($E701*(1-$D$457))*$D701),0)*Q$453</f>
        <v>0</v>
      </c>
      <c r="R701">
        <f>IF(R$455&gt;=$C701,MIN(-(SUM($F701:Q701)-$E701),($E701*(1-$D$457))*$D701),0)*R$453</f>
        <v>0</v>
      </c>
      <c r="S701">
        <f>IF(S$455&gt;=$C701,MIN(-(SUM($F701:R701)-$E701),($E701*(1-$D$457))*$D701),0)*S$453</f>
        <v>0</v>
      </c>
      <c r="T701">
        <f>IF(T$455&gt;=$C701,MIN(-(SUM($F701:S701)-$E701),($E701*(1-$D$457))*$D701),0)*T$453</f>
        <v>0</v>
      </c>
      <c r="U701">
        <f>IF(U$455&gt;=$C701,MIN(-(SUM($F701:T701)-$E701),($E701*(1-$D$457))*$D701),0)*U$453</f>
        <v>0</v>
      </c>
      <c r="V701">
        <f>IF(V$455&gt;=$C701,MIN(-(SUM($F701:U701)-$E701),($E701*(1-$D$457))*$D701),0)*V$453</f>
        <v>0</v>
      </c>
      <c r="W701">
        <f>IF(W$455&gt;=$C701,MIN(-(SUM($F701:V701)-$E701),($E701*(1-$D$457))*$D701),0)*W$453</f>
        <v>0</v>
      </c>
      <c r="X701">
        <f>IF(X$455&gt;=$C701,MIN(-(SUM($F701:W701)-$E701),($E701*(1-$D$457))*$D701),0)*X$453</f>
        <v>0</v>
      </c>
      <c r="Y701">
        <f>IF(Y$455&gt;=$C701,MIN(-(SUM($F701:X701)-$E701),($E701*(1-$D$457))*$D701),0)*Y$453</f>
        <v>0</v>
      </c>
      <c r="Z701">
        <f>IF(Z$455&gt;=$C701,MIN(-(SUM($F701:Y701)-$E701),($E701*(1-$D$457))*$D701),0)*Z$453</f>
        <v>0</v>
      </c>
      <c r="AA701">
        <f>IF(AA$455&gt;=$C701,MIN(-(SUM($F701:Z701)-$E701),($E701*(1-$D$457))*$D701),0)*AA$453</f>
        <v>0</v>
      </c>
      <c r="AB701">
        <f>IF(AB$455&gt;=$C701,MIN(-(SUM($F701:AA701)-$E701),($E701*(1-$D$457))*$D701),0)*AB$453</f>
        <v>0</v>
      </c>
      <c r="AC701">
        <f>IF(AC$455&gt;=$C701,MIN(-(SUM($F701:AB701)-$E701),($E701*(1-$D$457))*$D701),0)*AC$453</f>
        <v>0</v>
      </c>
      <c r="AD701">
        <f>IF(AD$455&gt;=$C701,MIN(-(SUM($F701:AC701)-$E701),($E701*(1-$D$457))*$D701),0)*AD$453</f>
        <v>0</v>
      </c>
      <c r="AE701">
        <f>IF(AE$455&gt;=$C701,MIN(-(SUM($F701:AD701)-$E701),($E701*(1-$D$457))*$D701),0)*AE$453</f>
        <v>0</v>
      </c>
      <c r="AF701">
        <f>IF(AF$455&gt;=$C701,MIN(-(SUM($F701:AE701)-$E701),($E701*(1-$D$457))*$D701),0)*AF$453</f>
        <v>0</v>
      </c>
      <c r="AG701">
        <f>IF(AG$455&gt;=$C701,MIN(-(SUM($F701:AF701)-$E701),($E701*(1-$D$457))*$D701),0)*AG$453</f>
        <v>0</v>
      </c>
      <c r="AH701">
        <f>IF(AH$455&gt;=$C701,MIN(-(SUM($F701:AG701)-$E701),($E701*(1-$D$457))*$D701),0)*AH$453</f>
        <v>0</v>
      </c>
      <c r="AI701">
        <f>IF(AI$455&gt;=$C701,MIN(-(SUM($F701:AH701)-$E701),($E701*(1-$D$457))*$D701),0)*AI$453</f>
        <v>0</v>
      </c>
      <c r="AJ701">
        <f>IF(AJ$455&gt;=$C701,MIN(-(SUM($F701:AI701)-$E701),($E701*(1-$D$457))*$D701),0)*AJ$453</f>
        <v>0</v>
      </c>
      <c r="AK701">
        <f>IF(AK$455&gt;=$C701,MIN(-(SUM($F701:AJ701)-$E701),($E701*(1-$D$457))*$D701),0)*AK$453</f>
        <v>0</v>
      </c>
      <c r="AL701">
        <f>IF(AL$455&gt;=$C701,MIN(-(SUM($F701:AK701)-$E701),($E701*(1-$D$457))*$D701),0)*AL$453</f>
        <v>0</v>
      </c>
      <c r="AM701">
        <f>IF(AM$455&gt;=$C701,MIN(-(SUM($F701:AL701)-$E701),($E701*(1-$D$457))*$D701),0)*AM$453</f>
        <v>0</v>
      </c>
      <c r="AN701">
        <f>IF(AN$455&gt;=$C701,MIN(-(SUM($F701:AM701)-$E701),($E701*(1-$D$457))*$D701),0)*AN$453</f>
        <v>0</v>
      </c>
    </row>
    <row r="702" spans="3:40" outlineLevel="4">
      <c r="C702">
        <v>18</v>
      </c>
      <c r="D702">
        <f>Inputs!$D$259</f>
        <v>0.1</v>
      </c>
      <c r="E702">
        <v>0</v>
      </c>
      <c r="F702" s="461">
        <f>E702*D682</f>
        <v>0</v>
      </c>
      <c r="G702">
        <f>IF(G$455&gt;=$C702,MIN(-(SUM(F702:$F702)-$E702),($E702*(1-$D$457))*$D702),0)*G$453</f>
        <v>0</v>
      </c>
      <c r="H702">
        <f>IF(H$455&gt;=$C702,MIN(-(SUM($F702:G702)-$E702),($E702*(1-$D$457))*$D702),0)*H$453</f>
        <v>0</v>
      </c>
      <c r="I702">
        <f>IF(I$455&gt;=$C702,MIN(-(SUM($F702:H702)-$E702),($E702*(1-$D$457))*$D702),0)*I$453</f>
        <v>0</v>
      </c>
      <c r="J702">
        <f>IF(J$455&gt;=$C702,MIN(-(SUM($F702:I702)-$E702),($E702*(1-$D$457))*$D702),0)*J$453</f>
        <v>0</v>
      </c>
      <c r="K702">
        <f>IF(K$455&gt;=$C702,MIN(-(SUM($F702:J702)-$E702),($E702*(1-$D$457))*$D702),0)*K$453</f>
        <v>0</v>
      </c>
      <c r="L702">
        <f>IF(L$455&gt;=$C702,MIN(-(SUM($F702:K702)-$E702),($E702*(1-$D$457))*$D702),0)*L$453</f>
        <v>0</v>
      </c>
      <c r="M702">
        <f>IF(M$455&gt;=$C702,MIN(-(SUM($F702:L702)-$E702),($E702*(1-$D$457))*$D702),0)*M$453</f>
        <v>0</v>
      </c>
      <c r="N702">
        <f>IF(N$455&gt;=$C702,MIN(-(SUM($F702:M702)-$E702),($E702*(1-$D$457))*$D702),0)*N$453</f>
        <v>0</v>
      </c>
      <c r="O702">
        <f>IF(O$455&gt;=$C702,MIN(-(SUM($F702:N702)-$E702),($E702*(1-$D$457))*$D702),0)*O$453</f>
        <v>0</v>
      </c>
      <c r="P702">
        <f>IF(P$455&gt;=$C702,MIN(-(SUM($F702:O702)-$E702),($E702*(1-$D$457))*$D702),0)*P$453</f>
        <v>0</v>
      </c>
      <c r="Q702">
        <f>IF(Q$455&gt;=$C702,MIN(-(SUM($F702:P702)-$E702),($E702*(1-$D$457))*$D702),0)*Q$453</f>
        <v>0</v>
      </c>
      <c r="R702">
        <f>IF(R$455&gt;=$C702,MIN(-(SUM($F702:Q702)-$E702),($E702*(1-$D$457))*$D702),0)*R$453</f>
        <v>0</v>
      </c>
      <c r="S702">
        <f>IF(S$455&gt;=$C702,MIN(-(SUM($F702:R702)-$E702),($E702*(1-$D$457))*$D702),0)*S$453</f>
        <v>0</v>
      </c>
      <c r="T702">
        <f>IF(T$455&gt;=$C702,MIN(-(SUM($F702:S702)-$E702),($E702*(1-$D$457))*$D702),0)*T$453</f>
        <v>0</v>
      </c>
      <c r="U702">
        <f>IF(U$455&gt;=$C702,MIN(-(SUM($F702:T702)-$E702),($E702*(1-$D$457))*$D702),0)*U$453</f>
        <v>0</v>
      </c>
      <c r="V702">
        <f>IF(V$455&gt;=$C702,MIN(-(SUM($F702:U702)-$E702),($E702*(1-$D$457))*$D702),0)*V$453</f>
        <v>0</v>
      </c>
      <c r="W702">
        <f>IF(W$455&gt;=$C702,MIN(-(SUM($F702:V702)-$E702),($E702*(1-$D$457))*$D702),0)*W$453</f>
        <v>0</v>
      </c>
      <c r="X702">
        <f>IF(X$455&gt;=$C702,MIN(-(SUM($F702:W702)-$E702),($E702*(1-$D$457))*$D702),0)*X$453</f>
        <v>0</v>
      </c>
      <c r="Y702">
        <f>IF(Y$455&gt;=$C702,MIN(-(SUM($F702:X702)-$E702),($E702*(1-$D$457))*$D702),0)*Y$453</f>
        <v>0</v>
      </c>
      <c r="Z702">
        <f>IF(Z$455&gt;=$C702,MIN(-(SUM($F702:Y702)-$E702),($E702*(1-$D$457))*$D702),0)*Z$453</f>
        <v>0</v>
      </c>
      <c r="AA702">
        <f>IF(AA$455&gt;=$C702,MIN(-(SUM($F702:Z702)-$E702),($E702*(1-$D$457))*$D702),0)*AA$453</f>
        <v>0</v>
      </c>
      <c r="AB702">
        <f>IF(AB$455&gt;=$C702,MIN(-(SUM($F702:AA702)-$E702),($E702*(1-$D$457))*$D702),0)*AB$453</f>
        <v>0</v>
      </c>
      <c r="AC702">
        <f>IF(AC$455&gt;=$C702,MIN(-(SUM($F702:AB702)-$E702),($E702*(1-$D$457))*$D702),0)*AC$453</f>
        <v>0</v>
      </c>
      <c r="AD702">
        <f>IF(AD$455&gt;=$C702,MIN(-(SUM($F702:AC702)-$E702),($E702*(1-$D$457))*$D702),0)*AD$453</f>
        <v>0</v>
      </c>
      <c r="AE702">
        <f>IF(AE$455&gt;=$C702,MIN(-(SUM($F702:AD702)-$E702),($E702*(1-$D$457))*$D702),0)*AE$453</f>
        <v>0</v>
      </c>
      <c r="AF702">
        <f>IF(AF$455&gt;=$C702,MIN(-(SUM($F702:AE702)-$E702),($E702*(1-$D$457))*$D702),0)*AF$453</f>
        <v>0</v>
      </c>
      <c r="AG702">
        <f>IF(AG$455&gt;=$C702,MIN(-(SUM($F702:AF702)-$E702),($E702*(1-$D$457))*$D702),0)*AG$453</f>
        <v>0</v>
      </c>
      <c r="AH702">
        <f>IF(AH$455&gt;=$C702,MIN(-(SUM($F702:AG702)-$E702),($E702*(1-$D$457))*$D702),0)*AH$453</f>
        <v>0</v>
      </c>
      <c r="AI702">
        <f>IF(AI$455&gt;=$C702,MIN(-(SUM($F702:AH702)-$E702),($E702*(1-$D$457))*$D702),0)*AI$453</f>
        <v>0</v>
      </c>
      <c r="AJ702">
        <f>IF(AJ$455&gt;=$C702,MIN(-(SUM($F702:AI702)-$E702),($E702*(1-$D$457))*$D702),0)*AJ$453</f>
        <v>0</v>
      </c>
      <c r="AK702">
        <f>IF(AK$455&gt;=$C702,MIN(-(SUM($F702:AJ702)-$E702),($E702*(1-$D$457))*$D702),0)*AK$453</f>
        <v>0</v>
      </c>
      <c r="AL702">
        <f>IF(AL$455&gt;=$C702,MIN(-(SUM($F702:AK702)-$E702),($E702*(1-$D$457))*$D702),0)*AL$453</f>
        <v>0</v>
      </c>
      <c r="AM702">
        <f>IF(AM$455&gt;=$C702,MIN(-(SUM($F702:AL702)-$E702),($E702*(1-$D$457))*$D702),0)*AM$453</f>
        <v>0</v>
      </c>
      <c r="AN702">
        <f>IF(AN$455&gt;=$C702,MIN(-(SUM($F702:AM702)-$E702),($E702*(1-$D$457))*$D702),0)*AN$453</f>
        <v>0</v>
      </c>
    </row>
    <row r="703" spans="3:40" outlineLevel="4">
      <c r="C703">
        <v>19</v>
      </c>
      <c r="D703">
        <f>Inputs!$D$259</f>
        <v>0.1</v>
      </c>
      <c r="E703">
        <v>0</v>
      </c>
      <c r="F703" s="461">
        <f>E703*D682</f>
        <v>0</v>
      </c>
      <c r="G703">
        <f>IF(G$455&gt;=$C703,MIN(-(SUM(F703:$F703)-$E703),($E703*(1-$D$457))*$D703),0)*G$453</f>
        <v>0</v>
      </c>
      <c r="H703">
        <f>IF(H$455&gt;=$C703,MIN(-(SUM($F703:G703)-$E703),($E703*(1-$D$457))*$D703),0)*H$453</f>
        <v>0</v>
      </c>
      <c r="I703">
        <f>IF(I$455&gt;=$C703,MIN(-(SUM($F703:H703)-$E703),($E703*(1-$D$457))*$D703),0)*I$453</f>
        <v>0</v>
      </c>
      <c r="J703">
        <f>IF(J$455&gt;=$C703,MIN(-(SUM($F703:I703)-$E703),($E703*(1-$D$457))*$D703),0)*J$453</f>
        <v>0</v>
      </c>
      <c r="K703">
        <f>IF(K$455&gt;=$C703,MIN(-(SUM($F703:J703)-$E703),($E703*(1-$D$457))*$D703),0)*K$453</f>
        <v>0</v>
      </c>
      <c r="L703">
        <f>IF(L$455&gt;=$C703,MIN(-(SUM($F703:K703)-$E703),($E703*(1-$D$457))*$D703),0)*L$453</f>
        <v>0</v>
      </c>
      <c r="M703">
        <f>IF(M$455&gt;=$C703,MIN(-(SUM($F703:L703)-$E703),($E703*(1-$D$457))*$D703),0)*M$453</f>
        <v>0</v>
      </c>
      <c r="N703">
        <f>IF(N$455&gt;=$C703,MIN(-(SUM($F703:M703)-$E703),($E703*(1-$D$457))*$D703),0)*N$453</f>
        <v>0</v>
      </c>
      <c r="O703">
        <f>IF(O$455&gt;=$C703,MIN(-(SUM($F703:N703)-$E703),($E703*(1-$D$457))*$D703),0)*O$453</f>
        <v>0</v>
      </c>
      <c r="P703">
        <f>IF(P$455&gt;=$C703,MIN(-(SUM($F703:O703)-$E703),($E703*(1-$D$457))*$D703),0)*P$453</f>
        <v>0</v>
      </c>
      <c r="Q703">
        <f>IF(Q$455&gt;=$C703,MIN(-(SUM($F703:P703)-$E703),($E703*(1-$D$457))*$D703),0)*Q$453</f>
        <v>0</v>
      </c>
      <c r="R703">
        <f>IF(R$455&gt;=$C703,MIN(-(SUM($F703:Q703)-$E703),($E703*(1-$D$457))*$D703),0)*R$453</f>
        <v>0</v>
      </c>
      <c r="S703">
        <f>IF(S$455&gt;=$C703,MIN(-(SUM($F703:R703)-$E703),($E703*(1-$D$457))*$D703),0)*S$453</f>
        <v>0</v>
      </c>
      <c r="T703">
        <f>IF(T$455&gt;=$C703,MIN(-(SUM($F703:S703)-$E703),($E703*(1-$D$457))*$D703),0)*T$453</f>
        <v>0</v>
      </c>
      <c r="U703">
        <f>IF(U$455&gt;=$C703,MIN(-(SUM($F703:T703)-$E703),($E703*(1-$D$457))*$D703),0)*U$453</f>
        <v>0</v>
      </c>
      <c r="V703">
        <f>IF(V$455&gt;=$C703,MIN(-(SUM($F703:U703)-$E703),($E703*(1-$D$457))*$D703),0)*V$453</f>
        <v>0</v>
      </c>
      <c r="W703">
        <f>IF(W$455&gt;=$C703,MIN(-(SUM($F703:V703)-$E703),($E703*(1-$D$457))*$D703),0)*W$453</f>
        <v>0</v>
      </c>
      <c r="X703">
        <f>IF(X$455&gt;=$C703,MIN(-(SUM($F703:W703)-$E703),($E703*(1-$D$457))*$D703),0)*X$453</f>
        <v>0</v>
      </c>
      <c r="Y703">
        <f>IF(Y$455&gt;=$C703,MIN(-(SUM($F703:X703)-$E703),($E703*(1-$D$457))*$D703),0)*Y$453</f>
        <v>0</v>
      </c>
      <c r="Z703">
        <f>IF(Z$455&gt;=$C703,MIN(-(SUM($F703:Y703)-$E703),($E703*(1-$D$457))*$D703),0)*Z$453</f>
        <v>0</v>
      </c>
      <c r="AA703">
        <f>IF(AA$455&gt;=$C703,MIN(-(SUM($F703:Z703)-$E703),($E703*(1-$D$457))*$D703),0)*AA$453</f>
        <v>0</v>
      </c>
      <c r="AB703">
        <f>IF(AB$455&gt;=$C703,MIN(-(SUM($F703:AA703)-$E703),($E703*(1-$D$457))*$D703),0)*AB$453</f>
        <v>0</v>
      </c>
      <c r="AC703">
        <f>IF(AC$455&gt;=$C703,MIN(-(SUM($F703:AB703)-$E703),($E703*(1-$D$457))*$D703),0)*AC$453</f>
        <v>0</v>
      </c>
      <c r="AD703">
        <f>IF(AD$455&gt;=$C703,MIN(-(SUM($F703:AC703)-$E703),($E703*(1-$D$457))*$D703),0)*AD$453</f>
        <v>0</v>
      </c>
      <c r="AE703">
        <f>IF(AE$455&gt;=$C703,MIN(-(SUM($F703:AD703)-$E703),($E703*(1-$D$457))*$D703),0)*AE$453</f>
        <v>0</v>
      </c>
      <c r="AF703">
        <f>IF(AF$455&gt;=$C703,MIN(-(SUM($F703:AE703)-$E703),($E703*(1-$D$457))*$D703),0)*AF$453</f>
        <v>0</v>
      </c>
      <c r="AG703">
        <f>IF(AG$455&gt;=$C703,MIN(-(SUM($F703:AF703)-$E703),($E703*(1-$D$457))*$D703),0)*AG$453</f>
        <v>0</v>
      </c>
      <c r="AH703">
        <f>IF(AH$455&gt;=$C703,MIN(-(SUM($F703:AG703)-$E703),($E703*(1-$D$457))*$D703),0)*AH$453</f>
        <v>0</v>
      </c>
      <c r="AI703">
        <f>IF(AI$455&gt;=$C703,MIN(-(SUM($F703:AH703)-$E703),($E703*(1-$D$457))*$D703),0)*AI$453</f>
        <v>0</v>
      </c>
      <c r="AJ703">
        <f>IF(AJ$455&gt;=$C703,MIN(-(SUM($F703:AI703)-$E703),($E703*(1-$D$457))*$D703),0)*AJ$453</f>
        <v>0</v>
      </c>
      <c r="AK703">
        <f>IF(AK$455&gt;=$C703,MIN(-(SUM($F703:AJ703)-$E703),($E703*(1-$D$457))*$D703),0)*AK$453</f>
        <v>0</v>
      </c>
      <c r="AL703">
        <f>IF(AL$455&gt;=$C703,MIN(-(SUM($F703:AK703)-$E703),($E703*(1-$D$457))*$D703),0)*AL$453</f>
        <v>0</v>
      </c>
      <c r="AM703">
        <f>IF(AM$455&gt;=$C703,MIN(-(SUM($F703:AL703)-$E703),($E703*(1-$D$457))*$D703),0)*AM$453</f>
        <v>0</v>
      </c>
      <c r="AN703">
        <f>IF(AN$455&gt;=$C703,MIN(-(SUM($F703:AM703)-$E703),($E703*(1-$D$457))*$D703),0)*AN$453</f>
        <v>0</v>
      </c>
    </row>
    <row r="704" spans="3:40" outlineLevel="4">
      <c r="C704">
        <v>20</v>
      </c>
      <c r="D704">
        <f>Inputs!$D$259</f>
        <v>0.1</v>
      </c>
      <c r="E704">
        <v>0</v>
      </c>
      <c r="F704" s="461">
        <f>E704*D682</f>
        <v>0</v>
      </c>
      <c r="G704">
        <f>IF(G$455&gt;=$C704,MIN(-(SUM(F704:$F704)-$E704),($E704*(1-$D$457))*$D704),0)*G$453</f>
        <v>0</v>
      </c>
      <c r="H704">
        <f>IF(H$455&gt;=$C704,MIN(-(SUM($F704:G704)-$E704),($E704*(1-$D$457))*$D704),0)*H$453</f>
        <v>0</v>
      </c>
      <c r="I704">
        <f>IF(I$455&gt;=$C704,MIN(-(SUM($F704:H704)-$E704),($E704*(1-$D$457))*$D704),0)*I$453</f>
        <v>0</v>
      </c>
      <c r="J704">
        <f>IF(J$455&gt;=$C704,MIN(-(SUM($F704:I704)-$E704),($E704*(1-$D$457))*$D704),0)*J$453</f>
        <v>0</v>
      </c>
      <c r="K704">
        <f>IF(K$455&gt;=$C704,MIN(-(SUM($F704:J704)-$E704),($E704*(1-$D$457))*$D704),0)*K$453</f>
        <v>0</v>
      </c>
      <c r="L704">
        <f>IF(L$455&gt;=$C704,MIN(-(SUM($F704:K704)-$E704),($E704*(1-$D$457))*$D704),0)*L$453</f>
        <v>0</v>
      </c>
      <c r="M704">
        <f>IF(M$455&gt;=$C704,MIN(-(SUM($F704:L704)-$E704),($E704*(1-$D$457))*$D704),0)*M$453</f>
        <v>0</v>
      </c>
      <c r="N704">
        <f>IF(N$455&gt;=$C704,MIN(-(SUM($F704:M704)-$E704),($E704*(1-$D$457))*$D704),0)*N$453</f>
        <v>0</v>
      </c>
      <c r="O704">
        <f>IF(O$455&gt;=$C704,MIN(-(SUM($F704:N704)-$E704),($E704*(1-$D$457))*$D704),0)*O$453</f>
        <v>0</v>
      </c>
      <c r="P704">
        <f>IF(P$455&gt;=$C704,MIN(-(SUM($F704:O704)-$E704),($E704*(1-$D$457))*$D704),0)*P$453</f>
        <v>0</v>
      </c>
      <c r="Q704">
        <f>IF(Q$455&gt;=$C704,MIN(-(SUM($F704:P704)-$E704),($E704*(1-$D$457))*$D704),0)*Q$453</f>
        <v>0</v>
      </c>
      <c r="R704">
        <f>IF(R$455&gt;=$C704,MIN(-(SUM($F704:Q704)-$E704),($E704*(1-$D$457))*$D704),0)*R$453</f>
        <v>0</v>
      </c>
      <c r="S704">
        <f>IF(S$455&gt;=$C704,MIN(-(SUM($F704:R704)-$E704),($E704*(1-$D$457))*$D704),0)*S$453</f>
        <v>0</v>
      </c>
      <c r="T704">
        <f>IF(T$455&gt;=$C704,MIN(-(SUM($F704:S704)-$E704),($E704*(1-$D$457))*$D704),0)*T$453</f>
        <v>0</v>
      </c>
      <c r="U704">
        <f>IF(U$455&gt;=$C704,MIN(-(SUM($F704:T704)-$E704),($E704*(1-$D$457))*$D704),0)*U$453</f>
        <v>0</v>
      </c>
      <c r="V704">
        <f>IF(V$455&gt;=$C704,MIN(-(SUM($F704:U704)-$E704),($E704*(1-$D$457))*$D704),0)*V$453</f>
        <v>0</v>
      </c>
      <c r="W704">
        <f>IF(W$455&gt;=$C704,MIN(-(SUM($F704:V704)-$E704),($E704*(1-$D$457))*$D704),0)*W$453</f>
        <v>0</v>
      </c>
      <c r="X704">
        <f>IF(X$455&gt;=$C704,MIN(-(SUM($F704:W704)-$E704),($E704*(1-$D$457))*$D704),0)*X$453</f>
        <v>0</v>
      </c>
      <c r="Y704">
        <f>IF(Y$455&gt;=$C704,MIN(-(SUM($F704:X704)-$E704),($E704*(1-$D$457))*$D704),0)*Y$453</f>
        <v>0</v>
      </c>
      <c r="Z704">
        <f>IF(Z$455&gt;=$C704,MIN(-(SUM($F704:Y704)-$E704),($E704*(1-$D$457))*$D704),0)*Z$453</f>
        <v>0</v>
      </c>
      <c r="AA704">
        <f>IF(AA$455&gt;=$C704,MIN(-(SUM($F704:Z704)-$E704),($E704*(1-$D$457))*$D704),0)*AA$453</f>
        <v>0</v>
      </c>
      <c r="AB704">
        <f>IF(AB$455&gt;=$C704,MIN(-(SUM($F704:AA704)-$E704),($E704*(1-$D$457))*$D704),0)*AB$453</f>
        <v>0</v>
      </c>
      <c r="AC704">
        <f>IF(AC$455&gt;=$C704,MIN(-(SUM($F704:AB704)-$E704),($E704*(1-$D$457))*$D704),0)*AC$453</f>
        <v>0</v>
      </c>
      <c r="AD704">
        <f>IF(AD$455&gt;=$C704,MIN(-(SUM($F704:AC704)-$E704),($E704*(1-$D$457))*$D704),0)*AD$453</f>
        <v>0</v>
      </c>
      <c r="AE704">
        <f>IF(AE$455&gt;=$C704,MIN(-(SUM($F704:AD704)-$E704),($E704*(1-$D$457))*$D704),0)*AE$453</f>
        <v>0</v>
      </c>
      <c r="AF704">
        <f>IF(AF$455&gt;=$C704,MIN(-(SUM($F704:AE704)-$E704),($E704*(1-$D$457))*$D704),0)*AF$453</f>
        <v>0</v>
      </c>
      <c r="AG704">
        <f>IF(AG$455&gt;=$C704,MIN(-(SUM($F704:AF704)-$E704),($E704*(1-$D$457))*$D704),0)*AG$453</f>
        <v>0</v>
      </c>
      <c r="AH704">
        <f>IF(AH$455&gt;=$C704,MIN(-(SUM($F704:AG704)-$E704),($E704*(1-$D$457))*$D704),0)*AH$453</f>
        <v>0</v>
      </c>
      <c r="AI704">
        <f>IF(AI$455&gt;=$C704,MIN(-(SUM($F704:AH704)-$E704),($E704*(1-$D$457))*$D704),0)*AI$453</f>
        <v>0</v>
      </c>
      <c r="AJ704">
        <f>IF(AJ$455&gt;=$C704,MIN(-(SUM($F704:AI704)-$E704),($E704*(1-$D$457))*$D704),0)*AJ$453</f>
        <v>0</v>
      </c>
      <c r="AK704">
        <f>IF(AK$455&gt;=$C704,MIN(-(SUM($F704:AJ704)-$E704),($E704*(1-$D$457))*$D704),0)*AK$453</f>
        <v>0</v>
      </c>
      <c r="AL704">
        <f>IF(AL$455&gt;=$C704,MIN(-(SUM($F704:AK704)-$E704),($E704*(1-$D$457))*$D704),0)*AL$453</f>
        <v>0</v>
      </c>
      <c r="AM704">
        <f>IF(AM$455&gt;=$C704,MIN(-(SUM($F704:AL704)-$E704),($E704*(1-$D$457))*$D704),0)*AM$453</f>
        <v>0</v>
      </c>
      <c r="AN704">
        <f>IF(AN$455&gt;=$C704,MIN(-(SUM($F704:AM704)-$E704),($E704*(1-$D$457))*$D704),0)*AN$453</f>
        <v>0</v>
      </c>
    </row>
    <row r="705" spans="3:160" outlineLevel="4">
      <c r="C705">
        <v>21</v>
      </c>
      <c r="D705">
        <f>Inputs!$D$259</f>
        <v>0.1</v>
      </c>
      <c r="E705">
        <v>0</v>
      </c>
      <c r="F705" s="461">
        <f>E705*D682</f>
        <v>0</v>
      </c>
      <c r="G705">
        <f>IF(G$455&gt;=$C705,MIN(-(SUM(F705:$F705)-$E705),($E705*(1-$D$457))*$D705),0)*G$453</f>
        <v>0</v>
      </c>
      <c r="H705">
        <f>IF(H$455&gt;=$C705,MIN(-(SUM($F705:G705)-$E705),($E705*(1-$D$457))*$D705),0)*H$453</f>
        <v>0</v>
      </c>
      <c r="I705">
        <f>IF(I$455&gt;=$C705,MIN(-(SUM($F705:H705)-$E705),($E705*(1-$D$457))*$D705),0)*I$453</f>
        <v>0</v>
      </c>
      <c r="J705">
        <f>IF(J$455&gt;=$C705,MIN(-(SUM($F705:I705)-$E705),($E705*(1-$D$457))*$D705),0)*J$453</f>
        <v>0</v>
      </c>
      <c r="K705">
        <f>IF(K$455&gt;=$C705,MIN(-(SUM($F705:J705)-$E705),($E705*(1-$D$457))*$D705),0)*K$453</f>
        <v>0</v>
      </c>
      <c r="L705">
        <f>IF(L$455&gt;=$C705,MIN(-(SUM($F705:K705)-$E705),($E705*(1-$D$457))*$D705),0)*L$453</f>
        <v>0</v>
      </c>
      <c r="M705">
        <f>IF(M$455&gt;=$C705,MIN(-(SUM($F705:L705)-$E705),($E705*(1-$D$457))*$D705),0)*M$453</f>
        <v>0</v>
      </c>
      <c r="N705">
        <f>IF(N$455&gt;=$C705,MIN(-(SUM($F705:M705)-$E705),($E705*(1-$D$457))*$D705),0)*N$453</f>
        <v>0</v>
      </c>
      <c r="O705">
        <f>IF(O$455&gt;=$C705,MIN(-(SUM($F705:N705)-$E705),($E705*(1-$D$457))*$D705),0)*O$453</f>
        <v>0</v>
      </c>
      <c r="P705">
        <f>IF(P$455&gt;=$C705,MIN(-(SUM($F705:O705)-$E705),($E705*(1-$D$457))*$D705),0)*P$453</f>
        <v>0</v>
      </c>
      <c r="Q705">
        <f>IF(Q$455&gt;=$C705,MIN(-(SUM($F705:P705)-$E705),($E705*(1-$D$457))*$D705),0)*Q$453</f>
        <v>0</v>
      </c>
      <c r="R705">
        <f>IF(R$455&gt;=$C705,MIN(-(SUM($F705:Q705)-$E705),($E705*(1-$D$457))*$D705),0)*R$453</f>
        <v>0</v>
      </c>
      <c r="S705">
        <f>IF(S$455&gt;=$C705,MIN(-(SUM($F705:R705)-$E705),($E705*(1-$D$457))*$D705),0)*S$453</f>
        <v>0</v>
      </c>
      <c r="T705">
        <f>IF(T$455&gt;=$C705,MIN(-(SUM($F705:S705)-$E705),($E705*(1-$D$457))*$D705),0)*T$453</f>
        <v>0</v>
      </c>
      <c r="U705">
        <f>IF(U$455&gt;=$C705,MIN(-(SUM($F705:T705)-$E705),($E705*(1-$D$457))*$D705),0)*U$453</f>
        <v>0</v>
      </c>
      <c r="V705">
        <f>IF(V$455&gt;=$C705,MIN(-(SUM($F705:U705)-$E705),($E705*(1-$D$457))*$D705),0)*V$453</f>
        <v>0</v>
      </c>
      <c r="W705">
        <f>IF(W$455&gt;=$C705,MIN(-(SUM($F705:V705)-$E705),($E705*(1-$D$457))*$D705),0)*W$453</f>
        <v>0</v>
      </c>
      <c r="X705">
        <f>IF(X$455&gt;=$C705,MIN(-(SUM($F705:W705)-$E705),($E705*(1-$D$457))*$D705),0)*X$453</f>
        <v>0</v>
      </c>
      <c r="Y705">
        <f>IF(Y$455&gt;=$C705,MIN(-(SUM($F705:X705)-$E705),($E705*(1-$D$457))*$D705),0)*Y$453</f>
        <v>0</v>
      </c>
      <c r="Z705">
        <f>IF(Z$455&gt;=$C705,MIN(-(SUM($F705:Y705)-$E705),($E705*(1-$D$457))*$D705),0)*Z$453</f>
        <v>0</v>
      </c>
      <c r="AA705">
        <f>IF(AA$455&gt;=$C705,MIN(-(SUM($F705:Z705)-$E705),($E705*(1-$D$457))*$D705),0)*AA$453</f>
        <v>0</v>
      </c>
      <c r="AB705">
        <f>IF(AB$455&gt;=$C705,MIN(-(SUM($F705:AA705)-$E705),($E705*(1-$D$457))*$D705),0)*AB$453</f>
        <v>0</v>
      </c>
      <c r="AC705">
        <f>IF(AC$455&gt;=$C705,MIN(-(SUM($F705:AB705)-$E705),($E705*(1-$D$457))*$D705),0)*AC$453</f>
        <v>0</v>
      </c>
      <c r="AD705">
        <f>IF(AD$455&gt;=$C705,MIN(-(SUM($F705:AC705)-$E705),($E705*(1-$D$457))*$D705),0)*AD$453</f>
        <v>0</v>
      </c>
      <c r="AE705">
        <f>IF(AE$455&gt;=$C705,MIN(-(SUM($F705:AD705)-$E705),($E705*(1-$D$457))*$D705),0)*AE$453</f>
        <v>0</v>
      </c>
      <c r="AF705">
        <f>IF(AF$455&gt;=$C705,MIN(-(SUM($F705:AE705)-$E705),($E705*(1-$D$457))*$D705),0)*AF$453</f>
        <v>0</v>
      </c>
      <c r="AG705">
        <f>IF(AG$455&gt;=$C705,MIN(-(SUM($F705:AF705)-$E705),($E705*(1-$D$457))*$D705),0)*AG$453</f>
        <v>0</v>
      </c>
      <c r="AH705">
        <f>IF(AH$455&gt;=$C705,MIN(-(SUM($F705:AG705)-$E705),($E705*(1-$D$457))*$D705),0)*AH$453</f>
        <v>0</v>
      </c>
      <c r="AI705">
        <f>IF(AI$455&gt;=$C705,MIN(-(SUM($F705:AH705)-$E705),($E705*(1-$D$457))*$D705),0)*AI$453</f>
        <v>0</v>
      </c>
      <c r="AJ705">
        <f>IF(AJ$455&gt;=$C705,MIN(-(SUM($F705:AI705)-$E705),($E705*(1-$D$457))*$D705),0)*AJ$453</f>
        <v>0</v>
      </c>
      <c r="AK705">
        <f>IF(AK$455&gt;=$C705,MIN(-(SUM($F705:AJ705)-$E705),($E705*(1-$D$457))*$D705),0)*AK$453</f>
        <v>0</v>
      </c>
      <c r="AL705">
        <f>IF(AL$455&gt;=$C705,MIN(-(SUM($F705:AK705)-$E705),($E705*(1-$D$457))*$D705),0)*AL$453</f>
        <v>0</v>
      </c>
      <c r="AM705">
        <f>IF(AM$455&gt;=$C705,MIN(-(SUM($F705:AL705)-$E705),($E705*(1-$D$457))*$D705),0)*AM$453</f>
        <v>0</v>
      </c>
      <c r="AN705">
        <f>IF(AN$455&gt;=$C705,MIN(-(SUM($F705:AM705)-$E705),($E705*(1-$D$457))*$D705),0)*AN$453</f>
        <v>0</v>
      </c>
    </row>
    <row r="706" spans="3:160" outlineLevel="4">
      <c r="C706">
        <v>22</v>
      </c>
      <c r="D706">
        <f>Inputs!$D$259</f>
        <v>0.1</v>
      </c>
      <c r="E706">
        <v>0</v>
      </c>
      <c r="F706" s="461">
        <f>E706*D682</f>
        <v>0</v>
      </c>
      <c r="G706">
        <f>IF(G$455&gt;=$C706,MIN(-(SUM(F706:$F706)-$E706),($E706*(1-$D$457))*$D706),0)*G$453</f>
        <v>0</v>
      </c>
      <c r="H706">
        <f>IF(H$455&gt;=$C706,MIN(-(SUM($F706:G706)-$E706),($E706*(1-$D$457))*$D706),0)*H$453</f>
        <v>0</v>
      </c>
      <c r="I706">
        <f>IF(I$455&gt;=$C706,MIN(-(SUM($F706:H706)-$E706),($E706*(1-$D$457))*$D706),0)*I$453</f>
        <v>0</v>
      </c>
      <c r="J706">
        <f>IF(J$455&gt;=$C706,MIN(-(SUM($F706:I706)-$E706),($E706*(1-$D$457))*$D706),0)*J$453</f>
        <v>0</v>
      </c>
      <c r="K706">
        <f>IF(K$455&gt;=$C706,MIN(-(SUM($F706:J706)-$E706),($E706*(1-$D$457))*$D706),0)*K$453</f>
        <v>0</v>
      </c>
      <c r="L706">
        <f>IF(L$455&gt;=$C706,MIN(-(SUM($F706:K706)-$E706),($E706*(1-$D$457))*$D706),0)*L$453</f>
        <v>0</v>
      </c>
      <c r="M706">
        <f>IF(M$455&gt;=$C706,MIN(-(SUM($F706:L706)-$E706),($E706*(1-$D$457))*$D706),0)*M$453</f>
        <v>0</v>
      </c>
      <c r="N706">
        <f>IF(N$455&gt;=$C706,MIN(-(SUM($F706:M706)-$E706),($E706*(1-$D$457))*$D706),0)*N$453</f>
        <v>0</v>
      </c>
      <c r="O706">
        <f>IF(O$455&gt;=$C706,MIN(-(SUM($F706:N706)-$E706),($E706*(1-$D$457))*$D706),0)*O$453</f>
        <v>0</v>
      </c>
      <c r="P706">
        <f>IF(P$455&gt;=$C706,MIN(-(SUM($F706:O706)-$E706),($E706*(1-$D$457))*$D706),0)*P$453</f>
        <v>0</v>
      </c>
      <c r="Q706">
        <f>IF(Q$455&gt;=$C706,MIN(-(SUM($F706:P706)-$E706),($E706*(1-$D$457))*$D706),0)*Q$453</f>
        <v>0</v>
      </c>
      <c r="R706">
        <f>IF(R$455&gt;=$C706,MIN(-(SUM($F706:Q706)-$E706),($E706*(1-$D$457))*$D706),0)*R$453</f>
        <v>0</v>
      </c>
      <c r="S706">
        <f>IF(S$455&gt;=$C706,MIN(-(SUM($F706:R706)-$E706),($E706*(1-$D$457))*$D706),0)*S$453</f>
        <v>0</v>
      </c>
      <c r="T706">
        <f>IF(T$455&gt;=$C706,MIN(-(SUM($F706:S706)-$E706),($E706*(1-$D$457))*$D706),0)*T$453</f>
        <v>0</v>
      </c>
      <c r="U706">
        <f>IF(U$455&gt;=$C706,MIN(-(SUM($F706:T706)-$E706),($E706*(1-$D$457))*$D706),0)*U$453</f>
        <v>0</v>
      </c>
      <c r="V706">
        <f>IF(V$455&gt;=$C706,MIN(-(SUM($F706:U706)-$E706),($E706*(1-$D$457))*$D706),0)*V$453</f>
        <v>0</v>
      </c>
      <c r="W706">
        <f>IF(W$455&gt;=$C706,MIN(-(SUM($F706:V706)-$E706),($E706*(1-$D$457))*$D706),0)*W$453</f>
        <v>0</v>
      </c>
      <c r="X706">
        <f>IF(X$455&gt;=$C706,MIN(-(SUM($F706:W706)-$E706),($E706*(1-$D$457))*$D706),0)*X$453</f>
        <v>0</v>
      </c>
      <c r="Y706">
        <f>IF(Y$455&gt;=$C706,MIN(-(SUM($F706:X706)-$E706),($E706*(1-$D$457))*$D706),0)*Y$453</f>
        <v>0</v>
      </c>
      <c r="Z706">
        <f>IF(Z$455&gt;=$C706,MIN(-(SUM($F706:Y706)-$E706),($E706*(1-$D$457))*$D706),0)*Z$453</f>
        <v>0</v>
      </c>
      <c r="AA706">
        <f>IF(AA$455&gt;=$C706,MIN(-(SUM($F706:Z706)-$E706),($E706*(1-$D$457))*$D706),0)*AA$453</f>
        <v>0</v>
      </c>
      <c r="AB706">
        <f>IF(AB$455&gt;=$C706,MIN(-(SUM($F706:AA706)-$E706),($E706*(1-$D$457))*$D706),0)*AB$453</f>
        <v>0</v>
      </c>
      <c r="AC706">
        <f>IF(AC$455&gt;=$C706,MIN(-(SUM($F706:AB706)-$E706),($E706*(1-$D$457))*$D706),0)*AC$453</f>
        <v>0</v>
      </c>
      <c r="AD706">
        <f>IF(AD$455&gt;=$C706,MIN(-(SUM($F706:AC706)-$E706),($E706*(1-$D$457))*$D706),0)*AD$453</f>
        <v>0</v>
      </c>
      <c r="AE706">
        <f>IF(AE$455&gt;=$C706,MIN(-(SUM($F706:AD706)-$E706),($E706*(1-$D$457))*$D706),0)*AE$453</f>
        <v>0</v>
      </c>
      <c r="AF706">
        <f>IF(AF$455&gt;=$C706,MIN(-(SUM($F706:AE706)-$E706),($E706*(1-$D$457))*$D706),0)*AF$453</f>
        <v>0</v>
      </c>
      <c r="AG706">
        <f>IF(AG$455&gt;=$C706,MIN(-(SUM($F706:AF706)-$E706),($E706*(1-$D$457))*$D706),0)*AG$453</f>
        <v>0</v>
      </c>
      <c r="AH706">
        <f>IF(AH$455&gt;=$C706,MIN(-(SUM($F706:AG706)-$E706),($E706*(1-$D$457))*$D706),0)*AH$453</f>
        <v>0</v>
      </c>
      <c r="AI706">
        <f>IF(AI$455&gt;=$C706,MIN(-(SUM($F706:AH706)-$E706),($E706*(1-$D$457))*$D706),0)*AI$453</f>
        <v>0</v>
      </c>
      <c r="AJ706">
        <f>IF(AJ$455&gt;=$C706,MIN(-(SUM($F706:AI706)-$E706),($E706*(1-$D$457))*$D706),0)*AJ$453</f>
        <v>0</v>
      </c>
      <c r="AK706">
        <f>IF(AK$455&gt;=$C706,MIN(-(SUM($F706:AJ706)-$E706),($E706*(1-$D$457))*$D706),0)*AK$453</f>
        <v>0</v>
      </c>
      <c r="AL706">
        <f>IF(AL$455&gt;=$C706,MIN(-(SUM($F706:AK706)-$E706),($E706*(1-$D$457))*$D706),0)*AL$453</f>
        <v>0</v>
      </c>
      <c r="AM706">
        <f>IF(AM$455&gt;=$C706,MIN(-(SUM($F706:AL706)-$E706),($E706*(1-$D$457))*$D706),0)*AM$453</f>
        <v>0</v>
      </c>
      <c r="AN706">
        <f>IF(AN$455&gt;=$C706,MIN(-(SUM($F706:AM706)-$E706),($E706*(1-$D$457))*$D706),0)*AN$453</f>
        <v>0</v>
      </c>
    </row>
    <row r="707" spans="3:160" outlineLevel="4">
      <c r="C707">
        <v>23</v>
      </c>
      <c r="D707">
        <f>Inputs!$D$259</f>
        <v>0.1</v>
      </c>
      <c r="E707">
        <v>0</v>
      </c>
      <c r="F707" s="461">
        <f>E707*D682</f>
        <v>0</v>
      </c>
      <c r="G707">
        <f>IF(G$455&gt;=$C707,MIN(-(SUM(F707:$F707)-$E707),($E707*(1-$D$457))*$D707),0)*G$453</f>
        <v>0</v>
      </c>
      <c r="H707">
        <f>IF(H$455&gt;=$C707,MIN(-(SUM($F707:G707)-$E707),($E707*(1-$D$457))*$D707),0)*H$453</f>
        <v>0</v>
      </c>
      <c r="I707">
        <f>IF(I$455&gt;=$C707,MIN(-(SUM($F707:H707)-$E707),($E707*(1-$D$457))*$D707),0)*I$453</f>
        <v>0</v>
      </c>
      <c r="J707">
        <f>IF(J$455&gt;=$C707,MIN(-(SUM($F707:I707)-$E707),($E707*(1-$D$457))*$D707),0)*J$453</f>
        <v>0</v>
      </c>
      <c r="K707">
        <f>IF(K$455&gt;=$C707,MIN(-(SUM($F707:J707)-$E707),($E707*(1-$D$457))*$D707),0)*K$453</f>
        <v>0</v>
      </c>
      <c r="L707">
        <f>IF(L$455&gt;=$C707,MIN(-(SUM($F707:K707)-$E707),($E707*(1-$D$457))*$D707),0)*L$453</f>
        <v>0</v>
      </c>
      <c r="M707">
        <f>IF(M$455&gt;=$C707,MIN(-(SUM($F707:L707)-$E707),($E707*(1-$D$457))*$D707),0)*M$453</f>
        <v>0</v>
      </c>
      <c r="N707">
        <f>IF(N$455&gt;=$C707,MIN(-(SUM($F707:M707)-$E707),($E707*(1-$D$457))*$D707),0)*N$453</f>
        <v>0</v>
      </c>
      <c r="O707">
        <f>IF(O$455&gt;=$C707,MIN(-(SUM($F707:N707)-$E707),($E707*(1-$D$457))*$D707),0)*O$453</f>
        <v>0</v>
      </c>
      <c r="P707">
        <f>IF(P$455&gt;=$C707,MIN(-(SUM($F707:O707)-$E707),($E707*(1-$D$457))*$D707),0)*P$453</f>
        <v>0</v>
      </c>
      <c r="Q707">
        <f>IF(Q$455&gt;=$C707,MIN(-(SUM($F707:P707)-$E707),($E707*(1-$D$457))*$D707),0)*Q$453</f>
        <v>0</v>
      </c>
      <c r="R707">
        <f>IF(R$455&gt;=$C707,MIN(-(SUM($F707:Q707)-$E707),($E707*(1-$D$457))*$D707),0)*R$453</f>
        <v>0</v>
      </c>
      <c r="S707">
        <f>IF(S$455&gt;=$C707,MIN(-(SUM($F707:R707)-$E707),($E707*(1-$D$457))*$D707),0)*S$453</f>
        <v>0</v>
      </c>
      <c r="T707">
        <f>IF(T$455&gt;=$C707,MIN(-(SUM($F707:S707)-$E707),($E707*(1-$D$457))*$D707),0)*T$453</f>
        <v>0</v>
      </c>
      <c r="U707">
        <f>IF(U$455&gt;=$C707,MIN(-(SUM($F707:T707)-$E707),($E707*(1-$D$457))*$D707),0)*U$453</f>
        <v>0</v>
      </c>
      <c r="V707">
        <f>IF(V$455&gt;=$C707,MIN(-(SUM($F707:U707)-$E707),($E707*(1-$D$457))*$D707),0)*V$453</f>
        <v>0</v>
      </c>
      <c r="W707">
        <f>IF(W$455&gt;=$C707,MIN(-(SUM($F707:V707)-$E707),($E707*(1-$D$457))*$D707),0)*W$453</f>
        <v>0</v>
      </c>
      <c r="X707">
        <f>IF(X$455&gt;=$C707,MIN(-(SUM($F707:W707)-$E707),($E707*(1-$D$457))*$D707),0)*X$453</f>
        <v>0</v>
      </c>
      <c r="Y707">
        <f>IF(Y$455&gt;=$C707,MIN(-(SUM($F707:X707)-$E707),($E707*(1-$D$457))*$D707),0)*Y$453</f>
        <v>0</v>
      </c>
      <c r="Z707">
        <f>IF(Z$455&gt;=$C707,MIN(-(SUM($F707:Y707)-$E707),($E707*(1-$D$457))*$D707),0)*Z$453</f>
        <v>0</v>
      </c>
      <c r="AA707">
        <f>IF(AA$455&gt;=$C707,MIN(-(SUM($F707:Z707)-$E707),($E707*(1-$D$457))*$D707),0)*AA$453</f>
        <v>0</v>
      </c>
      <c r="AB707">
        <f>IF(AB$455&gt;=$C707,MIN(-(SUM($F707:AA707)-$E707),($E707*(1-$D$457))*$D707),0)*AB$453</f>
        <v>0</v>
      </c>
      <c r="AC707">
        <f>IF(AC$455&gt;=$C707,MIN(-(SUM($F707:AB707)-$E707),($E707*(1-$D$457))*$D707),0)*AC$453</f>
        <v>0</v>
      </c>
      <c r="AD707">
        <f>IF(AD$455&gt;=$C707,MIN(-(SUM($F707:AC707)-$E707),($E707*(1-$D$457))*$D707),0)*AD$453</f>
        <v>0</v>
      </c>
      <c r="AE707">
        <f>IF(AE$455&gt;=$C707,MIN(-(SUM($F707:AD707)-$E707),($E707*(1-$D$457))*$D707),0)*AE$453</f>
        <v>0</v>
      </c>
      <c r="AF707">
        <f>IF(AF$455&gt;=$C707,MIN(-(SUM($F707:AE707)-$E707),($E707*(1-$D$457))*$D707),0)*AF$453</f>
        <v>0</v>
      </c>
      <c r="AG707">
        <f>IF(AG$455&gt;=$C707,MIN(-(SUM($F707:AF707)-$E707),($E707*(1-$D$457))*$D707),0)*AG$453</f>
        <v>0</v>
      </c>
      <c r="AH707">
        <f>IF(AH$455&gt;=$C707,MIN(-(SUM($F707:AG707)-$E707),($E707*(1-$D$457))*$D707),0)*AH$453</f>
        <v>0</v>
      </c>
      <c r="AI707">
        <f>IF(AI$455&gt;=$C707,MIN(-(SUM($F707:AH707)-$E707),($E707*(1-$D$457))*$D707),0)*AI$453</f>
        <v>0</v>
      </c>
      <c r="AJ707">
        <f>IF(AJ$455&gt;=$C707,MIN(-(SUM($F707:AI707)-$E707),($E707*(1-$D$457))*$D707),0)*AJ$453</f>
        <v>0</v>
      </c>
      <c r="AK707">
        <f>IF(AK$455&gt;=$C707,MIN(-(SUM($F707:AJ707)-$E707),($E707*(1-$D$457))*$D707),0)*AK$453</f>
        <v>0</v>
      </c>
      <c r="AL707">
        <f>IF(AL$455&gt;=$C707,MIN(-(SUM($F707:AK707)-$E707),($E707*(1-$D$457))*$D707),0)*AL$453</f>
        <v>0</v>
      </c>
      <c r="AM707">
        <f>IF(AM$455&gt;=$C707,MIN(-(SUM($F707:AL707)-$E707),($E707*(1-$D$457))*$D707),0)*AM$453</f>
        <v>0</v>
      </c>
      <c r="AN707">
        <f>IF(AN$455&gt;=$C707,MIN(-(SUM($F707:AM707)-$E707),($E707*(1-$D$457))*$D707),0)*AN$453</f>
        <v>0</v>
      </c>
    </row>
    <row r="708" spans="3:160" outlineLevel="4">
      <c r="C708">
        <v>24</v>
      </c>
      <c r="D708">
        <f>Inputs!$D$259</f>
        <v>0.1</v>
      </c>
      <c r="E708">
        <v>0</v>
      </c>
      <c r="F708" s="461">
        <f>E708*D682</f>
        <v>0</v>
      </c>
      <c r="G708">
        <f>IF(G$455&gt;=$C708,MIN(-(SUM(F708:$F708)-$E708),($E708*(1-$D$457))*$D708),0)*G$453</f>
        <v>0</v>
      </c>
      <c r="H708">
        <f>IF(H$455&gt;=$C708,MIN(-(SUM($F708:G708)-$E708),($E708*(1-$D$457))*$D708),0)*H$453</f>
        <v>0</v>
      </c>
      <c r="I708">
        <f>IF(I$455&gt;=$C708,MIN(-(SUM($F708:H708)-$E708),($E708*(1-$D$457))*$D708),0)*I$453</f>
        <v>0</v>
      </c>
      <c r="J708">
        <f>IF(J$455&gt;=$C708,MIN(-(SUM($F708:I708)-$E708),($E708*(1-$D$457))*$D708),0)*J$453</f>
        <v>0</v>
      </c>
      <c r="K708">
        <f>IF(K$455&gt;=$C708,MIN(-(SUM($F708:J708)-$E708),($E708*(1-$D$457))*$D708),0)*K$453</f>
        <v>0</v>
      </c>
      <c r="L708">
        <f>IF(L$455&gt;=$C708,MIN(-(SUM($F708:K708)-$E708),($E708*(1-$D$457))*$D708),0)*L$453</f>
        <v>0</v>
      </c>
      <c r="M708">
        <f>IF(M$455&gt;=$C708,MIN(-(SUM($F708:L708)-$E708),($E708*(1-$D$457))*$D708),0)*M$453</f>
        <v>0</v>
      </c>
      <c r="N708">
        <f>IF(N$455&gt;=$C708,MIN(-(SUM($F708:M708)-$E708),($E708*(1-$D$457))*$D708),0)*N$453</f>
        <v>0</v>
      </c>
      <c r="O708">
        <f>IF(O$455&gt;=$C708,MIN(-(SUM($F708:N708)-$E708),($E708*(1-$D$457))*$D708),0)*O$453</f>
        <v>0</v>
      </c>
      <c r="P708">
        <f>IF(P$455&gt;=$C708,MIN(-(SUM($F708:O708)-$E708),($E708*(1-$D$457))*$D708),0)*P$453</f>
        <v>0</v>
      </c>
      <c r="Q708">
        <f>IF(Q$455&gt;=$C708,MIN(-(SUM($F708:P708)-$E708),($E708*(1-$D$457))*$D708),0)*Q$453</f>
        <v>0</v>
      </c>
      <c r="R708">
        <f>IF(R$455&gt;=$C708,MIN(-(SUM($F708:Q708)-$E708),($E708*(1-$D$457))*$D708),0)*R$453</f>
        <v>0</v>
      </c>
      <c r="S708">
        <f>IF(S$455&gt;=$C708,MIN(-(SUM($F708:R708)-$E708),($E708*(1-$D$457))*$D708),0)*S$453</f>
        <v>0</v>
      </c>
      <c r="T708">
        <f>IF(T$455&gt;=$C708,MIN(-(SUM($F708:S708)-$E708),($E708*(1-$D$457))*$D708),0)*T$453</f>
        <v>0</v>
      </c>
      <c r="U708">
        <f>IF(U$455&gt;=$C708,MIN(-(SUM($F708:T708)-$E708),($E708*(1-$D$457))*$D708),0)*U$453</f>
        <v>0</v>
      </c>
      <c r="V708">
        <f>IF(V$455&gt;=$C708,MIN(-(SUM($F708:U708)-$E708),($E708*(1-$D$457))*$D708),0)*V$453</f>
        <v>0</v>
      </c>
      <c r="W708">
        <f>IF(W$455&gt;=$C708,MIN(-(SUM($F708:V708)-$E708),($E708*(1-$D$457))*$D708),0)*W$453</f>
        <v>0</v>
      </c>
      <c r="X708">
        <f>IF(X$455&gt;=$C708,MIN(-(SUM($F708:W708)-$E708),($E708*(1-$D$457))*$D708),0)*X$453</f>
        <v>0</v>
      </c>
      <c r="Y708">
        <f>IF(Y$455&gt;=$C708,MIN(-(SUM($F708:X708)-$E708),($E708*(1-$D$457))*$D708),0)*Y$453</f>
        <v>0</v>
      </c>
      <c r="Z708">
        <f>IF(Z$455&gt;=$C708,MIN(-(SUM($F708:Y708)-$E708),($E708*(1-$D$457))*$D708),0)*Z$453</f>
        <v>0</v>
      </c>
      <c r="AA708">
        <f>IF(AA$455&gt;=$C708,MIN(-(SUM($F708:Z708)-$E708),($E708*(1-$D$457))*$D708),0)*AA$453</f>
        <v>0</v>
      </c>
      <c r="AB708">
        <f>IF(AB$455&gt;=$C708,MIN(-(SUM($F708:AA708)-$E708),($E708*(1-$D$457))*$D708),0)*AB$453</f>
        <v>0</v>
      </c>
      <c r="AC708">
        <f>IF(AC$455&gt;=$C708,MIN(-(SUM($F708:AB708)-$E708),($E708*(1-$D$457))*$D708),0)*AC$453</f>
        <v>0</v>
      </c>
      <c r="AD708">
        <f>IF(AD$455&gt;=$C708,MIN(-(SUM($F708:AC708)-$E708),($E708*(1-$D$457))*$D708),0)*AD$453</f>
        <v>0</v>
      </c>
      <c r="AE708">
        <f>IF(AE$455&gt;=$C708,MIN(-(SUM($F708:AD708)-$E708),($E708*(1-$D$457))*$D708),0)*AE$453</f>
        <v>0</v>
      </c>
      <c r="AF708">
        <f>IF(AF$455&gt;=$C708,MIN(-(SUM($F708:AE708)-$E708),($E708*(1-$D$457))*$D708),0)*AF$453</f>
        <v>0</v>
      </c>
      <c r="AG708">
        <f>IF(AG$455&gt;=$C708,MIN(-(SUM($F708:AF708)-$E708),($E708*(1-$D$457))*$D708),0)*AG$453</f>
        <v>0</v>
      </c>
      <c r="AH708">
        <f>IF(AH$455&gt;=$C708,MIN(-(SUM($F708:AG708)-$E708),($E708*(1-$D$457))*$D708),0)*AH$453</f>
        <v>0</v>
      </c>
      <c r="AI708">
        <f>IF(AI$455&gt;=$C708,MIN(-(SUM($F708:AH708)-$E708),($E708*(1-$D$457))*$D708),0)*AI$453</f>
        <v>0</v>
      </c>
      <c r="AJ708">
        <f>IF(AJ$455&gt;=$C708,MIN(-(SUM($F708:AI708)-$E708),($E708*(1-$D$457))*$D708),0)*AJ$453</f>
        <v>0</v>
      </c>
      <c r="AK708">
        <f>IF(AK$455&gt;=$C708,MIN(-(SUM($F708:AJ708)-$E708),($E708*(1-$D$457))*$D708),0)*AK$453</f>
        <v>0</v>
      </c>
      <c r="AL708">
        <f>IF(AL$455&gt;=$C708,MIN(-(SUM($F708:AK708)-$E708),($E708*(1-$D$457))*$D708),0)*AL$453</f>
        <v>0</v>
      </c>
      <c r="AM708">
        <f>IF(AM$455&gt;=$C708,MIN(-(SUM($F708:AL708)-$E708),($E708*(1-$D$457))*$D708),0)*AM$453</f>
        <v>0</v>
      </c>
      <c r="AN708">
        <f>IF(AN$455&gt;=$C708,MIN(-(SUM($F708:AM708)-$E708),($E708*(1-$D$457))*$D708),0)*AN$453</f>
        <v>0</v>
      </c>
    </row>
    <row r="709" spans="3:160" outlineLevel="4">
      <c r="C709">
        <v>25</v>
      </c>
      <c r="D709">
        <f>Inputs!$D$259</f>
        <v>0.1</v>
      </c>
      <c r="E709">
        <v>0</v>
      </c>
      <c r="F709" s="461">
        <f>E709*D682</f>
        <v>0</v>
      </c>
      <c r="G709">
        <f>IF(G$455&gt;=$C709,MIN(-(SUM(F709:$F709)-$E709),($E709*(1-$D$457))*$D709),0)*G$453</f>
        <v>0</v>
      </c>
      <c r="H709">
        <f>IF(H$455&gt;=$C709,MIN(-(SUM($F709:G709)-$E709),($E709*(1-$D$457))*$D709),0)*H$453</f>
        <v>0</v>
      </c>
      <c r="I709">
        <f>IF(I$455&gt;=$C709,MIN(-(SUM($F709:H709)-$E709),($E709*(1-$D$457))*$D709),0)*I$453</f>
        <v>0</v>
      </c>
      <c r="J709">
        <f>IF(J$455&gt;=$C709,MIN(-(SUM($F709:I709)-$E709),($E709*(1-$D$457))*$D709),0)*J$453</f>
        <v>0</v>
      </c>
      <c r="K709">
        <f>IF(K$455&gt;=$C709,MIN(-(SUM($F709:J709)-$E709),($E709*(1-$D$457))*$D709),0)*K$453</f>
        <v>0</v>
      </c>
      <c r="L709">
        <f>IF(L$455&gt;=$C709,MIN(-(SUM($F709:K709)-$E709),($E709*(1-$D$457))*$D709),0)*L$453</f>
        <v>0</v>
      </c>
      <c r="M709">
        <f>IF(M$455&gt;=$C709,MIN(-(SUM($F709:L709)-$E709),($E709*(1-$D$457))*$D709),0)*M$453</f>
        <v>0</v>
      </c>
      <c r="N709">
        <f>IF(N$455&gt;=$C709,MIN(-(SUM($F709:M709)-$E709),($E709*(1-$D$457))*$D709),0)*N$453</f>
        <v>0</v>
      </c>
      <c r="O709">
        <f>IF(O$455&gt;=$C709,MIN(-(SUM($F709:N709)-$E709),($E709*(1-$D$457))*$D709),0)*O$453</f>
        <v>0</v>
      </c>
      <c r="P709">
        <f>IF(P$455&gt;=$C709,MIN(-(SUM($F709:O709)-$E709),($E709*(1-$D$457))*$D709),0)*P$453</f>
        <v>0</v>
      </c>
      <c r="Q709">
        <f>IF(Q$455&gt;=$C709,MIN(-(SUM($F709:P709)-$E709),($E709*(1-$D$457))*$D709),0)*Q$453</f>
        <v>0</v>
      </c>
      <c r="R709">
        <f>IF(R$455&gt;=$C709,MIN(-(SUM($F709:Q709)-$E709),($E709*(1-$D$457))*$D709),0)*R$453</f>
        <v>0</v>
      </c>
      <c r="S709">
        <f>IF(S$455&gt;=$C709,MIN(-(SUM($F709:R709)-$E709),($E709*(1-$D$457))*$D709),0)*S$453</f>
        <v>0</v>
      </c>
      <c r="T709">
        <f>IF(T$455&gt;=$C709,MIN(-(SUM($F709:S709)-$E709),($E709*(1-$D$457))*$D709),0)*T$453</f>
        <v>0</v>
      </c>
      <c r="U709">
        <f>IF(U$455&gt;=$C709,MIN(-(SUM($F709:T709)-$E709),($E709*(1-$D$457))*$D709),0)*U$453</f>
        <v>0</v>
      </c>
      <c r="V709">
        <f>IF(V$455&gt;=$C709,MIN(-(SUM($F709:U709)-$E709),($E709*(1-$D$457))*$D709),0)*V$453</f>
        <v>0</v>
      </c>
      <c r="W709">
        <f>IF(W$455&gt;=$C709,MIN(-(SUM($F709:V709)-$E709),($E709*(1-$D$457))*$D709),0)*W$453</f>
        <v>0</v>
      </c>
      <c r="X709">
        <f>IF(X$455&gt;=$C709,MIN(-(SUM($F709:W709)-$E709),($E709*(1-$D$457))*$D709),0)*X$453</f>
        <v>0</v>
      </c>
      <c r="Y709">
        <f>IF(Y$455&gt;=$C709,MIN(-(SUM($F709:X709)-$E709),($E709*(1-$D$457))*$D709),0)*Y$453</f>
        <v>0</v>
      </c>
      <c r="Z709">
        <f>IF(Z$455&gt;=$C709,MIN(-(SUM($F709:Y709)-$E709),($E709*(1-$D$457))*$D709),0)*Z$453</f>
        <v>0</v>
      </c>
      <c r="AA709">
        <f>IF(AA$455&gt;=$C709,MIN(-(SUM($F709:Z709)-$E709),($E709*(1-$D$457))*$D709),0)*AA$453</f>
        <v>0</v>
      </c>
      <c r="AB709">
        <f>IF(AB$455&gt;=$C709,MIN(-(SUM($F709:AA709)-$E709),($E709*(1-$D$457))*$D709),0)*AB$453</f>
        <v>0</v>
      </c>
      <c r="AC709">
        <f>IF(AC$455&gt;=$C709,MIN(-(SUM($F709:AB709)-$E709),($E709*(1-$D$457))*$D709),0)*AC$453</f>
        <v>0</v>
      </c>
      <c r="AD709">
        <f>IF(AD$455&gt;=$C709,MIN(-(SUM($F709:AC709)-$E709),($E709*(1-$D$457))*$D709),0)*AD$453</f>
        <v>0</v>
      </c>
      <c r="AE709">
        <f>IF(AE$455&gt;=$C709,MIN(-(SUM($F709:AD709)-$E709),($E709*(1-$D$457))*$D709),0)*AE$453</f>
        <v>0</v>
      </c>
      <c r="AF709">
        <f>IF(AF$455&gt;=$C709,MIN(-(SUM($F709:AE709)-$E709),($E709*(1-$D$457))*$D709),0)*AF$453</f>
        <v>0</v>
      </c>
      <c r="AG709">
        <f>IF(AG$455&gt;=$C709,MIN(-(SUM($F709:AF709)-$E709),($E709*(1-$D$457))*$D709),0)*AG$453</f>
        <v>0</v>
      </c>
      <c r="AH709">
        <f>IF(AH$455&gt;=$C709,MIN(-(SUM($F709:AG709)-$E709),($E709*(1-$D$457))*$D709),0)*AH$453</f>
        <v>0</v>
      </c>
      <c r="AI709">
        <f>IF(AI$455&gt;=$C709,MIN(-(SUM($F709:AH709)-$E709),($E709*(1-$D$457))*$D709),0)*AI$453</f>
        <v>0</v>
      </c>
      <c r="AJ709">
        <f>IF(AJ$455&gt;=$C709,MIN(-(SUM($F709:AI709)-$E709),($E709*(1-$D$457))*$D709),0)*AJ$453</f>
        <v>0</v>
      </c>
      <c r="AK709">
        <f>IF(AK$455&gt;=$C709,MIN(-(SUM($F709:AJ709)-$E709),($E709*(1-$D$457))*$D709),0)*AK$453</f>
        <v>0</v>
      </c>
      <c r="AL709">
        <f>IF(AL$455&gt;=$C709,MIN(-(SUM($F709:AK709)-$E709),($E709*(1-$D$457))*$D709),0)*AL$453</f>
        <v>0</v>
      </c>
      <c r="AM709">
        <f>IF(AM$455&gt;=$C709,MIN(-(SUM($F709:AL709)-$E709),($E709*(1-$D$457))*$D709),0)*AM$453</f>
        <v>0</v>
      </c>
      <c r="AN709">
        <f>IF(AN$455&gt;=$C709,MIN(-(SUM($F709:AM709)-$E709),($E709*(1-$D$457))*$D709),0)*AN$453</f>
        <v>0</v>
      </c>
    </row>
    <row r="710" spans="3:160" outlineLevel="4">
      <c r="C710">
        <v>26</v>
      </c>
      <c r="D710">
        <f>Inputs!$D$259</f>
        <v>0.1</v>
      </c>
      <c r="E710">
        <v>0</v>
      </c>
      <c r="F710" s="461">
        <f>E710*D682</f>
        <v>0</v>
      </c>
      <c r="G710">
        <f>IF(G$455&gt;=$C710,MIN(-(SUM(F710:$F710)-$E710),($E710*(1-$D$457))*$D710),0)*G$453</f>
        <v>0</v>
      </c>
      <c r="H710">
        <f>IF(H$455&gt;=$C710,MIN(-(SUM($F710:G710)-$E710),($E710*(1-$D$457))*$D710),0)*H$453</f>
        <v>0</v>
      </c>
      <c r="I710">
        <f>IF(I$455&gt;=$C710,MIN(-(SUM($F710:H710)-$E710),($E710*(1-$D$457))*$D710),0)*I$453</f>
        <v>0</v>
      </c>
      <c r="J710">
        <f>IF(J$455&gt;=$C710,MIN(-(SUM($F710:I710)-$E710),($E710*(1-$D$457))*$D710),0)*J$453</f>
        <v>0</v>
      </c>
      <c r="K710">
        <f>IF(K$455&gt;=$C710,MIN(-(SUM($F710:J710)-$E710),($E710*(1-$D$457))*$D710),0)*K$453</f>
        <v>0</v>
      </c>
      <c r="L710">
        <f>IF(L$455&gt;=$C710,MIN(-(SUM($F710:K710)-$E710),($E710*(1-$D$457))*$D710),0)*L$453</f>
        <v>0</v>
      </c>
      <c r="M710">
        <f>IF(M$455&gt;=$C710,MIN(-(SUM($F710:L710)-$E710),($E710*(1-$D$457))*$D710),0)*M$453</f>
        <v>0</v>
      </c>
      <c r="N710">
        <f>IF(N$455&gt;=$C710,MIN(-(SUM($F710:M710)-$E710),($E710*(1-$D$457))*$D710),0)*N$453</f>
        <v>0</v>
      </c>
      <c r="O710">
        <f>IF(O$455&gt;=$C710,MIN(-(SUM($F710:N710)-$E710),($E710*(1-$D$457))*$D710),0)*O$453</f>
        <v>0</v>
      </c>
      <c r="P710">
        <f>IF(P$455&gt;=$C710,MIN(-(SUM($F710:O710)-$E710),($E710*(1-$D$457))*$D710),0)*P$453</f>
        <v>0</v>
      </c>
      <c r="Q710">
        <f>IF(Q$455&gt;=$C710,MIN(-(SUM($F710:P710)-$E710),($E710*(1-$D$457))*$D710),0)*Q$453</f>
        <v>0</v>
      </c>
      <c r="R710">
        <f>IF(R$455&gt;=$C710,MIN(-(SUM($F710:Q710)-$E710),($E710*(1-$D$457))*$D710),0)*R$453</f>
        <v>0</v>
      </c>
      <c r="S710">
        <f>IF(S$455&gt;=$C710,MIN(-(SUM($F710:R710)-$E710),($E710*(1-$D$457))*$D710),0)*S$453</f>
        <v>0</v>
      </c>
      <c r="T710">
        <f>IF(T$455&gt;=$C710,MIN(-(SUM($F710:S710)-$E710),($E710*(1-$D$457))*$D710),0)*T$453</f>
        <v>0</v>
      </c>
      <c r="U710">
        <f>IF(U$455&gt;=$C710,MIN(-(SUM($F710:T710)-$E710),($E710*(1-$D$457))*$D710),0)*U$453</f>
        <v>0</v>
      </c>
      <c r="V710">
        <f>IF(V$455&gt;=$C710,MIN(-(SUM($F710:U710)-$E710),($E710*(1-$D$457))*$D710),0)*V$453</f>
        <v>0</v>
      </c>
      <c r="W710">
        <f>IF(W$455&gt;=$C710,MIN(-(SUM($F710:V710)-$E710),($E710*(1-$D$457))*$D710),0)*W$453</f>
        <v>0</v>
      </c>
      <c r="X710">
        <f>IF(X$455&gt;=$C710,MIN(-(SUM($F710:W710)-$E710),($E710*(1-$D$457))*$D710),0)*X$453</f>
        <v>0</v>
      </c>
      <c r="Y710">
        <f>IF(Y$455&gt;=$C710,MIN(-(SUM($F710:X710)-$E710),($E710*(1-$D$457))*$D710),0)*Y$453</f>
        <v>0</v>
      </c>
      <c r="Z710">
        <f>IF(Z$455&gt;=$C710,MIN(-(SUM($F710:Y710)-$E710),($E710*(1-$D$457))*$D710),0)*Z$453</f>
        <v>0</v>
      </c>
      <c r="AA710">
        <f>IF(AA$455&gt;=$C710,MIN(-(SUM($F710:Z710)-$E710),($E710*(1-$D$457))*$D710),0)*AA$453</f>
        <v>0</v>
      </c>
      <c r="AB710">
        <f>IF(AB$455&gt;=$C710,MIN(-(SUM($F710:AA710)-$E710),($E710*(1-$D$457))*$D710),0)*AB$453</f>
        <v>0</v>
      </c>
      <c r="AC710">
        <f>IF(AC$455&gt;=$C710,MIN(-(SUM($F710:AB710)-$E710),($E710*(1-$D$457))*$D710),0)*AC$453</f>
        <v>0</v>
      </c>
      <c r="AD710">
        <f>IF(AD$455&gt;=$C710,MIN(-(SUM($F710:AC710)-$E710),($E710*(1-$D$457))*$D710),0)*AD$453</f>
        <v>0</v>
      </c>
      <c r="AE710">
        <f>IF(AE$455&gt;=$C710,MIN(-(SUM($F710:AD710)-$E710),($E710*(1-$D$457))*$D710),0)*AE$453</f>
        <v>0</v>
      </c>
      <c r="AF710">
        <f>IF(AF$455&gt;=$C710,MIN(-(SUM($F710:AE710)-$E710),($E710*(1-$D$457))*$D710),0)*AF$453</f>
        <v>0</v>
      </c>
      <c r="AG710">
        <f>IF(AG$455&gt;=$C710,MIN(-(SUM($F710:AF710)-$E710),($E710*(1-$D$457))*$D710),0)*AG$453</f>
        <v>0</v>
      </c>
      <c r="AH710">
        <f>IF(AH$455&gt;=$C710,MIN(-(SUM($F710:AG710)-$E710),($E710*(1-$D$457))*$D710),0)*AH$453</f>
        <v>0</v>
      </c>
      <c r="AI710">
        <f>IF(AI$455&gt;=$C710,MIN(-(SUM($F710:AH710)-$E710),($E710*(1-$D$457))*$D710),0)*AI$453</f>
        <v>0</v>
      </c>
      <c r="AJ710">
        <f>IF(AJ$455&gt;=$C710,MIN(-(SUM($F710:AI710)-$E710),($E710*(1-$D$457))*$D710),0)*AJ$453</f>
        <v>0</v>
      </c>
      <c r="AK710">
        <f>IF(AK$455&gt;=$C710,MIN(-(SUM($F710:AJ710)-$E710),($E710*(1-$D$457))*$D710),0)*AK$453</f>
        <v>0</v>
      </c>
      <c r="AL710">
        <f>IF(AL$455&gt;=$C710,MIN(-(SUM($F710:AK710)-$E710),($E710*(1-$D$457))*$D710),0)*AL$453</f>
        <v>0</v>
      </c>
      <c r="AM710">
        <f>IF(AM$455&gt;=$C710,MIN(-(SUM($F710:AL710)-$E710),($E710*(1-$D$457))*$D710),0)*AM$453</f>
        <v>0</v>
      </c>
      <c r="AN710">
        <f>IF(AN$455&gt;=$C710,MIN(-(SUM($F710:AM710)-$E710),($E710*(1-$D$457))*$D710),0)*AN$453</f>
        <v>0</v>
      </c>
    </row>
    <row r="711" spans="3:160" outlineLevel="4">
      <c r="C711">
        <v>27</v>
      </c>
      <c r="D711">
        <f>Inputs!$D$259</f>
        <v>0.1</v>
      </c>
      <c r="E711">
        <v>0</v>
      </c>
      <c r="F711" s="461">
        <f>E711*D682</f>
        <v>0</v>
      </c>
      <c r="G711">
        <f>IF(G$455&gt;=$C711,MIN(-(SUM(F711:$F711)-$E711),($E711*(1-$D$457))*$D711),0)*G$453</f>
        <v>0</v>
      </c>
      <c r="H711">
        <f>IF(H$455&gt;=$C711,MIN(-(SUM($F711:G711)-$E711),($E711*(1-$D$457))*$D711),0)*H$453</f>
        <v>0</v>
      </c>
      <c r="I711">
        <f>IF(I$455&gt;=$C711,MIN(-(SUM($F711:H711)-$E711),($E711*(1-$D$457))*$D711),0)*I$453</f>
        <v>0</v>
      </c>
      <c r="J711">
        <f>IF(J$455&gt;=$C711,MIN(-(SUM($F711:I711)-$E711),($E711*(1-$D$457))*$D711),0)*J$453</f>
        <v>0</v>
      </c>
      <c r="K711">
        <f>IF(K$455&gt;=$C711,MIN(-(SUM($F711:J711)-$E711),($E711*(1-$D$457))*$D711),0)*K$453</f>
        <v>0</v>
      </c>
      <c r="L711">
        <f>IF(L$455&gt;=$C711,MIN(-(SUM($F711:K711)-$E711),($E711*(1-$D$457))*$D711),0)*L$453</f>
        <v>0</v>
      </c>
      <c r="M711">
        <f>IF(M$455&gt;=$C711,MIN(-(SUM($F711:L711)-$E711),($E711*(1-$D$457))*$D711),0)*M$453</f>
        <v>0</v>
      </c>
      <c r="N711">
        <f>IF(N$455&gt;=$C711,MIN(-(SUM($F711:M711)-$E711),($E711*(1-$D$457))*$D711),0)*N$453</f>
        <v>0</v>
      </c>
      <c r="O711">
        <f>IF(O$455&gt;=$C711,MIN(-(SUM($F711:N711)-$E711),($E711*(1-$D$457))*$D711),0)*O$453</f>
        <v>0</v>
      </c>
      <c r="P711">
        <f>IF(P$455&gt;=$C711,MIN(-(SUM($F711:O711)-$E711),($E711*(1-$D$457))*$D711),0)*P$453</f>
        <v>0</v>
      </c>
      <c r="Q711">
        <f>IF(Q$455&gt;=$C711,MIN(-(SUM($F711:P711)-$E711),($E711*(1-$D$457))*$D711),0)*Q$453</f>
        <v>0</v>
      </c>
      <c r="R711">
        <f>IF(R$455&gt;=$C711,MIN(-(SUM($F711:Q711)-$E711),($E711*(1-$D$457))*$D711),0)*R$453</f>
        <v>0</v>
      </c>
      <c r="S711">
        <f>IF(S$455&gt;=$C711,MIN(-(SUM($F711:R711)-$E711),($E711*(1-$D$457))*$D711),0)*S$453</f>
        <v>0</v>
      </c>
      <c r="T711">
        <f>IF(T$455&gt;=$C711,MIN(-(SUM($F711:S711)-$E711),($E711*(1-$D$457))*$D711),0)*T$453</f>
        <v>0</v>
      </c>
      <c r="U711">
        <f>IF(U$455&gt;=$C711,MIN(-(SUM($F711:T711)-$E711),($E711*(1-$D$457))*$D711),0)*U$453</f>
        <v>0</v>
      </c>
      <c r="V711">
        <f>IF(V$455&gt;=$C711,MIN(-(SUM($F711:U711)-$E711),($E711*(1-$D$457))*$D711),0)*V$453</f>
        <v>0</v>
      </c>
      <c r="W711">
        <f>IF(W$455&gt;=$C711,MIN(-(SUM($F711:V711)-$E711),($E711*(1-$D$457))*$D711),0)*W$453</f>
        <v>0</v>
      </c>
      <c r="X711">
        <f>IF(X$455&gt;=$C711,MIN(-(SUM($F711:W711)-$E711),($E711*(1-$D$457))*$D711),0)*X$453</f>
        <v>0</v>
      </c>
      <c r="Y711">
        <f>IF(Y$455&gt;=$C711,MIN(-(SUM($F711:X711)-$E711),($E711*(1-$D$457))*$D711),0)*Y$453</f>
        <v>0</v>
      </c>
      <c r="Z711">
        <f>IF(Z$455&gt;=$C711,MIN(-(SUM($F711:Y711)-$E711),($E711*(1-$D$457))*$D711),0)*Z$453</f>
        <v>0</v>
      </c>
      <c r="AA711">
        <f>IF(AA$455&gt;=$C711,MIN(-(SUM($F711:Z711)-$E711),($E711*(1-$D$457))*$D711),0)*AA$453</f>
        <v>0</v>
      </c>
      <c r="AB711">
        <f>IF(AB$455&gt;=$C711,MIN(-(SUM($F711:AA711)-$E711),($E711*(1-$D$457))*$D711),0)*AB$453</f>
        <v>0</v>
      </c>
      <c r="AC711">
        <f>IF(AC$455&gt;=$C711,MIN(-(SUM($F711:AB711)-$E711),($E711*(1-$D$457))*$D711),0)*AC$453</f>
        <v>0</v>
      </c>
      <c r="AD711">
        <f>IF(AD$455&gt;=$C711,MIN(-(SUM($F711:AC711)-$E711),($E711*(1-$D$457))*$D711),0)*AD$453</f>
        <v>0</v>
      </c>
      <c r="AE711">
        <f>IF(AE$455&gt;=$C711,MIN(-(SUM($F711:AD711)-$E711),($E711*(1-$D$457))*$D711),0)*AE$453</f>
        <v>0</v>
      </c>
      <c r="AF711">
        <f>IF(AF$455&gt;=$C711,MIN(-(SUM($F711:AE711)-$E711),($E711*(1-$D$457))*$D711),0)*AF$453</f>
        <v>0</v>
      </c>
      <c r="AG711">
        <f>IF(AG$455&gt;=$C711,MIN(-(SUM($F711:AF711)-$E711),($E711*(1-$D$457))*$D711),0)*AG$453</f>
        <v>0</v>
      </c>
      <c r="AH711">
        <f>IF(AH$455&gt;=$C711,MIN(-(SUM($F711:AG711)-$E711),($E711*(1-$D$457))*$D711),0)*AH$453</f>
        <v>0</v>
      </c>
      <c r="AI711">
        <f>IF(AI$455&gt;=$C711,MIN(-(SUM($F711:AH711)-$E711),($E711*(1-$D$457))*$D711),0)*AI$453</f>
        <v>0</v>
      </c>
      <c r="AJ711">
        <f>IF(AJ$455&gt;=$C711,MIN(-(SUM($F711:AI711)-$E711),($E711*(1-$D$457))*$D711),0)*AJ$453</f>
        <v>0</v>
      </c>
      <c r="AK711">
        <f>IF(AK$455&gt;=$C711,MIN(-(SUM($F711:AJ711)-$E711),($E711*(1-$D$457))*$D711),0)*AK$453</f>
        <v>0</v>
      </c>
      <c r="AL711">
        <f>IF(AL$455&gt;=$C711,MIN(-(SUM($F711:AK711)-$E711),($E711*(1-$D$457))*$D711),0)*AL$453</f>
        <v>0</v>
      </c>
      <c r="AM711">
        <f>IF(AM$455&gt;=$C711,MIN(-(SUM($F711:AL711)-$E711),($E711*(1-$D$457))*$D711),0)*AM$453</f>
        <v>0</v>
      </c>
      <c r="AN711">
        <f>IF(AN$455&gt;=$C711,MIN(-(SUM($F711:AM711)-$E711),($E711*(1-$D$457))*$D711),0)*AN$453</f>
        <v>0</v>
      </c>
    </row>
    <row r="712" spans="3:160" outlineLevel="4">
      <c r="C712">
        <v>28</v>
      </c>
      <c r="D712">
        <f>Inputs!$D$259</f>
        <v>0.1</v>
      </c>
      <c r="E712">
        <v>0</v>
      </c>
      <c r="F712" s="461">
        <f>E712*D682</f>
        <v>0</v>
      </c>
      <c r="G712">
        <f>IF(G$455&gt;=$C712,MIN(-(SUM(F712:$F712)-$E712),($E712*(1-$D$457))*$D712),0)*G$453</f>
        <v>0</v>
      </c>
      <c r="H712">
        <f>IF(H$455&gt;=$C712,MIN(-(SUM($F712:G712)-$E712),($E712*(1-$D$457))*$D712),0)*H$453</f>
        <v>0</v>
      </c>
      <c r="I712">
        <f>IF(I$455&gt;=$C712,MIN(-(SUM($F712:H712)-$E712),($E712*(1-$D$457))*$D712),0)*I$453</f>
        <v>0</v>
      </c>
      <c r="J712">
        <f>IF(J$455&gt;=$C712,MIN(-(SUM($F712:I712)-$E712),($E712*(1-$D$457))*$D712),0)*J$453</f>
        <v>0</v>
      </c>
      <c r="K712">
        <f>IF(K$455&gt;=$C712,MIN(-(SUM($F712:J712)-$E712),($E712*(1-$D$457))*$D712),0)*K$453</f>
        <v>0</v>
      </c>
      <c r="L712">
        <f>IF(L$455&gt;=$C712,MIN(-(SUM($F712:K712)-$E712),($E712*(1-$D$457))*$D712),0)*L$453</f>
        <v>0</v>
      </c>
      <c r="M712">
        <f>IF(M$455&gt;=$C712,MIN(-(SUM($F712:L712)-$E712),($E712*(1-$D$457))*$D712),0)*M$453</f>
        <v>0</v>
      </c>
      <c r="N712">
        <f>IF(N$455&gt;=$C712,MIN(-(SUM($F712:M712)-$E712),($E712*(1-$D$457))*$D712),0)*N$453</f>
        <v>0</v>
      </c>
      <c r="O712">
        <f>IF(O$455&gt;=$C712,MIN(-(SUM($F712:N712)-$E712),($E712*(1-$D$457))*$D712),0)*O$453</f>
        <v>0</v>
      </c>
      <c r="P712">
        <f>IF(P$455&gt;=$C712,MIN(-(SUM($F712:O712)-$E712),($E712*(1-$D$457))*$D712),0)*P$453</f>
        <v>0</v>
      </c>
      <c r="Q712">
        <f>IF(Q$455&gt;=$C712,MIN(-(SUM($F712:P712)-$E712),($E712*(1-$D$457))*$D712),0)*Q$453</f>
        <v>0</v>
      </c>
      <c r="R712">
        <f>IF(R$455&gt;=$C712,MIN(-(SUM($F712:Q712)-$E712),($E712*(1-$D$457))*$D712),0)*R$453</f>
        <v>0</v>
      </c>
      <c r="S712">
        <f>IF(S$455&gt;=$C712,MIN(-(SUM($F712:R712)-$E712),($E712*(1-$D$457))*$D712),0)*S$453</f>
        <v>0</v>
      </c>
      <c r="T712">
        <f>IF(T$455&gt;=$C712,MIN(-(SUM($F712:S712)-$E712),($E712*(1-$D$457))*$D712),0)*T$453</f>
        <v>0</v>
      </c>
      <c r="U712">
        <f>IF(U$455&gt;=$C712,MIN(-(SUM($F712:T712)-$E712),($E712*(1-$D$457))*$D712),0)*U$453</f>
        <v>0</v>
      </c>
      <c r="V712">
        <f>IF(V$455&gt;=$C712,MIN(-(SUM($F712:U712)-$E712),($E712*(1-$D$457))*$D712),0)*V$453</f>
        <v>0</v>
      </c>
      <c r="W712">
        <f>IF(W$455&gt;=$C712,MIN(-(SUM($F712:V712)-$E712),($E712*(1-$D$457))*$D712),0)*W$453</f>
        <v>0</v>
      </c>
      <c r="X712">
        <f>IF(X$455&gt;=$C712,MIN(-(SUM($F712:W712)-$E712),($E712*(1-$D$457))*$D712),0)*X$453</f>
        <v>0</v>
      </c>
      <c r="Y712">
        <f>IF(Y$455&gt;=$C712,MIN(-(SUM($F712:X712)-$E712),($E712*(1-$D$457))*$D712),0)*Y$453</f>
        <v>0</v>
      </c>
      <c r="Z712">
        <f>IF(Z$455&gt;=$C712,MIN(-(SUM($F712:Y712)-$E712),($E712*(1-$D$457))*$D712),0)*Z$453</f>
        <v>0</v>
      </c>
      <c r="AA712">
        <f>IF(AA$455&gt;=$C712,MIN(-(SUM($F712:Z712)-$E712),($E712*(1-$D$457))*$D712),0)*AA$453</f>
        <v>0</v>
      </c>
      <c r="AB712">
        <f>IF(AB$455&gt;=$C712,MIN(-(SUM($F712:AA712)-$E712),($E712*(1-$D$457))*$D712),0)*AB$453</f>
        <v>0</v>
      </c>
      <c r="AC712">
        <f>IF(AC$455&gt;=$C712,MIN(-(SUM($F712:AB712)-$E712),($E712*(1-$D$457))*$D712),0)*AC$453</f>
        <v>0</v>
      </c>
      <c r="AD712">
        <f>IF(AD$455&gt;=$C712,MIN(-(SUM($F712:AC712)-$E712),($E712*(1-$D$457))*$D712),0)*AD$453</f>
        <v>0</v>
      </c>
      <c r="AE712">
        <f>IF(AE$455&gt;=$C712,MIN(-(SUM($F712:AD712)-$E712),($E712*(1-$D$457))*$D712),0)*AE$453</f>
        <v>0</v>
      </c>
      <c r="AF712">
        <f>IF(AF$455&gt;=$C712,MIN(-(SUM($F712:AE712)-$E712),($E712*(1-$D$457))*$D712),0)*AF$453</f>
        <v>0</v>
      </c>
      <c r="AG712">
        <f>IF(AG$455&gt;=$C712,MIN(-(SUM($F712:AF712)-$E712),($E712*(1-$D$457))*$D712),0)*AG$453</f>
        <v>0</v>
      </c>
      <c r="AH712">
        <f>IF(AH$455&gt;=$C712,MIN(-(SUM($F712:AG712)-$E712),($E712*(1-$D$457))*$D712),0)*AH$453</f>
        <v>0</v>
      </c>
      <c r="AI712">
        <f>IF(AI$455&gt;=$C712,MIN(-(SUM($F712:AH712)-$E712),($E712*(1-$D$457))*$D712),0)*AI$453</f>
        <v>0</v>
      </c>
      <c r="AJ712">
        <f>IF(AJ$455&gt;=$C712,MIN(-(SUM($F712:AI712)-$E712),($E712*(1-$D$457))*$D712),0)*AJ$453</f>
        <v>0</v>
      </c>
      <c r="AK712">
        <f>IF(AK$455&gt;=$C712,MIN(-(SUM($F712:AJ712)-$E712),($E712*(1-$D$457))*$D712),0)*AK$453</f>
        <v>0</v>
      </c>
      <c r="AL712">
        <f>IF(AL$455&gt;=$C712,MIN(-(SUM($F712:AK712)-$E712),($E712*(1-$D$457))*$D712),0)*AL$453</f>
        <v>0</v>
      </c>
      <c r="AM712">
        <f>IF(AM$455&gt;=$C712,MIN(-(SUM($F712:AL712)-$E712),($E712*(1-$D$457))*$D712),0)*AM$453</f>
        <v>0</v>
      </c>
      <c r="AN712">
        <f>IF(AN$455&gt;=$C712,MIN(-(SUM($F712:AM712)-$E712),($E712*(1-$D$457))*$D712),0)*AN$453</f>
        <v>0</v>
      </c>
    </row>
    <row r="713" spans="3:160" outlineLevel="4">
      <c r="C713">
        <v>29</v>
      </c>
      <c r="D713">
        <f>Inputs!$D$259</f>
        <v>0.1</v>
      </c>
      <c r="E713">
        <v>0</v>
      </c>
      <c r="F713" s="461">
        <f>E713*D682</f>
        <v>0</v>
      </c>
      <c r="G713">
        <f>IF(G$455&gt;=$C713,MIN(-(SUM(F713:$F713)-$E713),($E713*(1-$D$457))*$D713),0)*G$453</f>
        <v>0</v>
      </c>
      <c r="H713">
        <f>IF(H$455&gt;=$C713,MIN(-(SUM($F713:G713)-$E713),($E713*(1-$D$457))*$D713),0)*H$453</f>
        <v>0</v>
      </c>
      <c r="I713">
        <f>IF(I$455&gt;=$C713,MIN(-(SUM($F713:H713)-$E713),($E713*(1-$D$457))*$D713),0)*I$453</f>
        <v>0</v>
      </c>
      <c r="J713">
        <f>IF(J$455&gt;=$C713,MIN(-(SUM($F713:I713)-$E713),($E713*(1-$D$457))*$D713),0)*J$453</f>
        <v>0</v>
      </c>
      <c r="K713">
        <f>IF(K$455&gt;=$C713,MIN(-(SUM($F713:J713)-$E713),($E713*(1-$D$457))*$D713),0)*K$453</f>
        <v>0</v>
      </c>
      <c r="L713">
        <f>IF(L$455&gt;=$C713,MIN(-(SUM($F713:K713)-$E713),($E713*(1-$D$457))*$D713),0)*L$453</f>
        <v>0</v>
      </c>
      <c r="M713">
        <f>IF(M$455&gt;=$C713,MIN(-(SUM($F713:L713)-$E713),($E713*(1-$D$457))*$D713),0)*M$453</f>
        <v>0</v>
      </c>
      <c r="N713">
        <f>IF(N$455&gt;=$C713,MIN(-(SUM($F713:M713)-$E713),($E713*(1-$D$457))*$D713),0)*N$453</f>
        <v>0</v>
      </c>
      <c r="O713">
        <f>IF(O$455&gt;=$C713,MIN(-(SUM($F713:N713)-$E713),($E713*(1-$D$457))*$D713),0)*O$453</f>
        <v>0</v>
      </c>
      <c r="P713">
        <f>IF(P$455&gt;=$C713,MIN(-(SUM($F713:O713)-$E713),($E713*(1-$D$457))*$D713),0)*P$453</f>
        <v>0</v>
      </c>
      <c r="Q713">
        <f>IF(Q$455&gt;=$C713,MIN(-(SUM($F713:P713)-$E713),($E713*(1-$D$457))*$D713),0)*Q$453</f>
        <v>0</v>
      </c>
      <c r="R713">
        <f>IF(R$455&gt;=$C713,MIN(-(SUM($F713:Q713)-$E713),($E713*(1-$D$457))*$D713),0)*R$453</f>
        <v>0</v>
      </c>
      <c r="S713">
        <f>IF(S$455&gt;=$C713,MIN(-(SUM($F713:R713)-$E713),($E713*(1-$D$457))*$D713),0)*S$453</f>
        <v>0</v>
      </c>
      <c r="T713">
        <f>IF(T$455&gt;=$C713,MIN(-(SUM($F713:S713)-$E713),($E713*(1-$D$457))*$D713),0)*T$453</f>
        <v>0</v>
      </c>
      <c r="U713">
        <f>IF(U$455&gt;=$C713,MIN(-(SUM($F713:T713)-$E713),($E713*(1-$D$457))*$D713),0)*U$453</f>
        <v>0</v>
      </c>
      <c r="V713">
        <f>IF(V$455&gt;=$C713,MIN(-(SUM($F713:U713)-$E713),($E713*(1-$D$457))*$D713),0)*V$453</f>
        <v>0</v>
      </c>
      <c r="W713">
        <f>IF(W$455&gt;=$C713,MIN(-(SUM($F713:V713)-$E713),($E713*(1-$D$457))*$D713),0)*W$453</f>
        <v>0</v>
      </c>
      <c r="X713">
        <f>IF(X$455&gt;=$C713,MIN(-(SUM($F713:W713)-$E713),($E713*(1-$D$457))*$D713),0)*X$453</f>
        <v>0</v>
      </c>
      <c r="Y713">
        <f>IF(Y$455&gt;=$C713,MIN(-(SUM($F713:X713)-$E713),($E713*(1-$D$457))*$D713),0)*Y$453</f>
        <v>0</v>
      </c>
      <c r="Z713">
        <f>IF(Z$455&gt;=$C713,MIN(-(SUM($F713:Y713)-$E713),($E713*(1-$D$457))*$D713),0)*Z$453</f>
        <v>0</v>
      </c>
      <c r="AA713">
        <f>IF(AA$455&gt;=$C713,MIN(-(SUM($F713:Z713)-$E713),($E713*(1-$D$457))*$D713),0)*AA$453</f>
        <v>0</v>
      </c>
      <c r="AB713">
        <f>IF(AB$455&gt;=$C713,MIN(-(SUM($F713:AA713)-$E713),($E713*(1-$D$457))*$D713),0)*AB$453</f>
        <v>0</v>
      </c>
      <c r="AC713">
        <f>IF(AC$455&gt;=$C713,MIN(-(SUM($F713:AB713)-$E713),($E713*(1-$D$457))*$D713),0)*AC$453</f>
        <v>0</v>
      </c>
      <c r="AD713">
        <f>IF(AD$455&gt;=$C713,MIN(-(SUM($F713:AC713)-$E713),($E713*(1-$D$457))*$D713),0)*AD$453</f>
        <v>0</v>
      </c>
      <c r="AE713">
        <f>IF(AE$455&gt;=$C713,MIN(-(SUM($F713:AD713)-$E713),($E713*(1-$D$457))*$D713),0)*AE$453</f>
        <v>0</v>
      </c>
      <c r="AF713">
        <f>IF(AF$455&gt;=$C713,MIN(-(SUM($F713:AE713)-$E713),($E713*(1-$D$457))*$D713),0)*AF$453</f>
        <v>0</v>
      </c>
      <c r="AG713">
        <f>IF(AG$455&gt;=$C713,MIN(-(SUM($F713:AF713)-$E713),($E713*(1-$D$457))*$D713),0)*AG$453</f>
        <v>0</v>
      </c>
      <c r="AH713">
        <f>IF(AH$455&gt;=$C713,MIN(-(SUM($F713:AG713)-$E713),($E713*(1-$D$457))*$D713),0)*AH$453</f>
        <v>0</v>
      </c>
      <c r="AI713">
        <f>IF(AI$455&gt;=$C713,MIN(-(SUM($F713:AH713)-$E713),($E713*(1-$D$457))*$D713),0)*AI$453</f>
        <v>0</v>
      </c>
      <c r="AJ713">
        <f>IF(AJ$455&gt;=$C713,MIN(-(SUM($F713:AI713)-$E713),($E713*(1-$D$457))*$D713),0)*AJ$453</f>
        <v>0</v>
      </c>
      <c r="AK713">
        <f>IF(AK$455&gt;=$C713,MIN(-(SUM($F713:AJ713)-$E713),($E713*(1-$D$457))*$D713),0)*AK$453</f>
        <v>0</v>
      </c>
      <c r="AL713">
        <f>IF(AL$455&gt;=$C713,MIN(-(SUM($F713:AK713)-$E713),($E713*(1-$D$457))*$D713),0)*AL$453</f>
        <v>0</v>
      </c>
      <c r="AM713">
        <f>IF(AM$455&gt;=$C713,MIN(-(SUM($F713:AL713)-$E713),($E713*(1-$D$457))*$D713),0)*AM$453</f>
        <v>0</v>
      </c>
      <c r="AN713">
        <f>IF(AN$455&gt;=$C713,MIN(-(SUM($F713:AM713)-$E713),($E713*(1-$D$457))*$D713),0)*AN$453</f>
        <v>0</v>
      </c>
    </row>
    <row r="714" spans="3:160" outlineLevel="4">
      <c r="C714">
        <v>30</v>
      </c>
      <c r="D714">
        <f>Inputs!$D$259</f>
        <v>0.1</v>
      </c>
      <c r="E714">
        <v>0</v>
      </c>
      <c r="F714" s="461">
        <f>E714*D682</f>
        <v>0</v>
      </c>
      <c r="G714">
        <f>IF(G$455&gt;=$C714,MIN(-(SUM(F714:$F714)-$E714),($E714*(1-$D$457))*$D714),0)*G$453</f>
        <v>0</v>
      </c>
      <c r="H714">
        <f>IF(H$455&gt;=$C714,MIN(-(SUM($F714:G714)-$E714),($E714*(1-$D$457))*$D714),0)*H$453</f>
        <v>0</v>
      </c>
      <c r="I714">
        <f>IF(I$455&gt;=$C714,MIN(-(SUM($F714:H714)-$E714),($E714*(1-$D$457))*$D714),0)*I$453</f>
        <v>0</v>
      </c>
      <c r="J714">
        <f>IF(J$455&gt;=$C714,MIN(-(SUM($F714:I714)-$E714),($E714*(1-$D$457))*$D714),0)*J$453</f>
        <v>0</v>
      </c>
      <c r="K714">
        <f>IF(K$455&gt;=$C714,MIN(-(SUM($F714:J714)-$E714),($E714*(1-$D$457))*$D714),0)*K$453</f>
        <v>0</v>
      </c>
      <c r="L714">
        <f>IF(L$455&gt;=$C714,MIN(-(SUM($F714:K714)-$E714),($E714*(1-$D$457))*$D714),0)*L$453</f>
        <v>0</v>
      </c>
      <c r="M714">
        <f>IF(M$455&gt;=$C714,MIN(-(SUM($F714:L714)-$E714),($E714*(1-$D$457))*$D714),0)*M$453</f>
        <v>0</v>
      </c>
      <c r="N714">
        <f>IF(N$455&gt;=$C714,MIN(-(SUM($F714:M714)-$E714),($E714*(1-$D$457))*$D714),0)*N$453</f>
        <v>0</v>
      </c>
      <c r="O714">
        <f>IF(O$455&gt;=$C714,MIN(-(SUM($F714:N714)-$E714),($E714*(1-$D$457))*$D714),0)*O$453</f>
        <v>0</v>
      </c>
      <c r="P714">
        <f>IF(P$455&gt;=$C714,MIN(-(SUM($F714:O714)-$E714),($E714*(1-$D$457))*$D714),0)*P$453</f>
        <v>0</v>
      </c>
      <c r="Q714">
        <f>IF(Q$455&gt;=$C714,MIN(-(SUM($F714:P714)-$E714),($E714*(1-$D$457))*$D714),0)*Q$453</f>
        <v>0</v>
      </c>
      <c r="R714">
        <f>IF(R$455&gt;=$C714,MIN(-(SUM($F714:Q714)-$E714),($E714*(1-$D$457))*$D714),0)*R$453</f>
        <v>0</v>
      </c>
      <c r="S714">
        <f>IF(S$455&gt;=$C714,MIN(-(SUM($F714:R714)-$E714),($E714*(1-$D$457))*$D714),0)*S$453</f>
        <v>0</v>
      </c>
      <c r="T714">
        <f>IF(T$455&gt;=$C714,MIN(-(SUM($F714:S714)-$E714),($E714*(1-$D$457))*$D714),0)*T$453</f>
        <v>0</v>
      </c>
      <c r="U714">
        <f>IF(U$455&gt;=$C714,MIN(-(SUM($F714:T714)-$E714),($E714*(1-$D$457))*$D714),0)*U$453</f>
        <v>0</v>
      </c>
      <c r="V714">
        <f>IF(V$455&gt;=$C714,MIN(-(SUM($F714:U714)-$E714),($E714*(1-$D$457))*$D714),0)*V$453</f>
        <v>0</v>
      </c>
      <c r="W714">
        <f>IF(W$455&gt;=$C714,MIN(-(SUM($F714:V714)-$E714),($E714*(1-$D$457))*$D714),0)*W$453</f>
        <v>0</v>
      </c>
      <c r="X714">
        <f>IF(X$455&gt;=$C714,MIN(-(SUM($F714:W714)-$E714),($E714*(1-$D$457))*$D714),0)*X$453</f>
        <v>0</v>
      </c>
      <c r="Y714">
        <f>IF(Y$455&gt;=$C714,MIN(-(SUM($F714:X714)-$E714),($E714*(1-$D$457))*$D714),0)*Y$453</f>
        <v>0</v>
      </c>
      <c r="Z714">
        <f>IF(Z$455&gt;=$C714,MIN(-(SUM($F714:Y714)-$E714),($E714*(1-$D$457))*$D714),0)*Z$453</f>
        <v>0</v>
      </c>
      <c r="AA714">
        <f>IF(AA$455&gt;=$C714,MIN(-(SUM($F714:Z714)-$E714),($E714*(1-$D$457))*$D714),0)*AA$453</f>
        <v>0</v>
      </c>
      <c r="AB714">
        <f>IF(AB$455&gt;=$C714,MIN(-(SUM($F714:AA714)-$E714),($E714*(1-$D$457))*$D714),0)*AB$453</f>
        <v>0</v>
      </c>
      <c r="AC714">
        <f>IF(AC$455&gt;=$C714,MIN(-(SUM($F714:AB714)-$E714),($E714*(1-$D$457))*$D714),0)*AC$453</f>
        <v>0</v>
      </c>
      <c r="AD714">
        <f>IF(AD$455&gt;=$C714,MIN(-(SUM($F714:AC714)-$E714),($E714*(1-$D$457))*$D714),0)*AD$453</f>
        <v>0</v>
      </c>
      <c r="AE714">
        <f>IF(AE$455&gt;=$C714,MIN(-(SUM($F714:AD714)-$E714),($E714*(1-$D$457))*$D714),0)*AE$453</f>
        <v>0</v>
      </c>
      <c r="AF714">
        <f>IF(AF$455&gt;=$C714,MIN(-(SUM($F714:AE714)-$E714),($E714*(1-$D$457))*$D714),0)*AF$453</f>
        <v>0</v>
      </c>
      <c r="AG714">
        <f>IF(AG$455&gt;=$C714,MIN(-(SUM($F714:AF714)-$E714),($E714*(1-$D$457))*$D714),0)*AG$453</f>
        <v>0</v>
      </c>
      <c r="AH714">
        <f>IF(AH$455&gt;=$C714,MIN(-(SUM($F714:AG714)-$E714),($E714*(1-$D$457))*$D714),0)*AH$453</f>
        <v>0</v>
      </c>
      <c r="AI714">
        <f>IF(AI$455&gt;=$C714,MIN(-(SUM($F714:AH714)-$E714),($E714*(1-$D$457))*$D714),0)*AI$453</f>
        <v>0</v>
      </c>
      <c r="AJ714">
        <f>IF(AJ$455&gt;=$C714,MIN(-(SUM($F714:AI714)-$E714),($E714*(1-$D$457))*$D714),0)*AJ$453</f>
        <v>0</v>
      </c>
      <c r="AK714">
        <f>IF(AK$455&gt;=$C714,MIN(-(SUM($F714:AJ714)-$E714),($E714*(1-$D$457))*$D714),0)*AK$453</f>
        <v>0</v>
      </c>
      <c r="AL714">
        <f>IF(AL$455&gt;=$C714,MIN(-(SUM($F714:AK714)-$E714),($E714*(1-$D$457))*$D714),0)*AL$453</f>
        <v>0</v>
      </c>
      <c r="AM714">
        <f>IF(AM$455&gt;=$C714,MIN(-(SUM($F714:AL714)-$E714),($E714*(1-$D$457))*$D714),0)*AM$453</f>
        <v>0</v>
      </c>
      <c r="AN714">
        <f>IF(AN$455&gt;=$C714,MIN(-(SUM($F714:AM714)-$E714),($E714*(1-$D$457))*$D714),0)*AN$453</f>
        <v>0</v>
      </c>
    </row>
    <row r="715" spans="3:160" outlineLevel="4">
      <c r="C715">
        <v>31</v>
      </c>
      <c r="D715">
        <f>Inputs!$D$259</f>
        <v>0.1</v>
      </c>
      <c r="E715">
        <v>0</v>
      </c>
      <c r="F715" s="461">
        <f>E715*D682</f>
        <v>0</v>
      </c>
      <c r="G715">
        <f>IF(G$455&gt;=$C715,MIN(-(SUM(F715:$F715)-$E715),($E715*(1-$D$457))*$D715),0)*G$453</f>
        <v>0</v>
      </c>
      <c r="H715">
        <f>IF(H$455&gt;=$C715,MIN(-(SUM($F715:G715)-$E715),($E715*(1-$D$457))*$D715),0)*H$453</f>
        <v>0</v>
      </c>
      <c r="I715">
        <f>IF(I$455&gt;=$C715,MIN(-(SUM($F715:H715)-$E715),($E715*(1-$D$457))*$D715),0)*I$453</f>
        <v>0</v>
      </c>
      <c r="J715">
        <f>IF(J$455&gt;=$C715,MIN(-(SUM($F715:I715)-$E715),($E715*(1-$D$457))*$D715),0)*J$453</f>
        <v>0</v>
      </c>
      <c r="K715">
        <f>IF(K$455&gt;=$C715,MIN(-(SUM($F715:J715)-$E715),($E715*(1-$D$457))*$D715),0)*K$453</f>
        <v>0</v>
      </c>
      <c r="L715">
        <f>IF(L$455&gt;=$C715,MIN(-(SUM($F715:K715)-$E715),($E715*(1-$D$457))*$D715),0)*L$453</f>
        <v>0</v>
      </c>
      <c r="M715">
        <f>IF(M$455&gt;=$C715,MIN(-(SUM($F715:L715)-$E715),($E715*(1-$D$457))*$D715),0)*M$453</f>
        <v>0</v>
      </c>
      <c r="N715">
        <f>IF(N$455&gt;=$C715,MIN(-(SUM($F715:M715)-$E715),($E715*(1-$D$457))*$D715),0)*N$453</f>
        <v>0</v>
      </c>
      <c r="O715">
        <f>IF(O$455&gt;=$C715,MIN(-(SUM($F715:N715)-$E715),($E715*(1-$D$457))*$D715),0)*O$453</f>
        <v>0</v>
      </c>
      <c r="P715">
        <f>IF(P$455&gt;=$C715,MIN(-(SUM($F715:O715)-$E715),($E715*(1-$D$457))*$D715),0)*P$453</f>
        <v>0</v>
      </c>
      <c r="Q715">
        <f>IF(Q$455&gt;=$C715,MIN(-(SUM($F715:P715)-$E715),($E715*(1-$D$457))*$D715),0)*Q$453</f>
        <v>0</v>
      </c>
      <c r="R715">
        <f>IF(R$455&gt;=$C715,MIN(-(SUM($F715:Q715)-$E715),($E715*(1-$D$457))*$D715),0)*R$453</f>
        <v>0</v>
      </c>
      <c r="S715">
        <f>IF(S$455&gt;=$C715,MIN(-(SUM($F715:R715)-$E715),($E715*(1-$D$457))*$D715),0)*S$453</f>
        <v>0</v>
      </c>
      <c r="T715">
        <f>IF(T$455&gt;=$C715,MIN(-(SUM($F715:S715)-$E715),($E715*(1-$D$457))*$D715),0)*T$453</f>
        <v>0</v>
      </c>
      <c r="U715">
        <f>IF(U$455&gt;=$C715,MIN(-(SUM($F715:T715)-$E715),($E715*(1-$D$457))*$D715),0)*U$453</f>
        <v>0</v>
      </c>
      <c r="V715">
        <f>IF(V$455&gt;=$C715,MIN(-(SUM($F715:U715)-$E715),($E715*(1-$D$457))*$D715),0)*V$453</f>
        <v>0</v>
      </c>
      <c r="W715">
        <f>IF(W$455&gt;=$C715,MIN(-(SUM($F715:V715)-$E715),($E715*(1-$D$457))*$D715),0)*W$453</f>
        <v>0</v>
      </c>
      <c r="X715">
        <f>IF(X$455&gt;=$C715,MIN(-(SUM($F715:W715)-$E715),($E715*(1-$D$457))*$D715),0)*X$453</f>
        <v>0</v>
      </c>
      <c r="Y715">
        <f>IF(Y$455&gt;=$C715,MIN(-(SUM($F715:X715)-$E715),($E715*(1-$D$457))*$D715),0)*Y$453</f>
        <v>0</v>
      </c>
      <c r="Z715">
        <f>IF(Z$455&gt;=$C715,MIN(-(SUM($F715:Y715)-$E715),($E715*(1-$D$457))*$D715),0)*Z$453</f>
        <v>0</v>
      </c>
      <c r="AA715">
        <f>IF(AA$455&gt;=$C715,MIN(-(SUM($F715:Z715)-$E715),($E715*(1-$D$457))*$D715),0)*AA$453</f>
        <v>0</v>
      </c>
      <c r="AB715">
        <f>IF(AB$455&gt;=$C715,MIN(-(SUM($F715:AA715)-$E715),($E715*(1-$D$457))*$D715),0)*AB$453</f>
        <v>0</v>
      </c>
      <c r="AC715">
        <f>IF(AC$455&gt;=$C715,MIN(-(SUM($F715:AB715)-$E715),($E715*(1-$D$457))*$D715),0)*AC$453</f>
        <v>0</v>
      </c>
      <c r="AD715">
        <f>IF(AD$455&gt;=$C715,MIN(-(SUM($F715:AC715)-$E715),($E715*(1-$D$457))*$D715),0)*AD$453</f>
        <v>0</v>
      </c>
      <c r="AE715">
        <f>IF(AE$455&gt;=$C715,MIN(-(SUM($F715:AD715)-$E715),($E715*(1-$D$457))*$D715),0)*AE$453</f>
        <v>0</v>
      </c>
      <c r="AF715">
        <f>IF(AF$455&gt;=$C715,MIN(-(SUM($F715:AE715)-$E715),($E715*(1-$D$457))*$D715),0)*AF$453</f>
        <v>0</v>
      </c>
      <c r="AG715">
        <f>IF(AG$455&gt;=$C715,MIN(-(SUM($F715:AF715)-$E715),($E715*(1-$D$457))*$D715),0)*AG$453</f>
        <v>0</v>
      </c>
      <c r="AH715">
        <f>IF(AH$455&gt;=$C715,MIN(-(SUM($F715:AG715)-$E715),($E715*(1-$D$457))*$D715),0)*AH$453</f>
        <v>0</v>
      </c>
      <c r="AI715">
        <f>IF(AI$455&gt;=$C715,MIN(-(SUM($F715:AH715)-$E715),($E715*(1-$D$457))*$D715),0)*AI$453</f>
        <v>0</v>
      </c>
      <c r="AJ715">
        <f>IF(AJ$455&gt;=$C715,MIN(-(SUM($F715:AI715)-$E715),($E715*(1-$D$457))*$D715),0)*AJ$453</f>
        <v>0</v>
      </c>
      <c r="AK715">
        <f>IF(AK$455&gt;=$C715,MIN(-(SUM($F715:AJ715)-$E715),($E715*(1-$D$457))*$D715),0)*AK$453</f>
        <v>0</v>
      </c>
      <c r="AL715">
        <f>IF(AL$455&gt;=$C715,MIN(-(SUM($F715:AK715)-$E715),($E715*(1-$D$457))*$D715),0)*AL$453</f>
        <v>0</v>
      </c>
      <c r="AM715">
        <f>IF(AM$455&gt;=$C715,MIN(-(SUM($F715:AL715)-$E715),($E715*(1-$D$457))*$D715),0)*AM$453</f>
        <v>0</v>
      </c>
      <c r="AN715">
        <f>IF(AN$455&gt;=$C715,MIN(-(SUM($F715:AM715)-$E715),($E715*(1-$D$457))*$D715),0)*AN$453</f>
        <v>0</v>
      </c>
    </row>
    <row r="716" spans="3:160" outlineLevel="4">
      <c r="C716">
        <v>32</v>
      </c>
      <c r="D716">
        <f>Inputs!$D$259</f>
        <v>0.1</v>
      </c>
      <c r="E716">
        <v>0</v>
      </c>
      <c r="F716" s="461">
        <f>E716*D682</f>
        <v>0</v>
      </c>
      <c r="G716">
        <f>IF(G$455&gt;=$C716,MIN(-(SUM(F716:$F716)-$E716),($E716*(1-$D$457))*$D716),0)*G$453</f>
        <v>0</v>
      </c>
      <c r="H716">
        <f>IF(H$455&gt;=$C716,MIN(-(SUM($F716:G716)-$E716),($E716*(1-$D$457))*$D716),0)*H$453</f>
        <v>0</v>
      </c>
      <c r="I716">
        <f>IF(I$455&gt;=$C716,MIN(-(SUM($F716:H716)-$E716),($E716*(1-$D$457))*$D716),0)*I$453</f>
        <v>0</v>
      </c>
      <c r="J716">
        <f>IF(J$455&gt;=$C716,MIN(-(SUM($F716:I716)-$E716),($E716*(1-$D$457))*$D716),0)*J$453</f>
        <v>0</v>
      </c>
      <c r="K716">
        <f>IF(K$455&gt;=$C716,MIN(-(SUM($F716:J716)-$E716),($E716*(1-$D$457))*$D716),0)*K$453</f>
        <v>0</v>
      </c>
      <c r="L716">
        <f>IF(L$455&gt;=$C716,MIN(-(SUM($F716:K716)-$E716),($E716*(1-$D$457))*$D716),0)*L$453</f>
        <v>0</v>
      </c>
      <c r="M716">
        <f>IF(M$455&gt;=$C716,MIN(-(SUM($F716:L716)-$E716),($E716*(1-$D$457))*$D716),0)*M$453</f>
        <v>0</v>
      </c>
      <c r="N716">
        <f>IF(N$455&gt;=$C716,MIN(-(SUM($F716:M716)-$E716),($E716*(1-$D$457))*$D716),0)*N$453</f>
        <v>0</v>
      </c>
      <c r="O716">
        <f>IF(O$455&gt;=$C716,MIN(-(SUM($F716:N716)-$E716),($E716*(1-$D$457))*$D716),0)*O$453</f>
        <v>0</v>
      </c>
      <c r="P716">
        <f>IF(P$455&gt;=$C716,MIN(-(SUM($F716:O716)-$E716),($E716*(1-$D$457))*$D716),0)*P$453</f>
        <v>0</v>
      </c>
      <c r="Q716">
        <f>IF(Q$455&gt;=$C716,MIN(-(SUM($F716:P716)-$E716),($E716*(1-$D$457))*$D716),0)*Q$453</f>
        <v>0</v>
      </c>
      <c r="R716">
        <f>IF(R$455&gt;=$C716,MIN(-(SUM($F716:Q716)-$E716),($E716*(1-$D$457))*$D716),0)*R$453</f>
        <v>0</v>
      </c>
      <c r="S716">
        <f>IF(S$455&gt;=$C716,MIN(-(SUM($F716:R716)-$E716),($E716*(1-$D$457))*$D716),0)*S$453</f>
        <v>0</v>
      </c>
      <c r="T716">
        <f>IF(T$455&gt;=$C716,MIN(-(SUM($F716:S716)-$E716),($E716*(1-$D$457))*$D716),0)*T$453</f>
        <v>0</v>
      </c>
      <c r="U716">
        <f>IF(U$455&gt;=$C716,MIN(-(SUM($F716:T716)-$E716),($E716*(1-$D$457))*$D716),0)*U$453</f>
        <v>0</v>
      </c>
      <c r="V716">
        <f>IF(V$455&gt;=$C716,MIN(-(SUM($F716:U716)-$E716),($E716*(1-$D$457))*$D716),0)*V$453</f>
        <v>0</v>
      </c>
      <c r="W716">
        <f>IF(W$455&gt;=$C716,MIN(-(SUM($F716:V716)-$E716),($E716*(1-$D$457))*$D716),0)*W$453</f>
        <v>0</v>
      </c>
      <c r="X716">
        <f>IF(X$455&gt;=$C716,MIN(-(SUM($F716:W716)-$E716),($E716*(1-$D$457))*$D716),0)*X$453</f>
        <v>0</v>
      </c>
      <c r="Y716">
        <f>IF(Y$455&gt;=$C716,MIN(-(SUM($F716:X716)-$E716),($E716*(1-$D$457))*$D716),0)*Y$453</f>
        <v>0</v>
      </c>
      <c r="Z716">
        <f>IF(Z$455&gt;=$C716,MIN(-(SUM($F716:Y716)-$E716),($E716*(1-$D$457))*$D716),0)*Z$453</f>
        <v>0</v>
      </c>
      <c r="AA716">
        <f>IF(AA$455&gt;=$C716,MIN(-(SUM($F716:Z716)-$E716),($E716*(1-$D$457))*$D716),0)*AA$453</f>
        <v>0</v>
      </c>
      <c r="AB716">
        <f>IF(AB$455&gt;=$C716,MIN(-(SUM($F716:AA716)-$E716),($E716*(1-$D$457))*$D716),0)*AB$453</f>
        <v>0</v>
      </c>
      <c r="AC716">
        <f>IF(AC$455&gt;=$C716,MIN(-(SUM($F716:AB716)-$E716),($E716*(1-$D$457))*$D716),0)*AC$453</f>
        <v>0</v>
      </c>
      <c r="AD716">
        <f>IF(AD$455&gt;=$C716,MIN(-(SUM($F716:AC716)-$E716),($E716*(1-$D$457))*$D716),0)*AD$453</f>
        <v>0</v>
      </c>
      <c r="AE716">
        <f>IF(AE$455&gt;=$C716,MIN(-(SUM($F716:AD716)-$E716),($E716*(1-$D$457))*$D716),0)*AE$453</f>
        <v>0</v>
      </c>
      <c r="AF716">
        <f>IF(AF$455&gt;=$C716,MIN(-(SUM($F716:AE716)-$E716),($E716*(1-$D$457))*$D716),0)*AF$453</f>
        <v>0</v>
      </c>
      <c r="AG716">
        <f>IF(AG$455&gt;=$C716,MIN(-(SUM($F716:AF716)-$E716),($E716*(1-$D$457))*$D716),0)*AG$453</f>
        <v>0</v>
      </c>
      <c r="AH716">
        <f>IF(AH$455&gt;=$C716,MIN(-(SUM($F716:AG716)-$E716),($E716*(1-$D$457))*$D716),0)*AH$453</f>
        <v>0</v>
      </c>
      <c r="AI716">
        <f>IF(AI$455&gt;=$C716,MIN(-(SUM($F716:AH716)-$E716),($E716*(1-$D$457))*$D716),0)*AI$453</f>
        <v>0</v>
      </c>
      <c r="AJ716">
        <f>IF(AJ$455&gt;=$C716,MIN(-(SUM($F716:AI716)-$E716),($E716*(1-$D$457))*$D716),0)*AJ$453</f>
        <v>0</v>
      </c>
      <c r="AK716">
        <f>IF(AK$455&gt;=$C716,MIN(-(SUM($F716:AJ716)-$E716),($E716*(1-$D$457))*$D716),0)*AK$453</f>
        <v>0</v>
      </c>
      <c r="AL716">
        <f>IF(AL$455&gt;=$C716,MIN(-(SUM($F716:AK716)-$E716),($E716*(1-$D$457))*$D716),0)*AL$453</f>
        <v>0</v>
      </c>
      <c r="AM716">
        <f>IF(AM$455&gt;=$C716,MIN(-(SUM($F716:AL716)-$E716),($E716*(1-$D$457))*$D716),0)*AM$453</f>
        <v>0</v>
      </c>
      <c r="AN716">
        <f>IF(AN$455&gt;=$C716,MIN(-(SUM($F716:AM716)-$E716),($E716*(1-$D$457))*$D716),0)*AN$453</f>
        <v>0</v>
      </c>
    </row>
    <row r="717" spans="3:160" outlineLevel="4">
      <c r="C717">
        <v>33</v>
      </c>
      <c r="D717">
        <f>Inputs!$D$259</f>
        <v>0.1</v>
      </c>
      <c r="E717">
        <v>0</v>
      </c>
      <c r="F717" s="461">
        <f>E717*D682</f>
        <v>0</v>
      </c>
      <c r="G717">
        <f>IF(G$455&gt;=$C717,MIN(-(SUM(F717:$F717)-$E717),($E717*(1-$D$457))*$D717),0)*G$453</f>
        <v>0</v>
      </c>
      <c r="H717">
        <f>IF(H$455&gt;=$C717,MIN(-(SUM($F717:G717)-$E717),($E717*(1-$D$457))*$D717),0)*H$453</f>
        <v>0</v>
      </c>
      <c r="I717">
        <f>IF(I$455&gt;=$C717,MIN(-(SUM($F717:H717)-$E717),($E717*(1-$D$457))*$D717),0)*I$453</f>
        <v>0</v>
      </c>
      <c r="J717">
        <f>IF(J$455&gt;=$C717,MIN(-(SUM($F717:I717)-$E717),($E717*(1-$D$457))*$D717),0)*J$453</f>
        <v>0</v>
      </c>
      <c r="K717">
        <f>IF(K$455&gt;=$C717,MIN(-(SUM($F717:J717)-$E717),($E717*(1-$D$457))*$D717),0)*K$453</f>
        <v>0</v>
      </c>
      <c r="L717">
        <f>IF(L$455&gt;=$C717,MIN(-(SUM($F717:K717)-$E717),($E717*(1-$D$457))*$D717),0)*L$453</f>
        <v>0</v>
      </c>
      <c r="M717">
        <f>IF(M$455&gt;=$C717,MIN(-(SUM($F717:L717)-$E717),($E717*(1-$D$457))*$D717),0)*M$453</f>
        <v>0</v>
      </c>
      <c r="N717">
        <f>IF(N$455&gt;=$C717,MIN(-(SUM($F717:M717)-$E717),($E717*(1-$D$457))*$D717),0)*N$453</f>
        <v>0</v>
      </c>
      <c r="O717">
        <f>IF(O$455&gt;=$C717,MIN(-(SUM($F717:N717)-$E717),($E717*(1-$D$457))*$D717),0)*O$453</f>
        <v>0</v>
      </c>
      <c r="P717">
        <f>IF(P$455&gt;=$C717,MIN(-(SUM($F717:O717)-$E717),($E717*(1-$D$457))*$D717),0)*P$453</f>
        <v>0</v>
      </c>
      <c r="Q717">
        <f>IF(Q$455&gt;=$C717,MIN(-(SUM($F717:P717)-$E717),($E717*(1-$D$457))*$D717),0)*Q$453</f>
        <v>0</v>
      </c>
      <c r="R717">
        <f>IF(R$455&gt;=$C717,MIN(-(SUM($F717:Q717)-$E717),($E717*(1-$D$457))*$D717),0)*R$453</f>
        <v>0</v>
      </c>
      <c r="S717">
        <f>IF(S$455&gt;=$C717,MIN(-(SUM($F717:R717)-$E717),($E717*(1-$D$457))*$D717),0)*S$453</f>
        <v>0</v>
      </c>
      <c r="T717">
        <f>IF(T$455&gt;=$C717,MIN(-(SUM($F717:S717)-$E717),($E717*(1-$D$457))*$D717),0)*T$453</f>
        <v>0</v>
      </c>
      <c r="U717">
        <f>IF(U$455&gt;=$C717,MIN(-(SUM($F717:T717)-$E717),($E717*(1-$D$457))*$D717),0)*U$453</f>
        <v>0</v>
      </c>
      <c r="V717">
        <f>IF(V$455&gt;=$C717,MIN(-(SUM($F717:U717)-$E717),($E717*(1-$D$457))*$D717),0)*V$453</f>
        <v>0</v>
      </c>
      <c r="W717">
        <f>IF(W$455&gt;=$C717,MIN(-(SUM($F717:V717)-$E717),($E717*(1-$D$457))*$D717),0)*W$453</f>
        <v>0</v>
      </c>
      <c r="X717">
        <f>IF(X$455&gt;=$C717,MIN(-(SUM($F717:W717)-$E717),($E717*(1-$D$457))*$D717),0)*X$453</f>
        <v>0</v>
      </c>
      <c r="Y717">
        <f>IF(Y$455&gt;=$C717,MIN(-(SUM($F717:X717)-$E717),($E717*(1-$D$457))*$D717),0)*Y$453</f>
        <v>0</v>
      </c>
      <c r="Z717">
        <f>IF(Z$455&gt;=$C717,MIN(-(SUM($F717:Y717)-$E717),($E717*(1-$D$457))*$D717),0)*Z$453</f>
        <v>0</v>
      </c>
      <c r="AA717">
        <f>IF(AA$455&gt;=$C717,MIN(-(SUM($F717:Z717)-$E717),($E717*(1-$D$457))*$D717),0)*AA$453</f>
        <v>0</v>
      </c>
      <c r="AB717">
        <f>IF(AB$455&gt;=$C717,MIN(-(SUM($F717:AA717)-$E717),($E717*(1-$D$457))*$D717),0)*AB$453</f>
        <v>0</v>
      </c>
      <c r="AC717">
        <f>IF(AC$455&gt;=$C717,MIN(-(SUM($F717:AB717)-$E717),($E717*(1-$D$457))*$D717),0)*AC$453</f>
        <v>0</v>
      </c>
      <c r="AD717">
        <f>IF(AD$455&gt;=$C717,MIN(-(SUM($F717:AC717)-$E717),($E717*(1-$D$457))*$D717),0)*AD$453</f>
        <v>0</v>
      </c>
      <c r="AE717">
        <f>IF(AE$455&gt;=$C717,MIN(-(SUM($F717:AD717)-$E717),($E717*(1-$D$457))*$D717),0)*AE$453</f>
        <v>0</v>
      </c>
      <c r="AF717">
        <f>IF(AF$455&gt;=$C717,MIN(-(SUM($F717:AE717)-$E717),($E717*(1-$D$457))*$D717),0)*AF$453</f>
        <v>0</v>
      </c>
      <c r="AG717">
        <f>IF(AG$455&gt;=$C717,MIN(-(SUM($F717:AF717)-$E717),($E717*(1-$D$457))*$D717),0)*AG$453</f>
        <v>0</v>
      </c>
      <c r="AH717">
        <f>IF(AH$455&gt;=$C717,MIN(-(SUM($F717:AG717)-$E717),($E717*(1-$D$457))*$D717),0)*AH$453</f>
        <v>0</v>
      </c>
      <c r="AI717">
        <f>IF(AI$455&gt;=$C717,MIN(-(SUM($F717:AH717)-$E717),($E717*(1-$D$457))*$D717),0)*AI$453</f>
        <v>0</v>
      </c>
      <c r="AJ717">
        <f>IF(AJ$455&gt;=$C717,MIN(-(SUM($F717:AI717)-$E717),($E717*(1-$D$457))*$D717),0)*AJ$453</f>
        <v>0</v>
      </c>
      <c r="AK717">
        <f>IF(AK$455&gt;=$C717,MIN(-(SUM($F717:AJ717)-$E717),($E717*(1-$D$457))*$D717),0)*AK$453</f>
        <v>0</v>
      </c>
      <c r="AL717">
        <f>IF(AL$455&gt;=$C717,MIN(-(SUM($F717:AK717)-$E717),($E717*(1-$D$457))*$D717),0)*AL$453</f>
        <v>0</v>
      </c>
      <c r="AM717">
        <f>IF(AM$455&gt;=$C717,MIN(-(SUM($F717:AL717)-$E717),($E717*(1-$D$457))*$D717),0)*AM$453</f>
        <v>0</v>
      </c>
      <c r="AN717">
        <f>IF(AN$455&gt;=$C717,MIN(-(SUM($F717:AM717)-$E717),($E717*(1-$D$457))*$D717),0)*AN$453</f>
        <v>0</v>
      </c>
    </row>
    <row r="718" spans="3:160" outlineLevel="4">
      <c r="C718">
        <v>34</v>
      </c>
      <c r="D718">
        <f>Inputs!$D$259</f>
        <v>0.1</v>
      </c>
      <c r="E718">
        <v>0</v>
      </c>
      <c r="F718" s="461">
        <f>E718*D682</f>
        <v>0</v>
      </c>
      <c r="G718">
        <f>IF(G$455&gt;=$C718,MIN(-(SUM(F718:$F718)-$E718),($E718*(1-$D$457))*$D718),0)*G$453</f>
        <v>0</v>
      </c>
      <c r="H718">
        <f>IF(H$455&gt;=$C718,MIN(-(SUM($F718:G718)-$E718),($E718*(1-$D$457))*$D718),0)*H$453</f>
        <v>0</v>
      </c>
      <c r="I718">
        <f>IF(I$455&gt;=$C718,MIN(-(SUM($F718:H718)-$E718),($E718*(1-$D$457))*$D718),0)*I$453</f>
        <v>0</v>
      </c>
      <c r="J718">
        <f>IF(J$455&gt;=$C718,MIN(-(SUM($F718:I718)-$E718),($E718*(1-$D$457))*$D718),0)*J$453</f>
        <v>0</v>
      </c>
      <c r="K718">
        <f>IF(K$455&gt;=$C718,MIN(-(SUM($F718:J718)-$E718),($E718*(1-$D$457))*$D718),0)*K$453</f>
        <v>0</v>
      </c>
      <c r="L718">
        <f>IF(L$455&gt;=$C718,MIN(-(SUM($F718:K718)-$E718),($E718*(1-$D$457))*$D718),0)*L$453</f>
        <v>0</v>
      </c>
      <c r="M718">
        <f>IF(M$455&gt;=$C718,MIN(-(SUM($F718:L718)-$E718),($E718*(1-$D$457))*$D718),0)*M$453</f>
        <v>0</v>
      </c>
      <c r="N718">
        <f>IF(N$455&gt;=$C718,MIN(-(SUM($F718:M718)-$E718),($E718*(1-$D$457))*$D718),0)*N$453</f>
        <v>0</v>
      </c>
      <c r="O718">
        <f>IF(O$455&gt;=$C718,MIN(-(SUM($F718:N718)-$E718),($E718*(1-$D$457))*$D718),0)*O$453</f>
        <v>0</v>
      </c>
      <c r="P718">
        <f>IF(P$455&gt;=$C718,MIN(-(SUM($F718:O718)-$E718),($E718*(1-$D$457))*$D718),0)*P$453</f>
        <v>0</v>
      </c>
      <c r="Q718">
        <f>IF(Q$455&gt;=$C718,MIN(-(SUM($F718:P718)-$E718),($E718*(1-$D$457))*$D718),0)*Q$453</f>
        <v>0</v>
      </c>
      <c r="R718">
        <f>IF(R$455&gt;=$C718,MIN(-(SUM($F718:Q718)-$E718),($E718*(1-$D$457))*$D718),0)*R$453</f>
        <v>0</v>
      </c>
      <c r="S718">
        <f>IF(S$455&gt;=$C718,MIN(-(SUM($F718:R718)-$E718),($E718*(1-$D$457))*$D718),0)*S$453</f>
        <v>0</v>
      </c>
      <c r="T718">
        <f>IF(T$455&gt;=$C718,MIN(-(SUM($F718:S718)-$E718),($E718*(1-$D$457))*$D718),0)*T$453</f>
        <v>0</v>
      </c>
      <c r="U718">
        <f>IF(U$455&gt;=$C718,MIN(-(SUM($F718:T718)-$E718),($E718*(1-$D$457))*$D718),0)*U$453</f>
        <v>0</v>
      </c>
      <c r="V718">
        <f>IF(V$455&gt;=$C718,MIN(-(SUM($F718:U718)-$E718),($E718*(1-$D$457))*$D718),0)*V$453</f>
        <v>0</v>
      </c>
      <c r="W718">
        <f>IF(W$455&gt;=$C718,MIN(-(SUM($F718:V718)-$E718),($E718*(1-$D$457))*$D718),0)*W$453</f>
        <v>0</v>
      </c>
      <c r="X718">
        <f>IF(X$455&gt;=$C718,MIN(-(SUM($F718:W718)-$E718),($E718*(1-$D$457))*$D718),0)*X$453</f>
        <v>0</v>
      </c>
      <c r="Y718">
        <f>IF(Y$455&gt;=$C718,MIN(-(SUM($F718:X718)-$E718),($E718*(1-$D$457))*$D718),0)*Y$453</f>
        <v>0</v>
      </c>
      <c r="Z718">
        <f>IF(Z$455&gt;=$C718,MIN(-(SUM($F718:Y718)-$E718),($E718*(1-$D$457))*$D718),0)*Z$453</f>
        <v>0</v>
      </c>
      <c r="AA718">
        <f>IF(AA$455&gt;=$C718,MIN(-(SUM($F718:Z718)-$E718),($E718*(1-$D$457))*$D718),0)*AA$453</f>
        <v>0</v>
      </c>
      <c r="AB718">
        <f>IF(AB$455&gt;=$C718,MIN(-(SUM($F718:AA718)-$E718),($E718*(1-$D$457))*$D718),0)*AB$453</f>
        <v>0</v>
      </c>
      <c r="AC718">
        <f>IF(AC$455&gt;=$C718,MIN(-(SUM($F718:AB718)-$E718),($E718*(1-$D$457))*$D718),0)*AC$453</f>
        <v>0</v>
      </c>
      <c r="AD718">
        <f>IF(AD$455&gt;=$C718,MIN(-(SUM($F718:AC718)-$E718),($E718*(1-$D$457))*$D718),0)*AD$453</f>
        <v>0</v>
      </c>
      <c r="AE718">
        <f>IF(AE$455&gt;=$C718,MIN(-(SUM($F718:AD718)-$E718),($E718*(1-$D$457))*$D718),0)*AE$453</f>
        <v>0</v>
      </c>
      <c r="AF718">
        <f>IF(AF$455&gt;=$C718,MIN(-(SUM($F718:AE718)-$E718),($E718*(1-$D$457))*$D718),0)*AF$453</f>
        <v>0</v>
      </c>
      <c r="AG718">
        <f>IF(AG$455&gt;=$C718,MIN(-(SUM($F718:AF718)-$E718),($E718*(1-$D$457))*$D718),0)*AG$453</f>
        <v>0</v>
      </c>
      <c r="AH718">
        <f>IF(AH$455&gt;=$C718,MIN(-(SUM($F718:AG718)-$E718),($E718*(1-$D$457))*$D718),0)*AH$453</f>
        <v>0</v>
      </c>
      <c r="AI718">
        <f>IF(AI$455&gt;=$C718,MIN(-(SUM($F718:AH718)-$E718),($E718*(1-$D$457))*$D718),0)*AI$453</f>
        <v>0</v>
      </c>
      <c r="AJ718">
        <f>IF(AJ$455&gt;=$C718,MIN(-(SUM($F718:AI718)-$E718),($E718*(1-$D$457))*$D718),0)*AJ$453</f>
        <v>0</v>
      </c>
      <c r="AK718">
        <f>IF(AK$455&gt;=$C718,MIN(-(SUM($F718:AJ718)-$E718),($E718*(1-$D$457))*$D718),0)*AK$453</f>
        <v>0</v>
      </c>
      <c r="AL718">
        <f>IF(AL$455&gt;=$C718,MIN(-(SUM($F718:AK718)-$E718),($E718*(1-$D$457))*$D718),0)*AL$453</f>
        <v>0</v>
      </c>
      <c r="AM718">
        <f>IF(AM$455&gt;=$C718,MIN(-(SUM($F718:AL718)-$E718),($E718*(1-$D$457))*$D718),0)*AM$453</f>
        <v>0</v>
      </c>
      <c r="AN718">
        <f>IF(AN$455&gt;=$C718,MIN(-(SUM($F718:AM718)-$E718),($E718*(1-$D$457))*$D718),0)*AN$453</f>
        <v>0</v>
      </c>
    </row>
    <row r="719" spans="3:160" ht="16.2" outlineLevel="4" thickBot="1">
      <c r="C719" s="323" t="s">
        <v>473</v>
      </c>
      <c r="D719"/>
      <c r="E719" s="233"/>
      <c r="F719" s="324" t="s">
        <v>13</v>
      </c>
      <c r="G719">
        <f t="shared" ref="G719" si="611">SUM(G685:G718)</f>
        <v>0</v>
      </c>
      <c r="H719">
        <f t="shared" ref="H719" si="612">SUM(H685:H718)</f>
        <v>0</v>
      </c>
      <c r="I719">
        <f t="shared" ref="I719" si="613">SUM(I685:I718)</f>
        <v>0</v>
      </c>
      <c r="J719">
        <f t="shared" ref="J719" si="614">SUM(J685:J718)</f>
        <v>0</v>
      </c>
      <c r="K719">
        <f t="shared" ref="K719" si="615">SUM(K685:K718)</f>
        <v>0</v>
      </c>
      <c r="L719">
        <f t="shared" ref="L719" si="616">SUM(L685:L718)</f>
        <v>0</v>
      </c>
      <c r="M719">
        <f t="shared" ref="M719" si="617">SUM(M685:M718)</f>
        <v>0</v>
      </c>
      <c r="N719">
        <f t="shared" ref="N719" si="618">SUM(N685:N718)</f>
        <v>0</v>
      </c>
      <c r="O719">
        <f t="shared" ref="O719" si="619">SUM(O685:O718)</f>
        <v>0</v>
      </c>
      <c r="P719">
        <f t="shared" ref="P719" si="620">SUM(P685:P718)</f>
        <v>0</v>
      </c>
      <c r="Q719">
        <f t="shared" ref="Q719" si="621">SUM(Q685:Q718)</f>
        <v>0</v>
      </c>
      <c r="R719">
        <f t="shared" ref="R719" si="622">SUM(R685:R718)</f>
        <v>0</v>
      </c>
      <c r="S719">
        <f t="shared" ref="S719" si="623">SUM(S685:S718)</f>
        <v>0</v>
      </c>
      <c r="T719">
        <f t="shared" ref="T719" si="624">SUM(T685:T718)</f>
        <v>0</v>
      </c>
      <c r="U719">
        <f t="shared" ref="U719" si="625">SUM(U685:U718)</f>
        <v>0</v>
      </c>
      <c r="V719">
        <f t="shared" ref="V719" si="626">SUM(V685:V718)</f>
        <v>0</v>
      </c>
      <c r="W719">
        <f t="shared" ref="W719" si="627">SUM(W685:W718)</f>
        <v>0</v>
      </c>
      <c r="X719">
        <f t="shared" ref="X719" si="628">SUM(X685:X718)</f>
        <v>0</v>
      </c>
      <c r="Y719">
        <f t="shared" ref="Y719" si="629">SUM(Y685:Y718)</f>
        <v>0</v>
      </c>
      <c r="Z719">
        <f t="shared" ref="Z719" si="630">SUM(Z685:Z718)</f>
        <v>0</v>
      </c>
      <c r="AA719">
        <f t="shared" ref="AA719" si="631">SUM(AA685:AA718)</f>
        <v>0</v>
      </c>
      <c r="AB719">
        <f t="shared" ref="AB719" si="632">SUM(AB685:AB718)</f>
        <v>0</v>
      </c>
      <c r="AC719">
        <f t="shared" ref="AC719" si="633">SUM(AC685:AC718)</f>
        <v>0</v>
      </c>
      <c r="AD719">
        <f t="shared" ref="AD719" si="634">SUM(AD685:AD718)</f>
        <v>0</v>
      </c>
      <c r="AE719">
        <f t="shared" ref="AE719" si="635">SUM(AE685:AE718)</f>
        <v>0</v>
      </c>
      <c r="AF719">
        <f t="shared" ref="AF719" si="636">SUM(AF685:AF718)</f>
        <v>0</v>
      </c>
      <c r="AG719">
        <f t="shared" ref="AG719" si="637">SUM(AG685:AG718)</f>
        <v>0</v>
      </c>
      <c r="AH719">
        <f t="shared" ref="AH719" si="638">SUM(AH685:AH718)</f>
        <v>0</v>
      </c>
      <c r="AI719">
        <f t="shared" ref="AI719" si="639">SUM(AI685:AI718)</f>
        <v>0</v>
      </c>
      <c r="AJ719">
        <f t="shared" ref="AJ719" si="640">SUM(AJ685:AJ718)</f>
        <v>0</v>
      </c>
      <c r="AK719">
        <f t="shared" ref="AK719" si="641">SUM(AK685:AK718)</f>
        <v>0</v>
      </c>
      <c r="AL719">
        <f t="shared" ref="AL719" si="642">SUM(AL685:AL718)</f>
        <v>0</v>
      </c>
      <c r="AM719">
        <f t="shared" ref="AM719" si="643">SUM(AM685:AM718)</f>
        <v>0</v>
      </c>
      <c r="AN719">
        <f t="shared" ref="AN719" si="644">SUM(AN685:AN718)</f>
        <v>0</v>
      </c>
      <c r="AO719" s="325"/>
      <c r="AP719" s="325"/>
      <c r="AQ719" s="325"/>
      <c r="AR719" s="325"/>
      <c r="AS719" s="325"/>
      <c r="AT719" s="325"/>
      <c r="AU719" s="325"/>
      <c r="AV719" s="325"/>
      <c r="AW719" s="325"/>
      <c r="AX719" s="325"/>
      <c r="AY719" s="325"/>
      <c r="AZ719" s="325"/>
      <c r="BA719" s="325"/>
      <c r="BB719" s="325"/>
      <c r="BC719" s="325"/>
      <c r="BD719" s="325"/>
      <c r="BE719" s="325"/>
      <c r="BF719" s="325"/>
      <c r="BG719" s="325"/>
      <c r="BH719" s="325"/>
      <c r="BI719" s="325"/>
      <c r="BJ719" s="325"/>
      <c r="BK719" s="325"/>
      <c r="BL719" s="325"/>
      <c r="BM719" s="325"/>
      <c r="BN719" s="325"/>
      <c r="BO719" s="325"/>
      <c r="BP719" s="325"/>
      <c r="BQ719" s="325"/>
      <c r="BR719" s="325"/>
      <c r="BS719" s="325"/>
      <c r="BT719" s="325"/>
      <c r="BU719" s="325"/>
      <c r="BV719" s="325"/>
      <c r="BW719" s="325"/>
      <c r="BX719" s="325"/>
      <c r="BY719" s="325"/>
      <c r="BZ719" s="325"/>
      <c r="CA719" s="325"/>
      <c r="CB719" s="325"/>
      <c r="CC719" s="325"/>
      <c r="CD719" s="325"/>
      <c r="CE719" s="325"/>
      <c r="CF719" s="325"/>
      <c r="CG719" s="325"/>
      <c r="CH719" s="325"/>
      <c r="CI719" s="325"/>
      <c r="CJ719" s="325"/>
      <c r="CK719" s="325"/>
      <c r="CL719" s="325"/>
      <c r="CM719" s="325"/>
      <c r="CN719" s="325"/>
      <c r="CO719" s="325"/>
      <c r="CP719" s="325"/>
      <c r="CQ719" s="325"/>
      <c r="CR719" s="325"/>
      <c r="CS719" s="325"/>
      <c r="CT719" s="325"/>
      <c r="CU719" s="325"/>
      <c r="CV719" s="325"/>
      <c r="CW719" s="325"/>
      <c r="CX719" s="325"/>
      <c r="CY719" s="325"/>
      <c r="CZ719" s="325"/>
      <c r="DA719" s="325"/>
      <c r="DB719" s="325"/>
      <c r="DC719" s="325"/>
      <c r="DD719" s="325"/>
      <c r="DE719" s="325"/>
      <c r="DF719" s="325"/>
      <c r="DG719" s="325"/>
      <c r="DH719" s="325"/>
      <c r="DI719" s="325"/>
      <c r="DJ719" s="325"/>
      <c r="DK719" s="325"/>
      <c r="DL719" s="325"/>
      <c r="DM719" s="325"/>
      <c r="DN719" s="325"/>
      <c r="DO719" s="325"/>
      <c r="DP719" s="325"/>
      <c r="DQ719" s="325"/>
      <c r="DR719" s="325"/>
      <c r="DS719" s="325"/>
      <c r="DT719" s="325"/>
      <c r="DU719" s="325"/>
      <c r="DV719" s="325"/>
      <c r="DW719" s="325"/>
      <c r="DX719" s="325"/>
      <c r="DY719" s="325"/>
      <c r="DZ719" s="325"/>
      <c r="EA719" s="325"/>
      <c r="EB719" s="325"/>
      <c r="EC719" s="325"/>
      <c r="ED719" s="325"/>
      <c r="EE719" s="325"/>
      <c r="EF719" s="325"/>
      <c r="EG719" s="325"/>
      <c r="EH719" s="325"/>
      <c r="EI719" s="325"/>
      <c r="EJ719" s="325"/>
      <c r="EK719" s="325"/>
      <c r="EL719" s="325"/>
      <c r="EM719" s="325"/>
      <c r="EN719" s="325"/>
      <c r="EO719" s="325"/>
      <c r="EP719" s="325"/>
      <c r="EQ719" s="325"/>
      <c r="ER719" s="325"/>
      <c r="ES719" s="325"/>
      <c r="ET719" s="325"/>
      <c r="EU719" s="325"/>
      <c r="EV719" s="325"/>
      <c r="EW719" s="325"/>
      <c r="EX719" s="325"/>
      <c r="EY719" s="325"/>
      <c r="EZ719" s="325"/>
      <c r="FA719" s="325"/>
      <c r="FB719" s="325"/>
      <c r="FC719" s="325"/>
      <c r="FD719" s="325"/>
    </row>
    <row r="720" spans="3:160" ht="16.2" outlineLevel="3" thickTop="1">
      <c r="C720"/>
      <c r="D720" s="266"/>
      <c r="E720" s="76"/>
      <c r="F720"/>
    </row>
    <row r="721" spans="3:40" outlineLevel="2">
      <c r="C721"/>
      <c r="D721" s="266"/>
      <c r="E721" s="76"/>
      <c r="F721"/>
    </row>
    <row r="722" spans="3:40" outlineLevel="2">
      <c r="C722" t="s">
        <v>297</v>
      </c>
      <c r="D722" s="266"/>
      <c r="E722" s="76"/>
      <c r="F722"/>
    </row>
    <row r="723" spans="3:40" outlineLevel="3">
      <c r="C723"/>
      <c r="D723" s="266"/>
      <c r="E723" s="76"/>
      <c r="F723"/>
    </row>
    <row r="724" spans="3:40" outlineLevel="3">
      <c r="C724" t="s">
        <v>464</v>
      </c>
      <c r="D724" s="266"/>
      <c r="E724" s="76"/>
      <c r="F724"/>
    </row>
    <row r="725" spans="3:40" outlineLevel="4">
      <c r="C725"/>
      <c r="D725" s="266"/>
      <c r="E725" s="76"/>
      <c r="F725"/>
    </row>
    <row r="726" spans="3:40" outlineLevel="4">
      <c r="C726" t="s">
        <v>474</v>
      </c>
      <c r="D726" s="266"/>
      <c r="E726" s="76" t="s">
        <v>13</v>
      </c>
      <c r="F726" s="273"/>
      <c r="G726" s="273">
        <f t="shared" ref="G726:AN726" si="645">F729</f>
        <v>0</v>
      </c>
      <c r="H726" s="273">
        <f t="shared" si="645"/>
        <v>681.35991999999999</v>
      </c>
      <c r="I726" s="273">
        <f t="shared" si="645"/>
        <v>542.147468</v>
      </c>
      <c r="J726" s="273">
        <f t="shared" si="645"/>
        <v>364.02560600000004</v>
      </c>
      <c r="K726" s="273">
        <f t="shared" si="645"/>
        <v>185.90374400000005</v>
      </c>
      <c r="L726" s="273">
        <f t="shared" si="645"/>
        <v>7.7818820000000812</v>
      </c>
      <c r="M726" s="273">
        <f t="shared" si="645"/>
        <v>20.167920000000088</v>
      </c>
      <c r="N726" s="273">
        <f t="shared" si="645"/>
        <v>23.825780000000087</v>
      </c>
      <c r="O726" s="273">
        <f t="shared" si="645"/>
        <v>16.608840000000086</v>
      </c>
      <c r="P726" s="273">
        <f t="shared" si="645"/>
        <v>9.391900000000085</v>
      </c>
      <c r="Q726" s="273">
        <f t="shared" si="645"/>
        <v>2.1749600000000857</v>
      </c>
      <c r="R726" s="273">
        <f t="shared" si="645"/>
        <v>681.35991999999999</v>
      </c>
      <c r="S726" s="273">
        <f t="shared" si="645"/>
        <v>542.147468</v>
      </c>
      <c r="T726" s="273">
        <f t="shared" si="645"/>
        <v>364.02560600000004</v>
      </c>
      <c r="U726" s="273">
        <f t="shared" si="645"/>
        <v>185.90374400000005</v>
      </c>
      <c r="V726" s="273">
        <f t="shared" si="645"/>
        <v>7.7818820000000812</v>
      </c>
      <c r="W726" s="273">
        <f t="shared" si="645"/>
        <v>20.167920000000088</v>
      </c>
      <c r="X726" s="273">
        <f t="shared" si="645"/>
        <v>23.825780000000087</v>
      </c>
      <c r="Y726" s="273">
        <f t="shared" si="645"/>
        <v>16.608840000000086</v>
      </c>
      <c r="Z726" s="273">
        <f t="shared" si="645"/>
        <v>9.391900000000085</v>
      </c>
      <c r="AA726" s="273">
        <f t="shared" si="645"/>
        <v>2.1749600000000857</v>
      </c>
      <c r="AB726" s="273">
        <f t="shared" si="645"/>
        <v>681.35991999999999</v>
      </c>
      <c r="AC726" s="273">
        <f t="shared" si="645"/>
        <v>542.147468</v>
      </c>
      <c r="AD726" s="273">
        <f t="shared" si="645"/>
        <v>364.02560600000004</v>
      </c>
      <c r="AE726" s="273">
        <f t="shared" si="645"/>
        <v>185.90374400000005</v>
      </c>
      <c r="AF726" s="273">
        <f t="shared" si="645"/>
        <v>7.7818820000000812</v>
      </c>
      <c r="AG726" s="273">
        <f t="shared" si="645"/>
        <v>20.167920000000088</v>
      </c>
      <c r="AH726" s="273">
        <f t="shared" si="645"/>
        <v>23.825780000000087</v>
      </c>
      <c r="AI726" s="273">
        <f t="shared" si="645"/>
        <v>16.608840000000086</v>
      </c>
      <c r="AJ726" s="273">
        <f t="shared" si="645"/>
        <v>9.391900000000085</v>
      </c>
      <c r="AK726" s="273">
        <f t="shared" si="645"/>
        <v>2.1749600000000857</v>
      </c>
      <c r="AL726" s="273">
        <f t="shared" si="645"/>
        <v>2.1749600000000857</v>
      </c>
      <c r="AM726" s="273">
        <f t="shared" si="645"/>
        <v>2.1749600000000857</v>
      </c>
      <c r="AN726" s="273">
        <f t="shared" si="645"/>
        <v>2.1749600000000857</v>
      </c>
    </row>
    <row r="727" spans="3:40" outlineLevel="4">
      <c r="C727" t="s">
        <v>475</v>
      </c>
      <c r="D727" s="275"/>
      <c r="E727" s="203" t="s">
        <v>13</v>
      </c>
      <c r="F727" s="88">
        <f>SUM(G727:AN727)</f>
        <v>2780.08203</v>
      </c>
      <c r="G727" s="322">
        <f t="shared" ref="G727:AN727" si="646">G434</f>
        <v>851.69989999999996</v>
      </c>
      <c r="H727" s="322">
        <f t="shared" si="646"/>
        <v>38.909409999999994</v>
      </c>
      <c r="I727" s="322">
        <f t="shared" si="646"/>
        <v>0</v>
      </c>
      <c r="J727" s="322">
        <f t="shared" si="646"/>
        <v>0</v>
      </c>
      <c r="K727" s="322">
        <f t="shared" si="646"/>
        <v>0</v>
      </c>
      <c r="L727" s="322">
        <f t="shared" si="646"/>
        <v>25.209900000000001</v>
      </c>
      <c r="M727" s="322">
        <f t="shared" si="646"/>
        <v>10.874799999999999</v>
      </c>
      <c r="N727" s="322">
        <f t="shared" si="646"/>
        <v>0</v>
      </c>
      <c r="O727" s="322">
        <f t="shared" si="646"/>
        <v>0</v>
      </c>
      <c r="P727" s="322">
        <f t="shared" si="646"/>
        <v>0</v>
      </c>
      <c r="Q727" s="322">
        <f t="shared" si="646"/>
        <v>851.69989999999996</v>
      </c>
      <c r="R727" s="322">
        <f t="shared" si="646"/>
        <v>38.909409999999994</v>
      </c>
      <c r="S727" s="322">
        <f t="shared" si="646"/>
        <v>0</v>
      </c>
      <c r="T727" s="322">
        <f t="shared" si="646"/>
        <v>0</v>
      </c>
      <c r="U727" s="322">
        <f t="shared" si="646"/>
        <v>0</v>
      </c>
      <c r="V727" s="322">
        <f t="shared" si="646"/>
        <v>25.209900000000001</v>
      </c>
      <c r="W727" s="322">
        <f t="shared" si="646"/>
        <v>10.874799999999999</v>
      </c>
      <c r="X727" s="322">
        <f t="shared" si="646"/>
        <v>0</v>
      </c>
      <c r="Y727" s="322">
        <f t="shared" si="646"/>
        <v>0</v>
      </c>
      <c r="Z727" s="322">
        <f t="shared" si="646"/>
        <v>0</v>
      </c>
      <c r="AA727" s="322">
        <f t="shared" si="646"/>
        <v>851.69989999999996</v>
      </c>
      <c r="AB727" s="322">
        <f t="shared" si="646"/>
        <v>38.909409999999994</v>
      </c>
      <c r="AC727" s="322">
        <f t="shared" si="646"/>
        <v>0</v>
      </c>
      <c r="AD727" s="322">
        <f t="shared" si="646"/>
        <v>0</v>
      </c>
      <c r="AE727" s="322">
        <f t="shared" si="646"/>
        <v>0</v>
      </c>
      <c r="AF727" s="322">
        <f t="shared" si="646"/>
        <v>25.209900000000001</v>
      </c>
      <c r="AG727" s="322">
        <f t="shared" si="646"/>
        <v>10.874799999999999</v>
      </c>
      <c r="AH727" s="322">
        <f t="shared" si="646"/>
        <v>0</v>
      </c>
      <c r="AI727" s="322">
        <f t="shared" si="646"/>
        <v>0</v>
      </c>
      <c r="AJ727" s="322">
        <f t="shared" si="646"/>
        <v>0</v>
      </c>
      <c r="AK727" s="322">
        <f t="shared" si="646"/>
        <v>0</v>
      </c>
      <c r="AL727" s="322">
        <f t="shared" si="646"/>
        <v>0</v>
      </c>
      <c r="AM727" s="322">
        <f t="shared" si="646"/>
        <v>0</v>
      </c>
      <c r="AN727" s="322">
        <f t="shared" si="646"/>
        <v>0</v>
      </c>
    </row>
    <row r="728" spans="3:40" outlineLevel="4">
      <c r="C728" t="s">
        <v>467</v>
      </c>
      <c r="D728" s="266"/>
      <c r="E728" s="76" t="s">
        <v>13</v>
      </c>
      <c r="F728" s="50">
        <f>SUM(G728:AN728)</f>
        <v>-2777.9070699999993</v>
      </c>
      <c r="G728" s="273">
        <f t="shared" ref="G728:L728" si="647">-G774</f>
        <v>-170.33998</v>
      </c>
      <c r="H728" s="273">
        <f t="shared" si="647"/>
        <v>-178.12186199999999</v>
      </c>
      <c r="I728" s="273">
        <f t="shared" si="647"/>
        <v>-178.12186199999999</v>
      </c>
      <c r="J728" s="273">
        <f t="shared" si="647"/>
        <v>-178.12186199999999</v>
      </c>
      <c r="K728" s="273">
        <f t="shared" si="647"/>
        <v>-178.12186199999996</v>
      </c>
      <c r="L728" s="273">
        <f t="shared" si="647"/>
        <v>-12.823861999999997</v>
      </c>
      <c r="M728" s="273">
        <f t="shared" ref="M728:AN728" si="648">-M774</f>
        <v>-7.216940000000001</v>
      </c>
      <c r="N728" s="273">
        <f t="shared" si="648"/>
        <v>-7.216940000000001</v>
      </c>
      <c r="O728" s="273">
        <f t="shared" si="648"/>
        <v>-7.216940000000001</v>
      </c>
      <c r="P728" s="273">
        <f t="shared" si="648"/>
        <v>-7.2169399999999992</v>
      </c>
      <c r="Q728" s="273">
        <f t="shared" si="648"/>
        <v>-172.51494</v>
      </c>
      <c r="R728" s="273">
        <f t="shared" si="648"/>
        <v>-178.12186199999999</v>
      </c>
      <c r="S728" s="273">
        <f t="shared" si="648"/>
        <v>-178.12186199999999</v>
      </c>
      <c r="T728" s="273">
        <f t="shared" si="648"/>
        <v>-178.12186199999999</v>
      </c>
      <c r="U728" s="273">
        <f t="shared" si="648"/>
        <v>-178.12186199999996</v>
      </c>
      <c r="V728" s="273">
        <f t="shared" si="648"/>
        <v>-12.823861999999997</v>
      </c>
      <c r="W728" s="273">
        <f t="shared" si="648"/>
        <v>-7.216940000000001</v>
      </c>
      <c r="X728" s="273">
        <f t="shared" si="648"/>
        <v>-7.216940000000001</v>
      </c>
      <c r="Y728" s="273">
        <f t="shared" si="648"/>
        <v>-7.216940000000001</v>
      </c>
      <c r="Z728" s="273">
        <f t="shared" si="648"/>
        <v>-7.2169399999999992</v>
      </c>
      <c r="AA728" s="273">
        <f t="shared" si="648"/>
        <v>-172.51494</v>
      </c>
      <c r="AB728" s="273">
        <f t="shared" si="648"/>
        <v>-178.12186199999999</v>
      </c>
      <c r="AC728" s="273">
        <f t="shared" si="648"/>
        <v>-178.12186199999999</v>
      </c>
      <c r="AD728" s="273">
        <f t="shared" si="648"/>
        <v>-178.12186199999999</v>
      </c>
      <c r="AE728" s="273">
        <f t="shared" si="648"/>
        <v>-178.12186199999996</v>
      </c>
      <c r="AF728" s="273">
        <f t="shared" si="648"/>
        <v>-12.823861999999997</v>
      </c>
      <c r="AG728" s="273">
        <f t="shared" si="648"/>
        <v>-7.216940000000001</v>
      </c>
      <c r="AH728" s="273">
        <f t="shared" si="648"/>
        <v>-7.216940000000001</v>
      </c>
      <c r="AI728" s="273">
        <f t="shared" si="648"/>
        <v>-7.216940000000001</v>
      </c>
      <c r="AJ728" s="273">
        <f t="shared" si="648"/>
        <v>-7.2169399999999992</v>
      </c>
      <c r="AK728" s="273">
        <f t="shared" si="648"/>
        <v>0</v>
      </c>
      <c r="AL728" s="273">
        <f t="shared" si="648"/>
        <v>0</v>
      </c>
      <c r="AM728" s="273">
        <f t="shared" si="648"/>
        <v>0</v>
      </c>
      <c r="AN728" s="273">
        <f t="shared" si="648"/>
        <v>0</v>
      </c>
    </row>
    <row r="729" spans="3:40" outlineLevel="4">
      <c r="C729" t="s">
        <v>476</v>
      </c>
      <c r="D729" s="275"/>
      <c r="E729" s="203" t="s">
        <v>13</v>
      </c>
      <c r="F729" s="89"/>
      <c r="G729" s="287">
        <f t="shared" ref="G729:AN729" si="649">SUM(G726:G728)</f>
        <v>681.35991999999999</v>
      </c>
      <c r="H729" s="287">
        <f t="shared" si="649"/>
        <v>542.147468</v>
      </c>
      <c r="I729" s="287">
        <f t="shared" si="649"/>
        <v>364.02560600000004</v>
      </c>
      <c r="J729" s="287">
        <f t="shared" si="649"/>
        <v>185.90374400000005</v>
      </c>
      <c r="K729" s="287">
        <f t="shared" si="649"/>
        <v>7.7818820000000812</v>
      </c>
      <c r="L729" s="287">
        <f t="shared" si="649"/>
        <v>20.167920000000088</v>
      </c>
      <c r="M729" s="287">
        <f t="shared" si="649"/>
        <v>23.825780000000087</v>
      </c>
      <c r="N729" s="287">
        <f t="shared" si="649"/>
        <v>16.608840000000086</v>
      </c>
      <c r="O729" s="287">
        <f t="shared" si="649"/>
        <v>9.391900000000085</v>
      </c>
      <c r="P729" s="287">
        <f t="shared" si="649"/>
        <v>2.1749600000000857</v>
      </c>
      <c r="Q729" s="287">
        <f t="shared" si="649"/>
        <v>681.35991999999999</v>
      </c>
      <c r="R729" s="287">
        <f t="shared" si="649"/>
        <v>542.147468</v>
      </c>
      <c r="S729" s="287">
        <f t="shared" si="649"/>
        <v>364.02560600000004</v>
      </c>
      <c r="T729" s="287">
        <f t="shared" si="649"/>
        <v>185.90374400000005</v>
      </c>
      <c r="U729" s="287">
        <f t="shared" si="649"/>
        <v>7.7818820000000812</v>
      </c>
      <c r="V729" s="287">
        <f t="shared" si="649"/>
        <v>20.167920000000088</v>
      </c>
      <c r="W729" s="287">
        <f t="shared" si="649"/>
        <v>23.825780000000087</v>
      </c>
      <c r="X729" s="287">
        <f t="shared" si="649"/>
        <v>16.608840000000086</v>
      </c>
      <c r="Y729" s="287">
        <f t="shared" si="649"/>
        <v>9.391900000000085</v>
      </c>
      <c r="Z729" s="287">
        <f t="shared" si="649"/>
        <v>2.1749600000000857</v>
      </c>
      <c r="AA729" s="287">
        <f t="shared" si="649"/>
        <v>681.35991999999999</v>
      </c>
      <c r="AB729" s="287">
        <f t="shared" si="649"/>
        <v>542.147468</v>
      </c>
      <c r="AC729" s="287">
        <f t="shared" si="649"/>
        <v>364.02560600000004</v>
      </c>
      <c r="AD729" s="287">
        <f t="shared" si="649"/>
        <v>185.90374400000005</v>
      </c>
      <c r="AE729" s="287">
        <f t="shared" si="649"/>
        <v>7.7818820000000812</v>
      </c>
      <c r="AF729" s="287">
        <f t="shared" si="649"/>
        <v>20.167920000000088</v>
      </c>
      <c r="AG729" s="287">
        <f t="shared" si="649"/>
        <v>23.825780000000087</v>
      </c>
      <c r="AH729" s="287">
        <f t="shared" si="649"/>
        <v>16.608840000000086</v>
      </c>
      <c r="AI729" s="287">
        <f t="shared" si="649"/>
        <v>9.391900000000085</v>
      </c>
      <c r="AJ729" s="287">
        <f t="shared" si="649"/>
        <v>2.1749600000000857</v>
      </c>
      <c r="AK729" s="287">
        <f t="shared" si="649"/>
        <v>2.1749600000000857</v>
      </c>
      <c r="AL729" s="287">
        <f t="shared" si="649"/>
        <v>2.1749600000000857</v>
      </c>
      <c r="AM729" s="287">
        <f t="shared" si="649"/>
        <v>2.1749600000000857</v>
      </c>
      <c r="AN729" s="287">
        <f t="shared" si="649"/>
        <v>2.1749600000000857</v>
      </c>
    </row>
    <row r="730" spans="3:40" outlineLevel="3">
      <c r="C730"/>
      <c r="D730" s="266"/>
      <c r="E730" s="76"/>
      <c r="F730"/>
    </row>
    <row r="731" spans="3:40" outlineLevel="3">
      <c r="C731" t="s">
        <v>469</v>
      </c>
      <c r="D731" s="266"/>
      <c r="E731" s="76"/>
      <c r="F731"/>
    </row>
    <row r="732" spans="3:40" outlineLevel="4">
      <c r="C732"/>
      <c r="D732" s="266"/>
      <c r="E732" s="76"/>
      <c r="F732"/>
    </row>
    <row r="733" spans="3:40" outlineLevel="4">
      <c r="C733" s="303" t="str">
        <f>Flags!C$72</f>
        <v>Cons + Ops Flag</v>
      </c>
      <c r="D733" s="319"/>
      <c r="E733" s="41" t="str">
        <f>Flags!E$72</f>
        <v>Flag</v>
      </c>
      <c r="F733" s="23">
        <f>Flags!F$72</f>
        <v>30</v>
      </c>
      <c r="G733" s="25">
        <f>Flags!G$72</f>
        <v>1</v>
      </c>
      <c r="H733" s="25">
        <f>Flags!H$72</f>
        <v>1</v>
      </c>
      <c r="I733" s="25">
        <f>Flags!I$72</f>
        <v>1</v>
      </c>
      <c r="J733" s="25">
        <f>Flags!J$72</f>
        <v>1</v>
      </c>
      <c r="K733" s="25">
        <f>Flags!K$72</f>
        <v>1</v>
      </c>
      <c r="L733" s="25">
        <f>Flags!L$72</f>
        <v>1</v>
      </c>
      <c r="M733" s="25">
        <f>Flags!M$72</f>
        <v>1</v>
      </c>
      <c r="N733" s="25">
        <f>Flags!N$72</f>
        <v>1</v>
      </c>
      <c r="O733" s="25">
        <f>Flags!O$72</f>
        <v>1</v>
      </c>
      <c r="P733" s="25">
        <f>Flags!P$72</f>
        <v>1</v>
      </c>
      <c r="Q733" s="25">
        <f>Flags!Q$72</f>
        <v>1</v>
      </c>
      <c r="R733" s="25">
        <f>Flags!R$72</f>
        <v>1</v>
      </c>
      <c r="S733" s="25">
        <f>Flags!S$72</f>
        <v>1</v>
      </c>
      <c r="T733" s="25">
        <f>Flags!T$72</f>
        <v>1</v>
      </c>
      <c r="U733" s="25">
        <f>Flags!U$72</f>
        <v>1</v>
      </c>
      <c r="V733" s="25">
        <f>Flags!V$72</f>
        <v>1</v>
      </c>
      <c r="W733" s="25">
        <f>Flags!W$72</f>
        <v>1</v>
      </c>
      <c r="X733" s="25">
        <f>Flags!X$72</f>
        <v>1</v>
      </c>
      <c r="Y733" s="25">
        <f>Flags!Y$72</f>
        <v>1</v>
      </c>
      <c r="Z733" s="25">
        <f>Flags!Z$72</f>
        <v>1</v>
      </c>
      <c r="AA733" s="25">
        <f>Flags!AA$72</f>
        <v>1</v>
      </c>
      <c r="AB733" s="25">
        <f>Flags!AB$72</f>
        <v>1</v>
      </c>
      <c r="AC733" s="25">
        <f>Flags!AC$72</f>
        <v>1</v>
      </c>
      <c r="AD733" s="25">
        <f>Flags!AD$72</f>
        <v>1</v>
      </c>
      <c r="AE733" s="25">
        <f>Flags!AE$72</f>
        <v>1</v>
      </c>
      <c r="AF733" s="25">
        <f>Flags!AF$72</f>
        <v>1</v>
      </c>
      <c r="AG733" s="25">
        <f>Flags!AG$72</f>
        <v>1</v>
      </c>
      <c r="AH733" s="25">
        <f>Flags!AH$72</f>
        <v>1</v>
      </c>
      <c r="AI733" s="25">
        <f>Flags!AI$72</f>
        <v>1</v>
      </c>
      <c r="AJ733" s="25">
        <f>Flags!AJ$72</f>
        <v>1</v>
      </c>
      <c r="AK733" s="25">
        <f>Flags!AK$72</f>
        <v>0</v>
      </c>
      <c r="AL733" s="25">
        <f>Flags!AL$72</f>
        <v>0</v>
      </c>
      <c r="AM733" s="25">
        <f>Flags!AM$72</f>
        <v>0</v>
      </c>
      <c r="AN733" s="25">
        <f>Flags!AN$72</f>
        <v>0</v>
      </c>
    </row>
    <row r="734" spans="3:40" outlineLevel="4">
      <c r="C734"/>
      <c r="D734" s="266"/>
      <c r="E734" s="76"/>
      <c r="F734"/>
    </row>
    <row r="735" spans="3:40" outlineLevel="4">
      <c r="C735" s="303" t="str">
        <f>Flags!C$14</f>
        <v>Counter</v>
      </c>
      <c r="D735" s="266"/>
      <c r="E735" s="76" t="str">
        <f>Flags!E$14</f>
        <v>Counter</v>
      </c>
      <c r="F735" s="89">
        <f>Flags!F$14</f>
        <v>0</v>
      </c>
      <c r="G735" s="266">
        <f>Flags!G$14</f>
        <v>1</v>
      </c>
      <c r="H735" s="266">
        <f>Flags!H$14</f>
        <v>2</v>
      </c>
      <c r="I735" s="266">
        <f>Flags!I$14</f>
        <v>3</v>
      </c>
      <c r="J735" s="266">
        <f>Flags!J$14</f>
        <v>4</v>
      </c>
      <c r="K735" s="266">
        <f>Flags!K$14</f>
        <v>5</v>
      </c>
      <c r="L735" s="266">
        <f>Flags!L$14</f>
        <v>6</v>
      </c>
      <c r="M735" s="266">
        <f>Flags!M$14</f>
        <v>7</v>
      </c>
      <c r="N735" s="266">
        <f>Flags!N$14</f>
        <v>8</v>
      </c>
      <c r="O735" s="266">
        <f>Flags!O$14</f>
        <v>9</v>
      </c>
      <c r="P735" s="266">
        <f>Flags!P$14</f>
        <v>10</v>
      </c>
      <c r="Q735" s="266">
        <f>Flags!Q$14</f>
        <v>11</v>
      </c>
      <c r="R735" s="266">
        <f>Flags!R$14</f>
        <v>12</v>
      </c>
      <c r="S735" s="266">
        <f>Flags!S$14</f>
        <v>13</v>
      </c>
      <c r="T735" s="266">
        <f>Flags!T$14</f>
        <v>14</v>
      </c>
      <c r="U735" s="266">
        <f>Flags!U$14</f>
        <v>15</v>
      </c>
      <c r="V735" s="266">
        <f>Flags!V$14</f>
        <v>16</v>
      </c>
      <c r="W735" s="266">
        <f>Flags!W$14</f>
        <v>17</v>
      </c>
      <c r="X735" s="266">
        <f>Flags!X$14</f>
        <v>18</v>
      </c>
      <c r="Y735" s="266">
        <f>Flags!Y$14</f>
        <v>19</v>
      </c>
      <c r="Z735" s="266">
        <f>Flags!Z$14</f>
        <v>20</v>
      </c>
      <c r="AA735" s="266">
        <f>Flags!AA$14</f>
        <v>21</v>
      </c>
      <c r="AB735" s="266">
        <f>Flags!AB$14</f>
        <v>22</v>
      </c>
      <c r="AC735" s="266">
        <f>Flags!AC$14</f>
        <v>23</v>
      </c>
      <c r="AD735" s="266">
        <f>Flags!AD$14</f>
        <v>24</v>
      </c>
      <c r="AE735" s="266">
        <f>Flags!AE$14</f>
        <v>25</v>
      </c>
      <c r="AF735" s="266">
        <f>Flags!AF$14</f>
        <v>26</v>
      </c>
      <c r="AG735" s="266">
        <f>Flags!AG$14</f>
        <v>27</v>
      </c>
      <c r="AH735" s="266">
        <f>Flags!AH$14</f>
        <v>28</v>
      </c>
      <c r="AI735" s="266">
        <f>Flags!AI$14</f>
        <v>29</v>
      </c>
      <c r="AJ735" s="266">
        <f>Flags!AJ$14</f>
        <v>30</v>
      </c>
      <c r="AK735" s="266">
        <f>Flags!AK$14</f>
        <v>31</v>
      </c>
      <c r="AL735" s="266">
        <f>Flags!AL$14</f>
        <v>32</v>
      </c>
      <c r="AM735" s="266">
        <f>Flags!AM$14</f>
        <v>33</v>
      </c>
      <c r="AN735" s="266">
        <f>Flags!AN$14</f>
        <v>34</v>
      </c>
    </row>
    <row r="736" spans="3:40" outlineLevel="4">
      <c r="C736"/>
      <c r="D736" s="266"/>
      <c r="E736" s="76"/>
      <c r="F736"/>
    </row>
    <row r="737" spans="3:40" outlineLevel="4">
      <c r="C737" t="str">
        <f>Inputs!$E$258</f>
        <v>Valor residual</v>
      </c>
      <c r="D737">
        <f>Inputs!E260</f>
        <v>0.3</v>
      </c>
      <c r="E737" s="76"/>
      <c r="F737"/>
    </row>
    <row r="738" spans="3:40" outlineLevel="4">
      <c r="C738"/>
      <c r="D738" s="266"/>
      <c r="E738" s="76"/>
      <c r="F738"/>
    </row>
    <row r="739" spans="3:40" outlineLevel="4">
      <c r="C739" t="s">
        <v>470</v>
      </c>
      <c r="D739" t="s">
        <v>471</v>
      </c>
      <c r="E739" t="s">
        <v>79</v>
      </c>
      <c r="F739" s="30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</row>
    <row r="740" spans="3:40" outlineLevel="4">
      <c r="C740">
        <f t="array" ref="C740:C773">TRANSPOSE(G735:AN735)</f>
        <v>1</v>
      </c>
      <c r="D740">
        <f>Inputs!$D$260</f>
        <v>0.2</v>
      </c>
      <c r="E740" s="319">
        <f t="array" ref="E740:E773">TRANSPOSE(G727:AN727)</f>
        <v>851.69989999999996</v>
      </c>
      <c r="F740" s="461"/>
      <c r="G740" s="319">
        <f>IF(G$510&gt;=$C740,MIN(-(SUM(F740:$F740)-$E740),($E740)*$D740),0)*G$508</f>
        <v>170.33998</v>
      </c>
      <c r="H740" s="319">
        <f>IF(H$510&gt;=$C740,MIN(-(SUM($F740:G740)-$E740),($E740)*$D740),0)*H$508</f>
        <v>170.33998</v>
      </c>
      <c r="I740" s="319">
        <f>IF(I$510&gt;=$C740,MIN(-(SUM($F740:H740)-$E740),($E740)*$D740),0)*I$508</f>
        <v>170.33998</v>
      </c>
      <c r="J740" s="319">
        <f>IF(J$510&gt;=$C740,MIN(-(SUM($F740:I740)-$E740),($E740)*$D740),0)*J$508</f>
        <v>170.33998</v>
      </c>
      <c r="K740" s="319">
        <f>IF(K$510&gt;=$C740,MIN(-(SUM($F740:J740)-$E740),($E740)*$D740),0)*K$508</f>
        <v>170.33997999999997</v>
      </c>
      <c r="L740" s="319">
        <f>IF(L$510&gt;=$C740,MIN(-(SUM($F740:K740)-$E740),($E740)*$D740),0)*L$508</f>
        <v>0</v>
      </c>
      <c r="M740" s="319">
        <f>IF(M$510&gt;=$C740,MIN(-(SUM($F740:L740)-$E740),($E740)*$D740),0)*M$508</f>
        <v>0</v>
      </c>
      <c r="N740" s="319">
        <f>IF(N$510&gt;=$C740,MIN(-(SUM($F740:M740)-$E740),($E740)*$D740),0)*N$508</f>
        <v>0</v>
      </c>
      <c r="O740" s="319">
        <f>IF(O$510&gt;=$C740,MIN(-(SUM($F740:N740)-$E740),($E740)*$D740),0)*O$508</f>
        <v>0</v>
      </c>
      <c r="P740" s="319">
        <f>IF(P$510&gt;=$C740,MIN(-(SUM($F740:O740)-$E740),($E740)*$D740),0)*P$508</f>
        <v>0</v>
      </c>
      <c r="Q740" s="319">
        <f>IF(Q$510&gt;=$C740,MIN(-(SUM($F740:P740)-$E740),($E740)*$D740),0)*Q$508</f>
        <v>0</v>
      </c>
      <c r="R740" s="319">
        <f>IF(R$510&gt;=$C740,MIN(-(SUM($F740:Q740)-$E740),($E740)*$D740),0)*R$508</f>
        <v>0</v>
      </c>
      <c r="S740" s="319">
        <f>IF(S$510&gt;=$C740,MIN(-(SUM($F740:R740)-$E740),($E740)*$D740),0)*S$508</f>
        <v>0</v>
      </c>
      <c r="T740" s="319">
        <f>IF(T$510&gt;=$C740,MIN(-(SUM($F740:S740)-$E740),($E740)*$D740),0)*T$508</f>
        <v>0</v>
      </c>
      <c r="U740" s="319">
        <f>IF(U$510&gt;=$C740,MIN(-(SUM($F740:T740)-$E740),($E740)*$D740),0)*U$508</f>
        <v>0</v>
      </c>
      <c r="V740" s="319">
        <f>IF(V$510&gt;=$C740,MIN(-(SUM($F740:U740)-$E740),($E740)*$D740),0)*V$508</f>
        <v>0</v>
      </c>
      <c r="W740" s="319">
        <f>IF(W$510&gt;=$C740,MIN(-(SUM($F740:V740)-$E740),($E740)*$D740),0)*W$508</f>
        <v>0</v>
      </c>
      <c r="X740" s="319">
        <f>IF(X$510&gt;=$C740,MIN(-(SUM($F740:W740)-$E740),($E740)*$D740),0)*X$508</f>
        <v>0</v>
      </c>
      <c r="Y740" s="319">
        <f>IF(Y$510&gt;=$C740,MIN(-(SUM($F740:X740)-$E740),($E740)*$D740),0)*Y$508</f>
        <v>0</v>
      </c>
      <c r="Z740" s="319">
        <f>IF(Z$510&gt;=$C740,MIN(-(SUM($F740:Y740)-$E740),($E740)*$D740),0)*Z$508</f>
        <v>0</v>
      </c>
      <c r="AA740" s="319">
        <f>IF(AA$510&gt;=$C740,MIN(-(SUM($F740:Z740)-$E740),($E740)*$D740),0)*AA$508</f>
        <v>0</v>
      </c>
      <c r="AB740" s="319">
        <f>IF(AB$510&gt;=$C740,MIN(-(SUM($F740:AA740)-$E740),($E740)*$D740),0)*AB$508</f>
        <v>0</v>
      </c>
      <c r="AC740" s="319">
        <f>IF(AC$510&gt;=$C740,MIN(-(SUM($F740:AB740)-$E740),($E740)*$D740),0)*AC$508</f>
        <v>0</v>
      </c>
      <c r="AD740" s="319">
        <f>IF(AD$510&gt;=$C740,MIN(-(SUM($F740:AC740)-$E740),($E740)*$D740),0)*AD$508</f>
        <v>0</v>
      </c>
      <c r="AE740" s="319">
        <f>IF(AE$510&gt;=$C740,MIN(-(SUM($F740:AD740)-$E740),($E740)*$D740),0)*AE$508</f>
        <v>0</v>
      </c>
      <c r="AF740" s="319">
        <f>IF(AF$510&gt;=$C740,MIN(-(SUM($F740:AE740)-$E740),($E740)*$D740),0)*AF$508</f>
        <v>0</v>
      </c>
      <c r="AG740" s="319">
        <f>IF(AG$510&gt;=$C740,MIN(-(SUM($F740:AF740)-$E740),($E740)*$D740),0)*AG$508</f>
        <v>0</v>
      </c>
      <c r="AH740" s="319">
        <f>IF(AH$510&gt;=$C740,MIN(-(SUM($F740:AG740)-$E740),($E740)*$D740),0)*AH$508</f>
        <v>0</v>
      </c>
      <c r="AI740" s="319">
        <f>IF(AI$510&gt;=$C740,MIN(-(SUM($F740:AH740)-$E740),($E740)*$D740),0)*AI$508</f>
        <v>0</v>
      </c>
      <c r="AJ740" s="319">
        <f>IF(AJ$510&gt;=$C740,MIN(-(SUM($F740:AI740)-$E740),($E740)*$D740),0)*AJ$508</f>
        <v>0</v>
      </c>
      <c r="AK740" s="319">
        <f>IF(AK$510&gt;=$C740,MIN(-(SUM($F740:AJ740)-$E740),($E740)*$D740),0)*AK$508</f>
        <v>0</v>
      </c>
      <c r="AL740" s="319">
        <f>IF(AL$510&gt;=$C740,MIN(-(SUM($F740:AK740)-$E740),($E740)*$D740),0)*AL$508</f>
        <v>0</v>
      </c>
      <c r="AM740" s="319">
        <f>IF(AM$510&gt;=$C740,MIN(-(SUM($F740:AL740)-$E740),($E740)*$D740),0)*AM$508</f>
        <v>0</v>
      </c>
      <c r="AN740" s="319">
        <f>IF(AN$510&gt;=$C740,MIN(-(SUM($F740:AM740)-$E740),($E740)*$D740),0)*AN$508</f>
        <v>0</v>
      </c>
    </row>
    <row r="741" spans="3:40" outlineLevel="4">
      <c r="C741">
        <v>2</v>
      </c>
      <c r="D741">
        <f>Inputs!$D$260</f>
        <v>0.2</v>
      </c>
      <c r="E741" s="319">
        <v>38.909409999999994</v>
      </c>
      <c r="F741" s="461"/>
      <c r="G741" s="319">
        <f>IF(G$510&gt;=$C741,MIN(-(SUM(F741:$F741)-$E741),($E741)*$D741),0)*G$508</f>
        <v>0</v>
      </c>
      <c r="H741" s="319">
        <f>IF(H$510&gt;=$C741,MIN(-(SUM($F741:G741)-$E741),($E741)*$D741),0)*H$508</f>
        <v>7.7818819999999995</v>
      </c>
      <c r="I741" s="319">
        <f>IF(I$510&gt;=$C741,MIN(-(SUM($F741:H741)-$E741),($E741)*$D741),0)*I$508</f>
        <v>7.7818819999999995</v>
      </c>
      <c r="J741" s="319">
        <f>IF(J$510&gt;=$C741,MIN(-(SUM($F741:I741)-$E741),($E741)*$D741),0)*J$508</f>
        <v>7.7818819999999995</v>
      </c>
      <c r="K741" s="319">
        <f>IF(K$510&gt;=$C741,MIN(-(SUM($F741:J741)-$E741),($E741)*$D741),0)*K$508</f>
        <v>7.7818819999999995</v>
      </c>
      <c r="L741" s="319">
        <f>IF(L$510&gt;=$C741,MIN(-(SUM($F741:K741)-$E741),($E741)*$D741),0)*L$508</f>
        <v>7.781881999999996</v>
      </c>
      <c r="M741" s="319">
        <f>IF(M$510&gt;=$C741,MIN(-(SUM($F741:L741)-$E741),($E741)*$D741),0)*M$508</f>
        <v>0</v>
      </c>
      <c r="N741" s="319">
        <f>IF(N$510&gt;=$C741,MIN(-(SUM($F741:M741)-$E741),($E741)*$D741),0)*N$508</f>
        <v>0</v>
      </c>
      <c r="O741" s="319">
        <f>IF(O$510&gt;=$C741,MIN(-(SUM($F741:N741)-$E741),($E741)*$D741),0)*O$508</f>
        <v>0</v>
      </c>
      <c r="P741" s="319">
        <f>IF(P$510&gt;=$C741,MIN(-(SUM($F741:O741)-$E741),($E741)*$D741),0)*P$508</f>
        <v>0</v>
      </c>
      <c r="Q741" s="319">
        <f>IF(Q$510&gt;=$C741,MIN(-(SUM($F741:P741)-$E741),($E741)*$D741),0)*Q$508</f>
        <v>0</v>
      </c>
      <c r="R741" s="319">
        <f>IF(R$510&gt;=$C741,MIN(-(SUM($F741:Q741)-$E741),($E741)*$D741),0)*R$508</f>
        <v>0</v>
      </c>
      <c r="S741" s="319">
        <f>IF(S$510&gt;=$C741,MIN(-(SUM($F741:R741)-$E741),($E741)*$D741),0)*S$508</f>
        <v>0</v>
      </c>
      <c r="T741" s="319">
        <f>IF(T$510&gt;=$C741,MIN(-(SUM($F741:S741)-$E741),($E741)*$D741),0)*T$508</f>
        <v>0</v>
      </c>
      <c r="U741" s="319">
        <f>IF(U$510&gt;=$C741,MIN(-(SUM($F741:T741)-$E741),($E741)*$D741),0)*U$508</f>
        <v>0</v>
      </c>
      <c r="V741" s="319">
        <f>IF(V$510&gt;=$C741,MIN(-(SUM($F741:U741)-$E741),($E741)*$D741),0)*V$508</f>
        <v>0</v>
      </c>
      <c r="W741" s="319">
        <f>IF(W$510&gt;=$C741,MIN(-(SUM($F741:V741)-$E741),($E741)*$D741),0)*W$508</f>
        <v>0</v>
      </c>
      <c r="X741" s="319">
        <f>IF(X$510&gt;=$C741,MIN(-(SUM($F741:W741)-$E741),($E741)*$D741),0)*X$508</f>
        <v>0</v>
      </c>
      <c r="Y741" s="319">
        <f>IF(Y$510&gt;=$C741,MIN(-(SUM($F741:X741)-$E741),($E741)*$D741),0)*Y$508</f>
        <v>0</v>
      </c>
      <c r="Z741" s="319">
        <f>IF(Z$510&gt;=$C741,MIN(-(SUM($F741:Y741)-$E741),($E741)*$D741),0)*Z$508</f>
        <v>0</v>
      </c>
      <c r="AA741" s="319">
        <f>IF(AA$510&gt;=$C741,MIN(-(SUM($F741:Z741)-$E741),($E741)*$D741),0)*AA$508</f>
        <v>0</v>
      </c>
      <c r="AB741" s="319">
        <f>IF(AB$510&gt;=$C741,MIN(-(SUM($F741:AA741)-$E741),($E741)*$D741),0)*AB$508</f>
        <v>0</v>
      </c>
      <c r="AC741" s="319">
        <f>IF(AC$510&gt;=$C741,MIN(-(SUM($F741:AB741)-$E741),($E741)*$D741),0)*AC$508</f>
        <v>0</v>
      </c>
      <c r="AD741" s="319">
        <f>IF(AD$510&gt;=$C741,MIN(-(SUM($F741:AC741)-$E741),($E741)*$D741),0)*AD$508</f>
        <v>0</v>
      </c>
      <c r="AE741" s="319">
        <f>IF(AE$510&gt;=$C741,MIN(-(SUM($F741:AD741)-$E741),($E741)*$D741),0)*AE$508</f>
        <v>0</v>
      </c>
      <c r="AF741" s="319">
        <f>IF(AF$510&gt;=$C741,MIN(-(SUM($F741:AE741)-$E741),($E741)*$D741),0)*AF$508</f>
        <v>0</v>
      </c>
      <c r="AG741" s="319">
        <f>IF(AG$510&gt;=$C741,MIN(-(SUM($F741:AF741)-$E741),($E741)*$D741),0)*AG$508</f>
        <v>0</v>
      </c>
      <c r="AH741" s="319">
        <f>IF(AH$510&gt;=$C741,MIN(-(SUM($F741:AG741)-$E741),($E741)*$D741),0)*AH$508</f>
        <v>0</v>
      </c>
      <c r="AI741" s="319">
        <f>IF(AI$510&gt;=$C741,MIN(-(SUM($F741:AH741)-$E741),($E741)*$D741),0)*AI$508</f>
        <v>0</v>
      </c>
      <c r="AJ741" s="319">
        <f>IF(AJ$510&gt;=$C741,MIN(-(SUM($F741:AI741)-$E741),($E741)*$D741),0)*AJ$508</f>
        <v>0</v>
      </c>
      <c r="AK741" s="319">
        <f>IF(AK$510&gt;=$C741,MIN(-(SUM($F741:AJ741)-$E741),($E741)*$D741),0)*AK$508</f>
        <v>0</v>
      </c>
      <c r="AL741" s="319">
        <f>IF(AL$510&gt;=$C741,MIN(-(SUM($F741:AK741)-$E741),($E741)*$D741),0)*AL$508</f>
        <v>0</v>
      </c>
      <c r="AM741" s="319">
        <f>IF(AM$510&gt;=$C741,MIN(-(SUM($F741:AL741)-$E741),($E741)*$D741),0)*AM$508</f>
        <v>0</v>
      </c>
      <c r="AN741" s="319">
        <f>IF(AN$510&gt;=$C741,MIN(-(SUM($F741:AM741)-$E741),($E741)*$D741),0)*AN$508</f>
        <v>0</v>
      </c>
    </row>
    <row r="742" spans="3:40" outlineLevel="4">
      <c r="C742">
        <v>3</v>
      </c>
      <c r="D742">
        <f>Inputs!$D$260</f>
        <v>0.2</v>
      </c>
      <c r="E742" s="319">
        <v>0</v>
      </c>
      <c r="F742" s="461"/>
      <c r="G742" s="319">
        <f>IF(G$510&gt;=$C742,MIN(-(SUM(F742:$F742)-$E742),($E742)*$D742),0)*G$508</f>
        <v>0</v>
      </c>
      <c r="H742" s="319">
        <f>IF(H$510&gt;=$C742,MIN(-(SUM($F742:G742)-$E742),($E742)*$D742),0)*H$508</f>
        <v>0</v>
      </c>
      <c r="I742" s="319">
        <f>IF(I$510&gt;=$C742,MIN(-(SUM($F742:H742)-$E742),($E742)*$D742),0)*I$508</f>
        <v>0</v>
      </c>
      <c r="J742" s="319">
        <f>IF(J$510&gt;=$C742,MIN(-(SUM($F742:I742)-$E742),($E742)*$D742),0)*J$508</f>
        <v>0</v>
      </c>
      <c r="K742" s="319">
        <f>IF(K$510&gt;=$C742,MIN(-(SUM($F742:J742)-$E742),($E742)*$D742),0)*K$508</f>
        <v>0</v>
      </c>
      <c r="L742" s="319">
        <f>IF(L$510&gt;=$C742,MIN(-(SUM($F742:K742)-$E742),($E742)*$D742),0)*L$508</f>
        <v>0</v>
      </c>
      <c r="M742" s="319">
        <f>IF(M$510&gt;=$C742,MIN(-(SUM($F742:L742)-$E742),($E742)*$D742),0)*M$508</f>
        <v>0</v>
      </c>
      <c r="N742" s="319">
        <f>IF(N$510&gt;=$C742,MIN(-(SUM($F742:M742)-$E742),($E742)*$D742),0)*N$508</f>
        <v>0</v>
      </c>
      <c r="O742" s="319">
        <f>IF(O$510&gt;=$C742,MIN(-(SUM($F742:N742)-$E742),($E742)*$D742),0)*O$508</f>
        <v>0</v>
      </c>
      <c r="P742" s="319">
        <f>IF(P$510&gt;=$C742,MIN(-(SUM($F742:O742)-$E742),($E742)*$D742),0)*P$508</f>
        <v>0</v>
      </c>
      <c r="Q742" s="319">
        <f>IF(Q$510&gt;=$C742,MIN(-(SUM($F742:P742)-$E742),($E742)*$D742),0)*Q$508</f>
        <v>0</v>
      </c>
      <c r="R742" s="319">
        <f>IF(R$510&gt;=$C742,MIN(-(SUM($F742:Q742)-$E742),($E742)*$D742),0)*R$508</f>
        <v>0</v>
      </c>
      <c r="S742" s="319">
        <f>IF(S$510&gt;=$C742,MIN(-(SUM($F742:R742)-$E742),($E742)*$D742),0)*S$508</f>
        <v>0</v>
      </c>
      <c r="T742" s="319">
        <f>IF(T$510&gt;=$C742,MIN(-(SUM($F742:S742)-$E742),($E742)*$D742),0)*T$508</f>
        <v>0</v>
      </c>
      <c r="U742" s="319">
        <f>IF(U$510&gt;=$C742,MIN(-(SUM($F742:T742)-$E742),($E742)*$D742),0)*U$508</f>
        <v>0</v>
      </c>
      <c r="V742" s="319">
        <f>IF(V$510&gt;=$C742,MIN(-(SUM($F742:U742)-$E742),($E742)*$D742),0)*V$508</f>
        <v>0</v>
      </c>
      <c r="W742" s="319">
        <f>IF(W$510&gt;=$C742,MIN(-(SUM($F742:V742)-$E742),($E742)*$D742),0)*W$508</f>
        <v>0</v>
      </c>
      <c r="X742" s="319">
        <f>IF(X$510&gt;=$C742,MIN(-(SUM($F742:W742)-$E742),($E742)*$D742),0)*X$508</f>
        <v>0</v>
      </c>
      <c r="Y742" s="319">
        <f>IF(Y$510&gt;=$C742,MIN(-(SUM($F742:X742)-$E742),($E742)*$D742),0)*Y$508</f>
        <v>0</v>
      </c>
      <c r="Z742" s="319">
        <f>IF(Z$510&gt;=$C742,MIN(-(SUM($F742:Y742)-$E742),($E742)*$D742),0)*Z$508</f>
        <v>0</v>
      </c>
      <c r="AA742" s="319">
        <f>IF(AA$510&gt;=$C742,MIN(-(SUM($F742:Z742)-$E742),($E742)*$D742),0)*AA$508</f>
        <v>0</v>
      </c>
      <c r="AB742" s="319">
        <f>IF(AB$510&gt;=$C742,MIN(-(SUM($F742:AA742)-$E742),($E742)*$D742),0)*AB$508</f>
        <v>0</v>
      </c>
      <c r="AC742" s="319">
        <f>IF(AC$510&gt;=$C742,MIN(-(SUM($F742:AB742)-$E742),($E742)*$D742),0)*AC$508</f>
        <v>0</v>
      </c>
      <c r="AD742" s="319">
        <f>IF(AD$510&gt;=$C742,MIN(-(SUM($F742:AC742)-$E742),($E742)*$D742),0)*AD$508</f>
        <v>0</v>
      </c>
      <c r="AE742" s="319">
        <f>IF(AE$510&gt;=$C742,MIN(-(SUM($F742:AD742)-$E742),($E742)*$D742),0)*AE$508</f>
        <v>0</v>
      </c>
      <c r="AF742" s="319">
        <f>IF(AF$510&gt;=$C742,MIN(-(SUM($F742:AE742)-$E742),($E742)*$D742),0)*AF$508</f>
        <v>0</v>
      </c>
      <c r="AG742" s="319">
        <f>IF(AG$510&gt;=$C742,MIN(-(SUM($F742:AF742)-$E742),($E742)*$D742),0)*AG$508</f>
        <v>0</v>
      </c>
      <c r="AH742" s="319">
        <f>IF(AH$510&gt;=$C742,MIN(-(SUM($F742:AG742)-$E742),($E742)*$D742),0)*AH$508</f>
        <v>0</v>
      </c>
      <c r="AI742" s="319">
        <f>IF(AI$510&gt;=$C742,MIN(-(SUM($F742:AH742)-$E742),($E742)*$D742),0)*AI$508</f>
        <v>0</v>
      </c>
      <c r="AJ742" s="319">
        <f>IF(AJ$510&gt;=$C742,MIN(-(SUM($F742:AI742)-$E742),($E742)*$D742),0)*AJ$508</f>
        <v>0</v>
      </c>
      <c r="AK742" s="319">
        <f>IF(AK$510&gt;=$C742,MIN(-(SUM($F742:AJ742)-$E742),($E742)*$D742),0)*AK$508</f>
        <v>0</v>
      </c>
      <c r="AL742" s="319">
        <f>IF(AL$510&gt;=$C742,MIN(-(SUM($F742:AK742)-$E742),($E742)*$D742),0)*AL$508</f>
        <v>0</v>
      </c>
      <c r="AM742" s="319">
        <f>IF(AM$510&gt;=$C742,MIN(-(SUM($F742:AL742)-$E742),($E742)*$D742),0)*AM$508</f>
        <v>0</v>
      </c>
      <c r="AN742" s="319">
        <f>IF(AN$510&gt;=$C742,MIN(-(SUM($F742:AM742)-$E742),($E742)*$D742),0)*AN$508</f>
        <v>0</v>
      </c>
    </row>
    <row r="743" spans="3:40" outlineLevel="4">
      <c r="C743">
        <v>4</v>
      </c>
      <c r="D743">
        <f>Inputs!$D$260</f>
        <v>0.2</v>
      </c>
      <c r="E743" s="319">
        <v>0</v>
      </c>
      <c r="F743" s="461"/>
      <c r="G743" s="319">
        <f>IF(G$510&gt;=$C743,MIN(-(SUM(F743:$F743)-$E743),($E743)*$D743),0)*G$508</f>
        <v>0</v>
      </c>
      <c r="H743" s="319">
        <f>IF(H$510&gt;=$C743,MIN(-(SUM($F743:G743)-$E743),($E743)*$D743),0)*H$508</f>
        <v>0</v>
      </c>
      <c r="I743" s="319">
        <f>IF(I$510&gt;=$C743,MIN(-(SUM($F743:H743)-$E743),($E743)*$D743),0)*I$508</f>
        <v>0</v>
      </c>
      <c r="J743" s="319">
        <f>IF(J$510&gt;=$C743,MIN(-(SUM($F743:I743)-$E743),($E743)*$D743),0)*J$508</f>
        <v>0</v>
      </c>
      <c r="K743" s="319">
        <f>IF(K$510&gt;=$C743,MIN(-(SUM($F743:J743)-$E743),($E743)*$D743),0)*K$508</f>
        <v>0</v>
      </c>
      <c r="L743" s="319">
        <f>IF(L$510&gt;=$C743,MIN(-(SUM($F743:K743)-$E743),($E743)*$D743),0)*L$508</f>
        <v>0</v>
      </c>
      <c r="M743" s="319">
        <f>IF(M$510&gt;=$C743,MIN(-(SUM($F743:L743)-$E743),($E743)*$D743),0)*M$508</f>
        <v>0</v>
      </c>
      <c r="N743" s="319">
        <f>IF(N$510&gt;=$C743,MIN(-(SUM($F743:M743)-$E743),($E743)*$D743),0)*N$508</f>
        <v>0</v>
      </c>
      <c r="O743" s="319">
        <f>IF(O$510&gt;=$C743,MIN(-(SUM($F743:N743)-$E743),($E743)*$D743),0)*O$508</f>
        <v>0</v>
      </c>
      <c r="P743" s="319">
        <f>IF(P$510&gt;=$C743,MIN(-(SUM($F743:O743)-$E743),($E743)*$D743),0)*P$508</f>
        <v>0</v>
      </c>
      <c r="Q743" s="319">
        <f>IF(Q$510&gt;=$C743,MIN(-(SUM($F743:P743)-$E743),($E743)*$D743),0)*Q$508</f>
        <v>0</v>
      </c>
      <c r="R743" s="319">
        <f>IF(R$510&gt;=$C743,MIN(-(SUM($F743:Q743)-$E743),($E743)*$D743),0)*R$508</f>
        <v>0</v>
      </c>
      <c r="S743" s="319">
        <f>IF(S$510&gt;=$C743,MIN(-(SUM($F743:R743)-$E743),($E743)*$D743),0)*S$508</f>
        <v>0</v>
      </c>
      <c r="T743" s="319">
        <f>IF(T$510&gt;=$C743,MIN(-(SUM($F743:S743)-$E743),($E743)*$D743),0)*T$508</f>
        <v>0</v>
      </c>
      <c r="U743" s="319">
        <f>IF(U$510&gt;=$C743,MIN(-(SUM($F743:T743)-$E743),($E743)*$D743),0)*U$508</f>
        <v>0</v>
      </c>
      <c r="V743" s="319">
        <f>IF(V$510&gt;=$C743,MIN(-(SUM($F743:U743)-$E743),($E743)*$D743),0)*V$508</f>
        <v>0</v>
      </c>
      <c r="W743" s="319">
        <f>IF(W$510&gt;=$C743,MIN(-(SUM($F743:V743)-$E743),($E743)*$D743),0)*W$508</f>
        <v>0</v>
      </c>
      <c r="X743" s="319">
        <f>IF(X$510&gt;=$C743,MIN(-(SUM($F743:W743)-$E743),($E743)*$D743),0)*X$508</f>
        <v>0</v>
      </c>
      <c r="Y743" s="319">
        <f>IF(Y$510&gt;=$C743,MIN(-(SUM($F743:X743)-$E743),($E743)*$D743),0)*Y$508</f>
        <v>0</v>
      </c>
      <c r="Z743" s="319">
        <f>IF(Z$510&gt;=$C743,MIN(-(SUM($F743:Y743)-$E743),($E743)*$D743),0)*Z$508</f>
        <v>0</v>
      </c>
      <c r="AA743" s="319">
        <f>IF(AA$510&gt;=$C743,MIN(-(SUM($F743:Z743)-$E743),($E743)*$D743),0)*AA$508</f>
        <v>0</v>
      </c>
      <c r="AB743" s="319">
        <f>IF(AB$510&gt;=$C743,MIN(-(SUM($F743:AA743)-$E743),($E743)*$D743),0)*AB$508</f>
        <v>0</v>
      </c>
      <c r="AC743" s="319">
        <f>IF(AC$510&gt;=$C743,MIN(-(SUM($F743:AB743)-$E743),($E743)*$D743),0)*AC$508</f>
        <v>0</v>
      </c>
      <c r="AD743" s="319">
        <f>IF(AD$510&gt;=$C743,MIN(-(SUM($F743:AC743)-$E743),($E743)*$D743),0)*AD$508</f>
        <v>0</v>
      </c>
      <c r="AE743" s="319">
        <f>IF(AE$510&gt;=$C743,MIN(-(SUM($F743:AD743)-$E743),($E743)*$D743),0)*AE$508</f>
        <v>0</v>
      </c>
      <c r="AF743" s="319">
        <f>IF(AF$510&gt;=$C743,MIN(-(SUM($F743:AE743)-$E743),($E743)*$D743),0)*AF$508</f>
        <v>0</v>
      </c>
      <c r="AG743" s="319">
        <f>IF(AG$510&gt;=$C743,MIN(-(SUM($F743:AF743)-$E743),($E743)*$D743),0)*AG$508</f>
        <v>0</v>
      </c>
      <c r="AH743" s="319">
        <f>IF(AH$510&gt;=$C743,MIN(-(SUM($F743:AG743)-$E743),($E743)*$D743),0)*AH$508</f>
        <v>0</v>
      </c>
      <c r="AI743" s="319">
        <f>IF(AI$510&gt;=$C743,MIN(-(SUM($F743:AH743)-$E743),($E743)*$D743),0)*AI$508</f>
        <v>0</v>
      </c>
      <c r="AJ743" s="319">
        <f>IF(AJ$510&gt;=$C743,MIN(-(SUM($F743:AI743)-$E743),($E743)*$D743),0)*AJ$508</f>
        <v>0</v>
      </c>
      <c r="AK743" s="319">
        <f>IF(AK$510&gt;=$C743,MIN(-(SUM($F743:AJ743)-$E743),($E743)*$D743),0)*AK$508</f>
        <v>0</v>
      </c>
      <c r="AL743" s="319">
        <f>IF(AL$510&gt;=$C743,MIN(-(SUM($F743:AK743)-$E743),($E743)*$D743),0)*AL$508</f>
        <v>0</v>
      </c>
      <c r="AM743" s="319">
        <f>IF(AM$510&gt;=$C743,MIN(-(SUM($F743:AL743)-$E743),($E743)*$D743),0)*AM$508</f>
        <v>0</v>
      </c>
      <c r="AN743" s="319">
        <f>IF(AN$510&gt;=$C743,MIN(-(SUM($F743:AM743)-$E743),($E743)*$D743),0)*AN$508</f>
        <v>0</v>
      </c>
    </row>
    <row r="744" spans="3:40" outlineLevel="4">
      <c r="C744">
        <v>5</v>
      </c>
      <c r="D744">
        <f>Inputs!$D$260</f>
        <v>0.2</v>
      </c>
      <c r="E744" s="319">
        <v>0</v>
      </c>
      <c r="F744" s="461"/>
      <c r="G744" s="319">
        <f>IF(G$510&gt;=$C744,MIN(-(SUM(F744:$F744)-$E744),($E744)*$D744),0)*G$508</f>
        <v>0</v>
      </c>
      <c r="H744" s="319">
        <f>IF(H$510&gt;=$C744,MIN(-(SUM($F744:G744)-$E744),($E744)*$D744),0)*H$508</f>
        <v>0</v>
      </c>
      <c r="I744" s="319">
        <f>IF(I$510&gt;=$C744,MIN(-(SUM($F744:H744)-$E744),($E744)*$D744),0)*I$508</f>
        <v>0</v>
      </c>
      <c r="J744" s="319">
        <f>IF(J$510&gt;=$C744,MIN(-(SUM($F744:I744)-$E744),($E744)*$D744),0)*J$508</f>
        <v>0</v>
      </c>
      <c r="K744" s="319">
        <f>IF(K$510&gt;=$C744,MIN(-(SUM($F744:J744)-$E744),($E744)*$D744),0)*K$508</f>
        <v>0</v>
      </c>
      <c r="L744" s="319">
        <f>IF(L$510&gt;=$C744,MIN(-(SUM($F744:K744)-$E744),($E744)*$D744),0)*L$508</f>
        <v>0</v>
      </c>
      <c r="M744" s="319">
        <f>IF(M$510&gt;=$C744,MIN(-(SUM($F744:L744)-$E744),($E744)*$D744),0)*M$508</f>
        <v>0</v>
      </c>
      <c r="N744" s="319">
        <f>IF(N$510&gt;=$C744,MIN(-(SUM($F744:M744)-$E744),($E744)*$D744),0)*N$508</f>
        <v>0</v>
      </c>
      <c r="O744" s="319">
        <f>IF(O$510&gt;=$C744,MIN(-(SUM($F744:N744)-$E744),($E744)*$D744),0)*O$508</f>
        <v>0</v>
      </c>
      <c r="P744" s="319">
        <f>IF(P$510&gt;=$C744,MIN(-(SUM($F744:O744)-$E744),($E744)*$D744),0)*P$508</f>
        <v>0</v>
      </c>
      <c r="Q744" s="319">
        <f>IF(Q$510&gt;=$C744,MIN(-(SUM($F744:P744)-$E744),($E744)*$D744),0)*Q$508</f>
        <v>0</v>
      </c>
      <c r="R744" s="319">
        <f>IF(R$510&gt;=$C744,MIN(-(SUM($F744:Q744)-$E744),($E744)*$D744),0)*R$508</f>
        <v>0</v>
      </c>
      <c r="S744" s="319">
        <f>IF(S$510&gt;=$C744,MIN(-(SUM($F744:R744)-$E744),($E744)*$D744),0)*S$508</f>
        <v>0</v>
      </c>
      <c r="T744" s="319">
        <f>IF(T$510&gt;=$C744,MIN(-(SUM($F744:S744)-$E744),($E744)*$D744),0)*T$508</f>
        <v>0</v>
      </c>
      <c r="U744" s="319">
        <f>IF(U$510&gt;=$C744,MIN(-(SUM($F744:T744)-$E744),($E744)*$D744),0)*U$508</f>
        <v>0</v>
      </c>
      <c r="V744" s="319">
        <f>IF(V$510&gt;=$C744,MIN(-(SUM($F744:U744)-$E744),($E744)*$D744),0)*V$508</f>
        <v>0</v>
      </c>
      <c r="W744" s="319">
        <f>IF(W$510&gt;=$C744,MIN(-(SUM($F744:V744)-$E744),($E744)*$D744),0)*W$508</f>
        <v>0</v>
      </c>
      <c r="X744" s="319">
        <f>IF(X$510&gt;=$C744,MIN(-(SUM($F744:W744)-$E744),($E744)*$D744),0)*X$508</f>
        <v>0</v>
      </c>
      <c r="Y744" s="319">
        <f>IF(Y$510&gt;=$C744,MIN(-(SUM($F744:X744)-$E744),($E744)*$D744),0)*Y$508</f>
        <v>0</v>
      </c>
      <c r="Z744" s="319">
        <f>IF(Z$510&gt;=$C744,MIN(-(SUM($F744:Y744)-$E744),($E744)*$D744),0)*Z$508</f>
        <v>0</v>
      </c>
      <c r="AA744" s="319">
        <f>IF(AA$510&gt;=$C744,MIN(-(SUM($F744:Z744)-$E744),($E744)*$D744),0)*AA$508</f>
        <v>0</v>
      </c>
      <c r="AB744" s="319">
        <f>IF(AB$510&gt;=$C744,MIN(-(SUM($F744:AA744)-$E744),($E744)*$D744),0)*AB$508</f>
        <v>0</v>
      </c>
      <c r="AC744" s="319">
        <f>IF(AC$510&gt;=$C744,MIN(-(SUM($F744:AB744)-$E744),($E744)*$D744),0)*AC$508</f>
        <v>0</v>
      </c>
      <c r="AD744" s="319">
        <f>IF(AD$510&gt;=$C744,MIN(-(SUM($F744:AC744)-$E744),($E744)*$D744),0)*AD$508</f>
        <v>0</v>
      </c>
      <c r="AE744" s="319">
        <f>IF(AE$510&gt;=$C744,MIN(-(SUM($F744:AD744)-$E744),($E744)*$D744),0)*AE$508</f>
        <v>0</v>
      </c>
      <c r="AF744" s="319">
        <f>IF(AF$510&gt;=$C744,MIN(-(SUM($F744:AE744)-$E744),($E744)*$D744),0)*AF$508</f>
        <v>0</v>
      </c>
      <c r="AG744" s="319">
        <f>IF(AG$510&gt;=$C744,MIN(-(SUM($F744:AF744)-$E744),($E744)*$D744),0)*AG$508</f>
        <v>0</v>
      </c>
      <c r="AH744" s="319">
        <f>IF(AH$510&gt;=$C744,MIN(-(SUM($F744:AG744)-$E744),($E744)*$D744),0)*AH$508</f>
        <v>0</v>
      </c>
      <c r="AI744" s="319">
        <f>IF(AI$510&gt;=$C744,MIN(-(SUM($F744:AH744)-$E744),($E744)*$D744),0)*AI$508</f>
        <v>0</v>
      </c>
      <c r="AJ744" s="319">
        <f>IF(AJ$510&gt;=$C744,MIN(-(SUM($F744:AI744)-$E744),($E744)*$D744),0)*AJ$508</f>
        <v>0</v>
      </c>
      <c r="AK744" s="319">
        <f>IF(AK$510&gt;=$C744,MIN(-(SUM($F744:AJ744)-$E744),($E744)*$D744),0)*AK$508</f>
        <v>0</v>
      </c>
      <c r="AL744" s="319">
        <f>IF(AL$510&gt;=$C744,MIN(-(SUM($F744:AK744)-$E744),($E744)*$D744),0)*AL$508</f>
        <v>0</v>
      </c>
      <c r="AM744" s="319">
        <f>IF(AM$510&gt;=$C744,MIN(-(SUM($F744:AL744)-$E744),($E744)*$D744),0)*AM$508</f>
        <v>0</v>
      </c>
      <c r="AN744" s="319">
        <f>IF(AN$510&gt;=$C744,MIN(-(SUM($F744:AM744)-$E744),($E744)*$D744),0)*AN$508</f>
        <v>0</v>
      </c>
    </row>
    <row r="745" spans="3:40" outlineLevel="4">
      <c r="C745">
        <v>6</v>
      </c>
      <c r="D745">
        <f>Inputs!$D$260</f>
        <v>0.2</v>
      </c>
      <c r="E745" s="319">
        <v>25.209900000000001</v>
      </c>
      <c r="F745" s="461"/>
      <c r="G745" s="319">
        <f>IF(G$510&gt;=$C745,MIN(-(SUM(F745:$F745)-$E745),($E745)*$D745),0)*G$508</f>
        <v>0</v>
      </c>
      <c r="H745" s="319">
        <f>IF(H$510&gt;=$C745,MIN(-(SUM($F745:G745)-$E745),($E745)*$D745),0)*H$508</f>
        <v>0</v>
      </c>
      <c r="I745" s="319">
        <f>IF(I$510&gt;=$C745,MIN(-(SUM($F745:H745)-$E745),($E745)*$D745),0)*I$508</f>
        <v>0</v>
      </c>
      <c r="J745" s="319">
        <f>IF(J$510&gt;=$C745,MIN(-(SUM($F745:I745)-$E745),($E745)*$D745),0)*J$508</f>
        <v>0</v>
      </c>
      <c r="K745" s="319">
        <f>IF(K$510&gt;=$C745,MIN(-(SUM($F745:J745)-$E745),($E745)*$D745),0)*K$508</f>
        <v>0</v>
      </c>
      <c r="L745" s="319">
        <f>IF(L$510&gt;=$C745,MIN(-(SUM($F745:K745)-$E745),($E745)*$D745),0)*L$508</f>
        <v>5.0419800000000006</v>
      </c>
      <c r="M745" s="319">
        <f>IF(M$510&gt;=$C745,MIN(-(SUM($F745:L745)-$E745),($E745)*$D745),0)*M$508</f>
        <v>5.0419800000000006</v>
      </c>
      <c r="N745" s="319">
        <f>IF(N$510&gt;=$C745,MIN(-(SUM($F745:M745)-$E745),($E745)*$D745),0)*N$508</f>
        <v>5.0419800000000006</v>
      </c>
      <c r="O745" s="319">
        <f>IF(O$510&gt;=$C745,MIN(-(SUM($F745:N745)-$E745),($E745)*$D745),0)*O$508</f>
        <v>5.0419800000000006</v>
      </c>
      <c r="P745" s="319">
        <f>IF(P$510&gt;=$C745,MIN(-(SUM($F745:O745)-$E745),($E745)*$D745),0)*P$508</f>
        <v>5.0419799999999988</v>
      </c>
      <c r="Q745" s="319">
        <f>IF(Q$510&gt;=$C745,MIN(-(SUM($F745:P745)-$E745),($E745)*$D745),0)*Q$508</f>
        <v>0</v>
      </c>
      <c r="R745" s="319">
        <f>IF(R$510&gt;=$C745,MIN(-(SUM($F745:Q745)-$E745),($E745)*$D745),0)*R$508</f>
        <v>0</v>
      </c>
      <c r="S745" s="319">
        <f>IF(S$510&gt;=$C745,MIN(-(SUM($F745:R745)-$E745),($E745)*$D745),0)*S$508</f>
        <v>0</v>
      </c>
      <c r="T745" s="319">
        <f>IF(T$510&gt;=$C745,MIN(-(SUM($F745:S745)-$E745),($E745)*$D745),0)*T$508</f>
        <v>0</v>
      </c>
      <c r="U745" s="319">
        <f>IF(U$510&gt;=$C745,MIN(-(SUM($F745:T745)-$E745),($E745)*$D745),0)*U$508</f>
        <v>0</v>
      </c>
      <c r="V745" s="319">
        <f>IF(V$510&gt;=$C745,MIN(-(SUM($F745:U745)-$E745),($E745)*$D745),0)*V$508</f>
        <v>0</v>
      </c>
      <c r="W745" s="319">
        <f>IF(W$510&gt;=$C745,MIN(-(SUM($F745:V745)-$E745),($E745)*$D745),0)*W$508</f>
        <v>0</v>
      </c>
      <c r="X745" s="319">
        <f>IF(X$510&gt;=$C745,MIN(-(SUM($F745:W745)-$E745),($E745)*$D745),0)*X$508</f>
        <v>0</v>
      </c>
      <c r="Y745" s="319">
        <f>IF(Y$510&gt;=$C745,MIN(-(SUM($F745:X745)-$E745),($E745)*$D745),0)*Y$508</f>
        <v>0</v>
      </c>
      <c r="Z745" s="319">
        <f>IF(Z$510&gt;=$C745,MIN(-(SUM($F745:Y745)-$E745),($E745)*$D745),0)*Z$508</f>
        <v>0</v>
      </c>
      <c r="AA745" s="319">
        <f>IF(AA$510&gt;=$C745,MIN(-(SUM($F745:Z745)-$E745),($E745)*$D745),0)*AA$508</f>
        <v>0</v>
      </c>
      <c r="AB745" s="319">
        <f>IF(AB$510&gt;=$C745,MIN(-(SUM($F745:AA745)-$E745),($E745)*$D745),0)*AB$508</f>
        <v>0</v>
      </c>
      <c r="AC745" s="319">
        <f>IF(AC$510&gt;=$C745,MIN(-(SUM($F745:AB745)-$E745),($E745)*$D745),0)*AC$508</f>
        <v>0</v>
      </c>
      <c r="AD745" s="319">
        <f>IF(AD$510&gt;=$C745,MIN(-(SUM($F745:AC745)-$E745),($E745)*$D745),0)*AD$508</f>
        <v>0</v>
      </c>
      <c r="AE745" s="319">
        <f>IF(AE$510&gt;=$C745,MIN(-(SUM($F745:AD745)-$E745),($E745)*$D745),0)*AE$508</f>
        <v>0</v>
      </c>
      <c r="AF745" s="319">
        <f>IF(AF$510&gt;=$C745,MIN(-(SUM($F745:AE745)-$E745),($E745)*$D745),0)*AF$508</f>
        <v>0</v>
      </c>
      <c r="AG745" s="319">
        <f>IF(AG$510&gt;=$C745,MIN(-(SUM($F745:AF745)-$E745),($E745)*$D745),0)*AG$508</f>
        <v>0</v>
      </c>
      <c r="AH745" s="319">
        <f>IF(AH$510&gt;=$C745,MIN(-(SUM($F745:AG745)-$E745),($E745)*$D745),0)*AH$508</f>
        <v>0</v>
      </c>
      <c r="AI745" s="319">
        <f>IF(AI$510&gt;=$C745,MIN(-(SUM($F745:AH745)-$E745),($E745)*$D745),0)*AI$508</f>
        <v>0</v>
      </c>
      <c r="AJ745" s="319">
        <f>IF(AJ$510&gt;=$C745,MIN(-(SUM($F745:AI745)-$E745),($E745)*$D745),0)*AJ$508</f>
        <v>0</v>
      </c>
      <c r="AK745" s="319">
        <f>IF(AK$510&gt;=$C745,MIN(-(SUM($F745:AJ745)-$E745),($E745)*$D745),0)*AK$508</f>
        <v>0</v>
      </c>
      <c r="AL745" s="319">
        <f>IF(AL$510&gt;=$C745,MIN(-(SUM($F745:AK745)-$E745),($E745)*$D745),0)*AL$508</f>
        <v>0</v>
      </c>
      <c r="AM745" s="319">
        <f>IF(AM$510&gt;=$C745,MIN(-(SUM($F745:AL745)-$E745),($E745)*$D745),0)*AM$508</f>
        <v>0</v>
      </c>
      <c r="AN745" s="319">
        <f>IF(AN$510&gt;=$C745,MIN(-(SUM($F745:AM745)-$E745),($E745)*$D745),0)*AN$508</f>
        <v>0</v>
      </c>
    </row>
    <row r="746" spans="3:40" outlineLevel="4">
      <c r="C746">
        <v>7</v>
      </c>
      <c r="D746">
        <f>Inputs!$D$260</f>
        <v>0.2</v>
      </c>
      <c r="E746" s="319">
        <v>10.874799999999999</v>
      </c>
      <c r="F746" s="461"/>
      <c r="G746" s="319">
        <f>IF(G$510&gt;=$C746,MIN(-(SUM(F746:$F746)-$E746),($E746)*$D746),0)*G$508</f>
        <v>0</v>
      </c>
      <c r="H746" s="319">
        <f>IF(H$510&gt;=$C746,MIN(-(SUM($F746:G746)-$E746),($E746)*$D746),0)*H$508</f>
        <v>0</v>
      </c>
      <c r="I746" s="319">
        <f>IF(I$510&gt;=$C746,MIN(-(SUM($F746:H746)-$E746),($E746)*$D746),0)*I$508</f>
        <v>0</v>
      </c>
      <c r="J746" s="319">
        <f>IF(J$510&gt;=$C746,MIN(-(SUM($F746:I746)-$E746),($E746)*$D746),0)*J$508</f>
        <v>0</v>
      </c>
      <c r="K746" s="319">
        <f>IF(K$510&gt;=$C746,MIN(-(SUM($F746:J746)-$E746),($E746)*$D746),0)*K$508</f>
        <v>0</v>
      </c>
      <c r="L746" s="319">
        <f>IF(L$510&gt;=$C746,MIN(-(SUM($F746:K746)-$E746),($E746)*$D746),0)*L$508</f>
        <v>0</v>
      </c>
      <c r="M746" s="319">
        <f>IF(M$510&gt;=$C746,MIN(-(SUM($F746:L746)-$E746),($E746)*$D746),0)*M$508</f>
        <v>2.17496</v>
      </c>
      <c r="N746" s="319">
        <f>IF(N$510&gt;=$C746,MIN(-(SUM($F746:M746)-$E746),($E746)*$D746),0)*N$508</f>
        <v>2.17496</v>
      </c>
      <c r="O746" s="319">
        <f>IF(O$510&gt;=$C746,MIN(-(SUM($F746:N746)-$E746),($E746)*$D746),0)*O$508</f>
        <v>2.17496</v>
      </c>
      <c r="P746" s="319">
        <f>IF(P$510&gt;=$C746,MIN(-(SUM($F746:O746)-$E746),($E746)*$D746),0)*P$508</f>
        <v>2.17496</v>
      </c>
      <c r="Q746" s="319">
        <f>IF(Q$510&gt;=$C746,MIN(-(SUM($F746:P746)-$E746),($E746)*$D746),0)*Q$508</f>
        <v>2.1749599999999987</v>
      </c>
      <c r="R746" s="319">
        <f>IF(R$510&gt;=$C746,MIN(-(SUM($F746:Q746)-$E746),($E746)*$D746),0)*R$508</f>
        <v>0</v>
      </c>
      <c r="S746" s="319">
        <f>IF(S$510&gt;=$C746,MIN(-(SUM($F746:R746)-$E746),($E746)*$D746),0)*S$508</f>
        <v>0</v>
      </c>
      <c r="T746" s="319">
        <f>IF(T$510&gt;=$C746,MIN(-(SUM($F746:S746)-$E746),($E746)*$D746),0)*T$508</f>
        <v>0</v>
      </c>
      <c r="U746" s="319">
        <f>IF(U$510&gt;=$C746,MIN(-(SUM($F746:T746)-$E746),($E746)*$D746),0)*U$508</f>
        <v>0</v>
      </c>
      <c r="V746" s="319">
        <f>IF(V$510&gt;=$C746,MIN(-(SUM($F746:U746)-$E746),($E746)*$D746),0)*V$508</f>
        <v>0</v>
      </c>
      <c r="W746" s="319">
        <f>IF(W$510&gt;=$C746,MIN(-(SUM($F746:V746)-$E746),($E746)*$D746),0)*W$508</f>
        <v>0</v>
      </c>
      <c r="X746" s="319">
        <f>IF(X$510&gt;=$C746,MIN(-(SUM($F746:W746)-$E746),($E746)*$D746),0)*X$508</f>
        <v>0</v>
      </c>
      <c r="Y746" s="319">
        <f>IF(Y$510&gt;=$C746,MIN(-(SUM($F746:X746)-$E746),($E746)*$D746),0)*Y$508</f>
        <v>0</v>
      </c>
      <c r="Z746" s="319">
        <f>IF(Z$510&gt;=$C746,MIN(-(SUM($F746:Y746)-$E746),($E746)*$D746),0)*Z$508</f>
        <v>0</v>
      </c>
      <c r="AA746" s="319">
        <f>IF(AA$510&gt;=$C746,MIN(-(SUM($F746:Z746)-$E746),($E746)*$D746),0)*AA$508</f>
        <v>0</v>
      </c>
      <c r="AB746" s="319">
        <f>IF(AB$510&gt;=$C746,MIN(-(SUM($F746:AA746)-$E746),($E746)*$D746),0)*AB$508</f>
        <v>0</v>
      </c>
      <c r="AC746" s="319">
        <f>IF(AC$510&gt;=$C746,MIN(-(SUM($F746:AB746)-$E746),($E746)*$D746),0)*AC$508</f>
        <v>0</v>
      </c>
      <c r="AD746" s="319">
        <f>IF(AD$510&gt;=$C746,MIN(-(SUM($F746:AC746)-$E746),($E746)*$D746),0)*AD$508</f>
        <v>0</v>
      </c>
      <c r="AE746" s="319">
        <f>IF(AE$510&gt;=$C746,MIN(-(SUM($F746:AD746)-$E746),($E746)*$D746),0)*AE$508</f>
        <v>0</v>
      </c>
      <c r="AF746" s="319">
        <f>IF(AF$510&gt;=$C746,MIN(-(SUM($F746:AE746)-$E746),($E746)*$D746),0)*AF$508</f>
        <v>0</v>
      </c>
      <c r="AG746" s="319">
        <f>IF(AG$510&gt;=$C746,MIN(-(SUM($F746:AF746)-$E746),($E746)*$D746),0)*AG$508</f>
        <v>0</v>
      </c>
      <c r="AH746" s="319">
        <f>IF(AH$510&gt;=$C746,MIN(-(SUM($F746:AG746)-$E746),($E746)*$D746),0)*AH$508</f>
        <v>0</v>
      </c>
      <c r="AI746" s="319">
        <f>IF(AI$510&gt;=$C746,MIN(-(SUM($F746:AH746)-$E746),($E746)*$D746),0)*AI$508</f>
        <v>0</v>
      </c>
      <c r="AJ746" s="319">
        <f>IF(AJ$510&gt;=$C746,MIN(-(SUM($F746:AI746)-$E746),($E746)*$D746),0)*AJ$508</f>
        <v>0</v>
      </c>
      <c r="AK746" s="319">
        <f>IF(AK$510&gt;=$C746,MIN(-(SUM($F746:AJ746)-$E746),($E746)*$D746),0)*AK$508</f>
        <v>0</v>
      </c>
      <c r="AL746" s="319">
        <f>IF(AL$510&gt;=$C746,MIN(-(SUM($F746:AK746)-$E746),($E746)*$D746),0)*AL$508</f>
        <v>0</v>
      </c>
      <c r="AM746" s="319">
        <f>IF(AM$510&gt;=$C746,MIN(-(SUM($F746:AL746)-$E746),($E746)*$D746),0)*AM$508</f>
        <v>0</v>
      </c>
      <c r="AN746" s="319">
        <f>IF(AN$510&gt;=$C746,MIN(-(SUM($F746:AM746)-$E746),($E746)*$D746),0)*AN$508</f>
        <v>0</v>
      </c>
    </row>
    <row r="747" spans="3:40" outlineLevel="4">
      <c r="C747">
        <v>8</v>
      </c>
      <c r="D747">
        <f>Inputs!$D$260</f>
        <v>0.2</v>
      </c>
      <c r="E747" s="319">
        <v>0</v>
      </c>
      <c r="F747" s="461"/>
      <c r="G747" s="319">
        <f>IF(G$510&gt;=$C747,MIN(-(SUM(F747:$F747)-$E747),($E747)*$D747),0)*G$508</f>
        <v>0</v>
      </c>
      <c r="H747" s="319">
        <f>IF(H$510&gt;=$C747,MIN(-(SUM($F747:G747)-$E747),($E747)*$D747),0)*H$508</f>
        <v>0</v>
      </c>
      <c r="I747" s="319">
        <f>IF(I$510&gt;=$C747,MIN(-(SUM($F747:H747)-$E747),($E747)*$D747),0)*I$508</f>
        <v>0</v>
      </c>
      <c r="J747" s="319">
        <f>IF(J$510&gt;=$C747,MIN(-(SUM($F747:I747)-$E747),($E747)*$D747),0)*J$508</f>
        <v>0</v>
      </c>
      <c r="K747" s="319">
        <f>IF(K$510&gt;=$C747,MIN(-(SUM($F747:J747)-$E747),($E747)*$D747),0)*K$508</f>
        <v>0</v>
      </c>
      <c r="L747" s="319">
        <f>IF(L$510&gt;=$C747,MIN(-(SUM($F747:K747)-$E747),($E747)*$D747),0)*L$508</f>
        <v>0</v>
      </c>
      <c r="M747" s="319">
        <f>IF(M$510&gt;=$C747,MIN(-(SUM($F747:L747)-$E747),($E747)*$D747),0)*M$508</f>
        <v>0</v>
      </c>
      <c r="N747" s="319">
        <f>IF(N$510&gt;=$C747,MIN(-(SUM($F747:M747)-$E747),($E747)*$D747),0)*N$508</f>
        <v>0</v>
      </c>
      <c r="O747" s="319">
        <f>IF(O$510&gt;=$C747,MIN(-(SUM($F747:N747)-$E747),($E747)*$D747),0)*O$508</f>
        <v>0</v>
      </c>
      <c r="P747" s="319">
        <f>IF(P$510&gt;=$C747,MIN(-(SUM($F747:O747)-$E747),($E747)*$D747),0)*P$508</f>
        <v>0</v>
      </c>
      <c r="Q747" s="319">
        <f>IF(Q$510&gt;=$C747,MIN(-(SUM($F747:P747)-$E747),($E747)*$D747),0)*Q$508</f>
        <v>0</v>
      </c>
      <c r="R747" s="319">
        <f>IF(R$510&gt;=$C747,MIN(-(SUM($F747:Q747)-$E747),($E747)*$D747),0)*R$508</f>
        <v>0</v>
      </c>
      <c r="S747" s="319">
        <f>IF(S$510&gt;=$C747,MIN(-(SUM($F747:R747)-$E747),($E747)*$D747),0)*S$508</f>
        <v>0</v>
      </c>
      <c r="T747" s="319">
        <f>IF(T$510&gt;=$C747,MIN(-(SUM($F747:S747)-$E747),($E747)*$D747),0)*T$508</f>
        <v>0</v>
      </c>
      <c r="U747" s="319">
        <f>IF(U$510&gt;=$C747,MIN(-(SUM($F747:T747)-$E747),($E747)*$D747),0)*U$508</f>
        <v>0</v>
      </c>
      <c r="V747" s="319">
        <f>IF(V$510&gt;=$C747,MIN(-(SUM($F747:U747)-$E747),($E747)*$D747),0)*V$508</f>
        <v>0</v>
      </c>
      <c r="W747" s="319">
        <f>IF(W$510&gt;=$C747,MIN(-(SUM($F747:V747)-$E747),($E747)*$D747),0)*W$508</f>
        <v>0</v>
      </c>
      <c r="X747" s="319">
        <f>IF(X$510&gt;=$C747,MIN(-(SUM($F747:W747)-$E747),($E747)*$D747),0)*X$508</f>
        <v>0</v>
      </c>
      <c r="Y747" s="319">
        <f>IF(Y$510&gt;=$C747,MIN(-(SUM($F747:X747)-$E747),($E747)*$D747),0)*Y$508</f>
        <v>0</v>
      </c>
      <c r="Z747" s="319">
        <f>IF(Z$510&gt;=$C747,MIN(-(SUM($F747:Y747)-$E747),($E747)*$D747),0)*Z$508</f>
        <v>0</v>
      </c>
      <c r="AA747" s="319">
        <f>IF(AA$510&gt;=$C747,MIN(-(SUM($F747:Z747)-$E747),($E747)*$D747),0)*AA$508</f>
        <v>0</v>
      </c>
      <c r="AB747" s="319">
        <f>IF(AB$510&gt;=$C747,MIN(-(SUM($F747:AA747)-$E747),($E747)*$D747),0)*AB$508</f>
        <v>0</v>
      </c>
      <c r="AC747" s="319">
        <f>IF(AC$510&gt;=$C747,MIN(-(SUM($F747:AB747)-$E747),($E747)*$D747),0)*AC$508</f>
        <v>0</v>
      </c>
      <c r="AD747" s="319">
        <f>IF(AD$510&gt;=$C747,MIN(-(SUM($F747:AC747)-$E747),($E747)*$D747),0)*AD$508</f>
        <v>0</v>
      </c>
      <c r="AE747" s="319">
        <f>IF(AE$510&gt;=$C747,MIN(-(SUM($F747:AD747)-$E747),($E747)*$D747),0)*AE$508</f>
        <v>0</v>
      </c>
      <c r="AF747" s="319">
        <f>IF(AF$510&gt;=$C747,MIN(-(SUM($F747:AE747)-$E747),($E747)*$D747),0)*AF$508</f>
        <v>0</v>
      </c>
      <c r="AG747" s="319">
        <f>IF(AG$510&gt;=$C747,MIN(-(SUM($F747:AF747)-$E747),($E747)*$D747),0)*AG$508</f>
        <v>0</v>
      </c>
      <c r="AH747" s="319">
        <f>IF(AH$510&gt;=$C747,MIN(-(SUM($F747:AG747)-$E747),($E747)*$D747),0)*AH$508</f>
        <v>0</v>
      </c>
      <c r="AI747" s="319">
        <f>IF(AI$510&gt;=$C747,MIN(-(SUM($F747:AH747)-$E747),($E747)*$D747),0)*AI$508</f>
        <v>0</v>
      </c>
      <c r="AJ747" s="319">
        <f>IF(AJ$510&gt;=$C747,MIN(-(SUM($F747:AI747)-$E747),($E747)*$D747),0)*AJ$508</f>
        <v>0</v>
      </c>
      <c r="AK747" s="319">
        <f>IF(AK$510&gt;=$C747,MIN(-(SUM($F747:AJ747)-$E747),($E747)*$D747),0)*AK$508</f>
        <v>0</v>
      </c>
      <c r="AL747" s="319">
        <f>IF(AL$510&gt;=$C747,MIN(-(SUM($F747:AK747)-$E747),($E747)*$D747),0)*AL$508</f>
        <v>0</v>
      </c>
      <c r="AM747" s="319">
        <f>IF(AM$510&gt;=$C747,MIN(-(SUM($F747:AL747)-$E747),($E747)*$D747),0)*AM$508</f>
        <v>0</v>
      </c>
      <c r="AN747" s="319">
        <f>IF(AN$510&gt;=$C747,MIN(-(SUM($F747:AM747)-$E747),($E747)*$D747),0)*AN$508</f>
        <v>0</v>
      </c>
    </row>
    <row r="748" spans="3:40" outlineLevel="4">
      <c r="C748">
        <v>9</v>
      </c>
      <c r="D748">
        <f>Inputs!$D$260</f>
        <v>0.2</v>
      </c>
      <c r="E748" s="319">
        <v>0</v>
      </c>
      <c r="F748" s="461"/>
      <c r="G748" s="319">
        <f>IF(G$510&gt;=$C748,MIN(-(SUM(F748:$F748)-$E748),($E748)*$D748),0)*G$508</f>
        <v>0</v>
      </c>
      <c r="H748" s="319">
        <f>IF(H$510&gt;=$C748,MIN(-(SUM($F748:G748)-$E748),($E748)*$D748),0)*H$508</f>
        <v>0</v>
      </c>
      <c r="I748" s="319">
        <f>IF(I$510&gt;=$C748,MIN(-(SUM($F748:H748)-$E748),($E748)*$D748),0)*I$508</f>
        <v>0</v>
      </c>
      <c r="J748" s="319">
        <f>IF(J$510&gt;=$C748,MIN(-(SUM($F748:I748)-$E748),($E748)*$D748),0)*J$508</f>
        <v>0</v>
      </c>
      <c r="K748" s="319">
        <f>IF(K$510&gt;=$C748,MIN(-(SUM($F748:J748)-$E748),($E748)*$D748),0)*K$508</f>
        <v>0</v>
      </c>
      <c r="L748" s="319">
        <f>IF(L$510&gt;=$C748,MIN(-(SUM($F748:K748)-$E748),($E748)*$D748),0)*L$508</f>
        <v>0</v>
      </c>
      <c r="M748" s="319">
        <f>IF(M$510&gt;=$C748,MIN(-(SUM($F748:L748)-$E748),($E748)*$D748),0)*M$508</f>
        <v>0</v>
      </c>
      <c r="N748" s="319">
        <f>IF(N$510&gt;=$C748,MIN(-(SUM($F748:M748)-$E748),($E748)*$D748),0)*N$508</f>
        <v>0</v>
      </c>
      <c r="O748" s="319">
        <f>IF(O$510&gt;=$C748,MIN(-(SUM($F748:N748)-$E748),($E748)*$D748),0)*O$508</f>
        <v>0</v>
      </c>
      <c r="P748" s="319">
        <f>IF(P$510&gt;=$C748,MIN(-(SUM($F748:O748)-$E748),($E748)*$D748),0)*P$508</f>
        <v>0</v>
      </c>
      <c r="Q748" s="319">
        <f>IF(Q$510&gt;=$C748,MIN(-(SUM($F748:P748)-$E748),($E748)*$D748),0)*Q$508</f>
        <v>0</v>
      </c>
      <c r="R748" s="319">
        <f>IF(R$510&gt;=$C748,MIN(-(SUM($F748:Q748)-$E748),($E748)*$D748),0)*R$508</f>
        <v>0</v>
      </c>
      <c r="S748" s="319">
        <f>IF(S$510&gt;=$C748,MIN(-(SUM($F748:R748)-$E748),($E748)*$D748),0)*S$508</f>
        <v>0</v>
      </c>
      <c r="T748" s="319">
        <f>IF(T$510&gt;=$C748,MIN(-(SUM($F748:S748)-$E748),($E748)*$D748),0)*T$508</f>
        <v>0</v>
      </c>
      <c r="U748" s="319">
        <f>IF(U$510&gt;=$C748,MIN(-(SUM($F748:T748)-$E748),($E748)*$D748),0)*U$508</f>
        <v>0</v>
      </c>
      <c r="V748" s="319">
        <f>IF(V$510&gt;=$C748,MIN(-(SUM($F748:U748)-$E748),($E748)*$D748),0)*V$508</f>
        <v>0</v>
      </c>
      <c r="W748" s="319">
        <f>IF(W$510&gt;=$C748,MIN(-(SUM($F748:V748)-$E748),($E748)*$D748),0)*W$508</f>
        <v>0</v>
      </c>
      <c r="X748" s="319">
        <f>IF(X$510&gt;=$C748,MIN(-(SUM($F748:W748)-$E748),($E748)*$D748),0)*X$508</f>
        <v>0</v>
      </c>
      <c r="Y748" s="319">
        <f>IF(Y$510&gt;=$C748,MIN(-(SUM($F748:X748)-$E748),($E748)*$D748),0)*Y$508</f>
        <v>0</v>
      </c>
      <c r="Z748" s="319">
        <f>IF(Z$510&gt;=$C748,MIN(-(SUM($F748:Y748)-$E748),($E748)*$D748),0)*Z$508</f>
        <v>0</v>
      </c>
      <c r="AA748" s="319">
        <f>IF(AA$510&gt;=$C748,MIN(-(SUM($F748:Z748)-$E748),($E748)*$D748),0)*AA$508</f>
        <v>0</v>
      </c>
      <c r="AB748" s="319">
        <f>IF(AB$510&gt;=$C748,MIN(-(SUM($F748:AA748)-$E748),($E748)*$D748),0)*AB$508</f>
        <v>0</v>
      </c>
      <c r="AC748" s="319">
        <f>IF(AC$510&gt;=$C748,MIN(-(SUM($F748:AB748)-$E748),($E748)*$D748),0)*AC$508</f>
        <v>0</v>
      </c>
      <c r="AD748" s="319">
        <f>IF(AD$510&gt;=$C748,MIN(-(SUM($F748:AC748)-$E748),($E748)*$D748),0)*AD$508</f>
        <v>0</v>
      </c>
      <c r="AE748" s="319">
        <f>IF(AE$510&gt;=$C748,MIN(-(SUM($F748:AD748)-$E748),($E748)*$D748),0)*AE$508</f>
        <v>0</v>
      </c>
      <c r="AF748" s="319">
        <f>IF(AF$510&gt;=$C748,MIN(-(SUM($F748:AE748)-$E748),($E748)*$D748),0)*AF$508</f>
        <v>0</v>
      </c>
      <c r="AG748" s="319">
        <f>IF(AG$510&gt;=$C748,MIN(-(SUM($F748:AF748)-$E748),($E748)*$D748),0)*AG$508</f>
        <v>0</v>
      </c>
      <c r="AH748" s="319">
        <f>IF(AH$510&gt;=$C748,MIN(-(SUM($F748:AG748)-$E748),($E748)*$D748),0)*AH$508</f>
        <v>0</v>
      </c>
      <c r="AI748" s="319">
        <f>IF(AI$510&gt;=$C748,MIN(-(SUM($F748:AH748)-$E748),($E748)*$D748),0)*AI$508</f>
        <v>0</v>
      </c>
      <c r="AJ748" s="319">
        <f>IF(AJ$510&gt;=$C748,MIN(-(SUM($F748:AI748)-$E748),($E748)*$D748),0)*AJ$508</f>
        <v>0</v>
      </c>
      <c r="AK748" s="319">
        <f>IF(AK$510&gt;=$C748,MIN(-(SUM($F748:AJ748)-$E748),($E748)*$D748),0)*AK$508</f>
        <v>0</v>
      </c>
      <c r="AL748" s="319">
        <f>IF(AL$510&gt;=$C748,MIN(-(SUM($F748:AK748)-$E748),($E748)*$D748),0)*AL$508</f>
        <v>0</v>
      </c>
      <c r="AM748" s="319">
        <f>IF(AM$510&gt;=$C748,MIN(-(SUM($F748:AL748)-$E748),($E748)*$D748),0)*AM$508</f>
        <v>0</v>
      </c>
      <c r="AN748" s="319">
        <f>IF(AN$510&gt;=$C748,MIN(-(SUM($F748:AM748)-$E748),($E748)*$D748),0)*AN$508</f>
        <v>0</v>
      </c>
    </row>
    <row r="749" spans="3:40" outlineLevel="4">
      <c r="C749">
        <v>10</v>
      </c>
      <c r="D749">
        <f>Inputs!$D$260</f>
        <v>0.2</v>
      </c>
      <c r="E749" s="319">
        <v>0</v>
      </c>
      <c r="F749" s="461"/>
      <c r="G749" s="319">
        <f>IF(G$510&gt;=$C749,MIN(-(SUM(F749:$F749)-$E749),($E749)*$D749),0)*G$508</f>
        <v>0</v>
      </c>
      <c r="H749" s="319">
        <f>IF(H$510&gt;=$C749,MIN(-(SUM($F749:G749)-$E749),($E749)*$D749),0)*H$508</f>
        <v>0</v>
      </c>
      <c r="I749" s="319">
        <f>IF(I$510&gt;=$C749,MIN(-(SUM($F749:H749)-$E749),($E749)*$D749),0)*I$508</f>
        <v>0</v>
      </c>
      <c r="J749" s="319">
        <f>IF(J$510&gt;=$C749,MIN(-(SUM($F749:I749)-$E749),($E749)*$D749),0)*J$508</f>
        <v>0</v>
      </c>
      <c r="K749" s="319">
        <f>IF(K$510&gt;=$C749,MIN(-(SUM($F749:J749)-$E749),($E749)*$D749),0)*K$508</f>
        <v>0</v>
      </c>
      <c r="L749" s="319">
        <f>IF(L$510&gt;=$C749,MIN(-(SUM($F749:K749)-$E749),($E749)*$D749),0)*L$508</f>
        <v>0</v>
      </c>
      <c r="M749" s="319">
        <f>IF(M$510&gt;=$C749,MIN(-(SUM($F749:L749)-$E749),($E749)*$D749),0)*M$508</f>
        <v>0</v>
      </c>
      <c r="N749" s="319">
        <f>IF(N$510&gt;=$C749,MIN(-(SUM($F749:M749)-$E749),($E749)*$D749),0)*N$508</f>
        <v>0</v>
      </c>
      <c r="O749" s="319">
        <f>IF(O$510&gt;=$C749,MIN(-(SUM($F749:N749)-$E749),($E749)*$D749),0)*O$508</f>
        <v>0</v>
      </c>
      <c r="P749" s="319">
        <f>IF(P$510&gt;=$C749,MIN(-(SUM($F749:O749)-$E749),($E749)*$D749),0)*P$508</f>
        <v>0</v>
      </c>
      <c r="Q749" s="319">
        <f>IF(Q$510&gt;=$C749,MIN(-(SUM($F749:P749)-$E749),($E749)*$D749),0)*Q$508</f>
        <v>0</v>
      </c>
      <c r="R749" s="319">
        <f>IF(R$510&gt;=$C749,MIN(-(SUM($F749:Q749)-$E749),($E749)*$D749),0)*R$508</f>
        <v>0</v>
      </c>
      <c r="S749" s="319">
        <f>IF(S$510&gt;=$C749,MIN(-(SUM($F749:R749)-$E749),($E749)*$D749),0)*S$508</f>
        <v>0</v>
      </c>
      <c r="T749" s="319">
        <f>IF(T$510&gt;=$C749,MIN(-(SUM($F749:S749)-$E749),($E749)*$D749),0)*T$508</f>
        <v>0</v>
      </c>
      <c r="U749" s="319">
        <f>IF(U$510&gt;=$C749,MIN(-(SUM($F749:T749)-$E749),($E749)*$D749),0)*U$508</f>
        <v>0</v>
      </c>
      <c r="V749" s="319">
        <f>IF(V$510&gt;=$C749,MIN(-(SUM($F749:U749)-$E749),($E749)*$D749),0)*V$508</f>
        <v>0</v>
      </c>
      <c r="W749" s="319">
        <f>IF(W$510&gt;=$C749,MIN(-(SUM($F749:V749)-$E749),($E749)*$D749),0)*W$508</f>
        <v>0</v>
      </c>
      <c r="X749" s="319">
        <f>IF(X$510&gt;=$C749,MIN(-(SUM($F749:W749)-$E749),($E749)*$D749),0)*X$508</f>
        <v>0</v>
      </c>
      <c r="Y749" s="319">
        <f>IF(Y$510&gt;=$C749,MIN(-(SUM($F749:X749)-$E749),($E749)*$D749),0)*Y$508</f>
        <v>0</v>
      </c>
      <c r="Z749" s="319">
        <f>IF(Z$510&gt;=$C749,MIN(-(SUM($F749:Y749)-$E749),($E749)*$D749),0)*Z$508</f>
        <v>0</v>
      </c>
      <c r="AA749" s="319">
        <f>IF(AA$510&gt;=$C749,MIN(-(SUM($F749:Z749)-$E749),($E749)*$D749),0)*AA$508</f>
        <v>0</v>
      </c>
      <c r="AB749" s="319">
        <f>IF(AB$510&gt;=$C749,MIN(-(SUM($F749:AA749)-$E749),($E749)*$D749),0)*AB$508</f>
        <v>0</v>
      </c>
      <c r="AC749" s="319">
        <f>IF(AC$510&gt;=$C749,MIN(-(SUM($F749:AB749)-$E749),($E749)*$D749),0)*AC$508</f>
        <v>0</v>
      </c>
      <c r="AD749" s="319">
        <f>IF(AD$510&gt;=$C749,MIN(-(SUM($F749:AC749)-$E749),($E749)*$D749),0)*AD$508</f>
        <v>0</v>
      </c>
      <c r="AE749" s="319">
        <f>IF(AE$510&gt;=$C749,MIN(-(SUM($F749:AD749)-$E749),($E749)*$D749),0)*AE$508</f>
        <v>0</v>
      </c>
      <c r="AF749" s="319">
        <f>IF(AF$510&gt;=$C749,MIN(-(SUM($F749:AE749)-$E749),($E749)*$D749),0)*AF$508</f>
        <v>0</v>
      </c>
      <c r="AG749" s="319">
        <f>IF(AG$510&gt;=$C749,MIN(-(SUM($F749:AF749)-$E749),($E749)*$D749),0)*AG$508</f>
        <v>0</v>
      </c>
      <c r="AH749" s="319">
        <f>IF(AH$510&gt;=$C749,MIN(-(SUM($F749:AG749)-$E749),($E749)*$D749),0)*AH$508</f>
        <v>0</v>
      </c>
      <c r="AI749" s="319">
        <f>IF(AI$510&gt;=$C749,MIN(-(SUM($F749:AH749)-$E749),($E749)*$D749),0)*AI$508</f>
        <v>0</v>
      </c>
      <c r="AJ749" s="319">
        <f>IF(AJ$510&gt;=$C749,MIN(-(SUM($F749:AI749)-$E749),($E749)*$D749),0)*AJ$508</f>
        <v>0</v>
      </c>
      <c r="AK749" s="319">
        <f>IF(AK$510&gt;=$C749,MIN(-(SUM($F749:AJ749)-$E749),($E749)*$D749),0)*AK$508</f>
        <v>0</v>
      </c>
      <c r="AL749" s="319">
        <f>IF(AL$510&gt;=$C749,MIN(-(SUM($F749:AK749)-$E749),($E749)*$D749),0)*AL$508</f>
        <v>0</v>
      </c>
      <c r="AM749" s="319">
        <f>IF(AM$510&gt;=$C749,MIN(-(SUM($F749:AL749)-$E749),($E749)*$D749),0)*AM$508</f>
        <v>0</v>
      </c>
      <c r="AN749" s="319">
        <f>IF(AN$510&gt;=$C749,MIN(-(SUM($F749:AM749)-$E749),($E749)*$D749),0)*AN$508</f>
        <v>0</v>
      </c>
    </row>
    <row r="750" spans="3:40" outlineLevel="4">
      <c r="C750">
        <v>11</v>
      </c>
      <c r="D750">
        <f>Inputs!$D$260</f>
        <v>0.2</v>
      </c>
      <c r="E750" s="319">
        <v>851.69989999999996</v>
      </c>
      <c r="F750" s="461"/>
      <c r="G750" s="319">
        <f>IF(G$510&gt;=$C750,MIN(-(SUM(F750:$F750)-$E750),($E750)*$D750),0)*G$508</f>
        <v>0</v>
      </c>
      <c r="H750" s="319">
        <f>IF(H$510&gt;=$C750,MIN(-(SUM($F750:G750)-$E750),($E750)*$D750),0)*H$508</f>
        <v>0</v>
      </c>
      <c r="I750" s="319">
        <f>IF(I$510&gt;=$C750,MIN(-(SUM($F750:H750)-$E750),($E750)*$D750),0)*I$508</f>
        <v>0</v>
      </c>
      <c r="J750" s="319">
        <f>IF(J$510&gt;=$C750,MIN(-(SUM($F750:I750)-$E750),($E750)*$D750),0)*J$508</f>
        <v>0</v>
      </c>
      <c r="K750" s="319">
        <f>IF(K$510&gt;=$C750,MIN(-(SUM($F750:J750)-$E750),($E750)*$D750),0)*K$508</f>
        <v>0</v>
      </c>
      <c r="L750" s="319">
        <f>IF(L$510&gt;=$C750,MIN(-(SUM($F750:K750)-$E750),($E750)*$D750),0)*L$508</f>
        <v>0</v>
      </c>
      <c r="M750" s="319">
        <f>IF(M$510&gt;=$C750,MIN(-(SUM($F750:L750)-$E750),($E750)*$D750),0)*M$508</f>
        <v>0</v>
      </c>
      <c r="N750" s="319">
        <f>IF(N$510&gt;=$C750,MIN(-(SUM($F750:M750)-$E750),($E750)*$D750),0)*N$508</f>
        <v>0</v>
      </c>
      <c r="O750" s="319">
        <f>IF(O$510&gt;=$C750,MIN(-(SUM($F750:N750)-$E750),($E750)*$D750),0)*O$508</f>
        <v>0</v>
      </c>
      <c r="P750" s="319">
        <f>IF(P$510&gt;=$C750,MIN(-(SUM($F750:O750)-$E750),($E750)*$D750),0)*P$508</f>
        <v>0</v>
      </c>
      <c r="Q750" s="319">
        <f>IF(Q$510&gt;=$C750,MIN(-(SUM($F750:P750)-$E750),($E750)*$D750),0)*Q$508</f>
        <v>170.33998</v>
      </c>
      <c r="R750" s="319">
        <f>IF(R$510&gt;=$C750,MIN(-(SUM($F750:Q750)-$E750),($E750)*$D750),0)*R$508</f>
        <v>170.33998</v>
      </c>
      <c r="S750" s="319">
        <f>IF(S$510&gt;=$C750,MIN(-(SUM($F750:R750)-$E750),($E750)*$D750),0)*S$508</f>
        <v>170.33998</v>
      </c>
      <c r="T750" s="319">
        <f>IF(T$510&gt;=$C750,MIN(-(SUM($F750:S750)-$E750),($E750)*$D750),0)*T$508</f>
        <v>170.33998</v>
      </c>
      <c r="U750" s="319">
        <f>IF(U$510&gt;=$C750,MIN(-(SUM($F750:T750)-$E750),($E750)*$D750),0)*U$508</f>
        <v>170.33997999999997</v>
      </c>
      <c r="V750" s="319">
        <f>IF(V$510&gt;=$C750,MIN(-(SUM($F750:U750)-$E750),($E750)*$D750),0)*V$508</f>
        <v>0</v>
      </c>
      <c r="W750" s="319">
        <f>IF(W$510&gt;=$C750,MIN(-(SUM($F750:V750)-$E750),($E750)*$D750),0)*W$508</f>
        <v>0</v>
      </c>
      <c r="X750" s="319">
        <f>IF(X$510&gt;=$C750,MIN(-(SUM($F750:W750)-$E750),($E750)*$D750),0)*X$508</f>
        <v>0</v>
      </c>
      <c r="Y750" s="319">
        <f>IF(Y$510&gt;=$C750,MIN(-(SUM($F750:X750)-$E750),($E750)*$D750),0)*Y$508</f>
        <v>0</v>
      </c>
      <c r="Z750" s="319">
        <f>IF(Z$510&gt;=$C750,MIN(-(SUM($F750:Y750)-$E750),($E750)*$D750),0)*Z$508</f>
        <v>0</v>
      </c>
      <c r="AA750" s="319">
        <f>IF(AA$510&gt;=$C750,MIN(-(SUM($F750:Z750)-$E750),($E750)*$D750),0)*AA$508</f>
        <v>0</v>
      </c>
      <c r="AB750" s="319">
        <f>IF(AB$510&gt;=$C750,MIN(-(SUM($F750:AA750)-$E750),($E750)*$D750),0)*AB$508</f>
        <v>0</v>
      </c>
      <c r="AC750" s="319">
        <f>IF(AC$510&gt;=$C750,MIN(-(SUM($F750:AB750)-$E750),($E750)*$D750),0)*AC$508</f>
        <v>0</v>
      </c>
      <c r="AD750" s="319">
        <f>IF(AD$510&gt;=$C750,MIN(-(SUM($F750:AC750)-$E750),($E750)*$D750),0)*AD$508</f>
        <v>0</v>
      </c>
      <c r="AE750" s="319">
        <f>IF(AE$510&gt;=$C750,MIN(-(SUM($F750:AD750)-$E750),($E750)*$D750),0)*AE$508</f>
        <v>0</v>
      </c>
      <c r="AF750" s="319">
        <f>IF(AF$510&gt;=$C750,MIN(-(SUM($F750:AE750)-$E750),($E750)*$D750),0)*AF$508</f>
        <v>0</v>
      </c>
      <c r="AG750" s="319">
        <f>IF(AG$510&gt;=$C750,MIN(-(SUM($F750:AF750)-$E750),($E750)*$D750),0)*AG$508</f>
        <v>0</v>
      </c>
      <c r="AH750" s="319">
        <f>IF(AH$510&gt;=$C750,MIN(-(SUM($F750:AG750)-$E750),($E750)*$D750),0)*AH$508</f>
        <v>0</v>
      </c>
      <c r="AI750" s="319">
        <f>IF(AI$510&gt;=$C750,MIN(-(SUM($F750:AH750)-$E750),($E750)*$D750),0)*AI$508</f>
        <v>0</v>
      </c>
      <c r="AJ750" s="319">
        <f>IF(AJ$510&gt;=$C750,MIN(-(SUM($F750:AI750)-$E750),($E750)*$D750),0)*AJ$508</f>
        <v>0</v>
      </c>
      <c r="AK750" s="319">
        <f>IF(AK$510&gt;=$C750,MIN(-(SUM($F750:AJ750)-$E750),($E750)*$D750),0)*AK$508</f>
        <v>0</v>
      </c>
      <c r="AL750" s="319">
        <f>IF(AL$510&gt;=$C750,MIN(-(SUM($F750:AK750)-$E750),($E750)*$D750),0)*AL$508</f>
        <v>0</v>
      </c>
      <c r="AM750" s="319">
        <f>IF(AM$510&gt;=$C750,MIN(-(SUM($F750:AL750)-$E750),($E750)*$D750),0)*AM$508</f>
        <v>0</v>
      </c>
      <c r="AN750" s="319">
        <f>IF(AN$510&gt;=$C750,MIN(-(SUM($F750:AM750)-$E750),($E750)*$D750),0)*AN$508</f>
        <v>0</v>
      </c>
    </row>
    <row r="751" spans="3:40" outlineLevel="4">
      <c r="C751">
        <v>12</v>
      </c>
      <c r="D751">
        <f>Inputs!$D$260</f>
        <v>0.2</v>
      </c>
      <c r="E751" s="319">
        <v>38.909409999999994</v>
      </c>
      <c r="F751" s="461"/>
      <c r="G751" s="319">
        <f>IF(G$510&gt;=$C751,MIN(-(SUM(F751:$F751)-$E751),($E751)*$D751),0)*G$508</f>
        <v>0</v>
      </c>
      <c r="H751" s="319">
        <f>IF(H$510&gt;=$C751,MIN(-(SUM($F751:G751)-$E751),($E751)*$D751),0)*H$508</f>
        <v>0</v>
      </c>
      <c r="I751" s="319">
        <f>IF(I$510&gt;=$C751,MIN(-(SUM($F751:H751)-$E751),($E751)*$D751),0)*I$508</f>
        <v>0</v>
      </c>
      <c r="J751" s="319">
        <f>IF(J$510&gt;=$C751,MIN(-(SUM($F751:I751)-$E751),($E751)*$D751),0)*J$508</f>
        <v>0</v>
      </c>
      <c r="K751" s="319">
        <f>IF(K$510&gt;=$C751,MIN(-(SUM($F751:J751)-$E751),($E751)*$D751),0)*K$508</f>
        <v>0</v>
      </c>
      <c r="L751" s="319">
        <f>IF(L$510&gt;=$C751,MIN(-(SUM($F751:K751)-$E751),($E751)*$D751),0)*L$508</f>
        <v>0</v>
      </c>
      <c r="M751" s="319">
        <f>IF(M$510&gt;=$C751,MIN(-(SUM($F751:L751)-$E751),($E751)*$D751),0)*M$508</f>
        <v>0</v>
      </c>
      <c r="N751" s="319">
        <f>IF(N$510&gt;=$C751,MIN(-(SUM($F751:M751)-$E751),($E751)*$D751),0)*N$508</f>
        <v>0</v>
      </c>
      <c r="O751" s="319">
        <f>IF(O$510&gt;=$C751,MIN(-(SUM($F751:N751)-$E751),($E751)*$D751),0)*O$508</f>
        <v>0</v>
      </c>
      <c r="P751" s="319">
        <f>IF(P$510&gt;=$C751,MIN(-(SUM($F751:O751)-$E751),($E751)*$D751),0)*P$508</f>
        <v>0</v>
      </c>
      <c r="Q751" s="319">
        <f>IF(Q$510&gt;=$C751,MIN(-(SUM($F751:P751)-$E751),($E751)*$D751),0)*Q$508</f>
        <v>0</v>
      </c>
      <c r="R751" s="319">
        <f>IF(R$510&gt;=$C751,MIN(-(SUM($F751:Q751)-$E751),($E751)*$D751),0)*R$508</f>
        <v>7.7818819999999995</v>
      </c>
      <c r="S751" s="319">
        <f>IF(S$510&gt;=$C751,MIN(-(SUM($F751:R751)-$E751),($E751)*$D751),0)*S$508</f>
        <v>7.7818819999999995</v>
      </c>
      <c r="T751" s="319">
        <f>IF(T$510&gt;=$C751,MIN(-(SUM($F751:S751)-$E751),($E751)*$D751),0)*T$508</f>
        <v>7.7818819999999995</v>
      </c>
      <c r="U751" s="319">
        <f>IF(U$510&gt;=$C751,MIN(-(SUM($F751:T751)-$E751),($E751)*$D751),0)*U$508</f>
        <v>7.7818819999999995</v>
      </c>
      <c r="V751" s="319">
        <f>IF(V$510&gt;=$C751,MIN(-(SUM($F751:U751)-$E751),($E751)*$D751),0)*V$508</f>
        <v>7.781881999999996</v>
      </c>
      <c r="W751" s="319">
        <f>IF(W$510&gt;=$C751,MIN(-(SUM($F751:V751)-$E751),($E751)*$D751),0)*W$508</f>
        <v>0</v>
      </c>
      <c r="X751" s="319">
        <f>IF(X$510&gt;=$C751,MIN(-(SUM($F751:W751)-$E751),($E751)*$D751),0)*X$508</f>
        <v>0</v>
      </c>
      <c r="Y751" s="319">
        <f>IF(Y$510&gt;=$C751,MIN(-(SUM($F751:X751)-$E751),($E751)*$D751),0)*Y$508</f>
        <v>0</v>
      </c>
      <c r="Z751" s="319">
        <f>IF(Z$510&gt;=$C751,MIN(-(SUM($F751:Y751)-$E751),($E751)*$D751),0)*Z$508</f>
        <v>0</v>
      </c>
      <c r="AA751" s="319">
        <f>IF(AA$510&gt;=$C751,MIN(-(SUM($F751:Z751)-$E751),($E751)*$D751),0)*AA$508</f>
        <v>0</v>
      </c>
      <c r="AB751" s="319">
        <f>IF(AB$510&gt;=$C751,MIN(-(SUM($F751:AA751)-$E751),($E751)*$D751),0)*AB$508</f>
        <v>0</v>
      </c>
      <c r="AC751" s="319">
        <f>IF(AC$510&gt;=$C751,MIN(-(SUM($F751:AB751)-$E751),($E751)*$D751),0)*AC$508</f>
        <v>0</v>
      </c>
      <c r="AD751" s="319">
        <f>IF(AD$510&gt;=$C751,MIN(-(SUM($F751:AC751)-$E751),($E751)*$D751),0)*AD$508</f>
        <v>0</v>
      </c>
      <c r="AE751" s="319">
        <f>IF(AE$510&gt;=$C751,MIN(-(SUM($F751:AD751)-$E751),($E751)*$D751),0)*AE$508</f>
        <v>0</v>
      </c>
      <c r="AF751" s="319">
        <f>IF(AF$510&gt;=$C751,MIN(-(SUM($F751:AE751)-$E751),($E751)*$D751),0)*AF$508</f>
        <v>0</v>
      </c>
      <c r="AG751" s="319">
        <f>IF(AG$510&gt;=$C751,MIN(-(SUM($F751:AF751)-$E751),($E751)*$D751),0)*AG$508</f>
        <v>0</v>
      </c>
      <c r="AH751" s="319">
        <f>IF(AH$510&gt;=$C751,MIN(-(SUM($F751:AG751)-$E751),($E751)*$D751),0)*AH$508</f>
        <v>0</v>
      </c>
      <c r="AI751" s="319">
        <f>IF(AI$510&gt;=$C751,MIN(-(SUM($F751:AH751)-$E751),($E751)*$D751),0)*AI$508</f>
        <v>0</v>
      </c>
      <c r="AJ751" s="319">
        <f>IF(AJ$510&gt;=$C751,MIN(-(SUM($F751:AI751)-$E751),($E751)*$D751),0)*AJ$508</f>
        <v>0</v>
      </c>
      <c r="AK751" s="319">
        <f>IF(AK$510&gt;=$C751,MIN(-(SUM($F751:AJ751)-$E751),($E751)*$D751),0)*AK$508</f>
        <v>0</v>
      </c>
      <c r="AL751" s="319">
        <f>IF(AL$510&gt;=$C751,MIN(-(SUM($F751:AK751)-$E751),($E751)*$D751),0)*AL$508</f>
        <v>0</v>
      </c>
      <c r="AM751" s="319">
        <f>IF(AM$510&gt;=$C751,MIN(-(SUM($F751:AL751)-$E751),($E751)*$D751),0)*AM$508</f>
        <v>0</v>
      </c>
      <c r="AN751" s="319">
        <f>IF(AN$510&gt;=$C751,MIN(-(SUM($F751:AM751)-$E751),($E751)*$D751),0)*AN$508</f>
        <v>0</v>
      </c>
    </row>
    <row r="752" spans="3:40" outlineLevel="4">
      <c r="C752">
        <v>13</v>
      </c>
      <c r="D752">
        <f>Inputs!$D$260</f>
        <v>0.2</v>
      </c>
      <c r="E752" s="319">
        <v>0</v>
      </c>
      <c r="F752" s="461"/>
      <c r="G752" s="319">
        <f>IF(G$510&gt;=$C752,MIN(-(SUM(F752:$F752)-$E752),($E752)*$D752),0)*G$508</f>
        <v>0</v>
      </c>
      <c r="H752" s="319">
        <f>IF(H$510&gt;=$C752,MIN(-(SUM($F752:G752)-$E752),($E752)*$D752),0)*H$508</f>
        <v>0</v>
      </c>
      <c r="I752" s="319">
        <f>IF(I$510&gt;=$C752,MIN(-(SUM($F752:H752)-$E752),($E752)*$D752),0)*I$508</f>
        <v>0</v>
      </c>
      <c r="J752" s="319">
        <f>IF(J$510&gt;=$C752,MIN(-(SUM($F752:I752)-$E752),($E752)*$D752),0)*J$508</f>
        <v>0</v>
      </c>
      <c r="K752" s="319">
        <f>IF(K$510&gt;=$C752,MIN(-(SUM($F752:J752)-$E752),($E752)*$D752),0)*K$508</f>
        <v>0</v>
      </c>
      <c r="L752" s="319">
        <f>IF(L$510&gt;=$C752,MIN(-(SUM($F752:K752)-$E752),($E752)*$D752),0)*L$508</f>
        <v>0</v>
      </c>
      <c r="M752" s="319">
        <f>IF(M$510&gt;=$C752,MIN(-(SUM($F752:L752)-$E752),($E752)*$D752),0)*M$508</f>
        <v>0</v>
      </c>
      <c r="N752" s="319">
        <f>IF(N$510&gt;=$C752,MIN(-(SUM($F752:M752)-$E752),($E752)*$D752),0)*N$508</f>
        <v>0</v>
      </c>
      <c r="O752" s="319">
        <f>IF(O$510&gt;=$C752,MIN(-(SUM($F752:N752)-$E752),($E752)*$D752),0)*O$508</f>
        <v>0</v>
      </c>
      <c r="P752" s="319">
        <f>IF(P$510&gt;=$C752,MIN(-(SUM($F752:O752)-$E752),($E752)*$D752),0)*P$508</f>
        <v>0</v>
      </c>
      <c r="Q752" s="319">
        <f>IF(Q$510&gt;=$C752,MIN(-(SUM($F752:P752)-$E752),($E752)*$D752),0)*Q$508</f>
        <v>0</v>
      </c>
      <c r="R752" s="319">
        <f>IF(R$510&gt;=$C752,MIN(-(SUM($F752:Q752)-$E752),($E752)*$D752),0)*R$508</f>
        <v>0</v>
      </c>
      <c r="S752" s="319">
        <f>IF(S$510&gt;=$C752,MIN(-(SUM($F752:R752)-$E752),($E752)*$D752),0)*S$508</f>
        <v>0</v>
      </c>
      <c r="T752" s="319">
        <f>IF(T$510&gt;=$C752,MIN(-(SUM($F752:S752)-$E752),($E752)*$D752),0)*T$508</f>
        <v>0</v>
      </c>
      <c r="U752" s="319">
        <f>IF(U$510&gt;=$C752,MIN(-(SUM($F752:T752)-$E752),($E752)*$D752),0)*U$508</f>
        <v>0</v>
      </c>
      <c r="V752" s="319">
        <f>IF(V$510&gt;=$C752,MIN(-(SUM($F752:U752)-$E752),($E752)*$D752),0)*V$508</f>
        <v>0</v>
      </c>
      <c r="W752" s="319">
        <f>IF(W$510&gt;=$C752,MIN(-(SUM($F752:V752)-$E752),($E752)*$D752),0)*W$508</f>
        <v>0</v>
      </c>
      <c r="X752" s="319">
        <f>IF(X$510&gt;=$C752,MIN(-(SUM($F752:W752)-$E752),($E752)*$D752),0)*X$508</f>
        <v>0</v>
      </c>
      <c r="Y752" s="319">
        <f>IF(Y$510&gt;=$C752,MIN(-(SUM($F752:X752)-$E752),($E752)*$D752),0)*Y$508</f>
        <v>0</v>
      </c>
      <c r="Z752" s="319">
        <f>IF(Z$510&gt;=$C752,MIN(-(SUM($F752:Y752)-$E752),($E752)*$D752),0)*Z$508</f>
        <v>0</v>
      </c>
      <c r="AA752" s="319">
        <f>IF(AA$510&gt;=$C752,MIN(-(SUM($F752:Z752)-$E752),($E752)*$D752),0)*AA$508</f>
        <v>0</v>
      </c>
      <c r="AB752" s="319">
        <f>IF(AB$510&gt;=$C752,MIN(-(SUM($F752:AA752)-$E752),($E752)*$D752),0)*AB$508</f>
        <v>0</v>
      </c>
      <c r="AC752" s="319">
        <f>IF(AC$510&gt;=$C752,MIN(-(SUM($F752:AB752)-$E752),($E752)*$D752),0)*AC$508</f>
        <v>0</v>
      </c>
      <c r="AD752" s="319">
        <f>IF(AD$510&gt;=$C752,MIN(-(SUM($F752:AC752)-$E752),($E752)*$D752),0)*AD$508</f>
        <v>0</v>
      </c>
      <c r="AE752" s="319">
        <f>IF(AE$510&gt;=$C752,MIN(-(SUM($F752:AD752)-$E752),($E752)*$D752),0)*AE$508</f>
        <v>0</v>
      </c>
      <c r="AF752" s="319">
        <f>IF(AF$510&gt;=$C752,MIN(-(SUM($F752:AE752)-$E752),($E752)*$D752),0)*AF$508</f>
        <v>0</v>
      </c>
      <c r="AG752" s="319">
        <f>IF(AG$510&gt;=$C752,MIN(-(SUM($F752:AF752)-$E752),($E752)*$D752),0)*AG$508</f>
        <v>0</v>
      </c>
      <c r="AH752" s="319">
        <f>IF(AH$510&gt;=$C752,MIN(-(SUM($F752:AG752)-$E752),($E752)*$D752),0)*AH$508</f>
        <v>0</v>
      </c>
      <c r="AI752" s="319">
        <f>IF(AI$510&gt;=$C752,MIN(-(SUM($F752:AH752)-$E752),($E752)*$D752),0)*AI$508</f>
        <v>0</v>
      </c>
      <c r="AJ752" s="319">
        <f>IF(AJ$510&gt;=$C752,MIN(-(SUM($F752:AI752)-$E752),($E752)*$D752),0)*AJ$508</f>
        <v>0</v>
      </c>
      <c r="AK752" s="319">
        <f>IF(AK$510&gt;=$C752,MIN(-(SUM($F752:AJ752)-$E752),($E752)*$D752),0)*AK$508</f>
        <v>0</v>
      </c>
      <c r="AL752" s="319">
        <f>IF(AL$510&gt;=$C752,MIN(-(SUM($F752:AK752)-$E752),($E752)*$D752),0)*AL$508</f>
        <v>0</v>
      </c>
      <c r="AM752" s="319">
        <f>IF(AM$510&gt;=$C752,MIN(-(SUM($F752:AL752)-$E752),($E752)*$D752),0)*AM$508</f>
        <v>0</v>
      </c>
      <c r="AN752" s="319">
        <f>IF(AN$510&gt;=$C752,MIN(-(SUM($F752:AM752)-$E752),($E752)*$D752),0)*AN$508</f>
        <v>0</v>
      </c>
    </row>
    <row r="753" spans="3:40" outlineLevel="4">
      <c r="C753">
        <v>14</v>
      </c>
      <c r="D753">
        <f>Inputs!$D$260</f>
        <v>0.2</v>
      </c>
      <c r="E753" s="319">
        <v>0</v>
      </c>
      <c r="F753" s="461"/>
      <c r="G753" s="319">
        <f>IF(G$510&gt;=$C753,MIN(-(SUM(F753:$F753)-$E753),($E753)*$D753),0)*G$508</f>
        <v>0</v>
      </c>
      <c r="H753" s="319">
        <f>IF(H$510&gt;=$C753,MIN(-(SUM($F753:G753)-$E753),($E753)*$D753),0)*H$508</f>
        <v>0</v>
      </c>
      <c r="I753" s="319">
        <f>IF(I$510&gt;=$C753,MIN(-(SUM($F753:H753)-$E753),($E753)*$D753),0)*I$508</f>
        <v>0</v>
      </c>
      <c r="J753" s="319">
        <f>IF(J$510&gt;=$C753,MIN(-(SUM($F753:I753)-$E753),($E753)*$D753),0)*J$508</f>
        <v>0</v>
      </c>
      <c r="K753" s="319">
        <f>IF(K$510&gt;=$C753,MIN(-(SUM($F753:J753)-$E753),($E753)*$D753),0)*K$508</f>
        <v>0</v>
      </c>
      <c r="L753" s="319">
        <f>IF(L$510&gt;=$C753,MIN(-(SUM($F753:K753)-$E753),($E753)*$D753),0)*L$508</f>
        <v>0</v>
      </c>
      <c r="M753" s="319">
        <f>IF(M$510&gt;=$C753,MIN(-(SUM($F753:L753)-$E753),($E753)*$D753),0)*M$508</f>
        <v>0</v>
      </c>
      <c r="N753" s="319">
        <f>IF(N$510&gt;=$C753,MIN(-(SUM($F753:M753)-$E753),($E753)*$D753),0)*N$508</f>
        <v>0</v>
      </c>
      <c r="O753" s="319">
        <f>IF(O$510&gt;=$C753,MIN(-(SUM($F753:N753)-$E753),($E753)*$D753),0)*O$508</f>
        <v>0</v>
      </c>
      <c r="P753" s="319">
        <f>IF(P$510&gt;=$C753,MIN(-(SUM($F753:O753)-$E753),($E753)*$D753),0)*P$508</f>
        <v>0</v>
      </c>
      <c r="Q753" s="319">
        <f>IF(Q$510&gt;=$C753,MIN(-(SUM($F753:P753)-$E753),($E753)*$D753),0)*Q$508</f>
        <v>0</v>
      </c>
      <c r="R753" s="319">
        <f>IF(R$510&gt;=$C753,MIN(-(SUM($F753:Q753)-$E753),($E753)*$D753),0)*R$508</f>
        <v>0</v>
      </c>
      <c r="S753" s="319">
        <f>IF(S$510&gt;=$C753,MIN(-(SUM($F753:R753)-$E753),($E753)*$D753),0)*S$508</f>
        <v>0</v>
      </c>
      <c r="T753" s="319">
        <f>IF(T$510&gt;=$C753,MIN(-(SUM($F753:S753)-$E753),($E753)*$D753),0)*T$508</f>
        <v>0</v>
      </c>
      <c r="U753" s="319">
        <f>IF(U$510&gt;=$C753,MIN(-(SUM($F753:T753)-$E753),($E753)*$D753),0)*U$508</f>
        <v>0</v>
      </c>
      <c r="V753" s="319">
        <f>IF(V$510&gt;=$C753,MIN(-(SUM($F753:U753)-$E753),($E753)*$D753),0)*V$508</f>
        <v>0</v>
      </c>
      <c r="W753" s="319">
        <f>IF(W$510&gt;=$C753,MIN(-(SUM($F753:V753)-$E753),($E753)*$D753),0)*W$508</f>
        <v>0</v>
      </c>
      <c r="X753" s="319">
        <f>IF(X$510&gt;=$C753,MIN(-(SUM($F753:W753)-$E753),($E753)*$D753),0)*X$508</f>
        <v>0</v>
      </c>
      <c r="Y753" s="319">
        <f>IF(Y$510&gt;=$C753,MIN(-(SUM($F753:X753)-$E753),($E753)*$D753),0)*Y$508</f>
        <v>0</v>
      </c>
      <c r="Z753" s="319">
        <f>IF(Z$510&gt;=$C753,MIN(-(SUM($F753:Y753)-$E753),($E753)*$D753),0)*Z$508</f>
        <v>0</v>
      </c>
      <c r="AA753" s="319">
        <f>IF(AA$510&gt;=$C753,MIN(-(SUM($F753:Z753)-$E753),($E753)*$D753),0)*AA$508</f>
        <v>0</v>
      </c>
      <c r="AB753" s="319">
        <f>IF(AB$510&gt;=$C753,MIN(-(SUM($F753:AA753)-$E753),($E753)*$D753),0)*AB$508</f>
        <v>0</v>
      </c>
      <c r="AC753" s="319">
        <f>IF(AC$510&gt;=$C753,MIN(-(SUM($F753:AB753)-$E753),($E753)*$D753),0)*AC$508</f>
        <v>0</v>
      </c>
      <c r="AD753" s="319">
        <f>IF(AD$510&gt;=$C753,MIN(-(SUM($F753:AC753)-$E753),($E753)*$D753),0)*AD$508</f>
        <v>0</v>
      </c>
      <c r="AE753" s="319">
        <f>IF(AE$510&gt;=$C753,MIN(-(SUM($F753:AD753)-$E753),($E753)*$D753),0)*AE$508</f>
        <v>0</v>
      </c>
      <c r="AF753" s="319">
        <f>IF(AF$510&gt;=$C753,MIN(-(SUM($F753:AE753)-$E753),($E753)*$D753),0)*AF$508</f>
        <v>0</v>
      </c>
      <c r="AG753" s="319">
        <f>IF(AG$510&gt;=$C753,MIN(-(SUM($F753:AF753)-$E753),($E753)*$D753),0)*AG$508</f>
        <v>0</v>
      </c>
      <c r="AH753" s="319">
        <f>IF(AH$510&gt;=$C753,MIN(-(SUM($F753:AG753)-$E753),($E753)*$D753),0)*AH$508</f>
        <v>0</v>
      </c>
      <c r="AI753" s="319">
        <f>IF(AI$510&gt;=$C753,MIN(-(SUM($F753:AH753)-$E753),($E753)*$D753),0)*AI$508</f>
        <v>0</v>
      </c>
      <c r="AJ753" s="319">
        <f>IF(AJ$510&gt;=$C753,MIN(-(SUM($F753:AI753)-$E753),($E753)*$D753),0)*AJ$508</f>
        <v>0</v>
      </c>
      <c r="AK753" s="319">
        <f>IF(AK$510&gt;=$C753,MIN(-(SUM($F753:AJ753)-$E753),($E753)*$D753),0)*AK$508</f>
        <v>0</v>
      </c>
      <c r="AL753" s="319">
        <f>IF(AL$510&gt;=$C753,MIN(-(SUM($F753:AK753)-$E753),($E753)*$D753),0)*AL$508</f>
        <v>0</v>
      </c>
      <c r="AM753" s="319">
        <f>IF(AM$510&gt;=$C753,MIN(-(SUM($F753:AL753)-$E753),($E753)*$D753),0)*AM$508</f>
        <v>0</v>
      </c>
      <c r="AN753" s="319">
        <f>IF(AN$510&gt;=$C753,MIN(-(SUM($F753:AM753)-$E753),($E753)*$D753),0)*AN$508</f>
        <v>0</v>
      </c>
    </row>
    <row r="754" spans="3:40" outlineLevel="4">
      <c r="C754">
        <v>15</v>
      </c>
      <c r="D754">
        <f>Inputs!$D$260</f>
        <v>0.2</v>
      </c>
      <c r="E754" s="319">
        <v>0</v>
      </c>
      <c r="F754" s="461"/>
      <c r="G754" s="319">
        <f>IF(G$510&gt;=$C754,MIN(-(SUM(F754:$F754)-$E754),($E754)*$D754),0)*G$508</f>
        <v>0</v>
      </c>
      <c r="H754" s="319">
        <f>IF(H$510&gt;=$C754,MIN(-(SUM($F754:G754)-$E754),($E754)*$D754),0)*H$508</f>
        <v>0</v>
      </c>
      <c r="I754" s="319">
        <f>IF(I$510&gt;=$C754,MIN(-(SUM($F754:H754)-$E754),($E754)*$D754),0)*I$508</f>
        <v>0</v>
      </c>
      <c r="J754" s="319">
        <f>IF(J$510&gt;=$C754,MIN(-(SUM($F754:I754)-$E754),($E754)*$D754),0)*J$508</f>
        <v>0</v>
      </c>
      <c r="K754" s="319">
        <f>IF(K$510&gt;=$C754,MIN(-(SUM($F754:J754)-$E754),($E754)*$D754),0)*K$508</f>
        <v>0</v>
      </c>
      <c r="L754" s="319">
        <f>IF(L$510&gt;=$C754,MIN(-(SUM($F754:K754)-$E754),($E754)*$D754),0)*L$508</f>
        <v>0</v>
      </c>
      <c r="M754" s="319">
        <f>IF(M$510&gt;=$C754,MIN(-(SUM($F754:L754)-$E754),($E754)*$D754),0)*M$508</f>
        <v>0</v>
      </c>
      <c r="N754" s="319">
        <f>IF(N$510&gt;=$C754,MIN(-(SUM($F754:M754)-$E754),($E754)*$D754),0)*N$508</f>
        <v>0</v>
      </c>
      <c r="O754" s="319">
        <f>IF(O$510&gt;=$C754,MIN(-(SUM($F754:N754)-$E754),($E754)*$D754),0)*O$508</f>
        <v>0</v>
      </c>
      <c r="P754" s="319">
        <f>IF(P$510&gt;=$C754,MIN(-(SUM($F754:O754)-$E754),($E754)*$D754),0)*P$508</f>
        <v>0</v>
      </c>
      <c r="Q754" s="319">
        <f>IF(Q$510&gt;=$C754,MIN(-(SUM($F754:P754)-$E754),($E754)*$D754),0)*Q$508</f>
        <v>0</v>
      </c>
      <c r="R754" s="319">
        <f>IF(R$510&gt;=$C754,MIN(-(SUM($F754:Q754)-$E754),($E754)*$D754),0)*R$508</f>
        <v>0</v>
      </c>
      <c r="S754" s="319">
        <f>IF(S$510&gt;=$C754,MIN(-(SUM($F754:R754)-$E754),($E754)*$D754),0)*S$508</f>
        <v>0</v>
      </c>
      <c r="T754" s="319">
        <f>IF(T$510&gt;=$C754,MIN(-(SUM($F754:S754)-$E754),($E754)*$D754),0)*T$508</f>
        <v>0</v>
      </c>
      <c r="U754" s="319">
        <f>IF(U$510&gt;=$C754,MIN(-(SUM($F754:T754)-$E754),($E754)*$D754),0)*U$508</f>
        <v>0</v>
      </c>
      <c r="V754" s="319">
        <f>IF(V$510&gt;=$C754,MIN(-(SUM($F754:U754)-$E754),($E754)*$D754),0)*V$508</f>
        <v>0</v>
      </c>
      <c r="W754" s="319">
        <f>IF(W$510&gt;=$C754,MIN(-(SUM($F754:V754)-$E754),($E754)*$D754),0)*W$508</f>
        <v>0</v>
      </c>
      <c r="X754" s="319">
        <f>IF(X$510&gt;=$C754,MIN(-(SUM($F754:W754)-$E754),($E754)*$D754),0)*X$508</f>
        <v>0</v>
      </c>
      <c r="Y754" s="319">
        <f>IF(Y$510&gt;=$C754,MIN(-(SUM($F754:X754)-$E754),($E754)*$D754),0)*Y$508</f>
        <v>0</v>
      </c>
      <c r="Z754" s="319">
        <f>IF(Z$510&gt;=$C754,MIN(-(SUM($F754:Y754)-$E754),($E754)*$D754),0)*Z$508</f>
        <v>0</v>
      </c>
      <c r="AA754" s="319">
        <f>IF(AA$510&gt;=$C754,MIN(-(SUM($F754:Z754)-$E754),($E754)*$D754),0)*AA$508</f>
        <v>0</v>
      </c>
      <c r="AB754" s="319">
        <f>IF(AB$510&gt;=$C754,MIN(-(SUM($F754:AA754)-$E754),($E754)*$D754),0)*AB$508</f>
        <v>0</v>
      </c>
      <c r="AC754" s="319">
        <f>IF(AC$510&gt;=$C754,MIN(-(SUM($F754:AB754)-$E754),($E754)*$D754),0)*AC$508</f>
        <v>0</v>
      </c>
      <c r="AD754" s="319">
        <f>IF(AD$510&gt;=$C754,MIN(-(SUM($F754:AC754)-$E754),($E754)*$D754),0)*AD$508</f>
        <v>0</v>
      </c>
      <c r="AE754" s="319">
        <f>IF(AE$510&gt;=$C754,MIN(-(SUM($F754:AD754)-$E754),($E754)*$D754),0)*AE$508</f>
        <v>0</v>
      </c>
      <c r="AF754" s="319">
        <f>IF(AF$510&gt;=$C754,MIN(-(SUM($F754:AE754)-$E754),($E754)*$D754),0)*AF$508</f>
        <v>0</v>
      </c>
      <c r="AG754" s="319">
        <f>IF(AG$510&gt;=$C754,MIN(-(SUM($F754:AF754)-$E754),($E754)*$D754),0)*AG$508</f>
        <v>0</v>
      </c>
      <c r="AH754" s="319">
        <f>IF(AH$510&gt;=$C754,MIN(-(SUM($F754:AG754)-$E754),($E754)*$D754),0)*AH$508</f>
        <v>0</v>
      </c>
      <c r="AI754" s="319">
        <f>IF(AI$510&gt;=$C754,MIN(-(SUM($F754:AH754)-$E754),($E754)*$D754),0)*AI$508</f>
        <v>0</v>
      </c>
      <c r="AJ754" s="319">
        <f>IF(AJ$510&gt;=$C754,MIN(-(SUM($F754:AI754)-$E754),($E754)*$D754),0)*AJ$508</f>
        <v>0</v>
      </c>
      <c r="AK754" s="319">
        <f>IF(AK$510&gt;=$C754,MIN(-(SUM($F754:AJ754)-$E754),($E754)*$D754),0)*AK$508</f>
        <v>0</v>
      </c>
      <c r="AL754" s="319">
        <f>IF(AL$510&gt;=$C754,MIN(-(SUM($F754:AK754)-$E754),($E754)*$D754),0)*AL$508</f>
        <v>0</v>
      </c>
      <c r="AM754" s="319">
        <f>IF(AM$510&gt;=$C754,MIN(-(SUM($F754:AL754)-$E754),($E754)*$D754),0)*AM$508</f>
        <v>0</v>
      </c>
      <c r="AN754" s="319">
        <f>IF(AN$510&gt;=$C754,MIN(-(SUM($F754:AM754)-$E754),($E754)*$D754),0)*AN$508</f>
        <v>0</v>
      </c>
    </row>
    <row r="755" spans="3:40" outlineLevel="4">
      <c r="C755">
        <v>16</v>
      </c>
      <c r="D755">
        <f>Inputs!$D$260</f>
        <v>0.2</v>
      </c>
      <c r="E755" s="319">
        <v>25.209900000000001</v>
      </c>
      <c r="F755" s="461"/>
      <c r="G755" s="319">
        <f>IF(G$510&gt;=$C755,MIN(-(SUM(F755:$F755)-$E755),($E755)*$D755),0)*G$508</f>
        <v>0</v>
      </c>
      <c r="H755" s="319">
        <f>IF(H$510&gt;=$C755,MIN(-(SUM($F755:G755)-$E755),($E755)*$D755),0)*H$508</f>
        <v>0</v>
      </c>
      <c r="I755" s="319">
        <f>IF(I$510&gt;=$C755,MIN(-(SUM($F755:H755)-$E755),($E755)*$D755),0)*I$508</f>
        <v>0</v>
      </c>
      <c r="J755" s="319">
        <f>IF(J$510&gt;=$C755,MIN(-(SUM($F755:I755)-$E755),($E755)*$D755),0)*J$508</f>
        <v>0</v>
      </c>
      <c r="K755" s="319">
        <f>IF(K$510&gt;=$C755,MIN(-(SUM($F755:J755)-$E755),($E755)*$D755),0)*K$508</f>
        <v>0</v>
      </c>
      <c r="L755" s="319">
        <f>IF(L$510&gt;=$C755,MIN(-(SUM($F755:K755)-$E755),($E755)*$D755),0)*L$508</f>
        <v>0</v>
      </c>
      <c r="M755" s="319">
        <f>IF(M$510&gt;=$C755,MIN(-(SUM($F755:L755)-$E755),($E755)*$D755),0)*M$508</f>
        <v>0</v>
      </c>
      <c r="N755" s="319">
        <f>IF(N$510&gt;=$C755,MIN(-(SUM($F755:M755)-$E755),($E755)*$D755),0)*N$508</f>
        <v>0</v>
      </c>
      <c r="O755" s="319">
        <f>IF(O$510&gt;=$C755,MIN(-(SUM($F755:N755)-$E755),($E755)*$D755),0)*O$508</f>
        <v>0</v>
      </c>
      <c r="P755" s="319">
        <f>IF(P$510&gt;=$C755,MIN(-(SUM($F755:O755)-$E755),($E755)*$D755),0)*P$508</f>
        <v>0</v>
      </c>
      <c r="Q755" s="319">
        <f>IF(Q$510&gt;=$C755,MIN(-(SUM($F755:P755)-$E755),($E755)*$D755),0)*Q$508</f>
        <v>0</v>
      </c>
      <c r="R755" s="319">
        <f>IF(R$510&gt;=$C755,MIN(-(SUM($F755:Q755)-$E755),($E755)*$D755),0)*R$508</f>
        <v>0</v>
      </c>
      <c r="S755" s="319">
        <f>IF(S$510&gt;=$C755,MIN(-(SUM($F755:R755)-$E755),($E755)*$D755),0)*S$508</f>
        <v>0</v>
      </c>
      <c r="T755" s="319">
        <f>IF(T$510&gt;=$C755,MIN(-(SUM($F755:S755)-$E755),($E755)*$D755),0)*T$508</f>
        <v>0</v>
      </c>
      <c r="U755" s="319">
        <f>IF(U$510&gt;=$C755,MIN(-(SUM($F755:T755)-$E755),($E755)*$D755),0)*U$508</f>
        <v>0</v>
      </c>
      <c r="V755" s="319">
        <f>IF(V$510&gt;=$C755,MIN(-(SUM($F755:U755)-$E755),($E755)*$D755),0)*V$508</f>
        <v>5.0419800000000006</v>
      </c>
      <c r="W755" s="319">
        <f>IF(W$510&gt;=$C755,MIN(-(SUM($F755:V755)-$E755),($E755)*$D755),0)*W$508</f>
        <v>5.0419800000000006</v>
      </c>
      <c r="X755" s="319">
        <f>IF(X$510&gt;=$C755,MIN(-(SUM($F755:W755)-$E755),($E755)*$D755),0)*X$508</f>
        <v>5.0419800000000006</v>
      </c>
      <c r="Y755" s="319">
        <f>IF(Y$510&gt;=$C755,MIN(-(SUM($F755:X755)-$E755),($E755)*$D755),0)*Y$508</f>
        <v>5.0419800000000006</v>
      </c>
      <c r="Z755" s="319">
        <f>IF(Z$510&gt;=$C755,MIN(-(SUM($F755:Y755)-$E755),($E755)*$D755),0)*Z$508</f>
        <v>5.0419799999999988</v>
      </c>
      <c r="AA755" s="319">
        <f>IF(AA$510&gt;=$C755,MIN(-(SUM($F755:Z755)-$E755),($E755)*$D755),0)*AA$508</f>
        <v>0</v>
      </c>
      <c r="AB755" s="319">
        <f>IF(AB$510&gt;=$C755,MIN(-(SUM($F755:AA755)-$E755),($E755)*$D755),0)*AB$508</f>
        <v>0</v>
      </c>
      <c r="AC755" s="319">
        <f>IF(AC$510&gt;=$C755,MIN(-(SUM($F755:AB755)-$E755),($E755)*$D755),0)*AC$508</f>
        <v>0</v>
      </c>
      <c r="AD755" s="319">
        <f>IF(AD$510&gt;=$C755,MIN(-(SUM($F755:AC755)-$E755),($E755)*$D755),0)*AD$508</f>
        <v>0</v>
      </c>
      <c r="AE755" s="319">
        <f>IF(AE$510&gt;=$C755,MIN(-(SUM($F755:AD755)-$E755),($E755)*$D755),0)*AE$508</f>
        <v>0</v>
      </c>
      <c r="AF755" s="319">
        <f>IF(AF$510&gt;=$C755,MIN(-(SUM($F755:AE755)-$E755),($E755)*$D755),0)*AF$508</f>
        <v>0</v>
      </c>
      <c r="AG755" s="319">
        <f>IF(AG$510&gt;=$C755,MIN(-(SUM($F755:AF755)-$E755),($E755)*$D755),0)*AG$508</f>
        <v>0</v>
      </c>
      <c r="AH755" s="319">
        <f>IF(AH$510&gt;=$C755,MIN(-(SUM($F755:AG755)-$E755),($E755)*$D755),0)*AH$508</f>
        <v>0</v>
      </c>
      <c r="AI755" s="319">
        <f>IF(AI$510&gt;=$C755,MIN(-(SUM($F755:AH755)-$E755),($E755)*$D755),0)*AI$508</f>
        <v>0</v>
      </c>
      <c r="AJ755" s="319">
        <f>IF(AJ$510&gt;=$C755,MIN(-(SUM($F755:AI755)-$E755),($E755)*$D755),0)*AJ$508</f>
        <v>0</v>
      </c>
      <c r="AK755" s="319">
        <f>IF(AK$510&gt;=$C755,MIN(-(SUM($F755:AJ755)-$E755),($E755)*$D755),0)*AK$508</f>
        <v>0</v>
      </c>
      <c r="AL755" s="319">
        <f>IF(AL$510&gt;=$C755,MIN(-(SUM($F755:AK755)-$E755),($E755)*$D755),0)*AL$508</f>
        <v>0</v>
      </c>
      <c r="AM755" s="319">
        <f>IF(AM$510&gt;=$C755,MIN(-(SUM($F755:AL755)-$E755),($E755)*$D755),0)*AM$508</f>
        <v>0</v>
      </c>
      <c r="AN755" s="319">
        <f>IF(AN$510&gt;=$C755,MIN(-(SUM($F755:AM755)-$E755),($E755)*$D755),0)*AN$508</f>
        <v>0</v>
      </c>
    </row>
    <row r="756" spans="3:40" outlineLevel="4">
      <c r="C756">
        <v>17</v>
      </c>
      <c r="D756">
        <f>Inputs!$D$260</f>
        <v>0.2</v>
      </c>
      <c r="E756" s="319">
        <v>10.874799999999999</v>
      </c>
      <c r="F756" s="461"/>
      <c r="G756" s="319">
        <f>IF(G$510&gt;=$C756,MIN(-(SUM(F756:$F756)-$E756),($E756)*$D756),0)*G$508</f>
        <v>0</v>
      </c>
      <c r="H756" s="319">
        <f>IF(H$510&gt;=$C756,MIN(-(SUM($F756:G756)-$E756),($E756)*$D756),0)*H$508</f>
        <v>0</v>
      </c>
      <c r="I756" s="319">
        <f>IF(I$510&gt;=$C756,MIN(-(SUM($F756:H756)-$E756),($E756)*$D756),0)*I$508</f>
        <v>0</v>
      </c>
      <c r="J756" s="319">
        <f>IF(J$510&gt;=$C756,MIN(-(SUM($F756:I756)-$E756),($E756)*$D756),0)*J$508</f>
        <v>0</v>
      </c>
      <c r="K756" s="319">
        <f>IF(K$510&gt;=$C756,MIN(-(SUM($F756:J756)-$E756),($E756)*$D756),0)*K$508</f>
        <v>0</v>
      </c>
      <c r="L756" s="319">
        <f>IF(L$510&gt;=$C756,MIN(-(SUM($F756:K756)-$E756),($E756)*$D756),0)*L$508</f>
        <v>0</v>
      </c>
      <c r="M756" s="319">
        <f>IF(M$510&gt;=$C756,MIN(-(SUM($F756:L756)-$E756),($E756)*$D756),0)*M$508</f>
        <v>0</v>
      </c>
      <c r="N756" s="319">
        <f>IF(N$510&gt;=$C756,MIN(-(SUM($F756:M756)-$E756),($E756)*$D756),0)*N$508</f>
        <v>0</v>
      </c>
      <c r="O756" s="319">
        <f>IF(O$510&gt;=$C756,MIN(-(SUM($F756:N756)-$E756),($E756)*$D756),0)*O$508</f>
        <v>0</v>
      </c>
      <c r="P756" s="319">
        <f>IF(P$510&gt;=$C756,MIN(-(SUM($F756:O756)-$E756),($E756)*$D756),0)*P$508</f>
        <v>0</v>
      </c>
      <c r="Q756" s="319">
        <f>IF(Q$510&gt;=$C756,MIN(-(SUM($F756:P756)-$E756),($E756)*$D756),0)*Q$508</f>
        <v>0</v>
      </c>
      <c r="R756" s="319">
        <f>IF(R$510&gt;=$C756,MIN(-(SUM($F756:Q756)-$E756),($E756)*$D756),0)*R$508</f>
        <v>0</v>
      </c>
      <c r="S756" s="319">
        <f>IF(S$510&gt;=$C756,MIN(-(SUM($F756:R756)-$E756),($E756)*$D756),0)*S$508</f>
        <v>0</v>
      </c>
      <c r="T756" s="319">
        <f>IF(T$510&gt;=$C756,MIN(-(SUM($F756:S756)-$E756),($E756)*$D756),0)*T$508</f>
        <v>0</v>
      </c>
      <c r="U756" s="319">
        <f>IF(U$510&gt;=$C756,MIN(-(SUM($F756:T756)-$E756),($E756)*$D756),0)*U$508</f>
        <v>0</v>
      </c>
      <c r="V756" s="319">
        <f>IF(V$510&gt;=$C756,MIN(-(SUM($F756:U756)-$E756),($E756)*$D756),0)*V$508</f>
        <v>0</v>
      </c>
      <c r="W756" s="319">
        <f>IF(W$510&gt;=$C756,MIN(-(SUM($F756:V756)-$E756),($E756)*$D756),0)*W$508</f>
        <v>2.17496</v>
      </c>
      <c r="X756" s="319">
        <f>IF(X$510&gt;=$C756,MIN(-(SUM($F756:W756)-$E756),($E756)*$D756),0)*X$508</f>
        <v>2.17496</v>
      </c>
      <c r="Y756" s="319">
        <f>IF(Y$510&gt;=$C756,MIN(-(SUM($F756:X756)-$E756),($E756)*$D756),0)*Y$508</f>
        <v>2.17496</v>
      </c>
      <c r="Z756" s="319">
        <f>IF(Z$510&gt;=$C756,MIN(-(SUM($F756:Y756)-$E756),($E756)*$D756),0)*Z$508</f>
        <v>2.17496</v>
      </c>
      <c r="AA756" s="319">
        <f>IF(AA$510&gt;=$C756,MIN(-(SUM($F756:Z756)-$E756),($E756)*$D756),0)*AA$508</f>
        <v>2.1749599999999987</v>
      </c>
      <c r="AB756" s="319">
        <f>IF(AB$510&gt;=$C756,MIN(-(SUM($F756:AA756)-$E756),($E756)*$D756),0)*AB$508</f>
        <v>0</v>
      </c>
      <c r="AC756" s="319">
        <f>IF(AC$510&gt;=$C756,MIN(-(SUM($F756:AB756)-$E756),($E756)*$D756),0)*AC$508</f>
        <v>0</v>
      </c>
      <c r="AD756" s="319">
        <f>IF(AD$510&gt;=$C756,MIN(-(SUM($F756:AC756)-$E756),($E756)*$D756),0)*AD$508</f>
        <v>0</v>
      </c>
      <c r="AE756" s="319">
        <f>IF(AE$510&gt;=$C756,MIN(-(SUM($F756:AD756)-$E756),($E756)*$D756),0)*AE$508</f>
        <v>0</v>
      </c>
      <c r="AF756" s="319">
        <f>IF(AF$510&gt;=$C756,MIN(-(SUM($F756:AE756)-$E756),($E756)*$D756),0)*AF$508</f>
        <v>0</v>
      </c>
      <c r="AG756" s="319">
        <f>IF(AG$510&gt;=$C756,MIN(-(SUM($F756:AF756)-$E756),($E756)*$D756),0)*AG$508</f>
        <v>0</v>
      </c>
      <c r="AH756" s="319">
        <f>IF(AH$510&gt;=$C756,MIN(-(SUM($F756:AG756)-$E756),($E756)*$D756),0)*AH$508</f>
        <v>0</v>
      </c>
      <c r="AI756" s="319">
        <f>IF(AI$510&gt;=$C756,MIN(-(SUM($F756:AH756)-$E756),($E756)*$D756),0)*AI$508</f>
        <v>0</v>
      </c>
      <c r="AJ756" s="319">
        <f>IF(AJ$510&gt;=$C756,MIN(-(SUM($F756:AI756)-$E756),($E756)*$D756),0)*AJ$508</f>
        <v>0</v>
      </c>
      <c r="AK756" s="319">
        <f>IF(AK$510&gt;=$C756,MIN(-(SUM($F756:AJ756)-$E756),($E756)*$D756),0)*AK$508</f>
        <v>0</v>
      </c>
      <c r="AL756" s="319">
        <f>IF(AL$510&gt;=$C756,MIN(-(SUM($F756:AK756)-$E756),($E756)*$D756),0)*AL$508</f>
        <v>0</v>
      </c>
      <c r="AM756" s="319">
        <f>IF(AM$510&gt;=$C756,MIN(-(SUM($F756:AL756)-$E756),($E756)*$D756),0)*AM$508</f>
        <v>0</v>
      </c>
      <c r="AN756" s="319">
        <f>IF(AN$510&gt;=$C756,MIN(-(SUM($F756:AM756)-$E756),($E756)*$D756),0)*AN$508</f>
        <v>0</v>
      </c>
    </row>
    <row r="757" spans="3:40" outlineLevel="4">
      <c r="C757">
        <v>18</v>
      </c>
      <c r="D757">
        <f>Inputs!$D$260</f>
        <v>0.2</v>
      </c>
      <c r="E757" s="319">
        <v>0</v>
      </c>
      <c r="F757" s="461"/>
      <c r="G757" s="319">
        <f>IF(G$510&gt;=$C757,MIN(-(SUM(F757:$F757)-$E757),($E757)*$D757),0)*G$508</f>
        <v>0</v>
      </c>
      <c r="H757" s="319">
        <f>IF(H$510&gt;=$C757,MIN(-(SUM($F757:G757)-$E757),($E757)*$D757),0)*H$508</f>
        <v>0</v>
      </c>
      <c r="I757" s="319">
        <f>IF(I$510&gt;=$C757,MIN(-(SUM($F757:H757)-$E757),($E757)*$D757),0)*I$508</f>
        <v>0</v>
      </c>
      <c r="J757" s="319">
        <f>IF(J$510&gt;=$C757,MIN(-(SUM($F757:I757)-$E757),($E757)*$D757),0)*J$508</f>
        <v>0</v>
      </c>
      <c r="K757" s="319">
        <f>IF(K$510&gt;=$C757,MIN(-(SUM($F757:J757)-$E757),($E757)*$D757),0)*K$508</f>
        <v>0</v>
      </c>
      <c r="L757" s="319">
        <f>IF(L$510&gt;=$C757,MIN(-(SUM($F757:K757)-$E757),($E757)*$D757),0)*L$508</f>
        <v>0</v>
      </c>
      <c r="M757" s="319">
        <f>IF(M$510&gt;=$C757,MIN(-(SUM($F757:L757)-$E757),($E757)*$D757),0)*M$508</f>
        <v>0</v>
      </c>
      <c r="N757" s="319">
        <f>IF(N$510&gt;=$C757,MIN(-(SUM($F757:M757)-$E757),($E757)*$D757),0)*N$508</f>
        <v>0</v>
      </c>
      <c r="O757" s="319">
        <f>IF(O$510&gt;=$C757,MIN(-(SUM($F757:N757)-$E757),($E757)*$D757),0)*O$508</f>
        <v>0</v>
      </c>
      <c r="P757" s="319">
        <f>IF(P$510&gt;=$C757,MIN(-(SUM($F757:O757)-$E757),($E757)*$D757),0)*P$508</f>
        <v>0</v>
      </c>
      <c r="Q757" s="319">
        <f>IF(Q$510&gt;=$C757,MIN(-(SUM($F757:P757)-$E757),($E757)*$D757),0)*Q$508</f>
        <v>0</v>
      </c>
      <c r="R757" s="319">
        <f>IF(R$510&gt;=$C757,MIN(-(SUM($F757:Q757)-$E757),($E757)*$D757),0)*R$508</f>
        <v>0</v>
      </c>
      <c r="S757" s="319">
        <f>IF(S$510&gt;=$C757,MIN(-(SUM($F757:R757)-$E757),($E757)*$D757),0)*S$508</f>
        <v>0</v>
      </c>
      <c r="T757" s="319">
        <f>IF(T$510&gt;=$C757,MIN(-(SUM($F757:S757)-$E757),($E757)*$D757),0)*T$508</f>
        <v>0</v>
      </c>
      <c r="U757" s="319">
        <f>IF(U$510&gt;=$C757,MIN(-(SUM($F757:T757)-$E757),($E757)*$D757),0)*U$508</f>
        <v>0</v>
      </c>
      <c r="V757" s="319">
        <f>IF(V$510&gt;=$C757,MIN(-(SUM($F757:U757)-$E757),($E757)*$D757),0)*V$508</f>
        <v>0</v>
      </c>
      <c r="W757" s="319">
        <f>IF(W$510&gt;=$C757,MIN(-(SUM($F757:V757)-$E757),($E757)*$D757),0)*W$508</f>
        <v>0</v>
      </c>
      <c r="X757" s="319">
        <f>IF(X$510&gt;=$C757,MIN(-(SUM($F757:W757)-$E757),($E757)*$D757),0)*X$508</f>
        <v>0</v>
      </c>
      <c r="Y757" s="319">
        <f>IF(Y$510&gt;=$C757,MIN(-(SUM($F757:X757)-$E757),($E757)*$D757),0)*Y$508</f>
        <v>0</v>
      </c>
      <c r="Z757" s="319">
        <f>IF(Z$510&gt;=$C757,MIN(-(SUM($F757:Y757)-$E757),($E757)*$D757),0)*Z$508</f>
        <v>0</v>
      </c>
      <c r="AA757" s="319">
        <f>IF(AA$510&gt;=$C757,MIN(-(SUM($F757:Z757)-$E757),($E757)*$D757),0)*AA$508</f>
        <v>0</v>
      </c>
      <c r="AB757" s="319">
        <f>IF(AB$510&gt;=$C757,MIN(-(SUM($F757:AA757)-$E757),($E757)*$D757),0)*AB$508</f>
        <v>0</v>
      </c>
      <c r="AC757" s="319">
        <f>IF(AC$510&gt;=$C757,MIN(-(SUM($F757:AB757)-$E757),($E757)*$D757),0)*AC$508</f>
        <v>0</v>
      </c>
      <c r="AD757" s="319">
        <f>IF(AD$510&gt;=$C757,MIN(-(SUM($F757:AC757)-$E757),($E757)*$D757),0)*AD$508</f>
        <v>0</v>
      </c>
      <c r="AE757" s="319">
        <f>IF(AE$510&gt;=$C757,MIN(-(SUM($F757:AD757)-$E757),($E757)*$D757),0)*AE$508</f>
        <v>0</v>
      </c>
      <c r="AF757" s="319">
        <f>IF(AF$510&gt;=$C757,MIN(-(SUM($F757:AE757)-$E757),($E757)*$D757),0)*AF$508</f>
        <v>0</v>
      </c>
      <c r="AG757" s="319">
        <f>IF(AG$510&gt;=$C757,MIN(-(SUM($F757:AF757)-$E757),($E757)*$D757),0)*AG$508</f>
        <v>0</v>
      </c>
      <c r="AH757" s="319">
        <f>IF(AH$510&gt;=$C757,MIN(-(SUM($F757:AG757)-$E757),($E757)*$D757),0)*AH$508</f>
        <v>0</v>
      </c>
      <c r="AI757" s="319">
        <f>IF(AI$510&gt;=$C757,MIN(-(SUM($F757:AH757)-$E757),($E757)*$D757),0)*AI$508</f>
        <v>0</v>
      </c>
      <c r="AJ757" s="319">
        <f>IF(AJ$510&gt;=$C757,MIN(-(SUM($F757:AI757)-$E757),($E757)*$D757),0)*AJ$508</f>
        <v>0</v>
      </c>
      <c r="AK757" s="319">
        <f>IF(AK$510&gt;=$C757,MIN(-(SUM($F757:AJ757)-$E757),($E757)*$D757),0)*AK$508</f>
        <v>0</v>
      </c>
      <c r="AL757" s="319">
        <f>IF(AL$510&gt;=$C757,MIN(-(SUM($F757:AK757)-$E757),($E757)*$D757),0)*AL$508</f>
        <v>0</v>
      </c>
      <c r="AM757" s="319">
        <f>IF(AM$510&gt;=$C757,MIN(-(SUM($F757:AL757)-$E757),($E757)*$D757),0)*AM$508</f>
        <v>0</v>
      </c>
      <c r="AN757" s="319">
        <f>IF(AN$510&gt;=$C757,MIN(-(SUM($F757:AM757)-$E757),($E757)*$D757),0)*AN$508</f>
        <v>0</v>
      </c>
    </row>
    <row r="758" spans="3:40" outlineLevel="4">
      <c r="C758">
        <v>19</v>
      </c>
      <c r="D758">
        <f>Inputs!$D$260</f>
        <v>0.2</v>
      </c>
      <c r="E758" s="319">
        <v>0</v>
      </c>
      <c r="F758" s="461"/>
      <c r="G758" s="319">
        <f>IF(G$510&gt;=$C758,MIN(-(SUM(F758:$F758)-$E758),($E758)*$D758),0)*G$508</f>
        <v>0</v>
      </c>
      <c r="H758" s="319">
        <f>IF(H$510&gt;=$C758,MIN(-(SUM($F758:G758)-$E758),($E758)*$D758),0)*H$508</f>
        <v>0</v>
      </c>
      <c r="I758" s="319">
        <f>IF(I$510&gt;=$C758,MIN(-(SUM($F758:H758)-$E758),($E758)*$D758),0)*I$508</f>
        <v>0</v>
      </c>
      <c r="J758" s="319">
        <f>IF(J$510&gt;=$C758,MIN(-(SUM($F758:I758)-$E758),($E758)*$D758),0)*J$508</f>
        <v>0</v>
      </c>
      <c r="K758" s="319">
        <f>IF(K$510&gt;=$C758,MIN(-(SUM($F758:J758)-$E758),($E758)*$D758),0)*K$508</f>
        <v>0</v>
      </c>
      <c r="L758" s="319">
        <f>IF(L$510&gt;=$C758,MIN(-(SUM($F758:K758)-$E758),($E758)*$D758),0)*L$508</f>
        <v>0</v>
      </c>
      <c r="M758" s="319">
        <f>IF(M$510&gt;=$C758,MIN(-(SUM($F758:L758)-$E758),($E758)*$D758),0)*M$508</f>
        <v>0</v>
      </c>
      <c r="N758" s="319">
        <f>IF(N$510&gt;=$C758,MIN(-(SUM($F758:M758)-$E758),($E758)*$D758),0)*N$508</f>
        <v>0</v>
      </c>
      <c r="O758" s="319">
        <f>IF(O$510&gt;=$C758,MIN(-(SUM($F758:N758)-$E758),($E758)*$D758),0)*O$508</f>
        <v>0</v>
      </c>
      <c r="P758" s="319">
        <f>IF(P$510&gt;=$C758,MIN(-(SUM($F758:O758)-$E758),($E758)*$D758),0)*P$508</f>
        <v>0</v>
      </c>
      <c r="Q758" s="319">
        <f>IF(Q$510&gt;=$C758,MIN(-(SUM($F758:P758)-$E758),($E758)*$D758),0)*Q$508</f>
        <v>0</v>
      </c>
      <c r="R758" s="319">
        <f>IF(R$510&gt;=$C758,MIN(-(SUM($F758:Q758)-$E758),($E758)*$D758),0)*R$508</f>
        <v>0</v>
      </c>
      <c r="S758" s="319">
        <f>IF(S$510&gt;=$C758,MIN(-(SUM($F758:R758)-$E758),($E758)*$D758),0)*S$508</f>
        <v>0</v>
      </c>
      <c r="T758" s="319">
        <f>IF(T$510&gt;=$C758,MIN(-(SUM($F758:S758)-$E758),($E758)*$D758),0)*T$508</f>
        <v>0</v>
      </c>
      <c r="U758" s="319">
        <f>IF(U$510&gt;=$C758,MIN(-(SUM($F758:T758)-$E758),($E758)*$D758),0)*U$508</f>
        <v>0</v>
      </c>
      <c r="V758" s="319">
        <f>IF(V$510&gt;=$C758,MIN(-(SUM($F758:U758)-$E758),($E758)*$D758),0)*V$508</f>
        <v>0</v>
      </c>
      <c r="W758" s="319">
        <f>IF(W$510&gt;=$C758,MIN(-(SUM($F758:V758)-$E758),($E758)*$D758),0)*W$508</f>
        <v>0</v>
      </c>
      <c r="X758" s="319">
        <f>IF(X$510&gt;=$C758,MIN(-(SUM($F758:W758)-$E758),($E758)*$D758),0)*X$508</f>
        <v>0</v>
      </c>
      <c r="Y758" s="319">
        <f>IF(Y$510&gt;=$C758,MIN(-(SUM($F758:X758)-$E758),($E758)*$D758),0)*Y$508</f>
        <v>0</v>
      </c>
      <c r="Z758" s="319">
        <f>IF(Z$510&gt;=$C758,MIN(-(SUM($F758:Y758)-$E758),($E758)*$D758),0)*Z$508</f>
        <v>0</v>
      </c>
      <c r="AA758" s="319">
        <f>IF(AA$510&gt;=$C758,MIN(-(SUM($F758:Z758)-$E758),($E758)*$D758),0)*AA$508</f>
        <v>0</v>
      </c>
      <c r="AB758" s="319">
        <f>IF(AB$510&gt;=$C758,MIN(-(SUM($F758:AA758)-$E758),($E758)*$D758),0)*AB$508</f>
        <v>0</v>
      </c>
      <c r="AC758" s="319">
        <f>IF(AC$510&gt;=$C758,MIN(-(SUM($F758:AB758)-$E758),($E758)*$D758),0)*AC$508</f>
        <v>0</v>
      </c>
      <c r="AD758" s="319">
        <f>IF(AD$510&gt;=$C758,MIN(-(SUM($F758:AC758)-$E758),($E758)*$D758),0)*AD$508</f>
        <v>0</v>
      </c>
      <c r="AE758" s="319">
        <f>IF(AE$510&gt;=$C758,MIN(-(SUM($F758:AD758)-$E758),($E758)*$D758),0)*AE$508</f>
        <v>0</v>
      </c>
      <c r="AF758" s="319">
        <f>IF(AF$510&gt;=$C758,MIN(-(SUM($F758:AE758)-$E758),($E758)*$D758),0)*AF$508</f>
        <v>0</v>
      </c>
      <c r="AG758" s="319">
        <f>IF(AG$510&gt;=$C758,MIN(-(SUM($F758:AF758)-$E758),($E758)*$D758),0)*AG$508</f>
        <v>0</v>
      </c>
      <c r="AH758" s="319">
        <f>IF(AH$510&gt;=$C758,MIN(-(SUM($F758:AG758)-$E758),($E758)*$D758),0)*AH$508</f>
        <v>0</v>
      </c>
      <c r="AI758" s="319">
        <f>IF(AI$510&gt;=$C758,MIN(-(SUM($F758:AH758)-$E758),($E758)*$D758),0)*AI$508</f>
        <v>0</v>
      </c>
      <c r="AJ758" s="319">
        <f>IF(AJ$510&gt;=$C758,MIN(-(SUM($F758:AI758)-$E758),($E758)*$D758),0)*AJ$508</f>
        <v>0</v>
      </c>
      <c r="AK758" s="319">
        <f>IF(AK$510&gt;=$C758,MIN(-(SUM($F758:AJ758)-$E758),($E758)*$D758),0)*AK$508</f>
        <v>0</v>
      </c>
      <c r="AL758" s="319">
        <f>IF(AL$510&gt;=$C758,MIN(-(SUM($F758:AK758)-$E758),($E758)*$D758),0)*AL$508</f>
        <v>0</v>
      </c>
      <c r="AM758" s="319">
        <f>IF(AM$510&gt;=$C758,MIN(-(SUM($F758:AL758)-$E758),($E758)*$D758),0)*AM$508</f>
        <v>0</v>
      </c>
      <c r="AN758" s="319">
        <f>IF(AN$510&gt;=$C758,MIN(-(SUM($F758:AM758)-$E758),($E758)*$D758),0)*AN$508</f>
        <v>0</v>
      </c>
    </row>
    <row r="759" spans="3:40" outlineLevel="4">
      <c r="C759">
        <v>20</v>
      </c>
      <c r="D759">
        <f>Inputs!$D$260</f>
        <v>0.2</v>
      </c>
      <c r="E759" s="319">
        <v>0</v>
      </c>
      <c r="F759" s="461"/>
      <c r="G759" s="319">
        <f>IF(G$510&gt;=$C759,MIN(-(SUM(F759:$F759)-$E759),($E759)*$D759),0)*G$508</f>
        <v>0</v>
      </c>
      <c r="H759" s="319">
        <f>IF(H$510&gt;=$C759,MIN(-(SUM($F759:G759)-$E759),($E759)*$D759),0)*H$508</f>
        <v>0</v>
      </c>
      <c r="I759" s="319">
        <f>IF(I$510&gt;=$C759,MIN(-(SUM($F759:H759)-$E759),($E759)*$D759),0)*I$508</f>
        <v>0</v>
      </c>
      <c r="J759" s="319">
        <f>IF(J$510&gt;=$C759,MIN(-(SUM($F759:I759)-$E759),($E759)*$D759),0)*J$508</f>
        <v>0</v>
      </c>
      <c r="K759" s="319">
        <f>IF(K$510&gt;=$C759,MIN(-(SUM($F759:J759)-$E759),($E759)*$D759),0)*K$508</f>
        <v>0</v>
      </c>
      <c r="L759" s="319">
        <f>IF(L$510&gt;=$C759,MIN(-(SUM($F759:K759)-$E759),($E759)*$D759),0)*L$508</f>
        <v>0</v>
      </c>
      <c r="M759" s="319">
        <f>IF(M$510&gt;=$C759,MIN(-(SUM($F759:L759)-$E759),($E759)*$D759),0)*M$508</f>
        <v>0</v>
      </c>
      <c r="N759" s="319">
        <f>IF(N$510&gt;=$C759,MIN(-(SUM($F759:M759)-$E759),($E759)*$D759),0)*N$508</f>
        <v>0</v>
      </c>
      <c r="O759" s="319">
        <f>IF(O$510&gt;=$C759,MIN(-(SUM($F759:N759)-$E759),($E759)*$D759),0)*O$508</f>
        <v>0</v>
      </c>
      <c r="P759" s="319">
        <f>IF(P$510&gt;=$C759,MIN(-(SUM($F759:O759)-$E759),($E759)*$D759),0)*P$508</f>
        <v>0</v>
      </c>
      <c r="Q759" s="319">
        <f>IF(Q$510&gt;=$C759,MIN(-(SUM($F759:P759)-$E759),($E759)*$D759),0)*Q$508</f>
        <v>0</v>
      </c>
      <c r="R759" s="319">
        <f>IF(R$510&gt;=$C759,MIN(-(SUM($F759:Q759)-$E759),($E759)*$D759),0)*R$508</f>
        <v>0</v>
      </c>
      <c r="S759" s="319">
        <f>IF(S$510&gt;=$C759,MIN(-(SUM($F759:R759)-$E759),($E759)*$D759),0)*S$508</f>
        <v>0</v>
      </c>
      <c r="T759" s="319">
        <f>IF(T$510&gt;=$C759,MIN(-(SUM($F759:S759)-$E759),($E759)*$D759),0)*T$508</f>
        <v>0</v>
      </c>
      <c r="U759" s="319">
        <f>IF(U$510&gt;=$C759,MIN(-(SUM($F759:T759)-$E759),($E759)*$D759),0)*U$508</f>
        <v>0</v>
      </c>
      <c r="V759" s="319">
        <f>IF(V$510&gt;=$C759,MIN(-(SUM($F759:U759)-$E759),($E759)*$D759),0)*V$508</f>
        <v>0</v>
      </c>
      <c r="W759" s="319">
        <f>IF(W$510&gt;=$C759,MIN(-(SUM($F759:V759)-$E759),($E759)*$D759),0)*W$508</f>
        <v>0</v>
      </c>
      <c r="X759" s="319">
        <f>IF(X$510&gt;=$C759,MIN(-(SUM($F759:W759)-$E759),($E759)*$D759),0)*X$508</f>
        <v>0</v>
      </c>
      <c r="Y759" s="319">
        <f>IF(Y$510&gt;=$C759,MIN(-(SUM($F759:X759)-$E759),($E759)*$D759),0)*Y$508</f>
        <v>0</v>
      </c>
      <c r="Z759" s="319">
        <f>IF(Z$510&gt;=$C759,MIN(-(SUM($F759:Y759)-$E759),($E759)*$D759),0)*Z$508</f>
        <v>0</v>
      </c>
      <c r="AA759" s="319">
        <f>IF(AA$510&gt;=$C759,MIN(-(SUM($F759:Z759)-$E759),($E759)*$D759),0)*AA$508</f>
        <v>0</v>
      </c>
      <c r="AB759" s="319">
        <f>IF(AB$510&gt;=$C759,MIN(-(SUM($F759:AA759)-$E759),($E759)*$D759),0)*AB$508</f>
        <v>0</v>
      </c>
      <c r="AC759" s="319">
        <f>IF(AC$510&gt;=$C759,MIN(-(SUM($F759:AB759)-$E759),($E759)*$D759),0)*AC$508</f>
        <v>0</v>
      </c>
      <c r="AD759" s="319">
        <f>IF(AD$510&gt;=$C759,MIN(-(SUM($F759:AC759)-$E759),($E759)*$D759),0)*AD$508</f>
        <v>0</v>
      </c>
      <c r="AE759" s="319">
        <f>IF(AE$510&gt;=$C759,MIN(-(SUM($F759:AD759)-$E759),($E759)*$D759),0)*AE$508</f>
        <v>0</v>
      </c>
      <c r="AF759" s="319">
        <f>IF(AF$510&gt;=$C759,MIN(-(SUM($F759:AE759)-$E759),($E759)*$D759),0)*AF$508</f>
        <v>0</v>
      </c>
      <c r="AG759" s="319">
        <f>IF(AG$510&gt;=$C759,MIN(-(SUM($F759:AF759)-$E759),($E759)*$D759),0)*AG$508</f>
        <v>0</v>
      </c>
      <c r="AH759" s="319">
        <f>IF(AH$510&gt;=$C759,MIN(-(SUM($F759:AG759)-$E759),($E759)*$D759),0)*AH$508</f>
        <v>0</v>
      </c>
      <c r="AI759" s="319">
        <f>IF(AI$510&gt;=$C759,MIN(-(SUM($F759:AH759)-$E759),($E759)*$D759),0)*AI$508</f>
        <v>0</v>
      </c>
      <c r="AJ759" s="319">
        <f>IF(AJ$510&gt;=$C759,MIN(-(SUM($F759:AI759)-$E759),($E759)*$D759),0)*AJ$508</f>
        <v>0</v>
      </c>
      <c r="AK759" s="319">
        <f>IF(AK$510&gt;=$C759,MIN(-(SUM($F759:AJ759)-$E759),($E759)*$D759),0)*AK$508</f>
        <v>0</v>
      </c>
      <c r="AL759" s="319">
        <f>IF(AL$510&gt;=$C759,MIN(-(SUM($F759:AK759)-$E759),($E759)*$D759),0)*AL$508</f>
        <v>0</v>
      </c>
      <c r="AM759" s="319">
        <f>IF(AM$510&gt;=$C759,MIN(-(SUM($F759:AL759)-$E759),($E759)*$D759),0)*AM$508</f>
        <v>0</v>
      </c>
      <c r="AN759" s="319">
        <f>IF(AN$510&gt;=$C759,MIN(-(SUM($F759:AM759)-$E759),($E759)*$D759),0)*AN$508</f>
        <v>0</v>
      </c>
    </row>
    <row r="760" spans="3:40" outlineLevel="4">
      <c r="C760">
        <v>21</v>
      </c>
      <c r="D760">
        <f>Inputs!$D$260</f>
        <v>0.2</v>
      </c>
      <c r="E760" s="319">
        <v>851.69989999999996</v>
      </c>
      <c r="F760" s="461"/>
      <c r="G760" s="319">
        <f>IF(G$510&gt;=$C760,MIN(-(SUM(F760:$F760)-$E760),($E760)*$D760),0)*G$508</f>
        <v>0</v>
      </c>
      <c r="H760" s="319">
        <f>IF(H$510&gt;=$C760,MIN(-(SUM($F760:G760)-$E760),($E760)*$D760),0)*H$508</f>
        <v>0</v>
      </c>
      <c r="I760" s="319">
        <f>IF(I$510&gt;=$C760,MIN(-(SUM($F760:H760)-$E760),($E760)*$D760),0)*I$508</f>
        <v>0</v>
      </c>
      <c r="J760" s="319">
        <f>IF(J$510&gt;=$C760,MIN(-(SUM($F760:I760)-$E760),($E760)*$D760),0)*J$508</f>
        <v>0</v>
      </c>
      <c r="K760" s="319">
        <f>IF(K$510&gt;=$C760,MIN(-(SUM($F760:J760)-$E760),($E760)*$D760),0)*K$508</f>
        <v>0</v>
      </c>
      <c r="L760" s="319">
        <f>IF(L$510&gt;=$C760,MIN(-(SUM($F760:K760)-$E760),($E760)*$D760),0)*L$508</f>
        <v>0</v>
      </c>
      <c r="M760" s="319">
        <f>IF(M$510&gt;=$C760,MIN(-(SUM($F760:L760)-$E760),($E760)*$D760),0)*M$508</f>
        <v>0</v>
      </c>
      <c r="N760" s="319">
        <f>IF(N$510&gt;=$C760,MIN(-(SUM($F760:M760)-$E760),($E760)*$D760),0)*N$508</f>
        <v>0</v>
      </c>
      <c r="O760" s="319">
        <f>IF(O$510&gt;=$C760,MIN(-(SUM($F760:N760)-$E760),($E760)*$D760),0)*O$508</f>
        <v>0</v>
      </c>
      <c r="P760" s="319">
        <f>IF(P$510&gt;=$C760,MIN(-(SUM($F760:O760)-$E760),($E760)*$D760),0)*P$508</f>
        <v>0</v>
      </c>
      <c r="Q760" s="319">
        <f>IF(Q$510&gt;=$C760,MIN(-(SUM($F760:P760)-$E760),($E760)*$D760),0)*Q$508</f>
        <v>0</v>
      </c>
      <c r="R760" s="319">
        <f>IF(R$510&gt;=$C760,MIN(-(SUM($F760:Q760)-$E760),($E760)*$D760),0)*R$508</f>
        <v>0</v>
      </c>
      <c r="S760" s="319">
        <f>IF(S$510&gt;=$C760,MIN(-(SUM($F760:R760)-$E760),($E760)*$D760),0)*S$508</f>
        <v>0</v>
      </c>
      <c r="T760" s="319">
        <f>IF(T$510&gt;=$C760,MIN(-(SUM($F760:S760)-$E760),($E760)*$D760),0)*T$508</f>
        <v>0</v>
      </c>
      <c r="U760" s="319">
        <f>IF(U$510&gt;=$C760,MIN(-(SUM($F760:T760)-$E760),($E760)*$D760),0)*U$508</f>
        <v>0</v>
      </c>
      <c r="V760" s="319">
        <f>IF(V$510&gt;=$C760,MIN(-(SUM($F760:U760)-$E760),($E760)*$D760),0)*V$508</f>
        <v>0</v>
      </c>
      <c r="W760" s="319">
        <f>IF(W$510&gt;=$C760,MIN(-(SUM($F760:V760)-$E760),($E760)*$D760),0)*W$508</f>
        <v>0</v>
      </c>
      <c r="X760" s="319">
        <f>IF(X$510&gt;=$C760,MIN(-(SUM($F760:W760)-$E760),($E760)*$D760),0)*X$508</f>
        <v>0</v>
      </c>
      <c r="Y760" s="319">
        <f>IF(Y$510&gt;=$C760,MIN(-(SUM($F760:X760)-$E760),($E760)*$D760),0)*Y$508</f>
        <v>0</v>
      </c>
      <c r="Z760" s="319">
        <f>IF(Z$510&gt;=$C760,MIN(-(SUM($F760:Y760)-$E760),($E760)*$D760),0)*Z$508</f>
        <v>0</v>
      </c>
      <c r="AA760" s="319">
        <f>IF(AA$510&gt;=$C760,MIN(-(SUM($F760:Z760)-$E760),($E760)*$D760),0)*AA$508</f>
        <v>170.33998</v>
      </c>
      <c r="AB760" s="319">
        <f>IF(AB$510&gt;=$C760,MIN(-(SUM($F760:AA760)-$E760),($E760)*$D760),0)*AB$508</f>
        <v>170.33998</v>
      </c>
      <c r="AC760" s="319">
        <f>IF(AC$510&gt;=$C760,MIN(-(SUM($F760:AB760)-$E760),($E760)*$D760),0)*AC$508</f>
        <v>170.33998</v>
      </c>
      <c r="AD760" s="319">
        <f>IF(AD$510&gt;=$C760,MIN(-(SUM($F760:AC760)-$E760),($E760)*$D760),0)*AD$508</f>
        <v>170.33998</v>
      </c>
      <c r="AE760" s="319">
        <f>IF(AE$510&gt;=$C760,MIN(-(SUM($F760:AD760)-$E760),($E760)*$D760),0)*AE$508</f>
        <v>170.33997999999997</v>
      </c>
      <c r="AF760" s="319">
        <f>IF(AF$510&gt;=$C760,MIN(-(SUM($F760:AE760)-$E760),($E760)*$D760),0)*AF$508</f>
        <v>0</v>
      </c>
      <c r="AG760" s="319">
        <f>IF(AG$510&gt;=$C760,MIN(-(SUM($F760:AF760)-$E760),($E760)*$D760),0)*AG$508</f>
        <v>0</v>
      </c>
      <c r="AH760" s="319">
        <f>IF(AH$510&gt;=$C760,MIN(-(SUM($F760:AG760)-$E760),($E760)*$D760),0)*AH$508</f>
        <v>0</v>
      </c>
      <c r="AI760" s="319">
        <f>IF(AI$510&gt;=$C760,MIN(-(SUM($F760:AH760)-$E760),($E760)*$D760),0)*AI$508</f>
        <v>0</v>
      </c>
      <c r="AJ760" s="319">
        <f>IF(AJ$510&gt;=$C760,MIN(-(SUM($F760:AI760)-$E760),($E760)*$D760),0)*AJ$508</f>
        <v>0</v>
      </c>
      <c r="AK760" s="319">
        <f>IF(AK$510&gt;=$C760,MIN(-(SUM($F760:AJ760)-$E760),($E760)*$D760),0)*AK$508</f>
        <v>0</v>
      </c>
      <c r="AL760" s="319">
        <f>IF(AL$510&gt;=$C760,MIN(-(SUM($F760:AK760)-$E760),($E760)*$D760),0)*AL$508</f>
        <v>0</v>
      </c>
      <c r="AM760" s="319">
        <f>IF(AM$510&gt;=$C760,MIN(-(SUM($F760:AL760)-$E760),($E760)*$D760),0)*AM$508</f>
        <v>0</v>
      </c>
      <c r="AN760" s="319">
        <f>IF(AN$510&gt;=$C760,MIN(-(SUM($F760:AM760)-$E760),($E760)*$D760),0)*AN$508</f>
        <v>0</v>
      </c>
    </row>
    <row r="761" spans="3:40" outlineLevel="4">
      <c r="C761">
        <v>22</v>
      </c>
      <c r="D761">
        <f>Inputs!$D$260</f>
        <v>0.2</v>
      </c>
      <c r="E761" s="319">
        <v>38.909409999999994</v>
      </c>
      <c r="F761" s="461"/>
      <c r="G761" s="319">
        <f>IF(G$510&gt;=$C761,MIN(-(SUM(F761:$F761)-$E761),($E761)*$D761),0)*G$508</f>
        <v>0</v>
      </c>
      <c r="H761" s="319">
        <f>IF(H$510&gt;=$C761,MIN(-(SUM($F761:G761)-$E761),($E761)*$D761),0)*H$508</f>
        <v>0</v>
      </c>
      <c r="I761" s="319">
        <f>IF(I$510&gt;=$C761,MIN(-(SUM($F761:H761)-$E761),($E761)*$D761),0)*I$508</f>
        <v>0</v>
      </c>
      <c r="J761" s="319">
        <f>IF(J$510&gt;=$C761,MIN(-(SUM($F761:I761)-$E761),($E761)*$D761),0)*J$508</f>
        <v>0</v>
      </c>
      <c r="K761" s="319">
        <f>IF(K$510&gt;=$C761,MIN(-(SUM($F761:J761)-$E761),($E761)*$D761),0)*K$508</f>
        <v>0</v>
      </c>
      <c r="L761" s="319">
        <f>IF(L$510&gt;=$C761,MIN(-(SUM($F761:K761)-$E761),($E761)*$D761),0)*L$508</f>
        <v>0</v>
      </c>
      <c r="M761" s="319">
        <f>IF(M$510&gt;=$C761,MIN(-(SUM($F761:L761)-$E761),($E761)*$D761),0)*M$508</f>
        <v>0</v>
      </c>
      <c r="N761" s="319">
        <f>IF(N$510&gt;=$C761,MIN(-(SUM($F761:M761)-$E761),($E761)*$D761),0)*N$508</f>
        <v>0</v>
      </c>
      <c r="O761" s="319">
        <f>IF(O$510&gt;=$C761,MIN(-(SUM($F761:N761)-$E761),($E761)*$D761),0)*O$508</f>
        <v>0</v>
      </c>
      <c r="P761" s="319">
        <f>IF(P$510&gt;=$C761,MIN(-(SUM($F761:O761)-$E761),($E761)*$D761),0)*P$508</f>
        <v>0</v>
      </c>
      <c r="Q761" s="319">
        <f>IF(Q$510&gt;=$C761,MIN(-(SUM($F761:P761)-$E761),($E761)*$D761),0)*Q$508</f>
        <v>0</v>
      </c>
      <c r="R761" s="319">
        <f>IF(R$510&gt;=$C761,MIN(-(SUM($F761:Q761)-$E761),($E761)*$D761),0)*R$508</f>
        <v>0</v>
      </c>
      <c r="S761" s="319">
        <f>IF(S$510&gt;=$C761,MIN(-(SUM($F761:R761)-$E761),($E761)*$D761),0)*S$508</f>
        <v>0</v>
      </c>
      <c r="T761" s="319">
        <f>IF(T$510&gt;=$C761,MIN(-(SUM($F761:S761)-$E761),($E761)*$D761),0)*T$508</f>
        <v>0</v>
      </c>
      <c r="U761" s="319">
        <f>IF(U$510&gt;=$C761,MIN(-(SUM($F761:T761)-$E761),($E761)*$D761),0)*U$508</f>
        <v>0</v>
      </c>
      <c r="V761" s="319">
        <f>IF(V$510&gt;=$C761,MIN(-(SUM($F761:U761)-$E761),($E761)*$D761),0)*V$508</f>
        <v>0</v>
      </c>
      <c r="W761" s="319">
        <f>IF(W$510&gt;=$C761,MIN(-(SUM($F761:V761)-$E761),($E761)*$D761),0)*W$508</f>
        <v>0</v>
      </c>
      <c r="X761" s="319">
        <f>IF(X$510&gt;=$C761,MIN(-(SUM($F761:W761)-$E761),($E761)*$D761),0)*X$508</f>
        <v>0</v>
      </c>
      <c r="Y761" s="319">
        <f>IF(Y$510&gt;=$C761,MIN(-(SUM($F761:X761)-$E761),($E761)*$D761),0)*Y$508</f>
        <v>0</v>
      </c>
      <c r="Z761" s="319">
        <f>IF(Z$510&gt;=$C761,MIN(-(SUM($F761:Y761)-$E761),($E761)*$D761),0)*Z$508</f>
        <v>0</v>
      </c>
      <c r="AA761" s="319">
        <f>IF(AA$510&gt;=$C761,MIN(-(SUM($F761:Z761)-$E761),($E761)*$D761),0)*AA$508</f>
        <v>0</v>
      </c>
      <c r="AB761" s="319">
        <f>IF(AB$510&gt;=$C761,MIN(-(SUM($F761:AA761)-$E761),($E761)*$D761),0)*AB$508</f>
        <v>7.7818819999999995</v>
      </c>
      <c r="AC761" s="319">
        <f>IF(AC$510&gt;=$C761,MIN(-(SUM($F761:AB761)-$E761),($E761)*$D761),0)*AC$508</f>
        <v>7.7818819999999995</v>
      </c>
      <c r="AD761" s="319">
        <f>IF(AD$510&gt;=$C761,MIN(-(SUM($F761:AC761)-$E761),($E761)*$D761),0)*AD$508</f>
        <v>7.7818819999999995</v>
      </c>
      <c r="AE761" s="319">
        <f>IF(AE$510&gt;=$C761,MIN(-(SUM($F761:AD761)-$E761),($E761)*$D761),0)*AE$508</f>
        <v>7.7818819999999995</v>
      </c>
      <c r="AF761" s="319">
        <f>IF(AF$510&gt;=$C761,MIN(-(SUM($F761:AE761)-$E761),($E761)*$D761),0)*AF$508</f>
        <v>7.781881999999996</v>
      </c>
      <c r="AG761" s="319">
        <f>IF(AG$510&gt;=$C761,MIN(-(SUM($F761:AF761)-$E761),($E761)*$D761),0)*AG$508</f>
        <v>0</v>
      </c>
      <c r="AH761" s="319">
        <f>IF(AH$510&gt;=$C761,MIN(-(SUM($F761:AG761)-$E761),($E761)*$D761),0)*AH$508</f>
        <v>0</v>
      </c>
      <c r="AI761" s="319">
        <f>IF(AI$510&gt;=$C761,MIN(-(SUM($F761:AH761)-$E761),($E761)*$D761),0)*AI$508</f>
        <v>0</v>
      </c>
      <c r="AJ761" s="319">
        <f>IF(AJ$510&gt;=$C761,MIN(-(SUM($F761:AI761)-$E761),($E761)*$D761),0)*AJ$508</f>
        <v>0</v>
      </c>
      <c r="AK761" s="319">
        <f>IF(AK$510&gt;=$C761,MIN(-(SUM($F761:AJ761)-$E761),($E761)*$D761),0)*AK$508</f>
        <v>0</v>
      </c>
      <c r="AL761" s="319">
        <f>IF(AL$510&gt;=$C761,MIN(-(SUM($F761:AK761)-$E761),($E761)*$D761),0)*AL$508</f>
        <v>0</v>
      </c>
      <c r="AM761" s="319">
        <f>IF(AM$510&gt;=$C761,MIN(-(SUM($F761:AL761)-$E761),($E761)*$D761),0)*AM$508</f>
        <v>0</v>
      </c>
      <c r="AN761" s="319">
        <f>IF(AN$510&gt;=$C761,MIN(-(SUM($F761:AM761)-$E761),($E761)*$D761),0)*AN$508</f>
        <v>0</v>
      </c>
    </row>
    <row r="762" spans="3:40" outlineLevel="4">
      <c r="C762">
        <v>23</v>
      </c>
      <c r="D762">
        <f>Inputs!$D$260</f>
        <v>0.2</v>
      </c>
      <c r="E762" s="319">
        <v>0</v>
      </c>
      <c r="F762" s="461"/>
      <c r="G762" s="319">
        <f>IF(G$510&gt;=$C762,MIN(-(SUM(F762:$F762)-$E762),($E762)*$D762),0)*G$508</f>
        <v>0</v>
      </c>
      <c r="H762" s="319">
        <f>IF(H$510&gt;=$C762,MIN(-(SUM($F762:G762)-$E762),($E762)*$D762),0)*H$508</f>
        <v>0</v>
      </c>
      <c r="I762" s="319">
        <f>IF(I$510&gt;=$C762,MIN(-(SUM($F762:H762)-$E762),($E762)*$D762),0)*I$508</f>
        <v>0</v>
      </c>
      <c r="J762" s="319">
        <f>IF(J$510&gt;=$C762,MIN(-(SUM($F762:I762)-$E762),($E762)*$D762),0)*J$508</f>
        <v>0</v>
      </c>
      <c r="K762" s="319">
        <f>IF(K$510&gt;=$C762,MIN(-(SUM($F762:J762)-$E762),($E762)*$D762),0)*K$508</f>
        <v>0</v>
      </c>
      <c r="L762" s="319">
        <f>IF(L$510&gt;=$C762,MIN(-(SUM($F762:K762)-$E762),($E762)*$D762),0)*L$508</f>
        <v>0</v>
      </c>
      <c r="M762" s="319">
        <f>IF(M$510&gt;=$C762,MIN(-(SUM($F762:L762)-$E762),($E762)*$D762),0)*M$508</f>
        <v>0</v>
      </c>
      <c r="N762" s="319">
        <f>IF(N$510&gt;=$C762,MIN(-(SUM($F762:M762)-$E762),($E762)*$D762),0)*N$508</f>
        <v>0</v>
      </c>
      <c r="O762" s="319">
        <f>IF(O$510&gt;=$C762,MIN(-(SUM($F762:N762)-$E762),($E762)*$D762),0)*O$508</f>
        <v>0</v>
      </c>
      <c r="P762" s="319">
        <f>IF(P$510&gt;=$C762,MIN(-(SUM($F762:O762)-$E762),($E762)*$D762),0)*P$508</f>
        <v>0</v>
      </c>
      <c r="Q762" s="319">
        <f>IF(Q$510&gt;=$C762,MIN(-(SUM($F762:P762)-$E762),($E762)*$D762),0)*Q$508</f>
        <v>0</v>
      </c>
      <c r="R762" s="319">
        <f>IF(R$510&gt;=$C762,MIN(-(SUM($F762:Q762)-$E762),($E762)*$D762),0)*R$508</f>
        <v>0</v>
      </c>
      <c r="S762" s="319">
        <f>IF(S$510&gt;=$C762,MIN(-(SUM($F762:R762)-$E762),($E762)*$D762),0)*S$508</f>
        <v>0</v>
      </c>
      <c r="T762" s="319">
        <f>IF(T$510&gt;=$C762,MIN(-(SUM($F762:S762)-$E762),($E762)*$D762),0)*T$508</f>
        <v>0</v>
      </c>
      <c r="U762" s="319">
        <f>IF(U$510&gt;=$C762,MIN(-(SUM($F762:T762)-$E762),($E762)*$D762),0)*U$508</f>
        <v>0</v>
      </c>
      <c r="V762" s="319">
        <f>IF(V$510&gt;=$C762,MIN(-(SUM($F762:U762)-$E762),($E762)*$D762),0)*V$508</f>
        <v>0</v>
      </c>
      <c r="W762" s="319">
        <f>IF(W$510&gt;=$C762,MIN(-(SUM($F762:V762)-$E762),($E762)*$D762),0)*W$508</f>
        <v>0</v>
      </c>
      <c r="X762" s="319">
        <f>IF(X$510&gt;=$C762,MIN(-(SUM($F762:W762)-$E762),($E762)*$D762),0)*X$508</f>
        <v>0</v>
      </c>
      <c r="Y762" s="319">
        <f>IF(Y$510&gt;=$C762,MIN(-(SUM($F762:X762)-$E762),($E762)*$D762),0)*Y$508</f>
        <v>0</v>
      </c>
      <c r="Z762" s="319">
        <f>IF(Z$510&gt;=$C762,MIN(-(SUM($F762:Y762)-$E762),($E762)*$D762),0)*Z$508</f>
        <v>0</v>
      </c>
      <c r="AA762" s="319">
        <f>IF(AA$510&gt;=$C762,MIN(-(SUM($F762:Z762)-$E762),($E762)*$D762),0)*AA$508</f>
        <v>0</v>
      </c>
      <c r="AB762" s="319">
        <f>IF(AB$510&gt;=$C762,MIN(-(SUM($F762:AA762)-$E762),($E762)*$D762),0)*AB$508</f>
        <v>0</v>
      </c>
      <c r="AC762" s="319">
        <f>IF(AC$510&gt;=$C762,MIN(-(SUM($F762:AB762)-$E762),($E762)*$D762),0)*AC$508</f>
        <v>0</v>
      </c>
      <c r="AD762" s="319">
        <f>IF(AD$510&gt;=$C762,MIN(-(SUM($F762:AC762)-$E762),($E762)*$D762),0)*AD$508</f>
        <v>0</v>
      </c>
      <c r="AE762" s="319">
        <f>IF(AE$510&gt;=$C762,MIN(-(SUM($F762:AD762)-$E762),($E762)*$D762),0)*AE$508</f>
        <v>0</v>
      </c>
      <c r="AF762" s="319">
        <f>IF(AF$510&gt;=$C762,MIN(-(SUM($F762:AE762)-$E762),($E762)*$D762),0)*AF$508</f>
        <v>0</v>
      </c>
      <c r="AG762" s="319">
        <f>IF(AG$510&gt;=$C762,MIN(-(SUM($F762:AF762)-$E762),($E762)*$D762),0)*AG$508</f>
        <v>0</v>
      </c>
      <c r="AH762" s="319">
        <f>IF(AH$510&gt;=$C762,MIN(-(SUM($F762:AG762)-$E762),($E762)*$D762),0)*AH$508</f>
        <v>0</v>
      </c>
      <c r="AI762" s="319">
        <f>IF(AI$510&gt;=$C762,MIN(-(SUM($F762:AH762)-$E762),($E762)*$D762),0)*AI$508</f>
        <v>0</v>
      </c>
      <c r="AJ762" s="319">
        <f>IF(AJ$510&gt;=$C762,MIN(-(SUM($F762:AI762)-$E762),($E762)*$D762),0)*AJ$508</f>
        <v>0</v>
      </c>
      <c r="AK762" s="319">
        <f>IF(AK$510&gt;=$C762,MIN(-(SUM($F762:AJ762)-$E762),($E762)*$D762),0)*AK$508</f>
        <v>0</v>
      </c>
      <c r="AL762" s="319">
        <f>IF(AL$510&gt;=$C762,MIN(-(SUM($F762:AK762)-$E762),($E762)*$D762),0)*AL$508</f>
        <v>0</v>
      </c>
      <c r="AM762" s="319">
        <f>IF(AM$510&gt;=$C762,MIN(-(SUM($F762:AL762)-$E762),($E762)*$D762),0)*AM$508</f>
        <v>0</v>
      </c>
      <c r="AN762" s="319">
        <f>IF(AN$510&gt;=$C762,MIN(-(SUM($F762:AM762)-$E762),($E762)*$D762),0)*AN$508</f>
        <v>0</v>
      </c>
    </row>
    <row r="763" spans="3:40" outlineLevel="4">
      <c r="C763">
        <v>24</v>
      </c>
      <c r="D763">
        <f>Inputs!$D$260</f>
        <v>0.2</v>
      </c>
      <c r="E763" s="319">
        <v>0</v>
      </c>
      <c r="F763" s="461"/>
      <c r="G763" s="319">
        <f>IF(G$510&gt;=$C763,MIN(-(SUM(F763:$F763)-$E763),($E763)*$D763),0)*G$508</f>
        <v>0</v>
      </c>
      <c r="H763" s="319">
        <f>IF(H$510&gt;=$C763,MIN(-(SUM($F763:G763)-$E763),($E763)*$D763),0)*H$508</f>
        <v>0</v>
      </c>
      <c r="I763" s="319">
        <f>IF(I$510&gt;=$C763,MIN(-(SUM($F763:H763)-$E763),($E763)*$D763),0)*I$508</f>
        <v>0</v>
      </c>
      <c r="J763" s="319">
        <f>IF(J$510&gt;=$C763,MIN(-(SUM($F763:I763)-$E763),($E763)*$D763),0)*J$508</f>
        <v>0</v>
      </c>
      <c r="K763" s="319">
        <f>IF(K$510&gt;=$C763,MIN(-(SUM($F763:J763)-$E763),($E763)*$D763),0)*K$508</f>
        <v>0</v>
      </c>
      <c r="L763" s="319">
        <f>IF(L$510&gt;=$C763,MIN(-(SUM($F763:K763)-$E763),($E763)*$D763),0)*L$508</f>
        <v>0</v>
      </c>
      <c r="M763" s="319">
        <f>IF(M$510&gt;=$C763,MIN(-(SUM($F763:L763)-$E763),($E763)*$D763),0)*M$508</f>
        <v>0</v>
      </c>
      <c r="N763" s="319">
        <f>IF(N$510&gt;=$C763,MIN(-(SUM($F763:M763)-$E763),($E763)*$D763),0)*N$508</f>
        <v>0</v>
      </c>
      <c r="O763" s="319">
        <f>IF(O$510&gt;=$C763,MIN(-(SUM($F763:N763)-$E763),($E763)*$D763),0)*O$508</f>
        <v>0</v>
      </c>
      <c r="P763" s="319">
        <f>IF(P$510&gt;=$C763,MIN(-(SUM($F763:O763)-$E763),($E763)*$D763),0)*P$508</f>
        <v>0</v>
      </c>
      <c r="Q763" s="319">
        <f>IF(Q$510&gt;=$C763,MIN(-(SUM($F763:P763)-$E763),($E763)*$D763),0)*Q$508</f>
        <v>0</v>
      </c>
      <c r="R763" s="319">
        <f>IF(R$510&gt;=$C763,MIN(-(SUM($F763:Q763)-$E763),($E763)*$D763),0)*R$508</f>
        <v>0</v>
      </c>
      <c r="S763" s="319">
        <f>IF(S$510&gt;=$C763,MIN(-(SUM($F763:R763)-$E763),($E763)*$D763),0)*S$508</f>
        <v>0</v>
      </c>
      <c r="T763" s="319">
        <f>IF(T$510&gt;=$C763,MIN(-(SUM($F763:S763)-$E763),($E763)*$D763),0)*T$508</f>
        <v>0</v>
      </c>
      <c r="U763" s="319">
        <f>IF(U$510&gt;=$C763,MIN(-(SUM($F763:T763)-$E763),($E763)*$D763),0)*U$508</f>
        <v>0</v>
      </c>
      <c r="V763" s="319">
        <f>IF(V$510&gt;=$C763,MIN(-(SUM($F763:U763)-$E763),($E763)*$D763),0)*V$508</f>
        <v>0</v>
      </c>
      <c r="W763" s="319">
        <f>IF(W$510&gt;=$C763,MIN(-(SUM($F763:V763)-$E763),($E763)*$D763),0)*W$508</f>
        <v>0</v>
      </c>
      <c r="X763" s="319">
        <f>IF(X$510&gt;=$C763,MIN(-(SUM($F763:W763)-$E763),($E763)*$D763),0)*X$508</f>
        <v>0</v>
      </c>
      <c r="Y763" s="319">
        <f>IF(Y$510&gt;=$C763,MIN(-(SUM($F763:X763)-$E763),($E763)*$D763),0)*Y$508</f>
        <v>0</v>
      </c>
      <c r="Z763" s="319">
        <f>IF(Z$510&gt;=$C763,MIN(-(SUM($F763:Y763)-$E763),($E763)*$D763),0)*Z$508</f>
        <v>0</v>
      </c>
      <c r="AA763" s="319">
        <f>IF(AA$510&gt;=$C763,MIN(-(SUM($F763:Z763)-$E763),($E763)*$D763),0)*AA$508</f>
        <v>0</v>
      </c>
      <c r="AB763" s="319">
        <f>IF(AB$510&gt;=$C763,MIN(-(SUM($F763:AA763)-$E763),($E763)*$D763),0)*AB$508</f>
        <v>0</v>
      </c>
      <c r="AC763" s="319">
        <f>IF(AC$510&gt;=$C763,MIN(-(SUM($F763:AB763)-$E763),($E763)*$D763),0)*AC$508</f>
        <v>0</v>
      </c>
      <c r="AD763" s="319">
        <f>IF(AD$510&gt;=$C763,MIN(-(SUM($F763:AC763)-$E763),($E763)*$D763),0)*AD$508</f>
        <v>0</v>
      </c>
      <c r="AE763" s="319">
        <f>IF(AE$510&gt;=$C763,MIN(-(SUM($F763:AD763)-$E763),($E763)*$D763),0)*AE$508</f>
        <v>0</v>
      </c>
      <c r="AF763" s="319">
        <f>IF(AF$510&gt;=$C763,MIN(-(SUM($F763:AE763)-$E763),($E763)*$D763),0)*AF$508</f>
        <v>0</v>
      </c>
      <c r="AG763" s="319">
        <f>IF(AG$510&gt;=$C763,MIN(-(SUM($F763:AF763)-$E763),($E763)*$D763),0)*AG$508</f>
        <v>0</v>
      </c>
      <c r="AH763" s="319">
        <f>IF(AH$510&gt;=$C763,MIN(-(SUM($F763:AG763)-$E763),($E763)*$D763),0)*AH$508</f>
        <v>0</v>
      </c>
      <c r="AI763" s="319">
        <f>IF(AI$510&gt;=$C763,MIN(-(SUM($F763:AH763)-$E763),($E763)*$D763),0)*AI$508</f>
        <v>0</v>
      </c>
      <c r="AJ763" s="319">
        <f>IF(AJ$510&gt;=$C763,MIN(-(SUM($F763:AI763)-$E763),($E763)*$D763),0)*AJ$508</f>
        <v>0</v>
      </c>
      <c r="AK763" s="319">
        <f>IF(AK$510&gt;=$C763,MIN(-(SUM($F763:AJ763)-$E763),($E763)*$D763),0)*AK$508</f>
        <v>0</v>
      </c>
      <c r="AL763" s="319">
        <f>IF(AL$510&gt;=$C763,MIN(-(SUM($F763:AK763)-$E763),($E763)*$D763),0)*AL$508</f>
        <v>0</v>
      </c>
      <c r="AM763" s="319">
        <f>IF(AM$510&gt;=$C763,MIN(-(SUM($F763:AL763)-$E763),($E763)*$D763),0)*AM$508</f>
        <v>0</v>
      </c>
      <c r="AN763" s="319">
        <f>IF(AN$510&gt;=$C763,MIN(-(SUM($F763:AM763)-$E763),($E763)*$D763),0)*AN$508</f>
        <v>0</v>
      </c>
    </row>
    <row r="764" spans="3:40" outlineLevel="4">
      <c r="C764">
        <v>25</v>
      </c>
      <c r="D764">
        <f>Inputs!$D$260</f>
        <v>0.2</v>
      </c>
      <c r="E764" s="319">
        <v>0</v>
      </c>
      <c r="F764" s="461"/>
      <c r="G764" s="319">
        <f>IF(G$510&gt;=$C764,MIN(-(SUM(F764:$F764)-$E764),($E764)*$D764),0)*G$508</f>
        <v>0</v>
      </c>
      <c r="H764" s="319">
        <f>IF(H$510&gt;=$C764,MIN(-(SUM($F764:G764)-$E764),($E764)*$D764),0)*H$508</f>
        <v>0</v>
      </c>
      <c r="I764" s="319">
        <f>IF(I$510&gt;=$C764,MIN(-(SUM($F764:H764)-$E764),($E764)*$D764),0)*I$508</f>
        <v>0</v>
      </c>
      <c r="J764" s="319">
        <f>IF(J$510&gt;=$C764,MIN(-(SUM($F764:I764)-$E764),($E764)*$D764),0)*J$508</f>
        <v>0</v>
      </c>
      <c r="K764" s="319">
        <f>IF(K$510&gt;=$C764,MIN(-(SUM($F764:J764)-$E764),($E764)*$D764),0)*K$508</f>
        <v>0</v>
      </c>
      <c r="L764" s="319">
        <f>IF(L$510&gt;=$C764,MIN(-(SUM($F764:K764)-$E764),($E764)*$D764),0)*L$508</f>
        <v>0</v>
      </c>
      <c r="M764" s="319">
        <f>IF(M$510&gt;=$C764,MIN(-(SUM($F764:L764)-$E764),($E764)*$D764),0)*M$508</f>
        <v>0</v>
      </c>
      <c r="N764" s="319">
        <f>IF(N$510&gt;=$C764,MIN(-(SUM($F764:M764)-$E764),($E764)*$D764),0)*N$508</f>
        <v>0</v>
      </c>
      <c r="O764" s="319">
        <f>IF(O$510&gt;=$C764,MIN(-(SUM($F764:N764)-$E764),($E764)*$D764),0)*O$508</f>
        <v>0</v>
      </c>
      <c r="P764" s="319">
        <f>IF(P$510&gt;=$C764,MIN(-(SUM($F764:O764)-$E764),($E764)*$D764),0)*P$508</f>
        <v>0</v>
      </c>
      <c r="Q764" s="319">
        <f>IF(Q$510&gt;=$C764,MIN(-(SUM($F764:P764)-$E764),($E764)*$D764),0)*Q$508</f>
        <v>0</v>
      </c>
      <c r="R764" s="319">
        <f>IF(R$510&gt;=$C764,MIN(-(SUM($F764:Q764)-$E764),($E764)*$D764),0)*R$508</f>
        <v>0</v>
      </c>
      <c r="S764" s="319">
        <f>IF(S$510&gt;=$C764,MIN(-(SUM($F764:R764)-$E764),($E764)*$D764),0)*S$508</f>
        <v>0</v>
      </c>
      <c r="T764" s="319">
        <f>IF(T$510&gt;=$C764,MIN(-(SUM($F764:S764)-$E764),($E764)*$D764),0)*T$508</f>
        <v>0</v>
      </c>
      <c r="U764" s="319">
        <f>IF(U$510&gt;=$C764,MIN(-(SUM($F764:T764)-$E764),($E764)*$D764),0)*U$508</f>
        <v>0</v>
      </c>
      <c r="V764" s="319">
        <f>IF(V$510&gt;=$C764,MIN(-(SUM($F764:U764)-$E764),($E764)*$D764),0)*V$508</f>
        <v>0</v>
      </c>
      <c r="W764" s="319">
        <f>IF(W$510&gt;=$C764,MIN(-(SUM($F764:V764)-$E764),($E764)*$D764),0)*W$508</f>
        <v>0</v>
      </c>
      <c r="X764" s="319">
        <f>IF(X$510&gt;=$C764,MIN(-(SUM($F764:W764)-$E764),($E764)*$D764),0)*X$508</f>
        <v>0</v>
      </c>
      <c r="Y764" s="319">
        <f>IF(Y$510&gt;=$C764,MIN(-(SUM($F764:X764)-$E764),($E764)*$D764),0)*Y$508</f>
        <v>0</v>
      </c>
      <c r="Z764" s="319">
        <f>IF(Z$510&gt;=$C764,MIN(-(SUM($F764:Y764)-$E764),($E764)*$D764),0)*Z$508</f>
        <v>0</v>
      </c>
      <c r="AA764" s="319">
        <f>IF(AA$510&gt;=$C764,MIN(-(SUM($F764:Z764)-$E764),($E764)*$D764),0)*AA$508</f>
        <v>0</v>
      </c>
      <c r="AB764" s="319">
        <f>IF(AB$510&gt;=$C764,MIN(-(SUM($F764:AA764)-$E764),($E764)*$D764),0)*AB$508</f>
        <v>0</v>
      </c>
      <c r="AC764" s="319">
        <f>IF(AC$510&gt;=$C764,MIN(-(SUM($F764:AB764)-$E764),($E764)*$D764),0)*AC$508</f>
        <v>0</v>
      </c>
      <c r="AD764" s="319">
        <f>IF(AD$510&gt;=$C764,MIN(-(SUM($F764:AC764)-$E764),($E764)*$D764),0)*AD$508</f>
        <v>0</v>
      </c>
      <c r="AE764" s="319">
        <f>IF(AE$510&gt;=$C764,MIN(-(SUM($F764:AD764)-$E764),($E764)*$D764),0)*AE$508</f>
        <v>0</v>
      </c>
      <c r="AF764" s="319">
        <f>IF(AF$510&gt;=$C764,MIN(-(SUM($F764:AE764)-$E764),($E764)*$D764),0)*AF$508</f>
        <v>0</v>
      </c>
      <c r="AG764" s="319">
        <f>IF(AG$510&gt;=$C764,MIN(-(SUM($F764:AF764)-$E764),($E764)*$D764),0)*AG$508</f>
        <v>0</v>
      </c>
      <c r="AH764" s="319">
        <f>IF(AH$510&gt;=$C764,MIN(-(SUM($F764:AG764)-$E764),($E764)*$D764),0)*AH$508</f>
        <v>0</v>
      </c>
      <c r="AI764" s="319">
        <f>IF(AI$510&gt;=$C764,MIN(-(SUM($F764:AH764)-$E764),($E764)*$D764),0)*AI$508</f>
        <v>0</v>
      </c>
      <c r="AJ764" s="319">
        <f>IF(AJ$510&gt;=$C764,MIN(-(SUM($F764:AI764)-$E764),($E764)*$D764),0)*AJ$508</f>
        <v>0</v>
      </c>
      <c r="AK764" s="319">
        <f>IF(AK$510&gt;=$C764,MIN(-(SUM($F764:AJ764)-$E764),($E764)*$D764),0)*AK$508</f>
        <v>0</v>
      </c>
      <c r="AL764" s="319">
        <f>IF(AL$510&gt;=$C764,MIN(-(SUM($F764:AK764)-$E764),($E764)*$D764),0)*AL$508</f>
        <v>0</v>
      </c>
      <c r="AM764" s="319">
        <f>IF(AM$510&gt;=$C764,MIN(-(SUM($F764:AL764)-$E764),($E764)*$D764),0)*AM$508</f>
        <v>0</v>
      </c>
      <c r="AN764" s="319">
        <f>IF(AN$510&gt;=$C764,MIN(-(SUM($F764:AM764)-$E764),($E764)*$D764),0)*AN$508</f>
        <v>0</v>
      </c>
    </row>
    <row r="765" spans="3:40" outlineLevel="4">
      <c r="C765">
        <v>26</v>
      </c>
      <c r="D765">
        <f>Inputs!$D$260</f>
        <v>0.2</v>
      </c>
      <c r="E765" s="319">
        <v>25.209900000000001</v>
      </c>
      <c r="F765" s="461"/>
      <c r="G765" s="319">
        <f>IF(G$510&gt;=$C765,MIN(-(SUM(F765:$F765)-$E765),($E765)*$D765),0)*G$508</f>
        <v>0</v>
      </c>
      <c r="H765" s="319">
        <f>IF(H$510&gt;=$C765,MIN(-(SUM($F765:G765)-$E765),($E765)*$D765),0)*H$508</f>
        <v>0</v>
      </c>
      <c r="I765" s="319">
        <f>IF(I$510&gt;=$C765,MIN(-(SUM($F765:H765)-$E765),($E765)*$D765),0)*I$508</f>
        <v>0</v>
      </c>
      <c r="J765" s="319">
        <f>IF(J$510&gt;=$C765,MIN(-(SUM($F765:I765)-$E765),($E765)*$D765),0)*J$508</f>
        <v>0</v>
      </c>
      <c r="K765" s="319">
        <f>IF(K$510&gt;=$C765,MIN(-(SUM($F765:J765)-$E765),($E765)*$D765),0)*K$508</f>
        <v>0</v>
      </c>
      <c r="L765" s="319">
        <f>IF(L$510&gt;=$C765,MIN(-(SUM($F765:K765)-$E765),($E765)*$D765),0)*L$508</f>
        <v>0</v>
      </c>
      <c r="M765" s="319">
        <f>IF(M$510&gt;=$C765,MIN(-(SUM($F765:L765)-$E765),($E765)*$D765),0)*M$508</f>
        <v>0</v>
      </c>
      <c r="N765" s="319">
        <f>IF(N$510&gt;=$C765,MIN(-(SUM($F765:M765)-$E765),($E765)*$D765),0)*N$508</f>
        <v>0</v>
      </c>
      <c r="O765" s="319">
        <f>IF(O$510&gt;=$C765,MIN(-(SUM($F765:N765)-$E765),($E765)*$D765),0)*O$508</f>
        <v>0</v>
      </c>
      <c r="P765" s="319">
        <f>IF(P$510&gt;=$C765,MIN(-(SUM($F765:O765)-$E765),($E765)*$D765),0)*P$508</f>
        <v>0</v>
      </c>
      <c r="Q765" s="319">
        <f>IF(Q$510&gt;=$C765,MIN(-(SUM($F765:P765)-$E765),($E765)*$D765),0)*Q$508</f>
        <v>0</v>
      </c>
      <c r="R765" s="319">
        <f>IF(R$510&gt;=$C765,MIN(-(SUM($F765:Q765)-$E765),($E765)*$D765),0)*R$508</f>
        <v>0</v>
      </c>
      <c r="S765" s="319">
        <f>IF(S$510&gt;=$C765,MIN(-(SUM($F765:R765)-$E765),($E765)*$D765),0)*S$508</f>
        <v>0</v>
      </c>
      <c r="T765" s="319">
        <f>IF(T$510&gt;=$C765,MIN(-(SUM($F765:S765)-$E765),($E765)*$D765),0)*T$508</f>
        <v>0</v>
      </c>
      <c r="U765" s="319">
        <f>IF(U$510&gt;=$C765,MIN(-(SUM($F765:T765)-$E765),($E765)*$D765),0)*U$508</f>
        <v>0</v>
      </c>
      <c r="V765" s="319">
        <f>IF(V$510&gt;=$C765,MIN(-(SUM($F765:U765)-$E765),($E765)*$D765),0)*V$508</f>
        <v>0</v>
      </c>
      <c r="W765" s="319">
        <f>IF(W$510&gt;=$C765,MIN(-(SUM($F765:V765)-$E765),($E765)*$D765),0)*W$508</f>
        <v>0</v>
      </c>
      <c r="X765" s="319">
        <f>IF(X$510&gt;=$C765,MIN(-(SUM($F765:W765)-$E765),($E765)*$D765),0)*X$508</f>
        <v>0</v>
      </c>
      <c r="Y765" s="319">
        <f>IF(Y$510&gt;=$C765,MIN(-(SUM($F765:X765)-$E765),($E765)*$D765),0)*Y$508</f>
        <v>0</v>
      </c>
      <c r="Z765" s="319">
        <f>IF(Z$510&gt;=$C765,MIN(-(SUM($F765:Y765)-$E765),($E765)*$D765),0)*Z$508</f>
        <v>0</v>
      </c>
      <c r="AA765" s="319">
        <f>IF(AA$510&gt;=$C765,MIN(-(SUM($F765:Z765)-$E765),($E765)*$D765),0)*AA$508</f>
        <v>0</v>
      </c>
      <c r="AB765" s="319">
        <f>IF(AB$510&gt;=$C765,MIN(-(SUM($F765:AA765)-$E765),($E765)*$D765),0)*AB$508</f>
        <v>0</v>
      </c>
      <c r="AC765" s="319">
        <f>IF(AC$510&gt;=$C765,MIN(-(SUM($F765:AB765)-$E765),($E765)*$D765),0)*AC$508</f>
        <v>0</v>
      </c>
      <c r="AD765" s="319">
        <f>IF(AD$510&gt;=$C765,MIN(-(SUM($F765:AC765)-$E765),($E765)*$D765),0)*AD$508</f>
        <v>0</v>
      </c>
      <c r="AE765" s="319">
        <f>IF(AE$510&gt;=$C765,MIN(-(SUM($F765:AD765)-$E765),($E765)*$D765),0)*AE$508</f>
        <v>0</v>
      </c>
      <c r="AF765" s="319">
        <f>IF(AF$510&gt;=$C765,MIN(-(SUM($F765:AE765)-$E765),($E765)*$D765),0)*AF$508</f>
        <v>5.0419800000000006</v>
      </c>
      <c r="AG765" s="319">
        <f>IF(AG$510&gt;=$C765,MIN(-(SUM($F765:AF765)-$E765),($E765)*$D765),0)*AG$508</f>
        <v>5.0419800000000006</v>
      </c>
      <c r="AH765" s="319">
        <f>IF(AH$510&gt;=$C765,MIN(-(SUM($F765:AG765)-$E765),($E765)*$D765),0)*AH$508</f>
        <v>5.0419800000000006</v>
      </c>
      <c r="AI765" s="319">
        <f>IF(AI$510&gt;=$C765,MIN(-(SUM($F765:AH765)-$E765),($E765)*$D765),0)*AI$508</f>
        <v>5.0419800000000006</v>
      </c>
      <c r="AJ765" s="319">
        <f>IF(AJ$510&gt;=$C765,MIN(-(SUM($F765:AI765)-$E765),($E765)*$D765),0)*AJ$508</f>
        <v>5.0419799999999988</v>
      </c>
      <c r="AK765" s="319">
        <f>IF(AK$510&gt;=$C765,MIN(-(SUM($F765:AJ765)-$E765),($E765)*$D765),0)*AK$508</f>
        <v>0</v>
      </c>
      <c r="AL765" s="319">
        <f>IF(AL$510&gt;=$C765,MIN(-(SUM($F765:AK765)-$E765),($E765)*$D765),0)*AL$508</f>
        <v>0</v>
      </c>
      <c r="AM765" s="319">
        <f>IF(AM$510&gt;=$C765,MIN(-(SUM($F765:AL765)-$E765),($E765)*$D765),0)*AM$508</f>
        <v>0</v>
      </c>
      <c r="AN765" s="319">
        <f>IF(AN$510&gt;=$C765,MIN(-(SUM($F765:AM765)-$E765),($E765)*$D765),0)*AN$508</f>
        <v>0</v>
      </c>
    </row>
    <row r="766" spans="3:40" outlineLevel="4">
      <c r="C766">
        <v>27</v>
      </c>
      <c r="D766">
        <f>Inputs!$D$260</f>
        <v>0.2</v>
      </c>
      <c r="E766" s="319">
        <v>10.874799999999999</v>
      </c>
      <c r="F766" s="461"/>
      <c r="G766" s="319">
        <f>IF(G$510&gt;=$C766,MIN(-(SUM(F766:$F766)-$E766),($E766)*$D766),0)*G$508</f>
        <v>0</v>
      </c>
      <c r="H766" s="319">
        <f>IF(H$510&gt;=$C766,MIN(-(SUM($F766:G766)-$E766),($E766)*$D766),0)*H$508</f>
        <v>0</v>
      </c>
      <c r="I766" s="319">
        <f>IF(I$510&gt;=$C766,MIN(-(SUM($F766:H766)-$E766),($E766)*$D766),0)*I$508</f>
        <v>0</v>
      </c>
      <c r="J766" s="319">
        <f>IF(J$510&gt;=$C766,MIN(-(SUM($F766:I766)-$E766),($E766)*$D766),0)*J$508</f>
        <v>0</v>
      </c>
      <c r="K766" s="319">
        <f>IF(K$510&gt;=$C766,MIN(-(SUM($F766:J766)-$E766),($E766)*$D766),0)*K$508</f>
        <v>0</v>
      </c>
      <c r="L766" s="319">
        <f>IF(L$510&gt;=$C766,MIN(-(SUM($F766:K766)-$E766),($E766)*$D766),0)*L$508</f>
        <v>0</v>
      </c>
      <c r="M766" s="319">
        <f>IF(M$510&gt;=$C766,MIN(-(SUM($F766:L766)-$E766),($E766)*$D766),0)*M$508</f>
        <v>0</v>
      </c>
      <c r="N766" s="319">
        <f>IF(N$510&gt;=$C766,MIN(-(SUM($F766:M766)-$E766),($E766)*$D766),0)*N$508</f>
        <v>0</v>
      </c>
      <c r="O766" s="319">
        <f>IF(O$510&gt;=$C766,MIN(-(SUM($F766:N766)-$E766),($E766)*$D766),0)*O$508</f>
        <v>0</v>
      </c>
      <c r="P766" s="319">
        <f>IF(P$510&gt;=$C766,MIN(-(SUM($F766:O766)-$E766),($E766)*$D766),0)*P$508</f>
        <v>0</v>
      </c>
      <c r="Q766" s="319">
        <f>IF(Q$510&gt;=$C766,MIN(-(SUM($F766:P766)-$E766),($E766)*$D766),0)*Q$508</f>
        <v>0</v>
      </c>
      <c r="R766" s="319">
        <f>IF(R$510&gt;=$C766,MIN(-(SUM($F766:Q766)-$E766),($E766)*$D766),0)*R$508</f>
        <v>0</v>
      </c>
      <c r="S766" s="319">
        <f>IF(S$510&gt;=$C766,MIN(-(SUM($F766:R766)-$E766),($E766)*$D766),0)*S$508</f>
        <v>0</v>
      </c>
      <c r="T766" s="319">
        <f>IF(T$510&gt;=$C766,MIN(-(SUM($F766:S766)-$E766),($E766)*$D766),0)*T$508</f>
        <v>0</v>
      </c>
      <c r="U766" s="319">
        <f>IF(U$510&gt;=$C766,MIN(-(SUM($F766:T766)-$E766),($E766)*$D766),0)*U$508</f>
        <v>0</v>
      </c>
      <c r="V766" s="319">
        <f>IF(V$510&gt;=$C766,MIN(-(SUM($F766:U766)-$E766),($E766)*$D766),0)*V$508</f>
        <v>0</v>
      </c>
      <c r="W766" s="319">
        <f>IF(W$510&gt;=$C766,MIN(-(SUM($F766:V766)-$E766),($E766)*$D766),0)*W$508</f>
        <v>0</v>
      </c>
      <c r="X766" s="319">
        <f>IF(X$510&gt;=$C766,MIN(-(SUM($F766:W766)-$E766),($E766)*$D766),0)*X$508</f>
        <v>0</v>
      </c>
      <c r="Y766" s="319">
        <f>IF(Y$510&gt;=$C766,MIN(-(SUM($F766:X766)-$E766),($E766)*$D766),0)*Y$508</f>
        <v>0</v>
      </c>
      <c r="Z766" s="319">
        <f>IF(Z$510&gt;=$C766,MIN(-(SUM($F766:Y766)-$E766),($E766)*$D766),0)*Z$508</f>
        <v>0</v>
      </c>
      <c r="AA766" s="319">
        <f>IF(AA$510&gt;=$C766,MIN(-(SUM($F766:Z766)-$E766),($E766)*$D766),0)*AA$508</f>
        <v>0</v>
      </c>
      <c r="AB766" s="319">
        <f>IF(AB$510&gt;=$C766,MIN(-(SUM($F766:AA766)-$E766),($E766)*$D766),0)*AB$508</f>
        <v>0</v>
      </c>
      <c r="AC766" s="319">
        <f>IF(AC$510&gt;=$C766,MIN(-(SUM($F766:AB766)-$E766),($E766)*$D766),0)*AC$508</f>
        <v>0</v>
      </c>
      <c r="AD766" s="319">
        <f>IF(AD$510&gt;=$C766,MIN(-(SUM($F766:AC766)-$E766),($E766)*$D766),0)*AD$508</f>
        <v>0</v>
      </c>
      <c r="AE766" s="319">
        <f>IF(AE$510&gt;=$C766,MIN(-(SUM($F766:AD766)-$E766),($E766)*$D766),0)*AE$508</f>
        <v>0</v>
      </c>
      <c r="AF766" s="319">
        <f>IF(AF$510&gt;=$C766,MIN(-(SUM($F766:AE766)-$E766),($E766)*$D766),0)*AF$508</f>
        <v>0</v>
      </c>
      <c r="AG766" s="319">
        <f>IF(AG$510&gt;=$C766,MIN(-(SUM($F766:AF766)-$E766),($E766)*$D766),0)*AG$508</f>
        <v>2.17496</v>
      </c>
      <c r="AH766" s="319">
        <f>IF(AH$510&gt;=$C766,MIN(-(SUM($F766:AG766)-$E766),($E766)*$D766),0)*AH$508</f>
        <v>2.17496</v>
      </c>
      <c r="AI766" s="319">
        <f>IF(AI$510&gt;=$C766,MIN(-(SUM($F766:AH766)-$E766),($E766)*$D766),0)*AI$508</f>
        <v>2.17496</v>
      </c>
      <c r="AJ766" s="319">
        <f>IF(AJ$510&gt;=$C766,MIN(-(SUM($F766:AI766)-$E766),($E766)*$D766),0)*AJ$508</f>
        <v>2.17496</v>
      </c>
      <c r="AK766" s="319">
        <f>IF(AK$510&gt;=$C766,MIN(-(SUM($F766:AJ766)-$E766),($E766)*$D766),0)*AK$508</f>
        <v>0</v>
      </c>
      <c r="AL766" s="319">
        <f>IF(AL$510&gt;=$C766,MIN(-(SUM($F766:AK766)-$E766),($E766)*$D766),0)*AL$508</f>
        <v>0</v>
      </c>
      <c r="AM766" s="319">
        <f>IF(AM$510&gt;=$C766,MIN(-(SUM($F766:AL766)-$E766),($E766)*$D766),0)*AM$508</f>
        <v>0</v>
      </c>
      <c r="AN766" s="319">
        <f>IF(AN$510&gt;=$C766,MIN(-(SUM($F766:AM766)-$E766),($E766)*$D766),0)*AN$508</f>
        <v>0</v>
      </c>
    </row>
    <row r="767" spans="3:40" outlineLevel="4">
      <c r="C767">
        <v>28</v>
      </c>
      <c r="D767">
        <f>Inputs!$D$260</f>
        <v>0.2</v>
      </c>
      <c r="E767" s="319">
        <v>0</v>
      </c>
      <c r="F767" s="461"/>
      <c r="G767" s="319">
        <f>IF(G$510&gt;=$C767,MIN(-(SUM(F767:$F767)-$E767),($E767)*$D767),0)*G$508</f>
        <v>0</v>
      </c>
      <c r="H767" s="319">
        <f>IF(H$510&gt;=$C767,MIN(-(SUM($F767:G767)-$E767),($E767)*$D767),0)*H$508</f>
        <v>0</v>
      </c>
      <c r="I767" s="319">
        <f>IF(I$510&gt;=$C767,MIN(-(SUM($F767:H767)-$E767),($E767)*$D767),0)*I$508</f>
        <v>0</v>
      </c>
      <c r="J767" s="319">
        <f>IF(J$510&gt;=$C767,MIN(-(SUM($F767:I767)-$E767),($E767)*$D767),0)*J$508</f>
        <v>0</v>
      </c>
      <c r="K767" s="319">
        <f>IF(K$510&gt;=$C767,MIN(-(SUM($F767:J767)-$E767),($E767)*$D767),0)*K$508</f>
        <v>0</v>
      </c>
      <c r="L767" s="319">
        <f>IF(L$510&gt;=$C767,MIN(-(SUM($F767:K767)-$E767),($E767)*$D767),0)*L$508</f>
        <v>0</v>
      </c>
      <c r="M767" s="319">
        <f>IF(M$510&gt;=$C767,MIN(-(SUM($F767:L767)-$E767),($E767)*$D767),0)*M$508</f>
        <v>0</v>
      </c>
      <c r="N767" s="319">
        <f>IF(N$510&gt;=$C767,MIN(-(SUM($F767:M767)-$E767),($E767)*$D767),0)*N$508</f>
        <v>0</v>
      </c>
      <c r="O767" s="319">
        <f>IF(O$510&gt;=$C767,MIN(-(SUM($F767:N767)-$E767),($E767)*$D767),0)*O$508</f>
        <v>0</v>
      </c>
      <c r="P767" s="319">
        <f>IF(P$510&gt;=$C767,MIN(-(SUM($F767:O767)-$E767),($E767)*$D767),0)*P$508</f>
        <v>0</v>
      </c>
      <c r="Q767" s="319">
        <f>IF(Q$510&gt;=$C767,MIN(-(SUM($F767:P767)-$E767),($E767)*$D767),0)*Q$508</f>
        <v>0</v>
      </c>
      <c r="R767" s="319">
        <f>IF(R$510&gt;=$C767,MIN(-(SUM($F767:Q767)-$E767),($E767)*$D767),0)*R$508</f>
        <v>0</v>
      </c>
      <c r="S767" s="319">
        <f>IF(S$510&gt;=$C767,MIN(-(SUM($F767:R767)-$E767),($E767)*$D767),0)*S$508</f>
        <v>0</v>
      </c>
      <c r="T767" s="319">
        <f>IF(T$510&gt;=$C767,MIN(-(SUM($F767:S767)-$E767),($E767)*$D767),0)*T$508</f>
        <v>0</v>
      </c>
      <c r="U767" s="319">
        <f>IF(U$510&gt;=$C767,MIN(-(SUM($F767:T767)-$E767),($E767)*$D767),0)*U$508</f>
        <v>0</v>
      </c>
      <c r="V767" s="319">
        <f>IF(V$510&gt;=$C767,MIN(-(SUM($F767:U767)-$E767),($E767)*$D767),0)*V$508</f>
        <v>0</v>
      </c>
      <c r="W767" s="319">
        <f>IF(W$510&gt;=$C767,MIN(-(SUM($F767:V767)-$E767),($E767)*$D767),0)*W$508</f>
        <v>0</v>
      </c>
      <c r="X767" s="319">
        <f>IF(X$510&gt;=$C767,MIN(-(SUM($F767:W767)-$E767),($E767)*$D767),0)*X$508</f>
        <v>0</v>
      </c>
      <c r="Y767" s="319">
        <f>IF(Y$510&gt;=$C767,MIN(-(SUM($F767:X767)-$E767),($E767)*$D767),0)*Y$508</f>
        <v>0</v>
      </c>
      <c r="Z767" s="319">
        <f>IF(Z$510&gt;=$C767,MIN(-(SUM($F767:Y767)-$E767),($E767)*$D767),0)*Z$508</f>
        <v>0</v>
      </c>
      <c r="AA767" s="319">
        <f>IF(AA$510&gt;=$C767,MIN(-(SUM($F767:Z767)-$E767),($E767)*$D767),0)*AA$508</f>
        <v>0</v>
      </c>
      <c r="AB767" s="319">
        <f>IF(AB$510&gt;=$C767,MIN(-(SUM($F767:AA767)-$E767),($E767)*$D767),0)*AB$508</f>
        <v>0</v>
      </c>
      <c r="AC767" s="319">
        <f>IF(AC$510&gt;=$C767,MIN(-(SUM($F767:AB767)-$E767),($E767)*$D767),0)*AC$508</f>
        <v>0</v>
      </c>
      <c r="AD767" s="319">
        <f>IF(AD$510&gt;=$C767,MIN(-(SUM($F767:AC767)-$E767),($E767)*$D767),0)*AD$508</f>
        <v>0</v>
      </c>
      <c r="AE767" s="319">
        <f>IF(AE$510&gt;=$C767,MIN(-(SUM($F767:AD767)-$E767),($E767)*$D767),0)*AE$508</f>
        <v>0</v>
      </c>
      <c r="AF767" s="319">
        <f>IF(AF$510&gt;=$C767,MIN(-(SUM($F767:AE767)-$E767),($E767)*$D767),0)*AF$508</f>
        <v>0</v>
      </c>
      <c r="AG767" s="319">
        <f>IF(AG$510&gt;=$C767,MIN(-(SUM($F767:AF767)-$E767),($E767)*$D767),0)*AG$508</f>
        <v>0</v>
      </c>
      <c r="AH767" s="319">
        <f>IF(AH$510&gt;=$C767,MIN(-(SUM($F767:AG767)-$E767),($E767)*$D767),0)*AH$508</f>
        <v>0</v>
      </c>
      <c r="AI767" s="319">
        <f>IF(AI$510&gt;=$C767,MIN(-(SUM($F767:AH767)-$E767),($E767)*$D767),0)*AI$508</f>
        <v>0</v>
      </c>
      <c r="AJ767" s="319">
        <f>IF(AJ$510&gt;=$C767,MIN(-(SUM($F767:AI767)-$E767),($E767)*$D767),0)*AJ$508</f>
        <v>0</v>
      </c>
      <c r="AK767" s="319">
        <f>IF(AK$510&gt;=$C767,MIN(-(SUM($F767:AJ767)-$E767),($E767)*$D767),0)*AK$508</f>
        <v>0</v>
      </c>
      <c r="AL767" s="319">
        <f>IF(AL$510&gt;=$C767,MIN(-(SUM($F767:AK767)-$E767),($E767)*$D767),0)*AL$508</f>
        <v>0</v>
      </c>
      <c r="AM767" s="319">
        <f>IF(AM$510&gt;=$C767,MIN(-(SUM($F767:AL767)-$E767),($E767)*$D767),0)*AM$508</f>
        <v>0</v>
      </c>
      <c r="AN767" s="319">
        <f>IF(AN$510&gt;=$C767,MIN(-(SUM($F767:AM767)-$E767),($E767)*$D767),0)*AN$508</f>
        <v>0</v>
      </c>
    </row>
    <row r="768" spans="3:40" outlineLevel="4">
      <c r="C768">
        <v>29</v>
      </c>
      <c r="D768">
        <f>Inputs!$D$260</f>
        <v>0.2</v>
      </c>
      <c r="E768" s="319">
        <v>0</v>
      </c>
      <c r="F768" s="461"/>
      <c r="G768" s="319">
        <f>IF(G$510&gt;=$C768,MIN(-(SUM(F768:$F768)-$E768),($E768)*$D768),0)*G$508</f>
        <v>0</v>
      </c>
      <c r="H768" s="319">
        <f>IF(H$510&gt;=$C768,MIN(-(SUM($F768:G768)-$E768),($E768)*$D768),0)*H$508</f>
        <v>0</v>
      </c>
      <c r="I768" s="319">
        <f>IF(I$510&gt;=$C768,MIN(-(SUM($F768:H768)-$E768),($E768)*$D768),0)*I$508</f>
        <v>0</v>
      </c>
      <c r="J768" s="319">
        <f>IF(J$510&gt;=$C768,MIN(-(SUM($F768:I768)-$E768),($E768)*$D768),0)*J$508</f>
        <v>0</v>
      </c>
      <c r="K768" s="319">
        <f>IF(K$510&gt;=$C768,MIN(-(SUM($F768:J768)-$E768),($E768)*$D768),0)*K$508</f>
        <v>0</v>
      </c>
      <c r="L768" s="319">
        <f>IF(L$510&gt;=$C768,MIN(-(SUM($F768:K768)-$E768),($E768)*$D768),0)*L$508</f>
        <v>0</v>
      </c>
      <c r="M768" s="319">
        <f>IF(M$510&gt;=$C768,MIN(-(SUM($F768:L768)-$E768),($E768)*$D768),0)*M$508</f>
        <v>0</v>
      </c>
      <c r="N768" s="319">
        <f>IF(N$510&gt;=$C768,MIN(-(SUM($F768:M768)-$E768),($E768)*$D768),0)*N$508</f>
        <v>0</v>
      </c>
      <c r="O768" s="319">
        <f>IF(O$510&gt;=$C768,MIN(-(SUM($F768:N768)-$E768),($E768)*$D768),0)*O$508</f>
        <v>0</v>
      </c>
      <c r="P768" s="319">
        <f>IF(P$510&gt;=$C768,MIN(-(SUM($F768:O768)-$E768),($E768)*$D768),0)*P$508</f>
        <v>0</v>
      </c>
      <c r="Q768" s="319">
        <f>IF(Q$510&gt;=$C768,MIN(-(SUM($F768:P768)-$E768),($E768)*$D768),0)*Q$508</f>
        <v>0</v>
      </c>
      <c r="R768" s="319">
        <f>IF(R$510&gt;=$C768,MIN(-(SUM($F768:Q768)-$E768),($E768)*$D768),0)*R$508</f>
        <v>0</v>
      </c>
      <c r="S768" s="319">
        <f>IF(S$510&gt;=$C768,MIN(-(SUM($F768:R768)-$E768),($E768)*$D768),0)*S$508</f>
        <v>0</v>
      </c>
      <c r="T768" s="319">
        <f>IF(T$510&gt;=$C768,MIN(-(SUM($F768:S768)-$E768),($E768)*$D768),0)*T$508</f>
        <v>0</v>
      </c>
      <c r="U768" s="319">
        <f>IF(U$510&gt;=$C768,MIN(-(SUM($F768:T768)-$E768),($E768)*$D768),0)*U$508</f>
        <v>0</v>
      </c>
      <c r="V768" s="319">
        <f>IF(V$510&gt;=$C768,MIN(-(SUM($F768:U768)-$E768),($E768)*$D768),0)*V$508</f>
        <v>0</v>
      </c>
      <c r="W768" s="319">
        <f>IF(W$510&gt;=$C768,MIN(-(SUM($F768:V768)-$E768),($E768)*$D768),0)*W$508</f>
        <v>0</v>
      </c>
      <c r="X768" s="319">
        <f>IF(X$510&gt;=$C768,MIN(-(SUM($F768:W768)-$E768),($E768)*$D768),0)*X$508</f>
        <v>0</v>
      </c>
      <c r="Y768" s="319">
        <f>IF(Y$510&gt;=$C768,MIN(-(SUM($F768:X768)-$E768),($E768)*$D768),0)*Y$508</f>
        <v>0</v>
      </c>
      <c r="Z768" s="319">
        <f>IF(Z$510&gt;=$C768,MIN(-(SUM($F768:Y768)-$E768),($E768)*$D768),0)*Z$508</f>
        <v>0</v>
      </c>
      <c r="AA768" s="319">
        <f>IF(AA$510&gt;=$C768,MIN(-(SUM($F768:Z768)-$E768),($E768)*$D768),0)*AA$508</f>
        <v>0</v>
      </c>
      <c r="AB768" s="319">
        <f>IF(AB$510&gt;=$C768,MIN(-(SUM($F768:AA768)-$E768),($E768)*$D768),0)*AB$508</f>
        <v>0</v>
      </c>
      <c r="AC768" s="319">
        <f>IF(AC$510&gt;=$C768,MIN(-(SUM($F768:AB768)-$E768),($E768)*$D768),0)*AC$508</f>
        <v>0</v>
      </c>
      <c r="AD768" s="319">
        <f>IF(AD$510&gt;=$C768,MIN(-(SUM($F768:AC768)-$E768),($E768)*$D768),0)*AD$508</f>
        <v>0</v>
      </c>
      <c r="AE768" s="319">
        <f>IF(AE$510&gt;=$C768,MIN(-(SUM($F768:AD768)-$E768),($E768)*$D768),0)*AE$508</f>
        <v>0</v>
      </c>
      <c r="AF768" s="319">
        <f>IF(AF$510&gt;=$C768,MIN(-(SUM($F768:AE768)-$E768),($E768)*$D768),0)*AF$508</f>
        <v>0</v>
      </c>
      <c r="AG768" s="319">
        <f>IF(AG$510&gt;=$C768,MIN(-(SUM($F768:AF768)-$E768),($E768)*$D768),0)*AG$508</f>
        <v>0</v>
      </c>
      <c r="AH768" s="319">
        <f>IF(AH$510&gt;=$C768,MIN(-(SUM($F768:AG768)-$E768),($E768)*$D768),0)*AH$508</f>
        <v>0</v>
      </c>
      <c r="AI768" s="319">
        <f>IF(AI$510&gt;=$C768,MIN(-(SUM($F768:AH768)-$E768),($E768)*$D768),0)*AI$508</f>
        <v>0</v>
      </c>
      <c r="AJ768" s="319">
        <f>IF(AJ$510&gt;=$C768,MIN(-(SUM($F768:AI768)-$E768),($E768)*$D768),0)*AJ$508</f>
        <v>0</v>
      </c>
      <c r="AK768" s="319">
        <f>IF(AK$510&gt;=$C768,MIN(-(SUM($F768:AJ768)-$E768),($E768)*$D768),0)*AK$508</f>
        <v>0</v>
      </c>
      <c r="AL768" s="319">
        <f>IF(AL$510&gt;=$C768,MIN(-(SUM($F768:AK768)-$E768),($E768)*$D768),0)*AL$508</f>
        <v>0</v>
      </c>
      <c r="AM768" s="319">
        <f>IF(AM$510&gt;=$C768,MIN(-(SUM($F768:AL768)-$E768),($E768)*$D768),0)*AM$508</f>
        <v>0</v>
      </c>
      <c r="AN768" s="319">
        <f>IF(AN$510&gt;=$C768,MIN(-(SUM($F768:AM768)-$E768),($E768)*$D768),0)*AN$508</f>
        <v>0</v>
      </c>
    </row>
    <row r="769" spans="3:160" outlineLevel="4">
      <c r="C769">
        <v>30</v>
      </c>
      <c r="D769">
        <f>Inputs!$D$260</f>
        <v>0.2</v>
      </c>
      <c r="E769" s="319">
        <v>0</v>
      </c>
      <c r="F769" s="461"/>
      <c r="G769" s="319">
        <f>IF(G$510&gt;=$C769,MIN(-(SUM(F769:$F769)-$E769),($E769)*$D769),0)*G$508</f>
        <v>0</v>
      </c>
      <c r="H769" s="319">
        <f>IF(H$510&gt;=$C769,MIN(-(SUM($F769:G769)-$E769),($E769)*$D769),0)*H$508</f>
        <v>0</v>
      </c>
      <c r="I769" s="319">
        <f>IF(I$510&gt;=$C769,MIN(-(SUM($F769:H769)-$E769),($E769)*$D769),0)*I$508</f>
        <v>0</v>
      </c>
      <c r="J769" s="319">
        <f>IF(J$510&gt;=$C769,MIN(-(SUM($F769:I769)-$E769),($E769)*$D769),0)*J$508</f>
        <v>0</v>
      </c>
      <c r="K769" s="319">
        <f>IF(K$510&gt;=$C769,MIN(-(SUM($F769:J769)-$E769),($E769)*$D769),0)*K$508</f>
        <v>0</v>
      </c>
      <c r="L769" s="319">
        <f>IF(L$510&gt;=$C769,MIN(-(SUM($F769:K769)-$E769),($E769)*$D769),0)*L$508</f>
        <v>0</v>
      </c>
      <c r="M769" s="319">
        <f>IF(M$510&gt;=$C769,MIN(-(SUM($F769:L769)-$E769),($E769)*$D769),0)*M$508</f>
        <v>0</v>
      </c>
      <c r="N769" s="319">
        <f>IF(N$510&gt;=$C769,MIN(-(SUM($F769:M769)-$E769),($E769)*$D769),0)*N$508</f>
        <v>0</v>
      </c>
      <c r="O769" s="319">
        <f>IF(O$510&gt;=$C769,MIN(-(SUM($F769:N769)-$E769),($E769)*$D769),0)*O$508</f>
        <v>0</v>
      </c>
      <c r="P769" s="319">
        <f>IF(P$510&gt;=$C769,MIN(-(SUM($F769:O769)-$E769),($E769)*$D769),0)*P$508</f>
        <v>0</v>
      </c>
      <c r="Q769" s="319">
        <f>IF(Q$510&gt;=$C769,MIN(-(SUM($F769:P769)-$E769),($E769)*$D769),0)*Q$508</f>
        <v>0</v>
      </c>
      <c r="R769" s="319">
        <f>IF(R$510&gt;=$C769,MIN(-(SUM($F769:Q769)-$E769),($E769)*$D769),0)*R$508</f>
        <v>0</v>
      </c>
      <c r="S769" s="319">
        <f>IF(S$510&gt;=$C769,MIN(-(SUM($F769:R769)-$E769),($E769)*$D769),0)*S$508</f>
        <v>0</v>
      </c>
      <c r="T769" s="319">
        <f>IF(T$510&gt;=$C769,MIN(-(SUM($F769:S769)-$E769),($E769)*$D769),0)*T$508</f>
        <v>0</v>
      </c>
      <c r="U769" s="319">
        <f>IF(U$510&gt;=$C769,MIN(-(SUM($F769:T769)-$E769),($E769)*$D769),0)*U$508</f>
        <v>0</v>
      </c>
      <c r="V769" s="319">
        <f>IF(V$510&gt;=$C769,MIN(-(SUM($F769:U769)-$E769),($E769)*$D769),0)*V$508</f>
        <v>0</v>
      </c>
      <c r="W769" s="319">
        <f>IF(W$510&gt;=$C769,MIN(-(SUM($F769:V769)-$E769),($E769)*$D769),0)*W$508</f>
        <v>0</v>
      </c>
      <c r="X769" s="319">
        <f>IF(X$510&gt;=$C769,MIN(-(SUM($F769:W769)-$E769),($E769)*$D769),0)*X$508</f>
        <v>0</v>
      </c>
      <c r="Y769" s="319">
        <f>IF(Y$510&gt;=$C769,MIN(-(SUM($F769:X769)-$E769),($E769)*$D769),0)*Y$508</f>
        <v>0</v>
      </c>
      <c r="Z769" s="319">
        <f>IF(Z$510&gt;=$C769,MIN(-(SUM($F769:Y769)-$E769),($E769)*$D769),0)*Z$508</f>
        <v>0</v>
      </c>
      <c r="AA769" s="319">
        <f>IF(AA$510&gt;=$C769,MIN(-(SUM($F769:Z769)-$E769),($E769)*$D769),0)*AA$508</f>
        <v>0</v>
      </c>
      <c r="AB769" s="319">
        <f>IF(AB$510&gt;=$C769,MIN(-(SUM($F769:AA769)-$E769),($E769)*$D769),0)*AB$508</f>
        <v>0</v>
      </c>
      <c r="AC769" s="319">
        <f>IF(AC$510&gt;=$C769,MIN(-(SUM($F769:AB769)-$E769),($E769)*$D769),0)*AC$508</f>
        <v>0</v>
      </c>
      <c r="AD769" s="319">
        <f>IF(AD$510&gt;=$C769,MIN(-(SUM($F769:AC769)-$E769),($E769)*$D769),0)*AD$508</f>
        <v>0</v>
      </c>
      <c r="AE769" s="319">
        <f>IF(AE$510&gt;=$C769,MIN(-(SUM($F769:AD769)-$E769),($E769)*$D769),0)*AE$508</f>
        <v>0</v>
      </c>
      <c r="AF769" s="319">
        <f>IF(AF$510&gt;=$C769,MIN(-(SUM($F769:AE769)-$E769),($E769)*$D769),0)*AF$508</f>
        <v>0</v>
      </c>
      <c r="AG769" s="319">
        <f>IF(AG$510&gt;=$C769,MIN(-(SUM($F769:AF769)-$E769),($E769)*$D769),0)*AG$508</f>
        <v>0</v>
      </c>
      <c r="AH769" s="319">
        <f>IF(AH$510&gt;=$C769,MIN(-(SUM($F769:AG769)-$E769),($E769)*$D769),0)*AH$508</f>
        <v>0</v>
      </c>
      <c r="AI769" s="319">
        <f>IF(AI$510&gt;=$C769,MIN(-(SUM($F769:AH769)-$E769),($E769)*$D769),0)*AI$508</f>
        <v>0</v>
      </c>
      <c r="AJ769" s="319">
        <f>IF(AJ$510&gt;=$C769,MIN(-(SUM($F769:AI769)-$E769),($E769)*$D769),0)*AJ$508</f>
        <v>0</v>
      </c>
      <c r="AK769" s="319">
        <f>IF(AK$510&gt;=$C769,MIN(-(SUM($F769:AJ769)-$E769),($E769)*$D769),0)*AK$508</f>
        <v>0</v>
      </c>
      <c r="AL769" s="319">
        <f>IF(AL$510&gt;=$C769,MIN(-(SUM($F769:AK769)-$E769),($E769)*$D769),0)*AL$508</f>
        <v>0</v>
      </c>
      <c r="AM769" s="319">
        <f>IF(AM$510&gt;=$C769,MIN(-(SUM($F769:AL769)-$E769),($E769)*$D769),0)*AM$508</f>
        <v>0</v>
      </c>
      <c r="AN769" s="319">
        <f>IF(AN$510&gt;=$C769,MIN(-(SUM($F769:AM769)-$E769),($E769)*$D769),0)*AN$508</f>
        <v>0</v>
      </c>
    </row>
    <row r="770" spans="3:160" outlineLevel="4">
      <c r="C770">
        <v>31</v>
      </c>
      <c r="D770">
        <f>Inputs!$D$260</f>
        <v>0.2</v>
      </c>
      <c r="E770" s="319">
        <v>0</v>
      </c>
      <c r="F770" s="461"/>
      <c r="G770" s="319">
        <f>IF(G$510&gt;=$C770,MIN(-(SUM(F770:$F770)-$E770),($E770)*$D770),0)*G$508</f>
        <v>0</v>
      </c>
      <c r="H770" s="319">
        <f>IF(H$510&gt;=$C770,MIN(-(SUM($F770:G770)-$E770),($E770)*$D770),0)*H$508</f>
        <v>0</v>
      </c>
      <c r="I770" s="319">
        <f>IF(I$510&gt;=$C770,MIN(-(SUM($F770:H770)-$E770),($E770)*$D770),0)*I$508</f>
        <v>0</v>
      </c>
      <c r="J770" s="319">
        <f>IF(J$510&gt;=$C770,MIN(-(SUM($F770:I770)-$E770),($E770)*$D770),0)*J$508</f>
        <v>0</v>
      </c>
      <c r="K770" s="319">
        <f>IF(K$510&gt;=$C770,MIN(-(SUM($F770:J770)-$E770),($E770)*$D770),0)*K$508</f>
        <v>0</v>
      </c>
      <c r="L770" s="319">
        <f>IF(L$510&gt;=$C770,MIN(-(SUM($F770:K770)-$E770),($E770)*$D770),0)*L$508</f>
        <v>0</v>
      </c>
      <c r="M770" s="319">
        <f>IF(M$510&gt;=$C770,MIN(-(SUM($F770:L770)-$E770),($E770)*$D770),0)*M$508</f>
        <v>0</v>
      </c>
      <c r="N770" s="319">
        <f>IF(N$510&gt;=$C770,MIN(-(SUM($F770:M770)-$E770),($E770)*$D770),0)*N$508</f>
        <v>0</v>
      </c>
      <c r="O770" s="319">
        <f>IF(O$510&gt;=$C770,MIN(-(SUM($F770:N770)-$E770),($E770)*$D770),0)*O$508</f>
        <v>0</v>
      </c>
      <c r="P770" s="319">
        <f>IF(P$510&gt;=$C770,MIN(-(SUM($F770:O770)-$E770),($E770)*$D770),0)*P$508</f>
        <v>0</v>
      </c>
      <c r="Q770" s="319">
        <f>IF(Q$510&gt;=$C770,MIN(-(SUM($F770:P770)-$E770),($E770)*$D770),0)*Q$508</f>
        <v>0</v>
      </c>
      <c r="R770" s="319">
        <f>IF(R$510&gt;=$C770,MIN(-(SUM($F770:Q770)-$E770),($E770)*$D770),0)*R$508</f>
        <v>0</v>
      </c>
      <c r="S770" s="319">
        <f>IF(S$510&gt;=$C770,MIN(-(SUM($F770:R770)-$E770),($E770)*$D770),0)*S$508</f>
        <v>0</v>
      </c>
      <c r="T770" s="319">
        <f>IF(T$510&gt;=$C770,MIN(-(SUM($F770:S770)-$E770),($E770)*$D770),0)*T$508</f>
        <v>0</v>
      </c>
      <c r="U770" s="319">
        <f>IF(U$510&gt;=$C770,MIN(-(SUM($F770:T770)-$E770),($E770)*$D770),0)*U$508</f>
        <v>0</v>
      </c>
      <c r="V770" s="319">
        <f>IF(V$510&gt;=$C770,MIN(-(SUM($F770:U770)-$E770),($E770)*$D770),0)*V$508</f>
        <v>0</v>
      </c>
      <c r="W770" s="319">
        <f>IF(W$510&gt;=$C770,MIN(-(SUM($F770:V770)-$E770),($E770)*$D770),0)*W$508</f>
        <v>0</v>
      </c>
      <c r="X770" s="319">
        <f>IF(X$510&gt;=$C770,MIN(-(SUM($F770:W770)-$E770),($E770)*$D770),0)*X$508</f>
        <v>0</v>
      </c>
      <c r="Y770" s="319">
        <f>IF(Y$510&gt;=$C770,MIN(-(SUM($F770:X770)-$E770),($E770)*$D770),0)*Y$508</f>
        <v>0</v>
      </c>
      <c r="Z770" s="319">
        <f>IF(Z$510&gt;=$C770,MIN(-(SUM($F770:Y770)-$E770),($E770)*$D770),0)*Z$508</f>
        <v>0</v>
      </c>
      <c r="AA770" s="319">
        <f>IF(AA$510&gt;=$C770,MIN(-(SUM($F770:Z770)-$E770),($E770)*$D770),0)*AA$508</f>
        <v>0</v>
      </c>
      <c r="AB770" s="319">
        <f>IF(AB$510&gt;=$C770,MIN(-(SUM($F770:AA770)-$E770),($E770)*$D770),0)*AB$508</f>
        <v>0</v>
      </c>
      <c r="AC770" s="319">
        <f>IF(AC$510&gt;=$C770,MIN(-(SUM($F770:AB770)-$E770),($E770)*$D770),0)*AC$508</f>
        <v>0</v>
      </c>
      <c r="AD770" s="319">
        <f>IF(AD$510&gt;=$C770,MIN(-(SUM($F770:AC770)-$E770),($E770)*$D770),0)*AD$508</f>
        <v>0</v>
      </c>
      <c r="AE770" s="319">
        <f>IF(AE$510&gt;=$C770,MIN(-(SUM($F770:AD770)-$E770),($E770)*$D770),0)*AE$508</f>
        <v>0</v>
      </c>
      <c r="AF770" s="319">
        <f>IF(AF$510&gt;=$C770,MIN(-(SUM($F770:AE770)-$E770),($E770)*$D770),0)*AF$508</f>
        <v>0</v>
      </c>
      <c r="AG770" s="319">
        <f>IF(AG$510&gt;=$C770,MIN(-(SUM($F770:AF770)-$E770),($E770)*$D770),0)*AG$508</f>
        <v>0</v>
      </c>
      <c r="AH770" s="319">
        <f>IF(AH$510&gt;=$C770,MIN(-(SUM($F770:AG770)-$E770),($E770)*$D770),0)*AH$508</f>
        <v>0</v>
      </c>
      <c r="AI770" s="319">
        <f>IF(AI$510&gt;=$C770,MIN(-(SUM($F770:AH770)-$E770),($E770)*$D770),0)*AI$508</f>
        <v>0</v>
      </c>
      <c r="AJ770" s="319">
        <f>IF(AJ$510&gt;=$C770,MIN(-(SUM($F770:AI770)-$E770),($E770)*$D770),0)*AJ$508</f>
        <v>0</v>
      </c>
      <c r="AK770" s="319">
        <f>IF(AK$510&gt;=$C770,MIN(-(SUM($F770:AJ770)-$E770),($E770)*$D770),0)*AK$508</f>
        <v>0</v>
      </c>
      <c r="AL770" s="319">
        <f>IF(AL$510&gt;=$C770,MIN(-(SUM($F770:AK770)-$E770),($E770)*$D770),0)*AL$508</f>
        <v>0</v>
      </c>
      <c r="AM770" s="319">
        <f>IF(AM$510&gt;=$C770,MIN(-(SUM($F770:AL770)-$E770),($E770)*$D770),0)*AM$508</f>
        <v>0</v>
      </c>
      <c r="AN770" s="319">
        <f>IF(AN$510&gt;=$C770,MIN(-(SUM($F770:AM770)-$E770),($E770)*$D770),0)*AN$508</f>
        <v>0</v>
      </c>
    </row>
    <row r="771" spans="3:160" outlineLevel="4">
      <c r="C771">
        <v>32</v>
      </c>
      <c r="D771">
        <f>Inputs!$D$260</f>
        <v>0.2</v>
      </c>
      <c r="E771" s="319">
        <v>0</v>
      </c>
      <c r="F771" s="461"/>
      <c r="G771" s="319">
        <f>IF(G$510&gt;=$C771,MIN(-(SUM(F771:$F771)-$E771),($E771)*$D771),0)*G$508</f>
        <v>0</v>
      </c>
      <c r="H771" s="319">
        <f>IF(H$510&gt;=$C771,MIN(-(SUM($F771:G771)-$E771),($E771)*$D771),0)*H$508</f>
        <v>0</v>
      </c>
      <c r="I771" s="319">
        <f>IF(I$510&gt;=$C771,MIN(-(SUM($F771:H771)-$E771),($E771)*$D771),0)*I$508</f>
        <v>0</v>
      </c>
      <c r="J771" s="319">
        <f>IF(J$510&gt;=$C771,MIN(-(SUM($F771:I771)-$E771),($E771)*$D771),0)*J$508</f>
        <v>0</v>
      </c>
      <c r="K771" s="319">
        <f>IF(K$510&gt;=$C771,MIN(-(SUM($F771:J771)-$E771),($E771)*$D771),0)*K$508</f>
        <v>0</v>
      </c>
      <c r="L771" s="319">
        <f>IF(L$510&gt;=$C771,MIN(-(SUM($F771:K771)-$E771),($E771)*$D771),0)*L$508</f>
        <v>0</v>
      </c>
      <c r="M771" s="319">
        <f>IF(M$510&gt;=$C771,MIN(-(SUM($F771:L771)-$E771),($E771)*$D771),0)*M$508</f>
        <v>0</v>
      </c>
      <c r="N771" s="319">
        <f>IF(N$510&gt;=$C771,MIN(-(SUM($F771:M771)-$E771),($E771)*$D771),0)*N$508</f>
        <v>0</v>
      </c>
      <c r="O771" s="319">
        <f>IF(O$510&gt;=$C771,MIN(-(SUM($F771:N771)-$E771),($E771)*$D771),0)*O$508</f>
        <v>0</v>
      </c>
      <c r="P771" s="319">
        <f>IF(P$510&gt;=$C771,MIN(-(SUM($F771:O771)-$E771),($E771)*$D771),0)*P$508</f>
        <v>0</v>
      </c>
      <c r="Q771" s="319">
        <f>IF(Q$510&gt;=$C771,MIN(-(SUM($F771:P771)-$E771),($E771)*$D771),0)*Q$508</f>
        <v>0</v>
      </c>
      <c r="R771" s="319">
        <f>IF(R$510&gt;=$C771,MIN(-(SUM($F771:Q771)-$E771),($E771)*$D771),0)*R$508</f>
        <v>0</v>
      </c>
      <c r="S771" s="319">
        <f>IF(S$510&gt;=$C771,MIN(-(SUM($F771:R771)-$E771),($E771)*$D771),0)*S$508</f>
        <v>0</v>
      </c>
      <c r="T771" s="319">
        <f>IF(T$510&gt;=$C771,MIN(-(SUM($F771:S771)-$E771),($E771)*$D771),0)*T$508</f>
        <v>0</v>
      </c>
      <c r="U771" s="319">
        <f>IF(U$510&gt;=$C771,MIN(-(SUM($F771:T771)-$E771),($E771)*$D771),0)*U$508</f>
        <v>0</v>
      </c>
      <c r="V771" s="319">
        <f>IF(V$510&gt;=$C771,MIN(-(SUM($F771:U771)-$E771),($E771)*$D771),0)*V$508</f>
        <v>0</v>
      </c>
      <c r="W771" s="319">
        <f>IF(W$510&gt;=$C771,MIN(-(SUM($F771:V771)-$E771),($E771)*$D771),0)*W$508</f>
        <v>0</v>
      </c>
      <c r="X771" s="319">
        <f>IF(X$510&gt;=$C771,MIN(-(SUM($F771:W771)-$E771),($E771)*$D771),0)*X$508</f>
        <v>0</v>
      </c>
      <c r="Y771" s="319">
        <f>IF(Y$510&gt;=$C771,MIN(-(SUM($F771:X771)-$E771),($E771)*$D771),0)*Y$508</f>
        <v>0</v>
      </c>
      <c r="Z771" s="319">
        <f>IF(Z$510&gt;=$C771,MIN(-(SUM($F771:Y771)-$E771),($E771)*$D771),0)*Z$508</f>
        <v>0</v>
      </c>
      <c r="AA771" s="319">
        <f>IF(AA$510&gt;=$C771,MIN(-(SUM($F771:Z771)-$E771),($E771)*$D771),0)*AA$508</f>
        <v>0</v>
      </c>
      <c r="AB771" s="319">
        <f>IF(AB$510&gt;=$C771,MIN(-(SUM($F771:AA771)-$E771),($E771)*$D771),0)*AB$508</f>
        <v>0</v>
      </c>
      <c r="AC771" s="319">
        <f>IF(AC$510&gt;=$C771,MIN(-(SUM($F771:AB771)-$E771),($E771)*$D771),0)*AC$508</f>
        <v>0</v>
      </c>
      <c r="AD771" s="319">
        <f>IF(AD$510&gt;=$C771,MIN(-(SUM($F771:AC771)-$E771),($E771)*$D771),0)*AD$508</f>
        <v>0</v>
      </c>
      <c r="AE771" s="319">
        <f>IF(AE$510&gt;=$C771,MIN(-(SUM($F771:AD771)-$E771),($E771)*$D771),0)*AE$508</f>
        <v>0</v>
      </c>
      <c r="AF771" s="319">
        <f>IF(AF$510&gt;=$C771,MIN(-(SUM($F771:AE771)-$E771),($E771)*$D771),0)*AF$508</f>
        <v>0</v>
      </c>
      <c r="AG771" s="319">
        <f>IF(AG$510&gt;=$C771,MIN(-(SUM($F771:AF771)-$E771),($E771)*$D771),0)*AG$508</f>
        <v>0</v>
      </c>
      <c r="AH771" s="319">
        <f>IF(AH$510&gt;=$C771,MIN(-(SUM($F771:AG771)-$E771),($E771)*$D771),0)*AH$508</f>
        <v>0</v>
      </c>
      <c r="AI771" s="319">
        <f>IF(AI$510&gt;=$C771,MIN(-(SUM($F771:AH771)-$E771),($E771)*$D771),0)*AI$508</f>
        <v>0</v>
      </c>
      <c r="AJ771" s="319">
        <f>IF(AJ$510&gt;=$C771,MIN(-(SUM($F771:AI771)-$E771),($E771)*$D771),0)*AJ$508</f>
        <v>0</v>
      </c>
      <c r="AK771" s="319">
        <f>IF(AK$510&gt;=$C771,MIN(-(SUM($F771:AJ771)-$E771),($E771)*$D771),0)*AK$508</f>
        <v>0</v>
      </c>
      <c r="AL771" s="319">
        <f>IF(AL$510&gt;=$C771,MIN(-(SUM($F771:AK771)-$E771),($E771)*$D771),0)*AL$508</f>
        <v>0</v>
      </c>
      <c r="AM771" s="319">
        <f>IF(AM$510&gt;=$C771,MIN(-(SUM($F771:AL771)-$E771),($E771)*$D771),0)*AM$508</f>
        <v>0</v>
      </c>
      <c r="AN771" s="319">
        <f>IF(AN$510&gt;=$C771,MIN(-(SUM($F771:AM771)-$E771),($E771)*$D771),0)*AN$508</f>
        <v>0</v>
      </c>
    </row>
    <row r="772" spans="3:160" outlineLevel="4">
      <c r="C772">
        <v>33</v>
      </c>
      <c r="D772">
        <f>Inputs!$D$260</f>
        <v>0.2</v>
      </c>
      <c r="E772" s="319">
        <v>0</v>
      </c>
      <c r="F772" s="461"/>
      <c r="G772" s="319">
        <f>IF(G$510&gt;=$C772,MIN(-(SUM(F772:$F772)-$E772),($E772)*$D772),0)*G$508</f>
        <v>0</v>
      </c>
      <c r="H772" s="319">
        <f>IF(H$510&gt;=$C772,MIN(-(SUM($F772:G772)-$E772),($E772)*$D772),0)*H$508</f>
        <v>0</v>
      </c>
      <c r="I772" s="319">
        <f>IF(I$510&gt;=$C772,MIN(-(SUM($F772:H772)-$E772),($E772)*$D772),0)*I$508</f>
        <v>0</v>
      </c>
      <c r="J772" s="319">
        <f>IF(J$510&gt;=$C772,MIN(-(SUM($F772:I772)-$E772),($E772)*$D772),0)*J$508</f>
        <v>0</v>
      </c>
      <c r="K772" s="319">
        <f>IF(K$510&gt;=$C772,MIN(-(SUM($F772:J772)-$E772),($E772)*$D772),0)*K$508</f>
        <v>0</v>
      </c>
      <c r="L772" s="319">
        <f>IF(L$510&gt;=$C772,MIN(-(SUM($F772:K772)-$E772),($E772)*$D772),0)*L$508</f>
        <v>0</v>
      </c>
      <c r="M772" s="319">
        <f>IF(M$510&gt;=$C772,MIN(-(SUM($F772:L772)-$E772),($E772)*$D772),0)*M$508</f>
        <v>0</v>
      </c>
      <c r="N772" s="319">
        <f>IF(N$510&gt;=$C772,MIN(-(SUM($F772:M772)-$E772),($E772)*$D772),0)*N$508</f>
        <v>0</v>
      </c>
      <c r="O772" s="319">
        <f>IF(O$510&gt;=$C772,MIN(-(SUM($F772:N772)-$E772),($E772)*$D772),0)*O$508</f>
        <v>0</v>
      </c>
      <c r="P772" s="319">
        <f>IF(P$510&gt;=$C772,MIN(-(SUM($F772:O772)-$E772),($E772)*$D772),0)*P$508</f>
        <v>0</v>
      </c>
      <c r="Q772" s="319">
        <f>IF(Q$510&gt;=$C772,MIN(-(SUM($F772:P772)-$E772),($E772)*$D772),0)*Q$508</f>
        <v>0</v>
      </c>
      <c r="R772" s="319">
        <f>IF(R$510&gt;=$C772,MIN(-(SUM($F772:Q772)-$E772),($E772)*$D772),0)*R$508</f>
        <v>0</v>
      </c>
      <c r="S772" s="319">
        <f>IF(S$510&gt;=$C772,MIN(-(SUM($F772:R772)-$E772),($E772)*$D772),0)*S$508</f>
        <v>0</v>
      </c>
      <c r="T772" s="319">
        <f>IF(T$510&gt;=$C772,MIN(-(SUM($F772:S772)-$E772),($E772)*$D772),0)*T$508</f>
        <v>0</v>
      </c>
      <c r="U772" s="319">
        <f>IF(U$510&gt;=$C772,MIN(-(SUM($F772:T772)-$E772),($E772)*$D772),0)*U$508</f>
        <v>0</v>
      </c>
      <c r="V772" s="319">
        <f>IF(V$510&gt;=$C772,MIN(-(SUM($F772:U772)-$E772),($E772)*$D772),0)*V$508</f>
        <v>0</v>
      </c>
      <c r="W772" s="319">
        <f>IF(W$510&gt;=$C772,MIN(-(SUM($F772:V772)-$E772),($E772)*$D772),0)*W$508</f>
        <v>0</v>
      </c>
      <c r="X772" s="319">
        <f>IF(X$510&gt;=$C772,MIN(-(SUM($F772:W772)-$E772),($E772)*$D772),0)*X$508</f>
        <v>0</v>
      </c>
      <c r="Y772" s="319">
        <f>IF(Y$510&gt;=$C772,MIN(-(SUM($F772:X772)-$E772),($E772)*$D772),0)*Y$508</f>
        <v>0</v>
      </c>
      <c r="Z772" s="319">
        <f>IF(Z$510&gt;=$C772,MIN(-(SUM($F772:Y772)-$E772),($E772)*$D772),0)*Z$508</f>
        <v>0</v>
      </c>
      <c r="AA772" s="319">
        <f>IF(AA$510&gt;=$C772,MIN(-(SUM($F772:Z772)-$E772),($E772)*$D772),0)*AA$508</f>
        <v>0</v>
      </c>
      <c r="AB772" s="319">
        <f>IF(AB$510&gt;=$C772,MIN(-(SUM($F772:AA772)-$E772),($E772)*$D772),0)*AB$508</f>
        <v>0</v>
      </c>
      <c r="AC772" s="319">
        <f>IF(AC$510&gt;=$C772,MIN(-(SUM($F772:AB772)-$E772),($E772)*$D772),0)*AC$508</f>
        <v>0</v>
      </c>
      <c r="AD772" s="319">
        <f>IF(AD$510&gt;=$C772,MIN(-(SUM($F772:AC772)-$E772),($E772)*$D772),0)*AD$508</f>
        <v>0</v>
      </c>
      <c r="AE772" s="319">
        <f>IF(AE$510&gt;=$C772,MIN(-(SUM($F772:AD772)-$E772),($E772)*$D772),0)*AE$508</f>
        <v>0</v>
      </c>
      <c r="AF772" s="319">
        <f>IF(AF$510&gt;=$C772,MIN(-(SUM($F772:AE772)-$E772),($E772)*$D772),0)*AF$508</f>
        <v>0</v>
      </c>
      <c r="AG772" s="319">
        <f>IF(AG$510&gt;=$C772,MIN(-(SUM($F772:AF772)-$E772),($E772)*$D772),0)*AG$508</f>
        <v>0</v>
      </c>
      <c r="AH772" s="319">
        <f>IF(AH$510&gt;=$C772,MIN(-(SUM($F772:AG772)-$E772),($E772)*$D772),0)*AH$508</f>
        <v>0</v>
      </c>
      <c r="AI772" s="319">
        <f>IF(AI$510&gt;=$C772,MIN(-(SUM($F772:AH772)-$E772),($E772)*$D772),0)*AI$508</f>
        <v>0</v>
      </c>
      <c r="AJ772" s="319">
        <f>IF(AJ$510&gt;=$C772,MIN(-(SUM($F772:AI772)-$E772),($E772)*$D772),0)*AJ$508</f>
        <v>0</v>
      </c>
      <c r="AK772" s="319">
        <f>IF(AK$510&gt;=$C772,MIN(-(SUM($F772:AJ772)-$E772),($E772)*$D772),0)*AK$508</f>
        <v>0</v>
      </c>
      <c r="AL772" s="319">
        <f>IF(AL$510&gt;=$C772,MIN(-(SUM($F772:AK772)-$E772),($E772)*$D772),0)*AL$508</f>
        <v>0</v>
      </c>
      <c r="AM772" s="319">
        <f>IF(AM$510&gt;=$C772,MIN(-(SUM($F772:AL772)-$E772),($E772)*$D772),0)*AM$508</f>
        <v>0</v>
      </c>
      <c r="AN772" s="319">
        <f>IF(AN$510&gt;=$C772,MIN(-(SUM($F772:AM772)-$E772),($E772)*$D772),0)*AN$508</f>
        <v>0</v>
      </c>
    </row>
    <row r="773" spans="3:160" outlineLevel="4">
      <c r="C773">
        <v>34</v>
      </c>
      <c r="D773">
        <f>Inputs!$D$260</f>
        <v>0.2</v>
      </c>
      <c r="E773" s="319">
        <v>0</v>
      </c>
      <c r="F773" s="461"/>
      <c r="G773" s="319">
        <f>IF(G$510&gt;=$C773,MIN(-(SUM(F773:$F773)-$E773),($E773)*$D773),0)*G$508</f>
        <v>0</v>
      </c>
      <c r="H773" s="319">
        <f>IF(H$510&gt;=$C773,MIN(-(SUM($F773:G773)-$E773),($E773)*$D773),0)*H$508</f>
        <v>0</v>
      </c>
      <c r="I773" s="319">
        <f>IF(I$510&gt;=$C773,MIN(-(SUM($F773:H773)-$E773),($E773)*$D773),0)*I$508</f>
        <v>0</v>
      </c>
      <c r="J773" s="319">
        <f>IF(J$510&gt;=$C773,MIN(-(SUM($F773:I773)-$E773),($E773)*$D773),0)*J$508</f>
        <v>0</v>
      </c>
      <c r="K773" s="319">
        <f>IF(K$510&gt;=$C773,MIN(-(SUM($F773:J773)-$E773),($E773)*$D773),0)*K$508</f>
        <v>0</v>
      </c>
      <c r="L773" s="319">
        <f>IF(L$510&gt;=$C773,MIN(-(SUM($F773:K773)-$E773),($E773)*$D773),0)*L$508</f>
        <v>0</v>
      </c>
      <c r="M773" s="319">
        <f>IF(M$510&gt;=$C773,MIN(-(SUM($F773:L773)-$E773),($E773)*$D773),0)*M$508</f>
        <v>0</v>
      </c>
      <c r="N773" s="319">
        <f>IF(N$510&gt;=$C773,MIN(-(SUM($F773:M773)-$E773),($E773)*$D773),0)*N$508</f>
        <v>0</v>
      </c>
      <c r="O773" s="319">
        <f>IF(O$510&gt;=$C773,MIN(-(SUM($F773:N773)-$E773),($E773)*$D773),0)*O$508</f>
        <v>0</v>
      </c>
      <c r="P773" s="319">
        <f>IF(P$510&gt;=$C773,MIN(-(SUM($F773:O773)-$E773),($E773)*$D773),0)*P$508</f>
        <v>0</v>
      </c>
      <c r="Q773" s="319">
        <f>IF(Q$510&gt;=$C773,MIN(-(SUM($F773:P773)-$E773),($E773)*$D773),0)*Q$508</f>
        <v>0</v>
      </c>
      <c r="R773" s="319">
        <f>IF(R$510&gt;=$C773,MIN(-(SUM($F773:Q773)-$E773),($E773)*$D773),0)*R$508</f>
        <v>0</v>
      </c>
      <c r="S773" s="319">
        <f>IF(S$510&gt;=$C773,MIN(-(SUM($F773:R773)-$E773),($E773)*$D773),0)*S$508</f>
        <v>0</v>
      </c>
      <c r="T773" s="319">
        <f>IF(T$510&gt;=$C773,MIN(-(SUM($F773:S773)-$E773),($E773)*$D773),0)*T$508</f>
        <v>0</v>
      </c>
      <c r="U773" s="319">
        <f>IF(U$510&gt;=$C773,MIN(-(SUM($F773:T773)-$E773),($E773)*$D773),0)*U$508</f>
        <v>0</v>
      </c>
      <c r="V773" s="319">
        <f>IF(V$510&gt;=$C773,MIN(-(SUM($F773:U773)-$E773),($E773)*$D773),0)*V$508</f>
        <v>0</v>
      </c>
      <c r="W773" s="319">
        <f>IF(W$510&gt;=$C773,MIN(-(SUM($F773:V773)-$E773),($E773)*$D773),0)*W$508</f>
        <v>0</v>
      </c>
      <c r="X773" s="319">
        <f>IF(X$510&gt;=$C773,MIN(-(SUM($F773:W773)-$E773),($E773)*$D773),0)*X$508</f>
        <v>0</v>
      </c>
      <c r="Y773" s="319">
        <f>IF(Y$510&gt;=$C773,MIN(-(SUM($F773:X773)-$E773),($E773)*$D773),0)*Y$508</f>
        <v>0</v>
      </c>
      <c r="Z773" s="319">
        <f>IF(Z$510&gt;=$C773,MIN(-(SUM($F773:Y773)-$E773),($E773)*$D773),0)*Z$508</f>
        <v>0</v>
      </c>
      <c r="AA773" s="319">
        <f>IF(AA$510&gt;=$C773,MIN(-(SUM($F773:Z773)-$E773),($E773)*$D773),0)*AA$508</f>
        <v>0</v>
      </c>
      <c r="AB773" s="319">
        <f>IF(AB$510&gt;=$C773,MIN(-(SUM($F773:AA773)-$E773),($E773)*$D773),0)*AB$508</f>
        <v>0</v>
      </c>
      <c r="AC773" s="319">
        <f>IF(AC$510&gt;=$C773,MIN(-(SUM($F773:AB773)-$E773),($E773)*$D773),0)*AC$508</f>
        <v>0</v>
      </c>
      <c r="AD773" s="319">
        <f>IF(AD$510&gt;=$C773,MIN(-(SUM($F773:AC773)-$E773),($E773)*$D773),0)*AD$508</f>
        <v>0</v>
      </c>
      <c r="AE773" s="319">
        <f>IF(AE$510&gt;=$C773,MIN(-(SUM($F773:AD773)-$E773),($E773)*$D773),0)*AE$508</f>
        <v>0</v>
      </c>
      <c r="AF773" s="319">
        <f>IF(AF$510&gt;=$C773,MIN(-(SUM($F773:AE773)-$E773),($E773)*$D773),0)*AF$508</f>
        <v>0</v>
      </c>
      <c r="AG773" s="319">
        <f>IF(AG$510&gt;=$C773,MIN(-(SUM($F773:AF773)-$E773),($E773)*$D773),0)*AG$508</f>
        <v>0</v>
      </c>
      <c r="AH773" s="319">
        <f>IF(AH$510&gt;=$C773,MIN(-(SUM($F773:AG773)-$E773),($E773)*$D773),0)*AH$508</f>
        <v>0</v>
      </c>
      <c r="AI773" s="319">
        <f>IF(AI$510&gt;=$C773,MIN(-(SUM($F773:AH773)-$E773),($E773)*$D773),0)*AI$508</f>
        <v>0</v>
      </c>
      <c r="AJ773" s="319">
        <f>IF(AJ$510&gt;=$C773,MIN(-(SUM($F773:AI773)-$E773),($E773)*$D773),0)*AJ$508</f>
        <v>0</v>
      </c>
      <c r="AK773" s="319">
        <f>IF(AK$510&gt;=$C773,MIN(-(SUM($F773:AJ773)-$E773),($E773)*$D773),0)*AK$508</f>
        <v>0</v>
      </c>
      <c r="AL773" s="319">
        <f>IF(AL$510&gt;=$C773,MIN(-(SUM($F773:AK773)-$E773),($E773)*$D773),0)*AL$508</f>
        <v>0</v>
      </c>
      <c r="AM773" s="319">
        <f>IF(AM$510&gt;=$C773,MIN(-(SUM($F773:AL773)-$E773),($E773)*$D773),0)*AM$508</f>
        <v>0</v>
      </c>
      <c r="AN773" s="319">
        <f>IF(AN$510&gt;=$C773,MIN(-(SUM($F773:AM773)-$E773),($E773)*$D773),0)*AN$508</f>
        <v>0</v>
      </c>
    </row>
    <row r="774" spans="3:160" ht="16.2" outlineLevel="4" thickBot="1">
      <c r="C774" s="323" t="s">
        <v>473</v>
      </c>
      <c r="D774"/>
      <c r="E774" s="233"/>
      <c r="F774" s="324" t="s">
        <v>13</v>
      </c>
      <c r="G774" s="319">
        <f t="shared" ref="G774" si="650">SUM(G740:G773)</f>
        <v>170.33998</v>
      </c>
      <c r="H774" s="319">
        <f t="shared" ref="H774" si="651">SUM(H740:H773)</f>
        <v>178.12186199999999</v>
      </c>
      <c r="I774" s="319">
        <f t="shared" ref="I774" si="652">SUM(I740:I773)</f>
        <v>178.12186199999999</v>
      </c>
      <c r="J774" s="319">
        <f t="shared" ref="J774" si="653">SUM(J740:J773)</f>
        <v>178.12186199999999</v>
      </c>
      <c r="K774" s="319">
        <f t="shared" ref="K774" si="654">SUM(K740:K773)</f>
        <v>178.12186199999996</v>
      </c>
      <c r="L774" s="319">
        <f t="shared" ref="L774" si="655">SUM(L740:L773)</f>
        <v>12.823861999999997</v>
      </c>
      <c r="M774" s="319">
        <f t="shared" ref="M774" si="656">SUM(M740:M773)</f>
        <v>7.216940000000001</v>
      </c>
      <c r="N774" s="319">
        <f t="shared" ref="N774" si="657">SUM(N740:N773)</f>
        <v>7.216940000000001</v>
      </c>
      <c r="O774" s="319">
        <f t="shared" ref="O774" si="658">SUM(O740:O773)</f>
        <v>7.216940000000001</v>
      </c>
      <c r="P774" s="319">
        <f t="shared" ref="P774" si="659">SUM(P740:P773)</f>
        <v>7.2169399999999992</v>
      </c>
      <c r="Q774" s="319">
        <f t="shared" ref="Q774" si="660">SUM(Q740:Q773)</f>
        <v>172.51494</v>
      </c>
      <c r="R774" s="319">
        <f t="shared" ref="R774" si="661">SUM(R740:R773)</f>
        <v>178.12186199999999</v>
      </c>
      <c r="S774" s="319">
        <f t="shared" ref="S774" si="662">SUM(S740:S773)</f>
        <v>178.12186199999999</v>
      </c>
      <c r="T774" s="319">
        <f t="shared" ref="T774" si="663">SUM(T740:T773)</f>
        <v>178.12186199999999</v>
      </c>
      <c r="U774" s="319">
        <f t="shared" ref="U774" si="664">SUM(U740:U773)</f>
        <v>178.12186199999996</v>
      </c>
      <c r="V774" s="319">
        <f t="shared" ref="V774" si="665">SUM(V740:V773)</f>
        <v>12.823861999999997</v>
      </c>
      <c r="W774" s="319">
        <f t="shared" ref="W774" si="666">SUM(W740:W773)</f>
        <v>7.216940000000001</v>
      </c>
      <c r="X774" s="319">
        <f t="shared" ref="X774" si="667">SUM(X740:X773)</f>
        <v>7.216940000000001</v>
      </c>
      <c r="Y774" s="319">
        <f t="shared" ref="Y774" si="668">SUM(Y740:Y773)</f>
        <v>7.216940000000001</v>
      </c>
      <c r="Z774" s="319">
        <f t="shared" ref="Z774" si="669">SUM(Z740:Z773)</f>
        <v>7.2169399999999992</v>
      </c>
      <c r="AA774" s="319">
        <f t="shared" ref="AA774" si="670">SUM(AA740:AA773)</f>
        <v>172.51494</v>
      </c>
      <c r="AB774" s="319">
        <f t="shared" ref="AB774" si="671">SUM(AB740:AB773)</f>
        <v>178.12186199999999</v>
      </c>
      <c r="AC774" s="319">
        <f t="shared" ref="AC774" si="672">SUM(AC740:AC773)</f>
        <v>178.12186199999999</v>
      </c>
      <c r="AD774" s="319">
        <f t="shared" ref="AD774" si="673">SUM(AD740:AD773)</f>
        <v>178.12186199999999</v>
      </c>
      <c r="AE774" s="319">
        <f t="shared" ref="AE774" si="674">SUM(AE740:AE773)</f>
        <v>178.12186199999996</v>
      </c>
      <c r="AF774" s="319">
        <f t="shared" ref="AF774" si="675">SUM(AF740:AF773)</f>
        <v>12.823861999999997</v>
      </c>
      <c r="AG774" s="319">
        <f t="shared" ref="AG774" si="676">SUM(AG740:AG773)</f>
        <v>7.216940000000001</v>
      </c>
      <c r="AH774" s="319">
        <f t="shared" ref="AH774" si="677">SUM(AH740:AH773)</f>
        <v>7.216940000000001</v>
      </c>
      <c r="AI774" s="319">
        <f t="shared" ref="AI774" si="678">SUM(AI740:AI773)</f>
        <v>7.216940000000001</v>
      </c>
      <c r="AJ774" s="319">
        <f t="shared" ref="AJ774" si="679">SUM(AJ740:AJ773)</f>
        <v>7.2169399999999992</v>
      </c>
      <c r="AK774" s="319">
        <f t="shared" ref="AK774" si="680">SUM(AK740:AK773)</f>
        <v>0</v>
      </c>
      <c r="AL774" s="319">
        <f t="shared" ref="AL774" si="681">SUM(AL740:AL773)</f>
        <v>0</v>
      </c>
      <c r="AM774" s="319">
        <f t="shared" ref="AM774" si="682">SUM(AM740:AM773)</f>
        <v>0</v>
      </c>
      <c r="AN774" s="319">
        <f t="shared" ref="AN774" si="683">SUM(AN740:AN773)</f>
        <v>0</v>
      </c>
      <c r="AO774" s="325"/>
      <c r="AP774" s="325"/>
      <c r="AQ774" s="325"/>
      <c r="AR774" s="325"/>
      <c r="AS774" s="325"/>
      <c r="AT774" s="325"/>
      <c r="AU774" s="325"/>
      <c r="AV774" s="325"/>
      <c r="AW774" s="325"/>
      <c r="AX774" s="325"/>
      <c r="AY774" s="325"/>
      <c r="AZ774" s="325"/>
      <c r="BA774" s="325"/>
      <c r="BB774" s="325"/>
      <c r="BC774" s="325"/>
      <c r="BD774" s="325"/>
      <c r="BE774" s="325"/>
      <c r="BF774" s="325"/>
      <c r="BG774" s="325"/>
      <c r="BH774" s="325"/>
      <c r="BI774" s="325"/>
      <c r="BJ774" s="325"/>
      <c r="BK774" s="325"/>
      <c r="BL774" s="325"/>
      <c r="BM774" s="325"/>
      <c r="BN774" s="325"/>
      <c r="BO774" s="325"/>
      <c r="BP774" s="325"/>
      <c r="BQ774" s="325"/>
      <c r="BR774" s="325"/>
      <c r="BS774" s="325"/>
      <c r="BT774" s="325"/>
      <c r="BU774" s="325"/>
      <c r="BV774" s="325"/>
      <c r="BW774" s="325"/>
      <c r="BX774" s="325"/>
      <c r="BY774" s="325"/>
      <c r="BZ774" s="325"/>
      <c r="CA774" s="325"/>
      <c r="CB774" s="325"/>
      <c r="CC774" s="325"/>
      <c r="CD774" s="325"/>
      <c r="CE774" s="325"/>
      <c r="CF774" s="325"/>
      <c r="CG774" s="325"/>
      <c r="CH774" s="325"/>
      <c r="CI774" s="325"/>
      <c r="CJ774" s="325"/>
      <c r="CK774" s="325"/>
      <c r="CL774" s="325"/>
      <c r="CM774" s="325"/>
      <c r="CN774" s="325"/>
      <c r="CO774" s="325"/>
      <c r="CP774" s="325"/>
      <c r="CQ774" s="325"/>
      <c r="CR774" s="325"/>
      <c r="CS774" s="325"/>
      <c r="CT774" s="325"/>
      <c r="CU774" s="325"/>
      <c r="CV774" s="325"/>
      <c r="CW774" s="325"/>
      <c r="CX774" s="325"/>
      <c r="CY774" s="325"/>
      <c r="CZ774" s="325"/>
      <c r="DA774" s="325"/>
      <c r="DB774" s="325"/>
      <c r="DC774" s="325"/>
      <c r="DD774" s="325"/>
      <c r="DE774" s="325"/>
      <c r="DF774" s="325"/>
      <c r="DG774" s="325"/>
      <c r="DH774" s="325"/>
      <c r="DI774" s="325"/>
      <c r="DJ774" s="325"/>
      <c r="DK774" s="325"/>
      <c r="DL774" s="325"/>
      <c r="DM774" s="325"/>
      <c r="DN774" s="325"/>
      <c r="DO774" s="325"/>
      <c r="DP774" s="325"/>
      <c r="DQ774" s="325"/>
      <c r="DR774" s="325"/>
      <c r="DS774" s="325"/>
      <c r="DT774" s="325"/>
      <c r="DU774" s="325"/>
      <c r="DV774" s="325"/>
      <c r="DW774" s="325"/>
      <c r="DX774" s="325"/>
      <c r="DY774" s="325"/>
      <c r="DZ774" s="325"/>
      <c r="EA774" s="325"/>
      <c r="EB774" s="325"/>
      <c r="EC774" s="325"/>
      <c r="ED774" s="325"/>
      <c r="EE774" s="325"/>
      <c r="EF774" s="325"/>
      <c r="EG774" s="325"/>
      <c r="EH774" s="325"/>
      <c r="EI774" s="325"/>
      <c r="EJ774" s="325"/>
      <c r="EK774" s="325"/>
      <c r="EL774" s="325"/>
      <c r="EM774" s="325"/>
      <c r="EN774" s="325"/>
      <c r="EO774" s="325"/>
      <c r="EP774" s="325"/>
      <c r="EQ774" s="325"/>
      <c r="ER774" s="325"/>
      <c r="ES774" s="325"/>
      <c r="ET774" s="325"/>
      <c r="EU774" s="325"/>
      <c r="EV774" s="325"/>
      <c r="EW774" s="325"/>
      <c r="EX774" s="325"/>
      <c r="EY774" s="325"/>
      <c r="EZ774" s="325"/>
      <c r="FA774" s="325"/>
      <c r="FB774" s="325"/>
      <c r="FC774" s="325"/>
      <c r="FD774" s="325"/>
    </row>
    <row r="775" spans="3:160" ht="16.2" outlineLevel="3" thickTop="1">
      <c r="C775"/>
      <c r="D775" s="266"/>
      <c r="E775" s="76"/>
      <c r="F775"/>
    </row>
    <row r="776" spans="3:160" outlineLevel="3">
      <c r="C776" t="s">
        <v>477</v>
      </c>
      <c r="D776" s="266"/>
      <c r="E776" s="266"/>
      <c r="F776" s="76"/>
      <c r="G776" s="319">
        <f>G727*$D$737</f>
        <v>255.50996999999998</v>
      </c>
      <c r="H776" s="319">
        <f t="shared" ref="H776:AN776" si="684">H727*$D$737</f>
        <v>11.672822999999998</v>
      </c>
      <c r="I776" s="319">
        <f t="shared" si="684"/>
        <v>0</v>
      </c>
      <c r="J776" s="319">
        <f t="shared" si="684"/>
        <v>0</v>
      </c>
      <c r="K776" s="319">
        <f t="shared" si="684"/>
        <v>0</v>
      </c>
      <c r="L776" s="319">
        <f t="shared" si="684"/>
        <v>7.56297</v>
      </c>
      <c r="M776" s="319">
        <f t="shared" si="684"/>
        <v>3.2624399999999993</v>
      </c>
      <c r="N776" s="319">
        <f t="shared" si="684"/>
        <v>0</v>
      </c>
      <c r="O776" s="319">
        <f t="shared" si="684"/>
        <v>0</v>
      </c>
      <c r="P776" s="319">
        <f t="shared" si="684"/>
        <v>0</v>
      </c>
      <c r="Q776" s="319">
        <f t="shared" si="684"/>
        <v>255.50996999999998</v>
      </c>
      <c r="R776" s="319">
        <f t="shared" si="684"/>
        <v>11.672822999999998</v>
      </c>
      <c r="S776" s="319">
        <f t="shared" si="684"/>
        <v>0</v>
      </c>
      <c r="T776" s="319">
        <f t="shared" si="684"/>
        <v>0</v>
      </c>
      <c r="U776" s="319">
        <f t="shared" si="684"/>
        <v>0</v>
      </c>
      <c r="V776" s="319">
        <f t="shared" si="684"/>
        <v>7.56297</v>
      </c>
      <c r="W776" s="319">
        <f t="shared" si="684"/>
        <v>3.2624399999999993</v>
      </c>
      <c r="X776" s="319">
        <f t="shared" si="684"/>
        <v>0</v>
      </c>
      <c r="Y776" s="319">
        <f t="shared" si="684"/>
        <v>0</v>
      </c>
      <c r="Z776" s="319">
        <f t="shared" si="684"/>
        <v>0</v>
      </c>
      <c r="AA776" s="319">
        <f t="shared" si="684"/>
        <v>255.50996999999998</v>
      </c>
      <c r="AB776" s="319">
        <f t="shared" si="684"/>
        <v>11.672822999999998</v>
      </c>
      <c r="AC776" s="319">
        <f t="shared" si="684"/>
        <v>0</v>
      </c>
      <c r="AD776" s="319">
        <f t="shared" si="684"/>
        <v>0</v>
      </c>
      <c r="AE776" s="319">
        <f t="shared" si="684"/>
        <v>0</v>
      </c>
      <c r="AF776" s="319">
        <f t="shared" si="684"/>
        <v>7.56297</v>
      </c>
      <c r="AG776" s="319">
        <f t="shared" si="684"/>
        <v>3.2624399999999993</v>
      </c>
      <c r="AH776" s="319">
        <f t="shared" si="684"/>
        <v>0</v>
      </c>
      <c r="AI776" s="319">
        <f t="shared" si="684"/>
        <v>0</v>
      </c>
      <c r="AJ776" s="319">
        <f t="shared" si="684"/>
        <v>0</v>
      </c>
      <c r="AK776" s="319">
        <f t="shared" si="684"/>
        <v>0</v>
      </c>
      <c r="AL776" s="319">
        <f t="shared" si="684"/>
        <v>0</v>
      </c>
      <c r="AM776" s="319">
        <f t="shared" si="684"/>
        <v>0</v>
      </c>
      <c r="AN776" s="319">
        <f t="shared" si="684"/>
        <v>0</v>
      </c>
      <c r="AO776"/>
    </row>
    <row r="777" spans="3:160" outlineLevel="2">
      <c r="C777"/>
      <c r="D777" s="266"/>
      <c r="E777" s="76"/>
      <c r="F777"/>
    </row>
    <row r="778" spans="3:160" outlineLevel="2">
      <c r="C778" t="s">
        <v>298</v>
      </c>
      <c r="D778" s="266"/>
      <c r="E778" s="76"/>
      <c r="F778"/>
    </row>
    <row r="779" spans="3:160" outlineLevel="3">
      <c r="C779"/>
      <c r="D779" s="266"/>
      <c r="E779" s="76"/>
      <c r="F779"/>
    </row>
    <row r="780" spans="3:160" outlineLevel="3">
      <c r="C780" t="s">
        <v>464</v>
      </c>
      <c r="D780" s="266"/>
      <c r="E780" s="76"/>
      <c r="F780"/>
    </row>
    <row r="781" spans="3:160" outlineLevel="4">
      <c r="C781"/>
      <c r="D781" s="266"/>
      <c r="E781" s="76"/>
      <c r="F781"/>
    </row>
    <row r="782" spans="3:160" outlineLevel="4">
      <c r="C782" t="s">
        <v>478</v>
      </c>
      <c r="D782" s="266"/>
      <c r="E782" s="76" t="s">
        <v>13</v>
      </c>
      <c r="F782" s="273"/>
      <c r="G782" s="273">
        <f t="shared" ref="G782:AN782" si="685">F785</f>
        <v>0</v>
      </c>
      <c r="H782" s="273">
        <f t="shared" si="685"/>
        <v>332.64044100000001</v>
      </c>
      <c r="I782" s="273">
        <f t="shared" si="685"/>
        <v>316.02039200000002</v>
      </c>
      <c r="J782" s="273">
        <f t="shared" si="685"/>
        <v>276.800343</v>
      </c>
      <c r="K782" s="273">
        <f t="shared" si="685"/>
        <v>293.74677399999996</v>
      </c>
      <c r="L782" s="273">
        <f t="shared" si="685"/>
        <v>248.28600499999996</v>
      </c>
      <c r="M782" s="273">
        <f t="shared" si="685"/>
        <v>247.19424599999994</v>
      </c>
      <c r="N782" s="273">
        <f t="shared" si="685"/>
        <v>252.97006699999994</v>
      </c>
      <c r="O782" s="273">
        <f t="shared" si="685"/>
        <v>196.33868799999993</v>
      </c>
      <c r="P782" s="273">
        <f t="shared" si="685"/>
        <v>139.70730899999992</v>
      </c>
      <c r="Q782" s="273">
        <f t="shared" si="685"/>
        <v>139.44022999999996</v>
      </c>
      <c r="R782" s="273">
        <f t="shared" si="685"/>
        <v>254.98016099999998</v>
      </c>
      <c r="S782" s="273">
        <f t="shared" si="685"/>
        <v>215.58680199999998</v>
      </c>
      <c r="T782" s="273">
        <f t="shared" si="685"/>
        <v>232.55774299999999</v>
      </c>
      <c r="U782" s="273">
        <f t="shared" si="685"/>
        <v>193.142404</v>
      </c>
      <c r="V782" s="273">
        <f t="shared" si="685"/>
        <v>153.72706499999998</v>
      </c>
      <c r="W782" s="273">
        <f t="shared" si="685"/>
        <v>219.97492599999998</v>
      </c>
      <c r="X782" s="273">
        <f t="shared" si="685"/>
        <v>180.53760699999998</v>
      </c>
      <c r="Y782" s="273">
        <f t="shared" si="685"/>
        <v>141.10028799999998</v>
      </c>
      <c r="Z782" s="273">
        <f t="shared" si="685"/>
        <v>158.22508899999997</v>
      </c>
      <c r="AA782" s="273">
        <f t="shared" si="685"/>
        <v>118.76578999999998</v>
      </c>
      <c r="AB782" s="273">
        <f t="shared" si="685"/>
        <v>236.49978099999998</v>
      </c>
      <c r="AC782" s="273">
        <f t="shared" si="685"/>
        <v>253.60260200000002</v>
      </c>
      <c r="AD782" s="273">
        <f t="shared" si="685"/>
        <v>214.12132300000002</v>
      </c>
      <c r="AE782" s="273">
        <f t="shared" si="685"/>
        <v>174.64004400000002</v>
      </c>
      <c r="AF782" s="273">
        <f t="shared" si="685"/>
        <v>191.91870499999999</v>
      </c>
      <c r="AG782" s="273">
        <f t="shared" si="685"/>
        <v>201.69236599999996</v>
      </c>
      <c r="AH782" s="273">
        <f t="shared" si="685"/>
        <v>162.16712699999997</v>
      </c>
      <c r="AI782" s="273">
        <f t="shared" si="685"/>
        <v>179.40182799999997</v>
      </c>
      <c r="AJ782" s="273">
        <f t="shared" si="685"/>
        <v>139.85460899999995</v>
      </c>
      <c r="AK782" s="273">
        <f t="shared" si="685"/>
        <v>100.30738999999997</v>
      </c>
      <c r="AL782" s="273">
        <f t="shared" si="685"/>
        <v>100.30738999999997</v>
      </c>
      <c r="AM782" s="273">
        <f t="shared" si="685"/>
        <v>100.30738999999997</v>
      </c>
      <c r="AN782" s="273">
        <f t="shared" si="685"/>
        <v>100.30738999999997</v>
      </c>
    </row>
    <row r="783" spans="3:160" outlineLevel="4">
      <c r="C783" t="s">
        <v>479</v>
      </c>
      <c r="D783" s="275"/>
      <c r="E783" s="203" t="s">
        <v>13</v>
      </c>
      <c r="F783" s="88">
        <f>SUM(G783:AN783)</f>
        <v>1419.0059700000002</v>
      </c>
      <c r="G783" s="322">
        <f t="shared" ref="G783:AN783" si="686">G435</f>
        <v>369.60049000000004</v>
      </c>
      <c r="H783" s="322">
        <f t="shared" si="686"/>
        <v>22.6</v>
      </c>
      <c r="I783" s="322">
        <f t="shared" si="686"/>
        <v>0</v>
      </c>
      <c r="J783" s="322">
        <f t="shared" si="686"/>
        <v>62.407200000000003</v>
      </c>
      <c r="K783" s="322">
        <f t="shared" si="686"/>
        <v>0</v>
      </c>
      <c r="L783" s="322">
        <f t="shared" si="686"/>
        <v>49.298900000000003</v>
      </c>
      <c r="M783" s="322">
        <f t="shared" si="686"/>
        <v>62.407200000000003</v>
      </c>
      <c r="N783" s="322">
        <f t="shared" si="686"/>
        <v>0</v>
      </c>
      <c r="O783" s="322">
        <f t="shared" si="686"/>
        <v>0</v>
      </c>
      <c r="P783" s="322">
        <f t="shared" si="686"/>
        <v>62.627000000000002</v>
      </c>
      <c r="Q783" s="322">
        <f t="shared" si="686"/>
        <v>157.19329000000002</v>
      </c>
      <c r="R783" s="322">
        <f t="shared" si="686"/>
        <v>0</v>
      </c>
      <c r="S783" s="322">
        <f t="shared" si="686"/>
        <v>62.627000000000002</v>
      </c>
      <c r="T783" s="322">
        <f t="shared" si="686"/>
        <v>0</v>
      </c>
      <c r="U783" s="322">
        <f t="shared" si="686"/>
        <v>0</v>
      </c>
      <c r="V783" s="322">
        <f t="shared" si="686"/>
        <v>111.9259</v>
      </c>
      <c r="W783" s="322">
        <f t="shared" si="686"/>
        <v>0</v>
      </c>
      <c r="X783" s="322">
        <f t="shared" si="686"/>
        <v>0</v>
      </c>
      <c r="Y783" s="322">
        <f t="shared" si="686"/>
        <v>62.846800000000002</v>
      </c>
      <c r="Z783" s="322">
        <f t="shared" si="686"/>
        <v>0</v>
      </c>
      <c r="AA783" s="322">
        <f t="shared" si="686"/>
        <v>157.19329000000002</v>
      </c>
      <c r="AB783" s="322">
        <f t="shared" si="686"/>
        <v>62.846800000000002</v>
      </c>
      <c r="AC783" s="322">
        <f t="shared" si="686"/>
        <v>0</v>
      </c>
      <c r="AD783" s="322">
        <f t="shared" si="686"/>
        <v>0</v>
      </c>
      <c r="AE783" s="322">
        <f t="shared" si="686"/>
        <v>63.066600000000001</v>
      </c>
      <c r="AF783" s="322">
        <f t="shared" si="686"/>
        <v>49.298900000000003</v>
      </c>
      <c r="AG783" s="322">
        <f t="shared" si="686"/>
        <v>0</v>
      </c>
      <c r="AH783" s="322">
        <f t="shared" si="686"/>
        <v>63.066600000000001</v>
      </c>
      <c r="AI783" s="322">
        <f t="shared" si="686"/>
        <v>0</v>
      </c>
      <c r="AJ783" s="322">
        <f t="shared" si="686"/>
        <v>0</v>
      </c>
      <c r="AK783" s="322">
        <f t="shared" si="686"/>
        <v>0</v>
      </c>
      <c r="AL783" s="322">
        <f t="shared" si="686"/>
        <v>0</v>
      </c>
      <c r="AM783" s="322">
        <f t="shared" si="686"/>
        <v>0</v>
      </c>
      <c r="AN783" s="322">
        <f t="shared" si="686"/>
        <v>0</v>
      </c>
    </row>
    <row r="784" spans="3:160" outlineLevel="4">
      <c r="C784" t="s">
        <v>467</v>
      </c>
      <c r="D784" s="266"/>
      <c r="E784" s="76" t="s">
        <v>13</v>
      </c>
      <c r="F784" s="50">
        <f>SUM(G784:AN784)</f>
        <v>-1318.6985800000004</v>
      </c>
      <c r="G784" s="273">
        <f t="shared" ref="G784:AN784" si="687">-G830</f>
        <v>-36.960049000000005</v>
      </c>
      <c r="H784" s="273">
        <f t="shared" si="687"/>
        <v>-39.220049000000003</v>
      </c>
      <c r="I784" s="273">
        <f t="shared" si="687"/>
        <v>-39.220049000000003</v>
      </c>
      <c r="J784" s="273">
        <f t="shared" si="687"/>
        <v>-45.460769000000006</v>
      </c>
      <c r="K784" s="273">
        <f t="shared" si="687"/>
        <v>-45.460769000000006</v>
      </c>
      <c r="L784" s="273">
        <f t="shared" si="687"/>
        <v>-50.390659000000007</v>
      </c>
      <c r="M784" s="273">
        <f t="shared" si="687"/>
        <v>-56.63137900000001</v>
      </c>
      <c r="N784" s="273">
        <f t="shared" si="687"/>
        <v>-56.63137900000001</v>
      </c>
      <c r="O784" s="273">
        <f t="shared" si="687"/>
        <v>-56.63137900000001</v>
      </c>
      <c r="P784" s="273">
        <f t="shared" si="687"/>
        <v>-62.894078999999977</v>
      </c>
      <c r="Q784" s="273">
        <f t="shared" si="687"/>
        <v>-41.653359000000002</v>
      </c>
      <c r="R784" s="273">
        <f t="shared" si="687"/>
        <v>-39.393359000000004</v>
      </c>
      <c r="S784" s="273">
        <f t="shared" si="687"/>
        <v>-45.656058999999992</v>
      </c>
      <c r="T784" s="273">
        <f t="shared" si="687"/>
        <v>-39.415339000000003</v>
      </c>
      <c r="U784" s="273">
        <f t="shared" si="687"/>
        <v>-39.415339000000003</v>
      </c>
      <c r="V784" s="273">
        <f t="shared" si="687"/>
        <v>-45.678038999999998</v>
      </c>
      <c r="W784" s="273">
        <f t="shared" si="687"/>
        <v>-39.437319000000009</v>
      </c>
      <c r="X784" s="273">
        <f t="shared" si="687"/>
        <v>-39.437319000000009</v>
      </c>
      <c r="Y784" s="273">
        <f t="shared" si="687"/>
        <v>-45.721998999999997</v>
      </c>
      <c r="Z784" s="273">
        <f t="shared" si="687"/>
        <v>-39.459298999999994</v>
      </c>
      <c r="AA784" s="273">
        <f t="shared" si="687"/>
        <v>-39.459299000000001</v>
      </c>
      <c r="AB784" s="273">
        <f t="shared" si="687"/>
        <v>-45.743978999999996</v>
      </c>
      <c r="AC784" s="273">
        <f t="shared" si="687"/>
        <v>-39.481279000000008</v>
      </c>
      <c r="AD784" s="273">
        <f t="shared" si="687"/>
        <v>-39.481279000000008</v>
      </c>
      <c r="AE784" s="273">
        <f t="shared" si="687"/>
        <v>-45.787939000000009</v>
      </c>
      <c r="AF784" s="273">
        <f t="shared" si="687"/>
        <v>-39.52523900000002</v>
      </c>
      <c r="AG784" s="273">
        <f t="shared" si="687"/>
        <v>-39.525239000000006</v>
      </c>
      <c r="AH784" s="273">
        <f t="shared" si="687"/>
        <v>-45.831899</v>
      </c>
      <c r="AI784" s="273">
        <f t="shared" si="687"/>
        <v>-39.547219000000005</v>
      </c>
      <c r="AJ784" s="273">
        <f t="shared" si="687"/>
        <v>-39.547218999999991</v>
      </c>
      <c r="AK784" s="273">
        <f t="shared" si="687"/>
        <v>0</v>
      </c>
      <c r="AL784" s="273">
        <f t="shared" si="687"/>
        <v>0</v>
      </c>
      <c r="AM784" s="273">
        <f t="shared" si="687"/>
        <v>0</v>
      </c>
      <c r="AN784" s="273">
        <f t="shared" si="687"/>
        <v>0</v>
      </c>
    </row>
    <row r="785" spans="3:40" outlineLevel="4">
      <c r="C785" t="s">
        <v>480</v>
      </c>
      <c r="D785" s="275"/>
      <c r="E785" s="203" t="s">
        <v>13</v>
      </c>
      <c r="F785" s="89"/>
      <c r="G785" s="287">
        <f t="shared" ref="G785:AN785" si="688">SUM(G782:G784)</f>
        <v>332.64044100000001</v>
      </c>
      <c r="H785" s="287">
        <f t="shared" si="688"/>
        <v>316.02039200000002</v>
      </c>
      <c r="I785" s="287">
        <f t="shared" si="688"/>
        <v>276.800343</v>
      </c>
      <c r="J785" s="287">
        <f t="shared" si="688"/>
        <v>293.74677399999996</v>
      </c>
      <c r="K785" s="287">
        <f t="shared" si="688"/>
        <v>248.28600499999996</v>
      </c>
      <c r="L785" s="287">
        <f t="shared" si="688"/>
        <v>247.19424599999994</v>
      </c>
      <c r="M785" s="287">
        <f t="shared" si="688"/>
        <v>252.97006699999994</v>
      </c>
      <c r="N785" s="287">
        <f t="shared" si="688"/>
        <v>196.33868799999993</v>
      </c>
      <c r="O785" s="287">
        <f t="shared" si="688"/>
        <v>139.70730899999992</v>
      </c>
      <c r="P785" s="287">
        <f t="shared" si="688"/>
        <v>139.44022999999996</v>
      </c>
      <c r="Q785" s="287">
        <f t="shared" si="688"/>
        <v>254.98016099999998</v>
      </c>
      <c r="R785" s="287">
        <f t="shared" si="688"/>
        <v>215.58680199999998</v>
      </c>
      <c r="S785" s="287">
        <f t="shared" si="688"/>
        <v>232.55774299999999</v>
      </c>
      <c r="T785" s="287">
        <f t="shared" si="688"/>
        <v>193.142404</v>
      </c>
      <c r="U785" s="287">
        <f t="shared" si="688"/>
        <v>153.72706499999998</v>
      </c>
      <c r="V785" s="287">
        <f t="shared" si="688"/>
        <v>219.97492599999998</v>
      </c>
      <c r="W785" s="287">
        <f t="shared" si="688"/>
        <v>180.53760699999998</v>
      </c>
      <c r="X785" s="287">
        <f t="shared" si="688"/>
        <v>141.10028799999998</v>
      </c>
      <c r="Y785" s="287">
        <f t="shared" si="688"/>
        <v>158.22508899999997</v>
      </c>
      <c r="Z785" s="287">
        <f t="shared" si="688"/>
        <v>118.76578999999998</v>
      </c>
      <c r="AA785" s="287">
        <f t="shared" si="688"/>
        <v>236.49978099999998</v>
      </c>
      <c r="AB785" s="287">
        <f t="shared" si="688"/>
        <v>253.60260200000002</v>
      </c>
      <c r="AC785" s="287">
        <f t="shared" si="688"/>
        <v>214.12132300000002</v>
      </c>
      <c r="AD785" s="287">
        <f t="shared" si="688"/>
        <v>174.64004400000002</v>
      </c>
      <c r="AE785" s="287">
        <f t="shared" si="688"/>
        <v>191.91870499999999</v>
      </c>
      <c r="AF785" s="287">
        <f t="shared" si="688"/>
        <v>201.69236599999996</v>
      </c>
      <c r="AG785" s="287">
        <f t="shared" si="688"/>
        <v>162.16712699999997</v>
      </c>
      <c r="AH785" s="287">
        <f t="shared" si="688"/>
        <v>179.40182799999997</v>
      </c>
      <c r="AI785" s="287">
        <f t="shared" si="688"/>
        <v>139.85460899999995</v>
      </c>
      <c r="AJ785" s="287">
        <f t="shared" si="688"/>
        <v>100.30738999999997</v>
      </c>
      <c r="AK785" s="287">
        <f t="shared" si="688"/>
        <v>100.30738999999997</v>
      </c>
      <c r="AL785" s="287">
        <f t="shared" si="688"/>
        <v>100.30738999999997</v>
      </c>
      <c r="AM785" s="287">
        <f t="shared" si="688"/>
        <v>100.30738999999997</v>
      </c>
      <c r="AN785" s="287">
        <f t="shared" si="688"/>
        <v>100.30738999999997</v>
      </c>
    </row>
    <row r="786" spans="3:40" outlineLevel="3">
      <c r="C786"/>
      <c r="D786" s="266"/>
      <c r="E786" s="76"/>
      <c r="F786"/>
    </row>
    <row r="787" spans="3:40" outlineLevel="3">
      <c r="C787" t="s">
        <v>469</v>
      </c>
      <c r="D787" s="266"/>
      <c r="E787" s="76"/>
      <c r="F787"/>
    </row>
    <row r="788" spans="3:40" outlineLevel="4">
      <c r="C788"/>
      <c r="D788" s="266"/>
      <c r="E788" s="76"/>
      <c r="F788"/>
    </row>
    <row r="789" spans="3:40" outlineLevel="4">
      <c r="C789" s="303" t="str">
        <f>Flags!C$72</f>
        <v>Cons + Ops Flag</v>
      </c>
      <c r="D789" s="319"/>
      <c r="E789" s="41" t="str">
        <f>Flags!E$72</f>
        <v>Flag</v>
      </c>
      <c r="F789" s="23">
        <f>Flags!F$72</f>
        <v>30</v>
      </c>
      <c r="G789" s="25">
        <f>Flags!G$72</f>
        <v>1</v>
      </c>
      <c r="H789" s="25">
        <f>Flags!H$72</f>
        <v>1</v>
      </c>
      <c r="I789" s="25">
        <f>Flags!I$72</f>
        <v>1</v>
      </c>
      <c r="J789" s="25">
        <f>Flags!J$72</f>
        <v>1</v>
      </c>
      <c r="K789" s="25">
        <f>Flags!K$72</f>
        <v>1</v>
      </c>
      <c r="L789" s="25">
        <f>Flags!L$72</f>
        <v>1</v>
      </c>
      <c r="M789" s="25">
        <f>Flags!M$72</f>
        <v>1</v>
      </c>
      <c r="N789" s="25">
        <f>Flags!N$72</f>
        <v>1</v>
      </c>
      <c r="O789" s="25">
        <f>Flags!O$72</f>
        <v>1</v>
      </c>
      <c r="P789" s="25">
        <f>Flags!P$72</f>
        <v>1</v>
      </c>
      <c r="Q789" s="25">
        <f>Flags!Q$72</f>
        <v>1</v>
      </c>
      <c r="R789" s="25">
        <f>Flags!R$72</f>
        <v>1</v>
      </c>
      <c r="S789" s="25">
        <f>Flags!S$72</f>
        <v>1</v>
      </c>
      <c r="T789" s="25">
        <f>Flags!T$72</f>
        <v>1</v>
      </c>
      <c r="U789" s="25">
        <f>Flags!U$72</f>
        <v>1</v>
      </c>
      <c r="V789" s="25">
        <f>Flags!V$72</f>
        <v>1</v>
      </c>
      <c r="W789" s="25">
        <f>Flags!W$72</f>
        <v>1</v>
      </c>
      <c r="X789" s="25">
        <f>Flags!X$72</f>
        <v>1</v>
      </c>
      <c r="Y789" s="25">
        <f>Flags!Y$72</f>
        <v>1</v>
      </c>
      <c r="Z789" s="25">
        <f>Flags!Z$72</f>
        <v>1</v>
      </c>
      <c r="AA789" s="25">
        <f>Flags!AA$72</f>
        <v>1</v>
      </c>
      <c r="AB789" s="25">
        <f>Flags!AB$72</f>
        <v>1</v>
      </c>
      <c r="AC789" s="25">
        <f>Flags!AC$72</f>
        <v>1</v>
      </c>
      <c r="AD789" s="25">
        <f>Flags!AD$72</f>
        <v>1</v>
      </c>
      <c r="AE789" s="25">
        <f>Flags!AE$72</f>
        <v>1</v>
      </c>
      <c r="AF789" s="25">
        <f>Flags!AF$72</f>
        <v>1</v>
      </c>
      <c r="AG789" s="25">
        <f>Flags!AG$72</f>
        <v>1</v>
      </c>
      <c r="AH789" s="25">
        <f>Flags!AH$72</f>
        <v>1</v>
      </c>
      <c r="AI789" s="25">
        <f>Flags!AI$72</f>
        <v>1</v>
      </c>
      <c r="AJ789" s="25">
        <f>Flags!AJ$72</f>
        <v>1</v>
      </c>
      <c r="AK789" s="25">
        <f>Flags!AK$72</f>
        <v>0</v>
      </c>
      <c r="AL789" s="25">
        <f>Flags!AL$72</f>
        <v>0</v>
      </c>
      <c r="AM789" s="25">
        <f>Flags!AM$72</f>
        <v>0</v>
      </c>
      <c r="AN789" s="25">
        <f>Flags!AN$72</f>
        <v>0</v>
      </c>
    </row>
    <row r="790" spans="3:40" outlineLevel="4">
      <c r="C790"/>
      <c r="D790" s="266"/>
      <c r="E790" s="76"/>
      <c r="F790"/>
    </row>
    <row r="791" spans="3:40" outlineLevel="4">
      <c r="C791" s="303" t="str">
        <f>Flags!C$14</f>
        <v>Counter</v>
      </c>
      <c r="D791" s="266"/>
      <c r="E791" s="76" t="str">
        <f>Flags!E$14</f>
        <v>Counter</v>
      </c>
      <c r="F791" s="89">
        <f>Flags!F$14</f>
        <v>0</v>
      </c>
      <c r="G791" s="266">
        <f>Flags!G$14</f>
        <v>1</v>
      </c>
      <c r="H791" s="266">
        <f>Flags!H$14</f>
        <v>2</v>
      </c>
      <c r="I791" s="266">
        <f>Flags!I$14</f>
        <v>3</v>
      </c>
      <c r="J791" s="266">
        <f>Flags!J$14</f>
        <v>4</v>
      </c>
      <c r="K791" s="266">
        <f>Flags!K$14</f>
        <v>5</v>
      </c>
      <c r="L791" s="266">
        <f>Flags!L$14</f>
        <v>6</v>
      </c>
      <c r="M791" s="266">
        <f>Flags!M$14</f>
        <v>7</v>
      </c>
      <c r="N791" s="266">
        <f>Flags!N$14</f>
        <v>8</v>
      </c>
      <c r="O791" s="266">
        <f>Flags!O$14</f>
        <v>9</v>
      </c>
      <c r="P791" s="266">
        <f>Flags!P$14</f>
        <v>10</v>
      </c>
      <c r="Q791" s="266">
        <f>Flags!Q$14</f>
        <v>11</v>
      </c>
      <c r="R791" s="266">
        <f>Flags!R$14</f>
        <v>12</v>
      </c>
      <c r="S791" s="266">
        <f>Flags!S$14</f>
        <v>13</v>
      </c>
      <c r="T791" s="266">
        <f>Flags!T$14</f>
        <v>14</v>
      </c>
      <c r="U791" s="266">
        <f>Flags!U$14</f>
        <v>15</v>
      </c>
      <c r="V791" s="266">
        <f>Flags!V$14</f>
        <v>16</v>
      </c>
      <c r="W791" s="266">
        <f>Flags!W$14</f>
        <v>17</v>
      </c>
      <c r="X791" s="266">
        <f>Flags!X$14</f>
        <v>18</v>
      </c>
      <c r="Y791" s="266">
        <f>Flags!Y$14</f>
        <v>19</v>
      </c>
      <c r="Z791" s="266">
        <f>Flags!Z$14</f>
        <v>20</v>
      </c>
      <c r="AA791" s="266">
        <f>Flags!AA$14</f>
        <v>21</v>
      </c>
      <c r="AB791" s="266">
        <f>Flags!AB$14</f>
        <v>22</v>
      </c>
      <c r="AC791" s="266">
        <f>Flags!AC$14</f>
        <v>23</v>
      </c>
      <c r="AD791" s="266">
        <f>Flags!AD$14</f>
        <v>24</v>
      </c>
      <c r="AE791" s="266">
        <f>Flags!AE$14</f>
        <v>25</v>
      </c>
      <c r="AF791" s="266">
        <f>Flags!AF$14</f>
        <v>26</v>
      </c>
      <c r="AG791" s="266">
        <f>Flags!AG$14</f>
        <v>27</v>
      </c>
      <c r="AH791" s="266">
        <f>Flags!AH$14</f>
        <v>28</v>
      </c>
      <c r="AI791" s="266">
        <f>Flags!AI$14</f>
        <v>29</v>
      </c>
      <c r="AJ791" s="266">
        <f>Flags!AJ$14</f>
        <v>30</v>
      </c>
      <c r="AK791" s="266">
        <f>Flags!AK$14</f>
        <v>31</v>
      </c>
      <c r="AL791" s="266">
        <f>Flags!AL$14</f>
        <v>32</v>
      </c>
      <c r="AM791" s="266">
        <f>Flags!AM$14</f>
        <v>33</v>
      </c>
      <c r="AN791" s="266">
        <f>Flags!AN$14</f>
        <v>34</v>
      </c>
    </row>
    <row r="792" spans="3:40" outlineLevel="4">
      <c r="C792"/>
      <c r="D792" s="266"/>
      <c r="E792" s="76"/>
      <c r="F792"/>
    </row>
    <row r="793" spans="3:40" outlineLevel="4">
      <c r="C793" t="str">
        <f>Inputs!$E$258</f>
        <v>Valor residual</v>
      </c>
      <c r="D793">
        <f>Inputs!E452</f>
        <v>0</v>
      </c>
      <c r="E793" s="76"/>
      <c r="F793"/>
    </row>
    <row r="794" spans="3:40" outlineLevel="4">
      <c r="C794"/>
      <c r="D794" s="266"/>
      <c r="E794" s="76"/>
      <c r="F794"/>
    </row>
    <row r="795" spans="3:40" outlineLevel="4">
      <c r="C795" t="s">
        <v>470</v>
      </c>
      <c r="D795" t="s">
        <v>471</v>
      </c>
      <c r="E795" t="s">
        <v>79</v>
      </c>
      <c r="F795" s="309" t="s">
        <v>472</v>
      </c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</row>
    <row r="796" spans="3:40" outlineLevel="4">
      <c r="C796">
        <f t="array" ref="C796:C829">TRANSPOSE(G791:AN791)</f>
        <v>1</v>
      </c>
      <c r="D796">
        <f>Inputs!$D$261</f>
        <v>0.1</v>
      </c>
      <c r="E796" s="319">
        <f t="array" ref="E796:E829">TRANSPOSE(G783:AN783)</f>
        <v>369.60049000000004</v>
      </c>
      <c r="F796" s="461">
        <f>E796*D793</f>
        <v>0</v>
      </c>
      <c r="G796" s="319">
        <f>IF(G$566&gt;=$C796,MIN(-(SUM(F796:$F796)-$E796),($E796*(1-$D$568))*$D796),0)*G$564</f>
        <v>36.960049000000005</v>
      </c>
      <c r="H796" s="319">
        <f>IF(H$566&gt;=$C796,MIN(-(SUM($F796:G796)-$E796),($E796*(1-$D$568))*$D796),0)*H$564</f>
        <v>36.960049000000005</v>
      </c>
      <c r="I796" s="319">
        <f>IF(I$566&gt;=$C796,MIN(-(SUM($F796:H796)-$E796),($E796*(1-$D$568))*$D796),0)*I$564</f>
        <v>36.960049000000005</v>
      </c>
      <c r="J796" s="319">
        <f>IF(J$566&gt;=$C796,MIN(-(SUM($F796:I796)-$E796),($E796*(1-$D$568))*$D796),0)*J$564</f>
        <v>36.960049000000005</v>
      </c>
      <c r="K796" s="319">
        <f>IF(K$566&gt;=$C796,MIN(-(SUM($F796:J796)-$E796),($E796*(1-$D$568))*$D796),0)*K$564</f>
        <v>36.960049000000005</v>
      </c>
      <c r="L796" s="319">
        <f>IF(L$566&gt;=$C796,MIN(-(SUM($F796:K796)-$E796),($E796*(1-$D$568))*$D796),0)*L$564</f>
        <v>36.960049000000005</v>
      </c>
      <c r="M796" s="319">
        <f>IF(M$566&gt;=$C796,MIN(-(SUM($F796:L796)-$E796),($E796*(1-$D$568))*$D796),0)*M$564</f>
        <v>36.960049000000005</v>
      </c>
      <c r="N796" s="319">
        <f>IF(N$566&gt;=$C796,MIN(-(SUM($F796:M796)-$E796),($E796*(1-$D$568))*$D796),0)*N$564</f>
        <v>36.960049000000005</v>
      </c>
      <c r="O796" s="319">
        <f>IF(O$566&gt;=$C796,MIN(-(SUM($F796:N796)-$E796),($E796*(1-$D$568))*$D796),0)*O$564</f>
        <v>36.960049000000005</v>
      </c>
      <c r="P796" s="319">
        <f>IF(P$566&gt;=$C796,MIN(-(SUM($F796:O796)-$E796),($E796*(1-$D$568))*$D796),0)*P$564</f>
        <v>36.96004899999997</v>
      </c>
      <c r="Q796" s="319">
        <f>IF(Q$566&gt;=$C796,MIN(-(SUM($F796:P796)-$E796),($E796*(1-$D$568))*$D796),0)*Q$564</f>
        <v>0</v>
      </c>
      <c r="R796" s="319">
        <f>IF(R$566&gt;=$C796,MIN(-(SUM($F796:Q796)-$E796),($E796*(1-$D$568))*$D796),0)*R$564</f>
        <v>0</v>
      </c>
      <c r="S796" s="319">
        <f>IF(S$566&gt;=$C796,MIN(-(SUM($F796:R796)-$E796),($E796*(1-$D$568))*$D796),0)*S$564</f>
        <v>0</v>
      </c>
      <c r="T796" s="319">
        <f>IF(T$566&gt;=$C796,MIN(-(SUM($F796:S796)-$E796),($E796*(1-$D$568))*$D796),0)*T$564</f>
        <v>0</v>
      </c>
      <c r="U796" s="319">
        <f>IF(U$566&gt;=$C796,MIN(-(SUM($F796:T796)-$E796),($E796*(1-$D$568))*$D796),0)*U$564</f>
        <v>0</v>
      </c>
      <c r="V796" s="319">
        <f>IF(V$566&gt;=$C796,MIN(-(SUM($F796:U796)-$E796),($E796*(1-$D$568))*$D796),0)*V$564</f>
        <v>0</v>
      </c>
      <c r="W796" s="319">
        <f>IF(W$566&gt;=$C796,MIN(-(SUM($F796:V796)-$E796),($E796*(1-$D$568))*$D796),0)*W$564</f>
        <v>0</v>
      </c>
      <c r="X796" s="319">
        <f>IF(X$566&gt;=$C796,MIN(-(SUM($F796:W796)-$E796),($E796*(1-$D$568))*$D796),0)*X$564</f>
        <v>0</v>
      </c>
      <c r="Y796" s="319">
        <f>IF(Y$566&gt;=$C796,MIN(-(SUM($F796:X796)-$E796),($E796*(1-$D$568))*$D796),0)*Y$564</f>
        <v>0</v>
      </c>
      <c r="Z796" s="319">
        <f>IF(Z$566&gt;=$C796,MIN(-(SUM($F796:Y796)-$E796),($E796*(1-$D$568))*$D796),0)*Z$564</f>
        <v>0</v>
      </c>
      <c r="AA796" s="319">
        <f>IF(AA$566&gt;=$C796,MIN(-(SUM($F796:Z796)-$E796),($E796*(1-$D$568))*$D796),0)*AA$564</f>
        <v>0</v>
      </c>
      <c r="AB796" s="319">
        <f>IF(AB$566&gt;=$C796,MIN(-(SUM($F796:AA796)-$E796),($E796*(1-$D$568))*$D796),0)*AB$564</f>
        <v>0</v>
      </c>
      <c r="AC796" s="319">
        <f>IF(AC$566&gt;=$C796,MIN(-(SUM($F796:AB796)-$E796),($E796*(1-$D$568))*$D796),0)*AC$564</f>
        <v>0</v>
      </c>
      <c r="AD796" s="319">
        <f>IF(AD$566&gt;=$C796,MIN(-(SUM($F796:AC796)-$E796),($E796*(1-$D$568))*$D796),0)*AD$564</f>
        <v>0</v>
      </c>
      <c r="AE796" s="319">
        <f>IF(AE$566&gt;=$C796,MIN(-(SUM($F796:AD796)-$E796),($E796*(1-$D$568))*$D796),0)*AE$564</f>
        <v>0</v>
      </c>
      <c r="AF796" s="319">
        <f>IF(AF$566&gt;=$C796,MIN(-(SUM($F796:AE796)-$E796),($E796*(1-$D$568))*$D796),0)*AF$564</f>
        <v>0</v>
      </c>
      <c r="AG796" s="319">
        <f>IF(AG$566&gt;=$C796,MIN(-(SUM($F796:AF796)-$E796),($E796*(1-$D$568))*$D796),0)*AG$564</f>
        <v>0</v>
      </c>
      <c r="AH796" s="319">
        <f>IF(AH$566&gt;=$C796,MIN(-(SUM($F796:AG796)-$E796),($E796*(1-$D$568))*$D796),0)*AH$564</f>
        <v>0</v>
      </c>
      <c r="AI796" s="319">
        <f>IF(AI$566&gt;=$C796,MIN(-(SUM($F796:AH796)-$E796),($E796*(1-$D$568))*$D796),0)*AI$564</f>
        <v>0</v>
      </c>
      <c r="AJ796" s="319">
        <f>IF(AJ$566&gt;=$C796,MIN(-(SUM($F796:AI796)-$E796),($E796*(1-$D$568))*$D796),0)*AJ$564</f>
        <v>0</v>
      </c>
      <c r="AK796" s="319">
        <f>IF(AK$566&gt;=$C796,MIN(-(SUM($F796:AJ796)-$E796),($E796*(1-$D$568))*$D796),0)*AK$564</f>
        <v>0</v>
      </c>
      <c r="AL796" s="319">
        <f>IF(AL$566&gt;=$C796,MIN(-(SUM($F796:AK796)-$E796),($E796*(1-$D$568))*$D796),0)*AL$564</f>
        <v>0</v>
      </c>
      <c r="AM796" s="319">
        <f>IF(AM$566&gt;=$C796,MIN(-(SUM($F796:AL796)-$E796),($E796*(1-$D$568))*$D796),0)*AM$564</f>
        <v>0</v>
      </c>
      <c r="AN796" s="319">
        <f>IF(AN$566&gt;=$C796,MIN(-(SUM($F796:AM796)-$E796),($E796*(1-$D$568))*$D796),0)*AN$564</f>
        <v>0</v>
      </c>
    </row>
    <row r="797" spans="3:40" outlineLevel="4">
      <c r="C797">
        <v>2</v>
      </c>
      <c r="D797">
        <f>Inputs!$D$261</f>
        <v>0.1</v>
      </c>
      <c r="E797" s="319">
        <v>22.6</v>
      </c>
      <c r="F797" s="461">
        <f>E797*D793</f>
        <v>0</v>
      </c>
      <c r="G797" s="319">
        <f>IF(G$566&gt;=$C797,MIN(-(SUM(F797:$F797)-$E797),($E797*(1-$D$568))*$D797),0)*G$564</f>
        <v>0</v>
      </c>
      <c r="H797" s="319">
        <f>IF(H$566&gt;=$C797,MIN(-(SUM($F797:G797)-$E797),($E797*(1-$D$568))*$D797),0)*H$564</f>
        <v>2.2600000000000002</v>
      </c>
      <c r="I797" s="319">
        <f>IF(I$566&gt;=$C797,MIN(-(SUM($F797:H797)-$E797),($E797*(1-$D$568))*$D797),0)*I$564</f>
        <v>2.2600000000000002</v>
      </c>
      <c r="J797" s="319">
        <f>IF(J$566&gt;=$C797,MIN(-(SUM($F797:I797)-$E797),($E797*(1-$D$568))*$D797),0)*J$564</f>
        <v>2.2600000000000002</v>
      </c>
      <c r="K797" s="319">
        <f>IF(K$566&gt;=$C797,MIN(-(SUM($F797:J797)-$E797),($E797*(1-$D$568))*$D797),0)*K$564</f>
        <v>2.2600000000000002</v>
      </c>
      <c r="L797" s="319">
        <f>IF(L$566&gt;=$C797,MIN(-(SUM($F797:K797)-$E797),($E797*(1-$D$568))*$D797),0)*L$564</f>
        <v>2.2600000000000002</v>
      </c>
      <c r="M797" s="319">
        <f>IF(M$566&gt;=$C797,MIN(-(SUM($F797:L797)-$E797),($E797*(1-$D$568))*$D797),0)*M$564</f>
        <v>2.2600000000000002</v>
      </c>
      <c r="N797" s="319">
        <f>IF(N$566&gt;=$C797,MIN(-(SUM($F797:M797)-$E797),($E797*(1-$D$568))*$D797),0)*N$564</f>
        <v>2.2600000000000002</v>
      </c>
      <c r="O797" s="319">
        <f>IF(O$566&gt;=$C797,MIN(-(SUM($F797:N797)-$E797),($E797*(1-$D$568))*$D797),0)*O$564</f>
        <v>2.2600000000000002</v>
      </c>
      <c r="P797" s="319">
        <f>IF(P$566&gt;=$C797,MIN(-(SUM($F797:O797)-$E797),($E797*(1-$D$568))*$D797),0)*P$564</f>
        <v>2.2600000000000002</v>
      </c>
      <c r="Q797" s="319">
        <f>IF(Q$566&gt;=$C797,MIN(-(SUM($F797:P797)-$E797),($E797*(1-$D$568))*$D797),0)*Q$564</f>
        <v>2.259999999999998</v>
      </c>
      <c r="R797" s="319">
        <f>IF(R$566&gt;=$C797,MIN(-(SUM($F797:Q797)-$E797),($E797*(1-$D$568))*$D797),0)*R$564</f>
        <v>0</v>
      </c>
      <c r="S797" s="319">
        <f>IF(S$566&gt;=$C797,MIN(-(SUM($F797:R797)-$E797),($E797*(1-$D$568))*$D797),0)*S$564</f>
        <v>0</v>
      </c>
      <c r="T797" s="319">
        <f>IF(T$566&gt;=$C797,MIN(-(SUM($F797:S797)-$E797),($E797*(1-$D$568))*$D797),0)*T$564</f>
        <v>0</v>
      </c>
      <c r="U797" s="319">
        <f>IF(U$566&gt;=$C797,MIN(-(SUM($F797:T797)-$E797),($E797*(1-$D$568))*$D797),0)*U$564</f>
        <v>0</v>
      </c>
      <c r="V797" s="319">
        <f>IF(V$566&gt;=$C797,MIN(-(SUM($F797:U797)-$E797),($E797*(1-$D$568))*$D797),0)*V$564</f>
        <v>0</v>
      </c>
      <c r="W797" s="319">
        <f>IF(W$566&gt;=$C797,MIN(-(SUM($F797:V797)-$E797),($E797*(1-$D$568))*$D797),0)*W$564</f>
        <v>0</v>
      </c>
      <c r="X797" s="319">
        <f>IF(X$566&gt;=$C797,MIN(-(SUM($F797:W797)-$E797),($E797*(1-$D$568))*$D797),0)*X$564</f>
        <v>0</v>
      </c>
      <c r="Y797" s="319">
        <f>IF(Y$566&gt;=$C797,MIN(-(SUM($F797:X797)-$E797),($E797*(1-$D$568))*$D797),0)*Y$564</f>
        <v>0</v>
      </c>
      <c r="Z797" s="319">
        <f>IF(Z$566&gt;=$C797,MIN(-(SUM($F797:Y797)-$E797),($E797*(1-$D$568))*$D797),0)*Z$564</f>
        <v>0</v>
      </c>
      <c r="AA797" s="319">
        <f>IF(AA$566&gt;=$C797,MIN(-(SUM($F797:Z797)-$E797),($E797*(1-$D$568))*$D797),0)*AA$564</f>
        <v>0</v>
      </c>
      <c r="AB797" s="319">
        <f>IF(AB$566&gt;=$C797,MIN(-(SUM($F797:AA797)-$E797),($E797*(1-$D$568))*$D797),0)*AB$564</f>
        <v>0</v>
      </c>
      <c r="AC797" s="319">
        <f>IF(AC$566&gt;=$C797,MIN(-(SUM($F797:AB797)-$E797),($E797*(1-$D$568))*$D797),0)*AC$564</f>
        <v>0</v>
      </c>
      <c r="AD797" s="319">
        <f>IF(AD$566&gt;=$C797,MIN(-(SUM($F797:AC797)-$E797),($E797*(1-$D$568))*$D797),0)*AD$564</f>
        <v>0</v>
      </c>
      <c r="AE797" s="319">
        <f>IF(AE$566&gt;=$C797,MIN(-(SUM($F797:AD797)-$E797),($E797*(1-$D$568))*$D797),0)*AE$564</f>
        <v>0</v>
      </c>
      <c r="AF797" s="319">
        <f>IF(AF$566&gt;=$C797,MIN(-(SUM($F797:AE797)-$E797),($E797*(1-$D$568))*$D797),0)*AF$564</f>
        <v>0</v>
      </c>
      <c r="AG797" s="319">
        <f>IF(AG$566&gt;=$C797,MIN(-(SUM($F797:AF797)-$E797),($E797*(1-$D$568))*$D797),0)*AG$564</f>
        <v>0</v>
      </c>
      <c r="AH797" s="319">
        <f>IF(AH$566&gt;=$C797,MIN(-(SUM($F797:AG797)-$E797),($E797*(1-$D$568))*$D797),0)*AH$564</f>
        <v>0</v>
      </c>
      <c r="AI797" s="319">
        <f>IF(AI$566&gt;=$C797,MIN(-(SUM($F797:AH797)-$E797),($E797*(1-$D$568))*$D797),0)*AI$564</f>
        <v>0</v>
      </c>
      <c r="AJ797" s="319">
        <f>IF(AJ$566&gt;=$C797,MIN(-(SUM($F797:AI797)-$E797),($E797*(1-$D$568))*$D797),0)*AJ$564</f>
        <v>0</v>
      </c>
      <c r="AK797" s="319">
        <f>IF(AK$566&gt;=$C797,MIN(-(SUM($F797:AJ797)-$E797),($E797*(1-$D$568))*$D797),0)*AK$564</f>
        <v>0</v>
      </c>
      <c r="AL797" s="319">
        <f>IF(AL$566&gt;=$C797,MIN(-(SUM($F797:AK797)-$E797),($E797*(1-$D$568))*$D797),0)*AL$564</f>
        <v>0</v>
      </c>
      <c r="AM797" s="319">
        <f>IF(AM$566&gt;=$C797,MIN(-(SUM($F797:AL797)-$E797),($E797*(1-$D$568))*$D797),0)*AM$564</f>
        <v>0</v>
      </c>
      <c r="AN797" s="319">
        <f>IF(AN$566&gt;=$C797,MIN(-(SUM($F797:AM797)-$E797),($E797*(1-$D$568))*$D797),0)*AN$564</f>
        <v>0</v>
      </c>
    </row>
    <row r="798" spans="3:40" outlineLevel="4">
      <c r="C798">
        <v>3</v>
      </c>
      <c r="D798">
        <f>Inputs!$D$261</f>
        <v>0.1</v>
      </c>
      <c r="E798" s="319">
        <v>0</v>
      </c>
      <c r="F798" s="461">
        <f>E798*D793</f>
        <v>0</v>
      </c>
      <c r="G798" s="319">
        <f>IF(G$566&gt;=$C798,MIN(-(SUM(F798:$F798)-$E798),($E798*(1-$D$568))*$D798),0)*G$564</f>
        <v>0</v>
      </c>
      <c r="H798" s="319">
        <f>IF(H$566&gt;=$C798,MIN(-(SUM($F798:G798)-$E798),($E798*(1-$D$568))*$D798),0)*H$564</f>
        <v>0</v>
      </c>
      <c r="I798" s="319">
        <f>IF(I$566&gt;=$C798,MIN(-(SUM($F798:H798)-$E798),($E798*(1-$D$568))*$D798),0)*I$564</f>
        <v>0</v>
      </c>
      <c r="J798" s="319">
        <f>IF(J$566&gt;=$C798,MIN(-(SUM($F798:I798)-$E798),($E798*(1-$D$568))*$D798),0)*J$564</f>
        <v>0</v>
      </c>
      <c r="K798" s="319">
        <f>IF(K$566&gt;=$C798,MIN(-(SUM($F798:J798)-$E798),($E798*(1-$D$568))*$D798),0)*K$564</f>
        <v>0</v>
      </c>
      <c r="L798" s="319">
        <f>IF(L$566&gt;=$C798,MIN(-(SUM($F798:K798)-$E798),($E798*(1-$D$568))*$D798),0)*L$564</f>
        <v>0</v>
      </c>
      <c r="M798" s="319">
        <f>IF(M$566&gt;=$C798,MIN(-(SUM($F798:L798)-$E798),($E798*(1-$D$568))*$D798),0)*M$564</f>
        <v>0</v>
      </c>
      <c r="N798" s="319">
        <f>IF(N$566&gt;=$C798,MIN(-(SUM($F798:M798)-$E798),($E798*(1-$D$568))*$D798),0)*N$564</f>
        <v>0</v>
      </c>
      <c r="O798" s="319">
        <f>IF(O$566&gt;=$C798,MIN(-(SUM($F798:N798)-$E798),($E798*(1-$D$568))*$D798),0)*O$564</f>
        <v>0</v>
      </c>
      <c r="P798" s="319">
        <f>IF(P$566&gt;=$C798,MIN(-(SUM($F798:O798)-$E798),($E798*(1-$D$568))*$D798),0)*P$564</f>
        <v>0</v>
      </c>
      <c r="Q798" s="319">
        <f>IF(Q$566&gt;=$C798,MIN(-(SUM($F798:P798)-$E798),($E798*(1-$D$568))*$D798),0)*Q$564</f>
        <v>0</v>
      </c>
      <c r="R798" s="319">
        <f>IF(R$566&gt;=$C798,MIN(-(SUM($F798:Q798)-$E798),($E798*(1-$D$568))*$D798),0)*R$564</f>
        <v>0</v>
      </c>
      <c r="S798" s="319">
        <f>IF(S$566&gt;=$C798,MIN(-(SUM($F798:R798)-$E798),($E798*(1-$D$568))*$D798),0)*S$564</f>
        <v>0</v>
      </c>
      <c r="T798" s="319">
        <f>IF(T$566&gt;=$C798,MIN(-(SUM($F798:S798)-$E798),($E798*(1-$D$568))*$D798),0)*T$564</f>
        <v>0</v>
      </c>
      <c r="U798" s="319">
        <f>IF(U$566&gt;=$C798,MIN(-(SUM($F798:T798)-$E798),($E798*(1-$D$568))*$D798),0)*U$564</f>
        <v>0</v>
      </c>
      <c r="V798" s="319">
        <f>IF(V$566&gt;=$C798,MIN(-(SUM($F798:U798)-$E798),($E798*(1-$D$568))*$D798),0)*V$564</f>
        <v>0</v>
      </c>
      <c r="W798" s="319">
        <f>IF(W$566&gt;=$C798,MIN(-(SUM($F798:V798)-$E798),($E798*(1-$D$568))*$D798),0)*W$564</f>
        <v>0</v>
      </c>
      <c r="X798" s="319">
        <f>IF(X$566&gt;=$C798,MIN(-(SUM($F798:W798)-$E798),($E798*(1-$D$568))*$D798),0)*X$564</f>
        <v>0</v>
      </c>
      <c r="Y798" s="319">
        <f>IF(Y$566&gt;=$C798,MIN(-(SUM($F798:X798)-$E798),($E798*(1-$D$568))*$D798),0)*Y$564</f>
        <v>0</v>
      </c>
      <c r="Z798" s="319">
        <f>IF(Z$566&gt;=$C798,MIN(-(SUM($F798:Y798)-$E798),($E798*(1-$D$568))*$D798),0)*Z$564</f>
        <v>0</v>
      </c>
      <c r="AA798" s="319">
        <f>IF(AA$566&gt;=$C798,MIN(-(SUM($F798:Z798)-$E798),($E798*(1-$D$568))*$D798),0)*AA$564</f>
        <v>0</v>
      </c>
      <c r="AB798" s="319">
        <f>IF(AB$566&gt;=$C798,MIN(-(SUM($F798:AA798)-$E798),($E798*(1-$D$568))*$D798),0)*AB$564</f>
        <v>0</v>
      </c>
      <c r="AC798" s="319">
        <f>IF(AC$566&gt;=$C798,MIN(-(SUM($F798:AB798)-$E798),($E798*(1-$D$568))*$D798),0)*AC$564</f>
        <v>0</v>
      </c>
      <c r="AD798" s="319">
        <f>IF(AD$566&gt;=$C798,MIN(-(SUM($F798:AC798)-$E798),($E798*(1-$D$568))*$D798),0)*AD$564</f>
        <v>0</v>
      </c>
      <c r="AE798" s="319">
        <f>IF(AE$566&gt;=$C798,MIN(-(SUM($F798:AD798)-$E798),($E798*(1-$D$568))*$D798),0)*AE$564</f>
        <v>0</v>
      </c>
      <c r="AF798" s="319">
        <f>IF(AF$566&gt;=$C798,MIN(-(SUM($F798:AE798)-$E798),($E798*(1-$D$568))*$D798),0)*AF$564</f>
        <v>0</v>
      </c>
      <c r="AG798" s="319">
        <f>IF(AG$566&gt;=$C798,MIN(-(SUM($F798:AF798)-$E798),($E798*(1-$D$568))*$D798),0)*AG$564</f>
        <v>0</v>
      </c>
      <c r="AH798" s="319">
        <f>IF(AH$566&gt;=$C798,MIN(-(SUM($F798:AG798)-$E798),($E798*(1-$D$568))*$D798),0)*AH$564</f>
        <v>0</v>
      </c>
      <c r="AI798" s="319">
        <f>IF(AI$566&gt;=$C798,MIN(-(SUM($F798:AH798)-$E798),($E798*(1-$D$568))*$D798),0)*AI$564</f>
        <v>0</v>
      </c>
      <c r="AJ798" s="319">
        <f>IF(AJ$566&gt;=$C798,MIN(-(SUM($F798:AI798)-$E798),($E798*(1-$D$568))*$D798),0)*AJ$564</f>
        <v>0</v>
      </c>
      <c r="AK798" s="319">
        <f>IF(AK$566&gt;=$C798,MIN(-(SUM($F798:AJ798)-$E798),($E798*(1-$D$568))*$D798),0)*AK$564</f>
        <v>0</v>
      </c>
      <c r="AL798" s="319">
        <f>IF(AL$566&gt;=$C798,MIN(-(SUM($F798:AK798)-$E798),($E798*(1-$D$568))*$D798),0)*AL$564</f>
        <v>0</v>
      </c>
      <c r="AM798" s="319">
        <f>IF(AM$566&gt;=$C798,MIN(-(SUM($F798:AL798)-$E798),($E798*(1-$D$568))*$D798),0)*AM$564</f>
        <v>0</v>
      </c>
      <c r="AN798" s="319">
        <f>IF(AN$566&gt;=$C798,MIN(-(SUM($F798:AM798)-$E798),($E798*(1-$D$568))*$D798),0)*AN$564</f>
        <v>0</v>
      </c>
    </row>
    <row r="799" spans="3:40" outlineLevel="4">
      <c r="C799">
        <v>4</v>
      </c>
      <c r="D799">
        <f>Inputs!$D$261</f>
        <v>0.1</v>
      </c>
      <c r="E799" s="319">
        <v>62.407200000000003</v>
      </c>
      <c r="F799" s="461">
        <f>E799*D793</f>
        <v>0</v>
      </c>
      <c r="G799" s="319">
        <f>IF(G$566&gt;=$C799,MIN(-(SUM(F799:$F799)-$E799),($E799*(1-$D$568))*$D799),0)*G$564</f>
        <v>0</v>
      </c>
      <c r="H799" s="319">
        <f>IF(H$566&gt;=$C799,MIN(-(SUM($F799:G799)-$E799),($E799*(1-$D$568))*$D799),0)*H$564</f>
        <v>0</v>
      </c>
      <c r="I799" s="319">
        <f>IF(I$566&gt;=$C799,MIN(-(SUM($F799:H799)-$E799),($E799*(1-$D$568))*$D799),0)*I$564</f>
        <v>0</v>
      </c>
      <c r="J799" s="319">
        <f>IF(J$566&gt;=$C799,MIN(-(SUM($F799:I799)-$E799),($E799*(1-$D$568))*$D799),0)*J$564</f>
        <v>6.2407200000000005</v>
      </c>
      <c r="K799" s="319">
        <f>IF(K$566&gt;=$C799,MIN(-(SUM($F799:J799)-$E799),($E799*(1-$D$568))*$D799),0)*K$564</f>
        <v>6.2407200000000005</v>
      </c>
      <c r="L799" s="319">
        <f>IF(L$566&gt;=$C799,MIN(-(SUM($F799:K799)-$E799),($E799*(1-$D$568))*$D799),0)*L$564</f>
        <v>6.2407200000000005</v>
      </c>
      <c r="M799" s="319">
        <f>IF(M$566&gt;=$C799,MIN(-(SUM($F799:L799)-$E799),($E799*(1-$D$568))*$D799),0)*M$564</f>
        <v>6.2407200000000005</v>
      </c>
      <c r="N799" s="319">
        <f>IF(N$566&gt;=$C799,MIN(-(SUM($F799:M799)-$E799),($E799*(1-$D$568))*$D799),0)*N$564</f>
        <v>6.2407200000000005</v>
      </c>
      <c r="O799" s="319">
        <f>IF(O$566&gt;=$C799,MIN(-(SUM($F799:N799)-$E799),($E799*(1-$D$568))*$D799),0)*O$564</f>
        <v>6.2407200000000005</v>
      </c>
      <c r="P799" s="319">
        <f>IF(P$566&gt;=$C799,MIN(-(SUM($F799:O799)-$E799),($E799*(1-$D$568))*$D799),0)*P$564</f>
        <v>6.2407200000000005</v>
      </c>
      <c r="Q799" s="319">
        <f>IF(Q$566&gt;=$C799,MIN(-(SUM($F799:P799)-$E799),($E799*(1-$D$568))*$D799),0)*Q$564</f>
        <v>6.2407200000000005</v>
      </c>
      <c r="R799" s="319">
        <f>IF(R$566&gt;=$C799,MIN(-(SUM($F799:Q799)-$E799),($E799*(1-$D$568))*$D799),0)*R$564</f>
        <v>6.2407200000000005</v>
      </c>
      <c r="S799" s="319">
        <f>IF(S$566&gt;=$C799,MIN(-(SUM($F799:R799)-$E799),($E799*(1-$D$568))*$D799),0)*S$564</f>
        <v>6.2407199999999889</v>
      </c>
      <c r="T799" s="319">
        <f>IF(T$566&gt;=$C799,MIN(-(SUM($F799:S799)-$E799),($E799*(1-$D$568))*$D799),0)*T$564</f>
        <v>0</v>
      </c>
      <c r="U799" s="319">
        <f>IF(U$566&gt;=$C799,MIN(-(SUM($F799:T799)-$E799),($E799*(1-$D$568))*$D799),0)*U$564</f>
        <v>0</v>
      </c>
      <c r="V799" s="319">
        <f>IF(V$566&gt;=$C799,MIN(-(SUM($F799:U799)-$E799),($E799*(1-$D$568))*$D799),0)*V$564</f>
        <v>0</v>
      </c>
      <c r="W799" s="319">
        <f>IF(W$566&gt;=$C799,MIN(-(SUM($F799:V799)-$E799),($E799*(1-$D$568))*$D799),0)*W$564</f>
        <v>0</v>
      </c>
      <c r="X799" s="319">
        <f>IF(X$566&gt;=$C799,MIN(-(SUM($F799:W799)-$E799),($E799*(1-$D$568))*$D799),0)*X$564</f>
        <v>0</v>
      </c>
      <c r="Y799" s="319">
        <f>IF(Y$566&gt;=$C799,MIN(-(SUM($F799:X799)-$E799),($E799*(1-$D$568))*$D799),0)*Y$564</f>
        <v>0</v>
      </c>
      <c r="Z799" s="319">
        <f>IF(Z$566&gt;=$C799,MIN(-(SUM($F799:Y799)-$E799),($E799*(1-$D$568))*$D799),0)*Z$564</f>
        <v>0</v>
      </c>
      <c r="AA799" s="319">
        <f>IF(AA$566&gt;=$C799,MIN(-(SUM($F799:Z799)-$E799),($E799*(1-$D$568))*$D799),0)*AA$564</f>
        <v>0</v>
      </c>
      <c r="AB799" s="319">
        <f>IF(AB$566&gt;=$C799,MIN(-(SUM($F799:AA799)-$E799),($E799*(1-$D$568))*$D799),0)*AB$564</f>
        <v>0</v>
      </c>
      <c r="AC799" s="319">
        <f>IF(AC$566&gt;=$C799,MIN(-(SUM($F799:AB799)-$E799),($E799*(1-$D$568))*$D799),0)*AC$564</f>
        <v>0</v>
      </c>
      <c r="AD799" s="319">
        <f>IF(AD$566&gt;=$C799,MIN(-(SUM($F799:AC799)-$E799),($E799*(1-$D$568))*$D799),0)*AD$564</f>
        <v>0</v>
      </c>
      <c r="AE799" s="319">
        <f>IF(AE$566&gt;=$C799,MIN(-(SUM($F799:AD799)-$E799),($E799*(1-$D$568))*$D799),0)*AE$564</f>
        <v>0</v>
      </c>
      <c r="AF799" s="319">
        <f>IF(AF$566&gt;=$C799,MIN(-(SUM($F799:AE799)-$E799),($E799*(1-$D$568))*$D799),0)*AF$564</f>
        <v>0</v>
      </c>
      <c r="AG799" s="319">
        <f>IF(AG$566&gt;=$C799,MIN(-(SUM($F799:AF799)-$E799),($E799*(1-$D$568))*$D799),0)*AG$564</f>
        <v>0</v>
      </c>
      <c r="AH799" s="319">
        <f>IF(AH$566&gt;=$C799,MIN(-(SUM($F799:AG799)-$E799),($E799*(1-$D$568))*$D799),0)*AH$564</f>
        <v>0</v>
      </c>
      <c r="AI799" s="319">
        <f>IF(AI$566&gt;=$C799,MIN(-(SUM($F799:AH799)-$E799),($E799*(1-$D$568))*$D799),0)*AI$564</f>
        <v>0</v>
      </c>
      <c r="AJ799" s="319">
        <f>IF(AJ$566&gt;=$C799,MIN(-(SUM($F799:AI799)-$E799),($E799*(1-$D$568))*$D799),0)*AJ$564</f>
        <v>0</v>
      </c>
      <c r="AK799" s="319">
        <f>IF(AK$566&gt;=$C799,MIN(-(SUM($F799:AJ799)-$E799),($E799*(1-$D$568))*$D799),0)*AK$564</f>
        <v>0</v>
      </c>
      <c r="AL799" s="319">
        <f>IF(AL$566&gt;=$C799,MIN(-(SUM($F799:AK799)-$E799),($E799*(1-$D$568))*$D799),0)*AL$564</f>
        <v>0</v>
      </c>
      <c r="AM799" s="319">
        <f>IF(AM$566&gt;=$C799,MIN(-(SUM($F799:AL799)-$E799),($E799*(1-$D$568))*$D799),0)*AM$564</f>
        <v>0</v>
      </c>
      <c r="AN799" s="319">
        <f>IF(AN$566&gt;=$C799,MIN(-(SUM($F799:AM799)-$E799),($E799*(1-$D$568))*$D799),0)*AN$564</f>
        <v>0</v>
      </c>
    </row>
    <row r="800" spans="3:40" outlineLevel="4">
      <c r="C800">
        <v>5</v>
      </c>
      <c r="D800">
        <f>Inputs!$D$261</f>
        <v>0.1</v>
      </c>
      <c r="E800" s="319">
        <v>0</v>
      </c>
      <c r="F800" s="461">
        <f>E800*D793</f>
        <v>0</v>
      </c>
      <c r="G800" s="319">
        <f>IF(G$566&gt;=$C800,MIN(-(SUM(F800:$F800)-$E800),($E800*(1-$D$568))*$D800),0)*G$564</f>
        <v>0</v>
      </c>
      <c r="H800" s="319">
        <f>IF(H$566&gt;=$C800,MIN(-(SUM($F800:G800)-$E800),($E800*(1-$D$568))*$D800),0)*H$564</f>
        <v>0</v>
      </c>
      <c r="I800" s="319">
        <f>IF(I$566&gt;=$C800,MIN(-(SUM($F800:H800)-$E800),($E800*(1-$D$568))*$D800),0)*I$564</f>
        <v>0</v>
      </c>
      <c r="J800" s="319">
        <f>IF(J$566&gt;=$C800,MIN(-(SUM($F800:I800)-$E800),($E800*(1-$D$568))*$D800),0)*J$564</f>
        <v>0</v>
      </c>
      <c r="K800" s="319">
        <f>IF(K$566&gt;=$C800,MIN(-(SUM($F800:J800)-$E800),($E800*(1-$D$568))*$D800),0)*K$564</f>
        <v>0</v>
      </c>
      <c r="L800" s="319">
        <f>IF(L$566&gt;=$C800,MIN(-(SUM($F800:K800)-$E800),($E800*(1-$D$568))*$D800),0)*L$564</f>
        <v>0</v>
      </c>
      <c r="M800" s="319">
        <f>IF(M$566&gt;=$C800,MIN(-(SUM($F800:L800)-$E800),($E800*(1-$D$568))*$D800),0)*M$564</f>
        <v>0</v>
      </c>
      <c r="N800" s="319">
        <f>IF(N$566&gt;=$C800,MIN(-(SUM($F800:M800)-$E800),($E800*(1-$D$568))*$D800),0)*N$564</f>
        <v>0</v>
      </c>
      <c r="O800" s="319">
        <f>IF(O$566&gt;=$C800,MIN(-(SUM($F800:N800)-$E800),($E800*(1-$D$568))*$D800),0)*O$564</f>
        <v>0</v>
      </c>
      <c r="P800" s="319">
        <f>IF(P$566&gt;=$C800,MIN(-(SUM($F800:O800)-$E800),($E800*(1-$D$568))*$D800),0)*P$564</f>
        <v>0</v>
      </c>
      <c r="Q800" s="319">
        <f>IF(Q$566&gt;=$C800,MIN(-(SUM($F800:P800)-$E800),($E800*(1-$D$568))*$D800),0)*Q$564</f>
        <v>0</v>
      </c>
      <c r="R800" s="319">
        <f>IF(R$566&gt;=$C800,MIN(-(SUM($F800:Q800)-$E800),($E800*(1-$D$568))*$D800),0)*R$564</f>
        <v>0</v>
      </c>
      <c r="S800" s="319">
        <f>IF(S$566&gt;=$C800,MIN(-(SUM($F800:R800)-$E800),($E800*(1-$D$568))*$D800),0)*S$564</f>
        <v>0</v>
      </c>
      <c r="T800" s="319">
        <f>IF(T$566&gt;=$C800,MIN(-(SUM($F800:S800)-$E800),($E800*(1-$D$568))*$D800),0)*T$564</f>
        <v>0</v>
      </c>
      <c r="U800" s="319">
        <f>IF(U$566&gt;=$C800,MIN(-(SUM($F800:T800)-$E800),($E800*(1-$D$568))*$D800),0)*U$564</f>
        <v>0</v>
      </c>
      <c r="V800" s="319">
        <f>IF(V$566&gt;=$C800,MIN(-(SUM($F800:U800)-$E800),($E800*(1-$D$568))*$D800),0)*V$564</f>
        <v>0</v>
      </c>
      <c r="W800" s="319">
        <f>IF(W$566&gt;=$C800,MIN(-(SUM($F800:V800)-$E800),($E800*(1-$D$568))*$D800),0)*W$564</f>
        <v>0</v>
      </c>
      <c r="X800" s="319">
        <f>IF(X$566&gt;=$C800,MIN(-(SUM($F800:W800)-$E800),($E800*(1-$D$568))*$D800),0)*X$564</f>
        <v>0</v>
      </c>
      <c r="Y800" s="319">
        <f>IF(Y$566&gt;=$C800,MIN(-(SUM($F800:X800)-$E800),($E800*(1-$D$568))*$D800),0)*Y$564</f>
        <v>0</v>
      </c>
      <c r="Z800" s="319">
        <f>IF(Z$566&gt;=$C800,MIN(-(SUM($F800:Y800)-$E800),($E800*(1-$D$568))*$D800),0)*Z$564</f>
        <v>0</v>
      </c>
      <c r="AA800" s="319">
        <f>IF(AA$566&gt;=$C800,MIN(-(SUM($F800:Z800)-$E800),($E800*(1-$D$568))*$D800),0)*AA$564</f>
        <v>0</v>
      </c>
      <c r="AB800" s="319">
        <f>IF(AB$566&gt;=$C800,MIN(-(SUM($F800:AA800)-$E800),($E800*(1-$D$568))*$D800),0)*AB$564</f>
        <v>0</v>
      </c>
      <c r="AC800" s="319">
        <f>IF(AC$566&gt;=$C800,MIN(-(SUM($F800:AB800)-$E800),($E800*(1-$D$568))*$D800),0)*AC$564</f>
        <v>0</v>
      </c>
      <c r="AD800" s="319">
        <f>IF(AD$566&gt;=$C800,MIN(-(SUM($F800:AC800)-$E800),($E800*(1-$D$568))*$D800),0)*AD$564</f>
        <v>0</v>
      </c>
      <c r="AE800" s="319">
        <f>IF(AE$566&gt;=$C800,MIN(-(SUM($F800:AD800)-$E800),($E800*(1-$D$568))*$D800),0)*AE$564</f>
        <v>0</v>
      </c>
      <c r="AF800" s="319">
        <f>IF(AF$566&gt;=$C800,MIN(-(SUM($F800:AE800)-$E800),($E800*(1-$D$568))*$D800),0)*AF$564</f>
        <v>0</v>
      </c>
      <c r="AG800" s="319">
        <f>IF(AG$566&gt;=$C800,MIN(-(SUM($F800:AF800)-$E800),($E800*(1-$D$568))*$D800),0)*AG$564</f>
        <v>0</v>
      </c>
      <c r="AH800" s="319">
        <f>IF(AH$566&gt;=$C800,MIN(-(SUM($F800:AG800)-$E800),($E800*(1-$D$568))*$D800),0)*AH$564</f>
        <v>0</v>
      </c>
      <c r="AI800" s="319">
        <f>IF(AI$566&gt;=$C800,MIN(-(SUM($F800:AH800)-$E800),($E800*(1-$D$568))*$D800),0)*AI$564</f>
        <v>0</v>
      </c>
      <c r="AJ800" s="319">
        <f>IF(AJ$566&gt;=$C800,MIN(-(SUM($F800:AI800)-$E800),($E800*(1-$D$568))*$D800),0)*AJ$564</f>
        <v>0</v>
      </c>
      <c r="AK800" s="319">
        <f>IF(AK$566&gt;=$C800,MIN(-(SUM($F800:AJ800)-$E800),($E800*(1-$D$568))*$D800),0)*AK$564</f>
        <v>0</v>
      </c>
      <c r="AL800" s="319">
        <f>IF(AL$566&gt;=$C800,MIN(-(SUM($F800:AK800)-$E800),($E800*(1-$D$568))*$D800),0)*AL$564</f>
        <v>0</v>
      </c>
      <c r="AM800" s="319">
        <f>IF(AM$566&gt;=$C800,MIN(-(SUM($F800:AL800)-$E800),($E800*(1-$D$568))*$D800),0)*AM$564</f>
        <v>0</v>
      </c>
      <c r="AN800" s="319">
        <f>IF(AN$566&gt;=$C800,MIN(-(SUM($F800:AM800)-$E800),($E800*(1-$D$568))*$D800),0)*AN$564</f>
        <v>0</v>
      </c>
    </row>
    <row r="801" spans="3:40" outlineLevel="4">
      <c r="C801">
        <v>6</v>
      </c>
      <c r="D801">
        <f>Inputs!$D$261</f>
        <v>0.1</v>
      </c>
      <c r="E801" s="319">
        <v>49.298900000000003</v>
      </c>
      <c r="F801" s="461">
        <f>E801*D793</f>
        <v>0</v>
      </c>
      <c r="G801" s="319">
        <f>IF(G$566&gt;=$C801,MIN(-(SUM(F801:$F801)-$E801),($E801*(1-$D$568))*$D801),0)*G$564</f>
        <v>0</v>
      </c>
      <c r="H801" s="319">
        <f>IF(H$566&gt;=$C801,MIN(-(SUM($F801:G801)-$E801),($E801*(1-$D$568))*$D801),0)*H$564</f>
        <v>0</v>
      </c>
      <c r="I801" s="319">
        <f>IF(I$566&gt;=$C801,MIN(-(SUM($F801:H801)-$E801),($E801*(1-$D$568))*$D801),0)*I$564</f>
        <v>0</v>
      </c>
      <c r="J801" s="319">
        <f>IF(J$566&gt;=$C801,MIN(-(SUM($F801:I801)-$E801),($E801*(1-$D$568))*$D801),0)*J$564</f>
        <v>0</v>
      </c>
      <c r="K801" s="319">
        <f>IF(K$566&gt;=$C801,MIN(-(SUM($F801:J801)-$E801),($E801*(1-$D$568))*$D801),0)*K$564</f>
        <v>0</v>
      </c>
      <c r="L801" s="319">
        <f>IF(L$566&gt;=$C801,MIN(-(SUM($F801:K801)-$E801),($E801*(1-$D$568))*$D801),0)*L$564</f>
        <v>4.9298900000000003</v>
      </c>
      <c r="M801" s="319">
        <f>IF(M$566&gt;=$C801,MIN(-(SUM($F801:L801)-$E801),($E801*(1-$D$568))*$D801),0)*M$564</f>
        <v>4.9298900000000003</v>
      </c>
      <c r="N801" s="319">
        <f>IF(N$566&gt;=$C801,MIN(-(SUM($F801:M801)-$E801),($E801*(1-$D$568))*$D801),0)*N$564</f>
        <v>4.9298900000000003</v>
      </c>
      <c r="O801" s="319">
        <f>IF(O$566&gt;=$C801,MIN(-(SUM($F801:N801)-$E801),($E801*(1-$D$568))*$D801),0)*O$564</f>
        <v>4.9298900000000003</v>
      </c>
      <c r="P801" s="319">
        <f>IF(P$566&gt;=$C801,MIN(-(SUM($F801:O801)-$E801),($E801*(1-$D$568))*$D801),0)*P$564</f>
        <v>4.9298900000000003</v>
      </c>
      <c r="Q801" s="319">
        <f>IF(Q$566&gt;=$C801,MIN(-(SUM($F801:P801)-$E801),($E801*(1-$D$568))*$D801),0)*Q$564</f>
        <v>4.9298900000000003</v>
      </c>
      <c r="R801" s="319">
        <f>IF(R$566&gt;=$C801,MIN(-(SUM($F801:Q801)-$E801),($E801*(1-$D$568))*$D801),0)*R$564</f>
        <v>4.9298900000000003</v>
      </c>
      <c r="S801" s="319">
        <f>IF(S$566&gt;=$C801,MIN(-(SUM($F801:R801)-$E801),($E801*(1-$D$568))*$D801),0)*S$564</f>
        <v>4.9298900000000003</v>
      </c>
      <c r="T801" s="319">
        <f>IF(T$566&gt;=$C801,MIN(-(SUM($F801:S801)-$E801),($E801*(1-$D$568))*$D801),0)*T$564</f>
        <v>4.9298900000000003</v>
      </c>
      <c r="U801" s="319">
        <f>IF(U$566&gt;=$C801,MIN(-(SUM($F801:T801)-$E801),($E801*(1-$D$568))*$D801),0)*U$564</f>
        <v>4.9298900000000003</v>
      </c>
      <c r="V801" s="319">
        <f>IF(V$566&gt;=$C801,MIN(-(SUM($F801:U801)-$E801),($E801*(1-$D$568))*$D801),0)*V$564</f>
        <v>0</v>
      </c>
      <c r="W801" s="319">
        <f>IF(W$566&gt;=$C801,MIN(-(SUM($F801:V801)-$E801),($E801*(1-$D$568))*$D801),0)*W$564</f>
        <v>0</v>
      </c>
      <c r="X801" s="319">
        <f>IF(X$566&gt;=$C801,MIN(-(SUM($F801:W801)-$E801),($E801*(1-$D$568))*$D801),0)*X$564</f>
        <v>0</v>
      </c>
      <c r="Y801" s="319">
        <f>IF(Y$566&gt;=$C801,MIN(-(SUM($F801:X801)-$E801),($E801*(1-$D$568))*$D801),0)*Y$564</f>
        <v>0</v>
      </c>
      <c r="Z801" s="319">
        <f>IF(Z$566&gt;=$C801,MIN(-(SUM($F801:Y801)-$E801),($E801*(1-$D$568))*$D801),0)*Z$564</f>
        <v>0</v>
      </c>
      <c r="AA801" s="319">
        <f>IF(AA$566&gt;=$C801,MIN(-(SUM($F801:Z801)-$E801),($E801*(1-$D$568))*$D801),0)*AA$564</f>
        <v>0</v>
      </c>
      <c r="AB801" s="319">
        <f>IF(AB$566&gt;=$C801,MIN(-(SUM($F801:AA801)-$E801),($E801*(1-$D$568))*$D801),0)*AB$564</f>
        <v>0</v>
      </c>
      <c r="AC801" s="319">
        <f>IF(AC$566&gt;=$C801,MIN(-(SUM($F801:AB801)-$E801),($E801*(1-$D$568))*$D801),0)*AC$564</f>
        <v>0</v>
      </c>
      <c r="AD801" s="319">
        <f>IF(AD$566&gt;=$C801,MIN(-(SUM($F801:AC801)-$E801),($E801*(1-$D$568))*$D801),0)*AD$564</f>
        <v>0</v>
      </c>
      <c r="AE801" s="319">
        <f>IF(AE$566&gt;=$C801,MIN(-(SUM($F801:AD801)-$E801),($E801*(1-$D$568))*$D801),0)*AE$564</f>
        <v>0</v>
      </c>
      <c r="AF801" s="319">
        <f>IF(AF$566&gt;=$C801,MIN(-(SUM($F801:AE801)-$E801),($E801*(1-$D$568))*$D801),0)*AF$564</f>
        <v>0</v>
      </c>
      <c r="AG801" s="319">
        <f>IF(AG$566&gt;=$C801,MIN(-(SUM($F801:AF801)-$E801),($E801*(1-$D$568))*$D801),0)*AG$564</f>
        <v>0</v>
      </c>
      <c r="AH801" s="319">
        <f>IF(AH$566&gt;=$C801,MIN(-(SUM($F801:AG801)-$E801),($E801*(1-$D$568))*$D801),0)*AH$564</f>
        <v>0</v>
      </c>
      <c r="AI801" s="319">
        <f>IF(AI$566&gt;=$C801,MIN(-(SUM($F801:AH801)-$E801),($E801*(1-$D$568))*$D801),0)*AI$564</f>
        <v>0</v>
      </c>
      <c r="AJ801" s="319">
        <f>IF(AJ$566&gt;=$C801,MIN(-(SUM($F801:AI801)-$E801),($E801*(1-$D$568))*$D801),0)*AJ$564</f>
        <v>0</v>
      </c>
      <c r="AK801" s="319">
        <f>IF(AK$566&gt;=$C801,MIN(-(SUM($F801:AJ801)-$E801),($E801*(1-$D$568))*$D801),0)*AK$564</f>
        <v>0</v>
      </c>
      <c r="AL801" s="319">
        <f>IF(AL$566&gt;=$C801,MIN(-(SUM($F801:AK801)-$E801),($E801*(1-$D$568))*$D801),0)*AL$564</f>
        <v>0</v>
      </c>
      <c r="AM801" s="319">
        <f>IF(AM$566&gt;=$C801,MIN(-(SUM($F801:AL801)-$E801),($E801*(1-$D$568))*$D801),0)*AM$564</f>
        <v>0</v>
      </c>
      <c r="AN801" s="319">
        <f>IF(AN$566&gt;=$C801,MIN(-(SUM($F801:AM801)-$E801),($E801*(1-$D$568))*$D801),0)*AN$564</f>
        <v>0</v>
      </c>
    </row>
    <row r="802" spans="3:40" outlineLevel="4">
      <c r="C802">
        <v>7</v>
      </c>
      <c r="D802">
        <f>Inputs!$D$261</f>
        <v>0.1</v>
      </c>
      <c r="E802" s="319">
        <v>62.407200000000003</v>
      </c>
      <c r="F802" s="461">
        <f>E802*D793</f>
        <v>0</v>
      </c>
      <c r="G802" s="319">
        <f>IF(G$566&gt;=$C802,MIN(-(SUM(F802:$F802)-$E802),($E802*(1-$D$568))*$D802),0)*G$564</f>
        <v>0</v>
      </c>
      <c r="H802" s="319">
        <f>IF(H$566&gt;=$C802,MIN(-(SUM($F802:G802)-$E802),($E802*(1-$D$568))*$D802),0)*H$564</f>
        <v>0</v>
      </c>
      <c r="I802" s="319">
        <f>IF(I$566&gt;=$C802,MIN(-(SUM($F802:H802)-$E802),($E802*(1-$D$568))*$D802),0)*I$564</f>
        <v>0</v>
      </c>
      <c r="J802" s="319">
        <f>IF(J$566&gt;=$C802,MIN(-(SUM($F802:I802)-$E802),($E802*(1-$D$568))*$D802),0)*J$564</f>
        <v>0</v>
      </c>
      <c r="K802" s="319">
        <f>IF(K$566&gt;=$C802,MIN(-(SUM($F802:J802)-$E802),($E802*(1-$D$568))*$D802),0)*K$564</f>
        <v>0</v>
      </c>
      <c r="L802" s="319">
        <f>IF(L$566&gt;=$C802,MIN(-(SUM($F802:K802)-$E802),($E802*(1-$D$568))*$D802),0)*L$564</f>
        <v>0</v>
      </c>
      <c r="M802" s="319">
        <f>IF(M$566&gt;=$C802,MIN(-(SUM($F802:L802)-$E802),($E802*(1-$D$568))*$D802),0)*M$564</f>
        <v>6.2407200000000005</v>
      </c>
      <c r="N802" s="319">
        <f>IF(N$566&gt;=$C802,MIN(-(SUM($F802:M802)-$E802),($E802*(1-$D$568))*$D802),0)*N$564</f>
        <v>6.2407200000000005</v>
      </c>
      <c r="O802" s="319">
        <f>IF(O$566&gt;=$C802,MIN(-(SUM($F802:N802)-$E802),($E802*(1-$D$568))*$D802),0)*O$564</f>
        <v>6.2407200000000005</v>
      </c>
      <c r="P802" s="319">
        <f>IF(P$566&gt;=$C802,MIN(-(SUM($F802:O802)-$E802),($E802*(1-$D$568))*$D802),0)*P$564</f>
        <v>6.2407200000000005</v>
      </c>
      <c r="Q802" s="319">
        <f>IF(Q$566&gt;=$C802,MIN(-(SUM($F802:P802)-$E802),($E802*(1-$D$568))*$D802),0)*Q$564</f>
        <v>6.2407200000000005</v>
      </c>
      <c r="R802" s="319">
        <f>IF(R$566&gt;=$C802,MIN(-(SUM($F802:Q802)-$E802),($E802*(1-$D$568))*$D802),0)*R$564</f>
        <v>6.2407200000000005</v>
      </c>
      <c r="S802" s="319">
        <f>IF(S$566&gt;=$C802,MIN(-(SUM($F802:R802)-$E802),($E802*(1-$D$568))*$D802),0)*S$564</f>
        <v>6.2407200000000005</v>
      </c>
      <c r="T802" s="319">
        <f>IF(T$566&gt;=$C802,MIN(-(SUM($F802:S802)-$E802),($E802*(1-$D$568))*$D802),0)*T$564</f>
        <v>6.2407200000000005</v>
      </c>
      <c r="U802" s="319">
        <f>IF(U$566&gt;=$C802,MIN(-(SUM($F802:T802)-$E802),($E802*(1-$D$568))*$D802),0)*U$564</f>
        <v>6.2407200000000005</v>
      </c>
      <c r="V802" s="319">
        <f>IF(V$566&gt;=$C802,MIN(-(SUM($F802:U802)-$E802),($E802*(1-$D$568))*$D802),0)*V$564</f>
        <v>6.2407199999999889</v>
      </c>
      <c r="W802" s="319">
        <f>IF(W$566&gt;=$C802,MIN(-(SUM($F802:V802)-$E802),($E802*(1-$D$568))*$D802),0)*W$564</f>
        <v>0</v>
      </c>
      <c r="X802" s="319">
        <f>IF(X$566&gt;=$C802,MIN(-(SUM($F802:W802)-$E802),($E802*(1-$D$568))*$D802),0)*X$564</f>
        <v>0</v>
      </c>
      <c r="Y802" s="319">
        <f>IF(Y$566&gt;=$C802,MIN(-(SUM($F802:X802)-$E802),($E802*(1-$D$568))*$D802),0)*Y$564</f>
        <v>0</v>
      </c>
      <c r="Z802" s="319">
        <f>IF(Z$566&gt;=$C802,MIN(-(SUM($F802:Y802)-$E802),($E802*(1-$D$568))*$D802),0)*Z$564</f>
        <v>0</v>
      </c>
      <c r="AA802" s="319">
        <f>IF(AA$566&gt;=$C802,MIN(-(SUM($F802:Z802)-$E802),($E802*(1-$D$568))*$D802),0)*AA$564</f>
        <v>0</v>
      </c>
      <c r="AB802" s="319">
        <f>IF(AB$566&gt;=$C802,MIN(-(SUM($F802:AA802)-$E802),($E802*(1-$D$568))*$D802),0)*AB$564</f>
        <v>0</v>
      </c>
      <c r="AC802" s="319">
        <f>IF(AC$566&gt;=$C802,MIN(-(SUM($F802:AB802)-$E802),($E802*(1-$D$568))*$D802),0)*AC$564</f>
        <v>0</v>
      </c>
      <c r="AD802" s="319">
        <f>IF(AD$566&gt;=$C802,MIN(-(SUM($F802:AC802)-$E802),($E802*(1-$D$568))*$D802),0)*AD$564</f>
        <v>0</v>
      </c>
      <c r="AE802" s="319">
        <f>IF(AE$566&gt;=$C802,MIN(-(SUM($F802:AD802)-$E802),($E802*(1-$D$568))*$D802),0)*AE$564</f>
        <v>0</v>
      </c>
      <c r="AF802" s="319">
        <f>IF(AF$566&gt;=$C802,MIN(-(SUM($F802:AE802)-$E802),($E802*(1-$D$568))*$D802),0)*AF$564</f>
        <v>0</v>
      </c>
      <c r="AG802" s="319">
        <f>IF(AG$566&gt;=$C802,MIN(-(SUM($F802:AF802)-$E802),($E802*(1-$D$568))*$D802),0)*AG$564</f>
        <v>0</v>
      </c>
      <c r="AH802" s="319">
        <f>IF(AH$566&gt;=$C802,MIN(-(SUM($F802:AG802)-$E802),($E802*(1-$D$568))*$D802),0)*AH$564</f>
        <v>0</v>
      </c>
      <c r="AI802" s="319">
        <f>IF(AI$566&gt;=$C802,MIN(-(SUM($F802:AH802)-$E802),($E802*(1-$D$568))*$D802),0)*AI$564</f>
        <v>0</v>
      </c>
      <c r="AJ802" s="319">
        <f>IF(AJ$566&gt;=$C802,MIN(-(SUM($F802:AI802)-$E802),($E802*(1-$D$568))*$D802),0)*AJ$564</f>
        <v>0</v>
      </c>
      <c r="AK802" s="319">
        <f>IF(AK$566&gt;=$C802,MIN(-(SUM($F802:AJ802)-$E802),($E802*(1-$D$568))*$D802),0)*AK$564</f>
        <v>0</v>
      </c>
      <c r="AL802" s="319">
        <f>IF(AL$566&gt;=$C802,MIN(-(SUM($F802:AK802)-$E802),($E802*(1-$D$568))*$D802),0)*AL$564</f>
        <v>0</v>
      </c>
      <c r="AM802" s="319">
        <f>IF(AM$566&gt;=$C802,MIN(-(SUM($F802:AL802)-$E802),($E802*(1-$D$568))*$D802),0)*AM$564</f>
        <v>0</v>
      </c>
      <c r="AN802" s="319">
        <f>IF(AN$566&gt;=$C802,MIN(-(SUM($F802:AM802)-$E802),($E802*(1-$D$568))*$D802),0)*AN$564</f>
        <v>0</v>
      </c>
    </row>
    <row r="803" spans="3:40" outlineLevel="4">
      <c r="C803">
        <v>8</v>
      </c>
      <c r="D803">
        <f>Inputs!$D$261</f>
        <v>0.1</v>
      </c>
      <c r="E803" s="319">
        <v>0</v>
      </c>
      <c r="F803" s="461">
        <f>E803*D793</f>
        <v>0</v>
      </c>
      <c r="G803" s="319">
        <f>IF(G$566&gt;=$C803,MIN(-(SUM(F803:$F803)-$E803),($E803*(1-$D$568))*$D803),0)*G$564</f>
        <v>0</v>
      </c>
      <c r="H803" s="319">
        <f>IF(H$566&gt;=$C803,MIN(-(SUM($F803:G803)-$E803),($E803*(1-$D$568))*$D803),0)*H$564</f>
        <v>0</v>
      </c>
      <c r="I803" s="319">
        <f>IF(I$566&gt;=$C803,MIN(-(SUM($F803:H803)-$E803),($E803*(1-$D$568))*$D803),0)*I$564</f>
        <v>0</v>
      </c>
      <c r="J803" s="319">
        <f>IF(J$566&gt;=$C803,MIN(-(SUM($F803:I803)-$E803),($E803*(1-$D$568))*$D803),0)*J$564</f>
        <v>0</v>
      </c>
      <c r="K803" s="319">
        <f>IF(K$566&gt;=$C803,MIN(-(SUM($F803:J803)-$E803),($E803*(1-$D$568))*$D803),0)*K$564</f>
        <v>0</v>
      </c>
      <c r="L803" s="319">
        <f>IF(L$566&gt;=$C803,MIN(-(SUM($F803:K803)-$E803),($E803*(1-$D$568))*$D803),0)*L$564</f>
        <v>0</v>
      </c>
      <c r="M803" s="319">
        <f>IF(M$566&gt;=$C803,MIN(-(SUM($F803:L803)-$E803),($E803*(1-$D$568))*$D803),0)*M$564</f>
        <v>0</v>
      </c>
      <c r="N803" s="319">
        <f>IF(N$566&gt;=$C803,MIN(-(SUM($F803:M803)-$E803),($E803*(1-$D$568))*$D803),0)*N$564</f>
        <v>0</v>
      </c>
      <c r="O803" s="319">
        <f>IF(O$566&gt;=$C803,MIN(-(SUM($F803:N803)-$E803),($E803*(1-$D$568))*$D803),0)*O$564</f>
        <v>0</v>
      </c>
      <c r="P803" s="319">
        <f>IF(P$566&gt;=$C803,MIN(-(SUM($F803:O803)-$E803),($E803*(1-$D$568))*$D803),0)*P$564</f>
        <v>0</v>
      </c>
      <c r="Q803" s="319">
        <f>IF(Q$566&gt;=$C803,MIN(-(SUM($F803:P803)-$E803),($E803*(1-$D$568))*$D803),0)*Q$564</f>
        <v>0</v>
      </c>
      <c r="R803" s="319">
        <f>IF(R$566&gt;=$C803,MIN(-(SUM($F803:Q803)-$E803),($E803*(1-$D$568))*$D803),0)*R$564</f>
        <v>0</v>
      </c>
      <c r="S803" s="319">
        <f>IF(S$566&gt;=$C803,MIN(-(SUM($F803:R803)-$E803),($E803*(1-$D$568))*$D803),0)*S$564</f>
        <v>0</v>
      </c>
      <c r="T803" s="319">
        <f>IF(T$566&gt;=$C803,MIN(-(SUM($F803:S803)-$E803),($E803*(1-$D$568))*$D803),0)*T$564</f>
        <v>0</v>
      </c>
      <c r="U803" s="319">
        <f>IF(U$566&gt;=$C803,MIN(-(SUM($F803:T803)-$E803),($E803*(1-$D$568))*$D803),0)*U$564</f>
        <v>0</v>
      </c>
      <c r="V803" s="319">
        <f>IF(V$566&gt;=$C803,MIN(-(SUM($F803:U803)-$E803),($E803*(1-$D$568))*$D803),0)*V$564</f>
        <v>0</v>
      </c>
      <c r="W803" s="319">
        <f>IF(W$566&gt;=$C803,MIN(-(SUM($F803:V803)-$E803),($E803*(1-$D$568))*$D803),0)*W$564</f>
        <v>0</v>
      </c>
      <c r="X803" s="319">
        <f>IF(X$566&gt;=$C803,MIN(-(SUM($F803:W803)-$E803),($E803*(1-$D$568))*$D803),0)*X$564</f>
        <v>0</v>
      </c>
      <c r="Y803" s="319">
        <f>IF(Y$566&gt;=$C803,MIN(-(SUM($F803:X803)-$E803),($E803*(1-$D$568))*$D803),0)*Y$564</f>
        <v>0</v>
      </c>
      <c r="Z803" s="319">
        <f>IF(Z$566&gt;=$C803,MIN(-(SUM($F803:Y803)-$E803),($E803*(1-$D$568))*$D803),0)*Z$564</f>
        <v>0</v>
      </c>
      <c r="AA803" s="319">
        <f>IF(AA$566&gt;=$C803,MIN(-(SUM($F803:Z803)-$E803),($E803*(1-$D$568))*$D803),0)*AA$564</f>
        <v>0</v>
      </c>
      <c r="AB803" s="319">
        <f>IF(AB$566&gt;=$C803,MIN(-(SUM($F803:AA803)-$E803),($E803*(1-$D$568))*$D803),0)*AB$564</f>
        <v>0</v>
      </c>
      <c r="AC803" s="319">
        <f>IF(AC$566&gt;=$C803,MIN(-(SUM($F803:AB803)-$E803),($E803*(1-$D$568))*$D803),0)*AC$564</f>
        <v>0</v>
      </c>
      <c r="AD803" s="319">
        <f>IF(AD$566&gt;=$C803,MIN(-(SUM($F803:AC803)-$E803),($E803*(1-$D$568))*$D803),0)*AD$564</f>
        <v>0</v>
      </c>
      <c r="AE803" s="319">
        <f>IF(AE$566&gt;=$C803,MIN(-(SUM($F803:AD803)-$E803),($E803*(1-$D$568))*$D803),0)*AE$564</f>
        <v>0</v>
      </c>
      <c r="AF803" s="319">
        <f>IF(AF$566&gt;=$C803,MIN(-(SUM($F803:AE803)-$E803),($E803*(1-$D$568))*$D803),0)*AF$564</f>
        <v>0</v>
      </c>
      <c r="AG803" s="319">
        <f>IF(AG$566&gt;=$C803,MIN(-(SUM($F803:AF803)-$E803),($E803*(1-$D$568))*$D803),0)*AG$564</f>
        <v>0</v>
      </c>
      <c r="AH803" s="319">
        <f>IF(AH$566&gt;=$C803,MIN(-(SUM($F803:AG803)-$E803),($E803*(1-$D$568))*$D803),0)*AH$564</f>
        <v>0</v>
      </c>
      <c r="AI803" s="319">
        <f>IF(AI$566&gt;=$C803,MIN(-(SUM($F803:AH803)-$E803),($E803*(1-$D$568))*$D803),0)*AI$564</f>
        <v>0</v>
      </c>
      <c r="AJ803" s="319">
        <f>IF(AJ$566&gt;=$C803,MIN(-(SUM($F803:AI803)-$E803),($E803*(1-$D$568))*$D803),0)*AJ$564</f>
        <v>0</v>
      </c>
      <c r="AK803" s="319">
        <f>IF(AK$566&gt;=$C803,MIN(-(SUM($F803:AJ803)-$E803),($E803*(1-$D$568))*$D803),0)*AK$564</f>
        <v>0</v>
      </c>
      <c r="AL803" s="319">
        <f>IF(AL$566&gt;=$C803,MIN(-(SUM($F803:AK803)-$E803),($E803*(1-$D$568))*$D803),0)*AL$564</f>
        <v>0</v>
      </c>
      <c r="AM803" s="319">
        <f>IF(AM$566&gt;=$C803,MIN(-(SUM($F803:AL803)-$E803),($E803*(1-$D$568))*$D803),0)*AM$564</f>
        <v>0</v>
      </c>
      <c r="AN803" s="319">
        <f>IF(AN$566&gt;=$C803,MIN(-(SUM($F803:AM803)-$E803),($E803*(1-$D$568))*$D803),0)*AN$564</f>
        <v>0</v>
      </c>
    </row>
    <row r="804" spans="3:40" outlineLevel="4">
      <c r="C804">
        <v>9</v>
      </c>
      <c r="D804">
        <f>Inputs!$D$261</f>
        <v>0.1</v>
      </c>
      <c r="E804" s="319">
        <v>0</v>
      </c>
      <c r="F804" s="461">
        <f>E804*D793</f>
        <v>0</v>
      </c>
      <c r="G804" s="319">
        <f>IF(G$566&gt;=$C804,MIN(-(SUM(F804:$F804)-$E804),($E804*(1-$D$568))*$D804),0)*G$564</f>
        <v>0</v>
      </c>
      <c r="H804" s="319">
        <f>IF(H$566&gt;=$C804,MIN(-(SUM($F804:G804)-$E804),($E804*(1-$D$568))*$D804),0)*H$564</f>
        <v>0</v>
      </c>
      <c r="I804" s="319">
        <f>IF(I$566&gt;=$C804,MIN(-(SUM($F804:H804)-$E804),($E804*(1-$D$568))*$D804),0)*I$564</f>
        <v>0</v>
      </c>
      <c r="J804" s="319">
        <f>IF(J$566&gt;=$C804,MIN(-(SUM($F804:I804)-$E804),($E804*(1-$D$568))*$D804),0)*J$564</f>
        <v>0</v>
      </c>
      <c r="K804" s="319">
        <f>IF(K$566&gt;=$C804,MIN(-(SUM($F804:J804)-$E804),($E804*(1-$D$568))*$D804),0)*K$564</f>
        <v>0</v>
      </c>
      <c r="L804" s="319">
        <f>IF(L$566&gt;=$C804,MIN(-(SUM($F804:K804)-$E804),($E804*(1-$D$568))*$D804),0)*L$564</f>
        <v>0</v>
      </c>
      <c r="M804" s="319">
        <f>IF(M$566&gt;=$C804,MIN(-(SUM($F804:L804)-$E804),($E804*(1-$D$568))*$D804),0)*M$564</f>
        <v>0</v>
      </c>
      <c r="N804" s="319">
        <f>IF(N$566&gt;=$C804,MIN(-(SUM($F804:M804)-$E804),($E804*(1-$D$568))*$D804),0)*N$564</f>
        <v>0</v>
      </c>
      <c r="O804" s="319">
        <f>IF(O$566&gt;=$C804,MIN(-(SUM($F804:N804)-$E804),($E804*(1-$D$568))*$D804),0)*O$564</f>
        <v>0</v>
      </c>
      <c r="P804" s="319">
        <f>IF(P$566&gt;=$C804,MIN(-(SUM($F804:O804)-$E804),($E804*(1-$D$568))*$D804),0)*P$564</f>
        <v>0</v>
      </c>
      <c r="Q804" s="319">
        <f>IF(Q$566&gt;=$C804,MIN(-(SUM($F804:P804)-$E804),($E804*(1-$D$568))*$D804),0)*Q$564</f>
        <v>0</v>
      </c>
      <c r="R804" s="319">
        <f>IF(R$566&gt;=$C804,MIN(-(SUM($F804:Q804)-$E804),($E804*(1-$D$568))*$D804),0)*R$564</f>
        <v>0</v>
      </c>
      <c r="S804" s="319">
        <f>IF(S$566&gt;=$C804,MIN(-(SUM($F804:R804)-$E804),($E804*(1-$D$568))*$D804),0)*S$564</f>
        <v>0</v>
      </c>
      <c r="T804" s="319">
        <f>IF(T$566&gt;=$C804,MIN(-(SUM($F804:S804)-$E804),($E804*(1-$D$568))*$D804),0)*T$564</f>
        <v>0</v>
      </c>
      <c r="U804" s="319">
        <f>IF(U$566&gt;=$C804,MIN(-(SUM($F804:T804)-$E804),($E804*(1-$D$568))*$D804),0)*U$564</f>
        <v>0</v>
      </c>
      <c r="V804" s="319">
        <f>IF(V$566&gt;=$C804,MIN(-(SUM($F804:U804)-$E804),($E804*(1-$D$568))*$D804),0)*V$564</f>
        <v>0</v>
      </c>
      <c r="W804" s="319">
        <f>IF(W$566&gt;=$C804,MIN(-(SUM($F804:V804)-$E804),($E804*(1-$D$568))*$D804),0)*W$564</f>
        <v>0</v>
      </c>
      <c r="X804" s="319">
        <f>IF(X$566&gt;=$C804,MIN(-(SUM($F804:W804)-$E804),($E804*(1-$D$568))*$D804),0)*X$564</f>
        <v>0</v>
      </c>
      <c r="Y804" s="319">
        <f>IF(Y$566&gt;=$C804,MIN(-(SUM($F804:X804)-$E804),($E804*(1-$D$568))*$D804),0)*Y$564</f>
        <v>0</v>
      </c>
      <c r="Z804" s="319">
        <f>IF(Z$566&gt;=$C804,MIN(-(SUM($F804:Y804)-$E804),($E804*(1-$D$568))*$D804),0)*Z$564</f>
        <v>0</v>
      </c>
      <c r="AA804" s="319">
        <f>IF(AA$566&gt;=$C804,MIN(-(SUM($F804:Z804)-$E804),($E804*(1-$D$568))*$D804),0)*AA$564</f>
        <v>0</v>
      </c>
      <c r="AB804" s="319">
        <f>IF(AB$566&gt;=$C804,MIN(-(SUM($F804:AA804)-$E804),($E804*(1-$D$568))*$D804),0)*AB$564</f>
        <v>0</v>
      </c>
      <c r="AC804" s="319">
        <f>IF(AC$566&gt;=$C804,MIN(-(SUM($F804:AB804)-$E804),($E804*(1-$D$568))*$D804),0)*AC$564</f>
        <v>0</v>
      </c>
      <c r="AD804" s="319">
        <f>IF(AD$566&gt;=$C804,MIN(-(SUM($F804:AC804)-$E804),($E804*(1-$D$568))*$D804),0)*AD$564</f>
        <v>0</v>
      </c>
      <c r="AE804" s="319">
        <f>IF(AE$566&gt;=$C804,MIN(-(SUM($F804:AD804)-$E804),($E804*(1-$D$568))*$D804),0)*AE$564</f>
        <v>0</v>
      </c>
      <c r="AF804" s="319">
        <f>IF(AF$566&gt;=$C804,MIN(-(SUM($F804:AE804)-$E804),($E804*(1-$D$568))*$D804),0)*AF$564</f>
        <v>0</v>
      </c>
      <c r="AG804" s="319">
        <f>IF(AG$566&gt;=$C804,MIN(-(SUM($F804:AF804)-$E804),($E804*(1-$D$568))*$D804),0)*AG$564</f>
        <v>0</v>
      </c>
      <c r="AH804" s="319">
        <f>IF(AH$566&gt;=$C804,MIN(-(SUM($F804:AG804)-$E804),($E804*(1-$D$568))*$D804),0)*AH$564</f>
        <v>0</v>
      </c>
      <c r="AI804" s="319">
        <f>IF(AI$566&gt;=$C804,MIN(-(SUM($F804:AH804)-$E804),($E804*(1-$D$568))*$D804),0)*AI$564</f>
        <v>0</v>
      </c>
      <c r="AJ804" s="319">
        <f>IF(AJ$566&gt;=$C804,MIN(-(SUM($F804:AI804)-$E804),($E804*(1-$D$568))*$D804),0)*AJ$564</f>
        <v>0</v>
      </c>
      <c r="AK804" s="319">
        <f>IF(AK$566&gt;=$C804,MIN(-(SUM($F804:AJ804)-$E804),($E804*(1-$D$568))*$D804),0)*AK$564</f>
        <v>0</v>
      </c>
      <c r="AL804" s="319">
        <f>IF(AL$566&gt;=$C804,MIN(-(SUM($F804:AK804)-$E804),($E804*(1-$D$568))*$D804),0)*AL$564</f>
        <v>0</v>
      </c>
      <c r="AM804" s="319">
        <f>IF(AM$566&gt;=$C804,MIN(-(SUM($F804:AL804)-$E804),($E804*(1-$D$568))*$D804),0)*AM$564</f>
        <v>0</v>
      </c>
      <c r="AN804" s="319">
        <f>IF(AN$566&gt;=$C804,MIN(-(SUM($F804:AM804)-$E804),($E804*(1-$D$568))*$D804),0)*AN$564</f>
        <v>0</v>
      </c>
    </row>
    <row r="805" spans="3:40" outlineLevel="4">
      <c r="C805">
        <v>10</v>
      </c>
      <c r="D805">
        <f>Inputs!$D$261</f>
        <v>0.1</v>
      </c>
      <c r="E805" s="319">
        <v>62.627000000000002</v>
      </c>
      <c r="F805" s="461">
        <f>E805*D793</f>
        <v>0</v>
      </c>
      <c r="G805" s="319">
        <f>IF(G$566&gt;=$C805,MIN(-(SUM(F805:$F805)-$E805),($E805*(1-$D$568))*$D805),0)*G$564</f>
        <v>0</v>
      </c>
      <c r="H805" s="319">
        <f>IF(H$566&gt;=$C805,MIN(-(SUM($F805:G805)-$E805),($E805*(1-$D$568))*$D805),0)*H$564</f>
        <v>0</v>
      </c>
      <c r="I805" s="319">
        <f>IF(I$566&gt;=$C805,MIN(-(SUM($F805:H805)-$E805),($E805*(1-$D$568))*$D805),0)*I$564</f>
        <v>0</v>
      </c>
      <c r="J805" s="319">
        <f>IF(J$566&gt;=$C805,MIN(-(SUM($F805:I805)-$E805),($E805*(1-$D$568))*$D805),0)*J$564</f>
        <v>0</v>
      </c>
      <c r="K805" s="319">
        <f>IF(K$566&gt;=$C805,MIN(-(SUM($F805:J805)-$E805),($E805*(1-$D$568))*$D805),0)*K$564</f>
        <v>0</v>
      </c>
      <c r="L805" s="319">
        <f>IF(L$566&gt;=$C805,MIN(-(SUM($F805:K805)-$E805),($E805*(1-$D$568))*$D805),0)*L$564</f>
        <v>0</v>
      </c>
      <c r="M805" s="319">
        <f>IF(M$566&gt;=$C805,MIN(-(SUM($F805:L805)-$E805),($E805*(1-$D$568))*$D805),0)*M$564</f>
        <v>0</v>
      </c>
      <c r="N805" s="319">
        <f>IF(N$566&gt;=$C805,MIN(-(SUM($F805:M805)-$E805),($E805*(1-$D$568))*$D805),0)*N$564</f>
        <v>0</v>
      </c>
      <c r="O805" s="319">
        <f>IF(O$566&gt;=$C805,MIN(-(SUM($F805:N805)-$E805),($E805*(1-$D$568))*$D805),0)*O$564</f>
        <v>0</v>
      </c>
      <c r="P805" s="319">
        <f>IF(P$566&gt;=$C805,MIN(-(SUM($F805:O805)-$E805),($E805*(1-$D$568))*$D805),0)*P$564</f>
        <v>6.2627000000000006</v>
      </c>
      <c r="Q805" s="319">
        <f>IF(Q$566&gt;=$C805,MIN(-(SUM($F805:P805)-$E805),($E805*(1-$D$568))*$D805),0)*Q$564</f>
        <v>6.2627000000000006</v>
      </c>
      <c r="R805" s="319">
        <f>IF(R$566&gt;=$C805,MIN(-(SUM($F805:Q805)-$E805),($E805*(1-$D$568))*$D805),0)*R$564</f>
        <v>6.2627000000000006</v>
      </c>
      <c r="S805" s="319">
        <f>IF(S$566&gt;=$C805,MIN(-(SUM($F805:R805)-$E805),($E805*(1-$D$568))*$D805),0)*S$564</f>
        <v>6.2627000000000006</v>
      </c>
      <c r="T805" s="319">
        <f>IF(T$566&gt;=$C805,MIN(-(SUM($F805:S805)-$E805),($E805*(1-$D$568))*$D805),0)*T$564</f>
        <v>6.2627000000000006</v>
      </c>
      <c r="U805" s="319">
        <f>IF(U$566&gt;=$C805,MIN(-(SUM($F805:T805)-$E805),($E805*(1-$D$568))*$D805),0)*U$564</f>
        <v>6.2627000000000006</v>
      </c>
      <c r="V805" s="319">
        <f>IF(V$566&gt;=$C805,MIN(-(SUM($F805:U805)-$E805),($E805*(1-$D$568))*$D805),0)*V$564</f>
        <v>6.2627000000000006</v>
      </c>
      <c r="W805" s="319">
        <f>IF(W$566&gt;=$C805,MIN(-(SUM($F805:V805)-$E805),($E805*(1-$D$568))*$D805),0)*W$564</f>
        <v>6.2627000000000006</v>
      </c>
      <c r="X805" s="319">
        <f>IF(X$566&gt;=$C805,MIN(-(SUM($F805:W805)-$E805),($E805*(1-$D$568))*$D805),0)*X$564</f>
        <v>6.2627000000000006</v>
      </c>
      <c r="Y805" s="319">
        <f>IF(Y$566&gt;=$C805,MIN(-(SUM($F805:X805)-$E805),($E805*(1-$D$568))*$D805),0)*Y$564</f>
        <v>6.2626999999999882</v>
      </c>
      <c r="Z805" s="319">
        <f>IF(Z$566&gt;=$C805,MIN(-(SUM($F805:Y805)-$E805),($E805*(1-$D$568))*$D805),0)*Z$564</f>
        <v>0</v>
      </c>
      <c r="AA805" s="319">
        <f>IF(AA$566&gt;=$C805,MIN(-(SUM($F805:Z805)-$E805),($E805*(1-$D$568))*$D805),0)*AA$564</f>
        <v>0</v>
      </c>
      <c r="AB805" s="319">
        <f>IF(AB$566&gt;=$C805,MIN(-(SUM($F805:AA805)-$E805),($E805*(1-$D$568))*$D805),0)*AB$564</f>
        <v>0</v>
      </c>
      <c r="AC805" s="319">
        <f>IF(AC$566&gt;=$C805,MIN(-(SUM($F805:AB805)-$E805),($E805*(1-$D$568))*$D805),0)*AC$564</f>
        <v>0</v>
      </c>
      <c r="AD805" s="319">
        <f>IF(AD$566&gt;=$C805,MIN(-(SUM($F805:AC805)-$E805),($E805*(1-$D$568))*$D805),0)*AD$564</f>
        <v>0</v>
      </c>
      <c r="AE805" s="319">
        <f>IF(AE$566&gt;=$C805,MIN(-(SUM($F805:AD805)-$E805),($E805*(1-$D$568))*$D805),0)*AE$564</f>
        <v>0</v>
      </c>
      <c r="AF805" s="319">
        <f>IF(AF$566&gt;=$C805,MIN(-(SUM($F805:AE805)-$E805),($E805*(1-$D$568))*$D805),0)*AF$564</f>
        <v>0</v>
      </c>
      <c r="AG805" s="319">
        <f>IF(AG$566&gt;=$C805,MIN(-(SUM($F805:AF805)-$E805),($E805*(1-$D$568))*$D805),0)*AG$564</f>
        <v>0</v>
      </c>
      <c r="AH805" s="319">
        <f>IF(AH$566&gt;=$C805,MIN(-(SUM($F805:AG805)-$E805),($E805*(1-$D$568))*$D805),0)*AH$564</f>
        <v>0</v>
      </c>
      <c r="AI805" s="319">
        <f>IF(AI$566&gt;=$C805,MIN(-(SUM($F805:AH805)-$E805),($E805*(1-$D$568))*$D805),0)*AI$564</f>
        <v>0</v>
      </c>
      <c r="AJ805" s="319">
        <f>IF(AJ$566&gt;=$C805,MIN(-(SUM($F805:AI805)-$E805),($E805*(1-$D$568))*$D805),0)*AJ$564</f>
        <v>0</v>
      </c>
      <c r="AK805" s="319">
        <f>IF(AK$566&gt;=$C805,MIN(-(SUM($F805:AJ805)-$E805),($E805*(1-$D$568))*$D805),0)*AK$564</f>
        <v>0</v>
      </c>
      <c r="AL805" s="319">
        <f>IF(AL$566&gt;=$C805,MIN(-(SUM($F805:AK805)-$E805),($E805*(1-$D$568))*$D805),0)*AL$564</f>
        <v>0</v>
      </c>
      <c r="AM805" s="319">
        <f>IF(AM$566&gt;=$C805,MIN(-(SUM($F805:AL805)-$E805),($E805*(1-$D$568))*$D805),0)*AM$564</f>
        <v>0</v>
      </c>
      <c r="AN805" s="319">
        <f>IF(AN$566&gt;=$C805,MIN(-(SUM($F805:AM805)-$E805),($E805*(1-$D$568))*$D805),0)*AN$564</f>
        <v>0</v>
      </c>
    </row>
    <row r="806" spans="3:40" outlineLevel="4">
      <c r="C806">
        <v>11</v>
      </c>
      <c r="D806">
        <f>Inputs!$D$261</f>
        <v>0.1</v>
      </c>
      <c r="E806" s="319">
        <v>157.19329000000002</v>
      </c>
      <c r="F806" s="461">
        <f>E806*D793</f>
        <v>0</v>
      </c>
      <c r="G806" s="319">
        <f>IF(G$566&gt;=$C806,MIN(-(SUM(F806:$F806)-$E806),($E806*(1-$D$568))*$D806),0)*G$564</f>
        <v>0</v>
      </c>
      <c r="H806" s="319">
        <f>IF(H$566&gt;=$C806,MIN(-(SUM($F806:G806)-$E806),($E806*(1-$D$568))*$D806),0)*H$564</f>
        <v>0</v>
      </c>
      <c r="I806" s="319">
        <f>IF(I$566&gt;=$C806,MIN(-(SUM($F806:H806)-$E806),($E806*(1-$D$568))*$D806),0)*I$564</f>
        <v>0</v>
      </c>
      <c r="J806" s="319">
        <f>IF(J$566&gt;=$C806,MIN(-(SUM($F806:I806)-$E806),($E806*(1-$D$568))*$D806),0)*J$564</f>
        <v>0</v>
      </c>
      <c r="K806" s="319">
        <f>IF(K$566&gt;=$C806,MIN(-(SUM($F806:J806)-$E806),($E806*(1-$D$568))*$D806),0)*K$564</f>
        <v>0</v>
      </c>
      <c r="L806" s="319">
        <f>IF(L$566&gt;=$C806,MIN(-(SUM($F806:K806)-$E806),($E806*(1-$D$568))*$D806),0)*L$564</f>
        <v>0</v>
      </c>
      <c r="M806" s="319">
        <f>IF(M$566&gt;=$C806,MIN(-(SUM($F806:L806)-$E806),($E806*(1-$D$568))*$D806),0)*M$564</f>
        <v>0</v>
      </c>
      <c r="N806" s="319">
        <f>IF(N$566&gt;=$C806,MIN(-(SUM($F806:M806)-$E806),($E806*(1-$D$568))*$D806),0)*N$564</f>
        <v>0</v>
      </c>
      <c r="O806" s="319">
        <f>IF(O$566&gt;=$C806,MIN(-(SUM($F806:N806)-$E806),($E806*(1-$D$568))*$D806),0)*O$564</f>
        <v>0</v>
      </c>
      <c r="P806" s="319">
        <f>IF(P$566&gt;=$C806,MIN(-(SUM($F806:O806)-$E806),($E806*(1-$D$568))*$D806),0)*P$564</f>
        <v>0</v>
      </c>
      <c r="Q806" s="319">
        <f>IF(Q$566&gt;=$C806,MIN(-(SUM($F806:P806)-$E806),($E806*(1-$D$568))*$D806),0)*Q$564</f>
        <v>15.719329000000002</v>
      </c>
      <c r="R806" s="319">
        <f>IF(R$566&gt;=$C806,MIN(-(SUM($F806:Q806)-$E806),($E806*(1-$D$568))*$D806),0)*R$564</f>
        <v>15.719329000000002</v>
      </c>
      <c r="S806" s="319">
        <f>IF(S$566&gt;=$C806,MIN(-(SUM($F806:R806)-$E806),($E806*(1-$D$568))*$D806),0)*S$564</f>
        <v>15.719329000000002</v>
      </c>
      <c r="T806" s="319">
        <f>IF(T$566&gt;=$C806,MIN(-(SUM($F806:S806)-$E806),($E806*(1-$D$568))*$D806),0)*T$564</f>
        <v>15.719329000000002</v>
      </c>
      <c r="U806" s="319">
        <f>IF(U$566&gt;=$C806,MIN(-(SUM($F806:T806)-$E806),($E806*(1-$D$568))*$D806),0)*U$564</f>
        <v>15.719329000000002</v>
      </c>
      <c r="V806" s="319">
        <f>IF(V$566&gt;=$C806,MIN(-(SUM($F806:U806)-$E806),($E806*(1-$D$568))*$D806),0)*V$564</f>
        <v>15.719329000000002</v>
      </c>
      <c r="W806" s="319">
        <f>IF(W$566&gt;=$C806,MIN(-(SUM($F806:V806)-$E806),($E806*(1-$D$568))*$D806),0)*W$564</f>
        <v>15.719329000000002</v>
      </c>
      <c r="X806" s="319">
        <f>IF(X$566&gt;=$C806,MIN(-(SUM($F806:W806)-$E806),($E806*(1-$D$568))*$D806),0)*X$564</f>
        <v>15.719329000000002</v>
      </c>
      <c r="Y806" s="319">
        <f>IF(Y$566&gt;=$C806,MIN(-(SUM($F806:X806)-$E806),($E806*(1-$D$568))*$D806),0)*Y$564</f>
        <v>15.719329000000002</v>
      </c>
      <c r="Z806" s="319">
        <f>IF(Z$566&gt;=$C806,MIN(-(SUM($F806:Y806)-$E806),($E806*(1-$D$568))*$D806),0)*Z$564</f>
        <v>15.719328999999988</v>
      </c>
      <c r="AA806" s="319">
        <f>IF(AA$566&gt;=$C806,MIN(-(SUM($F806:Z806)-$E806),($E806*(1-$D$568))*$D806),0)*AA$564</f>
        <v>0</v>
      </c>
      <c r="AB806" s="319">
        <f>IF(AB$566&gt;=$C806,MIN(-(SUM($F806:AA806)-$E806),($E806*(1-$D$568))*$D806),0)*AB$564</f>
        <v>0</v>
      </c>
      <c r="AC806" s="319">
        <f>IF(AC$566&gt;=$C806,MIN(-(SUM($F806:AB806)-$E806),($E806*(1-$D$568))*$D806),0)*AC$564</f>
        <v>0</v>
      </c>
      <c r="AD806" s="319">
        <f>IF(AD$566&gt;=$C806,MIN(-(SUM($F806:AC806)-$E806),($E806*(1-$D$568))*$D806),0)*AD$564</f>
        <v>0</v>
      </c>
      <c r="AE806" s="319">
        <f>IF(AE$566&gt;=$C806,MIN(-(SUM($F806:AD806)-$E806),($E806*(1-$D$568))*$D806),0)*AE$564</f>
        <v>0</v>
      </c>
      <c r="AF806" s="319">
        <f>IF(AF$566&gt;=$C806,MIN(-(SUM($F806:AE806)-$E806),($E806*(1-$D$568))*$D806),0)*AF$564</f>
        <v>0</v>
      </c>
      <c r="AG806" s="319">
        <f>IF(AG$566&gt;=$C806,MIN(-(SUM($F806:AF806)-$E806),($E806*(1-$D$568))*$D806),0)*AG$564</f>
        <v>0</v>
      </c>
      <c r="AH806" s="319">
        <f>IF(AH$566&gt;=$C806,MIN(-(SUM($F806:AG806)-$E806),($E806*(1-$D$568))*$D806),0)*AH$564</f>
        <v>0</v>
      </c>
      <c r="AI806" s="319">
        <f>IF(AI$566&gt;=$C806,MIN(-(SUM($F806:AH806)-$E806),($E806*(1-$D$568))*$D806),0)*AI$564</f>
        <v>0</v>
      </c>
      <c r="AJ806" s="319">
        <f>IF(AJ$566&gt;=$C806,MIN(-(SUM($F806:AI806)-$E806),($E806*(1-$D$568))*$D806),0)*AJ$564</f>
        <v>0</v>
      </c>
      <c r="AK806" s="319">
        <f>IF(AK$566&gt;=$C806,MIN(-(SUM($F806:AJ806)-$E806),($E806*(1-$D$568))*$D806),0)*AK$564</f>
        <v>0</v>
      </c>
      <c r="AL806" s="319">
        <f>IF(AL$566&gt;=$C806,MIN(-(SUM($F806:AK806)-$E806),($E806*(1-$D$568))*$D806),0)*AL$564</f>
        <v>0</v>
      </c>
      <c r="AM806" s="319">
        <f>IF(AM$566&gt;=$C806,MIN(-(SUM($F806:AL806)-$E806),($E806*(1-$D$568))*$D806),0)*AM$564</f>
        <v>0</v>
      </c>
      <c r="AN806" s="319">
        <f>IF(AN$566&gt;=$C806,MIN(-(SUM($F806:AM806)-$E806),($E806*(1-$D$568))*$D806),0)*AN$564</f>
        <v>0</v>
      </c>
    </row>
    <row r="807" spans="3:40" outlineLevel="4">
      <c r="C807">
        <v>12</v>
      </c>
      <c r="D807">
        <f>Inputs!$D$261</f>
        <v>0.1</v>
      </c>
      <c r="E807" s="319">
        <v>0</v>
      </c>
      <c r="F807" s="461">
        <f>E807*D793</f>
        <v>0</v>
      </c>
      <c r="G807" s="319">
        <f>IF(G$566&gt;=$C807,MIN(-(SUM(F807:$F807)-$E807),($E807*(1-$D$568))*$D807),0)*G$564</f>
        <v>0</v>
      </c>
      <c r="H807" s="319">
        <f>IF(H$566&gt;=$C807,MIN(-(SUM($F807:G807)-$E807),($E807*(1-$D$568))*$D807),0)*H$564</f>
        <v>0</v>
      </c>
      <c r="I807" s="319">
        <f>IF(I$566&gt;=$C807,MIN(-(SUM($F807:H807)-$E807),($E807*(1-$D$568))*$D807),0)*I$564</f>
        <v>0</v>
      </c>
      <c r="J807" s="319">
        <f>IF(J$566&gt;=$C807,MIN(-(SUM($F807:I807)-$E807),($E807*(1-$D$568))*$D807),0)*J$564</f>
        <v>0</v>
      </c>
      <c r="K807" s="319">
        <f>IF(K$566&gt;=$C807,MIN(-(SUM($F807:J807)-$E807),($E807*(1-$D$568))*$D807),0)*K$564</f>
        <v>0</v>
      </c>
      <c r="L807" s="319">
        <f>IF(L$566&gt;=$C807,MIN(-(SUM($F807:K807)-$E807),($E807*(1-$D$568))*$D807),0)*L$564</f>
        <v>0</v>
      </c>
      <c r="M807" s="319">
        <f>IF(M$566&gt;=$C807,MIN(-(SUM($F807:L807)-$E807),($E807*(1-$D$568))*$D807),0)*M$564</f>
        <v>0</v>
      </c>
      <c r="N807" s="319">
        <f>IF(N$566&gt;=$C807,MIN(-(SUM($F807:M807)-$E807),($E807*(1-$D$568))*$D807),0)*N$564</f>
        <v>0</v>
      </c>
      <c r="O807" s="319">
        <f>IF(O$566&gt;=$C807,MIN(-(SUM($F807:N807)-$E807),($E807*(1-$D$568))*$D807),0)*O$564</f>
        <v>0</v>
      </c>
      <c r="P807" s="319">
        <f>IF(P$566&gt;=$C807,MIN(-(SUM($F807:O807)-$E807),($E807*(1-$D$568))*$D807),0)*P$564</f>
        <v>0</v>
      </c>
      <c r="Q807" s="319">
        <f>IF(Q$566&gt;=$C807,MIN(-(SUM($F807:P807)-$E807),($E807*(1-$D$568))*$D807),0)*Q$564</f>
        <v>0</v>
      </c>
      <c r="R807" s="319">
        <f>IF(R$566&gt;=$C807,MIN(-(SUM($F807:Q807)-$E807),($E807*(1-$D$568))*$D807),0)*R$564</f>
        <v>0</v>
      </c>
      <c r="S807" s="319">
        <f>IF(S$566&gt;=$C807,MIN(-(SUM($F807:R807)-$E807),($E807*(1-$D$568))*$D807),0)*S$564</f>
        <v>0</v>
      </c>
      <c r="T807" s="319">
        <f>IF(T$566&gt;=$C807,MIN(-(SUM($F807:S807)-$E807),($E807*(1-$D$568))*$D807),0)*T$564</f>
        <v>0</v>
      </c>
      <c r="U807" s="319">
        <f>IF(U$566&gt;=$C807,MIN(-(SUM($F807:T807)-$E807),($E807*(1-$D$568))*$D807),0)*U$564</f>
        <v>0</v>
      </c>
      <c r="V807" s="319">
        <f>IF(V$566&gt;=$C807,MIN(-(SUM($F807:U807)-$E807),($E807*(1-$D$568))*$D807),0)*V$564</f>
        <v>0</v>
      </c>
      <c r="W807" s="319">
        <f>IF(W$566&gt;=$C807,MIN(-(SUM($F807:V807)-$E807),($E807*(1-$D$568))*$D807),0)*W$564</f>
        <v>0</v>
      </c>
      <c r="X807" s="319">
        <f>IF(X$566&gt;=$C807,MIN(-(SUM($F807:W807)-$E807),($E807*(1-$D$568))*$D807),0)*X$564</f>
        <v>0</v>
      </c>
      <c r="Y807" s="319">
        <f>IF(Y$566&gt;=$C807,MIN(-(SUM($F807:X807)-$E807),($E807*(1-$D$568))*$D807),0)*Y$564</f>
        <v>0</v>
      </c>
      <c r="Z807" s="319">
        <f>IF(Z$566&gt;=$C807,MIN(-(SUM($F807:Y807)-$E807),($E807*(1-$D$568))*$D807),0)*Z$564</f>
        <v>0</v>
      </c>
      <c r="AA807" s="319">
        <f>IF(AA$566&gt;=$C807,MIN(-(SUM($F807:Z807)-$E807),($E807*(1-$D$568))*$D807),0)*AA$564</f>
        <v>0</v>
      </c>
      <c r="AB807" s="319">
        <f>IF(AB$566&gt;=$C807,MIN(-(SUM($F807:AA807)-$E807),($E807*(1-$D$568))*$D807),0)*AB$564</f>
        <v>0</v>
      </c>
      <c r="AC807" s="319">
        <f>IF(AC$566&gt;=$C807,MIN(-(SUM($F807:AB807)-$E807),($E807*(1-$D$568))*$D807),0)*AC$564</f>
        <v>0</v>
      </c>
      <c r="AD807" s="319">
        <f>IF(AD$566&gt;=$C807,MIN(-(SUM($F807:AC807)-$E807),($E807*(1-$D$568))*$D807),0)*AD$564</f>
        <v>0</v>
      </c>
      <c r="AE807" s="319">
        <f>IF(AE$566&gt;=$C807,MIN(-(SUM($F807:AD807)-$E807),($E807*(1-$D$568))*$D807),0)*AE$564</f>
        <v>0</v>
      </c>
      <c r="AF807" s="319">
        <f>IF(AF$566&gt;=$C807,MIN(-(SUM($F807:AE807)-$E807),($E807*(1-$D$568))*$D807),0)*AF$564</f>
        <v>0</v>
      </c>
      <c r="AG807" s="319">
        <f>IF(AG$566&gt;=$C807,MIN(-(SUM($F807:AF807)-$E807),($E807*(1-$D$568))*$D807),0)*AG$564</f>
        <v>0</v>
      </c>
      <c r="AH807" s="319">
        <f>IF(AH$566&gt;=$C807,MIN(-(SUM($F807:AG807)-$E807),($E807*(1-$D$568))*$D807),0)*AH$564</f>
        <v>0</v>
      </c>
      <c r="AI807" s="319">
        <f>IF(AI$566&gt;=$C807,MIN(-(SUM($F807:AH807)-$E807),($E807*(1-$D$568))*$D807),0)*AI$564</f>
        <v>0</v>
      </c>
      <c r="AJ807" s="319">
        <f>IF(AJ$566&gt;=$C807,MIN(-(SUM($F807:AI807)-$E807),($E807*(1-$D$568))*$D807),0)*AJ$564</f>
        <v>0</v>
      </c>
      <c r="AK807" s="319">
        <f>IF(AK$566&gt;=$C807,MIN(-(SUM($F807:AJ807)-$E807),($E807*(1-$D$568))*$D807),0)*AK$564</f>
        <v>0</v>
      </c>
      <c r="AL807" s="319">
        <f>IF(AL$566&gt;=$C807,MIN(-(SUM($F807:AK807)-$E807),($E807*(1-$D$568))*$D807),0)*AL$564</f>
        <v>0</v>
      </c>
      <c r="AM807" s="319">
        <f>IF(AM$566&gt;=$C807,MIN(-(SUM($F807:AL807)-$E807),($E807*(1-$D$568))*$D807),0)*AM$564</f>
        <v>0</v>
      </c>
      <c r="AN807" s="319">
        <f>IF(AN$566&gt;=$C807,MIN(-(SUM($F807:AM807)-$E807),($E807*(1-$D$568))*$D807),0)*AN$564</f>
        <v>0</v>
      </c>
    </row>
    <row r="808" spans="3:40" outlineLevel="4">
      <c r="C808">
        <v>13</v>
      </c>
      <c r="D808">
        <f>Inputs!$D$261</f>
        <v>0.1</v>
      </c>
      <c r="E808" s="319">
        <v>62.627000000000002</v>
      </c>
      <c r="F808" s="461">
        <f>E808*D793</f>
        <v>0</v>
      </c>
      <c r="G808" s="319">
        <f>IF(G$566&gt;=$C808,MIN(-(SUM(F808:$F808)-$E808),($E808*(1-$D$568))*$D808),0)*G$564</f>
        <v>0</v>
      </c>
      <c r="H808" s="319">
        <f>IF(H$566&gt;=$C808,MIN(-(SUM($F808:G808)-$E808),($E808*(1-$D$568))*$D808),0)*H$564</f>
        <v>0</v>
      </c>
      <c r="I808" s="319">
        <f>IF(I$566&gt;=$C808,MIN(-(SUM($F808:H808)-$E808),($E808*(1-$D$568))*$D808),0)*I$564</f>
        <v>0</v>
      </c>
      <c r="J808" s="319">
        <f>IF(J$566&gt;=$C808,MIN(-(SUM($F808:I808)-$E808),($E808*(1-$D$568))*$D808),0)*J$564</f>
        <v>0</v>
      </c>
      <c r="K808" s="319">
        <f>IF(K$566&gt;=$C808,MIN(-(SUM($F808:J808)-$E808),($E808*(1-$D$568))*$D808),0)*K$564</f>
        <v>0</v>
      </c>
      <c r="L808" s="319">
        <f>IF(L$566&gt;=$C808,MIN(-(SUM($F808:K808)-$E808),($E808*(1-$D$568))*$D808),0)*L$564</f>
        <v>0</v>
      </c>
      <c r="M808" s="319">
        <f>IF(M$566&gt;=$C808,MIN(-(SUM($F808:L808)-$E808),($E808*(1-$D$568))*$D808),0)*M$564</f>
        <v>0</v>
      </c>
      <c r="N808" s="319">
        <f>IF(N$566&gt;=$C808,MIN(-(SUM($F808:M808)-$E808),($E808*(1-$D$568))*$D808),0)*N$564</f>
        <v>0</v>
      </c>
      <c r="O808" s="319">
        <f>IF(O$566&gt;=$C808,MIN(-(SUM($F808:N808)-$E808),($E808*(1-$D$568))*$D808),0)*O$564</f>
        <v>0</v>
      </c>
      <c r="P808" s="319">
        <f>IF(P$566&gt;=$C808,MIN(-(SUM($F808:O808)-$E808),($E808*(1-$D$568))*$D808),0)*P$564</f>
        <v>0</v>
      </c>
      <c r="Q808" s="319">
        <f>IF(Q$566&gt;=$C808,MIN(-(SUM($F808:P808)-$E808),($E808*(1-$D$568))*$D808),0)*Q$564</f>
        <v>0</v>
      </c>
      <c r="R808" s="319">
        <f>IF(R$566&gt;=$C808,MIN(-(SUM($F808:Q808)-$E808),($E808*(1-$D$568))*$D808),0)*R$564</f>
        <v>0</v>
      </c>
      <c r="S808" s="319">
        <f>IF(S$566&gt;=$C808,MIN(-(SUM($F808:R808)-$E808),($E808*(1-$D$568))*$D808),0)*S$564</f>
        <v>6.2627000000000006</v>
      </c>
      <c r="T808" s="319">
        <f>IF(T$566&gt;=$C808,MIN(-(SUM($F808:S808)-$E808),($E808*(1-$D$568))*$D808),0)*T$564</f>
        <v>6.2627000000000006</v>
      </c>
      <c r="U808" s="319">
        <f>IF(U$566&gt;=$C808,MIN(-(SUM($F808:T808)-$E808),($E808*(1-$D$568))*$D808),0)*U$564</f>
        <v>6.2627000000000006</v>
      </c>
      <c r="V808" s="319">
        <f>IF(V$566&gt;=$C808,MIN(-(SUM($F808:U808)-$E808),($E808*(1-$D$568))*$D808),0)*V$564</f>
        <v>6.2627000000000006</v>
      </c>
      <c r="W808" s="319">
        <f>IF(W$566&gt;=$C808,MIN(-(SUM($F808:V808)-$E808),($E808*(1-$D$568))*$D808),0)*W$564</f>
        <v>6.2627000000000006</v>
      </c>
      <c r="X808" s="319">
        <f>IF(X$566&gt;=$C808,MIN(-(SUM($F808:W808)-$E808),($E808*(1-$D$568))*$D808),0)*X$564</f>
        <v>6.2627000000000006</v>
      </c>
      <c r="Y808" s="319">
        <f>IF(Y$566&gt;=$C808,MIN(-(SUM($F808:X808)-$E808),($E808*(1-$D$568))*$D808),0)*Y$564</f>
        <v>6.2627000000000006</v>
      </c>
      <c r="Z808" s="319">
        <f>IF(Z$566&gt;=$C808,MIN(-(SUM($F808:Y808)-$E808),($E808*(1-$D$568))*$D808),0)*Z$564</f>
        <v>6.2627000000000006</v>
      </c>
      <c r="AA808" s="319">
        <f>IF(AA$566&gt;=$C808,MIN(-(SUM($F808:Z808)-$E808),($E808*(1-$D$568))*$D808),0)*AA$564</f>
        <v>6.2627000000000006</v>
      </c>
      <c r="AB808" s="319">
        <f>IF(AB$566&gt;=$C808,MIN(-(SUM($F808:AA808)-$E808),($E808*(1-$D$568))*$D808),0)*AB$564</f>
        <v>6.2626999999999882</v>
      </c>
      <c r="AC808" s="319">
        <f>IF(AC$566&gt;=$C808,MIN(-(SUM($F808:AB808)-$E808),($E808*(1-$D$568))*$D808),0)*AC$564</f>
        <v>0</v>
      </c>
      <c r="AD808" s="319">
        <f>IF(AD$566&gt;=$C808,MIN(-(SUM($F808:AC808)-$E808),($E808*(1-$D$568))*$D808),0)*AD$564</f>
        <v>0</v>
      </c>
      <c r="AE808" s="319">
        <f>IF(AE$566&gt;=$C808,MIN(-(SUM($F808:AD808)-$E808),($E808*(1-$D$568))*$D808),0)*AE$564</f>
        <v>0</v>
      </c>
      <c r="AF808" s="319">
        <f>IF(AF$566&gt;=$C808,MIN(-(SUM($F808:AE808)-$E808),($E808*(1-$D$568))*$D808),0)*AF$564</f>
        <v>0</v>
      </c>
      <c r="AG808" s="319">
        <f>IF(AG$566&gt;=$C808,MIN(-(SUM($F808:AF808)-$E808),($E808*(1-$D$568))*$D808),0)*AG$564</f>
        <v>0</v>
      </c>
      <c r="AH808" s="319">
        <f>IF(AH$566&gt;=$C808,MIN(-(SUM($F808:AG808)-$E808),($E808*(1-$D$568))*$D808),0)*AH$564</f>
        <v>0</v>
      </c>
      <c r="AI808" s="319">
        <f>IF(AI$566&gt;=$C808,MIN(-(SUM($F808:AH808)-$E808),($E808*(1-$D$568))*$D808),0)*AI$564</f>
        <v>0</v>
      </c>
      <c r="AJ808" s="319">
        <f>IF(AJ$566&gt;=$C808,MIN(-(SUM($F808:AI808)-$E808),($E808*(1-$D$568))*$D808),0)*AJ$564</f>
        <v>0</v>
      </c>
      <c r="AK808" s="319">
        <f>IF(AK$566&gt;=$C808,MIN(-(SUM($F808:AJ808)-$E808),($E808*(1-$D$568))*$D808),0)*AK$564</f>
        <v>0</v>
      </c>
      <c r="AL808" s="319">
        <f>IF(AL$566&gt;=$C808,MIN(-(SUM($F808:AK808)-$E808),($E808*(1-$D$568))*$D808),0)*AL$564</f>
        <v>0</v>
      </c>
      <c r="AM808" s="319">
        <f>IF(AM$566&gt;=$C808,MIN(-(SUM($F808:AL808)-$E808),($E808*(1-$D$568))*$D808),0)*AM$564</f>
        <v>0</v>
      </c>
      <c r="AN808" s="319">
        <f>IF(AN$566&gt;=$C808,MIN(-(SUM($F808:AM808)-$E808),($E808*(1-$D$568))*$D808),0)*AN$564</f>
        <v>0</v>
      </c>
    </row>
    <row r="809" spans="3:40" outlineLevel="4">
      <c r="C809">
        <v>14</v>
      </c>
      <c r="D809">
        <f>Inputs!$D$261</f>
        <v>0.1</v>
      </c>
      <c r="E809" s="319">
        <v>0</v>
      </c>
      <c r="F809" s="461">
        <f>E809*D793</f>
        <v>0</v>
      </c>
      <c r="G809" s="319">
        <f>IF(G$566&gt;=$C809,MIN(-(SUM(F809:$F809)-$E809),($E809*(1-$D$568))*$D809),0)*G$564</f>
        <v>0</v>
      </c>
      <c r="H809" s="319">
        <f>IF(H$566&gt;=$C809,MIN(-(SUM($F809:G809)-$E809),($E809*(1-$D$568))*$D809),0)*H$564</f>
        <v>0</v>
      </c>
      <c r="I809" s="319">
        <f>IF(I$566&gt;=$C809,MIN(-(SUM($F809:H809)-$E809),($E809*(1-$D$568))*$D809),0)*I$564</f>
        <v>0</v>
      </c>
      <c r="J809" s="319">
        <f>IF(J$566&gt;=$C809,MIN(-(SUM($F809:I809)-$E809),($E809*(1-$D$568))*$D809),0)*J$564</f>
        <v>0</v>
      </c>
      <c r="K809" s="319">
        <f>IF(K$566&gt;=$C809,MIN(-(SUM($F809:J809)-$E809),($E809*(1-$D$568))*$D809),0)*K$564</f>
        <v>0</v>
      </c>
      <c r="L809" s="319">
        <f>IF(L$566&gt;=$C809,MIN(-(SUM($F809:K809)-$E809),($E809*(1-$D$568))*$D809),0)*L$564</f>
        <v>0</v>
      </c>
      <c r="M809" s="319">
        <f>IF(M$566&gt;=$C809,MIN(-(SUM($F809:L809)-$E809),($E809*(1-$D$568))*$D809),0)*M$564</f>
        <v>0</v>
      </c>
      <c r="N809" s="319">
        <f>IF(N$566&gt;=$C809,MIN(-(SUM($F809:M809)-$E809),($E809*(1-$D$568))*$D809),0)*N$564</f>
        <v>0</v>
      </c>
      <c r="O809" s="319">
        <f>IF(O$566&gt;=$C809,MIN(-(SUM($F809:N809)-$E809),($E809*(1-$D$568))*$D809),0)*O$564</f>
        <v>0</v>
      </c>
      <c r="P809" s="319">
        <f>IF(P$566&gt;=$C809,MIN(-(SUM($F809:O809)-$E809),($E809*(1-$D$568))*$D809),0)*P$564</f>
        <v>0</v>
      </c>
      <c r="Q809" s="319">
        <f>IF(Q$566&gt;=$C809,MIN(-(SUM($F809:P809)-$E809),($E809*(1-$D$568))*$D809),0)*Q$564</f>
        <v>0</v>
      </c>
      <c r="R809" s="319">
        <f>IF(R$566&gt;=$C809,MIN(-(SUM($F809:Q809)-$E809),($E809*(1-$D$568))*$D809),0)*R$564</f>
        <v>0</v>
      </c>
      <c r="S809" s="319">
        <f>IF(S$566&gt;=$C809,MIN(-(SUM($F809:R809)-$E809),($E809*(1-$D$568))*$D809),0)*S$564</f>
        <v>0</v>
      </c>
      <c r="T809" s="319">
        <f>IF(T$566&gt;=$C809,MIN(-(SUM($F809:S809)-$E809),($E809*(1-$D$568))*$D809),0)*T$564</f>
        <v>0</v>
      </c>
      <c r="U809" s="319">
        <f>IF(U$566&gt;=$C809,MIN(-(SUM($F809:T809)-$E809),($E809*(1-$D$568))*$D809),0)*U$564</f>
        <v>0</v>
      </c>
      <c r="V809" s="319">
        <f>IF(V$566&gt;=$C809,MIN(-(SUM($F809:U809)-$E809),($E809*(1-$D$568))*$D809),0)*V$564</f>
        <v>0</v>
      </c>
      <c r="W809" s="319">
        <f>IF(W$566&gt;=$C809,MIN(-(SUM($F809:V809)-$E809),($E809*(1-$D$568))*$D809),0)*W$564</f>
        <v>0</v>
      </c>
      <c r="X809" s="319">
        <f>IF(X$566&gt;=$C809,MIN(-(SUM($F809:W809)-$E809),($E809*(1-$D$568))*$D809),0)*X$564</f>
        <v>0</v>
      </c>
      <c r="Y809" s="319">
        <f>IF(Y$566&gt;=$C809,MIN(-(SUM($F809:X809)-$E809),($E809*(1-$D$568))*$D809),0)*Y$564</f>
        <v>0</v>
      </c>
      <c r="Z809" s="319">
        <f>IF(Z$566&gt;=$C809,MIN(-(SUM($F809:Y809)-$E809),($E809*(1-$D$568))*$D809),0)*Z$564</f>
        <v>0</v>
      </c>
      <c r="AA809" s="319">
        <f>IF(AA$566&gt;=$C809,MIN(-(SUM($F809:Z809)-$E809),($E809*(1-$D$568))*$D809),0)*AA$564</f>
        <v>0</v>
      </c>
      <c r="AB809" s="319">
        <f>IF(AB$566&gt;=$C809,MIN(-(SUM($F809:AA809)-$E809),($E809*(1-$D$568))*$D809),0)*AB$564</f>
        <v>0</v>
      </c>
      <c r="AC809" s="319">
        <f>IF(AC$566&gt;=$C809,MIN(-(SUM($F809:AB809)-$E809),($E809*(1-$D$568))*$D809),0)*AC$564</f>
        <v>0</v>
      </c>
      <c r="AD809" s="319">
        <f>IF(AD$566&gt;=$C809,MIN(-(SUM($F809:AC809)-$E809),($E809*(1-$D$568))*$D809),0)*AD$564</f>
        <v>0</v>
      </c>
      <c r="AE809" s="319">
        <f>IF(AE$566&gt;=$C809,MIN(-(SUM($F809:AD809)-$E809),($E809*(1-$D$568))*$D809),0)*AE$564</f>
        <v>0</v>
      </c>
      <c r="AF809" s="319">
        <f>IF(AF$566&gt;=$C809,MIN(-(SUM($F809:AE809)-$E809),($E809*(1-$D$568))*$D809),0)*AF$564</f>
        <v>0</v>
      </c>
      <c r="AG809" s="319">
        <f>IF(AG$566&gt;=$C809,MIN(-(SUM($F809:AF809)-$E809),($E809*(1-$D$568))*$D809),0)*AG$564</f>
        <v>0</v>
      </c>
      <c r="AH809" s="319">
        <f>IF(AH$566&gt;=$C809,MIN(-(SUM($F809:AG809)-$E809),($E809*(1-$D$568))*$D809),0)*AH$564</f>
        <v>0</v>
      </c>
      <c r="AI809" s="319">
        <f>IF(AI$566&gt;=$C809,MIN(-(SUM($F809:AH809)-$E809),($E809*(1-$D$568))*$D809),0)*AI$564</f>
        <v>0</v>
      </c>
      <c r="AJ809" s="319">
        <f>IF(AJ$566&gt;=$C809,MIN(-(SUM($F809:AI809)-$E809),($E809*(1-$D$568))*$D809),0)*AJ$564</f>
        <v>0</v>
      </c>
      <c r="AK809" s="319">
        <f>IF(AK$566&gt;=$C809,MIN(-(SUM($F809:AJ809)-$E809),($E809*(1-$D$568))*$D809),0)*AK$564</f>
        <v>0</v>
      </c>
      <c r="AL809" s="319">
        <f>IF(AL$566&gt;=$C809,MIN(-(SUM($F809:AK809)-$E809),($E809*(1-$D$568))*$D809),0)*AL$564</f>
        <v>0</v>
      </c>
      <c r="AM809" s="319">
        <f>IF(AM$566&gt;=$C809,MIN(-(SUM($F809:AL809)-$E809),($E809*(1-$D$568))*$D809),0)*AM$564</f>
        <v>0</v>
      </c>
      <c r="AN809" s="319">
        <f>IF(AN$566&gt;=$C809,MIN(-(SUM($F809:AM809)-$E809),($E809*(1-$D$568))*$D809),0)*AN$564</f>
        <v>0</v>
      </c>
    </row>
    <row r="810" spans="3:40" outlineLevel="4">
      <c r="C810">
        <v>15</v>
      </c>
      <c r="D810">
        <f>Inputs!$D$261</f>
        <v>0.1</v>
      </c>
      <c r="E810" s="319">
        <v>0</v>
      </c>
      <c r="F810" s="461">
        <f>E810*D793</f>
        <v>0</v>
      </c>
      <c r="G810" s="319">
        <f>IF(G$566&gt;=$C810,MIN(-(SUM(F810:$F810)-$E810),($E810*(1-$D$568))*$D810),0)*G$564</f>
        <v>0</v>
      </c>
      <c r="H810" s="319">
        <f>IF(H$566&gt;=$C810,MIN(-(SUM($F810:G810)-$E810),($E810*(1-$D$568))*$D810),0)*H$564</f>
        <v>0</v>
      </c>
      <c r="I810" s="319">
        <f>IF(I$566&gt;=$C810,MIN(-(SUM($F810:H810)-$E810),($E810*(1-$D$568))*$D810),0)*I$564</f>
        <v>0</v>
      </c>
      <c r="J810" s="319">
        <f>IF(J$566&gt;=$C810,MIN(-(SUM($F810:I810)-$E810),($E810*(1-$D$568))*$D810),0)*J$564</f>
        <v>0</v>
      </c>
      <c r="K810" s="319">
        <f>IF(K$566&gt;=$C810,MIN(-(SUM($F810:J810)-$E810),($E810*(1-$D$568))*$D810),0)*K$564</f>
        <v>0</v>
      </c>
      <c r="L810" s="319">
        <f>IF(L$566&gt;=$C810,MIN(-(SUM($F810:K810)-$E810),($E810*(1-$D$568))*$D810),0)*L$564</f>
        <v>0</v>
      </c>
      <c r="M810" s="319">
        <f>IF(M$566&gt;=$C810,MIN(-(SUM($F810:L810)-$E810),($E810*(1-$D$568))*$D810),0)*M$564</f>
        <v>0</v>
      </c>
      <c r="N810" s="319">
        <f>IF(N$566&gt;=$C810,MIN(-(SUM($F810:M810)-$E810),($E810*(1-$D$568))*$D810),0)*N$564</f>
        <v>0</v>
      </c>
      <c r="O810" s="319">
        <f>IF(O$566&gt;=$C810,MIN(-(SUM($F810:N810)-$E810),($E810*(1-$D$568))*$D810),0)*O$564</f>
        <v>0</v>
      </c>
      <c r="P810" s="319">
        <f>IF(P$566&gt;=$C810,MIN(-(SUM($F810:O810)-$E810),($E810*(1-$D$568))*$D810),0)*P$564</f>
        <v>0</v>
      </c>
      <c r="Q810" s="319">
        <f>IF(Q$566&gt;=$C810,MIN(-(SUM($F810:P810)-$E810),($E810*(1-$D$568))*$D810),0)*Q$564</f>
        <v>0</v>
      </c>
      <c r="R810" s="319">
        <f>IF(R$566&gt;=$C810,MIN(-(SUM($F810:Q810)-$E810),($E810*(1-$D$568))*$D810),0)*R$564</f>
        <v>0</v>
      </c>
      <c r="S810" s="319">
        <f>IF(S$566&gt;=$C810,MIN(-(SUM($F810:R810)-$E810),($E810*(1-$D$568))*$D810),0)*S$564</f>
        <v>0</v>
      </c>
      <c r="T810" s="319">
        <f>IF(T$566&gt;=$C810,MIN(-(SUM($F810:S810)-$E810),($E810*(1-$D$568))*$D810),0)*T$564</f>
        <v>0</v>
      </c>
      <c r="U810" s="319">
        <f>IF(U$566&gt;=$C810,MIN(-(SUM($F810:T810)-$E810),($E810*(1-$D$568))*$D810),0)*U$564</f>
        <v>0</v>
      </c>
      <c r="V810" s="319">
        <f>IF(V$566&gt;=$C810,MIN(-(SUM($F810:U810)-$E810),($E810*(1-$D$568))*$D810),0)*V$564</f>
        <v>0</v>
      </c>
      <c r="W810" s="319">
        <f>IF(W$566&gt;=$C810,MIN(-(SUM($F810:V810)-$E810),($E810*(1-$D$568))*$D810),0)*W$564</f>
        <v>0</v>
      </c>
      <c r="X810" s="319">
        <f>IF(X$566&gt;=$C810,MIN(-(SUM($F810:W810)-$E810),($E810*(1-$D$568))*$D810),0)*X$564</f>
        <v>0</v>
      </c>
      <c r="Y810" s="319">
        <f>IF(Y$566&gt;=$C810,MIN(-(SUM($F810:X810)-$E810),($E810*(1-$D$568))*$D810),0)*Y$564</f>
        <v>0</v>
      </c>
      <c r="Z810" s="319">
        <f>IF(Z$566&gt;=$C810,MIN(-(SUM($F810:Y810)-$E810),($E810*(1-$D$568))*$D810),0)*Z$564</f>
        <v>0</v>
      </c>
      <c r="AA810" s="319">
        <f>IF(AA$566&gt;=$C810,MIN(-(SUM($F810:Z810)-$E810),($E810*(1-$D$568))*$D810),0)*AA$564</f>
        <v>0</v>
      </c>
      <c r="AB810" s="319">
        <f>IF(AB$566&gt;=$C810,MIN(-(SUM($F810:AA810)-$E810),($E810*(1-$D$568))*$D810),0)*AB$564</f>
        <v>0</v>
      </c>
      <c r="AC810" s="319">
        <f>IF(AC$566&gt;=$C810,MIN(-(SUM($F810:AB810)-$E810),($E810*(1-$D$568))*$D810),0)*AC$564</f>
        <v>0</v>
      </c>
      <c r="AD810" s="319">
        <f>IF(AD$566&gt;=$C810,MIN(-(SUM($F810:AC810)-$E810),($E810*(1-$D$568))*$D810),0)*AD$564</f>
        <v>0</v>
      </c>
      <c r="AE810" s="319">
        <f>IF(AE$566&gt;=$C810,MIN(-(SUM($F810:AD810)-$E810),($E810*(1-$D$568))*$D810),0)*AE$564</f>
        <v>0</v>
      </c>
      <c r="AF810" s="319">
        <f>IF(AF$566&gt;=$C810,MIN(-(SUM($F810:AE810)-$E810),($E810*(1-$D$568))*$D810),0)*AF$564</f>
        <v>0</v>
      </c>
      <c r="AG810" s="319">
        <f>IF(AG$566&gt;=$C810,MIN(-(SUM($F810:AF810)-$E810),($E810*(1-$D$568))*$D810),0)*AG$564</f>
        <v>0</v>
      </c>
      <c r="AH810" s="319">
        <f>IF(AH$566&gt;=$C810,MIN(-(SUM($F810:AG810)-$E810),($E810*(1-$D$568))*$D810),0)*AH$564</f>
        <v>0</v>
      </c>
      <c r="AI810" s="319">
        <f>IF(AI$566&gt;=$C810,MIN(-(SUM($F810:AH810)-$E810),($E810*(1-$D$568))*$D810),0)*AI$564</f>
        <v>0</v>
      </c>
      <c r="AJ810" s="319">
        <f>IF(AJ$566&gt;=$C810,MIN(-(SUM($F810:AI810)-$E810),($E810*(1-$D$568))*$D810),0)*AJ$564</f>
        <v>0</v>
      </c>
      <c r="AK810" s="319">
        <f>IF(AK$566&gt;=$C810,MIN(-(SUM($F810:AJ810)-$E810),($E810*(1-$D$568))*$D810),0)*AK$564</f>
        <v>0</v>
      </c>
      <c r="AL810" s="319">
        <f>IF(AL$566&gt;=$C810,MIN(-(SUM($F810:AK810)-$E810),($E810*(1-$D$568))*$D810),0)*AL$564</f>
        <v>0</v>
      </c>
      <c r="AM810" s="319">
        <f>IF(AM$566&gt;=$C810,MIN(-(SUM($F810:AL810)-$E810),($E810*(1-$D$568))*$D810),0)*AM$564</f>
        <v>0</v>
      </c>
      <c r="AN810" s="319">
        <f>IF(AN$566&gt;=$C810,MIN(-(SUM($F810:AM810)-$E810),($E810*(1-$D$568))*$D810),0)*AN$564</f>
        <v>0</v>
      </c>
    </row>
    <row r="811" spans="3:40" outlineLevel="4">
      <c r="C811">
        <v>16</v>
      </c>
      <c r="D811">
        <f>Inputs!$D$261</f>
        <v>0.1</v>
      </c>
      <c r="E811" s="319">
        <v>111.9259</v>
      </c>
      <c r="F811" s="461">
        <f>E811*D793</f>
        <v>0</v>
      </c>
      <c r="G811" s="319">
        <f>IF(G$566&gt;=$C811,MIN(-(SUM(F811:$F811)-$E811),($E811*(1-$D$568))*$D811),0)*G$564</f>
        <v>0</v>
      </c>
      <c r="H811" s="319">
        <f>IF(H$566&gt;=$C811,MIN(-(SUM($F811:G811)-$E811),($E811*(1-$D$568))*$D811),0)*H$564</f>
        <v>0</v>
      </c>
      <c r="I811" s="319">
        <f>IF(I$566&gt;=$C811,MIN(-(SUM($F811:H811)-$E811),($E811*(1-$D$568))*$D811),0)*I$564</f>
        <v>0</v>
      </c>
      <c r="J811" s="319">
        <f>IF(J$566&gt;=$C811,MIN(-(SUM($F811:I811)-$E811),($E811*(1-$D$568))*$D811),0)*J$564</f>
        <v>0</v>
      </c>
      <c r="K811" s="319">
        <f>IF(K$566&gt;=$C811,MIN(-(SUM($F811:J811)-$E811),($E811*(1-$D$568))*$D811),0)*K$564</f>
        <v>0</v>
      </c>
      <c r="L811" s="319">
        <f>IF(L$566&gt;=$C811,MIN(-(SUM($F811:K811)-$E811),($E811*(1-$D$568))*$D811),0)*L$564</f>
        <v>0</v>
      </c>
      <c r="M811" s="319">
        <f>IF(M$566&gt;=$C811,MIN(-(SUM($F811:L811)-$E811),($E811*(1-$D$568))*$D811),0)*M$564</f>
        <v>0</v>
      </c>
      <c r="N811" s="319">
        <f>IF(N$566&gt;=$C811,MIN(-(SUM($F811:M811)-$E811),($E811*(1-$D$568))*$D811),0)*N$564</f>
        <v>0</v>
      </c>
      <c r="O811" s="319">
        <f>IF(O$566&gt;=$C811,MIN(-(SUM($F811:N811)-$E811),($E811*(1-$D$568))*$D811),0)*O$564</f>
        <v>0</v>
      </c>
      <c r="P811" s="319">
        <f>IF(P$566&gt;=$C811,MIN(-(SUM($F811:O811)-$E811),($E811*(1-$D$568))*$D811),0)*P$564</f>
        <v>0</v>
      </c>
      <c r="Q811" s="319">
        <f>IF(Q$566&gt;=$C811,MIN(-(SUM($F811:P811)-$E811),($E811*(1-$D$568))*$D811),0)*Q$564</f>
        <v>0</v>
      </c>
      <c r="R811" s="319">
        <f>IF(R$566&gt;=$C811,MIN(-(SUM($F811:Q811)-$E811),($E811*(1-$D$568))*$D811),0)*R$564</f>
        <v>0</v>
      </c>
      <c r="S811" s="319">
        <f>IF(S$566&gt;=$C811,MIN(-(SUM($F811:R811)-$E811),($E811*(1-$D$568))*$D811),0)*S$564</f>
        <v>0</v>
      </c>
      <c r="T811" s="319">
        <f>IF(T$566&gt;=$C811,MIN(-(SUM($F811:S811)-$E811),($E811*(1-$D$568))*$D811),0)*T$564</f>
        <v>0</v>
      </c>
      <c r="U811" s="319">
        <f>IF(U$566&gt;=$C811,MIN(-(SUM($F811:T811)-$E811),($E811*(1-$D$568))*$D811),0)*U$564</f>
        <v>0</v>
      </c>
      <c r="V811" s="319">
        <f>IF(V$566&gt;=$C811,MIN(-(SUM($F811:U811)-$E811),($E811*(1-$D$568))*$D811),0)*V$564</f>
        <v>11.192590000000001</v>
      </c>
      <c r="W811" s="319">
        <f>IF(W$566&gt;=$C811,MIN(-(SUM($F811:V811)-$E811),($E811*(1-$D$568))*$D811),0)*W$564</f>
        <v>11.192590000000001</v>
      </c>
      <c r="X811" s="319">
        <f>IF(X$566&gt;=$C811,MIN(-(SUM($F811:W811)-$E811),($E811*(1-$D$568))*$D811),0)*X$564</f>
        <v>11.192590000000001</v>
      </c>
      <c r="Y811" s="319">
        <f>IF(Y$566&gt;=$C811,MIN(-(SUM($F811:X811)-$E811),($E811*(1-$D$568))*$D811),0)*Y$564</f>
        <v>11.192590000000001</v>
      </c>
      <c r="Z811" s="319">
        <f>IF(Z$566&gt;=$C811,MIN(-(SUM($F811:Y811)-$E811),($E811*(1-$D$568))*$D811),0)*Z$564</f>
        <v>11.192590000000001</v>
      </c>
      <c r="AA811" s="319">
        <f>IF(AA$566&gt;=$C811,MIN(-(SUM($F811:Z811)-$E811),($E811*(1-$D$568))*$D811),0)*AA$564</f>
        <v>11.192590000000001</v>
      </c>
      <c r="AB811" s="319">
        <f>IF(AB$566&gt;=$C811,MIN(-(SUM($F811:AA811)-$E811),($E811*(1-$D$568))*$D811),0)*AB$564</f>
        <v>11.192590000000001</v>
      </c>
      <c r="AC811" s="319">
        <f>IF(AC$566&gt;=$C811,MIN(-(SUM($F811:AB811)-$E811),($E811*(1-$D$568))*$D811),0)*AC$564</f>
        <v>11.192590000000001</v>
      </c>
      <c r="AD811" s="319">
        <f>IF(AD$566&gt;=$C811,MIN(-(SUM($F811:AC811)-$E811),($E811*(1-$D$568))*$D811),0)*AD$564</f>
        <v>11.192590000000001</v>
      </c>
      <c r="AE811" s="319">
        <f>IF(AE$566&gt;=$C811,MIN(-(SUM($F811:AD811)-$E811),($E811*(1-$D$568))*$D811),0)*AE$564</f>
        <v>11.192590000000001</v>
      </c>
      <c r="AF811" s="319">
        <f>IF(AF$566&gt;=$C811,MIN(-(SUM($F811:AE811)-$E811),($E811*(1-$D$568))*$D811),0)*AF$564</f>
        <v>1.4210854715202004E-14</v>
      </c>
      <c r="AG811" s="319">
        <f>IF(AG$566&gt;=$C811,MIN(-(SUM($F811:AF811)-$E811),($E811*(1-$D$568))*$D811),0)*AG$564</f>
        <v>0</v>
      </c>
      <c r="AH811" s="319">
        <f>IF(AH$566&gt;=$C811,MIN(-(SUM($F811:AG811)-$E811),($E811*(1-$D$568))*$D811),0)*AH$564</f>
        <v>0</v>
      </c>
      <c r="AI811" s="319">
        <f>IF(AI$566&gt;=$C811,MIN(-(SUM($F811:AH811)-$E811),($E811*(1-$D$568))*$D811),0)*AI$564</f>
        <v>0</v>
      </c>
      <c r="AJ811" s="319">
        <f>IF(AJ$566&gt;=$C811,MIN(-(SUM($F811:AI811)-$E811),($E811*(1-$D$568))*$D811),0)*AJ$564</f>
        <v>0</v>
      </c>
      <c r="AK811" s="319">
        <f>IF(AK$566&gt;=$C811,MIN(-(SUM($F811:AJ811)-$E811),($E811*(1-$D$568))*$D811),0)*AK$564</f>
        <v>0</v>
      </c>
      <c r="AL811" s="319">
        <f>IF(AL$566&gt;=$C811,MIN(-(SUM($F811:AK811)-$E811),($E811*(1-$D$568))*$D811),0)*AL$564</f>
        <v>0</v>
      </c>
      <c r="AM811" s="319">
        <f>IF(AM$566&gt;=$C811,MIN(-(SUM($F811:AL811)-$E811),($E811*(1-$D$568))*$D811),0)*AM$564</f>
        <v>0</v>
      </c>
      <c r="AN811" s="319">
        <f>IF(AN$566&gt;=$C811,MIN(-(SUM($F811:AM811)-$E811),($E811*(1-$D$568))*$D811),0)*AN$564</f>
        <v>0</v>
      </c>
    </row>
    <row r="812" spans="3:40" outlineLevel="4">
      <c r="C812">
        <v>17</v>
      </c>
      <c r="D812">
        <f>Inputs!$D$261</f>
        <v>0.1</v>
      </c>
      <c r="E812" s="319">
        <v>0</v>
      </c>
      <c r="F812" s="461">
        <f>E812*D793</f>
        <v>0</v>
      </c>
      <c r="G812" s="319">
        <f>IF(G$566&gt;=$C812,MIN(-(SUM(F812:$F812)-$E812),($E812*(1-$D$568))*$D812),0)*G$564</f>
        <v>0</v>
      </c>
      <c r="H812" s="319">
        <f>IF(H$566&gt;=$C812,MIN(-(SUM($F812:G812)-$E812),($E812*(1-$D$568))*$D812),0)*H$564</f>
        <v>0</v>
      </c>
      <c r="I812" s="319">
        <f>IF(I$566&gt;=$C812,MIN(-(SUM($F812:H812)-$E812),($E812*(1-$D$568))*$D812),0)*I$564</f>
        <v>0</v>
      </c>
      <c r="J812" s="319">
        <f>IF(J$566&gt;=$C812,MIN(-(SUM($F812:I812)-$E812),($E812*(1-$D$568))*$D812),0)*J$564</f>
        <v>0</v>
      </c>
      <c r="K812" s="319">
        <f>IF(K$566&gt;=$C812,MIN(-(SUM($F812:J812)-$E812),($E812*(1-$D$568))*$D812),0)*K$564</f>
        <v>0</v>
      </c>
      <c r="L812" s="319">
        <f>IF(L$566&gt;=$C812,MIN(-(SUM($F812:K812)-$E812),($E812*(1-$D$568))*$D812),0)*L$564</f>
        <v>0</v>
      </c>
      <c r="M812" s="319">
        <f>IF(M$566&gt;=$C812,MIN(-(SUM($F812:L812)-$E812),($E812*(1-$D$568))*$D812),0)*M$564</f>
        <v>0</v>
      </c>
      <c r="N812" s="319">
        <f>IF(N$566&gt;=$C812,MIN(-(SUM($F812:M812)-$E812),($E812*(1-$D$568))*$D812),0)*N$564</f>
        <v>0</v>
      </c>
      <c r="O812" s="319">
        <f>IF(O$566&gt;=$C812,MIN(-(SUM($F812:N812)-$E812),($E812*(1-$D$568))*$D812),0)*O$564</f>
        <v>0</v>
      </c>
      <c r="P812" s="319">
        <f>IF(P$566&gt;=$C812,MIN(-(SUM($F812:O812)-$E812),($E812*(1-$D$568))*$D812),0)*P$564</f>
        <v>0</v>
      </c>
      <c r="Q812" s="319">
        <f>IF(Q$566&gt;=$C812,MIN(-(SUM($F812:P812)-$E812),($E812*(1-$D$568))*$D812),0)*Q$564</f>
        <v>0</v>
      </c>
      <c r="R812" s="319">
        <f>IF(R$566&gt;=$C812,MIN(-(SUM($F812:Q812)-$E812),($E812*(1-$D$568))*$D812),0)*R$564</f>
        <v>0</v>
      </c>
      <c r="S812" s="319">
        <f>IF(S$566&gt;=$C812,MIN(-(SUM($F812:R812)-$E812),($E812*(1-$D$568))*$D812),0)*S$564</f>
        <v>0</v>
      </c>
      <c r="T812" s="319">
        <f>IF(T$566&gt;=$C812,MIN(-(SUM($F812:S812)-$E812),($E812*(1-$D$568))*$D812),0)*T$564</f>
        <v>0</v>
      </c>
      <c r="U812" s="319">
        <f>IF(U$566&gt;=$C812,MIN(-(SUM($F812:T812)-$E812),($E812*(1-$D$568))*$D812),0)*U$564</f>
        <v>0</v>
      </c>
      <c r="V812" s="319">
        <f>IF(V$566&gt;=$C812,MIN(-(SUM($F812:U812)-$E812),($E812*(1-$D$568))*$D812),0)*V$564</f>
        <v>0</v>
      </c>
      <c r="W812" s="319">
        <f>IF(W$566&gt;=$C812,MIN(-(SUM($F812:V812)-$E812),($E812*(1-$D$568))*$D812),0)*W$564</f>
        <v>0</v>
      </c>
      <c r="X812" s="319">
        <f>IF(X$566&gt;=$C812,MIN(-(SUM($F812:W812)-$E812),($E812*(1-$D$568))*$D812),0)*X$564</f>
        <v>0</v>
      </c>
      <c r="Y812" s="319">
        <f>IF(Y$566&gt;=$C812,MIN(-(SUM($F812:X812)-$E812),($E812*(1-$D$568))*$D812),0)*Y$564</f>
        <v>0</v>
      </c>
      <c r="Z812" s="319">
        <f>IF(Z$566&gt;=$C812,MIN(-(SUM($F812:Y812)-$E812),($E812*(1-$D$568))*$D812),0)*Z$564</f>
        <v>0</v>
      </c>
      <c r="AA812" s="319">
        <f>IF(AA$566&gt;=$C812,MIN(-(SUM($F812:Z812)-$E812),($E812*(1-$D$568))*$D812),0)*AA$564</f>
        <v>0</v>
      </c>
      <c r="AB812" s="319">
        <f>IF(AB$566&gt;=$C812,MIN(-(SUM($F812:AA812)-$E812),($E812*(1-$D$568))*$D812),0)*AB$564</f>
        <v>0</v>
      </c>
      <c r="AC812" s="319">
        <f>IF(AC$566&gt;=$C812,MIN(-(SUM($F812:AB812)-$E812),($E812*(1-$D$568))*$D812),0)*AC$564</f>
        <v>0</v>
      </c>
      <c r="AD812" s="319">
        <f>IF(AD$566&gt;=$C812,MIN(-(SUM($F812:AC812)-$E812),($E812*(1-$D$568))*$D812),0)*AD$564</f>
        <v>0</v>
      </c>
      <c r="AE812" s="319">
        <f>IF(AE$566&gt;=$C812,MIN(-(SUM($F812:AD812)-$E812),($E812*(1-$D$568))*$D812),0)*AE$564</f>
        <v>0</v>
      </c>
      <c r="AF812" s="319">
        <f>IF(AF$566&gt;=$C812,MIN(-(SUM($F812:AE812)-$E812),($E812*(1-$D$568))*$D812),0)*AF$564</f>
        <v>0</v>
      </c>
      <c r="AG812" s="319">
        <f>IF(AG$566&gt;=$C812,MIN(-(SUM($F812:AF812)-$E812),($E812*(1-$D$568))*$D812),0)*AG$564</f>
        <v>0</v>
      </c>
      <c r="AH812" s="319">
        <f>IF(AH$566&gt;=$C812,MIN(-(SUM($F812:AG812)-$E812),($E812*(1-$D$568))*$D812),0)*AH$564</f>
        <v>0</v>
      </c>
      <c r="AI812" s="319">
        <f>IF(AI$566&gt;=$C812,MIN(-(SUM($F812:AH812)-$E812),($E812*(1-$D$568))*$D812),0)*AI$564</f>
        <v>0</v>
      </c>
      <c r="AJ812" s="319">
        <f>IF(AJ$566&gt;=$C812,MIN(-(SUM($F812:AI812)-$E812),($E812*(1-$D$568))*$D812),0)*AJ$564</f>
        <v>0</v>
      </c>
      <c r="AK812" s="319">
        <f>IF(AK$566&gt;=$C812,MIN(-(SUM($F812:AJ812)-$E812),($E812*(1-$D$568))*$D812),0)*AK$564</f>
        <v>0</v>
      </c>
      <c r="AL812" s="319">
        <f>IF(AL$566&gt;=$C812,MIN(-(SUM($F812:AK812)-$E812),($E812*(1-$D$568))*$D812),0)*AL$564</f>
        <v>0</v>
      </c>
      <c r="AM812" s="319">
        <f>IF(AM$566&gt;=$C812,MIN(-(SUM($F812:AL812)-$E812),($E812*(1-$D$568))*$D812),0)*AM$564</f>
        <v>0</v>
      </c>
      <c r="AN812" s="319">
        <f>IF(AN$566&gt;=$C812,MIN(-(SUM($F812:AM812)-$E812),($E812*(1-$D$568))*$D812),0)*AN$564</f>
        <v>0</v>
      </c>
    </row>
    <row r="813" spans="3:40" outlineLevel="4">
      <c r="C813">
        <v>18</v>
      </c>
      <c r="D813">
        <f>Inputs!$D$261</f>
        <v>0.1</v>
      </c>
      <c r="E813" s="319">
        <v>0</v>
      </c>
      <c r="F813" s="461">
        <f>E813*D793</f>
        <v>0</v>
      </c>
      <c r="G813" s="319">
        <f>IF(G$566&gt;=$C813,MIN(-(SUM(F813:$F813)-$E813),($E813*(1-$D$568))*$D813),0)*G$564</f>
        <v>0</v>
      </c>
      <c r="H813" s="319">
        <f>IF(H$566&gt;=$C813,MIN(-(SUM($F813:G813)-$E813),($E813*(1-$D$568))*$D813),0)*H$564</f>
        <v>0</v>
      </c>
      <c r="I813" s="319">
        <f>IF(I$566&gt;=$C813,MIN(-(SUM($F813:H813)-$E813),($E813*(1-$D$568))*$D813),0)*I$564</f>
        <v>0</v>
      </c>
      <c r="J813" s="319">
        <f>IF(J$566&gt;=$C813,MIN(-(SUM($F813:I813)-$E813),($E813*(1-$D$568))*$D813),0)*J$564</f>
        <v>0</v>
      </c>
      <c r="K813" s="319">
        <f>IF(K$566&gt;=$C813,MIN(-(SUM($F813:J813)-$E813),($E813*(1-$D$568))*$D813),0)*K$564</f>
        <v>0</v>
      </c>
      <c r="L813" s="319">
        <f>IF(L$566&gt;=$C813,MIN(-(SUM($F813:K813)-$E813),($E813*(1-$D$568))*$D813),0)*L$564</f>
        <v>0</v>
      </c>
      <c r="M813" s="319">
        <f>IF(M$566&gt;=$C813,MIN(-(SUM($F813:L813)-$E813),($E813*(1-$D$568))*$D813),0)*M$564</f>
        <v>0</v>
      </c>
      <c r="N813" s="319">
        <f>IF(N$566&gt;=$C813,MIN(-(SUM($F813:M813)-$E813),($E813*(1-$D$568))*$D813),0)*N$564</f>
        <v>0</v>
      </c>
      <c r="O813" s="319">
        <f>IF(O$566&gt;=$C813,MIN(-(SUM($F813:N813)-$E813),($E813*(1-$D$568))*$D813),0)*O$564</f>
        <v>0</v>
      </c>
      <c r="P813" s="319">
        <f>IF(P$566&gt;=$C813,MIN(-(SUM($F813:O813)-$E813),($E813*(1-$D$568))*$D813),0)*P$564</f>
        <v>0</v>
      </c>
      <c r="Q813" s="319">
        <f>IF(Q$566&gt;=$C813,MIN(-(SUM($F813:P813)-$E813),($E813*(1-$D$568))*$D813),0)*Q$564</f>
        <v>0</v>
      </c>
      <c r="R813" s="319">
        <f>IF(R$566&gt;=$C813,MIN(-(SUM($F813:Q813)-$E813),($E813*(1-$D$568))*$D813),0)*R$564</f>
        <v>0</v>
      </c>
      <c r="S813" s="319">
        <f>IF(S$566&gt;=$C813,MIN(-(SUM($F813:R813)-$E813),($E813*(1-$D$568))*$D813),0)*S$564</f>
        <v>0</v>
      </c>
      <c r="T813" s="319">
        <f>IF(T$566&gt;=$C813,MIN(-(SUM($F813:S813)-$E813),($E813*(1-$D$568))*$D813),0)*T$564</f>
        <v>0</v>
      </c>
      <c r="U813" s="319">
        <f>IF(U$566&gt;=$C813,MIN(-(SUM($F813:T813)-$E813),($E813*(1-$D$568))*$D813),0)*U$564</f>
        <v>0</v>
      </c>
      <c r="V813" s="319">
        <f>IF(V$566&gt;=$C813,MIN(-(SUM($F813:U813)-$E813),($E813*(1-$D$568))*$D813),0)*V$564</f>
        <v>0</v>
      </c>
      <c r="W813" s="319">
        <f>IF(W$566&gt;=$C813,MIN(-(SUM($F813:V813)-$E813),($E813*(1-$D$568))*$D813),0)*W$564</f>
        <v>0</v>
      </c>
      <c r="X813" s="319">
        <f>IF(X$566&gt;=$C813,MIN(-(SUM($F813:W813)-$E813),($E813*(1-$D$568))*$D813),0)*X$564</f>
        <v>0</v>
      </c>
      <c r="Y813" s="319">
        <f>IF(Y$566&gt;=$C813,MIN(-(SUM($F813:X813)-$E813),($E813*(1-$D$568))*$D813),0)*Y$564</f>
        <v>0</v>
      </c>
      <c r="Z813" s="319">
        <f>IF(Z$566&gt;=$C813,MIN(-(SUM($F813:Y813)-$E813),($E813*(1-$D$568))*$D813),0)*Z$564</f>
        <v>0</v>
      </c>
      <c r="AA813" s="319">
        <f>IF(AA$566&gt;=$C813,MIN(-(SUM($F813:Z813)-$E813),($E813*(1-$D$568))*$D813),0)*AA$564</f>
        <v>0</v>
      </c>
      <c r="AB813" s="319">
        <f>IF(AB$566&gt;=$C813,MIN(-(SUM($F813:AA813)-$E813),($E813*(1-$D$568))*$D813),0)*AB$564</f>
        <v>0</v>
      </c>
      <c r="AC813" s="319">
        <f>IF(AC$566&gt;=$C813,MIN(-(SUM($F813:AB813)-$E813),($E813*(1-$D$568))*$D813),0)*AC$564</f>
        <v>0</v>
      </c>
      <c r="AD813" s="319">
        <f>IF(AD$566&gt;=$C813,MIN(-(SUM($F813:AC813)-$E813),($E813*(1-$D$568))*$D813),0)*AD$564</f>
        <v>0</v>
      </c>
      <c r="AE813" s="319">
        <f>IF(AE$566&gt;=$C813,MIN(-(SUM($F813:AD813)-$E813),($E813*(1-$D$568))*$D813),0)*AE$564</f>
        <v>0</v>
      </c>
      <c r="AF813" s="319">
        <f>IF(AF$566&gt;=$C813,MIN(-(SUM($F813:AE813)-$E813),($E813*(1-$D$568))*$D813),0)*AF$564</f>
        <v>0</v>
      </c>
      <c r="AG813" s="319">
        <f>IF(AG$566&gt;=$C813,MIN(-(SUM($F813:AF813)-$E813),($E813*(1-$D$568))*$D813),0)*AG$564</f>
        <v>0</v>
      </c>
      <c r="AH813" s="319">
        <f>IF(AH$566&gt;=$C813,MIN(-(SUM($F813:AG813)-$E813),($E813*(1-$D$568))*$D813),0)*AH$564</f>
        <v>0</v>
      </c>
      <c r="AI813" s="319">
        <f>IF(AI$566&gt;=$C813,MIN(-(SUM($F813:AH813)-$E813),($E813*(1-$D$568))*$D813),0)*AI$564</f>
        <v>0</v>
      </c>
      <c r="AJ813" s="319">
        <f>IF(AJ$566&gt;=$C813,MIN(-(SUM($F813:AI813)-$E813),($E813*(1-$D$568))*$D813),0)*AJ$564</f>
        <v>0</v>
      </c>
      <c r="AK813" s="319">
        <f>IF(AK$566&gt;=$C813,MIN(-(SUM($F813:AJ813)-$E813),($E813*(1-$D$568))*$D813),0)*AK$564</f>
        <v>0</v>
      </c>
      <c r="AL813" s="319">
        <f>IF(AL$566&gt;=$C813,MIN(-(SUM($F813:AK813)-$E813),($E813*(1-$D$568))*$D813),0)*AL$564</f>
        <v>0</v>
      </c>
      <c r="AM813" s="319">
        <f>IF(AM$566&gt;=$C813,MIN(-(SUM($F813:AL813)-$E813),($E813*(1-$D$568))*$D813),0)*AM$564</f>
        <v>0</v>
      </c>
      <c r="AN813" s="319">
        <f>IF(AN$566&gt;=$C813,MIN(-(SUM($F813:AM813)-$E813),($E813*(1-$D$568))*$D813),0)*AN$564</f>
        <v>0</v>
      </c>
    </row>
    <row r="814" spans="3:40" outlineLevel="4">
      <c r="C814">
        <v>19</v>
      </c>
      <c r="D814">
        <f>Inputs!$D$261</f>
        <v>0.1</v>
      </c>
      <c r="E814" s="319">
        <v>62.846800000000002</v>
      </c>
      <c r="F814" s="461">
        <f>E814*D793</f>
        <v>0</v>
      </c>
      <c r="G814" s="319">
        <f>IF(G$566&gt;=$C814,MIN(-(SUM(F814:$F814)-$E814),($E814*(1-$D$568))*$D814),0)*G$564</f>
        <v>0</v>
      </c>
      <c r="H814" s="319">
        <f>IF(H$566&gt;=$C814,MIN(-(SUM($F814:G814)-$E814),($E814*(1-$D$568))*$D814),0)*H$564</f>
        <v>0</v>
      </c>
      <c r="I814" s="319">
        <f>IF(I$566&gt;=$C814,MIN(-(SUM($F814:H814)-$E814),($E814*(1-$D$568))*$D814),0)*I$564</f>
        <v>0</v>
      </c>
      <c r="J814" s="319">
        <f>IF(J$566&gt;=$C814,MIN(-(SUM($F814:I814)-$E814),($E814*(1-$D$568))*$D814),0)*J$564</f>
        <v>0</v>
      </c>
      <c r="K814" s="319">
        <f>IF(K$566&gt;=$C814,MIN(-(SUM($F814:J814)-$E814),($E814*(1-$D$568))*$D814),0)*K$564</f>
        <v>0</v>
      </c>
      <c r="L814" s="319">
        <f>IF(L$566&gt;=$C814,MIN(-(SUM($F814:K814)-$E814),($E814*(1-$D$568))*$D814),0)*L$564</f>
        <v>0</v>
      </c>
      <c r="M814" s="319">
        <f>IF(M$566&gt;=$C814,MIN(-(SUM($F814:L814)-$E814),($E814*(1-$D$568))*$D814),0)*M$564</f>
        <v>0</v>
      </c>
      <c r="N814" s="319">
        <f>IF(N$566&gt;=$C814,MIN(-(SUM($F814:M814)-$E814),($E814*(1-$D$568))*$D814),0)*N$564</f>
        <v>0</v>
      </c>
      <c r="O814" s="319">
        <f>IF(O$566&gt;=$C814,MIN(-(SUM($F814:N814)-$E814),($E814*(1-$D$568))*$D814),0)*O$564</f>
        <v>0</v>
      </c>
      <c r="P814" s="319">
        <f>IF(P$566&gt;=$C814,MIN(-(SUM($F814:O814)-$E814),($E814*(1-$D$568))*$D814),0)*P$564</f>
        <v>0</v>
      </c>
      <c r="Q814" s="319">
        <f>IF(Q$566&gt;=$C814,MIN(-(SUM($F814:P814)-$E814),($E814*(1-$D$568))*$D814),0)*Q$564</f>
        <v>0</v>
      </c>
      <c r="R814" s="319">
        <f>IF(R$566&gt;=$C814,MIN(-(SUM($F814:Q814)-$E814),($E814*(1-$D$568))*$D814),0)*R$564</f>
        <v>0</v>
      </c>
      <c r="S814" s="319">
        <f>IF(S$566&gt;=$C814,MIN(-(SUM($F814:R814)-$E814),($E814*(1-$D$568))*$D814),0)*S$564</f>
        <v>0</v>
      </c>
      <c r="T814" s="319">
        <f>IF(T$566&gt;=$C814,MIN(-(SUM($F814:S814)-$E814),($E814*(1-$D$568))*$D814),0)*T$564</f>
        <v>0</v>
      </c>
      <c r="U814" s="319">
        <f>IF(U$566&gt;=$C814,MIN(-(SUM($F814:T814)-$E814),($E814*(1-$D$568))*$D814),0)*U$564</f>
        <v>0</v>
      </c>
      <c r="V814" s="319">
        <f>IF(V$566&gt;=$C814,MIN(-(SUM($F814:U814)-$E814),($E814*(1-$D$568))*$D814),0)*V$564</f>
        <v>0</v>
      </c>
      <c r="W814" s="319">
        <f>IF(W$566&gt;=$C814,MIN(-(SUM($F814:V814)-$E814),($E814*(1-$D$568))*$D814),0)*W$564</f>
        <v>0</v>
      </c>
      <c r="X814" s="319">
        <f>IF(X$566&gt;=$C814,MIN(-(SUM($F814:W814)-$E814),($E814*(1-$D$568))*$D814),0)*X$564</f>
        <v>0</v>
      </c>
      <c r="Y814" s="319">
        <f>IF(Y$566&gt;=$C814,MIN(-(SUM($F814:X814)-$E814),($E814*(1-$D$568))*$D814),0)*Y$564</f>
        <v>6.2846800000000007</v>
      </c>
      <c r="Z814" s="319">
        <f>IF(Z$566&gt;=$C814,MIN(-(SUM($F814:Y814)-$E814),($E814*(1-$D$568))*$D814),0)*Z$564</f>
        <v>6.2846800000000007</v>
      </c>
      <c r="AA814" s="319">
        <f>IF(AA$566&gt;=$C814,MIN(-(SUM($F814:Z814)-$E814),($E814*(1-$D$568))*$D814),0)*AA$564</f>
        <v>6.2846800000000007</v>
      </c>
      <c r="AB814" s="319">
        <f>IF(AB$566&gt;=$C814,MIN(-(SUM($F814:AA814)-$E814),($E814*(1-$D$568))*$D814),0)*AB$564</f>
        <v>6.2846800000000007</v>
      </c>
      <c r="AC814" s="319">
        <f>IF(AC$566&gt;=$C814,MIN(-(SUM($F814:AB814)-$E814),($E814*(1-$D$568))*$D814),0)*AC$564</f>
        <v>6.2846800000000007</v>
      </c>
      <c r="AD814" s="319">
        <f>IF(AD$566&gt;=$C814,MIN(-(SUM($F814:AC814)-$E814),($E814*(1-$D$568))*$D814),0)*AD$564</f>
        <v>6.2846800000000007</v>
      </c>
      <c r="AE814" s="319">
        <f>IF(AE$566&gt;=$C814,MIN(-(SUM($F814:AD814)-$E814),($E814*(1-$D$568))*$D814),0)*AE$564</f>
        <v>6.2846800000000007</v>
      </c>
      <c r="AF814" s="319">
        <f>IF(AF$566&gt;=$C814,MIN(-(SUM($F814:AE814)-$E814),($E814*(1-$D$568))*$D814),0)*AF$564</f>
        <v>6.2846800000000007</v>
      </c>
      <c r="AG814" s="319">
        <f>IF(AG$566&gt;=$C814,MIN(-(SUM($F814:AF814)-$E814),($E814*(1-$D$568))*$D814),0)*AG$564</f>
        <v>6.2846800000000007</v>
      </c>
      <c r="AH814" s="319">
        <f>IF(AH$566&gt;=$C814,MIN(-(SUM($F814:AG814)-$E814),($E814*(1-$D$568))*$D814),0)*AH$564</f>
        <v>6.2846799999999945</v>
      </c>
      <c r="AI814" s="319">
        <f>IF(AI$566&gt;=$C814,MIN(-(SUM($F814:AH814)-$E814),($E814*(1-$D$568))*$D814),0)*AI$564</f>
        <v>0</v>
      </c>
      <c r="AJ814" s="319">
        <f>IF(AJ$566&gt;=$C814,MIN(-(SUM($F814:AI814)-$E814),($E814*(1-$D$568))*$D814),0)*AJ$564</f>
        <v>0</v>
      </c>
      <c r="AK814" s="319">
        <f>IF(AK$566&gt;=$C814,MIN(-(SUM($F814:AJ814)-$E814),($E814*(1-$D$568))*$D814),0)*AK$564</f>
        <v>0</v>
      </c>
      <c r="AL814" s="319">
        <f>IF(AL$566&gt;=$C814,MIN(-(SUM($F814:AK814)-$E814),($E814*(1-$D$568))*$D814),0)*AL$564</f>
        <v>0</v>
      </c>
      <c r="AM814" s="319">
        <f>IF(AM$566&gt;=$C814,MIN(-(SUM($F814:AL814)-$E814),($E814*(1-$D$568))*$D814),0)*AM$564</f>
        <v>0</v>
      </c>
      <c r="AN814" s="319">
        <f>IF(AN$566&gt;=$C814,MIN(-(SUM($F814:AM814)-$E814),($E814*(1-$D$568))*$D814),0)*AN$564</f>
        <v>0</v>
      </c>
    </row>
    <row r="815" spans="3:40" outlineLevel="4">
      <c r="C815">
        <v>20</v>
      </c>
      <c r="D815">
        <f>Inputs!$D$261</f>
        <v>0.1</v>
      </c>
      <c r="E815" s="319">
        <v>0</v>
      </c>
      <c r="F815" s="461">
        <f>E815*D793</f>
        <v>0</v>
      </c>
      <c r="G815" s="319">
        <f>IF(G$566&gt;=$C815,MIN(-(SUM(F815:$F815)-$E815),($E815*(1-$D$568))*$D815),0)*G$564</f>
        <v>0</v>
      </c>
      <c r="H815" s="319">
        <f>IF(H$566&gt;=$C815,MIN(-(SUM($F815:G815)-$E815),($E815*(1-$D$568))*$D815),0)*H$564</f>
        <v>0</v>
      </c>
      <c r="I815" s="319">
        <f>IF(I$566&gt;=$C815,MIN(-(SUM($F815:H815)-$E815),($E815*(1-$D$568))*$D815),0)*I$564</f>
        <v>0</v>
      </c>
      <c r="J815" s="319">
        <f>IF(J$566&gt;=$C815,MIN(-(SUM($F815:I815)-$E815),($E815*(1-$D$568))*$D815),0)*J$564</f>
        <v>0</v>
      </c>
      <c r="K815" s="319">
        <f>IF(K$566&gt;=$C815,MIN(-(SUM($F815:J815)-$E815),($E815*(1-$D$568))*$D815),0)*K$564</f>
        <v>0</v>
      </c>
      <c r="L815" s="319">
        <f>IF(L$566&gt;=$C815,MIN(-(SUM($F815:K815)-$E815),($E815*(1-$D$568))*$D815),0)*L$564</f>
        <v>0</v>
      </c>
      <c r="M815" s="319">
        <f>IF(M$566&gt;=$C815,MIN(-(SUM($F815:L815)-$E815),($E815*(1-$D$568))*$D815),0)*M$564</f>
        <v>0</v>
      </c>
      <c r="N815" s="319">
        <f>IF(N$566&gt;=$C815,MIN(-(SUM($F815:M815)-$E815),($E815*(1-$D$568))*$D815),0)*N$564</f>
        <v>0</v>
      </c>
      <c r="O815" s="319">
        <f>IF(O$566&gt;=$C815,MIN(-(SUM($F815:N815)-$E815),($E815*(1-$D$568))*$D815),0)*O$564</f>
        <v>0</v>
      </c>
      <c r="P815" s="319">
        <f>IF(P$566&gt;=$C815,MIN(-(SUM($F815:O815)-$E815),($E815*(1-$D$568))*$D815),0)*P$564</f>
        <v>0</v>
      </c>
      <c r="Q815" s="319">
        <f>IF(Q$566&gt;=$C815,MIN(-(SUM($F815:P815)-$E815),($E815*(1-$D$568))*$D815),0)*Q$564</f>
        <v>0</v>
      </c>
      <c r="R815" s="319">
        <f>IF(R$566&gt;=$C815,MIN(-(SUM($F815:Q815)-$E815),($E815*(1-$D$568))*$D815),0)*R$564</f>
        <v>0</v>
      </c>
      <c r="S815" s="319">
        <f>IF(S$566&gt;=$C815,MIN(-(SUM($F815:R815)-$E815),($E815*(1-$D$568))*$D815),0)*S$564</f>
        <v>0</v>
      </c>
      <c r="T815" s="319">
        <f>IF(T$566&gt;=$C815,MIN(-(SUM($F815:S815)-$E815),($E815*(1-$D$568))*$D815),0)*T$564</f>
        <v>0</v>
      </c>
      <c r="U815" s="319">
        <f>IF(U$566&gt;=$C815,MIN(-(SUM($F815:T815)-$E815),($E815*(1-$D$568))*$D815),0)*U$564</f>
        <v>0</v>
      </c>
      <c r="V815" s="319">
        <f>IF(V$566&gt;=$C815,MIN(-(SUM($F815:U815)-$E815),($E815*(1-$D$568))*$D815),0)*V$564</f>
        <v>0</v>
      </c>
      <c r="W815" s="319">
        <f>IF(W$566&gt;=$C815,MIN(-(SUM($F815:V815)-$E815),($E815*(1-$D$568))*$D815),0)*W$564</f>
        <v>0</v>
      </c>
      <c r="X815" s="319">
        <f>IF(X$566&gt;=$C815,MIN(-(SUM($F815:W815)-$E815),($E815*(1-$D$568))*$D815),0)*X$564</f>
        <v>0</v>
      </c>
      <c r="Y815" s="319">
        <f>IF(Y$566&gt;=$C815,MIN(-(SUM($F815:X815)-$E815),($E815*(1-$D$568))*$D815),0)*Y$564</f>
        <v>0</v>
      </c>
      <c r="Z815" s="319">
        <f>IF(Z$566&gt;=$C815,MIN(-(SUM($F815:Y815)-$E815),($E815*(1-$D$568))*$D815),0)*Z$564</f>
        <v>0</v>
      </c>
      <c r="AA815" s="319">
        <f>IF(AA$566&gt;=$C815,MIN(-(SUM($F815:Z815)-$E815),($E815*(1-$D$568))*$D815),0)*AA$564</f>
        <v>0</v>
      </c>
      <c r="AB815" s="319">
        <f>IF(AB$566&gt;=$C815,MIN(-(SUM($F815:AA815)-$E815),($E815*(1-$D$568))*$D815),0)*AB$564</f>
        <v>0</v>
      </c>
      <c r="AC815" s="319">
        <f>IF(AC$566&gt;=$C815,MIN(-(SUM($F815:AB815)-$E815),($E815*(1-$D$568))*$D815),0)*AC$564</f>
        <v>0</v>
      </c>
      <c r="AD815" s="319">
        <f>IF(AD$566&gt;=$C815,MIN(-(SUM($F815:AC815)-$E815),($E815*(1-$D$568))*$D815),0)*AD$564</f>
        <v>0</v>
      </c>
      <c r="AE815" s="319">
        <f>IF(AE$566&gt;=$C815,MIN(-(SUM($F815:AD815)-$E815),($E815*(1-$D$568))*$D815),0)*AE$564</f>
        <v>0</v>
      </c>
      <c r="AF815" s="319">
        <f>IF(AF$566&gt;=$C815,MIN(-(SUM($F815:AE815)-$E815),($E815*(1-$D$568))*$D815),0)*AF$564</f>
        <v>0</v>
      </c>
      <c r="AG815" s="319">
        <f>IF(AG$566&gt;=$C815,MIN(-(SUM($F815:AF815)-$E815),($E815*(1-$D$568))*$D815),0)*AG$564</f>
        <v>0</v>
      </c>
      <c r="AH815" s="319">
        <f>IF(AH$566&gt;=$C815,MIN(-(SUM($F815:AG815)-$E815),($E815*(1-$D$568))*$D815),0)*AH$564</f>
        <v>0</v>
      </c>
      <c r="AI815" s="319">
        <f>IF(AI$566&gt;=$C815,MIN(-(SUM($F815:AH815)-$E815),($E815*(1-$D$568))*$D815),0)*AI$564</f>
        <v>0</v>
      </c>
      <c r="AJ815" s="319">
        <f>IF(AJ$566&gt;=$C815,MIN(-(SUM($F815:AI815)-$E815),($E815*(1-$D$568))*$D815),0)*AJ$564</f>
        <v>0</v>
      </c>
      <c r="AK815" s="319">
        <f>IF(AK$566&gt;=$C815,MIN(-(SUM($F815:AJ815)-$E815),($E815*(1-$D$568))*$D815),0)*AK$564</f>
        <v>0</v>
      </c>
      <c r="AL815" s="319">
        <f>IF(AL$566&gt;=$C815,MIN(-(SUM($F815:AK815)-$E815),($E815*(1-$D$568))*$D815),0)*AL$564</f>
        <v>0</v>
      </c>
      <c r="AM815" s="319">
        <f>IF(AM$566&gt;=$C815,MIN(-(SUM($F815:AL815)-$E815),($E815*(1-$D$568))*$D815),0)*AM$564</f>
        <v>0</v>
      </c>
      <c r="AN815" s="319">
        <f>IF(AN$566&gt;=$C815,MIN(-(SUM($F815:AM815)-$E815),($E815*(1-$D$568))*$D815),0)*AN$564</f>
        <v>0</v>
      </c>
    </row>
    <row r="816" spans="3:40" outlineLevel="4">
      <c r="C816">
        <v>21</v>
      </c>
      <c r="D816">
        <f>Inputs!$D$261</f>
        <v>0.1</v>
      </c>
      <c r="E816" s="319">
        <v>157.19329000000002</v>
      </c>
      <c r="F816" s="461">
        <f>E816*D793</f>
        <v>0</v>
      </c>
      <c r="G816" s="319">
        <f>IF(G$566&gt;=$C816,MIN(-(SUM(F816:$F816)-$E816),($E816*(1-$D$568))*$D816),0)*G$564</f>
        <v>0</v>
      </c>
      <c r="H816" s="319">
        <f>IF(H$566&gt;=$C816,MIN(-(SUM($F816:G816)-$E816),($E816*(1-$D$568))*$D816),0)*H$564</f>
        <v>0</v>
      </c>
      <c r="I816" s="319">
        <f>IF(I$566&gt;=$C816,MIN(-(SUM($F816:H816)-$E816),($E816*(1-$D$568))*$D816),0)*I$564</f>
        <v>0</v>
      </c>
      <c r="J816" s="319">
        <f>IF(J$566&gt;=$C816,MIN(-(SUM($F816:I816)-$E816),($E816*(1-$D$568))*$D816),0)*J$564</f>
        <v>0</v>
      </c>
      <c r="K816" s="319">
        <f>IF(K$566&gt;=$C816,MIN(-(SUM($F816:J816)-$E816),($E816*(1-$D$568))*$D816),0)*K$564</f>
        <v>0</v>
      </c>
      <c r="L816" s="319">
        <f>IF(L$566&gt;=$C816,MIN(-(SUM($F816:K816)-$E816),($E816*(1-$D$568))*$D816),0)*L$564</f>
        <v>0</v>
      </c>
      <c r="M816" s="319">
        <f>IF(M$566&gt;=$C816,MIN(-(SUM($F816:L816)-$E816),($E816*(1-$D$568))*$D816),0)*M$564</f>
        <v>0</v>
      </c>
      <c r="N816" s="319">
        <f>IF(N$566&gt;=$C816,MIN(-(SUM($F816:M816)-$E816),($E816*(1-$D$568))*$D816),0)*N$564</f>
        <v>0</v>
      </c>
      <c r="O816" s="319">
        <f>IF(O$566&gt;=$C816,MIN(-(SUM($F816:N816)-$E816),($E816*(1-$D$568))*$D816),0)*O$564</f>
        <v>0</v>
      </c>
      <c r="P816" s="319">
        <f>IF(P$566&gt;=$C816,MIN(-(SUM($F816:O816)-$E816),($E816*(1-$D$568))*$D816),0)*P$564</f>
        <v>0</v>
      </c>
      <c r="Q816" s="319">
        <f>IF(Q$566&gt;=$C816,MIN(-(SUM($F816:P816)-$E816),($E816*(1-$D$568))*$D816),0)*Q$564</f>
        <v>0</v>
      </c>
      <c r="R816" s="319">
        <f>IF(R$566&gt;=$C816,MIN(-(SUM($F816:Q816)-$E816),($E816*(1-$D$568))*$D816),0)*R$564</f>
        <v>0</v>
      </c>
      <c r="S816" s="319">
        <f>IF(S$566&gt;=$C816,MIN(-(SUM($F816:R816)-$E816),($E816*(1-$D$568))*$D816),0)*S$564</f>
        <v>0</v>
      </c>
      <c r="T816" s="319">
        <f>IF(T$566&gt;=$C816,MIN(-(SUM($F816:S816)-$E816),($E816*(1-$D$568))*$D816),0)*T$564</f>
        <v>0</v>
      </c>
      <c r="U816" s="319">
        <f>IF(U$566&gt;=$C816,MIN(-(SUM($F816:T816)-$E816),($E816*(1-$D$568))*$D816),0)*U$564</f>
        <v>0</v>
      </c>
      <c r="V816" s="319">
        <f>IF(V$566&gt;=$C816,MIN(-(SUM($F816:U816)-$E816),($E816*(1-$D$568))*$D816),0)*V$564</f>
        <v>0</v>
      </c>
      <c r="W816" s="319">
        <f>IF(W$566&gt;=$C816,MIN(-(SUM($F816:V816)-$E816),($E816*(1-$D$568))*$D816),0)*W$564</f>
        <v>0</v>
      </c>
      <c r="X816" s="319">
        <f>IF(X$566&gt;=$C816,MIN(-(SUM($F816:W816)-$E816),($E816*(1-$D$568))*$D816),0)*X$564</f>
        <v>0</v>
      </c>
      <c r="Y816" s="319">
        <f>IF(Y$566&gt;=$C816,MIN(-(SUM($F816:X816)-$E816),($E816*(1-$D$568))*$D816),0)*Y$564</f>
        <v>0</v>
      </c>
      <c r="Z816" s="319">
        <f>IF(Z$566&gt;=$C816,MIN(-(SUM($F816:Y816)-$E816),($E816*(1-$D$568))*$D816),0)*Z$564</f>
        <v>0</v>
      </c>
      <c r="AA816" s="319">
        <f>IF(AA$566&gt;=$C816,MIN(-(SUM($F816:Z816)-$E816),($E816*(1-$D$568))*$D816),0)*AA$564</f>
        <v>15.719329000000002</v>
      </c>
      <c r="AB816" s="319">
        <f>IF(AB$566&gt;=$C816,MIN(-(SUM($F816:AA816)-$E816),($E816*(1-$D$568))*$D816),0)*AB$564</f>
        <v>15.719329000000002</v>
      </c>
      <c r="AC816" s="319">
        <f>IF(AC$566&gt;=$C816,MIN(-(SUM($F816:AB816)-$E816),($E816*(1-$D$568))*$D816),0)*AC$564</f>
        <v>15.719329000000002</v>
      </c>
      <c r="AD816" s="319">
        <f>IF(AD$566&gt;=$C816,MIN(-(SUM($F816:AC816)-$E816),($E816*(1-$D$568))*$D816),0)*AD$564</f>
        <v>15.719329000000002</v>
      </c>
      <c r="AE816" s="319">
        <f>IF(AE$566&gt;=$C816,MIN(-(SUM($F816:AD816)-$E816),($E816*(1-$D$568))*$D816),0)*AE$564</f>
        <v>15.719329000000002</v>
      </c>
      <c r="AF816" s="319">
        <f>IF(AF$566&gt;=$C816,MIN(-(SUM($F816:AE816)-$E816),($E816*(1-$D$568))*$D816),0)*AF$564</f>
        <v>15.719329000000002</v>
      </c>
      <c r="AG816" s="319">
        <f>IF(AG$566&gt;=$C816,MIN(-(SUM($F816:AF816)-$E816),($E816*(1-$D$568))*$D816),0)*AG$564</f>
        <v>15.719329000000002</v>
      </c>
      <c r="AH816" s="319">
        <f>IF(AH$566&gt;=$C816,MIN(-(SUM($F816:AG816)-$E816),($E816*(1-$D$568))*$D816),0)*AH$564</f>
        <v>15.719329000000002</v>
      </c>
      <c r="AI816" s="319">
        <f>IF(AI$566&gt;=$C816,MIN(-(SUM($F816:AH816)-$E816),($E816*(1-$D$568))*$D816),0)*AI$564</f>
        <v>15.719329000000002</v>
      </c>
      <c r="AJ816" s="319">
        <f>IF(AJ$566&gt;=$C816,MIN(-(SUM($F816:AI816)-$E816),($E816*(1-$D$568))*$D816),0)*AJ$564</f>
        <v>15.719328999999988</v>
      </c>
      <c r="AK816" s="319">
        <f>IF(AK$566&gt;=$C816,MIN(-(SUM($F816:AJ816)-$E816),($E816*(1-$D$568))*$D816),0)*AK$564</f>
        <v>0</v>
      </c>
      <c r="AL816" s="319">
        <f>IF(AL$566&gt;=$C816,MIN(-(SUM($F816:AK816)-$E816),($E816*(1-$D$568))*$D816),0)*AL$564</f>
        <v>0</v>
      </c>
      <c r="AM816" s="319">
        <f>IF(AM$566&gt;=$C816,MIN(-(SUM($F816:AL816)-$E816),($E816*(1-$D$568))*$D816),0)*AM$564</f>
        <v>0</v>
      </c>
      <c r="AN816" s="319">
        <f>IF(AN$566&gt;=$C816,MIN(-(SUM($F816:AM816)-$E816),($E816*(1-$D$568))*$D816),0)*AN$564</f>
        <v>0</v>
      </c>
    </row>
    <row r="817" spans="3:160" outlineLevel="4">
      <c r="C817">
        <v>22</v>
      </c>
      <c r="D817">
        <f>Inputs!$D$261</f>
        <v>0.1</v>
      </c>
      <c r="E817" s="319">
        <v>62.846800000000002</v>
      </c>
      <c r="F817" s="461">
        <f>E817*D793</f>
        <v>0</v>
      </c>
      <c r="G817" s="319">
        <f>IF(G$566&gt;=$C817,MIN(-(SUM(F817:$F817)-$E817),($E817*(1-$D$568))*$D817),0)*G$564</f>
        <v>0</v>
      </c>
      <c r="H817" s="319">
        <f>IF(H$566&gt;=$C817,MIN(-(SUM($F817:G817)-$E817),($E817*(1-$D$568))*$D817),0)*H$564</f>
        <v>0</v>
      </c>
      <c r="I817" s="319">
        <f>IF(I$566&gt;=$C817,MIN(-(SUM($F817:H817)-$E817),($E817*(1-$D$568))*$D817),0)*I$564</f>
        <v>0</v>
      </c>
      <c r="J817" s="319">
        <f>IF(J$566&gt;=$C817,MIN(-(SUM($F817:I817)-$E817),($E817*(1-$D$568))*$D817),0)*J$564</f>
        <v>0</v>
      </c>
      <c r="K817" s="319">
        <f>IF(K$566&gt;=$C817,MIN(-(SUM($F817:J817)-$E817),($E817*(1-$D$568))*$D817),0)*K$564</f>
        <v>0</v>
      </c>
      <c r="L817" s="319">
        <f>IF(L$566&gt;=$C817,MIN(-(SUM($F817:K817)-$E817),($E817*(1-$D$568))*$D817),0)*L$564</f>
        <v>0</v>
      </c>
      <c r="M817" s="319">
        <f>IF(M$566&gt;=$C817,MIN(-(SUM($F817:L817)-$E817),($E817*(1-$D$568))*$D817),0)*M$564</f>
        <v>0</v>
      </c>
      <c r="N817" s="319">
        <f>IF(N$566&gt;=$C817,MIN(-(SUM($F817:M817)-$E817),($E817*(1-$D$568))*$D817),0)*N$564</f>
        <v>0</v>
      </c>
      <c r="O817" s="319">
        <f>IF(O$566&gt;=$C817,MIN(-(SUM($F817:N817)-$E817),($E817*(1-$D$568))*$D817),0)*O$564</f>
        <v>0</v>
      </c>
      <c r="P817" s="319">
        <f>IF(P$566&gt;=$C817,MIN(-(SUM($F817:O817)-$E817),($E817*(1-$D$568))*$D817),0)*P$564</f>
        <v>0</v>
      </c>
      <c r="Q817" s="319">
        <f>IF(Q$566&gt;=$C817,MIN(-(SUM($F817:P817)-$E817),($E817*(1-$D$568))*$D817),0)*Q$564</f>
        <v>0</v>
      </c>
      <c r="R817" s="319">
        <f>IF(R$566&gt;=$C817,MIN(-(SUM($F817:Q817)-$E817),($E817*(1-$D$568))*$D817),0)*R$564</f>
        <v>0</v>
      </c>
      <c r="S817" s="319">
        <f>IF(S$566&gt;=$C817,MIN(-(SUM($F817:R817)-$E817),($E817*(1-$D$568))*$D817),0)*S$564</f>
        <v>0</v>
      </c>
      <c r="T817" s="319">
        <f>IF(T$566&gt;=$C817,MIN(-(SUM($F817:S817)-$E817),($E817*(1-$D$568))*$D817),0)*T$564</f>
        <v>0</v>
      </c>
      <c r="U817" s="319">
        <f>IF(U$566&gt;=$C817,MIN(-(SUM($F817:T817)-$E817),($E817*(1-$D$568))*$D817),0)*U$564</f>
        <v>0</v>
      </c>
      <c r="V817" s="319">
        <f>IF(V$566&gt;=$C817,MIN(-(SUM($F817:U817)-$E817),($E817*(1-$D$568))*$D817),0)*V$564</f>
        <v>0</v>
      </c>
      <c r="W817" s="319">
        <f>IF(W$566&gt;=$C817,MIN(-(SUM($F817:V817)-$E817),($E817*(1-$D$568))*$D817),0)*W$564</f>
        <v>0</v>
      </c>
      <c r="X817" s="319">
        <f>IF(X$566&gt;=$C817,MIN(-(SUM($F817:W817)-$E817),($E817*(1-$D$568))*$D817),0)*X$564</f>
        <v>0</v>
      </c>
      <c r="Y817" s="319">
        <f>IF(Y$566&gt;=$C817,MIN(-(SUM($F817:X817)-$E817),($E817*(1-$D$568))*$D817),0)*Y$564</f>
        <v>0</v>
      </c>
      <c r="Z817" s="319">
        <f>IF(Z$566&gt;=$C817,MIN(-(SUM($F817:Y817)-$E817),($E817*(1-$D$568))*$D817),0)*Z$564</f>
        <v>0</v>
      </c>
      <c r="AA817" s="319">
        <f>IF(AA$566&gt;=$C817,MIN(-(SUM($F817:Z817)-$E817),($E817*(1-$D$568))*$D817),0)*AA$564</f>
        <v>0</v>
      </c>
      <c r="AB817" s="319">
        <f>IF(AB$566&gt;=$C817,MIN(-(SUM($F817:AA817)-$E817),($E817*(1-$D$568))*$D817),0)*AB$564</f>
        <v>6.2846800000000007</v>
      </c>
      <c r="AC817" s="319">
        <f>IF(AC$566&gt;=$C817,MIN(-(SUM($F817:AB817)-$E817),($E817*(1-$D$568))*$D817),0)*AC$564</f>
        <v>6.2846800000000007</v>
      </c>
      <c r="AD817" s="319">
        <f>IF(AD$566&gt;=$C817,MIN(-(SUM($F817:AC817)-$E817),($E817*(1-$D$568))*$D817),0)*AD$564</f>
        <v>6.2846800000000007</v>
      </c>
      <c r="AE817" s="319">
        <f>IF(AE$566&gt;=$C817,MIN(-(SUM($F817:AD817)-$E817),($E817*(1-$D$568))*$D817),0)*AE$564</f>
        <v>6.2846800000000007</v>
      </c>
      <c r="AF817" s="319">
        <f>IF(AF$566&gt;=$C817,MIN(-(SUM($F817:AE817)-$E817),($E817*(1-$D$568))*$D817),0)*AF$564</f>
        <v>6.2846800000000007</v>
      </c>
      <c r="AG817" s="319">
        <f>IF(AG$566&gt;=$C817,MIN(-(SUM($F817:AF817)-$E817),($E817*(1-$D$568))*$D817),0)*AG$564</f>
        <v>6.2846800000000007</v>
      </c>
      <c r="AH817" s="319">
        <f>IF(AH$566&gt;=$C817,MIN(-(SUM($F817:AG817)-$E817),($E817*(1-$D$568))*$D817),0)*AH$564</f>
        <v>6.2846800000000007</v>
      </c>
      <c r="AI817" s="319">
        <f>IF(AI$566&gt;=$C817,MIN(-(SUM($F817:AH817)-$E817),($E817*(1-$D$568))*$D817),0)*AI$564</f>
        <v>6.2846800000000007</v>
      </c>
      <c r="AJ817" s="319">
        <f>IF(AJ$566&gt;=$C817,MIN(-(SUM($F817:AI817)-$E817),($E817*(1-$D$568))*$D817),0)*AJ$564</f>
        <v>6.2846800000000007</v>
      </c>
      <c r="AK817" s="319">
        <f>IF(AK$566&gt;=$C817,MIN(-(SUM($F817:AJ817)-$E817),($E817*(1-$D$568))*$D817),0)*AK$564</f>
        <v>0</v>
      </c>
      <c r="AL817" s="319">
        <f>IF(AL$566&gt;=$C817,MIN(-(SUM($F817:AK817)-$E817),($E817*(1-$D$568))*$D817),0)*AL$564</f>
        <v>0</v>
      </c>
      <c r="AM817" s="319">
        <f>IF(AM$566&gt;=$C817,MIN(-(SUM($F817:AL817)-$E817),($E817*(1-$D$568))*$D817),0)*AM$564</f>
        <v>0</v>
      </c>
      <c r="AN817" s="319">
        <f>IF(AN$566&gt;=$C817,MIN(-(SUM($F817:AM817)-$E817),($E817*(1-$D$568))*$D817),0)*AN$564</f>
        <v>0</v>
      </c>
    </row>
    <row r="818" spans="3:160" outlineLevel="4">
      <c r="C818">
        <v>23</v>
      </c>
      <c r="D818">
        <f>Inputs!$D$261</f>
        <v>0.1</v>
      </c>
      <c r="E818" s="319">
        <v>0</v>
      </c>
      <c r="F818" s="461">
        <f>E818*D793</f>
        <v>0</v>
      </c>
      <c r="G818" s="319">
        <f>IF(G$566&gt;=$C818,MIN(-(SUM(F818:$F818)-$E818),($E818*(1-$D$568))*$D818),0)*G$564</f>
        <v>0</v>
      </c>
      <c r="H818" s="319">
        <f>IF(H$566&gt;=$C818,MIN(-(SUM($F818:G818)-$E818),($E818*(1-$D$568))*$D818),0)*H$564</f>
        <v>0</v>
      </c>
      <c r="I818" s="319">
        <f>IF(I$566&gt;=$C818,MIN(-(SUM($F818:H818)-$E818),($E818*(1-$D$568))*$D818),0)*I$564</f>
        <v>0</v>
      </c>
      <c r="J818" s="319">
        <f>IF(J$566&gt;=$C818,MIN(-(SUM($F818:I818)-$E818),($E818*(1-$D$568))*$D818),0)*J$564</f>
        <v>0</v>
      </c>
      <c r="K818" s="319">
        <f>IF(K$566&gt;=$C818,MIN(-(SUM($F818:J818)-$E818),($E818*(1-$D$568))*$D818),0)*K$564</f>
        <v>0</v>
      </c>
      <c r="L818" s="319">
        <f>IF(L$566&gt;=$C818,MIN(-(SUM($F818:K818)-$E818),($E818*(1-$D$568))*$D818),0)*L$564</f>
        <v>0</v>
      </c>
      <c r="M818" s="319">
        <f>IF(M$566&gt;=$C818,MIN(-(SUM($F818:L818)-$E818),($E818*(1-$D$568))*$D818),0)*M$564</f>
        <v>0</v>
      </c>
      <c r="N818" s="319">
        <f>IF(N$566&gt;=$C818,MIN(-(SUM($F818:M818)-$E818),($E818*(1-$D$568))*$D818),0)*N$564</f>
        <v>0</v>
      </c>
      <c r="O818" s="319">
        <f>IF(O$566&gt;=$C818,MIN(-(SUM($F818:N818)-$E818),($E818*(1-$D$568))*$D818),0)*O$564</f>
        <v>0</v>
      </c>
      <c r="P818" s="319">
        <f>IF(P$566&gt;=$C818,MIN(-(SUM($F818:O818)-$E818),($E818*(1-$D$568))*$D818),0)*P$564</f>
        <v>0</v>
      </c>
      <c r="Q818" s="319">
        <f>IF(Q$566&gt;=$C818,MIN(-(SUM($F818:P818)-$E818),($E818*(1-$D$568))*$D818),0)*Q$564</f>
        <v>0</v>
      </c>
      <c r="R818" s="319">
        <f>IF(R$566&gt;=$C818,MIN(-(SUM($F818:Q818)-$E818),($E818*(1-$D$568))*$D818),0)*R$564</f>
        <v>0</v>
      </c>
      <c r="S818" s="319">
        <f>IF(S$566&gt;=$C818,MIN(-(SUM($F818:R818)-$E818),($E818*(1-$D$568))*$D818),0)*S$564</f>
        <v>0</v>
      </c>
      <c r="T818" s="319">
        <f>IF(T$566&gt;=$C818,MIN(-(SUM($F818:S818)-$E818),($E818*(1-$D$568))*$D818),0)*T$564</f>
        <v>0</v>
      </c>
      <c r="U818" s="319">
        <f>IF(U$566&gt;=$C818,MIN(-(SUM($F818:T818)-$E818),($E818*(1-$D$568))*$D818),0)*U$564</f>
        <v>0</v>
      </c>
      <c r="V818" s="319">
        <f>IF(V$566&gt;=$C818,MIN(-(SUM($F818:U818)-$E818),($E818*(1-$D$568))*$D818),0)*V$564</f>
        <v>0</v>
      </c>
      <c r="W818" s="319">
        <f>IF(W$566&gt;=$C818,MIN(-(SUM($F818:V818)-$E818),($E818*(1-$D$568))*$D818),0)*W$564</f>
        <v>0</v>
      </c>
      <c r="X818" s="319">
        <f>IF(X$566&gt;=$C818,MIN(-(SUM($F818:W818)-$E818),($E818*(1-$D$568))*$D818),0)*X$564</f>
        <v>0</v>
      </c>
      <c r="Y818" s="319">
        <f>IF(Y$566&gt;=$C818,MIN(-(SUM($F818:X818)-$E818),($E818*(1-$D$568))*$D818),0)*Y$564</f>
        <v>0</v>
      </c>
      <c r="Z818" s="319">
        <f>IF(Z$566&gt;=$C818,MIN(-(SUM($F818:Y818)-$E818),($E818*(1-$D$568))*$D818),0)*Z$564</f>
        <v>0</v>
      </c>
      <c r="AA818" s="319">
        <f>IF(AA$566&gt;=$C818,MIN(-(SUM($F818:Z818)-$E818),($E818*(1-$D$568))*$D818),0)*AA$564</f>
        <v>0</v>
      </c>
      <c r="AB818" s="319">
        <f>IF(AB$566&gt;=$C818,MIN(-(SUM($F818:AA818)-$E818),($E818*(1-$D$568))*$D818),0)*AB$564</f>
        <v>0</v>
      </c>
      <c r="AC818" s="319">
        <f>IF(AC$566&gt;=$C818,MIN(-(SUM($F818:AB818)-$E818),($E818*(1-$D$568))*$D818),0)*AC$564</f>
        <v>0</v>
      </c>
      <c r="AD818" s="319">
        <f>IF(AD$566&gt;=$C818,MIN(-(SUM($F818:AC818)-$E818),($E818*(1-$D$568))*$D818),0)*AD$564</f>
        <v>0</v>
      </c>
      <c r="AE818" s="319">
        <f>IF(AE$566&gt;=$C818,MIN(-(SUM($F818:AD818)-$E818),($E818*(1-$D$568))*$D818),0)*AE$564</f>
        <v>0</v>
      </c>
      <c r="AF818" s="319">
        <f>IF(AF$566&gt;=$C818,MIN(-(SUM($F818:AE818)-$E818),($E818*(1-$D$568))*$D818),0)*AF$564</f>
        <v>0</v>
      </c>
      <c r="AG818" s="319">
        <f>IF(AG$566&gt;=$C818,MIN(-(SUM($F818:AF818)-$E818),($E818*(1-$D$568))*$D818),0)*AG$564</f>
        <v>0</v>
      </c>
      <c r="AH818" s="319">
        <f>IF(AH$566&gt;=$C818,MIN(-(SUM($F818:AG818)-$E818),($E818*(1-$D$568))*$D818),0)*AH$564</f>
        <v>0</v>
      </c>
      <c r="AI818" s="319">
        <f>IF(AI$566&gt;=$C818,MIN(-(SUM($F818:AH818)-$E818),($E818*(1-$D$568))*$D818),0)*AI$564</f>
        <v>0</v>
      </c>
      <c r="AJ818" s="319">
        <f>IF(AJ$566&gt;=$C818,MIN(-(SUM($F818:AI818)-$E818),($E818*(1-$D$568))*$D818),0)*AJ$564</f>
        <v>0</v>
      </c>
      <c r="AK818" s="319">
        <f>IF(AK$566&gt;=$C818,MIN(-(SUM($F818:AJ818)-$E818),($E818*(1-$D$568))*$D818),0)*AK$564</f>
        <v>0</v>
      </c>
      <c r="AL818" s="319">
        <f>IF(AL$566&gt;=$C818,MIN(-(SUM($F818:AK818)-$E818),($E818*(1-$D$568))*$D818),0)*AL$564</f>
        <v>0</v>
      </c>
      <c r="AM818" s="319">
        <f>IF(AM$566&gt;=$C818,MIN(-(SUM($F818:AL818)-$E818),($E818*(1-$D$568))*$D818),0)*AM$564</f>
        <v>0</v>
      </c>
      <c r="AN818" s="319">
        <f>IF(AN$566&gt;=$C818,MIN(-(SUM($F818:AM818)-$E818),($E818*(1-$D$568))*$D818),0)*AN$564</f>
        <v>0</v>
      </c>
    </row>
    <row r="819" spans="3:160" outlineLevel="4">
      <c r="C819">
        <v>24</v>
      </c>
      <c r="D819">
        <f>Inputs!$D$261</f>
        <v>0.1</v>
      </c>
      <c r="E819" s="319">
        <v>0</v>
      </c>
      <c r="F819" s="461">
        <f>E819*D793</f>
        <v>0</v>
      </c>
      <c r="G819" s="319">
        <f>IF(G$566&gt;=$C819,MIN(-(SUM(F819:$F819)-$E819),($E819*(1-$D$568))*$D819),0)*G$564</f>
        <v>0</v>
      </c>
      <c r="H819" s="319">
        <f>IF(H$566&gt;=$C819,MIN(-(SUM($F819:G819)-$E819),($E819*(1-$D$568))*$D819),0)*H$564</f>
        <v>0</v>
      </c>
      <c r="I819" s="319">
        <f>IF(I$566&gt;=$C819,MIN(-(SUM($F819:H819)-$E819),($E819*(1-$D$568))*$D819),0)*I$564</f>
        <v>0</v>
      </c>
      <c r="J819" s="319">
        <f>IF(J$566&gt;=$C819,MIN(-(SUM($F819:I819)-$E819),($E819*(1-$D$568))*$D819),0)*J$564</f>
        <v>0</v>
      </c>
      <c r="K819" s="319">
        <f>IF(K$566&gt;=$C819,MIN(-(SUM($F819:J819)-$E819),($E819*(1-$D$568))*$D819),0)*K$564</f>
        <v>0</v>
      </c>
      <c r="L819" s="319">
        <f>IF(L$566&gt;=$C819,MIN(-(SUM($F819:K819)-$E819),($E819*(1-$D$568))*$D819),0)*L$564</f>
        <v>0</v>
      </c>
      <c r="M819" s="319">
        <f>IF(M$566&gt;=$C819,MIN(-(SUM($F819:L819)-$E819),($E819*(1-$D$568))*$D819),0)*M$564</f>
        <v>0</v>
      </c>
      <c r="N819" s="319">
        <f>IF(N$566&gt;=$C819,MIN(-(SUM($F819:M819)-$E819),($E819*(1-$D$568))*$D819),0)*N$564</f>
        <v>0</v>
      </c>
      <c r="O819" s="319">
        <f>IF(O$566&gt;=$C819,MIN(-(SUM($F819:N819)-$E819),($E819*(1-$D$568))*$D819),0)*O$564</f>
        <v>0</v>
      </c>
      <c r="P819" s="319">
        <f>IF(P$566&gt;=$C819,MIN(-(SUM($F819:O819)-$E819),($E819*(1-$D$568))*$D819),0)*P$564</f>
        <v>0</v>
      </c>
      <c r="Q819" s="319">
        <f>IF(Q$566&gt;=$C819,MIN(-(SUM($F819:P819)-$E819),($E819*(1-$D$568))*$D819),0)*Q$564</f>
        <v>0</v>
      </c>
      <c r="R819" s="319">
        <f>IF(R$566&gt;=$C819,MIN(-(SUM($F819:Q819)-$E819),($E819*(1-$D$568))*$D819),0)*R$564</f>
        <v>0</v>
      </c>
      <c r="S819" s="319">
        <f>IF(S$566&gt;=$C819,MIN(-(SUM($F819:R819)-$E819),($E819*(1-$D$568))*$D819),0)*S$564</f>
        <v>0</v>
      </c>
      <c r="T819" s="319">
        <f>IF(T$566&gt;=$C819,MIN(-(SUM($F819:S819)-$E819),($E819*(1-$D$568))*$D819),0)*T$564</f>
        <v>0</v>
      </c>
      <c r="U819" s="319">
        <f>IF(U$566&gt;=$C819,MIN(-(SUM($F819:T819)-$E819),($E819*(1-$D$568))*$D819),0)*U$564</f>
        <v>0</v>
      </c>
      <c r="V819" s="319">
        <f>IF(V$566&gt;=$C819,MIN(-(SUM($F819:U819)-$E819),($E819*(1-$D$568))*$D819),0)*V$564</f>
        <v>0</v>
      </c>
      <c r="W819" s="319">
        <f>IF(W$566&gt;=$C819,MIN(-(SUM($F819:V819)-$E819),($E819*(1-$D$568))*$D819),0)*W$564</f>
        <v>0</v>
      </c>
      <c r="X819" s="319">
        <f>IF(X$566&gt;=$C819,MIN(-(SUM($F819:W819)-$E819),($E819*(1-$D$568))*$D819),0)*X$564</f>
        <v>0</v>
      </c>
      <c r="Y819" s="319">
        <f>IF(Y$566&gt;=$C819,MIN(-(SUM($F819:X819)-$E819),($E819*(1-$D$568))*$D819),0)*Y$564</f>
        <v>0</v>
      </c>
      <c r="Z819" s="319">
        <f>IF(Z$566&gt;=$C819,MIN(-(SUM($F819:Y819)-$E819),($E819*(1-$D$568))*$D819),0)*Z$564</f>
        <v>0</v>
      </c>
      <c r="AA819" s="319">
        <f>IF(AA$566&gt;=$C819,MIN(-(SUM($F819:Z819)-$E819),($E819*(1-$D$568))*$D819),0)*AA$564</f>
        <v>0</v>
      </c>
      <c r="AB819" s="319">
        <f>IF(AB$566&gt;=$C819,MIN(-(SUM($F819:AA819)-$E819),($E819*(1-$D$568))*$D819),0)*AB$564</f>
        <v>0</v>
      </c>
      <c r="AC819" s="319">
        <f>IF(AC$566&gt;=$C819,MIN(-(SUM($F819:AB819)-$E819),($E819*(1-$D$568))*$D819),0)*AC$564</f>
        <v>0</v>
      </c>
      <c r="AD819" s="319">
        <f>IF(AD$566&gt;=$C819,MIN(-(SUM($F819:AC819)-$E819),($E819*(1-$D$568))*$D819),0)*AD$564</f>
        <v>0</v>
      </c>
      <c r="AE819" s="319">
        <f>IF(AE$566&gt;=$C819,MIN(-(SUM($F819:AD819)-$E819),($E819*(1-$D$568))*$D819),0)*AE$564</f>
        <v>0</v>
      </c>
      <c r="AF819" s="319">
        <f>IF(AF$566&gt;=$C819,MIN(-(SUM($F819:AE819)-$E819),($E819*(1-$D$568))*$D819),0)*AF$564</f>
        <v>0</v>
      </c>
      <c r="AG819" s="319">
        <f>IF(AG$566&gt;=$C819,MIN(-(SUM($F819:AF819)-$E819),($E819*(1-$D$568))*$D819),0)*AG$564</f>
        <v>0</v>
      </c>
      <c r="AH819" s="319">
        <f>IF(AH$566&gt;=$C819,MIN(-(SUM($F819:AG819)-$E819),($E819*(1-$D$568))*$D819),0)*AH$564</f>
        <v>0</v>
      </c>
      <c r="AI819" s="319">
        <f>IF(AI$566&gt;=$C819,MIN(-(SUM($F819:AH819)-$E819),($E819*(1-$D$568))*$D819),0)*AI$564</f>
        <v>0</v>
      </c>
      <c r="AJ819" s="319">
        <f>IF(AJ$566&gt;=$C819,MIN(-(SUM($F819:AI819)-$E819),($E819*(1-$D$568))*$D819),0)*AJ$564</f>
        <v>0</v>
      </c>
      <c r="AK819" s="319">
        <f>IF(AK$566&gt;=$C819,MIN(-(SUM($F819:AJ819)-$E819),($E819*(1-$D$568))*$D819),0)*AK$564</f>
        <v>0</v>
      </c>
      <c r="AL819" s="319">
        <f>IF(AL$566&gt;=$C819,MIN(-(SUM($F819:AK819)-$E819),($E819*(1-$D$568))*$D819),0)*AL$564</f>
        <v>0</v>
      </c>
      <c r="AM819" s="319">
        <f>IF(AM$566&gt;=$C819,MIN(-(SUM($F819:AL819)-$E819),($E819*(1-$D$568))*$D819),0)*AM$564</f>
        <v>0</v>
      </c>
      <c r="AN819" s="319">
        <f>IF(AN$566&gt;=$C819,MIN(-(SUM($F819:AM819)-$E819),($E819*(1-$D$568))*$D819),0)*AN$564</f>
        <v>0</v>
      </c>
    </row>
    <row r="820" spans="3:160" outlineLevel="4">
      <c r="C820">
        <v>25</v>
      </c>
      <c r="D820">
        <f>Inputs!$D$261</f>
        <v>0.1</v>
      </c>
      <c r="E820" s="319">
        <v>63.066600000000001</v>
      </c>
      <c r="F820" s="461">
        <f>E820*D793</f>
        <v>0</v>
      </c>
      <c r="G820" s="319">
        <f>IF(G$566&gt;=$C820,MIN(-(SUM(F820:$F820)-$E820),($E820*(1-$D$568))*$D820),0)*G$564</f>
        <v>0</v>
      </c>
      <c r="H820" s="319">
        <f>IF(H$566&gt;=$C820,MIN(-(SUM($F820:G820)-$E820),($E820*(1-$D$568))*$D820),0)*H$564</f>
        <v>0</v>
      </c>
      <c r="I820" s="319">
        <f>IF(I$566&gt;=$C820,MIN(-(SUM($F820:H820)-$E820),($E820*(1-$D$568))*$D820),0)*I$564</f>
        <v>0</v>
      </c>
      <c r="J820" s="319">
        <f>IF(J$566&gt;=$C820,MIN(-(SUM($F820:I820)-$E820),($E820*(1-$D$568))*$D820),0)*J$564</f>
        <v>0</v>
      </c>
      <c r="K820" s="319">
        <f>IF(K$566&gt;=$C820,MIN(-(SUM($F820:J820)-$E820),($E820*(1-$D$568))*$D820),0)*K$564</f>
        <v>0</v>
      </c>
      <c r="L820" s="319">
        <f>IF(L$566&gt;=$C820,MIN(-(SUM($F820:K820)-$E820),($E820*(1-$D$568))*$D820),0)*L$564</f>
        <v>0</v>
      </c>
      <c r="M820" s="319">
        <f>IF(M$566&gt;=$C820,MIN(-(SUM($F820:L820)-$E820),($E820*(1-$D$568))*$D820),0)*M$564</f>
        <v>0</v>
      </c>
      <c r="N820" s="319">
        <f>IF(N$566&gt;=$C820,MIN(-(SUM($F820:M820)-$E820),($E820*(1-$D$568))*$D820),0)*N$564</f>
        <v>0</v>
      </c>
      <c r="O820" s="319">
        <f>IF(O$566&gt;=$C820,MIN(-(SUM($F820:N820)-$E820),($E820*(1-$D$568))*$D820),0)*O$564</f>
        <v>0</v>
      </c>
      <c r="P820" s="319">
        <f>IF(P$566&gt;=$C820,MIN(-(SUM($F820:O820)-$E820),($E820*(1-$D$568))*$D820),0)*P$564</f>
        <v>0</v>
      </c>
      <c r="Q820" s="319">
        <f>IF(Q$566&gt;=$C820,MIN(-(SUM($F820:P820)-$E820),($E820*(1-$D$568))*$D820),0)*Q$564</f>
        <v>0</v>
      </c>
      <c r="R820" s="319">
        <f>IF(R$566&gt;=$C820,MIN(-(SUM($F820:Q820)-$E820),($E820*(1-$D$568))*$D820),0)*R$564</f>
        <v>0</v>
      </c>
      <c r="S820" s="319">
        <f>IF(S$566&gt;=$C820,MIN(-(SUM($F820:R820)-$E820),($E820*(1-$D$568))*$D820),0)*S$564</f>
        <v>0</v>
      </c>
      <c r="T820" s="319">
        <f>IF(T$566&gt;=$C820,MIN(-(SUM($F820:S820)-$E820),($E820*(1-$D$568))*$D820),0)*T$564</f>
        <v>0</v>
      </c>
      <c r="U820" s="319">
        <f>IF(U$566&gt;=$C820,MIN(-(SUM($F820:T820)-$E820),($E820*(1-$D$568))*$D820),0)*U$564</f>
        <v>0</v>
      </c>
      <c r="V820" s="319">
        <f>IF(V$566&gt;=$C820,MIN(-(SUM($F820:U820)-$E820),($E820*(1-$D$568))*$D820),0)*V$564</f>
        <v>0</v>
      </c>
      <c r="W820" s="319">
        <f>IF(W$566&gt;=$C820,MIN(-(SUM($F820:V820)-$E820),($E820*(1-$D$568))*$D820),0)*W$564</f>
        <v>0</v>
      </c>
      <c r="X820" s="319">
        <f>IF(X$566&gt;=$C820,MIN(-(SUM($F820:W820)-$E820),($E820*(1-$D$568))*$D820),0)*X$564</f>
        <v>0</v>
      </c>
      <c r="Y820" s="319">
        <f>IF(Y$566&gt;=$C820,MIN(-(SUM($F820:X820)-$E820),($E820*(1-$D$568))*$D820),0)*Y$564</f>
        <v>0</v>
      </c>
      <c r="Z820" s="319">
        <f>IF(Z$566&gt;=$C820,MIN(-(SUM($F820:Y820)-$E820),($E820*(1-$D$568))*$D820),0)*Z$564</f>
        <v>0</v>
      </c>
      <c r="AA820" s="319">
        <f>IF(AA$566&gt;=$C820,MIN(-(SUM($F820:Z820)-$E820),($E820*(1-$D$568))*$D820),0)*AA$564</f>
        <v>0</v>
      </c>
      <c r="AB820" s="319">
        <f>IF(AB$566&gt;=$C820,MIN(-(SUM($F820:AA820)-$E820),($E820*(1-$D$568))*$D820),0)*AB$564</f>
        <v>0</v>
      </c>
      <c r="AC820" s="319">
        <f>IF(AC$566&gt;=$C820,MIN(-(SUM($F820:AB820)-$E820),($E820*(1-$D$568))*$D820),0)*AC$564</f>
        <v>0</v>
      </c>
      <c r="AD820" s="319">
        <f>IF(AD$566&gt;=$C820,MIN(-(SUM($F820:AC820)-$E820),($E820*(1-$D$568))*$D820),0)*AD$564</f>
        <v>0</v>
      </c>
      <c r="AE820" s="319">
        <f>IF(AE$566&gt;=$C820,MIN(-(SUM($F820:AD820)-$E820),($E820*(1-$D$568))*$D820),0)*AE$564</f>
        <v>6.3066600000000008</v>
      </c>
      <c r="AF820" s="319">
        <f>IF(AF$566&gt;=$C820,MIN(-(SUM($F820:AE820)-$E820),($E820*(1-$D$568))*$D820),0)*AF$564</f>
        <v>6.3066600000000008</v>
      </c>
      <c r="AG820" s="319">
        <f>IF(AG$566&gt;=$C820,MIN(-(SUM($F820:AF820)-$E820),($E820*(1-$D$568))*$D820),0)*AG$564</f>
        <v>6.3066600000000008</v>
      </c>
      <c r="AH820" s="319">
        <f>IF(AH$566&gt;=$C820,MIN(-(SUM($F820:AG820)-$E820),($E820*(1-$D$568))*$D820),0)*AH$564</f>
        <v>6.3066600000000008</v>
      </c>
      <c r="AI820" s="319">
        <f>IF(AI$566&gt;=$C820,MIN(-(SUM($F820:AH820)-$E820),($E820*(1-$D$568))*$D820),0)*AI$564</f>
        <v>6.3066600000000008</v>
      </c>
      <c r="AJ820" s="319">
        <f>IF(AJ$566&gt;=$C820,MIN(-(SUM($F820:AI820)-$E820),($E820*(1-$D$568))*$D820),0)*AJ$564</f>
        <v>6.3066600000000008</v>
      </c>
      <c r="AK820" s="319">
        <f>IF(AK$566&gt;=$C820,MIN(-(SUM($F820:AJ820)-$E820),($E820*(1-$D$568))*$D820),0)*AK$564</f>
        <v>0</v>
      </c>
      <c r="AL820" s="319">
        <f>IF(AL$566&gt;=$C820,MIN(-(SUM($F820:AK820)-$E820),($E820*(1-$D$568))*$D820),0)*AL$564</f>
        <v>0</v>
      </c>
      <c r="AM820" s="319">
        <f>IF(AM$566&gt;=$C820,MIN(-(SUM($F820:AL820)-$E820),($E820*(1-$D$568))*$D820),0)*AM$564</f>
        <v>0</v>
      </c>
      <c r="AN820" s="319">
        <f>IF(AN$566&gt;=$C820,MIN(-(SUM($F820:AM820)-$E820),($E820*(1-$D$568))*$D820),0)*AN$564</f>
        <v>0</v>
      </c>
    </row>
    <row r="821" spans="3:160" outlineLevel="4">
      <c r="C821">
        <v>26</v>
      </c>
      <c r="D821">
        <f>Inputs!$D$261</f>
        <v>0.1</v>
      </c>
      <c r="E821" s="319">
        <v>49.298900000000003</v>
      </c>
      <c r="F821" s="461">
        <f>E821*D793</f>
        <v>0</v>
      </c>
      <c r="G821" s="319">
        <f>IF(G$566&gt;=$C821,MIN(-(SUM(F821:$F821)-$E821),($E821*(1-$D$568))*$D821),0)*G$564</f>
        <v>0</v>
      </c>
      <c r="H821" s="319">
        <f>IF(H$566&gt;=$C821,MIN(-(SUM($F821:G821)-$E821),($E821*(1-$D$568))*$D821),0)*H$564</f>
        <v>0</v>
      </c>
      <c r="I821" s="319">
        <f>IF(I$566&gt;=$C821,MIN(-(SUM($F821:H821)-$E821),($E821*(1-$D$568))*$D821),0)*I$564</f>
        <v>0</v>
      </c>
      <c r="J821" s="319">
        <f>IF(J$566&gt;=$C821,MIN(-(SUM($F821:I821)-$E821),($E821*(1-$D$568))*$D821),0)*J$564</f>
        <v>0</v>
      </c>
      <c r="K821" s="319">
        <f>IF(K$566&gt;=$C821,MIN(-(SUM($F821:J821)-$E821),($E821*(1-$D$568))*$D821),0)*K$564</f>
        <v>0</v>
      </c>
      <c r="L821" s="319">
        <f>IF(L$566&gt;=$C821,MIN(-(SUM($F821:K821)-$E821),($E821*(1-$D$568))*$D821),0)*L$564</f>
        <v>0</v>
      </c>
      <c r="M821" s="319">
        <f>IF(M$566&gt;=$C821,MIN(-(SUM($F821:L821)-$E821),($E821*(1-$D$568))*$D821),0)*M$564</f>
        <v>0</v>
      </c>
      <c r="N821" s="319">
        <f>IF(N$566&gt;=$C821,MIN(-(SUM($F821:M821)-$E821),($E821*(1-$D$568))*$D821),0)*N$564</f>
        <v>0</v>
      </c>
      <c r="O821" s="319">
        <f>IF(O$566&gt;=$C821,MIN(-(SUM($F821:N821)-$E821),($E821*(1-$D$568))*$D821),0)*O$564</f>
        <v>0</v>
      </c>
      <c r="P821" s="319">
        <f>IF(P$566&gt;=$C821,MIN(-(SUM($F821:O821)-$E821),($E821*(1-$D$568))*$D821),0)*P$564</f>
        <v>0</v>
      </c>
      <c r="Q821" s="319">
        <f>IF(Q$566&gt;=$C821,MIN(-(SUM($F821:P821)-$E821),($E821*(1-$D$568))*$D821),0)*Q$564</f>
        <v>0</v>
      </c>
      <c r="R821" s="319">
        <f>IF(R$566&gt;=$C821,MIN(-(SUM($F821:Q821)-$E821),($E821*(1-$D$568))*$D821),0)*R$564</f>
        <v>0</v>
      </c>
      <c r="S821" s="319">
        <f>IF(S$566&gt;=$C821,MIN(-(SUM($F821:R821)-$E821),($E821*(1-$D$568))*$D821),0)*S$564</f>
        <v>0</v>
      </c>
      <c r="T821" s="319">
        <f>IF(T$566&gt;=$C821,MIN(-(SUM($F821:S821)-$E821),($E821*(1-$D$568))*$D821),0)*T$564</f>
        <v>0</v>
      </c>
      <c r="U821" s="319">
        <f>IF(U$566&gt;=$C821,MIN(-(SUM($F821:T821)-$E821),($E821*(1-$D$568))*$D821),0)*U$564</f>
        <v>0</v>
      </c>
      <c r="V821" s="319">
        <f>IF(V$566&gt;=$C821,MIN(-(SUM($F821:U821)-$E821),($E821*(1-$D$568))*$D821),0)*V$564</f>
        <v>0</v>
      </c>
      <c r="W821" s="319">
        <f>IF(W$566&gt;=$C821,MIN(-(SUM($F821:V821)-$E821),($E821*(1-$D$568))*$D821),0)*W$564</f>
        <v>0</v>
      </c>
      <c r="X821" s="319">
        <f>IF(X$566&gt;=$C821,MIN(-(SUM($F821:W821)-$E821),($E821*(1-$D$568))*$D821),0)*X$564</f>
        <v>0</v>
      </c>
      <c r="Y821" s="319">
        <f>IF(Y$566&gt;=$C821,MIN(-(SUM($F821:X821)-$E821),($E821*(1-$D$568))*$D821),0)*Y$564</f>
        <v>0</v>
      </c>
      <c r="Z821" s="319">
        <f>IF(Z$566&gt;=$C821,MIN(-(SUM($F821:Y821)-$E821),($E821*(1-$D$568))*$D821),0)*Z$564</f>
        <v>0</v>
      </c>
      <c r="AA821" s="319">
        <f>IF(AA$566&gt;=$C821,MIN(-(SUM($F821:Z821)-$E821),($E821*(1-$D$568))*$D821),0)*AA$564</f>
        <v>0</v>
      </c>
      <c r="AB821" s="319">
        <f>IF(AB$566&gt;=$C821,MIN(-(SUM($F821:AA821)-$E821),($E821*(1-$D$568))*$D821),0)*AB$564</f>
        <v>0</v>
      </c>
      <c r="AC821" s="319">
        <f>IF(AC$566&gt;=$C821,MIN(-(SUM($F821:AB821)-$E821),($E821*(1-$D$568))*$D821),0)*AC$564</f>
        <v>0</v>
      </c>
      <c r="AD821" s="319">
        <f>IF(AD$566&gt;=$C821,MIN(-(SUM($F821:AC821)-$E821),($E821*(1-$D$568))*$D821),0)*AD$564</f>
        <v>0</v>
      </c>
      <c r="AE821" s="319">
        <f>IF(AE$566&gt;=$C821,MIN(-(SUM($F821:AD821)-$E821),($E821*(1-$D$568))*$D821),0)*AE$564</f>
        <v>0</v>
      </c>
      <c r="AF821" s="319">
        <f>IF(AF$566&gt;=$C821,MIN(-(SUM($F821:AE821)-$E821),($E821*(1-$D$568))*$D821),0)*AF$564</f>
        <v>4.9298900000000003</v>
      </c>
      <c r="AG821" s="319">
        <f>IF(AG$566&gt;=$C821,MIN(-(SUM($F821:AF821)-$E821),($E821*(1-$D$568))*$D821),0)*AG$564</f>
        <v>4.9298900000000003</v>
      </c>
      <c r="AH821" s="319">
        <f>IF(AH$566&gt;=$C821,MIN(-(SUM($F821:AG821)-$E821),($E821*(1-$D$568))*$D821),0)*AH$564</f>
        <v>4.9298900000000003</v>
      </c>
      <c r="AI821" s="319">
        <f>IF(AI$566&gt;=$C821,MIN(-(SUM($F821:AH821)-$E821),($E821*(1-$D$568))*$D821),0)*AI$564</f>
        <v>4.9298900000000003</v>
      </c>
      <c r="AJ821" s="319">
        <f>IF(AJ$566&gt;=$C821,MIN(-(SUM($F821:AI821)-$E821),($E821*(1-$D$568))*$D821),0)*AJ$564</f>
        <v>4.9298900000000003</v>
      </c>
      <c r="AK821" s="319">
        <f>IF(AK$566&gt;=$C821,MIN(-(SUM($F821:AJ821)-$E821),($E821*(1-$D$568))*$D821),0)*AK$564</f>
        <v>0</v>
      </c>
      <c r="AL821" s="319">
        <f>IF(AL$566&gt;=$C821,MIN(-(SUM($F821:AK821)-$E821),($E821*(1-$D$568))*$D821),0)*AL$564</f>
        <v>0</v>
      </c>
      <c r="AM821" s="319">
        <f>IF(AM$566&gt;=$C821,MIN(-(SUM($F821:AL821)-$E821),($E821*(1-$D$568))*$D821),0)*AM$564</f>
        <v>0</v>
      </c>
      <c r="AN821" s="319">
        <f>IF(AN$566&gt;=$C821,MIN(-(SUM($F821:AM821)-$E821),($E821*(1-$D$568))*$D821),0)*AN$564</f>
        <v>0</v>
      </c>
    </row>
    <row r="822" spans="3:160" outlineLevel="4">
      <c r="C822">
        <v>27</v>
      </c>
      <c r="D822">
        <f>Inputs!$D$261</f>
        <v>0.1</v>
      </c>
      <c r="E822" s="319">
        <v>0</v>
      </c>
      <c r="F822" s="461">
        <f>E822*D793</f>
        <v>0</v>
      </c>
      <c r="G822" s="319">
        <f>IF(G$566&gt;=$C822,MIN(-(SUM(F822:$F822)-$E822),($E822*(1-$D$568))*$D822),0)*G$564</f>
        <v>0</v>
      </c>
      <c r="H822" s="319">
        <f>IF(H$566&gt;=$C822,MIN(-(SUM($F822:G822)-$E822),($E822*(1-$D$568))*$D822),0)*H$564</f>
        <v>0</v>
      </c>
      <c r="I822" s="319">
        <f>IF(I$566&gt;=$C822,MIN(-(SUM($F822:H822)-$E822),($E822*(1-$D$568))*$D822),0)*I$564</f>
        <v>0</v>
      </c>
      <c r="J822" s="319">
        <f>IF(J$566&gt;=$C822,MIN(-(SUM($F822:I822)-$E822),($E822*(1-$D$568))*$D822),0)*J$564</f>
        <v>0</v>
      </c>
      <c r="K822" s="319">
        <f>IF(K$566&gt;=$C822,MIN(-(SUM($F822:J822)-$E822),($E822*(1-$D$568))*$D822),0)*K$564</f>
        <v>0</v>
      </c>
      <c r="L822" s="319">
        <f>IF(L$566&gt;=$C822,MIN(-(SUM($F822:K822)-$E822),($E822*(1-$D$568))*$D822),0)*L$564</f>
        <v>0</v>
      </c>
      <c r="M822" s="319">
        <f>IF(M$566&gt;=$C822,MIN(-(SUM($F822:L822)-$E822),($E822*(1-$D$568))*$D822),0)*M$564</f>
        <v>0</v>
      </c>
      <c r="N822" s="319">
        <f>IF(N$566&gt;=$C822,MIN(-(SUM($F822:M822)-$E822),($E822*(1-$D$568))*$D822),0)*N$564</f>
        <v>0</v>
      </c>
      <c r="O822" s="319">
        <f>IF(O$566&gt;=$C822,MIN(-(SUM($F822:N822)-$E822),($E822*(1-$D$568))*$D822),0)*O$564</f>
        <v>0</v>
      </c>
      <c r="P822" s="319">
        <f>IF(P$566&gt;=$C822,MIN(-(SUM($F822:O822)-$E822),($E822*(1-$D$568))*$D822),0)*P$564</f>
        <v>0</v>
      </c>
      <c r="Q822" s="319">
        <f>IF(Q$566&gt;=$C822,MIN(-(SUM($F822:P822)-$E822),($E822*(1-$D$568))*$D822),0)*Q$564</f>
        <v>0</v>
      </c>
      <c r="R822" s="319">
        <f>IF(R$566&gt;=$C822,MIN(-(SUM($F822:Q822)-$E822),($E822*(1-$D$568))*$D822),0)*R$564</f>
        <v>0</v>
      </c>
      <c r="S822" s="319">
        <f>IF(S$566&gt;=$C822,MIN(-(SUM($F822:R822)-$E822),($E822*(1-$D$568))*$D822),0)*S$564</f>
        <v>0</v>
      </c>
      <c r="T822" s="319">
        <f>IF(T$566&gt;=$C822,MIN(-(SUM($F822:S822)-$E822),($E822*(1-$D$568))*$D822),0)*T$564</f>
        <v>0</v>
      </c>
      <c r="U822" s="319">
        <f>IF(U$566&gt;=$C822,MIN(-(SUM($F822:T822)-$E822),($E822*(1-$D$568))*$D822),0)*U$564</f>
        <v>0</v>
      </c>
      <c r="V822" s="319">
        <f>IF(V$566&gt;=$C822,MIN(-(SUM($F822:U822)-$E822),($E822*(1-$D$568))*$D822),0)*V$564</f>
        <v>0</v>
      </c>
      <c r="W822" s="319">
        <f>IF(W$566&gt;=$C822,MIN(-(SUM($F822:V822)-$E822),($E822*(1-$D$568))*$D822),0)*W$564</f>
        <v>0</v>
      </c>
      <c r="X822" s="319">
        <f>IF(X$566&gt;=$C822,MIN(-(SUM($F822:W822)-$E822),($E822*(1-$D$568))*$D822),0)*X$564</f>
        <v>0</v>
      </c>
      <c r="Y822" s="319">
        <f>IF(Y$566&gt;=$C822,MIN(-(SUM($F822:X822)-$E822),($E822*(1-$D$568))*$D822),0)*Y$564</f>
        <v>0</v>
      </c>
      <c r="Z822" s="319">
        <f>IF(Z$566&gt;=$C822,MIN(-(SUM($F822:Y822)-$E822),($E822*(1-$D$568))*$D822),0)*Z$564</f>
        <v>0</v>
      </c>
      <c r="AA822" s="319">
        <f>IF(AA$566&gt;=$C822,MIN(-(SUM($F822:Z822)-$E822),($E822*(1-$D$568))*$D822),0)*AA$564</f>
        <v>0</v>
      </c>
      <c r="AB822" s="319">
        <f>IF(AB$566&gt;=$C822,MIN(-(SUM($F822:AA822)-$E822),($E822*(1-$D$568))*$D822),0)*AB$564</f>
        <v>0</v>
      </c>
      <c r="AC822" s="319">
        <f>IF(AC$566&gt;=$C822,MIN(-(SUM($F822:AB822)-$E822),($E822*(1-$D$568))*$D822),0)*AC$564</f>
        <v>0</v>
      </c>
      <c r="AD822" s="319">
        <f>IF(AD$566&gt;=$C822,MIN(-(SUM($F822:AC822)-$E822),($E822*(1-$D$568))*$D822),0)*AD$564</f>
        <v>0</v>
      </c>
      <c r="AE822" s="319">
        <f>IF(AE$566&gt;=$C822,MIN(-(SUM($F822:AD822)-$E822),($E822*(1-$D$568))*$D822),0)*AE$564</f>
        <v>0</v>
      </c>
      <c r="AF822" s="319">
        <f>IF(AF$566&gt;=$C822,MIN(-(SUM($F822:AE822)-$E822),($E822*(1-$D$568))*$D822),0)*AF$564</f>
        <v>0</v>
      </c>
      <c r="AG822" s="319">
        <f>IF(AG$566&gt;=$C822,MIN(-(SUM($F822:AF822)-$E822),($E822*(1-$D$568))*$D822),0)*AG$564</f>
        <v>0</v>
      </c>
      <c r="AH822" s="319">
        <f>IF(AH$566&gt;=$C822,MIN(-(SUM($F822:AG822)-$E822),($E822*(1-$D$568))*$D822),0)*AH$564</f>
        <v>0</v>
      </c>
      <c r="AI822" s="319">
        <f>IF(AI$566&gt;=$C822,MIN(-(SUM($F822:AH822)-$E822),($E822*(1-$D$568))*$D822),0)*AI$564</f>
        <v>0</v>
      </c>
      <c r="AJ822" s="319">
        <f>IF(AJ$566&gt;=$C822,MIN(-(SUM($F822:AI822)-$E822),($E822*(1-$D$568))*$D822),0)*AJ$564</f>
        <v>0</v>
      </c>
      <c r="AK822" s="319">
        <f>IF(AK$566&gt;=$C822,MIN(-(SUM($F822:AJ822)-$E822),($E822*(1-$D$568))*$D822),0)*AK$564</f>
        <v>0</v>
      </c>
      <c r="AL822" s="319">
        <f>IF(AL$566&gt;=$C822,MIN(-(SUM($F822:AK822)-$E822),($E822*(1-$D$568))*$D822),0)*AL$564</f>
        <v>0</v>
      </c>
      <c r="AM822" s="319">
        <f>IF(AM$566&gt;=$C822,MIN(-(SUM($F822:AL822)-$E822),($E822*(1-$D$568))*$D822),0)*AM$564</f>
        <v>0</v>
      </c>
      <c r="AN822" s="319">
        <f>IF(AN$566&gt;=$C822,MIN(-(SUM($F822:AM822)-$E822),($E822*(1-$D$568))*$D822),0)*AN$564</f>
        <v>0</v>
      </c>
    </row>
    <row r="823" spans="3:160" outlineLevel="4">
      <c r="C823">
        <v>28</v>
      </c>
      <c r="D823">
        <f>Inputs!$D$261</f>
        <v>0.1</v>
      </c>
      <c r="E823" s="319">
        <v>63.066600000000001</v>
      </c>
      <c r="F823" s="461">
        <f>E823*D793</f>
        <v>0</v>
      </c>
      <c r="G823" s="319">
        <f>IF(G$566&gt;=$C823,MIN(-(SUM(F823:$F823)-$E823),($E823*(1-$D$568))*$D823),0)*G$564</f>
        <v>0</v>
      </c>
      <c r="H823" s="319">
        <f>IF(H$566&gt;=$C823,MIN(-(SUM($F823:G823)-$E823),($E823*(1-$D$568))*$D823),0)*H$564</f>
        <v>0</v>
      </c>
      <c r="I823" s="319">
        <f>IF(I$566&gt;=$C823,MIN(-(SUM($F823:H823)-$E823),($E823*(1-$D$568))*$D823),0)*I$564</f>
        <v>0</v>
      </c>
      <c r="J823" s="319">
        <f>IF(J$566&gt;=$C823,MIN(-(SUM($F823:I823)-$E823),($E823*(1-$D$568))*$D823),0)*J$564</f>
        <v>0</v>
      </c>
      <c r="K823" s="319">
        <f>IF(K$566&gt;=$C823,MIN(-(SUM($F823:J823)-$E823),($E823*(1-$D$568))*$D823),0)*K$564</f>
        <v>0</v>
      </c>
      <c r="L823" s="319">
        <f>IF(L$566&gt;=$C823,MIN(-(SUM($F823:K823)-$E823),($E823*(1-$D$568))*$D823),0)*L$564</f>
        <v>0</v>
      </c>
      <c r="M823" s="319">
        <f>IF(M$566&gt;=$C823,MIN(-(SUM($F823:L823)-$E823),($E823*(1-$D$568))*$D823),0)*M$564</f>
        <v>0</v>
      </c>
      <c r="N823" s="319">
        <f>IF(N$566&gt;=$C823,MIN(-(SUM($F823:M823)-$E823),($E823*(1-$D$568))*$D823),0)*N$564</f>
        <v>0</v>
      </c>
      <c r="O823" s="319">
        <f>IF(O$566&gt;=$C823,MIN(-(SUM($F823:N823)-$E823),($E823*(1-$D$568))*$D823),0)*O$564</f>
        <v>0</v>
      </c>
      <c r="P823" s="319">
        <f>IF(P$566&gt;=$C823,MIN(-(SUM($F823:O823)-$E823),($E823*(1-$D$568))*$D823),0)*P$564</f>
        <v>0</v>
      </c>
      <c r="Q823" s="319">
        <f>IF(Q$566&gt;=$C823,MIN(-(SUM($F823:P823)-$E823),($E823*(1-$D$568))*$D823),0)*Q$564</f>
        <v>0</v>
      </c>
      <c r="R823" s="319">
        <f>IF(R$566&gt;=$C823,MIN(-(SUM($F823:Q823)-$E823),($E823*(1-$D$568))*$D823),0)*R$564</f>
        <v>0</v>
      </c>
      <c r="S823" s="319">
        <f>IF(S$566&gt;=$C823,MIN(-(SUM($F823:R823)-$E823),($E823*(1-$D$568))*$D823),0)*S$564</f>
        <v>0</v>
      </c>
      <c r="T823" s="319">
        <f>IF(T$566&gt;=$C823,MIN(-(SUM($F823:S823)-$E823),($E823*(1-$D$568))*$D823),0)*T$564</f>
        <v>0</v>
      </c>
      <c r="U823" s="319">
        <f>IF(U$566&gt;=$C823,MIN(-(SUM($F823:T823)-$E823),($E823*(1-$D$568))*$D823),0)*U$564</f>
        <v>0</v>
      </c>
      <c r="V823" s="319">
        <f>IF(V$566&gt;=$C823,MIN(-(SUM($F823:U823)-$E823),($E823*(1-$D$568))*$D823),0)*V$564</f>
        <v>0</v>
      </c>
      <c r="W823" s="319">
        <f>IF(W$566&gt;=$C823,MIN(-(SUM($F823:V823)-$E823),($E823*(1-$D$568))*$D823),0)*W$564</f>
        <v>0</v>
      </c>
      <c r="X823" s="319">
        <f>IF(X$566&gt;=$C823,MIN(-(SUM($F823:W823)-$E823),($E823*(1-$D$568))*$D823),0)*X$564</f>
        <v>0</v>
      </c>
      <c r="Y823" s="319">
        <f>IF(Y$566&gt;=$C823,MIN(-(SUM($F823:X823)-$E823),($E823*(1-$D$568))*$D823),0)*Y$564</f>
        <v>0</v>
      </c>
      <c r="Z823" s="319">
        <f>IF(Z$566&gt;=$C823,MIN(-(SUM($F823:Y823)-$E823),($E823*(1-$D$568))*$D823),0)*Z$564</f>
        <v>0</v>
      </c>
      <c r="AA823" s="319">
        <f>IF(AA$566&gt;=$C823,MIN(-(SUM($F823:Z823)-$E823),($E823*(1-$D$568))*$D823),0)*AA$564</f>
        <v>0</v>
      </c>
      <c r="AB823" s="319">
        <f>IF(AB$566&gt;=$C823,MIN(-(SUM($F823:AA823)-$E823),($E823*(1-$D$568))*$D823),0)*AB$564</f>
        <v>0</v>
      </c>
      <c r="AC823" s="319">
        <f>IF(AC$566&gt;=$C823,MIN(-(SUM($F823:AB823)-$E823),($E823*(1-$D$568))*$D823),0)*AC$564</f>
        <v>0</v>
      </c>
      <c r="AD823" s="319">
        <f>IF(AD$566&gt;=$C823,MIN(-(SUM($F823:AC823)-$E823),($E823*(1-$D$568))*$D823),0)*AD$564</f>
        <v>0</v>
      </c>
      <c r="AE823" s="319">
        <f>IF(AE$566&gt;=$C823,MIN(-(SUM($F823:AD823)-$E823),($E823*(1-$D$568))*$D823),0)*AE$564</f>
        <v>0</v>
      </c>
      <c r="AF823" s="319">
        <f>IF(AF$566&gt;=$C823,MIN(-(SUM($F823:AE823)-$E823),($E823*(1-$D$568))*$D823),0)*AF$564</f>
        <v>0</v>
      </c>
      <c r="AG823" s="319">
        <f>IF(AG$566&gt;=$C823,MIN(-(SUM($F823:AF823)-$E823),($E823*(1-$D$568))*$D823),0)*AG$564</f>
        <v>0</v>
      </c>
      <c r="AH823" s="319">
        <f>IF(AH$566&gt;=$C823,MIN(-(SUM($F823:AG823)-$E823),($E823*(1-$D$568))*$D823),0)*AH$564</f>
        <v>6.3066600000000008</v>
      </c>
      <c r="AI823" s="319">
        <f>IF(AI$566&gt;=$C823,MIN(-(SUM($F823:AH823)-$E823),($E823*(1-$D$568))*$D823),0)*AI$564</f>
        <v>6.3066600000000008</v>
      </c>
      <c r="AJ823" s="319">
        <f>IF(AJ$566&gt;=$C823,MIN(-(SUM($F823:AI823)-$E823),($E823*(1-$D$568))*$D823),0)*AJ$564</f>
        <v>6.3066600000000008</v>
      </c>
      <c r="AK823" s="319">
        <f>IF(AK$566&gt;=$C823,MIN(-(SUM($F823:AJ823)-$E823),($E823*(1-$D$568))*$D823),0)*AK$564</f>
        <v>0</v>
      </c>
      <c r="AL823" s="319">
        <f>IF(AL$566&gt;=$C823,MIN(-(SUM($F823:AK823)-$E823),($E823*(1-$D$568))*$D823),0)*AL$564</f>
        <v>0</v>
      </c>
      <c r="AM823" s="319">
        <f>IF(AM$566&gt;=$C823,MIN(-(SUM($F823:AL823)-$E823),($E823*(1-$D$568))*$D823),0)*AM$564</f>
        <v>0</v>
      </c>
      <c r="AN823" s="319">
        <f>IF(AN$566&gt;=$C823,MIN(-(SUM($F823:AM823)-$E823),($E823*(1-$D$568))*$D823),0)*AN$564</f>
        <v>0</v>
      </c>
    </row>
    <row r="824" spans="3:160" outlineLevel="4">
      <c r="C824">
        <v>29</v>
      </c>
      <c r="D824">
        <f>Inputs!$D$261</f>
        <v>0.1</v>
      </c>
      <c r="E824" s="319">
        <v>0</v>
      </c>
      <c r="F824" s="461">
        <f>E824*D793</f>
        <v>0</v>
      </c>
      <c r="G824" s="319">
        <f>IF(G$566&gt;=$C824,MIN(-(SUM(F824:$F824)-$E824),($E824*(1-$D$568))*$D824),0)*G$564</f>
        <v>0</v>
      </c>
      <c r="H824" s="319">
        <f>IF(H$566&gt;=$C824,MIN(-(SUM($F824:G824)-$E824),($E824*(1-$D$568))*$D824),0)*H$564</f>
        <v>0</v>
      </c>
      <c r="I824" s="319">
        <f>IF(I$566&gt;=$C824,MIN(-(SUM($F824:H824)-$E824),($E824*(1-$D$568))*$D824),0)*I$564</f>
        <v>0</v>
      </c>
      <c r="J824" s="319">
        <f>IF(J$566&gt;=$C824,MIN(-(SUM($F824:I824)-$E824),($E824*(1-$D$568))*$D824),0)*J$564</f>
        <v>0</v>
      </c>
      <c r="K824" s="319">
        <f>IF(K$566&gt;=$C824,MIN(-(SUM($F824:J824)-$E824),($E824*(1-$D$568))*$D824),0)*K$564</f>
        <v>0</v>
      </c>
      <c r="L824" s="319">
        <f>IF(L$566&gt;=$C824,MIN(-(SUM($F824:K824)-$E824),($E824*(1-$D$568))*$D824),0)*L$564</f>
        <v>0</v>
      </c>
      <c r="M824" s="319">
        <f>IF(M$566&gt;=$C824,MIN(-(SUM($F824:L824)-$E824),($E824*(1-$D$568))*$D824),0)*M$564</f>
        <v>0</v>
      </c>
      <c r="N824" s="319">
        <f>IF(N$566&gt;=$C824,MIN(-(SUM($F824:M824)-$E824),($E824*(1-$D$568))*$D824),0)*N$564</f>
        <v>0</v>
      </c>
      <c r="O824" s="319">
        <f>IF(O$566&gt;=$C824,MIN(-(SUM($F824:N824)-$E824),($E824*(1-$D$568))*$D824),0)*O$564</f>
        <v>0</v>
      </c>
      <c r="P824" s="319">
        <f>IF(P$566&gt;=$C824,MIN(-(SUM($F824:O824)-$E824),($E824*(1-$D$568))*$D824),0)*P$564</f>
        <v>0</v>
      </c>
      <c r="Q824" s="319">
        <f>IF(Q$566&gt;=$C824,MIN(-(SUM($F824:P824)-$E824),($E824*(1-$D$568))*$D824),0)*Q$564</f>
        <v>0</v>
      </c>
      <c r="R824" s="319">
        <f>IF(R$566&gt;=$C824,MIN(-(SUM($F824:Q824)-$E824),($E824*(1-$D$568))*$D824),0)*R$564</f>
        <v>0</v>
      </c>
      <c r="S824" s="319">
        <f>IF(S$566&gt;=$C824,MIN(-(SUM($F824:R824)-$E824),($E824*(1-$D$568))*$D824),0)*S$564</f>
        <v>0</v>
      </c>
      <c r="T824" s="319">
        <f>IF(T$566&gt;=$C824,MIN(-(SUM($F824:S824)-$E824),($E824*(1-$D$568))*$D824),0)*T$564</f>
        <v>0</v>
      </c>
      <c r="U824" s="319">
        <f>IF(U$566&gt;=$C824,MIN(-(SUM($F824:T824)-$E824),($E824*(1-$D$568))*$D824),0)*U$564</f>
        <v>0</v>
      </c>
      <c r="V824" s="319">
        <f>IF(V$566&gt;=$C824,MIN(-(SUM($F824:U824)-$E824),($E824*(1-$D$568))*$D824),0)*V$564</f>
        <v>0</v>
      </c>
      <c r="W824" s="319">
        <f>IF(W$566&gt;=$C824,MIN(-(SUM($F824:V824)-$E824),($E824*(1-$D$568))*$D824),0)*W$564</f>
        <v>0</v>
      </c>
      <c r="X824" s="319">
        <f>IF(X$566&gt;=$C824,MIN(-(SUM($F824:W824)-$E824),($E824*(1-$D$568))*$D824),0)*X$564</f>
        <v>0</v>
      </c>
      <c r="Y824" s="319">
        <f>IF(Y$566&gt;=$C824,MIN(-(SUM($F824:X824)-$E824),($E824*(1-$D$568))*$D824),0)*Y$564</f>
        <v>0</v>
      </c>
      <c r="Z824" s="319">
        <f>IF(Z$566&gt;=$C824,MIN(-(SUM($F824:Y824)-$E824),($E824*(1-$D$568))*$D824),0)*Z$564</f>
        <v>0</v>
      </c>
      <c r="AA824" s="319">
        <f>IF(AA$566&gt;=$C824,MIN(-(SUM($F824:Z824)-$E824),($E824*(1-$D$568))*$D824),0)*AA$564</f>
        <v>0</v>
      </c>
      <c r="AB824" s="319">
        <f>IF(AB$566&gt;=$C824,MIN(-(SUM($F824:AA824)-$E824),($E824*(1-$D$568))*$D824),0)*AB$564</f>
        <v>0</v>
      </c>
      <c r="AC824" s="319">
        <f>IF(AC$566&gt;=$C824,MIN(-(SUM($F824:AB824)-$E824),($E824*(1-$D$568))*$D824),0)*AC$564</f>
        <v>0</v>
      </c>
      <c r="AD824" s="319">
        <f>IF(AD$566&gt;=$C824,MIN(-(SUM($F824:AC824)-$E824),($E824*(1-$D$568))*$D824),0)*AD$564</f>
        <v>0</v>
      </c>
      <c r="AE824" s="319">
        <f>IF(AE$566&gt;=$C824,MIN(-(SUM($F824:AD824)-$E824),($E824*(1-$D$568))*$D824),0)*AE$564</f>
        <v>0</v>
      </c>
      <c r="AF824" s="319">
        <f>IF(AF$566&gt;=$C824,MIN(-(SUM($F824:AE824)-$E824),($E824*(1-$D$568))*$D824),0)*AF$564</f>
        <v>0</v>
      </c>
      <c r="AG824" s="319">
        <f>IF(AG$566&gt;=$C824,MIN(-(SUM($F824:AF824)-$E824),($E824*(1-$D$568))*$D824),0)*AG$564</f>
        <v>0</v>
      </c>
      <c r="AH824" s="319">
        <f>IF(AH$566&gt;=$C824,MIN(-(SUM($F824:AG824)-$E824),($E824*(1-$D$568))*$D824),0)*AH$564</f>
        <v>0</v>
      </c>
      <c r="AI824" s="319">
        <f>IF(AI$566&gt;=$C824,MIN(-(SUM($F824:AH824)-$E824),($E824*(1-$D$568))*$D824),0)*AI$564</f>
        <v>0</v>
      </c>
      <c r="AJ824" s="319">
        <f>IF(AJ$566&gt;=$C824,MIN(-(SUM($F824:AI824)-$E824),($E824*(1-$D$568))*$D824),0)*AJ$564</f>
        <v>0</v>
      </c>
      <c r="AK824" s="319">
        <f>IF(AK$566&gt;=$C824,MIN(-(SUM($F824:AJ824)-$E824),($E824*(1-$D$568))*$D824),0)*AK$564</f>
        <v>0</v>
      </c>
      <c r="AL824" s="319">
        <f>IF(AL$566&gt;=$C824,MIN(-(SUM($F824:AK824)-$E824),($E824*(1-$D$568))*$D824),0)*AL$564</f>
        <v>0</v>
      </c>
      <c r="AM824" s="319">
        <f>IF(AM$566&gt;=$C824,MIN(-(SUM($F824:AL824)-$E824),($E824*(1-$D$568))*$D824),0)*AM$564</f>
        <v>0</v>
      </c>
      <c r="AN824" s="319">
        <f>IF(AN$566&gt;=$C824,MIN(-(SUM($F824:AM824)-$E824),($E824*(1-$D$568))*$D824),0)*AN$564</f>
        <v>0</v>
      </c>
    </row>
    <row r="825" spans="3:160" outlineLevel="4">
      <c r="C825">
        <v>30</v>
      </c>
      <c r="D825">
        <f>Inputs!$D$261</f>
        <v>0.1</v>
      </c>
      <c r="E825" s="319">
        <v>0</v>
      </c>
      <c r="F825" s="461">
        <f>E825*D793</f>
        <v>0</v>
      </c>
      <c r="G825" s="319">
        <f>IF(G$566&gt;=$C825,MIN(-(SUM(F825:$F825)-$E825),($E825*(1-$D$568))*$D825),0)*G$564</f>
        <v>0</v>
      </c>
      <c r="H825" s="319">
        <f>IF(H$566&gt;=$C825,MIN(-(SUM($F825:G825)-$E825),($E825*(1-$D$568))*$D825),0)*H$564</f>
        <v>0</v>
      </c>
      <c r="I825" s="319">
        <f>IF(I$566&gt;=$C825,MIN(-(SUM($F825:H825)-$E825),($E825*(1-$D$568))*$D825),0)*I$564</f>
        <v>0</v>
      </c>
      <c r="J825" s="319">
        <f>IF(J$566&gt;=$C825,MIN(-(SUM($F825:I825)-$E825),($E825*(1-$D$568))*$D825),0)*J$564</f>
        <v>0</v>
      </c>
      <c r="K825" s="319">
        <f>IF(K$566&gt;=$C825,MIN(-(SUM($F825:J825)-$E825),($E825*(1-$D$568))*$D825),0)*K$564</f>
        <v>0</v>
      </c>
      <c r="L825" s="319">
        <f>IF(L$566&gt;=$C825,MIN(-(SUM($F825:K825)-$E825),($E825*(1-$D$568))*$D825),0)*L$564</f>
        <v>0</v>
      </c>
      <c r="M825" s="319">
        <f>IF(M$566&gt;=$C825,MIN(-(SUM($F825:L825)-$E825),($E825*(1-$D$568))*$D825),0)*M$564</f>
        <v>0</v>
      </c>
      <c r="N825" s="319">
        <f>IF(N$566&gt;=$C825,MIN(-(SUM($F825:M825)-$E825),($E825*(1-$D$568))*$D825),0)*N$564</f>
        <v>0</v>
      </c>
      <c r="O825" s="319">
        <f>IF(O$566&gt;=$C825,MIN(-(SUM($F825:N825)-$E825),($E825*(1-$D$568))*$D825),0)*O$564</f>
        <v>0</v>
      </c>
      <c r="P825" s="319">
        <f>IF(P$566&gt;=$C825,MIN(-(SUM($F825:O825)-$E825),($E825*(1-$D$568))*$D825),0)*P$564</f>
        <v>0</v>
      </c>
      <c r="Q825" s="319">
        <f>IF(Q$566&gt;=$C825,MIN(-(SUM($F825:P825)-$E825),($E825*(1-$D$568))*$D825),0)*Q$564</f>
        <v>0</v>
      </c>
      <c r="R825" s="319">
        <f>IF(R$566&gt;=$C825,MIN(-(SUM($F825:Q825)-$E825),($E825*(1-$D$568))*$D825),0)*R$564</f>
        <v>0</v>
      </c>
      <c r="S825" s="319">
        <f>IF(S$566&gt;=$C825,MIN(-(SUM($F825:R825)-$E825),($E825*(1-$D$568))*$D825),0)*S$564</f>
        <v>0</v>
      </c>
      <c r="T825" s="319">
        <f>IF(T$566&gt;=$C825,MIN(-(SUM($F825:S825)-$E825),($E825*(1-$D$568))*$D825),0)*T$564</f>
        <v>0</v>
      </c>
      <c r="U825" s="319">
        <f>IF(U$566&gt;=$C825,MIN(-(SUM($F825:T825)-$E825),($E825*(1-$D$568))*$D825),0)*U$564</f>
        <v>0</v>
      </c>
      <c r="V825" s="319">
        <f>IF(V$566&gt;=$C825,MIN(-(SUM($F825:U825)-$E825),($E825*(1-$D$568))*$D825),0)*V$564</f>
        <v>0</v>
      </c>
      <c r="W825" s="319">
        <f>IF(W$566&gt;=$C825,MIN(-(SUM($F825:V825)-$E825),($E825*(1-$D$568))*$D825),0)*W$564</f>
        <v>0</v>
      </c>
      <c r="X825" s="319">
        <f>IF(X$566&gt;=$C825,MIN(-(SUM($F825:W825)-$E825),($E825*(1-$D$568))*$D825),0)*X$564</f>
        <v>0</v>
      </c>
      <c r="Y825" s="319">
        <f>IF(Y$566&gt;=$C825,MIN(-(SUM($F825:X825)-$E825),($E825*(1-$D$568))*$D825),0)*Y$564</f>
        <v>0</v>
      </c>
      <c r="Z825" s="319">
        <f>IF(Z$566&gt;=$C825,MIN(-(SUM($F825:Y825)-$E825),($E825*(1-$D$568))*$D825),0)*Z$564</f>
        <v>0</v>
      </c>
      <c r="AA825" s="319">
        <f>IF(AA$566&gt;=$C825,MIN(-(SUM($F825:Z825)-$E825),($E825*(1-$D$568))*$D825),0)*AA$564</f>
        <v>0</v>
      </c>
      <c r="AB825" s="319">
        <f>IF(AB$566&gt;=$C825,MIN(-(SUM($F825:AA825)-$E825),($E825*(1-$D$568))*$D825),0)*AB$564</f>
        <v>0</v>
      </c>
      <c r="AC825" s="319">
        <f>IF(AC$566&gt;=$C825,MIN(-(SUM($F825:AB825)-$E825),($E825*(1-$D$568))*$D825),0)*AC$564</f>
        <v>0</v>
      </c>
      <c r="AD825" s="319">
        <f>IF(AD$566&gt;=$C825,MIN(-(SUM($F825:AC825)-$E825),($E825*(1-$D$568))*$D825),0)*AD$564</f>
        <v>0</v>
      </c>
      <c r="AE825" s="319">
        <f>IF(AE$566&gt;=$C825,MIN(-(SUM($F825:AD825)-$E825),($E825*(1-$D$568))*$D825),0)*AE$564</f>
        <v>0</v>
      </c>
      <c r="AF825" s="319">
        <f>IF(AF$566&gt;=$C825,MIN(-(SUM($F825:AE825)-$E825),($E825*(1-$D$568))*$D825),0)*AF$564</f>
        <v>0</v>
      </c>
      <c r="AG825" s="319">
        <f>IF(AG$566&gt;=$C825,MIN(-(SUM($F825:AF825)-$E825),($E825*(1-$D$568))*$D825),0)*AG$564</f>
        <v>0</v>
      </c>
      <c r="AH825" s="319">
        <f>IF(AH$566&gt;=$C825,MIN(-(SUM($F825:AG825)-$E825),($E825*(1-$D$568))*$D825),0)*AH$564</f>
        <v>0</v>
      </c>
      <c r="AI825" s="319">
        <f>IF(AI$566&gt;=$C825,MIN(-(SUM($F825:AH825)-$E825),($E825*(1-$D$568))*$D825),0)*AI$564</f>
        <v>0</v>
      </c>
      <c r="AJ825" s="319">
        <f>IF(AJ$566&gt;=$C825,MIN(-(SUM($F825:AI825)-$E825),($E825*(1-$D$568))*$D825),0)*AJ$564</f>
        <v>0</v>
      </c>
      <c r="AK825" s="319">
        <f>IF(AK$566&gt;=$C825,MIN(-(SUM($F825:AJ825)-$E825),($E825*(1-$D$568))*$D825),0)*AK$564</f>
        <v>0</v>
      </c>
      <c r="AL825" s="319">
        <f>IF(AL$566&gt;=$C825,MIN(-(SUM($F825:AK825)-$E825),($E825*(1-$D$568))*$D825),0)*AL$564</f>
        <v>0</v>
      </c>
      <c r="AM825" s="319">
        <f>IF(AM$566&gt;=$C825,MIN(-(SUM($F825:AL825)-$E825),($E825*(1-$D$568))*$D825),0)*AM$564</f>
        <v>0</v>
      </c>
      <c r="AN825" s="319">
        <f>IF(AN$566&gt;=$C825,MIN(-(SUM($F825:AM825)-$E825),($E825*(1-$D$568))*$D825),0)*AN$564</f>
        <v>0</v>
      </c>
    </row>
    <row r="826" spans="3:160" outlineLevel="4">
      <c r="C826">
        <v>31</v>
      </c>
      <c r="D826">
        <f>Inputs!$D$261</f>
        <v>0.1</v>
      </c>
      <c r="E826" s="319">
        <v>0</v>
      </c>
      <c r="F826" s="461">
        <f>E826*D793</f>
        <v>0</v>
      </c>
      <c r="G826" s="319">
        <f>IF(G$566&gt;=$C826,MIN(-(SUM(F826:$F826)-$E826),($E826*(1-$D$568))*$D826),0)*G$564</f>
        <v>0</v>
      </c>
      <c r="H826" s="319">
        <f>IF(H$566&gt;=$C826,MIN(-(SUM($F826:G826)-$E826),($E826*(1-$D$568))*$D826),0)*H$564</f>
        <v>0</v>
      </c>
      <c r="I826" s="319">
        <f>IF(I$566&gt;=$C826,MIN(-(SUM($F826:H826)-$E826),($E826*(1-$D$568))*$D826),0)*I$564</f>
        <v>0</v>
      </c>
      <c r="J826" s="319">
        <f>IF(J$566&gt;=$C826,MIN(-(SUM($F826:I826)-$E826),($E826*(1-$D$568))*$D826),0)*J$564</f>
        <v>0</v>
      </c>
      <c r="K826" s="319">
        <f>IF(K$566&gt;=$C826,MIN(-(SUM($F826:J826)-$E826),($E826*(1-$D$568))*$D826),0)*K$564</f>
        <v>0</v>
      </c>
      <c r="L826" s="319">
        <f>IF(L$566&gt;=$C826,MIN(-(SUM($F826:K826)-$E826),($E826*(1-$D$568))*$D826),0)*L$564</f>
        <v>0</v>
      </c>
      <c r="M826" s="319">
        <f>IF(M$566&gt;=$C826,MIN(-(SUM($F826:L826)-$E826),($E826*(1-$D$568))*$D826),0)*M$564</f>
        <v>0</v>
      </c>
      <c r="N826" s="319">
        <f>IF(N$566&gt;=$C826,MIN(-(SUM($F826:M826)-$E826),($E826*(1-$D$568))*$D826),0)*N$564</f>
        <v>0</v>
      </c>
      <c r="O826" s="319">
        <f>IF(O$566&gt;=$C826,MIN(-(SUM($F826:N826)-$E826),($E826*(1-$D$568))*$D826),0)*O$564</f>
        <v>0</v>
      </c>
      <c r="P826" s="319">
        <f>IF(P$566&gt;=$C826,MIN(-(SUM($F826:O826)-$E826),($E826*(1-$D$568))*$D826),0)*P$564</f>
        <v>0</v>
      </c>
      <c r="Q826" s="319">
        <f>IF(Q$566&gt;=$C826,MIN(-(SUM($F826:P826)-$E826),($E826*(1-$D$568))*$D826),0)*Q$564</f>
        <v>0</v>
      </c>
      <c r="R826" s="319">
        <f>IF(R$566&gt;=$C826,MIN(-(SUM($F826:Q826)-$E826),($E826*(1-$D$568))*$D826),0)*R$564</f>
        <v>0</v>
      </c>
      <c r="S826" s="319">
        <f>IF(S$566&gt;=$C826,MIN(-(SUM($F826:R826)-$E826),($E826*(1-$D$568))*$D826),0)*S$564</f>
        <v>0</v>
      </c>
      <c r="T826" s="319">
        <f>IF(T$566&gt;=$C826,MIN(-(SUM($F826:S826)-$E826),($E826*(1-$D$568))*$D826),0)*T$564</f>
        <v>0</v>
      </c>
      <c r="U826" s="319">
        <f>IF(U$566&gt;=$C826,MIN(-(SUM($F826:T826)-$E826),($E826*(1-$D$568))*$D826),0)*U$564</f>
        <v>0</v>
      </c>
      <c r="V826" s="319">
        <f>IF(V$566&gt;=$C826,MIN(-(SUM($F826:U826)-$E826),($E826*(1-$D$568))*$D826),0)*V$564</f>
        <v>0</v>
      </c>
      <c r="W826" s="319">
        <f>IF(W$566&gt;=$C826,MIN(-(SUM($F826:V826)-$E826),($E826*(1-$D$568))*$D826),0)*W$564</f>
        <v>0</v>
      </c>
      <c r="X826" s="319">
        <f>IF(X$566&gt;=$C826,MIN(-(SUM($F826:W826)-$E826),($E826*(1-$D$568))*$D826),0)*X$564</f>
        <v>0</v>
      </c>
      <c r="Y826" s="319">
        <f>IF(Y$566&gt;=$C826,MIN(-(SUM($F826:X826)-$E826),($E826*(1-$D$568))*$D826),0)*Y$564</f>
        <v>0</v>
      </c>
      <c r="Z826" s="319">
        <f>IF(Z$566&gt;=$C826,MIN(-(SUM($F826:Y826)-$E826),($E826*(1-$D$568))*$D826),0)*Z$564</f>
        <v>0</v>
      </c>
      <c r="AA826" s="319">
        <f>IF(AA$566&gt;=$C826,MIN(-(SUM($F826:Z826)-$E826),($E826*(1-$D$568))*$D826),0)*AA$564</f>
        <v>0</v>
      </c>
      <c r="AB826" s="319">
        <f>IF(AB$566&gt;=$C826,MIN(-(SUM($F826:AA826)-$E826),($E826*(1-$D$568))*$D826),0)*AB$564</f>
        <v>0</v>
      </c>
      <c r="AC826" s="319">
        <f>IF(AC$566&gt;=$C826,MIN(-(SUM($F826:AB826)-$E826),($E826*(1-$D$568))*$D826),0)*AC$564</f>
        <v>0</v>
      </c>
      <c r="AD826" s="319">
        <f>IF(AD$566&gt;=$C826,MIN(-(SUM($F826:AC826)-$E826),($E826*(1-$D$568))*$D826),0)*AD$564</f>
        <v>0</v>
      </c>
      <c r="AE826" s="319">
        <f>IF(AE$566&gt;=$C826,MIN(-(SUM($F826:AD826)-$E826),($E826*(1-$D$568))*$D826),0)*AE$564</f>
        <v>0</v>
      </c>
      <c r="AF826" s="319">
        <f>IF(AF$566&gt;=$C826,MIN(-(SUM($F826:AE826)-$E826),($E826*(1-$D$568))*$D826),0)*AF$564</f>
        <v>0</v>
      </c>
      <c r="AG826" s="319">
        <f>IF(AG$566&gt;=$C826,MIN(-(SUM($F826:AF826)-$E826),($E826*(1-$D$568))*$D826),0)*AG$564</f>
        <v>0</v>
      </c>
      <c r="AH826" s="319">
        <f>IF(AH$566&gt;=$C826,MIN(-(SUM($F826:AG826)-$E826),($E826*(1-$D$568))*$D826),0)*AH$564</f>
        <v>0</v>
      </c>
      <c r="AI826" s="319">
        <f>IF(AI$566&gt;=$C826,MIN(-(SUM($F826:AH826)-$E826),($E826*(1-$D$568))*$D826),0)*AI$564</f>
        <v>0</v>
      </c>
      <c r="AJ826" s="319">
        <f>IF(AJ$566&gt;=$C826,MIN(-(SUM($F826:AI826)-$E826),($E826*(1-$D$568))*$D826),0)*AJ$564</f>
        <v>0</v>
      </c>
      <c r="AK826" s="319">
        <f>IF(AK$566&gt;=$C826,MIN(-(SUM($F826:AJ826)-$E826),($E826*(1-$D$568))*$D826),0)*AK$564</f>
        <v>0</v>
      </c>
      <c r="AL826" s="319">
        <f>IF(AL$566&gt;=$C826,MIN(-(SUM($F826:AK826)-$E826),($E826*(1-$D$568))*$D826),0)*AL$564</f>
        <v>0</v>
      </c>
      <c r="AM826" s="319">
        <f>IF(AM$566&gt;=$C826,MIN(-(SUM($F826:AL826)-$E826),($E826*(1-$D$568))*$D826),0)*AM$564</f>
        <v>0</v>
      </c>
      <c r="AN826" s="319">
        <f>IF(AN$566&gt;=$C826,MIN(-(SUM($F826:AM826)-$E826),($E826*(1-$D$568))*$D826),0)*AN$564</f>
        <v>0</v>
      </c>
    </row>
    <row r="827" spans="3:160" outlineLevel="4">
      <c r="C827">
        <v>32</v>
      </c>
      <c r="D827">
        <f>Inputs!$D$261</f>
        <v>0.1</v>
      </c>
      <c r="E827" s="319">
        <v>0</v>
      </c>
      <c r="F827" s="461">
        <f>E827*D793</f>
        <v>0</v>
      </c>
      <c r="G827" s="319">
        <f>IF(G$566&gt;=$C827,MIN(-(SUM(F827:$F827)-$E827),($E827*(1-$D$568))*$D827),0)*G$564</f>
        <v>0</v>
      </c>
      <c r="H827" s="319">
        <f>IF(H$566&gt;=$C827,MIN(-(SUM($F827:G827)-$E827),($E827*(1-$D$568))*$D827),0)*H$564</f>
        <v>0</v>
      </c>
      <c r="I827" s="319">
        <f>IF(I$566&gt;=$C827,MIN(-(SUM($F827:H827)-$E827),($E827*(1-$D$568))*$D827),0)*I$564</f>
        <v>0</v>
      </c>
      <c r="J827" s="319">
        <f>IF(J$566&gt;=$C827,MIN(-(SUM($F827:I827)-$E827),($E827*(1-$D$568))*$D827),0)*J$564</f>
        <v>0</v>
      </c>
      <c r="K827" s="319">
        <f>IF(K$566&gt;=$C827,MIN(-(SUM($F827:J827)-$E827),($E827*(1-$D$568))*$D827),0)*K$564</f>
        <v>0</v>
      </c>
      <c r="L827" s="319">
        <f>IF(L$566&gt;=$C827,MIN(-(SUM($F827:K827)-$E827),($E827*(1-$D$568))*$D827),0)*L$564</f>
        <v>0</v>
      </c>
      <c r="M827" s="319">
        <f>IF(M$566&gt;=$C827,MIN(-(SUM($F827:L827)-$E827),($E827*(1-$D$568))*$D827),0)*M$564</f>
        <v>0</v>
      </c>
      <c r="N827" s="319">
        <f>IF(N$566&gt;=$C827,MIN(-(SUM($F827:M827)-$E827),($E827*(1-$D$568))*$D827),0)*N$564</f>
        <v>0</v>
      </c>
      <c r="O827" s="319">
        <f>IF(O$566&gt;=$C827,MIN(-(SUM($F827:N827)-$E827),($E827*(1-$D$568))*$D827),0)*O$564</f>
        <v>0</v>
      </c>
      <c r="P827" s="319">
        <f>IF(P$566&gt;=$C827,MIN(-(SUM($F827:O827)-$E827),($E827*(1-$D$568))*$D827),0)*P$564</f>
        <v>0</v>
      </c>
      <c r="Q827" s="319">
        <f>IF(Q$566&gt;=$C827,MIN(-(SUM($F827:P827)-$E827),($E827*(1-$D$568))*$D827),0)*Q$564</f>
        <v>0</v>
      </c>
      <c r="R827" s="319">
        <f>IF(R$566&gt;=$C827,MIN(-(SUM($F827:Q827)-$E827),($E827*(1-$D$568))*$D827),0)*R$564</f>
        <v>0</v>
      </c>
      <c r="S827" s="319">
        <f>IF(S$566&gt;=$C827,MIN(-(SUM($F827:R827)-$E827),($E827*(1-$D$568))*$D827),0)*S$564</f>
        <v>0</v>
      </c>
      <c r="T827" s="319">
        <f>IF(T$566&gt;=$C827,MIN(-(SUM($F827:S827)-$E827),($E827*(1-$D$568))*$D827),0)*T$564</f>
        <v>0</v>
      </c>
      <c r="U827" s="319">
        <f>IF(U$566&gt;=$C827,MIN(-(SUM($F827:T827)-$E827),($E827*(1-$D$568))*$D827),0)*U$564</f>
        <v>0</v>
      </c>
      <c r="V827" s="319">
        <f>IF(V$566&gt;=$C827,MIN(-(SUM($F827:U827)-$E827),($E827*(1-$D$568))*$D827),0)*V$564</f>
        <v>0</v>
      </c>
      <c r="W827" s="319">
        <f>IF(W$566&gt;=$C827,MIN(-(SUM($F827:V827)-$E827),($E827*(1-$D$568))*$D827),0)*W$564</f>
        <v>0</v>
      </c>
      <c r="X827" s="319">
        <f>IF(X$566&gt;=$C827,MIN(-(SUM($F827:W827)-$E827),($E827*(1-$D$568))*$D827),0)*X$564</f>
        <v>0</v>
      </c>
      <c r="Y827" s="319">
        <f>IF(Y$566&gt;=$C827,MIN(-(SUM($F827:X827)-$E827),($E827*(1-$D$568))*$D827),0)*Y$564</f>
        <v>0</v>
      </c>
      <c r="Z827" s="319">
        <f>IF(Z$566&gt;=$C827,MIN(-(SUM($F827:Y827)-$E827),($E827*(1-$D$568))*$D827),0)*Z$564</f>
        <v>0</v>
      </c>
      <c r="AA827" s="319">
        <f>IF(AA$566&gt;=$C827,MIN(-(SUM($F827:Z827)-$E827),($E827*(1-$D$568))*$D827),0)*AA$564</f>
        <v>0</v>
      </c>
      <c r="AB827" s="319">
        <f>IF(AB$566&gt;=$C827,MIN(-(SUM($F827:AA827)-$E827),($E827*(1-$D$568))*$D827),0)*AB$564</f>
        <v>0</v>
      </c>
      <c r="AC827" s="319">
        <f>IF(AC$566&gt;=$C827,MIN(-(SUM($F827:AB827)-$E827),($E827*(1-$D$568))*$D827),0)*AC$564</f>
        <v>0</v>
      </c>
      <c r="AD827" s="319">
        <f>IF(AD$566&gt;=$C827,MIN(-(SUM($F827:AC827)-$E827),($E827*(1-$D$568))*$D827),0)*AD$564</f>
        <v>0</v>
      </c>
      <c r="AE827" s="319">
        <f>IF(AE$566&gt;=$C827,MIN(-(SUM($F827:AD827)-$E827),($E827*(1-$D$568))*$D827),0)*AE$564</f>
        <v>0</v>
      </c>
      <c r="AF827" s="319">
        <f>IF(AF$566&gt;=$C827,MIN(-(SUM($F827:AE827)-$E827),($E827*(1-$D$568))*$D827),0)*AF$564</f>
        <v>0</v>
      </c>
      <c r="AG827" s="319">
        <f>IF(AG$566&gt;=$C827,MIN(-(SUM($F827:AF827)-$E827),($E827*(1-$D$568))*$D827),0)*AG$564</f>
        <v>0</v>
      </c>
      <c r="AH827" s="319">
        <f>IF(AH$566&gt;=$C827,MIN(-(SUM($F827:AG827)-$E827),($E827*(1-$D$568))*$D827),0)*AH$564</f>
        <v>0</v>
      </c>
      <c r="AI827" s="319">
        <f>IF(AI$566&gt;=$C827,MIN(-(SUM($F827:AH827)-$E827),($E827*(1-$D$568))*$D827),0)*AI$564</f>
        <v>0</v>
      </c>
      <c r="AJ827" s="319">
        <f>IF(AJ$566&gt;=$C827,MIN(-(SUM($F827:AI827)-$E827),($E827*(1-$D$568))*$D827),0)*AJ$564</f>
        <v>0</v>
      </c>
      <c r="AK827" s="319">
        <f>IF(AK$566&gt;=$C827,MIN(-(SUM($F827:AJ827)-$E827),($E827*(1-$D$568))*$D827),0)*AK$564</f>
        <v>0</v>
      </c>
      <c r="AL827" s="319">
        <f>IF(AL$566&gt;=$C827,MIN(-(SUM($F827:AK827)-$E827),($E827*(1-$D$568))*$D827),0)*AL$564</f>
        <v>0</v>
      </c>
      <c r="AM827" s="319">
        <f>IF(AM$566&gt;=$C827,MIN(-(SUM($F827:AL827)-$E827),($E827*(1-$D$568))*$D827),0)*AM$564</f>
        <v>0</v>
      </c>
      <c r="AN827" s="319">
        <f>IF(AN$566&gt;=$C827,MIN(-(SUM($F827:AM827)-$E827),($E827*(1-$D$568))*$D827),0)*AN$564</f>
        <v>0</v>
      </c>
    </row>
    <row r="828" spans="3:160" outlineLevel="4">
      <c r="C828">
        <v>33</v>
      </c>
      <c r="D828">
        <f>Inputs!$D$261</f>
        <v>0.1</v>
      </c>
      <c r="E828" s="319">
        <v>0</v>
      </c>
      <c r="F828" s="461">
        <f>E828*D793</f>
        <v>0</v>
      </c>
      <c r="G828" s="319">
        <f>IF(G$566&gt;=$C828,MIN(-(SUM(F828:$F828)-$E828),($E828*(1-$D$568))*$D828),0)*G$564</f>
        <v>0</v>
      </c>
      <c r="H828" s="319">
        <f>IF(H$566&gt;=$C828,MIN(-(SUM($F828:G828)-$E828),($E828*(1-$D$568))*$D828),0)*H$564</f>
        <v>0</v>
      </c>
      <c r="I828" s="319">
        <f>IF(I$566&gt;=$C828,MIN(-(SUM($F828:H828)-$E828),($E828*(1-$D$568))*$D828),0)*I$564</f>
        <v>0</v>
      </c>
      <c r="J828" s="319">
        <f>IF(J$566&gt;=$C828,MIN(-(SUM($F828:I828)-$E828),($E828*(1-$D$568))*$D828),0)*J$564</f>
        <v>0</v>
      </c>
      <c r="K828" s="319">
        <f>IF(K$566&gt;=$C828,MIN(-(SUM($F828:J828)-$E828),($E828*(1-$D$568))*$D828),0)*K$564</f>
        <v>0</v>
      </c>
      <c r="L828" s="319">
        <f>IF(L$566&gt;=$C828,MIN(-(SUM($F828:K828)-$E828),($E828*(1-$D$568))*$D828),0)*L$564</f>
        <v>0</v>
      </c>
      <c r="M828" s="319">
        <f>IF(M$566&gt;=$C828,MIN(-(SUM($F828:L828)-$E828),($E828*(1-$D$568))*$D828),0)*M$564</f>
        <v>0</v>
      </c>
      <c r="N828" s="319">
        <f>IF(N$566&gt;=$C828,MIN(-(SUM($F828:M828)-$E828),($E828*(1-$D$568))*$D828),0)*N$564</f>
        <v>0</v>
      </c>
      <c r="O828" s="319">
        <f>IF(O$566&gt;=$C828,MIN(-(SUM($F828:N828)-$E828),($E828*(1-$D$568))*$D828),0)*O$564</f>
        <v>0</v>
      </c>
      <c r="P828" s="319">
        <f>IF(P$566&gt;=$C828,MIN(-(SUM($F828:O828)-$E828),($E828*(1-$D$568))*$D828),0)*P$564</f>
        <v>0</v>
      </c>
      <c r="Q828" s="319">
        <f>IF(Q$566&gt;=$C828,MIN(-(SUM($F828:P828)-$E828),($E828*(1-$D$568))*$D828),0)*Q$564</f>
        <v>0</v>
      </c>
      <c r="R828" s="319">
        <f>IF(R$566&gt;=$C828,MIN(-(SUM($F828:Q828)-$E828),($E828*(1-$D$568))*$D828),0)*R$564</f>
        <v>0</v>
      </c>
      <c r="S828" s="319">
        <f>IF(S$566&gt;=$C828,MIN(-(SUM($F828:R828)-$E828),($E828*(1-$D$568))*$D828),0)*S$564</f>
        <v>0</v>
      </c>
      <c r="T828" s="319">
        <f>IF(T$566&gt;=$C828,MIN(-(SUM($F828:S828)-$E828),($E828*(1-$D$568))*$D828),0)*T$564</f>
        <v>0</v>
      </c>
      <c r="U828" s="319">
        <f>IF(U$566&gt;=$C828,MIN(-(SUM($F828:T828)-$E828),($E828*(1-$D$568))*$D828),0)*U$564</f>
        <v>0</v>
      </c>
      <c r="V828" s="319">
        <f>IF(V$566&gt;=$C828,MIN(-(SUM($F828:U828)-$E828),($E828*(1-$D$568))*$D828),0)*V$564</f>
        <v>0</v>
      </c>
      <c r="W828" s="319">
        <f>IF(W$566&gt;=$C828,MIN(-(SUM($F828:V828)-$E828),($E828*(1-$D$568))*$D828),0)*W$564</f>
        <v>0</v>
      </c>
      <c r="X828" s="319">
        <f>IF(X$566&gt;=$C828,MIN(-(SUM($F828:W828)-$E828),($E828*(1-$D$568))*$D828),0)*X$564</f>
        <v>0</v>
      </c>
      <c r="Y828" s="319">
        <f>IF(Y$566&gt;=$C828,MIN(-(SUM($F828:X828)-$E828),($E828*(1-$D$568))*$D828),0)*Y$564</f>
        <v>0</v>
      </c>
      <c r="Z828" s="319">
        <f>IF(Z$566&gt;=$C828,MIN(-(SUM($F828:Y828)-$E828),($E828*(1-$D$568))*$D828),0)*Z$564</f>
        <v>0</v>
      </c>
      <c r="AA828" s="319">
        <f>IF(AA$566&gt;=$C828,MIN(-(SUM($F828:Z828)-$E828),($E828*(1-$D$568))*$D828),0)*AA$564</f>
        <v>0</v>
      </c>
      <c r="AB828" s="319">
        <f>IF(AB$566&gt;=$C828,MIN(-(SUM($F828:AA828)-$E828),($E828*(1-$D$568))*$D828),0)*AB$564</f>
        <v>0</v>
      </c>
      <c r="AC828" s="319">
        <f>IF(AC$566&gt;=$C828,MIN(-(SUM($F828:AB828)-$E828),($E828*(1-$D$568))*$D828),0)*AC$564</f>
        <v>0</v>
      </c>
      <c r="AD828" s="319">
        <f>IF(AD$566&gt;=$C828,MIN(-(SUM($F828:AC828)-$E828),($E828*(1-$D$568))*$D828),0)*AD$564</f>
        <v>0</v>
      </c>
      <c r="AE828" s="319">
        <f>IF(AE$566&gt;=$C828,MIN(-(SUM($F828:AD828)-$E828),($E828*(1-$D$568))*$D828),0)*AE$564</f>
        <v>0</v>
      </c>
      <c r="AF828" s="319">
        <f>IF(AF$566&gt;=$C828,MIN(-(SUM($F828:AE828)-$E828),($E828*(1-$D$568))*$D828),0)*AF$564</f>
        <v>0</v>
      </c>
      <c r="AG828" s="319">
        <f>IF(AG$566&gt;=$C828,MIN(-(SUM($F828:AF828)-$E828),($E828*(1-$D$568))*$D828),0)*AG$564</f>
        <v>0</v>
      </c>
      <c r="AH828" s="319">
        <f>IF(AH$566&gt;=$C828,MIN(-(SUM($F828:AG828)-$E828),($E828*(1-$D$568))*$D828),0)*AH$564</f>
        <v>0</v>
      </c>
      <c r="AI828" s="319">
        <f>IF(AI$566&gt;=$C828,MIN(-(SUM($F828:AH828)-$E828),($E828*(1-$D$568))*$D828),0)*AI$564</f>
        <v>0</v>
      </c>
      <c r="AJ828" s="319">
        <f>IF(AJ$566&gt;=$C828,MIN(-(SUM($F828:AI828)-$E828),($E828*(1-$D$568))*$D828),0)*AJ$564</f>
        <v>0</v>
      </c>
      <c r="AK828" s="319">
        <f>IF(AK$566&gt;=$C828,MIN(-(SUM($F828:AJ828)-$E828),($E828*(1-$D$568))*$D828),0)*AK$564</f>
        <v>0</v>
      </c>
      <c r="AL828" s="319">
        <f>IF(AL$566&gt;=$C828,MIN(-(SUM($F828:AK828)-$E828),($E828*(1-$D$568))*$D828),0)*AL$564</f>
        <v>0</v>
      </c>
      <c r="AM828" s="319">
        <f>IF(AM$566&gt;=$C828,MIN(-(SUM($F828:AL828)-$E828),($E828*(1-$D$568))*$D828),0)*AM$564</f>
        <v>0</v>
      </c>
      <c r="AN828" s="319">
        <f>IF(AN$566&gt;=$C828,MIN(-(SUM($F828:AM828)-$E828),($E828*(1-$D$568))*$D828),0)*AN$564</f>
        <v>0</v>
      </c>
    </row>
    <row r="829" spans="3:160" outlineLevel="4">
      <c r="C829">
        <v>34</v>
      </c>
      <c r="D829">
        <f>Inputs!$D$261</f>
        <v>0.1</v>
      </c>
      <c r="E829" s="319">
        <v>0</v>
      </c>
      <c r="F829" s="461">
        <f>E829*D793</f>
        <v>0</v>
      </c>
      <c r="G829" s="319">
        <f>IF(G$566&gt;=$C829,MIN(-(SUM(F829:$F829)-$E829),($E829*(1-$D$568))*$D829),0)*G$564</f>
        <v>0</v>
      </c>
      <c r="H829" s="319">
        <f>IF(H$566&gt;=$C829,MIN(-(SUM($F829:G829)-$E829),($E829*(1-$D$568))*$D829),0)*H$564</f>
        <v>0</v>
      </c>
      <c r="I829" s="319">
        <f>IF(I$566&gt;=$C829,MIN(-(SUM($F829:H829)-$E829),($E829*(1-$D$568))*$D829),0)*I$564</f>
        <v>0</v>
      </c>
      <c r="J829" s="319">
        <f>IF(J$566&gt;=$C829,MIN(-(SUM($F829:I829)-$E829),($E829*(1-$D$568))*$D829),0)*J$564</f>
        <v>0</v>
      </c>
      <c r="K829" s="319">
        <f>IF(K$566&gt;=$C829,MIN(-(SUM($F829:J829)-$E829),($E829*(1-$D$568))*$D829),0)*K$564</f>
        <v>0</v>
      </c>
      <c r="L829" s="319">
        <f>IF(L$566&gt;=$C829,MIN(-(SUM($F829:K829)-$E829),($E829*(1-$D$568))*$D829),0)*L$564</f>
        <v>0</v>
      </c>
      <c r="M829" s="319">
        <f>IF(M$566&gt;=$C829,MIN(-(SUM($F829:L829)-$E829),($E829*(1-$D$568))*$D829),0)*M$564</f>
        <v>0</v>
      </c>
      <c r="N829" s="319">
        <f>IF(N$566&gt;=$C829,MIN(-(SUM($F829:M829)-$E829),($E829*(1-$D$568))*$D829),0)*N$564</f>
        <v>0</v>
      </c>
      <c r="O829" s="319">
        <f>IF(O$566&gt;=$C829,MIN(-(SUM($F829:N829)-$E829),($E829*(1-$D$568))*$D829),0)*O$564</f>
        <v>0</v>
      </c>
      <c r="P829" s="319">
        <f>IF(P$566&gt;=$C829,MIN(-(SUM($F829:O829)-$E829),($E829*(1-$D$568))*$D829),0)*P$564</f>
        <v>0</v>
      </c>
      <c r="Q829" s="319">
        <f>IF(Q$566&gt;=$C829,MIN(-(SUM($F829:P829)-$E829),($E829*(1-$D$568))*$D829),0)*Q$564</f>
        <v>0</v>
      </c>
      <c r="R829" s="319">
        <f>IF(R$566&gt;=$C829,MIN(-(SUM($F829:Q829)-$E829),($E829*(1-$D$568))*$D829),0)*R$564</f>
        <v>0</v>
      </c>
      <c r="S829" s="319">
        <f>IF(S$566&gt;=$C829,MIN(-(SUM($F829:R829)-$E829),($E829*(1-$D$568))*$D829),0)*S$564</f>
        <v>0</v>
      </c>
      <c r="T829" s="319">
        <f>IF(T$566&gt;=$C829,MIN(-(SUM($F829:S829)-$E829),($E829*(1-$D$568))*$D829),0)*T$564</f>
        <v>0</v>
      </c>
      <c r="U829" s="319">
        <f>IF(U$566&gt;=$C829,MIN(-(SUM($F829:T829)-$E829),($E829*(1-$D$568))*$D829),0)*U$564</f>
        <v>0</v>
      </c>
      <c r="V829" s="319">
        <f>IF(V$566&gt;=$C829,MIN(-(SUM($F829:U829)-$E829),($E829*(1-$D$568))*$D829),0)*V$564</f>
        <v>0</v>
      </c>
      <c r="W829" s="319">
        <f>IF(W$566&gt;=$C829,MIN(-(SUM($F829:V829)-$E829),($E829*(1-$D$568))*$D829),0)*W$564</f>
        <v>0</v>
      </c>
      <c r="X829" s="319">
        <f>IF(X$566&gt;=$C829,MIN(-(SUM($F829:W829)-$E829),($E829*(1-$D$568))*$D829),0)*X$564</f>
        <v>0</v>
      </c>
      <c r="Y829" s="319">
        <f>IF(Y$566&gt;=$C829,MIN(-(SUM($F829:X829)-$E829),($E829*(1-$D$568))*$D829),0)*Y$564</f>
        <v>0</v>
      </c>
      <c r="Z829" s="319">
        <f>IF(Z$566&gt;=$C829,MIN(-(SUM($F829:Y829)-$E829),($E829*(1-$D$568))*$D829),0)*Z$564</f>
        <v>0</v>
      </c>
      <c r="AA829" s="319">
        <f>IF(AA$566&gt;=$C829,MIN(-(SUM($F829:Z829)-$E829),($E829*(1-$D$568))*$D829),0)*AA$564</f>
        <v>0</v>
      </c>
      <c r="AB829" s="319">
        <f>IF(AB$566&gt;=$C829,MIN(-(SUM($F829:AA829)-$E829),($E829*(1-$D$568))*$D829),0)*AB$564</f>
        <v>0</v>
      </c>
      <c r="AC829" s="319">
        <f>IF(AC$566&gt;=$C829,MIN(-(SUM($F829:AB829)-$E829),($E829*(1-$D$568))*$D829),0)*AC$564</f>
        <v>0</v>
      </c>
      <c r="AD829" s="319">
        <f>IF(AD$566&gt;=$C829,MIN(-(SUM($F829:AC829)-$E829),($E829*(1-$D$568))*$D829),0)*AD$564</f>
        <v>0</v>
      </c>
      <c r="AE829" s="319">
        <f>IF(AE$566&gt;=$C829,MIN(-(SUM($F829:AD829)-$E829),($E829*(1-$D$568))*$D829),0)*AE$564</f>
        <v>0</v>
      </c>
      <c r="AF829" s="319">
        <f>IF(AF$566&gt;=$C829,MIN(-(SUM($F829:AE829)-$E829),($E829*(1-$D$568))*$D829),0)*AF$564</f>
        <v>0</v>
      </c>
      <c r="AG829" s="319">
        <f>IF(AG$566&gt;=$C829,MIN(-(SUM($F829:AF829)-$E829),($E829*(1-$D$568))*$D829),0)*AG$564</f>
        <v>0</v>
      </c>
      <c r="AH829" s="319">
        <f>IF(AH$566&gt;=$C829,MIN(-(SUM($F829:AG829)-$E829),($E829*(1-$D$568))*$D829),0)*AH$564</f>
        <v>0</v>
      </c>
      <c r="AI829" s="319">
        <f>IF(AI$566&gt;=$C829,MIN(-(SUM($F829:AH829)-$E829),($E829*(1-$D$568))*$D829),0)*AI$564</f>
        <v>0</v>
      </c>
      <c r="AJ829" s="319">
        <f>IF(AJ$566&gt;=$C829,MIN(-(SUM($F829:AI829)-$E829),($E829*(1-$D$568))*$D829),0)*AJ$564</f>
        <v>0</v>
      </c>
      <c r="AK829" s="319">
        <f>IF(AK$566&gt;=$C829,MIN(-(SUM($F829:AJ829)-$E829),($E829*(1-$D$568))*$D829),0)*AK$564</f>
        <v>0</v>
      </c>
      <c r="AL829" s="319">
        <f>IF(AL$566&gt;=$C829,MIN(-(SUM($F829:AK829)-$E829),($E829*(1-$D$568))*$D829),0)*AL$564</f>
        <v>0</v>
      </c>
      <c r="AM829" s="319">
        <f>IF(AM$566&gt;=$C829,MIN(-(SUM($F829:AL829)-$E829),($E829*(1-$D$568))*$D829),0)*AM$564</f>
        <v>0</v>
      </c>
      <c r="AN829" s="319">
        <f>IF(AN$566&gt;=$C829,MIN(-(SUM($F829:AM829)-$E829),($E829*(1-$D$568))*$D829),0)*AN$564</f>
        <v>0</v>
      </c>
    </row>
    <row r="830" spans="3:160" ht="16.2" outlineLevel="4" thickBot="1">
      <c r="C830" s="323" t="s">
        <v>473</v>
      </c>
      <c r="D830"/>
      <c r="E830" s="233"/>
      <c r="F830" s="324" t="s">
        <v>13</v>
      </c>
      <c r="G830" s="319">
        <f t="shared" ref="G830" si="689">SUM(G796:G829)</f>
        <v>36.960049000000005</v>
      </c>
      <c r="H830" s="319">
        <f t="shared" ref="H830" si="690">SUM(H796:H829)</f>
        <v>39.220049000000003</v>
      </c>
      <c r="I830" s="319">
        <f t="shared" ref="I830" si="691">SUM(I796:I829)</f>
        <v>39.220049000000003</v>
      </c>
      <c r="J830" s="319">
        <f t="shared" ref="J830" si="692">SUM(J796:J829)</f>
        <v>45.460769000000006</v>
      </c>
      <c r="K830" s="319">
        <f t="shared" ref="K830" si="693">SUM(K796:K829)</f>
        <v>45.460769000000006</v>
      </c>
      <c r="L830" s="319">
        <f t="shared" ref="L830" si="694">SUM(L796:L829)</f>
        <v>50.390659000000007</v>
      </c>
      <c r="M830" s="319">
        <f t="shared" ref="M830" si="695">SUM(M796:M829)</f>
        <v>56.63137900000001</v>
      </c>
      <c r="N830" s="319">
        <f t="shared" ref="N830" si="696">SUM(N796:N829)</f>
        <v>56.63137900000001</v>
      </c>
      <c r="O830" s="319">
        <f t="shared" ref="O830" si="697">SUM(O796:O829)</f>
        <v>56.63137900000001</v>
      </c>
      <c r="P830" s="319">
        <f t="shared" ref="P830" si="698">SUM(P796:P829)</f>
        <v>62.894078999999977</v>
      </c>
      <c r="Q830" s="319">
        <f t="shared" ref="Q830" si="699">SUM(Q796:Q829)</f>
        <v>41.653359000000002</v>
      </c>
      <c r="R830" s="319">
        <f t="shared" ref="R830" si="700">SUM(R796:R829)</f>
        <v>39.393359000000004</v>
      </c>
      <c r="S830" s="319">
        <f t="shared" ref="S830" si="701">SUM(S796:S829)</f>
        <v>45.656058999999992</v>
      </c>
      <c r="T830" s="319">
        <f t="shared" ref="T830" si="702">SUM(T796:T829)</f>
        <v>39.415339000000003</v>
      </c>
      <c r="U830" s="319">
        <f t="shared" ref="U830" si="703">SUM(U796:U829)</f>
        <v>39.415339000000003</v>
      </c>
      <c r="V830" s="319">
        <f t="shared" ref="V830" si="704">SUM(V796:V829)</f>
        <v>45.678038999999998</v>
      </c>
      <c r="W830" s="319">
        <f t="shared" ref="W830" si="705">SUM(W796:W829)</f>
        <v>39.437319000000009</v>
      </c>
      <c r="X830" s="319">
        <f t="shared" ref="X830" si="706">SUM(X796:X829)</f>
        <v>39.437319000000009</v>
      </c>
      <c r="Y830" s="319">
        <f t="shared" ref="Y830" si="707">SUM(Y796:Y829)</f>
        <v>45.721998999999997</v>
      </c>
      <c r="Z830" s="319">
        <f t="shared" ref="Z830" si="708">SUM(Z796:Z829)</f>
        <v>39.459298999999994</v>
      </c>
      <c r="AA830" s="319">
        <f t="shared" ref="AA830" si="709">SUM(AA796:AA829)</f>
        <v>39.459299000000001</v>
      </c>
      <c r="AB830" s="319">
        <f t="shared" ref="AB830" si="710">SUM(AB796:AB829)</f>
        <v>45.743978999999996</v>
      </c>
      <c r="AC830" s="319">
        <f t="shared" ref="AC830" si="711">SUM(AC796:AC829)</f>
        <v>39.481279000000008</v>
      </c>
      <c r="AD830" s="319">
        <f t="shared" ref="AD830" si="712">SUM(AD796:AD829)</f>
        <v>39.481279000000008</v>
      </c>
      <c r="AE830" s="319">
        <f t="shared" ref="AE830" si="713">SUM(AE796:AE829)</f>
        <v>45.787939000000009</v>
      </c>
      <c r="AF830" s="319">
        <f t="shared" ref="AF830" si="714">SUM(AF796:AF829)</f>
        <v>39.52523900000002</v>
      </c>
      <c r="AG830" s="319">
        <f t="shared" ref="AG830" si="715">SUM(AG796:AG829)</f>
        <v>39.525239000000006</v>
      </c>
      <c r="AH830" s="319">
        <f t="shared" ref="AH830" si="716">SUM(AH796:AH829)</f>
        <v>45.831899</v>
      </c>
      <c r="AI830" s="319">
        <f t="shared" ref="AI830" si="717">SUM(AI796:AI829)</f>
        <v>39.547219000000005</v>
      </c>
      <c r="AJ830" s="319">
        <f t="shared" ref="AJ830" si="718">SUM(AJ796:AJ829)</f>
        <v>39.547218999999991</v>
      </c>
      <c r="AK830" s="319">
        <f t="shared" ref="AK830" si="719">SUM(AK796:AK829)</f>
        <v>0</v>
      </c>
      <c r="AL830" s="319">
        <f t="shared" ref="AL830" si="720">SUM(AL796:AL829)</f>
        <v>0</v>
      </c>
      <c r="AM830" s="319">
        <f t="shared" ref="AM830" si="721">SUM(AM796:AM829)</f>
        <v>0</v>
      </c>
      <c r="AN830" s="319">
        <f t="shared" ref="AN830" si="722">SUM(AN796:AN829)</f>
        <v>0</v>
      </c>
      <c r="AO830" s="325"/>
      <c r="AP830" s="325"/>
      <c r="AQ830" s="325"/>
      <c r="AR830" s="325"/>
      <c r="AS830" s="325"/>
      <c r="AT830" s="325"/>
      <c r="AU830" s="325"/>
      <c r="AV830" s="325"/>
      <c r="AW830" s="325"/>
      <c r="AX830" s="325"/>
      <c r="AY830" s="325"/>
      <c r="AZ830" s="325"/>
      <c r="BA830" s="325"/>
      <c r="BB830" s="325"/>
      <c r="BC830" s="325"/>
      <c r="BD830" s="325"/>
      <c r="BE830" s="325"/>
      <c r="BF830" s="325"/>
      <c r="BG830" s="325"/>
      <c r="BH830" s="325"/>
      <c r="BI830" s="325"/>
      <c r="BJ830" s="325"/>
      <c r="BK830" s="325"/>
      <c r="BL830" s="325"/>
      <c r="BM830" s="325"/>
      <c r="BN830" s="325"/>
      <c r="BO830" s="325"/>
      <c r="BP830" s="325"/>
      <c r="BQ830" s="325"/>
      <c r="BR830" s="325"/>
      <c r="BS830" s="325"/>
      <c r="BT830" s="325"/>
      <c r="BU830" s="325"/>
      <c r="BV830" s="325"/>
      <c r="BW830" s="325"/>
      <c r="BX830" s="325"/>
      <c r="BY830" s="325"/>
      <c r="BZ830" s="325"/>
      <c r="CA830" s="325"/>
      <c r="CB830" s="325"/>
      <c r="CC830" s="325"/>
      <c r="CD830" s="325"/>
      <c r="CE830" s="325"/>
      <c r="CF830" s="325"/>
      <c r="CG830" s="325"/>
      <c r="CH830" s="325"/>
      <c r="CI830" s="325"/>
      <c r="CJ830" s="325"/>
      <c r="CK830" s="325"/>
      <c r="CL830" s="325"/>
      <c r="CM830" s="325"/>
      <c r="CN830" s="325"/>
      <c r="CO830" s="325"/>
      <c r="CP830" s="325"/>
      <c r="CQ830" s="325"/>
      <c r="CR830" s="325"/>
      <c r="CS830" s="325"/>
      <c r="CT830" s="325"/>
      <c r="CU830" s="325"/>
      <c r="CV830" s="325"/>
      <c r="CW830" s="325"/>
      <c r="CX830" s="325"/>
      <c r="CY830" s="325"/>
      <c r="CZ830" s="325"/>
      <c r="DA830" s="325"/>
      <c r="DB830" s="325"/>
      <c r="DC830" s="325"/>
      <c r="DD830" s="325"/>
      <c r="DE830" s="325"/>
      <c r="DF830" s="325"/>
      <c r="DG830" s="325"/>
      <c r="DH830" s="325"/>
      <c r="DI830" s="325"/>
      <c r="DJ830" s="325"/>
      <c r="DK830" s="325"/>
      <c r="DL830" s="325"/>
      <c r="DM830" s="325"/>
      <c r="DN830" s="325"/>
      <c r="DO830" s="325"/>
      <c r="DP830" s="325"/>
      <c r="DQ830" s="325"/>
      <c r="DR830" s="325"/>
      <c r="DS830" s="325"/>
      <c r="DT830" s="325"/>
      <c r="DU830" s="325"/>
      <c r="DV830" s="325"/>
      <c r="DW830" s="325"/>
      <c r="DX830" s="325"/>
      <c r="DY830" s="325"/>
      <c r="DZ830" s="325"/>
      <c r="EA830" s="325"/>
      <c r="EB830" s="325"/>
      <c r="EC830" s="325"/>
      <c r="ED830" s="325"/>
      <c r="EE830" s="325"/>
      <c r="EF830" s="325"/>
      <c r="EG830" s="325"/>
      <c r="EH830" s="325"/>
      <c r="EI830" s="325"/>
      <c r="EJ830" s="325"/>
      <c r="EK830" s="325"/>
      <c r="EL830" s="325"/>
      <c r="EM830" s="325"/>
      <c r="EN830" s="325"/>
      <c r="EO830" s="325"/>
      <c r="EP830" s="325"/>
      <c r="EQ830" s="325"/>
      <c r="ER830" s="325"/>
      <c r="ES830" s="325"/>
      <c r="ET830" s="325"/>
      <c r="EU830" s="325"/>
      <c r="EV830" s="325"/>
      <c r="EW830" s="325"/>
      <c r="EX830" s="325"/>
      <c r="EY830" s="325"/>
      <c r="EZ830" s="325"/>
      <c r="FA830" s="325"/>
      <c r="FB830" s="325"/>
      <c r="FC830" s="325"/>
      <c r="FD830" s="325"/>
    </row>
    <row r="831" spans="3:160" ht="16.2" outlineLevel="3" thickTop="1">
      <c r="C831"/>
      <c r="D831" s="266"/>
      <c r="E831" s="76"/>
      <c r="F831"/>
    </row>
    <row r="832" spans="3:160" outlineLevel="2">
      <c r="C832"/>
      <c r="D832" s="266"/>
      <c r="E832" s="76"/>
      <c r="F832"/>
    </row>
    <row r="833" spans="3:40" outlineLevel="2">
      <c r="C833" t="s">
        <v>299</v>
      </c>
      <c r="D833" s="266"/>
      <c r="E833" s="76"/>
      <c r="F833"/>
    </row>
    <row r="834" spans="3:40" outlineLevel="3">
      <c r="C834"/>
      <c r="D834" s="266"/>
      <c r="E834" s="76"/>
      <c r="F834"/>
    </row>
    <row r="835" spans="3:40" outlineLevel="3">
      <c r="C835" t="s">
        <v>464</v>
      </c>
      <c r="D835" s="266"/>
      <c r="E835" s="76"/>
      <c r="F835"/>
    </row>
    <row r="836" spans="3:40" outlineLevel="4">
      <c r="C836"/>
      <c r="D836" s="266"/>
      <c r="E836" s="76"/>
      <c r="F836"/>
    </row>
    <row r="837" spans="3:40" outlineLevel="4">
      <c r="C837" t="s">
        <v>481</v>
      </c>
      <c r="D837" s="266"/>
      <c r="E837" s="76" t="s">
        <v>13</v>
      </c>
      <c r="F837" s="273"/>
      <c r="G837" s="273">
        <f t="shared" ref="G837:AN837" si="723">F840</f>
        <v>0</v>
      </c>
      <c r="H837" s="273">
        <f t="shared" si="723"/>
        <v>900</v>
      </c>
      <c r="I837" s="273">
        <f t="shared" si="723"/>
        <v>800</v>
      </c>
      <c r="J837" s="273">
        <f t="shared" si="723"/>
        <v>700</v>
      </c>
      <c r="K837" s="273">
        <f t="shared" si="723"/>
        <v>600</v>
      </c>
      <c r="L837" s="273">
        <f t="shared" si="723"/>
        <v>500</v>
      </c>
      <c r="M837" s="273">
        <f t="shared" si="723"/>
        <v>400</v>
      </c>
      <c r="N837" s="273">
        <f t="shared" si="723"/>
        <v>300</v>
      </c>
      <c r="O837" s="273">
        <f t="shared" si="723"/>
        <v>200</v>
      </c>
      <c r="P837" s="273">
        <f t="shared" si="723"/>
        <v>100</v>
      </c>
      <c r="Q837" s="273">
        <f t="shared" si="723"/>
        <v>0</v>
      </c>
      <c r="R837" s="273">
        <f t="shared" si="723"/>
        <v>0</v>
      </c>
      <c r="S837" s="273">
        <f t="shared" si="723"/>
        <v>0</v>
      </c>
      <c r="T837" s="273">
        <f t="shared" si="723"/>
        <v>0</v>
      </c>
      <c r="U837" s="273">
        <f t="shared" si="723"/>
        <v>0</v>
      </c>
      <c r="V837" s="273">
        <f t="shared" si="723"/>
        <v>0</v>
      </c>
      <c r="W837" s="273">
        <f t="shared" si="723"/>
        <v>0</v>
      </c>
      <c r="X837" s="273">
        <f t="shared" si="723"/>
        <v>0</v>
      </c>
      <c r="Y837" s="273">
        <f t="shared" si="723"/>
        <v>0</v>
      </c>
      <c r="Z837" s="273">
        <f t="shared" si="723"/>
        <v>0</v>
      </c>
      <c r="AA837" s="273">
        <f t="shared" si="723"/>
        <v>0</v>
      </c>
      <c r="AB837" s="273">
        <f t="shared" si="723"/>
        <v>0</v>
      </c>
      <c r="AC837" s="273">
        <f t="shared" si="723"/>
        <v>0</v>
      </c>
      <c r="AD837" s="273">
        <f t="shared" si="723"/>
        <v>0</v>
      </c>
      <c r="AE837" s="273">
        <f t="shared" si="723"/>
        <v>0</v>
      </c>
      <c r="AF837" s="273">
        <f t="shared" si="723"/>
        <v>0</v>
      </c>
      <c r="AG837" s="273">
        <f t="shared" si="723"/>
        <v>0</v>
      </c>
      <c r="AH837" s="273">
        <f t="shared" si="723"/>
        <v>0</v>
      </c>
      <c r="AI837" s="273">
        <f t="shared" si="723"/>
        <v>0</v>
      </c>
      <c r="AJ837" s="273">
        <f t="shared" si="723"/>
        <v>0</v>
      </c>
      <c r="AK837" s="273">
        <f t="shared" si="723"/>
        <v>0</v>
      </c>
      <c r="AL837" s="273">
        <f t="shared" si="723"/>
        <v>0</v>
      </c>
      <c r="AM837" s="273">
        <f t="shared" si="723"/>
        <v>0</v>
      </c>
      <c r="AN837" s="273">
        <f t="shared" si="723"/>
        <v>0</v>
      </c>
    </row>
    <row r="838" spans="3:40" outlineLevel="4">
      <c r="C838" t="s">
        <v>482</v>
      </c>
      <c r="D838" s="275"/>
      <c r="E838" s="203" t="s">
        <v>13</v>
      </c>
      <c r="F838" s="88">
        <f>SUM(G838:AN838)</f>
        <v>1000</v>
      </c>
      <c r="G838" s="322">
        <f t="shared" ref="G838:AN838" si="724">G436</f>
        <v>1000</v>
      </c>
      <c r="H838" s="322">
        <f t="shared" si="724"/>
        <v>0</v>
      </c>
      <c r="I838" s="322">
        <f t="shared" si="724"/>
        <v>0</v>
      </c>
      <c r="J838" s="322">
        <f t="shared" si="724"/>
        <v>0</v>
      </c>
      <c r="K838" s="322">
        <f t="shared" si="724"/>
        <v>0</v>
      </c>
      <c r="L838" s="322">
        <f t="shared" si="724"/>
        <v>0</v>
      </c>
      <c r="M838" s="322">
        <f t="shared" si="724"/>
        <v>0</v>
      </c>
      <c r="N838" s="322">
        <f t="shared" si="724"/>
        <v>0</v>
      </c>
      <c r="O838" s="322">
        <f t="shared" si="724"/>
        <v>0</v>
      </c>
      <c r="P838" s="322">
        <f t="shared" si="724"/>
        <v>0</v>
      </c>
      <c r="Q838" s="322">
        <f t="shared" si="724"/>
        <v>0</v>
      </c>
      <c r="R838" s="322">
        <f t="shared" si="724"/>
        <v>0</v>
      </c>
      <c r="S838" s="322">
        <f t="shared" si="724"/>
        <v>0</v>
      </c>
      <c r="T838" s="322">
        <f t="shared" si="724"/>
        <v>0</v>
      </c>
      <c r="U838" s="322">
        <f t="shared" si="724"/>
        <v>0</v>
      </c>
      <c r="V838" s="322">
        <f t="shared" si="724"/>
        <v>0</v>
      </c>
      <c r="W838" s="322">
        <f t="shared" si="724"/>
        <v>0</v>
      </c>
      <c r="X838" s="322">
        <f t="shared" si="724"/>
        <v>0</v>
      </c>
      <c r="Y838" s="322">
        <f t="shared" si="724"/>
        <v>0</v>
      </c>
      <c r="Z838" s="322">
        <f t="shared" si="724"/>
        <v>0</v>
      </c>
      <c r="AA838" s="322">
        <f t="shared" si="724"/>
        <v>0</v>
      </c>
      <c r="AB838" s="322">
        <f t="shared" si="724"/>
        <v>0</v>
      </c>
      <c r="AC838" s="322">
        <f t="shared" si="724"/>
        <v>0</v>
      </c>
      <c r="AD838" s="322">
        <f t="shared" si="724"/>
        <v>0</v>
      </c>
      <c r="AE838" s="322">
        <f t="shared" si="724"/>
        <v>0</v>
      </c>
      <c r="AF838" s="322">
        <f t="shared" si="724"/>
        <v>0</v>
      </c>
      <c r="AG838" s="322">
        <f t="shared" si="724"/>
        <v>0</v>
      </c>
      <c r="AH838" s="322">
        <f t="shared" si="724"/>
        <v>0</v>
      </c>
      <c r="AI838" s="322">
        <f t="shared" si="724"/>
        <v>0</v>
      </c>
      <c r="AJ838" s="322">
        <f t="shared" si="724"/>
        <v>0</v>
      </c>
      <c r="AK838" s="322">
        <f t="shared" si="724"/>
        <v>0</v>
      </c>
      <c r="AL838" s="322">
        <f t="shared" si="724"/>
        <v>0</v>
      </c>
      <c r="AM838" s="322">
        <f t="shared" si="724"/>
        <v>0</v>
      </c>
      <c r="AN838" s="322">
        <f t="shared" si="724"/>
        <v>0</v>
      </c>
    </row>
    <row r="839" spans="3:40" outlineLevel="4">
      <c r="C839" t="s">
        <v>467</v>
      </c>
      <c r="D839" s="266"/>
      <c r="E839" s="76" t="s">
        <v>13</v>
      </c>
      <c r="F839" s="50">
        <f>SUM(G839:AN839)</f>
        <v>-1000</v>
      </c>
      <c r="G839" s="273">
        <f t="shared" ref="G839:AN839" si="725">-G885</f>
        <v>-100</v>
      </c>
      <c r="H839" s="273">
        <f t="shared" si="725"/>
        <v>-100</v>
      </c>
      <c r="I839" s="273">
        <f t="shared" si="725"/>
        <v>-100</v>
      </c>
      <c r="J839" s="273">
        <f t="shared" si="725"/>
        <v>-100</v>
      </c>
      <c r="K839" s="273">
        <f t="shared" si="725"/>
        <v>-100</v>
      </c>
      <c r="L839" s="273">
        <f t="shared" si="725"/>
        <v>-100</v>
      </c>
      <c r="M839" s="273">
        <f t="shared" si="725"/>
        <v>-100</v>
      </c>
      <c r="N839" s="273">
        <f t="shared" si="725"/>
        <v>-100</v>
      </c>
      <c r="O839" s="273">
        <f t="shared" si="725"/>
        <v>-100</v>
      </c>
      <c r="P839" s="273">
        <f t="shared" si="725"/>
        <v>-100</v>
      </c>
      <c r="Q839" s="273">
        <f t="shared" si="725"/>
        <v>0</v>
      </c>
      <c r="R839" s="273">
        <f t="shared" si="725"/>
        <v>0</v>
      </c>
      <c r="S839" s="273">
        <f t="shared" si="725"/>
        <v>0</v>
      </c>
      <c r="T839" s="273">
        <f t="shared" si="725"/>
        <v>0</v>
      </c>
      <c r="U839" s="273">
        <f t="shared" si="725"/>
        <v>0</v>
      </c>
      <c r="V839" s="273">
        <f t="shared" si="725"/>
        <v>0</v>
      </c>
      <c r="W839" s="273">
        <f t="shared" si="725"/>
        <v>0</v>
      </c>
      <c r="X839" s="273">
        <f t="shared" si="725"/>
        <v>0</v>
      </c>
      <c r="Y839" s="273">
        <f t="shared" si="725"/>
        <v>0</v>
      </c>
      <c r="Z839" s="273">
        <f t="shared" si="725"/>
        <v>0</v>
      </c>
      <c r="AA839" s="273">
        <f t="shared" si="725"/>
        <v>0</v>
      </c>
      <c r="AB839" s="273">
        <f t="shared" si="725"/>
        <v>0</v>
      </c>
      <c r="AC839" s="273">
        <f t="shared" si="725"/>
        <v>0</v>
      </c>
      <c r="AD839" s="273">
        <f t="shared" si="725"/>
        <v>0</v>
      </c>
      <c r="AE839" s="273">
        <f t="shared" si="725"/>
        <v>0</v>
      </c>
      <c r="AF839" s="273">
        <f t="shared" si="725"/>
        <v>0</v>
      </c>
      <c r="AG839" s="273">
        <f t="shared" si="725"/>
        <v>0</v>
      </c>
      <c r="AH839" s="273">
        <f t="shared" si="725"/>
        <v>0</v>
      </c>
      <c r="AI839" s="273">
        <f t="shared" si="725"/>
        <v>0</v>
      </c>
      <c r="AJ839" s="273">
        <f t="shared" si="725"/>
        <v>0</v>
      </c>
      <c r="AK839" s="273">
        <f t="shared" si="725"/>
        <v>0</v>
      </c>
      <c r="AL839" s="273">
        <f t="shared" si="725"/>
        <v>0</v>
      </c>
      <c r="AM839" s="273">
        <f t="shared" si="725"/>
        <v>0</v>
      </c>
      <c r="AN839" s="273">
        <f t="shared" si="725"/>
        <v>0</v>
      </c>
    </row>
    <row r="840" spans="3:40" outlineLevel="4">
      <c r="C840" t="s">
        <v>483</v>
      </c>
      <c r="D840" s="275"/>
      <c r="E840" s="203" t="s">
        <v>13</v>
      </c>
      <c r="F840" s="89"/>
      <c r="G840" s="287">
        <f t="shared" ref="G840:AN840" si="726">SUM(G837:G839)</f>
        <v>900</v>
      </c>
      <c r="H840" s="287">
        <f t="shared" si="726"/>
        <v>800</v>
      </c>
      <c r="I840" s="287">
        <f t="shared" si="726"/>
        <v>700</v>
      </c>
      <c r="J840" s="287">
        <f t="shared" si="726"/>
        <v>600</v>
      </c>
      <c r="K840" s="287">
        <f t="shared" si="726"/>
        <v>500</v>
      </c>
      <c r="L840" s="287">
        <f t="shared" si="726"/>
        <v>400</v>
      </c>
      <c r="M840" s="287">
        <f t="shared" si="726"/>
        <v>300</v>
      </c>
      <c r="N840" s="287">
        <f t="shared" si="726"/>
        <v>200</v>
      </c>
      <c r="O840" s="287">
        <f t="shared" si="726"/>
        <v>100</v>
      </c>
      <c r="P840" s="287">
        <f t="shared" si="726"/>
        <v>0</v>
      </c>
      <c r="Q840" s="287">
        <f t="shared" si="726"/>
        <v>0</v>
      </c>
      <c r="R840" s="287">
        <f t="shared" si="726"/>
        <v>0</v>
      </c>
      <c r="S840" s="287">
        <f t="shared" si="726"/>
        <v>0</v>
      </c>
      <c r="T840" s="287">
        <f t="shared" si="726"/>
        <v>0</v>
      </c>
      <c r="U840" s="287">
        <f t="shared" si="726"/>
        <v>0</v>
      </c>
      <c r="V840" s="287">
        <f t="shared" si="726"/>
        <v>0</v>
      </c>
      <c r="W840" s="287">
        <f t="shared" si="726"/>
        <v>0</v>
      </c>
      <c r="X840" s="287">
        <f t="shared" si="726"/>
        <v>0</v>
      </c>
      <c r="Y840" s="287">
        <f t="shared" si="726"/>
        <v>0</v>
      </c>
      <c r="Z840" s="287">
        <f t="shared" si="726"/>
        <v>0</v>
      </c>
      <c r="AA840" s="287">
        <f t="shared" si="726"/>
        <v>0</v>
      </c>
      <c r="AB840" s="287">
        <f t="shared" si="726"/>
        <v>0</v>
      </c>
      <c r="AC840" s="287">
        <f t="shared" si="726"/>
        <v>0</v>
      </c>
      <c r="AD840" s="287">
        <f t="shared" si="726"/>
        <v>0</v>
      </c>
      <c r="AE840" s="287">
        <f t="shared" si="726"/>
        <v>0</v>
      </c>
      <c r="AF840" s="287">
        <f t="shared" si="726"/>
        <v>0</v>
      </c>
      <c r="AG840" s="287">
        <f t="shared" si="726"/>
        <v>0</v>
      </c>
      <c r="AH840" s="287">
        <f t="shared" si="726"/>
        <v>0</v>
      </c>
      <c r="AI840" s="287">
        <f t="shared" si="726"/>
        <v>0</v>
      </c>
      <c r="AJ840" s="287">
        <f t="shared" si="726"/>
        <v>0</v>
      </c>
      <c r="AK840" s="287">
        <f t="shared" si="726"/>
        <v>0</v>
      </c>
      <c r="AL840" s="287">
        <f t="shared" si="726"/>
        <v>0</v>
      </c>
      <c r="AM840" s="287">
        <f t="shared" si="726"/>
        <v>0</v>
      </c>
      <c r="AN840" s="287">
        <f t="shared" si="726"/>
        <v>0</v>
      </c>
    </row>
    <row r="841" spans="3:40" outlineLevel="3">
      <c r="C841"/>
      <c r="D841" s="266"/>
      <c r="E841" s="76"/>
      <c r="F841"/>
    </row>
    <row r="842" spans="3:40" outlineLevel="3">
      <c r="C842" t="s">
        <v>469</v>
      </c>
      <c r="D842" s="266"/>
      <c r="E842" s="76"/>
      <c r="F842"/>
    </row>
    <row r="843" spans="3:40" outlineLevel="4">
      <c r="C843"/>
      <c r="D843" s="266"/>
      <c r="E843" s="76"/>
      <c r="F843"/>
    </row>
    <row r="844" spans="3:40" outlineLevel="4">
      <c r="C844" s="303" t="str">
        <f>Flags!C$72</f>
        <v>Cons + Ops Flag</v>
      </c>
      <c r="D844" s="319"/>
      <c r="E844" s="41" t="str">
        <f>Flags!E$72</f>
        <v>Flag</v>
      </c>
      <c r="F844" s="23">
        <f>Flags!F$72</f>
        <v>30</v>
      </c>
      <c r="G844" s="25">
        <f>Flags!G$72</f>
        <v>1</v>
      </c>
      <c r="H844" s="25">
        <f>Flags!H$72</f>
        <v>1</v>
      </c>
      <c r="I844" s="25">
        <f>Flags!I$72</f>
        <v>1</v>
      </c>
      <c r="J844" s="25">
        <f>Flags!J$72</f>
        <v>1</v>
      </c>
      <c r="K844" s="25">
        <f>Flags!K$72</f>
        <v>1</v>
      </c>
      <c r="L844" s="25">
        <f>Flags!L$72</f>
        <v>1</v>
      </c>
      <c r="M844" s="25">
        <f>Flags!M$72</f>
        <v>1</v>
      </c>
      <c r="N844" s="25">
        <f>Flags!N$72</f>
        <v>1</v>
      </c>
      <c r="O844" s="25">
        <f>Flags!O$72</f>
        <v>1</v>
      </c>
      <c r="P844" s="25">
        <f>Flags!P$72</f>
        <v>1</v>
      </c>
      <c r="Q844" s="25">
        <f>Flags!Q$72</f>
        <v>1</v>
      </c>
      <c r="R844" s="25">
        <f>Flags!R$72</f>
        <v>1</v>
      </c>
      <c r="S844" s="25">
        <f>Flags!S$72</f>
        <v>1</v>
      </c>
      <c r="T844" s="25">
        <f>Flags!T$72</f>
        <v>1</v>
      </c>
      <c r="U844" s="25">
        <f>Flags!U$72</f>
        <v>1</v>
      </c>
      <c r="V844" s="25">
        <f>Flags!V$72</f>
        <v>1</v>
      </c>
      <c r="W844" s="25">
        <f>Flags!W$72</f>
        <v>1</v>
      </c>
      <c r="X844" s="25">
        <f>Flags!X$72</f>
        <v>1</v>
      </c>
      <c r="Y844" s="25">
        <f>Flags!Y$72</f>
        <v>1</v>
      </c>
      <c r="Z844" s="25">
        <f>Flags!Z$72</f>
        <v>1</v>
      </c>
      <c r="AA844" s="25">
        <f>Flags!AA$72</f>
        <v>1</v>
      </c>
      <c r="AB844" s="25">
        <f>Flags!AB$72</f>
        <v>1</v>
      </c>
      <c r="AC844" s="25">
        <f>Flags!AC$72</f>
        <v>1</v>
      </c>
      <c r="AD844" s="25">
        <f>Flags!AD$72</f>
        <v>1</v>
      </c>
      <c r="AE844" s="25">
        <f>Flags!AE$72</f>
        <v>1</v>
      </c>
      <c r="AF844" s="25">
        <f>Flags!AF$72</f>
        <v>1</v>
      </c>
      <c r="AG844" s="25">
        <f>Flags!AG$72</f>
        <v>1</v>
      </c>
      <c r="AH844" s="25">
        <f>Flags!AH$72</f>
        <v>1</v>
      </c>
      <c r="AI844" s="25">
        <f>Flags!AI$72</f>
        <v>1</v>
      </c>
      <c r="AJ844" s="25">
        <f>Flags!AJ$72</f>
        <v>1</v>
      </c>
      <c r="AK844" s="25">
        <f>Flags!AK$72</f>
        <v>0</v>
      </c>
      <c r="AL844" s="25">
        <f>Flags!AL$72</f>
        <v>0</v>
      </c>
      <c r="AM844" s="25">
        <f>Flags!AM$72</f>
        <v>0</v>
      </c>
      <c r="AN844" s="25">
        <f>Flags!AN$72</f>
        <v>0</v>
      </c>
    </row>
    <row r="845" spans="3:40" outlineLevel="4">
      <c r="C845"/>
      <c r="D845" s="266"/>
      <c r="E845" s="76"/>
      <c r="F845"/>
    </row>
    <row r="846" spans="3:40" outlineLevel="4">
      <c r="C846" s="303" t="str">
        <f>Flags!C$14</f>
        <v>Counter</v>
      </c>
      <c r="D846" s="266"/>
      <c r="E846" s="76" t="str">
        <f>Flags!E$14</f>
        <v>Counter</v>
      </c>
      <c r="F846" s="89">
        <f>Flags!F$14</f>
        <v>0</v>
      </c>
      <c r="G846" s="266">
        <f>Flags!G$14</f>
        <v>1</v>
      </c>
      <c r="H846" s="266">
        <f>Flags!H$14</f>
        <v>2</v>
      </c>
      <c r="I846" s="266">
        <f>Flags!I$14</f>
        <v>3</v>
      </c>
      <c r="J846" s="266">
        <f>Flags!J$14</f>
        <v>4</v>
      </c>
      <c r="K846" s="266">
        <f>Flags!K$14</f>
        <v>5</v>
      </c>
      <c r="L846" s="266">
        <f>Flags!L$14</f>
        <v>6</v>
      </c>
      <c r="M846" s="266">
        <f>Flags!M$14</f>
        <v>7</v>
      </c>
      <c r="N846" s="266">
        <f>Flags!N$14</f>
        <v>8</v>
      </c>
      <c r="O846" s="266">
        <f>Flags!O$14</f>
        <v>9</v>
      </c>
      <c r="P846" s="266">
        <f>Flags!P$14</f>
        <v>10</v>
      </c>
      <c r="Q846" s="266">
        <f>Flags!Q$14</f>
        <v>11</v>
      </c>
      <c r="R846" s="266">
        <f>Flags!R$14</f>
        <v>12</v>
      </c>
      <c r="S846" s="266">
        <f>Flags!S$14</f>
        <v>13</v>
      </c>
      <c r="T846" s="266">
        <f>Flags!T$14</f>
        <v>14</v>
      </c>
      <c r="U846" s="266">
        <f>Flags!U$14</f>
        <v>15</v>
      </c>
      <c r="V846" s="266">
        <f>Flags!V$14</f>
        <v>16</v>
      </c>
      <c r="W846" s="266">
        <f>Flags!W$14</f>
        <v>17</v>
      </c>
      <c r="X846" s="266">
        <f>Flags!X$14</f>
        <v>18</v>
      </c>
      <c r="Y846" s="266">
        <f>Flags!Y$14</f>
        <v>19</v>
      </c>
      <c r="Z846" s="266">
        <f>Flags!Z$14</f>
        <v>20</v>
      </c>
      <c r="AA846" s="266">
        <f>Flags!AA$14</f>
        <v>21</v>
      </c>
      <c r="AB846" s="266">
        <f>Flags!AB$14</f>
        <v>22</v>
      </c>
      <c r="AC846" s="266">
        <f>Flags!AC$14</f>
        <v>23</v>
      </c>
      <c r="AD846" s="266">
        <f>Flags!AD$14</f>
        <v>24</v>
      </c>
      <c r="AE846" s="266">
        <f>Flags!AE$14</f>
        <v>25</v>
      </c>
      <c r="AF846" s="266">
        <f>Flags!AF$14</f>
        <v>26</v>
      </c>
      <c r="AG846" s="266">
        <f>Flags!AG$14</f>
        <v>27</v>
      </c>
      <c r="AH846" s="266">
        <f>Flags!AH$14</f>
        <v>28</v>
      </c>
      <c r="AI846" s="266">
        <f>Flags!AI$14</f>
        <v>29</v>
      </c>
      <c r="AJ846" s="266">
        <f>Flags!AJ$14</f>
        <v>30</v>
      </c>
      <c r="AK846" s="266">
        <f>Flags!AK$14</f>
        <v>31</v>
      </c>
      <c r="AL846" s="266">
        <f>Flags!AL$14</f>
        <v>32</v>
      </c>
      <c r="AM846" s="266">
        <f>Flags!AM$14</f>
        <v>33</v>
      </c>
      <c r="AN846" s="266">
        <f>Flags!AN$14</f>
        <v>34</v>
      </c>
    </row>
    <row r="847" spans="3:40" outlineLevel="4">
      <c r="C847"/>
      <c r="D847" s="266"/>
      <c r="E847" s="76"/>
      <c r="F847"/>
    </row>
    <row r="848" spans="3:40" outlineLevel="4">
      <c r="C848" t="str">
        <f>Inputs!$E$258</f>
        <v>Valor residual</v>
      </c>
      <c r="D848">
        <f>Inputs!E507</f>
        <v>0</v>
      </c>
      <c r="E848" s="76"/>
      <c r="F848"/>
    </row>
    <row r="849" spans="3:40" outlineLevel="4">
      <c r="C849"/>
      <c r="D849" s="266"/>
      <c r="E849" s="76"/>
      <c r="F849"/>
    </row>
    <row r="850" spans="3:40" outlineLevel="4">
      <c r="C850" t="s">
        <v>470</v>
      </c>
      <c r="D850" t="s">
        <v>471</v>
      </c>
      <c r="E850" t="s">
        <v>79</v>
      </c>
      <c r="F850" s="309" t="s">
        <v>472</v>
      </c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</row>
    <row r="851" spans="3:40" outlineLevel="4">
      <c r="C851">
        <f t="array" ref="C851:C884">TRANSPOSE(G846:AN846)</f>
        <v>1</v>
      </c>
      <c r="D851">
        <f>Inputs!$D$262</f>
        <v>0.1</v>
      </c>
      <c r="E851">
        <f t="array" ref="E851:E884">TRANSPOSE(G838:AN838)</f>
        <v>1000</v>
      </c>
      <c r="F851" s="461">
        <f>E851*D848</f>
        <v>0</v>
      </c>
      <c r="G851">
        <f>IF(G$621&gt;=$C851,MIN(-(SUM(F851:$F851)-$E851),($E851*(1-$D$623))*$D851),0)*G$619</f>
        <v>100</v>
      </c>
      <c r="H851">
        <f>IF(H$621&gt;=$C851,MIN(-(SUM($F851:G851)-$E851),($E851*(1-$D$623))*$D851),0)*H$619</f>
        <v>100</v>
      </c>
      <c r="I851">
        <f>IF(I$621&gt;=$C851,MIN(-(SUM($F851:H851)-$E851),($E851*(1-$D$623))*$D851),0)*I$619</f>
        <v>100</v>
      </c>
      <c r="J851">
        <f>IF(J$621&gt;=$C851,MIN(-(SUM($F851:I851)-$E851),($E851*(1-$D$623))*$D851),0)*J$619</f>
        <v>100</v>
      </c>
      <c r="K851">
        <f>IF(K$621&gt;=$C851,MIN(-(SUM($F851:J851)-$E851),($E851*(1-$D$623))*$D851),0)*K$619</f>
        <v>100</v>
      </c>
      <c r="L851">
        <f>IF(L$621&gt;=$C851,MIN(-(SUM($F851:K851)-$E851),($E851*(1-$D$623))*$D851),0)*L$619</f>
        <v>100</v>
      </c>
      <c r="M851">
        <f>IF(M$621&gt;=$C851,MIN(-(SUM($F851:L851)-$E851),($E851*(1-$D$623))*$D851),0)*M$619</f>
        <v>100</v>
      </c>
      <c r="N851">
        <f>IF(N$621&gt;=$C851,MIN(-(SUM($F851:M851)-$E851),($E851*(1-$D$623))*$D851),0)*N$619</f>
        <v>100</v>
      </c>
      <c r="O851">
        <f>IF(O$621&gt;=$C851,MIN(-(SUM($F851:N851)-$E851),($E851*(1-$D$623))*$D851),0)*O$619</f>
        <v>100</v>
      </c>
      <c r="P851">
        <f>IF(P$621&gt;=$C851,MIN(-(SUM($F851:O851)-$E851),($E851*(1-$D$623))*$D851),0)*P$619</f>
        <v>100</v>
      </c>
      <c r="Q851">
        <f>IF(Q$621&gt;=$C851,MIN(-(SUM($F851:P851)-$E851),($E851*(1-$D$623))*$D851),0)*Q$619</f>
        <v>0</v>
      </c>
      <c r="R851">
        <f>IF(R$621&gt;=$C851,MIN(-(SUM($F851:Q851)-$E851),($E851*(1-$D$623))*$D851),0)*R$619</f>
        <v>0</v>
      </c>
      <c r="S851">
        <f>IF(S$621&gt;=$C851,MIN(-(SUM($F851:R851)-$E851),($E851*(1-$D$623))*$D851),0)*S$619</f>
        <v>0</v>
      </c>
      <c r="T851">
        <f>IF(T$621&gt;=$C851,MIN(-(SUM($F851:S851)-$E851),($E851*(1-$D$623))*$D851),0)*T$619</f>
        <v>0</v>
      </c>
      <c r="U851">
        <f>IF(U$621&gt;=$C851,MIN(-(SUM($F851:T851)-$E851),($E851*(1-$D$623))*$D851),0)*U$619</f>
        <v>0</v>
      </c>
      <c r="V851">
        <f>IF(V$621&gt;=$C851,MIN(-(SUM($F851:U851)-$E851),($E851*(1-$D$623))*$D851),0)*V$619</f>
        <v>0</v>
      </c>
      <c r="W851">
        <f>IF(W$621&gt;=$C851,MIN(-(SUM($F851:V851)-$E851),($E851*(1-$D$623))*$D851),0)*W$619</f>
        <v>0</v>
      </c>
      <c r="X851">
        <f>IF(X$621&gt;=$C851,MIN(-(SUM($F851:W851)-$E851),($E851*(1-$D$623))*$D851),0)*X$619</f>
        <v>0</v>
      </c>
      <c r="Y851">
        <f>IF(Y$621&gt;=$C851,MIN(-(SUM($F851:X851)-$E851),($E851*(1-$D$623))*$D851),0)*Y$619</f>
        <v>0</v>
      </c>
      <c r="Z851">
        <f>IF(Z$621&gt;=$C851,MIN(-(SUM($F851:Y851)-$E851),($E851*(1-$D$623))*$D851),0)*Z$619</f>
        <v>0</v>
      </c>
      <c r="AA851">
        <f>IF(AA$621&gt;=$C851,MIN(-(SUM($F851:Z851)-$E851),($E851*(1-$D$623))*$D851),0)*AA$619</f>
        <v>0</v>
      </c>
      <c r="AB851">
        <f>IF(AB$621&gt;=$C851,MIN(-(SUM($F851:AA851)-$E851),($E851*(1-$D$623))*$D851),0)*AB$619</f>
        <v>0</v>
      </c>
      <c r="AC851">
        <f>IF(AC$621&gt;=$C851,MIN(-(SUM($F851:AB851)-$E851),($E851*(1-$D$623))*$D851),0)*AC$619</f>
        <v>0</v>
      </c>
      <c r="AD851">
        <f>IF(AD$621&gt;=$C851,MIN(-(SUM($F851:AC851)-$E851),($E851*(1-$D$623))*$D851),0)*AD$619</f>
        <v>0</v>
      </c>
      <c r="AE851">
        <f>IF(AE$621&gt;=$C851,MIN(-(SUM($F851:AD851)-$E851),($E851*(1-$D$623))*$D851),0)*AE$619</f>
        <v>0</v>
      </c>
      <c r="AF851">
        <f>IF(AF$621&gt;=$C851,MIN(-(SUM($F851:AE851)-$E851),($E851*(1-$D$623))*$D851),0)*AF$619</f>
        <v>0</v>
      </c>
      <c r="AG851">
        <f>IF(AG$621&gt;=$C851,MIN(-(SUM($F851:AF851)-$E851),($E851*(1-$D$623))*$D851),0)*AG$619</f>
        <v>0</v>
      </c>
      <c r="AH851">
        <f>IF(AH$621&gt;=$C851,MIN(-(SUM($F851:AG851)-$E851),($E851*(1-$D$623))*$D851),0)*AH$619</f>
        <v>0</v>
      </c>
      <c r="AI851">
        <f>IF(AI$621&gt;=$C851,MIN(-(SUM($F851:AH851)-$E851),($E851*(1-$D$623))*$D851),0)*AI$619</f>
        <v>0</v>
      </c>
      <c r="AJ851">
        <f>IF(AJ$621&gt;=$C851,MIN(-(SUM($F851:AI851)-$E851),($E851*(1-$D$623))*$D851),0)*AJ$619</f>
        <v>0</v>
      </c>
      <c r="AK851">
        <f>IF(AK$621&gt;=$C851,MIN(-(SUM($F851:AJ851)-$E851),($E851*(1-$D$623))*$D851),0)*AK$619</f>
        <v>0</v>
      </c>
      <c r="AL851">
        <f>IF(AL$621&gt;=$C851,MIN(-(SUM($F851:AK851)-$E851),($E851*(1-$D$623))*$D851),0)*AL$619</f>
        <v>0</v>
      </c>
      <c r="AM851">
        <f>IF(AM$621&gt;=$C851,MIN(-(SUM($F851:AL851)-$E851),($E851*(1-$D$623))*$D851),0)*AM$619</f>
        <v>0</v>
      </c>
      <c r="AN851">
        <f>IF(AN$621&gt;=$C851,MIN(-(SUM($F851:AM851)-$E851),($E851*(1-$D$623))*$D851),0)*AN$619</f>
        <v>0</v>
      </c>
    </row>
    <row r="852" spans="3:40" outlineLevel="4">
      <c r="C852">
        <v>2</v>
      </c>
      <c r="D852">
        <f>Inputs!$D$262</f>
        <v>0.1</v>
      </c>
      <c r="E852">
        <v>0</v>
      </c>
      <c r="F852" s="461">
        <f>E852*D848</f>
        <v>0</v>
      </c>
      <c r="G852">
        <f>IF(G$621&gt;=$C852,MIN(-(SUM(F852:$F852)-$E852),($E852*(1-$D$623))*$D852),0)*G$619</f>
        <v>0</v>
      </c>
      <c r="H852">
        <f>IF(H$621&gt;=$C852,MIN(-(SUM($F852:G852)-$E852),($E852*(1-$D$623))*$D852),0)*H$619</f>
        <v>0</v>
      </c>
      <c r="I852">
        <f>IF(I$621&gt;=$C852,MIN(-(SUM($F852:H852)-$E852),($E852*(1-$D$623))*$D852),0)*I$619</f>
        <v>0</v>
      </c>
      <c r="J852">
        <f>IF(J$621&gt;=$C852,MIN(-(SUM($F852:I852)-$E852),($E852*(1-$D$623))*$D852),0)*J$619</f>
        <v>0</v>
      </c>
      <c r="K852">
        <f>IF(K$621&gt;=$C852,MIN(-(SUM($F852:J852)-$E852),($E852*(1-$D$623))*$D852),0)*K$619</f>
        <v>0</v>
      </c>
      <c r="L852">
        <f>IF(L$621&gt;=$C852,MIN(-(SUM($F852:K852)-$E852),($E852*(1-$D$623))*$D852),0)*L$619</f>
        <v>0</v>
      </c>
      <c r="M852">
        <f>IF(M$621&gt;=$C852,MIN(-(SUM($F852:L852)-$E852),($E852*(1-$D$623))*$D852),0)*M$619</f>
        <v>0</v>
      </c>
      <c r="N852">
        <f>IF(N$621&gt;=$C852,MIN(-(SUM($F852:M852)-$E852),($E852*(1-$D$623))*$D852),0)*N$619</f>
        <v>0</v>
      </c>
      <c r="O852">
        <f>IF(O$621&gt;=$C852,MIN(-(SUM($F852:N852)-$E852),($E852*(1-$D$623))*$D852),0)*O$619</f>
        <v>0</v>
      </c>
      <c r="P852">
        <f>IF(P$621&gt;=$C852,MIN(-(SUM($F852:O852)-$E852),($E852*(1-$D$623))*$D852),0)*P$619</f>
        <v>0</v>
      </c>
      <c r="Q852">
        <f>IF(Q$621&gt;=$C852,MIN(-(SUM($F852:P852)-$E852),($E852*(1-$D$623))*$D852),0)*Q$619</f>
        <v>0</v>
      </c>
      <c r="R852">
        <f>IF(R$621&gt;=$C852,MIN(-(SUM($F852:Q852)-$E852),($E852*(1-$D$623))*$D852),0)*R$619</f>
        <v>0</v>
      </c>
      <c r="S852">
        <f>IF(S$621&gt;=$C852,MIN(-(SUM($F852:R852)-$E852),($E852*(1-$D$623))*$D852),0)*S$619</f>
        <v>0</v>
      </c>
      <c r="T852">
        <f>IF(T$621&gt;=$C852,MIN(-(SUM($F852:S852)-$E852),($E852*(1-$D$623))*$D852),0)*T$619</f>
        <v>0</v>
      </c>
      <c r="U852">
        <f>IF(U$621&gt;=$C852,MIN(-(SUM($F852:T852)-$E852),($E852*(1-$D$623))*$D852),0)*U$619</f>
        <v>0</v>
      </c>
      <c r="V852">
        <f>IF(V$621&gt;=$C852,MIN(-(SUM($F852:U852)-$E852),($E852*(1-$D$623))*$D852),0)*V$619</f>
        <v>0</v>
      </c>
      <c r="W852">
        <f>IF(W$621&gt;=$C852,MIN(-(SUM($F852:V852)-$E852),($E852*(1-$D$623))*$D852),0)*W$619</f>
        <v>0</v>
      </c>
      <c r="X852">
        <f>IF(X$621&gt;=$C852,MIN(-(SUM($F852:W852)-$E852),($E852*(1-$D$623))*$D852),0)*X$619</f>
        <v>0</v>
      </c>
      <c r="Y852">
        <f>IF(Y$621&gt;=$C852,MIN(-(SUM($F852:X852)-$E852),($E852*(1-$D$623))*$D852),0)*Y$619</f>
        <v>0</v>
      </c>
      <c r="Z852">
        <f>IF(Z$621&gt;=$C852,MIN(-(SUM($F852:Y852)-$E852),($E852*(1-$D$623))*$D852),0)*Z$619</f>
        <v>0</v>
      </c>
      <c r="AA852">
        <f>IF(AA$621&gt;=$C852,MIN(-(SUM($F852:Z852)-$E852),($E852*(1-$D$623))*$D852),0)*AA$619</f>
        <v>0</v>
      </c>
      <c r="AB852">
        <f>IF(AB$621&gt;=$C852,MIN(-(SUM($F852:AA852)-$E852),($E852*(1-$D$623))*$D852),0)*AB$619</f>
        <v>0</v>
      </c>
      <c r="AC852">
        <f>IF(AC$621&gt;=$C852,MIN(-(SUM($F852:AB852)-$E852),($E852*(1-$D$623))*$D852),0)*AC$619</f>
        <v>0</v>
      </c>
      <c r="AD852">
        <f>IF(AD$621&gt;=$C852,MIN(-(SUM($F852:AC852)-$E852),($E852*(1-$D$623))*$D852),0)*AD$619</f>
        <v>0</v>
      </c>
      <c r="AE852">
        <f>IF(AE$621&gt;=$C852,MIN(-(SUM($F852:AD852)-$E852),($E852*(1-$D$623))*$D852),0)*AE$619</f>
        <v>0</v>
      </c>
      <c r="AF852">
        <f>IF(AF$621&gt;=$C852,MIN(-(SUM($F852:AE852)-$E852),($E852*(1-$D$623))*$D852),0)*AF$619</f>
        <v>0</v>
      </c>
      <c r="AG852">
        <f>IF(AG$621&gt;=$C852,MIN(-(SUM($F852:AF852)-$E852),($E852*(1-$D$623))*$D852),0)*AG$619</f>
        <v>0</v>
      </c>
      <c r="AH852">
        <f>IF(AH$621&gt;=$C852,MIN(-(SUM($F852:AG852)-$E852),($E852*(1-$D$623))*$D852),0)*AH$619</f>
        <v>0</v>
      </c>
      <c r="AI852">
        <f>IF(AI$621&gt;=$C852,MIN(-(SUM($F852:AH852)-$E852),($E852*(1-$D$623))*$D852),0)*AI$619</f>
        <v>0</v>
      </c>
      <c r="AJ852">
        <f>IF(AJ$621&gt;=$C852,MIN(-(SUM($F852:AI852)-$E852),($E852*(1-$D$623))*$D852),0)*AJ$619</f>
        <v>0</v>
      </c>
      <c r="AK852">
        <f>IF(AK$621&gt;=$C852,MIN(-(SUM($F852:AJ852)-$E852),($E852*(1-$D$623))*$D852),0)*AK$619</f>
        <v>0</v>
      </c>
      <c r="AL852">
        <f>IF(AL$621&gt;=$C852,MIN(-(SUM($F852:AK852)-$E852),($E852*(1-$D$623))*$D852),0)*AL$619</f>
        <v>0</v>
      </c>
      <c r="AM852">
        <f>IF(AM$621&gt;=$C852,MIN(-(SUM($F852:AL852)-$E852),($E852*(1-$D$623))*$D852),0)*AM$619</f>
        <v>0</v>
      </c>
      <c r="AN852">
        <f>IF(AN$621&gt;=$C852,MIN(-(SUM($F852:AM852)-$E852),($E852*(1-$D$623))*$D852),0)*AN$619</f>
        <v>0</v>
      </c>
    </row>
    <row r="853" spans="3:40" outlineLevel="4">
      <c r="C853">
        <v>3</v>
      </c>
      <c r="D853">
        <f>Inputs!$D$262</f>
        <v>0.1</v>
      </c>
      <c r="E853">
        <v>0</v>
      </c>
      <c r="F853" s="461">
        <f>E853*D848</f>
        <v>0</v>
      </c>
      <c r="G853">
        <f>IF(G$621&gt;=$C853,MIN(-(SUM(F853:$F853)-$E853),($E853*(1-$D$623))*$D853),0)*G$619</f>
        <v>0</v>
      </c>
      <c r="H853">
        <f>IF(H$621&gt;=$C853,MIN(-(SUM($F853:G853)-$E853),($E853*(1-$D$623))*$D853),0)*H$619</f>
        <v>0</v>
      </c>
      <c r="I853">
        <f>IF(I$621&gt;=$C853,MIN(-(SUM($F853:H853)-$E853),($E853*(1-$D$623))*$D853),0)*I$619</f>
        <v>0</v>
      </c>
      <c r="J853">
        <f>IF(J$621&gt;=$C853,MIN(-(SUM($F853:I853)-$E853),($E853*(1-$D$623))*$D853),0)*J$619</f>
        <v>0</v>
      </c>
      <c r="K853">
        <f>IF(K$621&gt;=$C853,MIN(-(SUM($F853:J853)-$E853),($E853*(1-$D$623))*$D853),0)*K$619</f>
        <v>0</v>
      </c>
      <c r="L853">
        <f>IF(L$621&gt;=$C853,MIN(-(SUM($F853:K853)-$E853),($E853*(1-$D$623))*$D853),0)*L$619</f>
        <v>0</v>
      </c>
      <c r="M853">
        <f>IF(M$621&gt;=$C853,MIN(-(SUM($F853:L853)-$E853),($E853*(1-$D$623))*$D853),0)*M$619</f>
        <v>0</v>
      </c>
      <c r="N853">
        <f>IF(N$621&gt;=$C853,MIN(-(SUM($F853:M853)-$E853),($E853*(1-$D$623))*$D853),0)*N$619</f>
        <v>0</v>
      </c>
      <c r="O853">
        <f>IF(O$621&gt;=$C853,MIN(-(SUM($F853:N853)-$E853),($E853*(1-$D$623))*$D853),0)*O$619</f>
        <v>0</v>
      </c>
      <c r="P853">
        <f>IF(P$621&gt;=$C853,MIN(-(SUM($F853:O853)-$E853),($E853*(1-$D$623))*$D853),0)*P$619</f>
        <v>0</v>
      </c>
      <c r="Q853">
        <f>IF(Q$621&gt;=$C853,MIN(-(SUM($F853:P853)-$E853),($E853*(1-$D$623))*$D853),0)*Q$619</f>
        <v>0</v>
      </c>
      <c r="R853">
        <f>IF(R$621&gt;=$C853,MIN(-(SUM($F853:Q853)-$E853),($E853*(1-$D$623))*$D853),0)*R$619</f>
        <v>0</v>
      </c>
      <c r="S853">
        <f>IF(S$621&gt;=$C853,MIN(-(SUM($F853:R853)-$E853),($E853*(1-$D$623))*$D853),0)*S$619</f>
        <v>0</v>
      </c>
      <c r="T853">
        <f>IF(T$621&gt;=$C853,MIN(-(SUM($F853:S853)-$E853),($E853*(1-$D$623))*$D853),0)*T$619</f>
        <v>0</v>
      </c>
      <c r="U853">
        <f>IF(U$621&gt;=$C853,MIN(-(SUM($F853:T853)-$E853),($E853*(1-$D$623))*$D853),0)*U$619</f>
        <v>0</v>
      </c>
      <c r="V853">
        <f>IF(V$621&gt;=$C853,MIN(-(SUM($F853:U853)-$E853),($E853*(1-$D$623))*$D853),0)*V$619</f>
        <v>0</v>
      </c>
      <c r="W853">
        <f>IF(W$621&gt;=$C853,MIN(-(SUM($F853:V853)-$E853),($E853*(1-$D$623))*$D853),0)*W$619</f>
        <v>0</v>
      </c>
      <c r="X853">
        <f>IF(X$621&gt;=$C853,MIN(-(SUM($F853:W853)-$E853),($E853*(1-$D$623))*$D853),0)*X$619</f>
        <v>0</v>
      </c>
      <c r="Y853">
        <f>IF(Y$621&gt;=$C853,MIN(-(SUM($F853:X853)-$E853),($E853*(1-$D$623))*$D853),0)*Y$619</f>
        <v>0</v>
      </c>
      <c r="Z853">
        <f>IF(Z$621&gt;=$C853,MIN(-(SUM($F853:Y853)-$E853),($E853*(1-$D$623))*$D853),0)*Z$619</f>
        <v>0</v>
      </c>
      <c r="AA853">
        <f>IF(AA$621&gt;=$C853,MIN(-(SUM($F853:Z853)-$E853),($E853*(1-$D$623))*$D853),0)*AA$619</f>
        <v>0</v>
      </c>
      <c r="AB853">
        <f>IF(AB$621&gt;=$C853,MIN(-(SUM($F853:AA853)-$E853),($E853*(1-$D$623))*$D853),0)*AB$619</f>
        <v>0</v>
      </c>
      <c r="AC853">
        <f>IF(AC$621&gt;=$C853,MIN(-(SUM($F853:AB853)-$E853),($E853*(1-$D$623))*$D853),0)*AC$619</f>
        <v>0</v>
      </c>
      <c r="AD853">
        <f>IF(AD$621&gt;=$C853,MIN(-(SUM($F853:AC853)-$E853),($E853*(1-$D$623))*$D853),0)*AD$619</f>
        <v>0</v>
      </c>
      <c r="AE853">
        <f>IF(AE$621&gt;=$C853,MIN(-(SUM($F853:AD853)-$E853),($E853*(1-$D$623))*$D853),0)*AE$619</f>
        <v>0</v>
      </c>
      <c r="AF853">
        <f>IF(AF$621&gt;=$C853,MIN(-(SUM($F853:AE853)-$E853),($E853*(1-$D$623))*$D853),0)*AF$619</f>
        <v>0</v>
      </c>
      <c r="AG853">
        <f>IF(AG$621&gt;=$C853,MIN(-(SUM($F853:AF853)-$E853),($E853*(1-$D$623))*$D853),0)*AG$619</f>
        <v>0</v>
      </c>
      <c r="AH853">
        <f>IF(AH$621&gt;=$C853,MIN(-(SUM($F853:AG853)-$E853),($E853*(1-$D$623))*$D853),0)*AH$619</f>
        <v>0</v>
      </c>
      <c r="AI853">
        <f>IF(AI$621&gt;=$C853,MIN(-(SUM($F853:AH853)-$E853),($E853*(1-$D$623))*$D853),0)*AI$619</f>
        <v>0</v>
      </c>
      <c r="AJ853">
        <f>IF(AJ$621&gt;=$C853,MIN(-(SUM($F853:AI853)-$E853),($E853*(1-$D$623))*$D853),0)*AJ$619</f>
        <v>0</v>
      </c>
      <c r="AK853">
        <f>IF(AK$621&gt;=$C853,MIN(-(SUM($F853:AJ853)-$E853),($E853*(1-$D$623))*$D853),0)*AK$619</f>
        <v>0</v>
      </c>
      <c r="AL853">
        <f>IF(AL$621&gt;=$C853,MIN(-(SUM($F853:AK853)-$E853),($E853*(1-$D$623))*$D853),0)*AL$619</f>
        <v>0</v>
      </c>
      <c r="AM853">
        <f>IF(AM$621&gt;=$C853,MIN(-(SUM($F853:AL853)-$E853),($E853*(1-$D$623))*$D853),0)*AM$619</f>
        <v>0</v>
      </c>
      <c r="AN853">
        <f>IF(AN$621&gt;=$C853,MIN(-(SUM($F853:AM853)-$E853),($E853*(1-$D$623))*$D853),0)*AN$619</f>
        <v>0</v>
      </c>
    </row>
    <row r="854" spans="3:40" outlineLevel="4">
      <c r="C854">
        <v>4</v>
      </c>
      <c r="D854">
        <f>Inputs!$D$262</f>
        <v>0.1</v>
      </c>
      <c r="E854">
        <v>0</v>
      </c>
      <c r="F854" s="461">
        <f>E854*D848</f>
        <v>0</v>
      </c>
      <c r="G854">
        <f>IF(G$621&gt;=$C854,MIN(-(SUM(F854:$F854)-$E854),($E854*(1-$D$623))*$D854),0)*G$619</f>
        <v>0</v>
      </c>
      <c r="H854">
        <f>IF(H$621&gt;=$C854,MIN(-(SUM($F854:G854)-$E854),($E854*(1-$D$623))*$D854),0)*H$619</f>
        <v>0</v>
      </c>
      <c r="I854">
        <f>IF(I$621&gt;=$C854,MIN(-(SUM($F854:H854)-$E854),($E854*(1-$D$623))*$D854),0)*I$619</f>
        <v>0</v>
      </c>
      <c r="J854">
        <f>IF(J$621&gt;=$C854,MIN(-(SUM($F854:I854)-$E854),($E854*(1-$D$623))*$D854),0)*J$619</f>
        <v>0</v>
      </c>
      <c r="K854">
        <f>IF(K$621&gt;=$C854,MIN(-(SUM($F854:J854)-$E854),($E854*(1-$D$623))*$D854),0)*K$619</f>
        <v>0</v>
      </c>
      <c r="L854">
        <f>IF(L$621&gt;=$C854,MIN(-(SUM($F854:K854)-$E854),($E854*(1-$D$623))*$D854),0)*L$619</f>
        <v>0</v>
      </c>
      <c r="M854">
        <f>IF(M$621&gt;=$C854,MIN(-(SUM($F854:L854)-$E854),($E854*(1-$D$623))*$D854),0)*M$619</f>
        <v>0</v>
      </c>
      <c r="N854">
        <f>IF(N$621&gt;=$C854,MIN(-(SUM($F854:M854)-$E854),($E854*(1-$D$623))*$D854),0)*N$619</f>
        <v>0</v>
      </c>
      <c r="O854">
        <f>IF(O$621&gt;=$C854,MIN(-(SUM($F854:N854)-$E854),($E854*(1-$D$623))*$D854),0)*O$619</f>
        <v>0</v>
      </c>
      <c r="P854">
        <f>IF(P$621&gt;=$C854,MIN(-(SUM($F854:O854)-$E854),($E854*(1-$D$623))*$D854),0)*P$619</f>
        <v>0</v>
      </c>
      <c r="Q854">
        <f>IF(Q$621&gt;=$C854,MIN(-(SUM($F854:P854)-$E854),($E854*(1-$D$623))*$D854),0)*Q$619</f>
        <v>0</v>
      </c>
      <c r="R854">
        <f>IF(R$621&gt;=$C854,MIN(-(SUM($F854:Q854)-$E854),($E854*(1-$D$623))*$D854),0)*R$619</f>
        <v>0</v>
      </c>
      <c r="S854">
        <f>IF(S$621&gt;=$C854,MIN(-(SUM($F854:R854)-$E854),($E854*(1-$D$623))*$D854),0)*S$619</f>
        <v>0</v>
      </c>
      <c r="T854">
        <f>IF(T$621&gt;=$C854,MIN(-(SUM($F854:S854)-$E854),($E854*(1-$D$623))*$D854),0)*T$619</f>
        <v>0</v>
      </c>
      <c r="U854">
        <f>IF(U$621&gt;=$C854,MIN(-(SUM($F854:T854)-$E854),($E854*(1-$D$623))*$D854),0)*U$619</f>
        <v>0</v>
      </c>
      <c r="V854">
        <f>IF(V$621&gt;=$C854,MIN(-(SUM($F854:U854)-$E854),($E854*(1-$D$623))*$D854),0)*V$619</f>
        <v>0</v>
      </c>
      <c r="W854">
        <f>IF(W$621&gt;=$C854,MIN(-(SUM($F854:V854)-$E854),($E854*(1-$D$623))*$D854),0)*W$619</f>
        <v>0</v>
      </c>
      <c r="X854">
        <f>IF(X$621&gt;=$C854,MIN(-(SUM($F854:W854)-$E854),($E854*(1-$D$623))*$D854),0)*X$619</f>
        <v>0</v>
      </c>
      <c r="Y854">
        <f>IF(Y$621&gt;=$C854,MIN(-(SUM($F854:X854)-$E854),($E854*(1-$D$623))*$D854),0)*Y$619</f>
        <v>0</v>
      </c>
      <c r="Z854">
        <f>IF(Z$621&gt;=$C854,MIN(-(SUM($F854:Y854)-$E854),($E854*(1-$D$623))*$D854),0)*Z$619</f>
        <v>0</v>
      </c>
      <c r="AA854">
        <f>IF(AA$621&gt;=$C854,MIN(-(SUM($F854:Z854)-$E854),($E854*(1-$D$623))*$D854),0)*AA$619</f>
        <v>0</v>
      </c>
      <c r="AB854">
        <f>IF(AB$621&gt;=$C854,MIN(-(SUM($F854:AA854)-$E854),($E854*(1-$D$623))*$D854),0)*AB$619</f>
        <v>0</v>
      </c>
      <c r="AC854">
        <f>IF(AC$621&gt;=$C854,MIN(-(SUM($F854:AB854)-$E854),($E854*(1-$D$623))*$D854),0)*AC$619</f>
        <v>0</v>
      </c>
      <c r="AD854">
        <f>IF(AD$621&gt;=$C854,MIN(-(SUM($F854:AC854)-$E854),($E854*(1-$D$623))*$D854),0)*AD$619</f>
        <v>0</v>
      </c>
      <c r="AE854">
        <f>IF(AE$621&gt;=$C854,MIN(-(SUM($F854:AD854)-$E854),($E854*(1-$D$623))*$D854),0)*AE$619</f>
        <v>0</v>
      </c>
      <c r="AF854">
        <f>IF(AF$621&gt;=$C854,MIN(-(SUM($F854:AE854)-$E854),($E854*(1-$D$623))*$D854),0)*AF$619</f>
        <v>0</v>
      </c>
      <c r="AG854">
        <f>IF(AG$621&gt;=$C854,MIN(-(SUM($F854:AF854)-$E854),($E854*(1-$D$623))*$D854),0)*AG$619</f>
        <v>0</v>
      </c>
      <c r="AH854">
        <f>IF(AH$621&gt;=$C854,MIN(-(SUM($F854:AG854)-$E854),($E854*(1-$D$623))*$D854),0)*AH$619</f>
        <v>0</v>
      </c>
      <c r="AI854">
        <f>IF(AI$621&gt;=$C854,MIN(-(SUM($F854:AH854)-$E854),($E854*(1-$D$623))*$D854),0)*AI$619</f>
        <v>0</v>
      </c>
      <c r="AJ854">
        <f>IF(AJ$621&gt;=$C854,MIN(-(SUM($F854:AI854)-$E854),($E854*(1-$D$623))*$D854),0)*AJ$619</f>
        <v>0</v>
      </c>
      <c r="AK854">
        <f>IF(AK$621&gt;=$C854,MIN(-(SUM($F854:AJ854)-$E854),($E854*(1-$D$623))*$D854),0)*AK$619</f>
        <v>0</v>
      </c>
      <c r="AL854">
        <f>IF(AL$621&gt;=$C854,MIN(-(SUM($F854:AK854)-$E854),($E854*(1-$D$623))*$D854),0)*AL$619</f>
        <v>0</v>
      </c>
      <c r="AM854">
        <f>IF(AM$621&gt;=$C854,MIN(-(SUM($F854:AL854)-$E854),($E854*(1-$D$623))*$D854),0)*AM$619</f>
        <v>0</v>
      </c>
      <c r="AN854">
        <f>IF(AN$621&gt;=$C854,MIN(-(SUM($F854:AM854)-$E854),($E854*(1-$D$623))*$D854),0)*AN$619</f>
        <v>0</v>
      </c>
    </row>
    <row r="855" spans="3:40" outlineLevel="4">
      <c r="C855">
        <v>5</v>
      </c>
      <c r="D855">
        <f>Inputs!$D$262</f>
        <v>0.1</v>
      </c>
      <c r="E855">
        <v>0</v>
      </c>
      <c r="F855" s="461">
        <f>E855*D848</f>
        <v>0</v>
      </c>
      <c r="G855">
        <f>IF(G$621&gt;=$C855,MIN(-(SUM(F855:$F855)-$E855),($E855*(1-$D$623))*$D855),0)*G$619</f>
        <v>0</v>
      </c>
      <c r="H855">
        <f>IF(H$621&gt;=$C855,MIN(-(SUM($F855:G855)-$E855),($E855*(1-$D$623))*$D855),0)*H$619</f>
        <v>0</v>
      </c>
      <c r="I855">
        <f>IF(I$621&gt;=$C855,MIN(-(SUM($F855:H855)-$E855),($E855*(1-$D$623))*$D855),0)*I$619</f>
        <v>0</v>
      </c>
      <c r="J855">
        <f>IF(J$621&gt;=$C855,MIN(-(SUM($F855:I855)-$E855),($E855*(1-$D$623))*$D855),0)*J$619</f>
        <v>0</v>
      </c>
      <c r="K855">
        <f>IF(K$621&gt;=$C855,MIN(-(SUM($F855:J855)-$E855),($E855*(1-$D$623))*$D855),0)*K$619</f>
        <v>0</v>
      </c>
      <c r="L855">
        <f>IF(L$621&gt;=$C855,MIN(-(SUM($F855:K855)-$E855),($E855*(1-$D$623))*$D855),0)*L$619</f>
        <v>0</v>
      </c>
      <c r="M855">
        <f>IF(M$621&gt;=$C855,MIN(-(SUM($F855:L855)-$E855),($E855*(1-$D$623))*$D855),0)*M$619</f>
        <v>0</v>
      </c>
      <c r="N855">
        <f>IF(N$621&gt;=$C855,MIN(-(SUM($F855:M855)-$E855),($E855*(1-$D$623))*$D855),0)*N$619</f>
        <v>0</v>
      </c>
      <c r="O855">
        <f>IF(O$621&gt;=$C855,MIN(-(SUM($F855:N855)-$E855),($E855*(1-$D$623))*$D855),0)*O$619</f>
        <v>0</v>
      </c>
      <c r="P855">
        <f>IF(P$621&gt;=$C855,MIN(-(SUM($F855:O855)-$E855),($E855*(1-$D$623))*$D855),0)*P$619</f>
        <v>0</v>
      </c>
      <c r="Q855">
        <f>IF(Q$621&gt;=$C855,MIN(-(SUM($F855:P855)-$E855),($E855*(1-$D$623))*$D855),0)*Q$619</f>
        <v>0</v>
      </c>
      <c r="R855">
        <f>IF(R$621&gt;=$C855,MIN(-(SUM($F855:Q855)-$E855),($E855*(1-$D$623))*$D855),0)*R$619</f>
        <v>0</v>
      </c>
      <c r="S855">
        <f>IF(S$621&gt;=$C855,MIN(-(SUM($F855:R855)-$E855),($E855*(1-$D$623))*$D855),0)*S$619</f>
        <v>0</v>
      </c>
      <c r="T855">
        <f>IF(T$621&gt;=$C855,MIN(-(SUM($F855:S855)-$E855),($E855*(1-$D$623))*$D855),0)*T$619</f>
        <v>0</v>
      </c>
      <c r="U855">
        <f>IF(U$621&gt;=$C855,MIN(-(SUM($F855:T855)-$E855),($E855*(1-$D$623))*$D855),0)*U$619</f>
        <v>0</v>
      </c>
      <c r="V855">
        <f>IF(V$621&gt;=$C855,MIN(-(SUM($F855:U855)-$E855),($E855*(1-$D$623))*$D855),0)*V$619</f>
        <v>0</v>
      </c>
      <c r="W855">
        <f>IF(W$621&gt;=$C855,MIN(-(SUM($F855:V855)-$E855),($E855*(1-$D$623))*$D855),0)*W$619</f>
        <v>0</v>
      </c>
      <c r="X855">
        <f>IF(X$621&gt;=$C855,MIN(-(SUM($F855:W855)-$E855),($E855*(1-$D$623))*$D855),0)*X$619</f>
        <v>0</v>
      </c>
      <c r="Y855">
        <f>IF(Y$621&gt;=$C855,MIN(-(SUM($F855:X855)-$E855),($E855*(1-$D$623))*$D855),0)*Y$619</f>
        <v>0</v>
      </c>
      <c r="Z855">
        <f>IF(Z$621&gt;=$C855,MIN(-(SUM($F855:Y855)-$E855),($E855*(1-$D$623))*$D855),0)*Z$619</f>
        <v>0</v>
      </c>
      <c r="AA855">
        <f>IF(AA$621&gt;=$C855,MIN(-(SUM($F855:Z855)-$E855),($E855*(1-$D$623))*$D855),0)*AA$619</f>
        <v>0</v>
      </c>
      <c r="AB855">
        <f>IF(AB$621&gt;=$C855,MIN(-(SUM($F855:AA855)-$E855),($E855*(1-$D$623))*$D855),0)*AB$619</f>
        <v>0</v>
      </c>
      <c r="AC855">
        <f>IF(AC$621&gt;=$C855,MIN(-(SUM($F855:AB855)-$E855),($E855*(1-$D$623))*$D855),0)*AC$619</f>
        <v>0</v>
      </c>
      <c r="AD855">
        <f>IF(AD$621&gt;=$C855,MIN(-(SUM($F855:AC855)-$E855),($E855*(1-$D$623))*$D855),0)*AD$619</f>
        <v>0</v>
      </c>
      <c r="AE855">
        <f>IF(AE$621&gt;=$C855,MIN(-(SUM($F855:AD855)-$E855),($E855*(1-$D$623))*$D855),0)*AE$619</f>
        <v>0</v>
      </c>
      <c r="AF855">
        <f>IF(AF$621&gt;=$C855,MIN(-(SUM($F855:AE855)-$E855),($E855*(1-$D$623))*$D855),0)*AF$619</f>
        <v>0</v>
      </c>
      <c r="AG855">
        <f>IF(AG$621&gt;=$C855,MIN(-(SUM($F855:AF855)-$E855),($E855*(1-$D$623))*$D855),0)*AG$619</f>
        <v>0</v>
      </c>
      <c r="AH855">
        <f>IF(AH$621&gt;=$C855,MIN(-(SUM($F855:AG855)-$E855),($E855*(1-$D$623))*$D855),0)*AH$619</f>
        <v>0</v>
      </c>
      <c r="AI855">
        <f>IF(AI$621&gt;=$C855,MIN(-(SUM($F855:AH855)-$E855),($E855*(1-$D$623))*$D855),0)*AI$619</f>
        <v>0</v>
      </c>
      <c r="AJ855">
        <f>IF(AJ$621&gt;=$C855,MIN(-(SUM($F855:AI855)-$E855),($E855*(1-$D$623))*$D855),0)*AJ$619</f>
        <v>0</v>
      </c>
      <c r="AK855">
        <f>IF(AK$621&gt;=$C855,MIN(-(SUM($F855:AJ855)-$E855),($E855*(1-$D$623))*$D855),0)*AK$619</f>
        <v>0</v>
      </c>
      <c r="AL855">
        <f>IF(AL$621&gt;=$C855,MIN(-(SUM($F855:AK855)-$E855),($E855*(1-$D$623))*$D855),0)*AL$619</f>
        <v>0</v>
      </c>
      <c r="AM855">
        <f>IF(AM$621&gt;=$C855,MIN(-(SUM($F855:AL855)-$E855),($E855*(1-$D$623))*$D855),0)*AM$619</f>
        <v>0</v>
      </c>
      <c r="AN855">
        <f>IF(AN$621&gt;=$C855,MIN(-(SUM($F855:AM855)-$E855),($E855*(1-$D$623))*$D855),0)*AN$619</f>
        <v>0</v>
      </c>
    </row>
    <row r="856" spans="3:40" outlineLevel="4">
      <c r="C856">
        <v>6</v>
      </c>
      <c r="D856">
        <f>Inputs!$D$262</f>
        <v>0.1</v>
      </c>
      <c r="E856">
        <v>0</v>
      </c>
      <c r="F856" s="461">
        <f>E856*D848</f>
        <v>0</v>
      </c>
      <c r="G856">
        <f>IF(G$621&gt;=$C856,MIN(-(SUM(F856:$F856)-$E856),($E856*(1-$D$623))*$D856),0)*G$619</f>
        <v>0</v>
      </c>
      <c r="H856">
        <f>IF(H$621&gt;=$C856,MIN(-(SUM($F856:G856)-$E856),($E856*(1-$D$623))*$D856),0)*H$619</f>
        <v>0</v>
      </c>
      <c r="I856">
        <f>IF(I$621&gt;=$C856,MIN(-(SUM($F856:H856)-$E856),($E856*(1-$D$623))*$D856),0)*I$619</f>
        <v>0</v>
      </c>
      <c r="J856">
        <f>IF(J$621&gt;=$C856,MIN(-(SUM($F856:I856)-$E856),($E856*(1-$D$623))*$D856),0)*J$619</f>
        <v>0</v>
      </c>
      <c r="K856">
        <f>IF(K$621&gt;=$C856,MIN(-(SUM($F856:J856)-$E856),($E856*(1-$D$623))*$D856),0)*K$619</f>
        <v>0</v>
      </c>
      <c r="L856">
        <f>IF(L$621&gt;=$C856,MIN(-(SUM($F856:K856)-$E856),($E856*(1-$D$623))*$D856),0)*L$619</f>
        <v>0</v>
      </c>
      <c r="M856">
        <f>IF(M$621&gt;=$C856,MIN(-(SUM($F856:L856)-$E856),($E856*(1-$D$623))*$D856),0)*M$619</f>
        <v>0</v>
      </c>
      <c r="N856">
        <f>IF(N$621&gt;=$C856,MIN(-(SUM($F856:M856)-$E856),($E856*(1-$D$623))*$D856),0)*N$619</f>
        <v>0</v>
      </c>
      <c r="O856">
        <f>IF(O$621&gt;=$C856,MIN(-(SUM($F856:N856)-$E856),($E856*(1-$D$623))*$D856),0)*O$619</f>
        <v>0</v>
      </c>
      <c r="P856">
        <f>IF(P$621&gt;=$C856,MIN(-(SUM($F856:O856)-$E856),($E856*(1-$D$623))*$D856),0)*P$619</f>
        <v>0</v>
      </c>
      <c r="Q856">
        <f>IF(Q$621&gt;=$C856,MIN(-(SUM($F856:P856)-$E856),($E856*(1-$D$623))*$D856),0)*Q$619</f>
        <v>0</v>
      </c>
      <c r="R856">
        <f>IF(R$621&gt;=$C856,MIN(-(SUM($F856:Q856)-$E856),($E856*(1-$D$623))*$D856),0)*R$619</f>
        <v>0</v>
      </c>
      <c r="S856">
        <f>IF(S$621&gt;=$C856,MIN(-(SUM($F856:R856)-$E856),($E856*(1-$D$623))*$D856),0)*S$619</f>
        <v>0</v>
      </c>
      <c r="T856">
        <f>IF(T$621&gt;=$C856,MIN(-(SUM($F856:S856)-$E856),($E856*(1-$D$623))*$D856),0)*T$619</f>
        <v>0</v>
      </c>
      <c r="U856">
        <f>IF(U$621&gt;=$C856,MIN(-(SUM($F856:T856)-$E856),($E856*(1-$D$623))*$D856),0)*U$619</f>
        <v>0</v>
      </c>
      <c r="V856">
        <f>IF(V$621&gt;=$C856,MIN(-(SUM($F856:U856)-$E856),($E856*(1-$D$623))*$D856),0)*V$619</f>
        <v>0</v>
      </c>
      <c r="W856">
        <f>IF(W$621&gt;=$C856,MIN(-(SUM($F856:V856)-$E856),($E856*(1-$D$623))*$D856),0)*W$619</f>
        <v>0</v>
      </c>
      <c r="X856">
        <f>IF(X$621&gt;=$C856,MIN(-(SUM($F856:W856)-$E856),($E856*(1-$D$623))*$D856),0)*X$619</f>
        <v>0</v>
      </c>
      <c r="Y856">
        <f>IF(Y$621&gt;=$C856,MIN(-(SUM($F856:X856)-$E856),($E856*(1-$D$623))*$D856),0)*Y$619</f>
        <v>0</v>
      </c>
      <c r="Z856">
        <f>IF(Z$621&gt;=$C856,MIN(-(SUM($F856:Y856)-$E856),($E856*(1-$D$623))*$D856),0)*Z$619</f>
        <v>0</v>
      </c>
      <c r="AA856">
        <f>IF(AA$621&gt;=$C856,MIN(-(SUM($F856:Z856)-$E856),($E856*(1-$D$623))*$D856),0)*AA$619</f>
        <v>0</v>
      </c>
      <c r="AB856">
        <f>IF(AB$621&gt;=$C856,MIN(-(SUM($F856:AA856)-$E856),($E856*(1-$D$623))*$D856),0)*AB$619</f>
        <v>0</v>
      </c>
      <c r="AC856">
        <f>IF(AC$621&gt;=$C856,MIN(-(SUM($F856:AB856)-$E856),($E856*(1-$D$623))*$D856),0)*AC$619</f>
        <v>0</v>
      </c>
      <c r="AD856">
        <f>IF(AD$621&gt;=$C856,MIN(-(SUM($F856:AC856)-$E856),($E856*(1-$D$623))*$D856),0)*AD$619</f>
        <v>0</v>
      </c>
      <c r="AE856">
        <f>IF(AE$621&gt;=$C856,MIN(-(SUM($F856:AD856)-$E856),($E856*(1-$D$623))*$D856),0)*AE$619</f>
        <v>0</v>
      </c>
      <c r="AF856">
        <f>IF(AF$621&gt;=$C856,MIN(-(SUM($F856:AE856)-$E856),($E856*(1-$D$623))*$D856),0)*AF$619</f>
        <v>0</v>
      </c>
      <c r="AG856">
        <f>IF(AG$621&gt;=$C856,MIN(-(SUM($F856:AF856)-$E856),($E856*(1-$D$623))*$D856),0)*AG$619</f>
        <v>0</v>
      </c>
      <c r="AH856">
        <f>IF(AH$621&gt;=$C856,MIN(-(SUM($F856:AG856)-$E856),($E856*(1-$D$623))*$D856),0)*AH$619</f>
        <v>0</v>
      </c>
      <c r="AI856">
        <f>IF(AI$621&gt;=$C856,MIN(-(SUM($F856:AH856)-$E856),($E856*(1-$D$623))*$D856),0)*AI$619</f>
        <v>0</v>
      </c>
      <c r="AJ856">
        <f>IF(AJ$621&gt;=$C856,MIN(-(SUM($F856:AI856)-$E856),($E856*(1-$D$623))*$D856),0)*AJ$619</f>
        <v>0</v>
      </c>
      <c r="AK856">
        <f>IF(AK$621&gt;=$C856,MIN(-(SUM($F856:AJ856)-$E856),($E856*(1-$D$623))*$D856),0)*AK$619</f>
        <v>0</v>
      </c>
      <c r="AL856">
        <f>IF(AL$621&gt;=$C856,MIN(-(SUM($F856:AK856)-$E856),($E856*(1-$D$623))*$D856),0)*AL$619</f>
        <v>0</v>
      </c>
      <c r="AM856">
        <f>IF(AM$621&gt;=$C856,MIN(-(SUM($F856:AL856)-$E856),($E856*(1-$D$623))*$D856),0)*AM$619</f>
        <v>0</v>
      </c>
      <c r="AN856">
        <f>IF(AN$621&gt;=$C856,MIN(-(SUM($F856:AM856)-$E856),($E856*(1-$D$623))*$D856),0)*AN$619</f>
        <v>0</v>
      </c>
    </row>
    <row r="857" spans="3:40" outlineLevel="4">
      <c r="C857">
        <v>7</v>
      </c>
      <c r="D857">
        <f>Inputs!$D$262</f>
        <v>0.1</v>
      </c>
      <c r="E857">
        <v>0</v>
      </c>
      <c r="F857" s="461">
        <f>E857*D848</f>
        <v>0</v>
      </c>
      <c r="G857">
        <f>IF(G$621&gt;=$C857,MIN(-(SUM(F857:$F857)-$E857),($E857*(1-$D$623))*$D857),0)*G$619</f>
        <v>0</v>
      </c>
      <c r="H857">
        <f>IF(H$621&gt;=$C857,MIN(-(SUM($F857:G857)-$E857),($E857*(1-$D$623))*$D857),0)*H$619</f>
        <v>0</v>
      </c>
      <c r="I857">
        <f>IF(I$621&gt;=$C857,MIN(-(SUM($F857:H857)-$E857),($E857*(1-$D$623))*$D857),0)*I$619</f>
        <v>0</v>
      </c>
      <c r="J857">
        <f>IF(J$621&gt;=$C857,MIN(-(SUM($F857:I857)-$E857),($E857*(1-$D$623))*$D857),0)*J$619</f>
        <v>0</v>
      </c>
      <c r="K857">
        <f>IF(K$621&gt;=$C857,MIN(-(SUM($F857:J857)-$E857),($E857*(1-$D$623))*$D857),0)*K$619</f>
        <v>0</v>
      </c>
      <c r="L857">
        <f>IF(L$621&gt;=$C857,MIN(-(SUM($F857:K857)-$E857),($E857*(1-$D$623))*$D857),0)*L$619</f>
        <v>0</v>
      </c>
      <c r="M857">
        <f>IF(M$621&gt;=$C857,MIN(-(SUM($F857:L857)-$E857),($E857*(1-$D$623))*$D857),0)*M$619</f>
        <v>0</v>
      </c>
      <c r="N857">
        <f>IF(N$621&gt;=$C857,MIN(-(SUM($F857:M857)-$E857),($E857*(1-$D$623))*$D857),0)*N$619</f>
        <v>0</v>
      </c>
      <c r="O857">
        <f>IF(O$621&gt;=$C857,MIN(-(SUM($F857:N857)-$E857),($E857*(1-$D$623))*$D857),0)*O$619</f>
        <v>0</v>
      </c>
      <c r="P857">
        <f>IF(P$621&gt;=$C857,MIN(-(SUM($F857:O857)-$E857),($E857*(1-$D$623))*$D857),0)*P$619</f>
        <v>0</v>
      </c>
      <c r="Q857">
        <f>IF(Q$621&gt;=$C857,MIN(-(SUM($F857:P857)-$E857),($E857*(1-$D$623))*$D857),0)*Q$619</f>
        <v>0</v>
      </c>
      <c r="R857">
        <f>IF(R$621&gt;=$C857,MIN(-(SUM($F857:Q857)-$E857),($E857*(1-$D$623))*$D857),0)*R$619</f>
        <v>0</v>
      </c>
      <c r="S857">
        <f>IF(S$621&gt;=$C857,MIN(-(SUM($F857:R857)-$E857),($E857*(1-$D$623))*$D857),0)*S$619</f>
        <v>0</v>
      </c>
      <c r="T857">
        <f>IF(T$621&gt;=$C857,MIN(-(SUM($F857:S857)-$E857),($E857*(1-$D$623))*$D857),0)*T$619</f>
        <v>0</v>
      </c>
      <c r="U857">
        <f>IF(U$621&gt;=$C857,MIN(-(SUM($F857:T857)-$E857),($E857*(1-$D$623))*$D857),0)*U$619</f>
        <v>0</v>
      </c>
      <c r="V857">
        <f>IF(V$621&gt;=$C857,MIN(-(SUM($F857:U857)-$E857),($E857*(1-$D$623))*$D857),0)*V$619</f>
        <v>0</v>
      </c>
      <c r="W857">
        <f>IF(W$621&gt;=$C857,MIN(-(SUM($F857:V857)-$E857),($E857*(1-$D$623))*$D857),0)*W$619</f>
        <v>0</v>
      </c>
      <c r="X857">
        <f>IF(X$621&gt;=$C857,MIN(-(SUM($F857:W857)-$E857),($E857*(1-$D$623))*$D857),0)*X$619</f>
        <v>0</v>
      </c>
      <c r="Y857">
        <f>IF(Y$621&gt;=$C857,MIN(-(SUM($F857:X857)-$E857),($E857*(1-$D$623))*$D857),0)*Y$619</f>
        <v>0</v>
      </c>
      <c r="Z857">
        <f>IF(Z$621&gt;=$C857,MIN(-(SUM($F857:Y857)-$E857),($E857*(1-$D$623))*$D857),0)*Z$619</f>
        <v>0</v>
      </c>
      <c r="AA857">
        <f>IF(AA$621&gt;=$C857,MIN(-(SUM($F857:Z857)-$E857),($E857*(1-$D$623))*$D857),0)*AA$619</f>
        <v>0</v>
      </c>
      <c r="AB857">
        <f>IF(AB$621&gt;=$C857,MIN(-(SUM($F857:AA857)-$E857),($E857*(1-$D$623))*$D857),0)*AB$619</f>
        <v>0</v>
      </c>
      <c r="AC857">
        <f>IF(AC$621&gt;=$C857,MIN(-(SUM($F857:AB857)-$E857),($E857*(1-$D$623))*$D857),0)*AC$619</f>
        <v>0</v>
      </c>
      <c r="AD857">
        <f>IF(AD$621&gt;=$C857,MIN(-(SUM($F857:AC857)-$E857),($E857*(1-$D$623))*$D857),0)*AD$619</f>
        <v>0</v>
      </c>
      <c r="AE857">
        <f>IF(AE$621&gt;=$C857,MIN(-(SUM($F857:AD857)-$E857),($E857*(1-$D$623))*$D857),0)*AE$619</f>
        <v>0</v>
      </c>
      <c r="AF857">
        <f>IF(AF$621&gt;=$C857,MIN(-(SUM($F857:AE857)-$E857),($E857*(1-$D$623))*$D857),0)*AF$619</f>
        <v>0</v>
      </c>
      <c r="AG857">
        <f>IF(AG$621&gt;=$C857,MIN(-(SUM($F857:AF857)-$E857),($E857*(1-$D$623))*$D857),0)*AG$619</f>
        <v>0</v>
      </c>
      <c r="AH857">
        <f>IF(AH$621&gt;=$C857,MIN(-(SUM($F857:AG857)-$E857),($E857*(1-$D$623))*$D857),0)*AH$619</f>
        <v>0</v>
      </c>
      <c r="AI857">
        <f>IF(AI$621&gt;=$C857,MIN(-(SUM($F857:AH857)-$E857),($E857*(1-$D$623))*$D857),0)*AI$619</f>
        <v>0</v>
      </c>
      <c r="AJ857">
        <f>IF(AJ$621&gt;=$C857,MIN(-(SUM($F857:AI857)-$E857),($E857*(1-$D$623))*$D857),0)*AJ$619</f>
        <v>0</v>
      </c>
      <c r="AK857">
        <f>IF(AK$621&gt;=$C857,MIN(-(SUM($F857:AJ857)-$E857),($E857*(1-$D$623))*$D857),0)*AK$619</f>
        <v>0</v>
      </c>
      <c r="AL857">
        <f>IF(AL$621&gt;=$C857,MIN(-(SUM($F857:AK857)-$E857),($E857*(1-$D$623))*$D857),0)*AL$619</f>
        <v>0</v>
      </c>
      <c r="AM857">
        <f>IF(AM$621&gt;=$C857,MIN(-(SUM($F857:AL857)-$E857),($E857*(1-$D$623))*$D857),0)*AM$619</f>
        <v>0</v>
      </c>
      <c r="AN857">
        <f>IF(AN$621&gt;=$C857,MIN(-(SUM($F857:AM857)-$E857),($E857*(1-$D$623))*$D857),0)*AN$619</f>
        <v>0</v>
      </c>
    </row>
    <row r="858" spans="3:40" outlineLevel="4">
      <c r="C858">
        <v>8</v>
      </c>
      <c r="D858">
        <f>Inputs!$D$262</f>
        <v>0.1</v>
      </c>
      <c r="E858">
        <v>0</v>
      </c>
      <c r="F858" s="461">
        <f>E858*D848</f>
        <v>0</v>
      </c>
      <c r="G858">
        <f>IF(G$621&gt;=$C858,MIN(-(SUM(F858:$F858)-$E858),($E858*(1-$D$623))*$D858),0)*G$619</f>
        <v>0</v>
      </c>
      <c r="H858">
        <f>IF(H$621&gt;=$C858,MIN(-(SUM($F858:G858)-$E858),($E858*(1-$D$623))*$D858),0)*H$619</f>
        <v>0</v>
      </c>
      <c r="I858">
        <f>IF(I$621&gt;=$C858,MIN(-(SUM($F858:H858)-$E858),($E858*(1-$D$623))*$D858),0)*I$619</f>
        <v>0</v>
      </c>
      <c r="J858">
        <f>IF(J$621&gt;=$C858,MIN(-(SUM($F858:I858)-$E858),($E858*(1-$D$623))*$D858),0)*J$619</f>
        <v>0</v>
      </c>
      <c r="K858">
        <f>IF(K$621&gt;=$C858,MIN(-(SUM($F858:J858)-$E858),($E858*(1-$D$623))*$D858),0)*K$619</f>
        <v>0</v>
      </c>
      <c r="L858">
        <f>IF(L$621&gt;=$C858,MIN(-(SUM($F858:K858)-$E858),($E858*(1-$D$623))*$D858),0)*L$619</f>
        <v>0</v>
      </c>
      <c r="M858">
        <f>IF(M$621&gt;=$C858,MIN(-(SUM($F858:L858)-$E858),($E858*(1-$D$623))*$D858),0)*M$619</f>
        <v>0</v>
      </c>
      <c r="N858">
        <f>IF(N$621&gt;=$C858,MIN(-(SUM($F858:M858)-$E858),($E858*(1-$D$623))*$D858),0)*N$619</f>
        <v>0</v>
      </c>
      <c r="O858">
        <f>IF(O$621&gt;=$C858,MIN(-(SUM($F858:N858)-$E858),($E858*(1-$D$623))*$D858),0)*O$619</f>
        <v>0</v>
      </c>
      <c r="P858">
        <f>IF(P$621&gt;=$C858,MIN(-(SUM($F858:O858)-$E858),($E858*(1-$D$623))*$D858),0)*P$619</f>
        <v>0</v>
      </c>
      <c r="Q858">
        <f>IF(Q$621&gt;=$C858,MIN(-(SUM($F858:P858)-$E858),($E858*(1-$D$623))*$D858),0)*Q$619</f>
        <v>0</v>
      </c>
      <c r="R858">
        <f>IF(R$621&gt;=$C858,MIN(-(SUM($F858:Q858)-$E858),($E858*(1-$D$623))*$D858),0)*R$619</f>
        <v>0</v>
      </c>
      <c r="S858">
        <f>IF(S$621&gt;=$C858,MIN(-(SUM($F858:R858)-$E858),($E858*(1-$D$623))*$D858),0)*S$619</f>
        <v>0</v>
      </c>
      <c r="T858">
        <f>IF(T$621&gt;=$C858,MIN(-(SUM($F858:S858)-$E858),($E858*(1-$D$623))*$D858),0)*T$619</f>
        <v>0</v>
      </c>
      <c r="U858">
        <f>IF(U$621&gt;=$C858,MIN(-(SUM($F858:T858)-$E858),($E858*(1-$D$623))*$D858),0)*U$619</f>
        <v>0</v>
      </c>
      <c r="V858">
        <f>IF(V$621&gt;=$C858,MIN(-(SUM($F858:U858)-$E858),($E858*(1-$D$623))*$D858),0)*V$619</f>
        <v>0</v>
      </c>
      <c r="W858">
        <f>IF(W$621&gt;=$C858,MIN(-(SUM($F858:V858)-$E858),($E858*(1-$D$623))*$D858),0)*W$619</f>
        <v>0</v>
      </c>
      <c r="X858">
        <f>IF(X$621&gt;=$C858,MIN(-(SUM($F858:W858)-$E858),($E858*(1-$D$623))*$D858),0)*X$619</f>
        <v>0</v>
      </c>
      <c r="Y858">
        <f>IF(Y$621&gt;=$C858,MIN(-(SUM($F858:X858)-$E858),($E858*(1-$D$623))*$D858),0)*Y$619</f>
        <v>0</v>
      </c>
      <c r="Z858">
        <f>IF(Z$621&gt;=$C858,MIN(-(SUM($F858:Y858)-$E858),($E858*(1-$D$623))*$D858),0)*Z$619</f>
        <v>0</v>
      </c>
      <c r="AA858">
        <f>IF(AA$621&gt;=$C858,MIN(-(SUM($F858:Z858)-$E858),($E858*(1-$D$623))*$D858),0)*AA$619</f>
        <v>0</v>
      </c>
      <c r="AB858">
        <f>IF(AB$621&gt;=$C858,MIN(-(SUM($F858:AA858)-$E858),($E858*(1-$D$623))*$D858),0)*AB$619</f>
        <v>0</v>
      </c>
      <c r="AC858">
        <f>IF(AC$621&gt;=$C858,MIN(-(SUM($F858:AB858)-$E858),($E858*(1-$D$623))*$D858),0)*AC$619</f>
        <v>0</v>
      </c>
      <c r="AD858">
        <f>IF(AD$621&gt;=$C858,MIN(-(SUM($F858:AC858)-$E858),($E858*(1-$D$623))*$D858),0)*AD$619</f>
        <v>0</v>
      </c>
      <c r="AE858">
        <f>IF(AE$621&gt;=$C858,MIN(-(SUM($F858:AD858)-$E858),($E858*(1-$D$623))*$D858),0)*AE$619</f>
        <v>0</v>
      </c>
      <c r="AF858">
        <f>IF(AF$621&gt;=$C858,MIN(-(SUM($F858:AE858)-$E858),($E858*(1-$D$623))*$D858),0)*AF$619</f>
        <v>0</v>
      </c>
      <c r="AG858">
        <f>IF(AG$621&gt;=$C858,MIN(-(SUM($F858:AF858)-$E858),($E858*(1-$D$623))*$D858),0)*AG$619</f>
        <v>0</v>
      </c>
      <c r="AH858">
        <f>IF(AH$621&gt;=$C858,MIN(-(SUM($F858:AG858)-$E858),($E858*(1-$D$623))*$D858),0)*AH$619</f>
        <v>0</v>
      </c>
      <c r="AI858">
        <f>IF(AI$621&gt;=$C858,MIN(-(SUM($F858:AH858)-$E858),($E858*(1-$D$623))*$D858),0)*AI$619</f>
        <v>0</v>
      </c>
      <c r="AJ858">
        <f>IF(AJ$621&gt;=$C858,MIN(-(SUM($F858:AI858)-$E858),($E858*(1-$D$623))*$D858),0)*AJ$619</f>
        <v>0</v>
      </c>
      <c r="AK858">
        <f>IF(AK$621&gt;=$C858,MIN(-(SUM($F858:AJ858)-$E858),($E858*(1-$D$623))*$D858),0)*AK$619</f>
        <v>0</v>
      </c>
      <c r="AL858">
        <f>IF(AL$621&gt;=$C858,MIN(-(SUM($F858:AK858)-$E858),($E858*(1-$D$623))*$D858),0)*AL$619</f>
        <v>0</v>
      </c>
      <c r="AM858">
        <f>IF(AM$621&gt;=$C858,MIN(-(SUM($F858:AL858)-$E858),($E858*(1-$D$623))*$D858),0)*AM$619</f>
        <v>0</v>
      </c>
      <c r="AN858">
        <f>IF(AN$621&gt;=$C858,MIN(-(SUM($F858:AM858)-$E858),($E858*(1-$D$623))*$D858),0)*AN$619</f>
        <v>0</v>
      </c>
    </row>
    <row r="859" spans="3:40" outlineLevel="4">
      <c r="C859">
        <v>9</v>
      </c>
      <c r="D859">
        <f>Inputs!$D$262</f>
        <v>0.1</v>
      </c>
      <c r="E859">
        <v>0</v>
      </c>
      <c r="F859" s="461">
        <f>E859*D848</f>
        <v>0</v>
      </c>
      <c r="G859">
        <f>IF(G$621&gt;=$C859,MIN(-(SUM(F859:$F859)-$E859),($E859*(1-$D$623))*$D859),0)*G$619</f>
        <v>0</v>
      </c>
      <c r="H859">
        <f>IF(H$621&gt;=$C859,MIN(-(SUM($F859:G859)-$E859),($E859*(1-$D$623))*$D859),0)*H$619</f>
        <v>0</v>
      </c>
      <c r="I859">
        <f>IF(I$621&gt;=$C859,MIN(-(SUM($F859:H859)-$E859),($E859*(1-$D$623))*$D859),0)*I$619</f>
        <v>0</v>
      </c>
      <c r="J859">
        <f>IF(J$621&gt;=$C859,MIN(-(SUM($F859:I859)-$E859),($E859*(1-$D$623))*$D859),0)*J$619</f>
        <v>0</v>
      </c>
      <c r="K859">
        <f>IF(K$621&gt;=$C859,MIN(-(SUM($F859:J859)-$E859),($E859*(1-$D$623))*$D859),0)*K$619</f>
        <v>0</v>
      </c>
      <c r="L859">
        <f>IF(L$621&gt;=$C859,MIN(-(SUM($F859:K859)-$E859),($E859*(1-$D$623))*$D859),0)*L$619</f>
        <v>0</v>
      </c>
      <c r="M859">
        <f>IF(M$621&gt;=$C859,MIN(-(SUM($F859:L859)-$E859),($E859*(1-$D$623))*$D859),0)*M$619</f>
        <v>0</v>
      </c>
      <c r="N859">
        <f>IF(N$621&gt;=$C859,MIN(-(SUM($F859:M859)-$E859),($E859*(1-$D$623))*$D859),0)*N$619</f>
        <v>0</v>
      </c>
      <c r="O859">
        <f>IF(O$621&gt;=$C859,MIN(-(SUM($F859:N859)-$E859),($E859*(1-$D$623))*$D859),0)*O$619</f>
        <v>0</v>
      </c>
      <c r="P859">
        <f>IF(P$621&gt;=$C859,MIN(-(SUM($F859:O859)-$E859),($E859*(1-$D$623))*$D859),0)*P$619</f>
        <v>0</v>
      </c>
      <c r="Q859">
        <f>IF(Q$621&gt;=$C859,MIN(-(SUM($F859:P859)-$E859),($E859*(1-$D$623))*$D859),0)*Q$619</f>
        <v>0</v>
      </c>
      <c r="R859">
        <f>IF(R$621&gt;=$C859,MIN(-(SUM($F859:Q859)-$E859),($E859*(1-$D$623))*$D859),0)*R$619</f>
        <v>0</v>
      </c>
      <c r="S859">
        <f>IF(S$621&gt;=$C859,MIN(-(SUM($F859:R859)-$E859),($E859*(1-$D$623))*$D859),0)*S$619</f>
        <v>0</v>
      </c>
      <c r="T859">
        <f>IF(T$621&gt;=$C859,MIN(-(SUM($F859:S859)-$E859),($E859*(1-$D$623))*$D859),0)*T$619</f>
        <v>0</v>
      </c>
      <c r="U859">
        <f>IF(U$621&gt;=$C859,MIN(-(SUM($F859:T859)-$E859),($E859*(1-$D$623))*$D859),0)*U$619</f>
        <v>0</v>
      </c>
      <c r="V859">
        <f>IF(V$621&gt;=$C859,MIN(-(SUM($F859:U859)-$E859),($E859*(1-$D$623))*$D859),0)*V$619</f>
        <v>0</v>
      </c>
      <c r="W859">
        <f>IF(W$621&gt;=$C859,MIN(-(SUM($F859:V859)-$E859),($E859*(1-$D$623))*$D859),0)*W$619</f>
        <v>0</v>
      </c>
      <c r="X859">
        <f>IF(X$621&gt;=$C859,MIN(-(SUM($F859:W859)-$E859),($E859*(1-$D$623))*$D859),0)*X$619</f>
        <v>0</v>
      </c>
      <c r="Y859">
        <f>IF(Y$621&gt;=$C859,MIN(-(SUM($F859:X859)-$E859),($E859*(1-$D$623))*$D859),0)*Y$619</f>
        <v>0</v>
      </c>
      <c r="Z859">
        <f>IF(Z$621&gt;=$C859,MIN(-(SUM($F859:Y859)-$E859),($E859*(1-$D$623))*$D859),0)*Z$619</f>
        <v>0</v>
      </c>
      <c r="AA859">
        <f>IF(AA$621&gt;=$C859,MIN(-(SUM($F859:Z859)-$E859),($E859*(1-$D$623))*$D859),0)*AA$619</f>
        <v>0</v>
      </c>
      <c r="AB859">
        <f>IF(AB$621&gt;=$C859,MIN(-(SUM($F859:AA859)-$E859),($E859*(1-$D$623))*$D859),0)*AB$619</f>
        <v>0</v>
      </c>
      <c r="AC859">
        <f>IF(AC$621&gt;=$C859,MIN(-(SUM($F859:AB859)-$E859),($E859*(1-$D$623))*$D859),0)*AC$619</f>
        <v>0</v>
      </c>
      <c r="AD859">
        <f>IF(AD$621&gt;=$C859,MIN(-(SUM($F859:AC859)-$E859),($E859*(1-$D$623))*$D859),0)*AD$619</f>
        <v>0</v>
      </c>
      <c r="AE859">
        <f>IF(AE$621&gt;=$C859,MIN(-(SUM($F859:AD859)-$E859),($E859*(1-$D$623))*$D859),0)*AE$619</f>
        <v>0</v>
      </c>
      <c r="AF859">
        <f>IF(AF$621&gt;=$C859,MIN(-(SUM($F859:AE859)-$E859),($E859*(1-$D$623))*$D859),0)*AF$619</f>
        <v>0</v>
      </c>
      <c r="AG859">
        <f>IF(AG$621&gt;=$C859,MIN(-(SUM($F859:AF859)-$E859),($E859*(1-$D$623))*$D859),0)*AG$619</f>
        <v>0</v>
      </c>
      <c r="AH859">
        <f>IF(AH$621&gt;=$C859,MIN(-(SUM($F859:AG859)-$E859),($E859*(1-$D$623))*$D859),0)*AH$619</f>
        <v>0</v>
      </c>
      <c r="AI859">
        <f>IF(AI$621&gt;=$C859,MIN(-(SUM($F859:AH859)-$E859),($E859*(1-$D$623))*$D859),0)*AI$619</f>
        <v>0</v>
      </c>
      <c r="AJ859">
        <f>IF(AJ$621&gt;=$C859,MIN(-(SUM($F859:AI859)-$E859),($E859*(1-$D$623))*$D859),0)*AJ$619</f>
        <v>0</v>
      </c>
      <c r="AK859">
        <f>IF(AK$621&gt;=$C859,MIN(-(SUM($F859:AJ859)-$E859),($E859*(1-$D$623))*$D859),0)*AK$619</f>
        <v>0</v>
      </c>
      <c r="AL859">
        <f>IF(AL$621&gt;=$C859,MIN(-(SUM($F859:AK859)-$E859),($E859*(1-$D$623))*$D859),0)*AL$619</f>
        <v>0</v>
      </c>
      <c r="AM859">
        <f>IF(AM$621&gt;=$C859,MIN(-(SUM($F859:AL859)-$E859),($E859*(1-$D$623))*$D859),0)*AM$619</f>
        <v>0</v>
      </c>
      <c r="AN859">
        <f>IF(AN$621&gt;=$C859,MIN(-(SUM($F859:AM859)-$E859),($E859*(1-$D$623))*$D859),0)*AN$619</f>
        <v>0</v>
      </c>
    </row>
    <row r="860" spans="3:40" outlineLevel="4">
      <c r="C860">
        <v>10</v>
      </c>
      <c r="D860">
        <f>Inputs!$D$262</f>
        <v>0.1</v>
      </c>
      <c r="E860">
        <v>0</v>
      </c>
      <c r="F860" s="461">
        <f>E860*D848</f>
        <v>0</v>
      </c>
      <c r="G860">
        <f>IF(G$621&gt;=$C860,MIN(-(SUM(F860:$F860)-$E860),($E860*(1-$D$623))*$D860),0)*G$619</f>
        <v>0</v>
      </c>
      <c r="H860">
        <f>IF(H$621&gt;=$C860,MIN(-(SUM($F860:G860)-$E860),($E860*(1-$D$623))*$D860),0)*H$619</f>
        <v>0</v>
      </c>
      <c r="I860">
        <f>IF(I$621&gt;=$C860,MIN(-(SUM($F860:H860)-$E860),($E860*(1-$D$623))*$D860),0)*I$619</f>
        <v>0</v>
      </c>
      <c r="J860">
        <f>IF(J$621&gt;=$C860,MIN(-(SUM($F860:I860)-$E860),($E860*(1-$D$623))*$D860),0)*J$619</f>
        <v>0</v>
      </c>
      <c r="K860">
        <f>IF(K$621&gt;=$C860,MIN(-(SUM($F860:J860)-$E860),($E860*(1-$D$623))*$D860),0)*K$619</f>
        <v>0</v>
      </c>
      <c r="L860">
        <f>IF(L$621&gt;=$C860,MIN(-(SUM($F860:K860)-$E860),($E860*(1-$D$623))*$D860),0)*L$619</f>
        <v>0</v>
      </c>
      <c r="M860">
        <f>IF(M$621&gt;=$C860,MIN(-(SUM($F860:L860)-$E860),($E860*(1-$D$623))*$D860),0)*M$619</f>
        <v>0</v>
      </c>
      <c r="N860">
        <f>IF(N$621&gt;=$C860,MIN(-(SUM($F860:M860)-$E860),($E860*(1-$D$623))*$D860),0)*N$619</f>
        <v>0</v>
      </c>
      <c r="O860">
        <f>IF(O$621&gt;=$C860,MIN(-(SUM($F860:N860)-$E860),($E860*(1-$D$623))*$D860),0)*O$619</f>
        <v>0</v>
      </c>
      <c r="P860">
        <f>IF(P$621&gt;=$C860,MIN(-(SUM($F860:O860)-$E860),($E860*(1-$D$623))*$D860),0)*P$619</f>
        <v>0</v>
      </c>
      <c r="Q860">
        <f>IF(Q$621&gt;=$C860,MIN(-(SUM($F860:P860)-$E860),($E860*(1-$D$623))*$D860),0)*Q$619</f>
        <v>0</v>
      </c>
      <c r="R860">
        <f>IF(R$621&gt;=$C860,MIN(-(SUM($F860:Q860)-$E860),($E860*(1-$D$623))*$D860),0)*R$619</f>
        <v>0</v>
      </c>
      <c r="S860">
        <f>IF(S$621&gt;=$C860,MIN(-(SUM($F860:R860)-$E860),($E860*(1-$D$623))*$D860),0)*S$619</f>
        <v>0</v>
      </c>
      <c r="T860">
        <f>IF(T$621&gt;=$C860,MIN(-(SUM($F860:S860)-$E860),($E860*(1-$D$623))*$D860),0)*T$619</f>
        <v>0</v>
      </c>
      <c r="U860">
        <f>IF(U$621&gt;=$C860,MIN(-(SUM($F860:T860)-$E860),($E860*(1-$D$623))*$D860),0)*U$619</f>
        <v>0</v>
      </c>
      <c r="V860">
        <f>IF(V$621&gt;=$C860,MIN(-(SUM($F860:U860)-$E860),($E860*(1-$D$623))*$D860),0)*V$619</f>
        <v>0</v>
      </c>
      <c r="W860">
        <f>IF(W$621&gt;=$C860,MIN(-(SUM($F860:V860)-$E860),($E860*(1-$D$623))*$D860),0)*W$619</f>
        <v>0</v>
      </c>
      <c r="X860">
        <f>IF(X$621&gt;=$C860,MIN(-(SUM($F860:W860)-$E860),($E860*(1-$D$623))*$D860),0)*X$619</f>
        <v>0</v>
      </c>
      <c r="Y860">
        <f>IF(Y$621&gt;=$C860,MIN(-(SUM($F860:X860)-$E860),($E860*(1-$D$623))*$D860),0)*Y$619</f>
        <v>0</v>
      </c>
      <c r="Z860">
        <f>IF(Z$621&gt;=$C860,MIN(-(SUM($F860:Y860)-$E860),($E860*(1-$D$623))*$D860),0)*Z$619</f>
        <v>0</v>
      </c>
      <c r="AA860">
        <f>IF(AA$621&gt;=$C860,MIN(-(SUM($F860:Z860)-$E860),($E860*(1-$D$623))*$D860),0)*AA$619</f>
        <v>0</v>
      </c>
      <c r="AB860">
        <f>IF(AB$621&gt;=$C860,MIN(-(SUM($F860:AA860)-$E860),($E860*(1-$D$623))*$D860),0)*AB$619</f>
        <v>0</v>
      </c>
      <c r="AC860">
        <f>IF(AC$621&gt;=$C860,MIN(-(SUM($F860:AB860)-$E860),($E860*(1-$D$623))*$D860),0)*AC$619</f>
        <v>0</v>
      </c>
      <c r="AD860">
        <f>IF(AD$621&gt;=$C860,MIN(-(SUM($F860:AC860)-$E860),($E860*(1-$D$623))*$D860),0)*AD$619</f>
        <v>0</v>
      </c>
      <c r="AE860">
        <f>IF(AE$621&gt;=$C860,MIN(-(SUM($F860:AD860)-$E860),($E860*(1-$D$623))*$D860),0)*AE$619</f>
        <v>0</v>
      </c>
      <c r="AF860">
        <f>IF(AF$621&gt;=$C860,MIN(-(SUM($F860:AE860)-$E860),($E860*(1-$D$623))*$D860),0)*AF$619</f>
        <v>0</v>
      </c>
      <c r="AG860">
        <f>IF(AG$621&gt;=$C860,MIN(-(SUM($F860:AF860)-$E860),($E860*(1-$D$623))*$D860),0)*AG$619</f>
        <v>0</v>
      </c>
      <c r="AH860">
        <f>IF(AH$621&gt;=$C860,MIN(-(SUM($F860:AG860)-$E860),($E860*(1-$D$623))*$D860),0)*AH$619</f>
        <v>0</v>
      </c>
      <c r="AI860">
        <f>IF(AI$621&gt;=$C860,MIN(-(SUM($F860:AH860)-$E860),($E860*(1-$D$623))*$D860),0)*AI$619</f>
        <v>0</v>
      </c>
      <c r="AJ860">
        <f>IF(AJ$621&gt;=$C860,MIN(-(SUM($F860:AI860)-$E860),($E860*(1-$D$623))*$D860),0)*AJ$619</f>
        <v>0</v>
      </c>
      <c r="AK860">
        <f>IF(AK$621&gt;=$C860,MIN(-(SUM($F860:AJ860)-$E860),($E860*(1-$D$623))*$D860),0)*AK$619</f>
        <v>0</v>
      </c>
      <c r="AL860">
        <f>IF(AL$621&gt;=$C860,MIN(-(SUM($F860:AK860)-$E860),($E860*(1-$D$623))*$D860),0)*AL$619</f>
        <v>0</v>
      </c>
      <c r="AM860">
        <f>IF(AM$621&gt;=$C860,MIN(-(SUM($F860:AL860)-$E860),($E860*(1-$D$623))*$D860),0)*AM$619</f>
        <v>0</v>
      </c>
      <c r="AN860">
        <f>IF(AN$621&gt;=$C860,MIN(-(SUM($F860:AM860)-$E860),($E860*(1-$D$623))*$D860),0)*AN$619</f>
        <v>0</v>
      </c>
    </row>
    <row r="861" spans="3:40" outlineLevel="4">
      <c r="C861">
        <v>11</v>
      </c>
      <c r="D861">
        <f>Inputs!$D$262</f>
        <v>0.1</v>
      </c>
      <c r="E861">
        <v>0</v>
      </c>
      <c r="F861" s="461">
        <f>E861*D848</f>
        <v>0</v>
      </c>
      <c r="G861">
        <f>IF(G$621&gt;=$C861,MIN(-(SUM(F861:$F861)-$E861),($E861*(1-$D$623))*$D861),0)*G$619</f>
        <v>0</v>
      </c>
      <c r="H861">
        <f>IF(H$621&gt;=$C861,MIN(-(SUM($F861:G861)-$E861),($E861*(1-$D$623))*$D861),0)*H$619</f>
        <v>0</v>
      </c>
      <c r="I861">
        <f>IF(I$621&gt;=$C861,MIN(-(SUM($F861:H861)-$E861),($E861*(1-$D$623))*$D861),0)*I$619</f>
        <v>0</v>
      </c>
      <c r="J861">
        <f>IF(J$621&gt;=$C861,MIN(-(SUM($F861:I861)-$E861),($E861*(1-$D$623))*$D861),0)*J$619</f>
        <v>0</v>
      </c>
      <c r="K861">
        <f>IF(K$621&gt;=$C861,MIN(-(SUM($F861:J861)-$E861),($E861*(1-$D$623))*$D861),0)*K$619</f>
        <v>0</v>
      </c>
      <c r="L861">
        <f>IF(L$621&gt;=$C861,MIN(-(SUM($F861:K861)-$E861),($E861*(1-$D$623))*$D861),0)*L$619</f>
        <v>0</v>
      </c>
      <c r="M861">
        <f>IF(M$621&gt;=$C861,MIN(-(SUM($F861:L861)-$E861),($E861*(1-$D$623))*$D861),0)*M$619</f>
        <v>0</v>
      </c>
      <c r="N861">
        <f>IF(N$621&gt;=$C861,MIN(-(SUM($F861:M861)-$E861),($E861*(1-$D$623))*$D861),0)*N$619</f>
        <v>0</v>
      </c>
      <c r="O861">
        <f>IF(O$621&gt;=$C861,MIN(-(SUM($F861:N861)-$E861),($E861*(1-$D$623))*$D861),0)*O$619</f>
        <v>0</v>
      </c>
      <c r="P861">
        <f>IF(P$621&gt;=$C861,MIN(-(SUM($F861:O861)-$E861),($E861*(1-$D$623))*$D861),0)*P$619</f>
        <v>0</v>
      </c>
      <c r="Q861">
        <f>IF(Q$621&gt;=$C861,MIN(-(SUM($F861:P861)-$E861),($E861*(1-$D$623))*$D861),0)*Q$619</f>
        <v>0</v>
      </c>
      <c r="R861">
        <f>IF(R$621&gt;=$C861,MIN(-(SUM($F861:Q861)-$E861),($E861*(1-$D$623))*$D861),0)*R$619</f>
        <v>0</v>
      </c>
      <c r="S861">
        <f>IF(S$621&gt;=$C861,MIN(-(SUM($F861:R861)-$E861),($E861*(1-$D$623))*$D861),0)*S$619</f>
        <v>0</v>
      </c>
      <c r="T861">
        <f>IF(T$621&gt;=$C861,MIN(-(SUM($F861:S861)-$E861),($E861*(1-$D$623))*$D861),0)*T$619</f>
        <v>0</v>
      </c>
      <c r="U861">
        <f>IF(U$621&gt;=$C861,MIN(-(SUM($F861:T861)-$E861),($E861*(1-$D$623))*$D861),0)*U$619</f>
        <v>0</v>
      </c>
      <c r="V861">
        <f>IF(V$621&gt;=$C861,MIN(-(SUM($F861:U861)-$E861),($E861*(1-$D$623))*$D861),0)*V$619</f>
        <v>0</v>
      </c>
      <c r="W861">
        <f>IF(W$621&gt;=$C861,MIN(-(SUM($F861:V861)-$E861),($E861*(1-$D$623))*$D861),0)*W$619</f>
        <v>0</v>
      </c>
      <c r="X861">
        <f>IF(X$621&gt;=$C861,MIN(-(SUM($F861:W861)-$E861),($E861*(1-$D$623))*$D861),0)*X$619</f>
        <v>0</v>
      </c>
      <c r="Y861">
        <f>IF(Y$621&gt;=$C861,MIN(-(SUM($F861:X861)-$E861),($E861*(1-$D$623))*$D861),0)*Y$619</f>
        <v>0</v>
      </c>
      <c r="Z861">
        <f>IF(Z$621&gt;=$C861,MIN(-(SUM($F861:Y861)-$E861),($E861*(1-$D$623))*$D861),0)*Z$619</f>
        <v>0</v>
      </c>
      <c r="AA861">
        <f>IF(AA$621&gt;=$C861,MIN(-(SUM($F861:Z861)-$E861),($E861*(1-$D$623))*$D861),0)*AA$619</f>
        <v>0</v>
      </c>
      <c r="AB861">
        <f>IF(AB$621&gt;=$C861,MIN(-(SUM($F861:AA861)-$E861),($E861*(1-$D$623))*$D861),0)*AB$619</f>
        <v>0</v>
      </c>
      <c r="AC861">
        <f>IF(AC$621&gt;=$C861,MIN(-(SUM($F861:AB861)-$E861),($E861*(1-$D$623))*$D861),0)*AC$619</f>
        <v>0</v>
      </c>
      <c r="AD861">
        <f>IF(AD$621&gt;=$C861,MIN(-(SUM($F861:AC861)-$E861),($E861*(1-$D$623))*$D861),0)*AD$619</f>
        <v>0</v>
      </c>
      <c r="AE861">
        <f>IF(AE$621&gt;=$C861,MIN(-(SUM($F861:AD861)-$E861),($E861*(1-$D$623))*$D861),0)*AE$619</f>
        <v>0</v>
      </c>
      <c r="AF861">
        <f>IF(AF$621&gt;=$C861,MIN(-(SUM($F861:AE861)-$E861),($E861*(1-$D$623))*$D861),0)*AF$619</f>
        <v>0</v>
      </c>
      <c r="AG861">
        <f>IF(AG$621&gt;=$C861,MIN(-(SUM($F861:AF861)-$E861),($E861*(1-$D$623))*$D861),0)*AG$619</f>
        <v>0</v>
      </c>
      <c r="AH861">
        <f>IF(AH$621&gt;=$C861,MIN(-(SUM($F861:AG861)-$E861),($E861*(1-$D$623))*$D861),0)*AH$619</f>
        <v>0</v>
      </c>
      <c r="AI861">
        <f>IF(AI$621&gt;=$C861,MIN(-(SUM($F861:AH861)-$E861),($E861*(1-$D$623))*$D861),0)*AI$619</f>
        <v>0</v>
      </c>
      <c r="AJ861">
        <f>IF(AJ$621&gt;=$C861,MIN(-(SUM($F861:AI861)-$E861),($E861*(1-$D$623))*$D861),0)*AJ$619</f>
        <v>0</v>
      </c>
      <c r="AK861">
        <f>IF(AK$621&gt;=$C861,MIN(-(SUM($F861:AJ861)-$E861),($E861*(1-$D$623))*$D861),0)*AK$619</f>
        <v>0</v>
      </c>
      <c r="AL861">
        <f>IF(AL$621&gt;=$C861,MIN(-(SUM($F861:AK861)-$E861),($E861*(1-$D$623))*$D861),0)*AL$619</f>
        <v>0</v>
      </c>
      <c r="AM861">
        <f>IF(AM$621&gt;=$C861,MIN(-(SUM($F861:AL861)-$E861),($E861*(1-$D$623))*$D861),0)*AM$619</f>
        <v>0</v>
      </c>
      <c r="AN861">
        <f>IF(AN$621&gt;=$C861,MIN(-(SUM($F861:AM861)-$E861),($E861*(1-$D$623))*$D861),0)*AN$619</f>
        <v>0</v>
      </c>
    </row>
    <row r="862" spans="3:40" outlineLevel="4">
      <c r="C862">
        <v>12</v>
      </c>
      <c r="D862">
        <f>Inputs!$D$262</f>
        <v>0.1</v>
      </c>
      <c r="E862">
        <v>0</v>
      </c>
      <c r="F862" s="461">
        <f>E862*D848</f>
        <v>0</v>
      </c>
      <c r="G862">
        <f>IF(G$621&gt;=$C862,MIN(-(SUM(F862:$F862)-$E862),($E862*(1-$D$623))*$D862),0)*G$619</f>
        <v>0</v>
      </c>
      <c r="H862">
        <f>IF(H$621&gt;=$C862,MIN(-(SUM($F862:G862)-$E862),($E862*(1-$D$623))*$D862),0)*H$619</f>
        <v>0</v>
      </c>
      <c r="I862">
        <f>IF(I$621&gt;=$C862,MIN(-(SUM($F862:H862)-$E862),($E862*(1-$D$623))*$D862),0)*I$619</f>
        <v>0</v>
      </c>
      <c r="J862">
        <f>IF(J$621&gt;=$C862,MIN(-(SUM($F862:I862)-$E862),($E862*(1-$D$623))*$D862),0)*J$619</f>
        <v>0</v>
      </c>
      <c r="K862">
        <f>IF(K$621&gt;=$C862,MIN(-(SUM($F862:J862)-$E862),($E862*(1-$D$623))*$D862),0)*K$619</f>
        <v>0</v>
      </c>
      <c r="L862">
        <f>IF(L$621&gt;=$C862,MIN(-(SUM($F862:K862)-$E862),($E862*(1-$D$623))*$D862),0)*L$619</f>
        <v>0</v>
      </c>
      <c r="M862">
        <f>IF(M$621&gt;=$C862,MIN(-(SUM($F862:L862)-$E862),($E862*(1-$D$623))*$D862),0)*M$619</f>
        <v>0</v>
      </c>
      <c r="N862">
        <f>IF(N$621&gt;=$C862,MIN(-(SUM($F862:M862)-$E862),($E862*(1-$D$623))*$D862),0)*N$619</f>
        <v>0</v>
      </c>
      <c r="O862">
        <f>IF(O$621&gt;=$C862,MIN(-(SUM($F862:N862)-$E862),($E862*(1-$D$623))*$D862),0)*O$619</f>
        <v>0</v>
      </c>
      <c r="P862">
        <f>IF(P$621&gt;=$C862,MIN(-(SUM($F862:O862)-$E862),($E862*(1-$D$623))*$D862),0)*P$619</f>
        <v>0</v>
      </c>
      <c r="Q862">
        <f>IF(Q$621&gt;=$C862,MIN(-(SUM($F862:P862)-$E862),($E862*(1-$D$623))*$D862),0)*Q$619</f>
        <v>0</v>
      </c>
      <c r="R862">
        <f>IF(R$621&gt;=$C862,MIN(-(SUM($F862:Q862)-$E862),($E862*(1-$D$623))*$D862),0)*R$619</f>
        <v>0</v>
      </c>
      <c r="S862">
        <f>IF(S$621&gt;=$C862,MIN(-(SUM($F862:R862)-$E862),($E862*(1-$D$623))*$D862),0)*S$619</f>
        <v>0</v>
      </c>
      <c r="T862">
        <f>IF(T$621&gt;=$C862,MIN(-(SUM($F862:S862)-$E862),($E862*(1-$D$623))*$D862),0)*T$619</f>
        <v>0</v>
      </c>
      <c r="U862">
        <f>IF(U$621&gt;=$C862,MIN(-(SUM($F862:T862)-$E862),($E862*(1-$D$623))*$D862),0)*U$619</f>
        <v>0</v>
      </c>
      <c r="V862">
        <f>IF(V$621&gt;=$C862,MIN(-(SUM($F862:U862)-$E862),($E862*(1-$D$623))*$D862),0)*V$619</f>
        <v>0</v>
      </c>
      <c r="W862">
        <f>IF(W$621&gt;=$C862,MIN(-(SUM($F862:V862)-$E862),($E862*(1-$D$623))*$D862),0)*W$619</f>
        <v>0</v>
      </c>
      <c r="X862">
        <f>IF(X$621&gt;=$C862,MIN(-(SUM($F862:W862)-$E862),($E862*(1-$D$623))*$D862),0)*X$619</f>
        <v>0</v>
      </c>
      <c r="Y862">
        <f>IF(Y$621&gt;=$C862,MIN(-(SUM($F862:X862)-$E862),($E862*(1-$D$623))*$D862),0)*Y$619</f>
        <v>0</v>
      </c>
      <c r="Z862">
        <f>IF(Z$621&gt;=$C862,MIN(-(SUM($F862:Y862)-$E862),($E862*(1-$D$623))*$D862),0)*Z$619</f>
        <v>0</v>
      </c>
      <c r="AA862">
        <f>IF(AA$621&gt;=$C862,MIN(-(SUM($F862:Z862)-$E862),($E862*(1-$D$623))*$D862),0)*AA$619</f>
        <v>0</v>
      </c>
      <c r="AB862">
        <f>IF(AB$621&gt;=$C862,MIN(-(SUM($F862:AA862)-$E862),($E862*(1-$D$623))*$D862),0)*AB$619</f>
        <v>0</v>
      </c>
      <c r="AC862">
        <f>IF(AC$621&gt;=$C862,MIN(-(SUM($F862:AB862)-$E862),($E862*(1-$D$623))*$D862),0)*AC$619</f>
        <v>0</v>
      </c>
      <c r="AD862">
        <f>IF(AD$621&gt;=$C862,MIN(-(SUM($F862:AC862)-$E862),($E862*(1-$D$623))*$D862),0)*AD$619</f>
        <v>0</v>
      </c>
      <c r="AE862">
        <f>IF(AE$621&gt;=$C862,MIN(-(SUM($F862:AD862)-$E862),($E862*(1-$D$623))*$D862),0)*AE$619</f>
        <v>0</v>
      </c>
      <c r="AF862">
        <f>IF(AF$621&gt;=$C862,MIN(-(SUM($F862:AE862)-$E862),($E862*(1-$D$623))*$D862),0)*AF$619</f>
        <v>0</v>
      </c>
      <c r="AG862">
        <f>IF(AG$621&gt;=$C862,MIN(-(SUM($F862:AF862)-$E862),($E862*(1-$D$623))*$D862),0)*AG$619</f>
        <v>0</v>
      </c>
      <c r="AH862">
        <f>IF(AH$621&gt;=$C862,MIN(-(SUM($F862:AG862)-$E862),($E862*(1-$D$623))*$D862),0)*AH$619</f>
        <v>0</v>
      </c>
      <c r="AI862">
        <f>IF(AI$621&gt;=$C862,MIN(-(SUM($F862:AH862)-$E862),($E862*(1-$D$623))*$D862),0)*AI$619</f>
        <v>0</v>
      </c>
      <c r="AJ862">
        <f>IF(AJ$621&gt;=$C862,MIN(-(SUM($F862:AI862)-$E862),($E862*(1-$D$623))*$D862),0)*AJ$619</f>
        <v>0</v>
      </c>
      <c r="AK862">
        <f>IF(AK$621&gt;=$C862,MIN(-(SUM($F862:AJ862)-$E862),($E862*(1-$D$623))*$D862),0)*AK$619</f>
        <v>0</v>
      </c>
      <c r="AL862">
        <f>IF(AL$621&gt;=$C862,MIN(-(SUM($F862:AK862)-$E862),($E862*(1-$D$623))*$D862),0)*AL$619</f>
        <v>0</v>
      </c>
      <c r="AM862">
        <f>IF(AM$621&gt;=$C862,MIN(-(SUM($F862:AL862)-$E862),($E862*(1-$D$623))*$D862),0)*AM$619</f>
        <v>0</v>
      </c>
      <c r="AN862">
        <f>IF(AN$621&gt;=$C862,MIN(-(SUM($F862:AM862)-$E862),($E862*(1-$D$623))*$D862),0)*AN$619</f>
        <v>0</v>
      </c>
    </row>
    <row r="863" spans="3:40" outlineLevel="4">
      <c r="C863">
        <v>13</v>
      </c>
      <c r="D863">
        <f>Inputs!$D$262</f>
        <v>0.1</v>
      </c>
      <c r="E863">
        <v>0</v>
      </c>
      <c r="F863" s="461">
        <f>E863*D848</f>
        <v>0</v>
      </c>
      <c r="G863">
        <f>IF(G$621&gt;=$C863,MIN(-(SUM(F863:$F863)-$E863),($E863*(1-$D$623))*$D863),0)*G$619</f>
        <v>0</v>
      </c>
      <c r="H863">
        <f>IF(H$621&gt;=$C863,MIN(-(SUM($F863:G863)-$E863),($E863*(1-$D$623))*$D863),0)*H$619</f>
        <v>0</v>
      </c>
      <c r="I863">
        <f>IF(I$621&gt;=$C863,MIN(-(SUM($F863:H863)-$E863),($E863*(1-$D$623))*$D863),0)*I$619</f>
        <v>0</v>
      </c>
      <c r="J863">
        <f>IF(J$621&gt;=$C863,MIN(-(SUM($F863:I863)-$E863),($E863*(1-$D$623))*$D863),0)*J$619</f>
        <v>0</v>
      </c>
      <c r="K863">
        <f>IF(K$621&gt;=$C863,MIN(-(SUM($F863:J863)-$E863),($E863*(1-$D$623))*$D863),0)*K$619</f>
        <v>0</v>
      </c>
      <c r="L863">
        <f>IF(L$621&gt;=$C863,MIN(-(SUM($F863:K863)-$E863),($E863*(1-$D$623))*$D863),0)*L$619</f>
        <v>0</v>
      </c>
      <c r="M863">
        <f>IF(M$621&gt;=$C863,MIN(-(SUM($F863:L863)-$E863),($E863*(1-$D$623))*$D863),0)*M$619</f>
        <v>0</v>
      </c>
      <c r="N863">
        <f>IF(N$621&gt;=$C863,MIN(-(SUM($F863:M863)-$E863),($E863*(1-$D$623))*$D863),0)*N$619</f>
        <v>0</v>
      </c>
      <c r="O863">
        <f>IF(O$621&gt;=$C863,MIN(-(SUM($F863:N863)-$E863),($E863*(1-$D$623))*$D863),0)*O$619</f>
        <v>0</v>
      </c>
      <c r="P863">
        <f>IF(P$621&gt;=$C863,MIN(-(SUM($F863:O863)-$E863),($E863*(1-$D$623))*$D863),0)*P$619</f>
        <v>0</v>
      </c>
      <c r="Q863">
        <f>IF(Q$621&gt;=$C863,MIN(-(SUM($F863:P863)-$E863),($E863*(1-$D$623))*$D863),0)*Q$619</f>
        <v>0</v>
      </c>
      <c r="R863">
        <f>IF(R$621&gt;=$C863,MIN(-(SUM($F863:Q863)-$E863),($E863*(1-$D$623))*$D863),0)*R$619</f>
        <v>0</v>
      </c>
      <c r="S863">
        <f>IF(S$621&gt;=$C863,MIN(-(SUM($F863:R863)-$E863),($E863*(1-$D$623))*$D863),0)*S$619</f>
        <v>0</v>
      </c>
      <c r="T863">
        <f>IF(T$621&gt;=$C863,MIN(-(SUM($F863:S863)-$E863),($E863*(1-$D$623))*$D863),0)*T$619</f>
        <v>0</v>
      </c>
      <c r="U863">
        <f>IF(U$621&gt;=$C863,MIN(-(SUM($F863:T863)-$E863),($E863*(1-$D$623))*$D863),0)*U$619</f>
        <v>0</v>
      </c>
      <c r="V863">
        <f>IF(V$621&gt;=$C863,MIN(-(SUM($F863:U863)-$E863),($E863*(1-$D$623))*$D863),0)*V$619</f>
        <v>0</v>
      </c>
      <c r="W863">
        <f>IF(W$621&gt;=$C863,MIN(-(SUM($F863:V863)-$E863),($E863*(1-$D$623))*$D863),0)*W$619</f>
        <v>0</v>
      </c>
      <c r="X863">
        <f>IF(X$621&gt;=$C863,MIN(-(SUM($F863:W863)-$E863),($E863*(1-$D$623))*$D863),0)*X$619</f>
        <v>0</v>
      </c>
      <c r="Y863">
        <f>IF(Y$621&gt;=$C863,MIN(-(SUM($F863:X863)-$E863),($E863*(1-$D$623))*$D863),0)*Y$619</f>
        <v>0</v>
      </c>
      <c r="Z863">
        <f>IF(Z$621&gt;=$C863,MIN(-(SUM($F863:Y863)-$E863),($E863*(1-$D$623))*$D863),0)*Z$619</f>
        <v>0</v>
      </c>
      <c r="AA863">
        <f>IF(AA$621&gt;=$C863,MIN(-(SUM($F863:Z863)-$E863),($E863*(1-$D$623))*$D863),0)*AA$619</f>
        <v>0</v>
      </c>
      <c r="AB863">
        <f>IF(AB$621&gt;=$C863,MIN(-(SUM($F863:AA863)-$E863),($E863*(1-$D$623))*$D863),0)*AB$619</f>
        <v>0</v>
      </c>
      <c r="AC863">
        <f>IF(AC$621&gt;=$C863,MIN(-(SUM($F863:AB863)-$E863),($E863*(1-$D$623))*$D863),0)*AC$619</f>
        <v>0</v>
      </c>
      <c r="AD863">
        <f>IF(AD$621&gt;=$C863,MIN(-(SUM($F863:AC863)-$E863),($E863*(1-$D$623))*$D863),0)*AD$619</f>
        <v>0</v>
      </c>
      <c r="AE863">
        <f>IF(AE$621&gt;=$C863,MIN(-(SUM($F863:AD863)-$E863),($E863*(1-$D$623))*$D863),0)*AE$619</f>
        <v>0</v>
      </c>
      <c r="AF863">
        <f>IF(AF$621&gt;=$C863,MIN(-(SUM($F863:AE863)-$E863),($E863*(1-$D$623))*$D863),0)*AF$619</f>
        <v>0</v>
      </c>
      <c r="AG863">
        <f>IF(AG$621&gt;=$C863,MIN(-(SUM($F863:AF863)-$E863),($E863*(1-$D$623))*$D863),0)*AG$619</f>
        <v>0</v>
      </c>
      <c r="AH863">
        <f>IF(AH$621&gt;=$C863,MIN(-(SUM($F863:AG863)-$E863),($E863*(1-$D$623))*$D863),0)*AH$619</f>
        <v>0</v>
      </c>
      <c r="AI863">
        <f>IF(AI$621&gt;=$C863,MIN(-(SUM($F863:AH863)-$E863),($E863*(1-$D$623))*$D863),0)*AI$619</f>
        <v>0</v>
      </c>
      <c r="AJ863">
        <f>IF(AJ$621&gt;=$C863,MIN(-(SUM($F863:AI863)-$E863),($E863*(1-$D$623))*$D863),0)*AJ$619</f>
        <v>0</v>
      </c>
      <c r="AK863">
        <f>IF(AK$621&gt;=$C863,MIN(-(SUM($F863:AJ863)-$E863),($E863*(1-$D$623))*$D863),0)*AK$619</f>
        <v>0</v>
      </c>
      <c r="AL863">
        <f>IF(AL$621&gt;=$C863,MIN(-(SUM($F863:AK863)-$E863),($E863*(1-$D$623))*$D863),0)*AL$619</f>
        <v>0</v>
      </c>
      <c r="AM863">
        <f>IF(AM$621&gt;=$C863,MIN(-(SUM($F863:AL863)-$E863),($E863*(1-$D$623))*$D863),0)*AM$619</f>
        <v>0</v>
      </c>
      <c r="AN863">
        <f>IF(AN$621&gt;=$C863,MIN(-(SUM($F863:AM863)-$E863),($E863*(1-$D$623))*$D863),0)*AN$619</f>
        <v>0</v>
      </c>
    </row>
    <row r="864" spans="3:40" outlineLevel="4">
      <c r="C864">
        <v>14</v>
      </c>
      <c r="D864">
        <f>Inputs!$D$262</f>
        <v>0.1</v>
      </c>
      <c r="E864">
        <v>0</v>
      </c>
      <c r="F864" s="461">
        <f>E864*D848</f>
        <v>0</v>
      </c>
      <c r="G864">
        <f>IF(G$621&gt;=$C864,MIN(-(SUM(F864:$F864)-$E864),($E864*(1-$D$623))*$D864),0)*G$619</f>
        <v>0</v>
      </c>
      <c r="H864">
        <f>IF(H$621&gt;=$C864,MIN(-(SUM($F864:G864)-$E864),($E864*(1-$D$623))*$D864),0)*H$619</f>
        <v>0</v>
      </c>
      <c r="I864">
        <f>IF(I$621&gt;=$C864,MIN(-(SUM($F864:H864)-$E864),($E864*(1-$D$623))*$D864),0)*I$619</f>
        <v>0</v>
      </c>
      <c r="J864">
        <f>IF(J$621&gt;=$C864,MIN(-(SUM($F864:I864)-$E864),($E864*(1-$D$623))*$D864),0)*J$619</f>
        <v>0</v>
      </c>
      <c r="K864">
        <f>IF(K$621&gt;=$C864,MIN(-(SUM($F864:J864)-$E864),($E864*(1-$D$623))*$D864),0)*K$619</f>
        <v>0</v>
      </c>
      <c r="L864">
        <f>IF(L$621&gt;=$C864,MIN(-(SUM($F864:K864)-$E864),($E864*(1-$D$623))*$D864),0)*L$619</f>
        <v>0</v>
      </c>
      <c r="M864">
        <f>IF(M$621&gt;=$C864,MIN(-(SUM($F864:L864)-$E864),($E864*(1-$D$623))*$D864),0)*M$619</f>
        <v>0</v>
      </c>
      <c r="N864">
        <f>IF(N$621&gt;=$C864,MIN(-(SUM($F864:M864)-$E864),($E864*(1-$D$623))*$D864),0)*N$619</f>
        <v>0</v>
      </c>
      <c r="O864">
        <f>IF(O$621&gt;=$C864,MIN(-(SUM($F864:N864)-$E864),($E864*(1-$D$623))*$D864),0)*O$619</f>
        <v>0</v>
      </c>
      <c r="P864">
        <f>IF(P$621&gt;=$C864,MIN(-(SUM($F864:O864)-$E864),($E864*(1-$D$623))*$D864),0)*P$619</f>
        <v>0</v>
      </c>
      <c r="Q864">
        <f>IF(Q$621&gt;=$C864,MIN(-(SUM($F864:P864)-$E864),($E864*(1-$D$623))*$D864),0)*Q$619</f>
        <v>0</v>
      </c>
      <c r="R864">
        <f>IF(R$621&gt;=$C864,MIN(-(SUM($F864:Q864)-$E864),($E864*(1-$D$623))*$D864),0)*R$619</f>
        <v>0</v>
      </c>
      <c r="S864">
        <f>IF(S$621&gt;=$C864,MIN(-(SUM($F864:R864)-$E864),($E864*(1-$D$623))*$D864),0)*S$619</f>
        <v>0</v>
      </c>
      <c r="T864">
        <f>IF(T$621&gt;=$C864,MIN(-(SUM($F864:S864)-$E864),($E864*(1-$D$623))*$D864),0)*T$619</f>
        <v>0</v>
      </c>
      <c r="U864">
        <f>IF(U$621&gt;=$C864,MIN(-(SUM($F864:T864)-$E864),($E864*(1-$D$623))*$D864),0)*U$619</f>
        <v>0</v>
      </c>
      <c r="V864">
        <f>IF(V$621&gt;=$C864,MIN(-(SUM($F864:U864)-$E864),($E864*(1-$D$623))*$D864),0)*V$619</f>
        <v>0</v>
      </c>
      <c r="W864">
        <f>IF(W$621&gt;=$C864,MIN(-(SUM($F864:V864)-$E864),($E864*(1-$D$623))*$D864),0)*W$619</f>
        <v>0</v>
      </c>
      <c r="X864">
        <f>IF(X$621&gt;=$C864,MIN(-(SUM($F864:W864)-$E864),($E864*(1-$D$623))*$D864),0)*X$619</f>
        <v>0</v>
      </c>
      <c r="Y864">
        <f>IF(Y$621&gt;=$C864,MIN(-(SUM($F864:X864)-$E864),($E864*(1-$D$623))*$D864),0)*Y$619</f>
        <v>0</v>
      </c>
      <c r="Z864">
        <f>IF(Z$621&gt;=$C864,MIN(-(SUM($F864:Y864)-$E864),($E864*(1-$D$623))*$D864),0)*Z$619</f>
        <v>0</v>
      </c>
      <c r="AA864">
        <f>IF(AA$621&gt;=$C864,MIN(-(SUM($F864:Z864)-$E864),($E864*(1-$D$623))*$D864),0)*AA$619</f>
        <v>0</v>
      </c>
      <c r="AB864">
        <f>IF(AB$621&gt;=$C864,MIN(-(SUM($F864:AA864)-$E864),($E864*(1-$D$623))*$D864),0)*AB$619</f>
        <v>0</v>
      </c>
      <c r="AC864">
        <f>IF(AC$621&gt;=$C864,MIN(-(SUM($F864:AB864)-$E864),($E864*(1-$D$623))*$D864),0)*AC$619</f>
        <v>0</v>
      </c>
      <c r="AD864">
        <f>IF(AD$621&gt;=$C864,MIN(-(SUM($F864:AC864)-$E864),($E864*(1-$D$623))*$D864),0)*AD$619</f>
        <v>0</v>
      </c>
      <c r="AE864">
        <f>IF(AE$621&gt;=$C864,MIN(-(SUM($F864:AD864)-$E864),($E864*(1-$D$623))*$D864),0)*AE$619</f>
        <v>0</v>
      </c>
      <c r="AF864">
        <f>IF(AF$621&gt;=$C864,MIN(-(SUM($F864:AE864)-$E864),($E864*(1-$D$623))*$D864),0)*AF$619</f>
        <v>0</v>
      </c>
      <c r="AG864">
        <f>IF(AG$621&gt;=$C864,MIN(-(SUM($F864:AF864)-$E864),($E864*(1-$D$623))*$D864),0)*AG$619</f>
        <v>0</v>
      </c>
      <c r="AH864">
        <f>IF(AH$621&gt;=$C864,MIN(-(SUM($F864:AG864)-$E864),($E864*(1-$D$623))*$D864),0)*AH$619</f>
        <v>0</v>
      </c>
      <c r="AI864">
        <f>IF(AI$621&gt;=$C864,MIN(-(SUM($F864:AH864)-$E864),($E864*(1-$D$623))*$D864),0)*AI$619</f>
        <v>0</v>
      </c>
      <c r="AJ864">
        <f>IF(AJ$621&gt;=$C864,MIN(-(SUM($F864:AI864)-$E864),($E864*(1-$D$623))*$D864),0)*AJ$619</f>
        <v>0</v>
      </c>
      <c r="AK864">
        <f>IF(AK$621&gt;=$C864,MIN(-(SUM($F864:AJ864)-$E864),($E864*(1-$D$623))*$D864),0)*AK$619</f>
        <v>0</v>
      </c>
      <c r="AL864">
        <f>IF(AL$621&gt;=$C864,MIN(-(SUM($F864:AK864)-$E864),($E864*(1-$D$623))*$D864),0)*AL$619</f>
        <v>0</v>
      </c>
      <c r="AM864">
        <f>IF(AM$621&gt;=$C864,MIN(-(SUM($F864:AL864)-$E864),($E864*(1-$D$623))*$D864),0)*AM$619</f>
        <v>0</v>
      </c>
      <c r="AN864">
        <f>IF(AN$621&gt;=$C864,MIN(-(SUM($F864:AM864)-$E864),($E864*(1-$D$623))*$D864),0)*AN$619</f>
        <v>0</v>
      </c>
    </row>
    <row r="865" spans="3:40" outlineLevel="4">
      <c r="C865">
        <v>15</v>
      </c>
      <c r="D865">
        <f>Inputs!$D$262</f>
        <v>0.1</v>
      </c>
      <c r="E865">
        <v>0</v>
      </c>
      <c r="F865" s="461">
        <f>E865*D848</f>
        <v>0</v>
      </c>
      <c r="G865">
        <f>IF(G$621&gt;=$C865,MIN(-(SUM(F865:$F865)-$E865),($E865*(1-$D$623))*$D865),0)*G$619</f>
        <v>0</v>
      </c>
      <c r="H865">
        <f>IF(H$621&gt;=$C865,MIN(-(SUM($F865:G865)-$E865),($E865*(1-$D$623))*$D865),0)*H$619</f>
        <v>0</v>
      </c>
      <c r="I865">
        <f>IF(I$621&gt;=$C865,MIN(-(SUM($F865:H865)-$E865),($E865*(1-$D$623))*$D865),0)*I$619</f>
        <v>0</v>
      </c>
      <c r="J865">
        <f>IF(J$621&gt;=$C865,MIN(-(SUM($F865:I865)-$E865),($E865*(1-$D$623))*$D865),0)*J$619</f>
        <v>0</v>
      </c>
      <c r="K865">
        <f>IF(K$621&gt;=$C865,MIN(-(SUM($F865:J865)-$E865),($E865*(1-$D$623))*$D865),0)*K$619</f>
        <v>0</v>
      </c>
      <c r="L865">
        <f>IF(L$621&gt;=$C865,MIN(-(SUM($F865:K865)-$E865),($E865*(1-$D$623))*$D865),0)*L$619</f>
        <v>0</v>
      </c>
      <c r="M865">
        <f>IF(M$621&gt;=$C865,MIN(-(SUM($F865:L865)-$E865),($E865*(1-$D$623))*$D865),0)*M$619</f>
        <v>0</v>
      </c>
      <c r="N865">
        <f>IF(N$621&gt;=$C865,MIN(-(SUM($F865:M865)-$E865),($E865*(1-$D$623))*$D865),0)*N$619</f>
        <v>0</v>
      </c>
      <c r="O865">
        <f>IF(O$621&gt;=$C865,MIN(-(SUM($F865:N865)-$E865),($E865*(1-$D$623))*$D865),0)*O$619</f>
        <v>0</v>
      </c>
      <c r="P865">
        <f>IF(P$621&gt;=$C865,MIN(-(SUM($F865:O865)-$E865),($E865*(1-$D$623))*$D865),0)*P$619</f>
        <v>0</v>
      </c>
      <c r="Q865">
        <f>IF(Q$621&gt;=$C865,MIN(-(SUM($F865:P865)-$E865),($E865*(1-$D$623))*$D865),0)*Q$619</f>
        <v>0</v>
      </c>
      <c r="R865">
        <f>IF(R$621&gt;=$C865,MIN(-(SUM($F865:Q865)-$E865),($E865*(1-$D$623))*$D865),0)*R$619</f>
        <v>0</v>
      </c>
      <c r="S865">
        <f>IF(S$621&gt;=$C865,MIN(-(SUM($F865:R865)-$E865),($E865*(1-$D$623))*$D865),0)*S$619</f>
        <v>0</v>
      </c>
      <c r="T865">
        <f>IF(T$621&gt;=$C865,MIN(-(SUM($F865:S865)-$E865),($E865*(1-$D$623))*$D865),0)*T$619</f>
        <v>0</v>
      </c>
      <c r="U865">
        <f>IF(U$621&gt;=$C865,MIN(-(SUM($F865:T865)-$E865),($E865*(1-$D$623))*$D865),0)*U$619</f>
        <v>0</v>
      </c>
      <c r="V865">
        <f>IF(V$621&gt;=$C865,MIN(-(SUM($F865:U865)-$E865),($E865*(1-$D$623))*$D865),0)*V$619</f>
        <v>0</v>
      </c>
      <c r="W865">
        <f>IF(W$621&gt;=$C865,MIN(-(SUM($F865:V865)-$E865),($E865*(1-$D$623))*$D865),0)*W$619</f>
        <v>0</v>
      </c>
      <c r="X865">
        <f>IF(X$621&gt;=$C865,MIN(-(SUM($F865:W865)-$E865),($E865*(1-$D$623))*$D865),0)*X$619</f>
        <v>0</v>
      </c>
      <c r="Y865">
        <f>IF(Y$621&gt;=$C865,MIN(-(SUM($F865:X865)-$E865),($E865*(1-$D$623))*$D865),0)*Y$619</f>
        <v>0</v>
      </c>
      <c r="Z865">
        <f>IF(Z$621&gt;=$C865,MIN(-(SUM($F865:Y865)-$E865),($E865*(1-$D$623))*$D865),0)*Z$619</f>
        <v>0</v>
      </c>
      <c r="AA865">
        <f>IF(AA$621&gt;=$C865,MIN(-(SUM($F865:Z865)-$E865),($E865*(1-$D$623))*$D865),0)*AA$619</f>
        <v>0</v>
      </c>
      <c r="AB865">
        <f>IF(AB$621&gt;=$C865,MIN(-(SUM($F865:AA865)-$E865),($E865*(1-$D$623))*$D865),0)*AB$619</f>
        <v>0</v>
      </c>
      <c r="AC865">
        <f>IF(AC$621&gt;=$C865,MIN(-(SUM($F865:AB865)-$E865),($E865*(1-$D$623))*$D865),0)*AC$619</f>
        <v>0</v>
      </c>
      <c r="AD865">
        <f>IF(AD$621&gt;=$C865,MIN(-(SUM($F865:AC865)-$E865),($E865*(1-$D$623))*$D865),0)*AD$619</f>
        <v>0</v>
      </c>
      <c r="AE865">
        <f>IF(AE$621&gt;=$C865,MIN(-(SUM($F865:AD865)-$E865),($E865*(1-$D$623))*$D865),0)*AE$619</f>
        <v>0</v>
      </c>
      <c r="AF865">
        <f>IF(AF$621&gt;=$C865,MIN(-(SUM($F865:AE865)-$E865),($E865*(1-$D$623))*$D865),0)*AF$619</f>
        <v>0</v>
      </c>
      <c r="AG865">
        <f>IF(AG$621&gt;=$C865,MIN(-(SUM($F865:AF865)-$E865),($E865*(1-$D$623))*$D865),0)*AG$619</f>
        <v>0</v>
      </c>
      <c r="AH865">
        <f>IF(AH$621&gt;=$C865,MIN(-(SUM($F865:AG865)-$E865),($E865*(1-$D$623))*$D865),0)*AH$619</f>
        <v>0</v>
      </c>
      <c r="AI865">
        <f>IF(AI$621&gt;=$C865,MIN(-(SUM($F865:AH865)-$E865),($E865*(1-$D$623))*$D865),0)*AI$619</f>
        <v>0</v>
      </c>
      <c r="AJ865">
        <f>IF(AJ$621&gt;=$C865,MIN(-(SUM($F865:AI865)-$E865),($E865*(1-$D$623))*$D865),0)*AJ$619</f>
        <v>0</v>
      </c>
      <c r="AK865">
        <f>IF(AK$621&gt;=$C865,MIN(-(SUM($F865:AJ865)-$E865),($E865*(1-$D$623))*$D865),0)*AK$619</f>
        <v>0</v>
      </c>
      <c r="AL865">
        <f>IF(AL$621&gt;=$C865,MIN(-(SUM($F865:AK865)-$E865),($E865*(1-$D$623))*$D865),0)*AL$619</f>
        <v>0</v>
      </c>
      <c r="AM865">
        <f>IF(AM$621&gt;=$C865,MIN(-(SUM($F865:AL865)-$E865),($E865*(1-$D$623))*$D865),0)*AM$619</f>
        <v>0</v>
      </c>
      <c r="AN865">
        <f>IF(AN$621&gt;=$C865,MIN(-(SUM($F865:AM865)-$E865),($E865*(1-$D$623))*$D865),0)*AN$619</f>
        <v>0</v>
      </c>
    </row>
    <row r="866" spans="3:40" outlineLevel="4">
      <c r="C866">
        <v>16</v>
      </c>
      <c r="D866">
        <f>Inputs!$D$262</f>
        <v>0.1</v>
      </c>
      <c r="E866">
        <v>0</v>
      </c>
      <c r="F866" s="461">
        <f>E866*D848</f>
        <v>0</v>
      </c>
      <c r="G866">
        <f>IF(G$621&gt;=$C866,MIN(-(SUM(F866:$F866)-$E866),($E866*(1-$D$623))*$D866),0)*G$619</f>
        <v>0</v>
      </c>
      <c r="H866">
        <f>IF(H$621&gt;=$C866,MIN(-(SUM($F866:G866)-$E866),($E866*(1-$D$623))*$D866),0)*H$619</f>
        <v>0</v>
      </c>
      <c r="I866">
        <f>IF(I$621&gt;=$C866,MIN(-(SUM($F866:H866)-$E866),($E866*(1-$D$623))*$D866),0)*I$619</f>
        <v>0</v>
      </c>
      <c r="J866">
        <f>IF(J$621&gt;=$C866,MIN(-(SUM($F866:I866)-$E866),($E866*(1-$D$623))*$D866),0)*J$619</f>
        <v>0</v>
      </c>
      <c r="K866">
        <f>IF(K$621&gt;=$C866,MIN(-(SUM($F866:J866)-$E866),($E866*(1-$D$623))*$D866),0)*K$619</f>
        <v>0</v>
      </c>
      <c r="L866">
        <f>IF(L$621&gt;=$C866,MIN(-(SUM($F866:K866)-$E866),($E866*(1-$D$623))*$D866),0)*L$619</f>
        <v>0</v>
      </c>
      <c r="M866">
        <f>IF(M$621&gt;=$C866,MIN(-(SUM($F866:L866)-$E866),($E866*(1-$D$623))*$D866),0)*M$619</f>
        <v>0</v>
      </c>
      <c r="N866">
        <f>IF(N$621&gt;=$C866,MIN(-(SUM($F866:M866)-$E866),($E866*(1-$D$623))*$D866),0)*N$619</f>
        <v>0</v>
      </c>
      <c r="O866">
        <f>IF(O$621&gt;=$C866,MIN(-(SUM($F866:N866)-$E866),($E866*(1-$D$623))*$D866),0)*O$619</f>
        <v>0</v>
      </c>
      <c r="P866">
        <f>IF(P$621&gt;=$C866,MIN(-(SUM($F866:O866)-$E866),($E866*(1-$D$623))*$D866),0)*P$619</f>
        <v>0</v>
      </c>
      <c r="Q866">
        <f>IF(Q$621&gt;=$C866,MIN(-(SUM($F866:P866)-$E866),($E866*(1-$D$623))*$D866),0)*Q$619</f>
        <v>0</v>
      </c>
      <c r="R866">
        <f>IF(R$621&gt;=$C866,MIN(-(SUM($F866:Q866)-$E866),($E866*(1-$D$623))*$D866),0)*R$619</f>
        <v>0</v>
      </c>
      <c r="S866">
        <f>IF(S$621&gt;=$C866,MIN(-(SUM($F866:R866)-$E866),($E866*(1-$D$623))*$D866),0)*S$619</f>
        <v>0</v>
      </c>
      <c r="T866">
        <f>IF(T$621&gt;=$C866,MIN(-(SUM($F866:S866)-$E866),($E866*(1-$D$623))*$D866),0)*T$619</f>
        <v>0</v>
      </c>
      <c r="U866">
        <f>IF(U$621&gt;=$C866,MIN(-(SUM($F866:T866)-$E866),($E866*(1-$D$623))*$D866),0)*U$619</f>
        <v>0</v>
      </c>
      <c r="V866">
        <f>IF(V$621&gt;=$C866,MIN(-(SUM($F866:U866)-$E866),($E866*(1-$D$623))*$D866),0)*V$619</f>
        <v>0</v>
      </c>
      <c r="W866">
        <f>IF(W$621&gt;=$C866,MIN(-(SUM($F866:V866)-$E866),($E866*(1-$D$623))*$D866),0)*W$619</f>
        <v>0</v>
      </c>
      <c r="X866">
        <f>IF(X$621&gt;=$C866,MIN(-(SUM($F866:W866)-$E866),($E866*(1-$D$623))*$D866),0)*X$619</f>
        <v>0</v>
      </c>
      <c r="Y866">
        <f>IF(Y$621&gt;=$C866,MIN(-(SUM($F866:X866)-$E866),($E866*(1-$D$623))*$D866),0)*Y$619</f>
        <v>0</v>
      </c>
      <c r="Z866">
        <f>IF(Z$621&gt;=$C866,MIN(-(SUM($F866:Y866)-$E866),($E866*(1-$D$623))*$D866),0)*Z$619</f>
        <v>0</v>
      </c>
      <c r="AA866">
        <f>IF(AA$621&gt;=$C866,MIN(-(SUM($F866:Z866)-$E866),($E866*(1-$D$623))*$D866),0)*AA$619</f>
        <v>0</v>
      </c>
      <c r="AB866">
        <f>IF(AB$621&gt;=$C866,MIN(-(SUM($F866:AA866)-$E866),($E866*(1-$D$623))*$D866),0)*AB$619</f>
        <v>0</v>
      </c>
      <c r="AC866">
        <f>IF(AC$621&gt;=$C866,MIN(-(SUM($F866:AB866)-$E866),($E866*(1-$D$623))*$D866),0)*AC$619</f>
        <v>0</v>
      </c>
      <c r="AD866">
        <f>IF(AD$621&gt;=$C866,MIN(-(SUM($F866:AC866)-$E866),($E866*(1-$D$623))*$D866),0)*AD$619</f>
        <v>0</v>
      </c>
      <c r="AE866">
        <f>IF(AE$621&gt;=$C866,MIN(-(SUM($F866:AD866)-$E866),($E866*(1-$D$623))*$D866),0)*AE$619</f>
        <v>0</v>
      </c>
      <c r="AF866">
        <f>IF(AF$621&gt;=$C866,MIN(-(SUM($F866:AE866)-$E866),($E866*(1-$D$623))*$D866),0)*AF$619</f>
        <v>0</v>
      </c>
      <c r="AG866">
        <f>IF(AG$621&gt;=$C866,MIN(-(SUM($F866:AF866)-$E866),($E866*(1-$D$623))*$D866),0)*AG$619</f>
        <v>0</v>
      </c>
      <c r="AH866">
        <f>IF(AH$621&gt;=$C866,MIN(-(SUM($F866:AG866)-$E866),($E866*(1-$D$623))*$D866),0)*AH$619</f>
        <v>0</v>
      </c>
      <c r="AI866">
        <f>IF(AI$621&gt;=$C866,MIN(-(SUM($F866:AH866)-$E866),($E866*(1-$D$623))*$D866),0)*AI$619</f>
        <v>0</v>
      </c>
      <c r="AJ866">
        <f>IF(AJ$621&gt;=$C866,MIN(-(SUM($F866:AI866)-$E866),($E866*(1-$D$623))*$D866),0)*AJ$619</f>
        <v>0</v>
      </c>
      <c r="AK866">
        <f>IF(AK$621&gt;=$C866,MIN(-(SUM($F866:AJ866)-$E866),($E866*(1-$D$623))*$D866),0)*AK$619</f>
        <v>0</v>
      </c>
      <c r="AL866">
        <f>IF(AL$621&gt;=$C866,MIN(-(SUM($F866:AK866)-$E866),($E866*(1-$D$623))*$D866),0)*AL$619</f>
        <v>0</v>
      </c>
      <c r="AM866">
        <f>IF(AM$621&gt;=$C866,MIN(-(SUM($F866:AL866)-$E866),($E866*(1-$D$623))*$D866),0)*AM$619</f>
        <v>0</v>
      </c>
      <c r="AN866">
        <f>IF(AN$621&gt;=$C866,MIN(-(SUM($F866:AM866)-$E866),($E866*(1-$D$623))*$D866),0)*AN$619</f>
        <v>0</v>
      </c>
    </row>
    <row r="867" spans="3:40" outlineLevel="4">
      <c r="C867">
        <v>17</v>
      </c>
      <c r="D867">
        <f>Inputs!$D$262</f>
        <v>0.1</v>
      </c>
      <c r="E867">
        <v>0</v>
      </c>
      <c r="F867" s="461">
        <f>E867*D848</f>
        <v>0</v>
      </c>
      <c r="G867">
        <f>IF(G$621&gt;=$C867,MIN(-(SUM(F867:$F867)-$E867),($E867*(1-$D$623))*$D867),0)*G$619</f>
        <v>0</v>
      </c>
      <c r="H867">
        <f>IF(H$621&gt;=$C867,MIN(-(SUM($F867:G867)-$E867),($E867*(1-$D$623))*$D867),0)*H$619</f>
        <v>0</v>
      </c>
      <c r="I867">
        <f>IF(I$621&gt;=$C867,MIN(-(SUM($F867:H867)-$E867),($E867*(1-$D$623))*$D867),0)*I$619</f>
        <v>0</v>
      </c>
      <c r="J867">
        <f>IF(J$621&gt;=$C867,MIN(-(SUM($F867:I867)-$E867),($E867*(1-$D$623))*$D867),0)*J$619</f>
        <v>0</v>
      </c>
      <c r="K867">
        <f>IF(K$621&gt;=$C867,MIN(-(SUM($F867:J867)-$E867),($E867*(1-$D$623))*$D867),0)*K$619</f>
        <v>0</v>
      </c>
      <c r="L867">
        <f>IF(L$621&gt;=$C867,MIN(-(SUM($F867:K867)-$E867),($E867*(1-$D$623))*$D867),0)*L$619</f>
        <v>0</v>
      </c>
      <c r="M867">
        <f>IF(M$621&gt;=$C867,MIN(-(SUM($F867:L867)-$E867),($E867*(1-$D$623))*$D867),0)*M$619</f>
        <v>0</v>
      </c>
      <c r="N867">
        <f>IF(N$621&gt;=$C867,MIN(-(SUM($F867:M867)-$E867),($E867*(1-$D$623))*$D867),0)*N$619</f>
        <v>0</v>
      </c>
      <c r="O867">
        <f>IF(O$621&gt;=$C867,MIN(-(SUM($F867:N867)-$E867),($E867*(1-$D$623))*$D867),0)*O$619</f>
        <v>0</v>
      </c>
      <c r="P867">
        <f>IF(P$621&gt;=$C867,MIN(-(SUM($F867:O867)-$E867),($E867*(1-$D$623))*$D867),0)*P$619</f>
        <v>0</v>
      </c>
      <c r="Q867">
        <f>IF(Q$621&gt;=$C867,MIN(-(SUM($F867:P867)-$E867),($E867*(1-$D$623))*$D867),0)*Q$619</f>
        <v>0</v>
      </c>
      <c r="R867">
        <f>IF(R$621&gt;=$C867,MIN(-(SUM($F867:Q867)-$E867),($E867*(1-$D$623))*$D867),0)*R$619</f>
        <v>0</v>
      </c>
      <c r="S867">
        <f>IF(S$621&gt;=$C867,MIN(-(SUM($F867:R867)-$E867),($E867*(1-$D$623))*$D867),0)*S$619</f>
        <v>0</v>
      </c>
      <c r="T867">
        <f>IF(T$621&gt;=$C867,MIN(-(SUM($F867:S867)-$E867),($E867*(1-$D$623))*$D867),0)*T$619</f>
        <v>0</v>
      </c>
      <c r="U867">
        <f>IF(U$621&gt;=$C867,MIN(-(SUM($F867:T867)-$E867),($E867*(1-$D$623))*$D867),0)*U$619</f>
        <v>0</v>
      </c>
      <c r="V867">
        <f>IF(V$621&gt;=$C867,MIN(-(SUM($F867:U867)-$E867),($E867*(1-$D$623))*$D867),0)*V$619</f>
        <v>0</v>
      </c>
      <c r="W867">
        <f>IF(W$621&gt;=$C867,MIN(-(SUM($F867:V867)-$E867),($E867*(1-$D$623))*$D867),0)*W$619</f>
        <v>0</v>
      </c>
      <c r="X867">
        <f>IF(X$621&gt;=$C867,MIN(-(SUM($F867:W867)-$E867),($E867*(1-$D$623))*$D867),0)*X$619</f>
        <v>0</v>
      </c>
      <c r="Y867">
        <f>IF(Y$621&gt;=$C867,MIN(-(SUM($F867:X867)-$E867),($E867*(1-$D$623))*$D867),0)*Y$619</f>
        <v>0</v>
      </c>
      <c r="Z867">
        <f>IF(Z$621&gt;=$C867,MIN(-(SUM($F867:Y867)-$E867),($E867*(1-$D$623))*$D867),0)*Z$619</f>
        <v>0</v>
      </c>
      <c r="AA867">
        <f>IF(AA$621&gt;=$C867,MIN(-(SUM($F867:Z867)-$E867),($E867*(1-$D$623))*$D867),0)*AA$619</f>
        <v>0</v>
      </c>
      <c r="AB867">
        <f>IF(AB$621&gt;=$C867,MIN(-(SUM($F867:AA867)-$E867),($E867*(1-$D$623))*$D867),0)*AB$619</f>
        <v>0</v>
      </c>
      <c r="AC867">
        <f>IF(AC$621&gt;=$C867,MIN(-(SUM($F867:AB867)-$E867),($E867*(1-$D$623))*$D867),0)*AC$619</f>
        <v>0</v>
      </c>
      <c r="AD867">
        <f>IF(AD$621&gt;=$C867,MIN(-(SUM($F867:AC867)-$E867),($E867*(1-$D$623))*$D867),0)*AD$619</f>
        <v>0</v>
      </c>
      <c r="AE867">
        <f>IF(AE$621&gt;=$C867,MIN(-(SUM($F867:AD867)-$E867),($E867*(1-$D$623))*$D867),0)*AE$619</f>
        <v>0</v>
      </c>
      <c r="AF867">
        <f>IF(AF$621&gt;=$C867,MIN(-(SUM($F867:AE867)-$E867),($E867*(1-$D$623))*$D867),0)*AF$619</f>
        <v>0</v>
      </c>
      <c r="AG867">
        <f>IF(AG$621&gt;=$C867,MIN(-(SUM($F867:AF867)-$E867),($E867*(1-$D$623))*$D867),0)*AG$619</f>
        <v>0</v>
      </c>
      <c r="AH867">
        <f>IF(AH$621&gt;=$C867,MIN(-(SUM($F867:AG867)-$E867),($E867*(1-$D$623))*$D867),0)*AH$619</f>
        <v>0</v>
      </c>
      <c r="AI867">
        <f>IF(AI$621&gt;=$C867,MIN(-(SUM($F867:AH867)-$E867),($E867*(1-$D$623))*$D867),0)*AI$619</f>
        <v>0</v>
      </c>
      <c r="AJ867">
        <f>IF(AJ$621&gt;=$C867,MIN(-(SUM($F867:AI867)-$E867),($E867*(1-$D$623))*$D867),0)*AJ$619</f>
        <v>0</v>
      </c>
      <c r="AK867">
        <f>IF(AK$621&gt;=$C867,MIN(-(SUM($F867:AJ867)-$E867),($E867*(1-$D$623))*$D867),0)*AK$619</f>
        <v>0</v>
      </c>
      <c r="AL867">
        <f>IF(AL$621&gt;=$C867,MIN(-(SUM($F867:AK867)-$E867),($E867*(1-$D$623))*$D867),0)*AL$619</f>
        <v>0</v>
      </c>
      <c r="AM867">
        <f>IF(AM$621&gt;=$C867,MIN(-(SUM($F867:AL867)-$E867),($E867*(1-$D$623))*$D867),0)*AM$619</f>
        <v>0</v>
      </c>
      <c r="AN867">
        <f>IF(AN$621&gt;=$C867,MIN(-(SUM($F867:AM867)-$E867),($E867*(1-$D$623))*$D867),0)*AN$619</f>
        <v>0</v>
      </c>
    </row>
    <row r="868" spans="3:40" outlineLevel="4">
      <c r="C868">
        <v>18</v>
      </c>
      <c r="D868">
        <f>Inputs!$D$262</f>
        <v>0.1</v>
      </c>
      <c r="E868">
        <v>0</v>
      </c>
      <c r="F868" s="461">
        <f>E868*D848</f>
        <v>0</v>
      </c>
      <c r="G868">
        <f>IF(G$621&gt;=$C868,MIN(-(SUM(F868:$F868)-$E868),($E868*(1-$D$623))*$D868),0)*G$619</f>
        <v>0</v>
      </c>
      <c r="H868">
        <f>IF(H$621&gt;=$C868,MIN(-(SUM($F868:G868)-$E868),($E868*(1-$D$623))*$D868),0)*H$619</f>
        <v>0</v>
      </c>
      <c r="I868">
        <f>IF(I$621&gt;=$C868,MIN(-(SUM($F868:H868)-$E868),($E868*(1-$D$623))*$D868),0)*I$619</f>
        <v>0</v>
      </c>
      <c r="J868">
        <f>IF(J$621&gt;=$C868,MIN(-(SUM($F868:I868)-$E868),($E868*(1-$D$623))*$D868),0)*J$619</f>
        <v>0</v>
      </c>
      <c r="K868">
        <f>IF(K$621&gt;=$C868,MIN(-(SUM($F868:J868)-$E868),($E868*(1-$D$623))*$D868),0)*K$619</f>
        <v>0</v>
      </c>
      <c r="L868">
        <f>IF(L$621&gt;=$C868,MIN(-(SUM($F868:K868)-$E868),($E868*(1-$D$623))*$D868),0)*L$619</f>
        <v>0</v>
      </c>
      <c r="M868">
        <f>IF(M$621&gt;=$C868,MIN(-(SUM($F868:L868)-$E868),($E868*(1-$D$623))*$D868),0)*M$619</f>
        <v>0</v>
      </c>
      <c r="N868">
        <f>IF(N$621&gt;=$C868,MIN(-(SUM($F868:M868)-$E868),($E868*(1-$D$623))*$D868),0)*N$619</f>
        <v>0</v>
      </c>
      <c r="O868">
        <f>IF(O$621&gt;=$C868,MIN(-(SUM($F868:N868)-$E868),($E868*(1-$D$623))*$D868),0)*O$619</f>
        <v>0</v>
      </c>
      <c r="P868">
        <f>IF(P$621&gt;=$C868,MIN(-(SUM($F868:O868)-$E868),($E868*(1-$D$623))*$D868),0)*P$619</f>
        <v>0</v>
      </c>
      <c r="Q868">
        <f>IF(Q$621&gt;=$C868,MIN(-(SUM($F868:P868)-$E868),($E868*(1-$D$623))*$D868),0)*Q$619</f>
        <v>0</v>
      </c>
      <c r="R868">
        <f>IF(R$621&gt;=$C868,MIN(-(SUM($F868:Q868)-$E868),($E868*(1-$D$623))*$D868),0)*R$619</f>
        <v>0</v>
      </c>
      <c r="S868">
        <f>IF(S$621&gt;=$C868,MIN(-(SUM($F868:R868)-$E868),($E868*(1-$D$623))*$D868),0)*S$619</f>
        <v>0</v>
      </c>
      <c r="T868">
        <f>IF(T$621&gt;=$C868,MIN(-(SUM($F868:S868)-$E868),($E868*(1-$D$623))*$D868),0)*T$619</f>
        <v>0</v>
      </c>
      <c r="U868">
        <f>IF(U$621&gt;=$C868,MIN(-(SUM($F868:T868)-$E868),($E868*(1-$D$623))*$D868),0)*U$619</f>
        <v>0</v>
      </c>
      <c r="V868">
        <f>IF(V$621&gt;=$C868,MIN(-(SUM($F868:U868)-$E868),($E868*(1-$D$623))*$D868),0)*V$619</f>
        <v>0</v>
      </c>
      <c r="W868">
        <f>IF(W$621&gt;=$C868,MIN(-(SUM($F868:V868)-$E868),($E868*(1-$D$623))*$D868),0)*W$619</f>
        <v>0</v>
      </c>
      <c r="X868">
        <f>IF(X$621&gt;=$C868,MIN(-(SUM($F868:W868)-$E868),($E868*(1-$D$623))*$D868),0)*X$619</f>
        <v>0</v>
      </c>
      <c r="Y868">
        <f>IF(Y$621&gt;=$C868,MIN(-(SUM($F868:X868)-$E868),($E868*(1-$D$623))*$D868),0)*Y$619</f>
        <v>0</v>
      </c>
      <c r="Z868">
        <f>IF(Z$621&gt;=$C868,MIN(-(SUM($F868:Y868)-$E868),($E868*(1-$D$623))*$D868),0)*Z$619</f>
        <v>0</v>
      </c>
      <c r="AA868">
        <f>IF(AA$621&gt;=$C868,MIN(-(SUM($F868:Z868)-$E868),($E868*(1-$D$623))*$D868),0)*AA$619</f>
        <v>0</v>
      </c>
      <c r="AB868">
        <f>IF(AB$621&gt;=$C868,MIN(-(SUM($F868:AA868)-$E868),($E868*(1-$D$623))*$D868),0)*AB$619</f>
        <v>0</v>
      </c>
      <c r="AC868">
        <f>IF(AC$621&gt;=$C868,MIN(-(SUM($F868:AB868)-$E868),($E868*(1-$D$623))*$D868),0)*AC$619</f>
        <v>0</v>
      </c>
      <c r="AD868">
        <f>IF(AD$621&gt;=$C868,MIN(-(SUM($F868:AC868)-$E868),($E868*(1-$D$623))*$D868),0)*AD$619</f>
        <v>0</v>
      </c>
      <c r="AE868">
        <f>IF(AE$621&gt;=$C868,MIN(-(SUM($F868:AD868)-$E868),($E868*(1-$D$623))*$D868),0)*AE$619</f>
        <v>0</v>
      </c>
      <c r="AF868">
        <f>IF(AF$621&gt;=$C868,MIN(-(SUM($F868:AE868)-$E868),($E868*(1-$D$623))*$D868),0)*AF$619</f>
        <v>0</v>
      </c>
      <c r="AG868">
        <f>IF(AG$621&gt;=$C868,MIN(-(SUM($F868:AF868)-$E868),($E868*(1-$D$623))*$D868),0)*AG$619</f>
        <v>0</v>
      </c>
      <c r="AH868">
        <f>IF(AH$621&gt;=$C868,MIN(-(SUM($F868:AG868)-$E868),($E868*(1-$D$623))*$D868),0)*AH$619</f>
        <v>0</v>
      </c>
      <c r="AI868">
        <f>IF(AI$621&gt;=$C868,MIN(-(SUM($F868:AH868)-$E868),($E868*(1-$D$623))*$D868),0)*AI$619</f>
        <v>0</v>
      </c>
      <c r="AJ868">
        <f>IF(AJ$621&gt;=$C868,MIN(-(SUM($F868:AI868)-$E868),($E868*(1-$D$623))*$D868),0)*AJ$619</f>
        <v>0</v>
      </c>
      <c r="AK868">
        <f>IF(AK$621&gt;=$C868,MIN(-(SUM($F868:AJ868)-$E868),($E868*(1-$D$623))*$D868),0)*AK$619</f>
        <v>0</v>
      </c>
      <c r="AL868">
        <f>IF(AL$621&gt;=$C868,MIN(-(SUM($F868:AK868)-$E868),($E868*(1-$D$623))*$D868),0)*AL$619</f>
        <v>0</v>
      </c>
      <c r="AM868">
        <f>IF(AM$621&gt;=$C868,MIN(-(SUM($F868:AL868)-$E868),($E868*(1-$D$623))*$D868),0)*AM$619</f>
        <v>0</v>
      </c>
      <c r="AN868">
        <f>IF(AN$621&gt;=$C868,MIN(-(SUM($F868:AM868)-$E868),($E868*(1-$D$623))*$D868),0)*AN$619</f>
        <v>0</v>
      </c>
    </row>
    <row r="869" spans="3:40" outlineLevel="4">
      <c r="C869">
        <v>19</v>
      </c>
      <c r="D869">
        <f>Inputs!$D$262</f>
        <v>0.1</v>
      </c>
      <c r="E869">
        <v>0</v>
      </c>
      <c r="F869" s="461">
        <f>E869*D848</f>
        <v>0</v>
      </c>
      <c r="G869">
        <f>IF(G$621&gt;=$C869,MIN(-(SUM(F869:$F869)-$E869),($E869*(1-$D$623))*$D869),0)*G$619</f>
        <v>0</v>
      </c>
      <c r="H869">
        <f>IF(H$621&gt;=$C869,MIN(-(SUM($F869:G869)-$E869),($E869*(1-$D$623))*$D869),0)*H$619</f>
        <v>0</v>
      </c>
      <c r="I869">
        <f>IF(I$621&gt;=$C869,MIN(-(SUM($F869:H869)-$E869),($E869*(1-$D$623))*$D869),0)*I$619</f>
        <v>0</v>
      </c>
      <c r="J869">
        <f>IF(J$621&gt;=$C869,MIN(-(SUM($F869:I869)-$E869),($E869*(1-$D$623))*$D869),0)*J$619</f>
        <v>0</v>
      </c>
      <c r="K869">
        <f>IF(K$621&gt;=$C869,MIN(-(SUM($F869:J869)-$E869),($E869*(1-$D$623))*$D869),0)*K$619</f>
        <v>0</v>
      </c>
      <c r="L869">
        <f>IF(L$621&gt;=$C869,MIN(-(SUM($F869:K869)-$E869),($E869*(1-$D$623))*$D869),0)*L$619</f>
        <v>0</v>
      </c>
      <c r="M869">
        <f>IF(M$621&gt;=$C869,MIN(-(SUM($F869:L869)-$E869),($E869*(1-$D$623))*$D869),0)*M$619</f>
        <v>0</v>
      </c>
      <c r="N869">
        <f>IF(N$621&gt;=$C869,MIN(-(SUM($F869:M869)-$E869),($E869*(1-$D$623))*$D869),0)*N$619</f>
        <v>0</v>
      </c>
      <c r="O869">
        <f>IF(O$621&gt;=$C869,MIN(-(SUM($F869:N869)-$E869),($E869*(1-$D$623))*$D869),0)*O$619</f>
        <v>0</v>
      </c>
      <c r="P869">
        <f>IF(P$621&gt;=$C869,MIN(-(SUM($F869:O869)-$E869),($E869*(1-$D$623))*$D869),0)*P$619</f>
        <v>0</v>
      </c>
      <c r="Q869">
        <f>IF(Q$621&gt;=$C869,MIN(-(SUM($F869:P869)-$E869),($E869*(1-$D$623))*$D869),0)*Q$619</f>
        <v>0</v>
      </c>
      <c r="R869">
        <f>IF(R$621&gt;=$C869,MIN(-(SUM($F869:Q869)-$E869),($E869*(1-$D$623))*$D869),0)*R$619</f>
        <v>0</v>
      </c>
      <c r="S869">
        <f>IF(S$621&gt;=$C869,MIN(-(SUM($F869:R869)-$E869),($E869*(1-$D$623))*$D869),0)*S$619</f>
        <v>0</v>
      </c>
      <c r="T869">
        <f>IF(T$621&gt;=$C869,MIN(-(SUM($F869:S869)-$E869),($E869*(1-$D$623))*$D869),0)*T$619</f>
        <v>0</v>
      </c>
      <c r="U869">
        <f>IF(U$621&gt;=$C869,MIN(-(SUM($F869:T869)-$E869),($E869*(1-$D$623))*$D869),0)*U$619</f>
        <v>0</v>
      </c>
      <c r="V869">
        <f>IF(V$621&gt;=$C869,MIN(-(SUM($F869:U869)-$E869),($E869*(1-$D$623))*$D869),0)*V$619</f>
        <v>0</v>
      </c>
      <c r="W869">
        <f>IF(W$621&gt;=$C869,MIN(-(SUM($F869:V869)-$E869),($E869*(1-$D$623))*$D869),0)*W$619</f>
        <v>0</v>
      </c>
      <c r="X869">
        <f>IF(X$621&gt;=$C869,MIN(-(SUM($F869:W869)-$E869),($E869*(1-$D$623))*$D869),0)*X$619</f>
        <v>0</v>
      </c>
      <c r="Y869">
        <f>IF(Y$621&gt;=$C869,MIN(-(SUM($F869:X869)-$E869),($E869*(1-$D$623))*$D869),0)*Y$619</f>
        <v>0</v>
      </c>
      <c r="Z869">
        <f>IF(Z$621&gt;=$C869,MIN(-(SUM($F869:Y869)-$E869),($E869*(1-$D$623))*$D869),0)*Z$619</f>
        <v>0</v>
      </c>
      <c r="AA869">
        <f>IF(AA$621&gt;=$C869,MIN(-(SUM($F869:Z869)-$E869),($E869*(1-$D$623))*$D869),0)*AA$619</f>
        <v>0</v>
      </c>
      <c r="AB869">
        <f>IF(AB$621&gt;=$C869,MIN(-(SUM($F869:AA869)-$E869),($E869*(1-$D$623))*$D869),0)*AB$619</f>
        <v>0</v>
      </c>
      <c r="AC869">
        <f>IF(AC$621&gt;=$C869,MIN(-(SUM($F869:AB869)-$E869),($E869*(1-$D$623))*$D869),0)*AC$619</f>
        <v>0</v>
      </c>
      <c r="AD869">
        <f>IF(AD$621&gt;=$C869,MIN(-(SUM($F869:AC869)-$E869),($E869*(1-$D$623))*$D869),0)*AD$619</f>
        <v>0</v>
      </c>
      <c r="AE869">
        <f>IF(AE$621&gt;=$C869,MIN(-(SUM($F869:AD869)-$E869),($E869*(1-$D$623))*$D869),0)*AE$619</f>
        <v>0</v>
      </c>
      <c r="AF869">
        <f>IF(AF$621&gt;=$C869,MIN(-(SUM($F869:AE869)-$E869),($E869*(1-$D$623))*$D869),0)*AF$619</f>
        <v>0</v>
      </c>
      <c r="AG869">
        <f>IF(AG$621&gt;=$C869,MIN(-(SUM($F869:AF869)-$E869),($E869*(1-$D$623))*$D869),0)*AG$619</f>
        <v>0</v>
      </c>
      <c r="AH869">
        <f>IF(AH$621&gt;=$C869,MIN(-(SUM($F869:AG869)-$E869),($E869*(1-$D$623))*$D869),0)*AH$619</f>
        <v>0</v>
      </c>
      <c r="AI869">
        <f>IF(AI$621&gt;=$C869,MIN(-(SUM($F869:AH869)-$E869),($E869*(1-$D$623))*$D869),0)*AI$619</f>
        <v>0</v>
      </c>
      <c r="AJ869">
        <f>IF(AJ$621&gt;=$C869,MIN(-(SUM($F869:AI869)-$E869),($E869*(1-$D$623))*$D869),0)*AJ$619</f>
        <v>0</v>
      </c>
      <c r="AK869">
        <f>IF(AK$621&gt;=$C869,MIN(-(SUM($F869:AJ869)-$E869),($E869*(1-$D$623))*$D869),0)*AK$619</f>
        <v>0</v>
      </c>
      <c r="AL869">
        <f>IF(AL$621&gt;=$C869,MIN(-(SUM($F869:AK869)-$E869),($E869*(1-$D$623))*$D869),0)*AL$619</f>
        <v>0</v>
      </c>
      <c r="AM869">
        <f>IF(AM$621&gt;=$C869,MIN(-(SUM($F869:AL869)-$E869),($E869*(1-$D$623))*$D869),0)*AM$619</f>
        <v>0</v>
      </c>
      <c r="AN869">
        <f>IF(AN$621&gt;=$C869,MIN(-(SUM($F869:AM869)-$E869),($E869*(1-$D$623))*$D869),0)*AN$619</f>
        <v>0</v>
      </c>
    </row>
    <row r="870" spans="3:40" outlineLevel="4">
      <c r="C870">
        <v>20</v>
      </c>
      <c r="D870">
        <f>Inputs!$D$262</f>
        <v>0.1</v>
      </c>
      <c r="E870">
        <v>0</v>
      </c>
      <c r="F870" s="461">
        <f>E870*D848</f>
        <v>0</v>
      </c>
      <c r="G870">
        <f>IF(G$621&gt;=$C870,MIN(-(SUM(F870:$F870)-$E870),($E870*(1-$D$623))*$D870),0)*G$619</f>
        <v>0</v>
      </c>
      <c r="H870">
        <f>IF(H$621&gt;=$C870,MIN(-(SUM($F870:G870)-$E870),($E870*(1-$D$623))*$D870),0)*H$619</f>
        <v>0</v>
      </c>
      <c r="I870">
        <f>IF(I$621&gt;=$C870,MIN(-(SUM($F870:H870)-$E870),($E870*(1-$D$623))*$D870),0)*I$619</f>
        <v>0</v>
      </c>
      <c r="J870">
        <f>IF(J$621&gt;=$C870,MIN(-(SUM($F870:I870)-$E870),($E870*(1-$D$623))*$D870),0)*J$619</f>
        <v>0</v>
      </c>
      <c r="K870">
        <f>IF(K$621&gt;=$C870,MIN(-(SUM($F870:J870)-$E870),($E870*(1-$D$623))*$D870),0)*K$619</f>
        <v>0</v>
      </c>
      <c r="L870">
        <f>IF(L$621&gt;=$C870,MIN(-(SUM($F870:K870)-$E870),($E870*(1-$D$623))*$D870),0)*L$619</f>
        <v>0</v>
      </c>
      <c r="M870">
        <f>IF(M$621&gt;=$C870,MIN(-(SUM($F870:L870)-$E870),($E870*(1-$D$623))*$D870),0)*M$619</f>
        <v>0</v>
      </c>
      <c r="N870">
        <f>IF(N$621&gt;=$C870,MIN(-(SUM($F870:M870)-$E870),($E870*(1-$D$623))*$D870),0)*N$619</f>
        <v>0</v>
      </c>
      <c r="O870">
        <f>IF(O$621&gt;=$C870,MIN(-(SUM($F870:N870)-$E870),($E870*(1-$D$623))*$D870),0)*O$619</f>
        <v>0</v>
      </c>
      <c r="P870">
        <f>IF(P$621&gt;=$C870,MIN(-(SUM($F870:O870)-$E870),($E870*(1-$D$623))*$D870),0)*P$619</f>
        <v>0</v>
      </c>
      <c r="Q870">
        <f>IF(Q$621&gt;=$C870,MIN(-(SUM($F870:P870)-$E870),($E870*(1-$D$623))*$D870),0)*Q$619</f>
        <v>0</v>
      </c>
      <c r="R870">
        <f>IF(R$621&gt;=$C870,MIN(-(SUM($F870:Q870)-$E870),($E870*(1-$D$623))*$D870),0)*R$619</f>
        <v>0</v>
      </c>
      <c r="S870">
        <f>IF(S$621&gt;=$C870,MIN(-(SUM($F870:R870)-$E870),($E870*(1-$D$623))*$D870),0)*S$619</f>
        <v>0</v>
      </c>
      <c r="T870">
        <f>IF(T$621&gt;=$C870,MIN(-(SUM($F870:S870)-$E870),($E870*(1-$D$623))*$D870),0)*T$619</f>
        <v>0</v>
      </c>
      <c r="U870">
        <f>IF(U$621&gt;=$C870,MIN(-(SUM($F870:T870)-$E870),($E870*(1-$D$623))*$D870),0)*U$619</f>
        <v>0</v>
      </c>
      <c r="V870">
        <f>IF(V$621&gt;=$C870,MIN(-(SUM($F870:U870)-$E870),($E870*(1-$D$623))*$D870),0)*V$619</f>
        <v>0</v>
      </c>
      <c r="W870">
        <f>IF(W$621&gt;=$C870,MIN(-(SUM($F870:V870)-$E870),($E870*(1-$D$623))*$D870),0)*W$619</f>
        <v>0</v>
      </c>
      <c r="X870">
        <f>IF(X$621&gt;=$C870,MIN(-(SUM($F870:W870)-$E870),($E870*(1-$D$623))*$D870),0)*X$619</f>
        <v>0</v>
      </c>
      <c r="Y870">
        <f>IF(Y$621&gt;=$C870,MIN(-(SUM($F870:X870)-$E870),($E870*(1-$D$623))*$D870),0)*Y$619</f>
        <v>0</v>
      </c>
      <c r="Z870">
        <f>IF(Z$621&gt;=$C870,MIN(-(SUM($F870:Y870)-$E870),($E870*(1-$D$623))*$D870),0)*Z$619</f>
        <v>0</v>
      </c>
      <c r="AA870">
        <f>IF(AA$621&gt;=$C870,MIN(-(SUM($F870:Z870)-$E870),($E870*(1-$D$623))*$D870),0)*AA$619</f>
        <v>0</v>
      </c>
      <c r="AB870">
        <f>IF(AB$621&gt;=$C870,MIN(-(SUM($F870:AA870)-$E870),($E870*(1-$D$623))*$D870),0)*AB$619</f>
        <v>0</v>
      </c>
      <c r="AC870">
        <f>IF(AC$621&gt;=$C870,MIN(-(SUM($F870:AB870)-$E870),($E870*(1-$D$623))*$D870),0)*AC$619</f>
        <v>0</v>
      </c>
      <c r="AD870">
        <f>IF(AD$621&gt;=$C870,MIN(-(SUM($F870:AC870)-$E870),($E870*(1-$D$623))*$D870),0)*AD$619</f>
        <v>0</v>
      </c>
      <c r="AE870">
        <f>IF(AE$621&gt;=$C870,MIN(-(SUM($F870:AD870)-$E870),($E870*(1-$D$623))*$D870),0)*AE$619</f>
        <v>0</v>
      </c>
      <c r="AF870">
        <f>IF(AF$621&gt;=$C870,MIN(-(SUM($F870:AE870)-$E870),($E870*(1-$D$623))*$D870),0)*AF$619</f>
        <v>0</v>
      </c>
      <c r="AG870">
        <f>IF(AG$621&gt;=$C870,MIN(-(SUM($F870:AF870)-$E870),($E870*(1-$D$623))*$D870),0)*AG$619</f>
        <v>0</v>
      </c>
      <c r="AH870">
        <f>IF(AH$621&gt;=$C870,MIN(-(SUM($F870:AG870)-$E870),($E870*(1-$D$623))*$D870),0)*AH$619</f>
        <v>0</v>
      </c>
      <c r="AI870">
        <f>IF(AI$621&gt;=$C870,MIN(-(SUM($F870:AH870)-$E870),($E870*(1-$D$623))*$D870),0)*AI$619</f>
        <v>0</v>
      </c>
      <c r="AJ870">
        <f>IF(AJ$621&gt;=$C870,MIN(-(SUM($F870:AI870)-$E870),($E870*(1-$D$623))*$D870),0)*AJ$619</f>
        <v>0</v>
      </c>
      <c r="AK870">
        <f>IF(AK$621&gt;=$C870,MIN(-(SUM($F870:AJ870)-$E870),($E870*(1-$D$623))*$D870),0)*AK$619</f>
        <v>0</v>
      </c>
      <c r="AL870">
        <f>IF(AL$621&gt;=$C870,MIN(-(SUM($F870:AK870)-$E870),($E870*(1-$D$623))*$D870),0)*AL$619</f>
        <v>0</v>
      </c>
      <c r="AM870">
        <f>IF(AM$621&gt;=$C870,MIN(-(SUM($F870:AL870)-$E870),($E870*(1-$D$623))*$D870),0)*AM$619</f>
        <v>0</v>
      </c>
      <c r="AN870">
        <f>IF(AN$621&gt;=$C870,MIN(-(SUM($F870:AM870)-$E870),($E870*(1-$D$623))*$D870),0)*AN$619</f>
        <v>0</v>
      </c>
    </row>
    <row r="871" spans="3:40" outlineLevel="4">
      <c r="C871">
        <v>21</v>
      </c>
      <c r="D871">
        <f>Inputs!$D$262</f>
        <v>0.1</v>
      </c>
      <c r="E871">
        <v>0</v>
      </c>
      <c r="F871" s="461">
        <f>E871*D848</f>
        <v>0</v>
      </c>
      <c r="G871">
        <f>IF(G$621&gt;=$C871,MIN(-(SUM(F871:$F871)-$E871),($E871*(1-$D$623))*$D871),0)*G$619</f>
        <v>0</v>
      </c>
      <c r="H871">
        <f>IF(H$621&gt;=$C871,MIN(-(SUM($F871:G871)-$E871),($E871*(1-$D$623))*$D871),0)*H$619</f>
        <v>0</v>
      </c>
      <c r="I871">
        <f>IF(I$621&gt;=$C871,MIN(-(SUM($F871:H871)-$E871),($E871*(1-$D$623))*$D871),0)*I$619</f>
        <v>0</v>
      </c>
      <c r="J871">
        <f>IF(J$621&gt;=$C871,MIN(-(SUM($F871:I871)-$E871),($E871*(1-$D$623))*$D871),0)*J$619</f>
        <v>0</v>
      </c>
      <c r="K871">
        <f>IF(K$621&gt;=$C871,MIN(-(SUM($F871:J871)-$E871),($E871*(1-$D$623))*$D871),0)*K$619</f>
        <v>0</v>
      </c>
      <c r="L871">
        <f>IF(L$621&gt;=$C871,MIN(-(SUM($F871:K871)-$E871),($E871*(1-$D$623))*$D871),0)*L$619</f>
        <v>0</v>
      </c>
      <c r="M871">
        <f>IF(M$621&gt;=$C871,MIN(-(SUM($F871:L871)-$E871),($E871*(1-$D$623))*$D871),0)*M$619</f>
        <v>0</v>
      </c>
      <c r="N871">
        <f>IF(N$621&gt;=$C871,MIN(-(SUM($F871:M871)-$E871),($E871*(1-$D$623))*$D871),0)*N$619</f>
        <v>0</v>
      </c>
      <c r="O871">
        <f>IF(O$621&gt;=$C871,MIN(-(SUM($F871:N871)-$E871),($E871*(1-$D$623))*$D871),0)*O$619</f>
        <v>0</v>
      </c>
      <c r="P871">
        <f>IF(P$621&gt;=$C871,MIN(-(SUM($F871:O871)-$E871),($E871*(1-$D$623))*$D871),0)*P$619</f>
        <v>0</v>
      </c>
      <c r="Q871">
        <f>IF(Q$621&gt;=$C871,MIN(-(SUM($F871:P871)-$E871),($E871*(1-$D$623))*$D871),0)*Q$619</f>
        <v>0</v>
      </c>
      <c r="R871">
        <f>IF(R$621&gt;=$C871,MIN(-(SUM($F871:Q871)-$E871),($E871*(1-$D$623))*$D871),0)*R$619</f>
        <v>0</v>
      </c>
      <c r="S871">
        <f>IF(S$621&gt;=$C871,MIN(-(SUM($F871:R871)-$E871),($E871*(1-$D$623))*$D871),0)*S$619</f>
        <v>0</v>
      </c>
      <c r="T871">
        <f>IF(T$621&gt;=$C871,MIN(-(SUM($F871:S871)-$E871),($E871*(1-$D$623))*$D871),0)*T$619</f>
        <v>0</v>
      </c>
      <c r="U871">
        <f>IF(U$621&gt;=$C871,MIN(-(SUM($F871:T871)-$E871),($E871*(1-$D$623))*$D871),0)*U$619</f>
        <v>0</v>
      </c>
      <c r="V871">
        <f>IF(V$621&gt;=$C871,MIN(-(SUM($F871:U871)-$E871),($E871*(1-$D$623))*$D871),0)*V$619</f>
        <v>0</v>
      </c>
      <c r="W871">
        <f>IF(W$621&gt;=$C871,MIN(-(SUM($F871:V871)-$E871),($E871*(1-$D$623))*$D871),0)*W$619</f>
        <v>0</v>
      </c>
      <c r="X871">
        <f>IF(X$621&gt;=$C871,MIN(-(SUM($F871:W871)-$E871),($E871*(1-$D$623))*$D871),0)*X$619</f>
        <v>0</v>
      </c>
      <c r="Y871">
        <f>IF(Y$621&gt;=$C871,MIN(-(SUM($F871:X871)-$E871),($E871*(1-$D$623))*$D871),0)*Y$619</f>
        <v>0</v>
      </c>
      <c r="Z871">
        <f>IF(Z$621&gt;=$C871,MIN(-(SUM($F871:Y871)-$E871),($E871*(1-$D$623))*$D871),0)*Z$619</f>
        <v>0</v>
      </c>
      <c r="AA871">
        <f>IF(AA$621&gt;=$C871,MIN(-(SUM($F871:Z871)-$E871),($E871*(1-$D$623))*$D871),0)*AA$619</f>
        <v>0</v>
      </c>
      <c r="AB871">
        <f>IF(AB$621&gt;=$C871,MIN(-(SUM($F871:AA871)-$E871),($E871*(1-$D$623))*$D871),0)*AB$619</f>
        <v>0</v>
      </c>
      <c r="AC871">
        <f>IF(AC$621&gt;=$C871,MIN(-(SUM($F871:AB871)-$E871),($E871*(1-$D$623))*$D871),0)*AC$619</f>
        <v>0</v>
      </c>
      <c r="AD871">
        <f>IF(AD$621&gt;=$C871,MIN(-(SUM($F871:AC871)-$E871),($E871*(1-$D$623))*$D871),0)*AD$619</f>
        <v>0</v>
      </c>
      <c r="AE871">
        <f>IF(AE$621&gt;=$C871,MIN(-(SUM($F871:AD871)-$E871),($E871*(1-$D$623))*$D871),0)*AE$619</f>
        <v>0</v>
      </c>
      <c r="AF871">
        <f>IF(AF$621&gt;=$C871,MIN(-(SUM($F871:AE871)-$E871),($E871*(1-$D$623))*$D871),0)*AF$619</f>
        <v>0</v>
      </c>
      <c r="AG871">
        <f>IF(AG$621&gt;=$C871,MIN(-(SUM($F871:AF871)-$E871),($E871*(1-$D$623))*$D871),0)*AG$619</f>
        <v>0</v>
      </c>
      <c r="AH871">
        <f>IF(AH$621&gt;=$C871,MIN(-(SUM($F871:AG871)-$E871),($E871*(1-$D$623))*$D871),0)*AH$619</f>
        <v>0</v>
      </c>
      <c r="AI871">
        <f>IF(AI$621&gt;=$C871,MIN(-(SUM($F871:AH871)-$E871),($E871*(1-$D$623))*$D871),0)*AI$619</f>
        <v>0</v>
      </c>
      <c r="AJ871">
        <f>IF(AJ$621&gt;=$C871,MIN(-(SUM($F871:AI871)-$E871),($E871*(1-$D$623))*$D871),0)*AJ$619</f>
        <v>0</v>
      </c>
      <c r="AK871">
        <f>IF(AK$621&gt;=$C871,MIN(-(SUM($F871:AJ871)-$E871),($E871*(1-$D$623))*$D871),0)*AK$619</f>
        <v>0</v>
      </c>
      <c r="AL871">
        <f>IF(AL$621&gt;=$C871,MIN(-(SUM($F871:AK871)-$E871),($E871*(1-$D$623))*$D871),0)*AL$619</f>
        <v>0</v>
      </c>
      <c r="AM871">
        <f>IF(AM$621&gt;=$C871,MIN(-(SUM($F871:AL871)-$E871),($E871*(1-$D$623))*$D871),0)*AM$619</f>
        <v>0</v>
      </c>
      <c r="AN871">
        <f>IF(AN$621&gt;=$C871,MIN(-(SUM($F871:AM871)-$E871),($E871*(1-$D$623))*$D871),0)*AN$619</f>
        <v>0</v>
      </c>
    </row>
    <row r="872" spans="3:40" outlineLevel="4">
      <c r="C872">
        <v>22</v>
      </c>
      <c r="D872">
        <f>Inputs!$D$262</f>
        <v>0.1</v>
      </c>
      <c r="E872">
        <v>0</v>
      </c>
      <c r="F872" s="461">
        <f>E872*D848</f>
        <v>0</v>
      </c>
      <c r="G872">
        <f>IF(G$621&gt;=$C872,MIN(-(SUM(F872:$F872)-$E872),($E872*(1-$D$623))*$D872),0)*G$619</f>
        <v>0</v>
      </c>
      <c r="H872">
        <f>IF(H$621&gt;=$C872,MIN(-(SUM($F872:G872)-$E872),($E872*(1-$D$623))*$D872),0)*H$619</f>
        <v>0</v>
      </c>
      <c r="I872">
        <f>IF(I$621&gt;=$C872,MIN(-(SUM($F872:H872)-$E872),($E872*(1-$D$623))*$D872),0)*I$619</f>
        <v>0</v>
      </c>
      <c r="J872">
        <f>IF(J$621&gt;=$C872,MIN(-(SUM($F872:I872)-$E872),($E872*(1-$D$623))*$D872),0)*J$619</f>
        <v>0</v>
      </c>
      <c r="K872">
        <f>IF(K$621&gt;=$C872,MIN(-(SUM($F872:J872)-$E872),($E872*(1-$D$623))*$D872),0)*K$619</f>
        <v>0</v>
      </c>
      <c r="L872">
        <f>IF(L$621&gt;=$C872,MIN(-(SUM($F872:K872)-$E872),($E872*(1-$D$623))*$D872),0)*L$619</f>
        <v>0</v>
      </c>
      <c r="M872">
        <f>IF(M$621&gt;=$C872,MIN(-(SUM($F872:L872)-$E872),($E872*(1-$D$623))*$D872),0)*M$619</f>
        <v>0</v>
      </c>
      <c r="N872">
        <f>IF(N$621&gt;=$C872,MIN(-(SUM($F872:M872)-$E872),($E872*(1-$D$623))*$D872),0)*N$619</f>
        <v>0</v>
      </c>
      <c r="O872">
        <f>IF(O$621&gt;=$C872,MIN(-(SUM($F872:N872)-$E872),($E872*(1-$D$623))*$D872),0)*O$619</f>
        <v>0</v>
      </c>
      <c r="P872">
        <f>IF(P$621&gt;=$C872,MIN(-(SUM($F872:O872)-$E872),($E872*(1-$D$623))*$D872),0)*P$619</f>
        <v>0</v>
      </c>
      <c r="Q872">
        <f>IF(Q$621&gt;=$C872,MIN(-(SUM($F872:P872)-$E872),($E872*(1-$D$623))*$D872),0)*Q$619</f>
        <v>0</v>
      </c>
      <c r="R872">
        <f>IF(R$621&gt;=$C872,MIN(-(SUM($F872:Q872)-$E872),($E872*(1-$D$623))*$D872),0)*R$619</f>
        <v>0</v>
      </c>
      <c r="S872">
        <f>IF(S$621&gt;=$C872,MIN(-(SUM($F872:R872)-$E872),($E872*(1-$D$623))*$D872),0)*S$619</f>
        <v>0</v>
      </c>
      <c r="T872">
        <f>IF(T$621&gt;=$C872,MIN(-(SUM($F872:S872)-$E872),($E872*(1-$D$623))*$D872),0)*T$619</f>
        <v>0</v>
      </c>
      <c r="U872">
        <f>IF(U$621&gt;=$C872,MIN(-(SUM($F872:T872)-$E872),($E872*(1-$D$623))*$D872),0)*U$619</f>
        <v>0</v>
      </c>
      <c r="V872">
        <f>IF(V$621&gt;=$C872,MIN(-(SUM($F872:U872)-$E872),($E872*(1-$D$623))*$D872),0)*V$619</f>
        <v>0</v>
      </c>
      <c r="W872">
        <f>IF(W$621&gt;=$C872,MIN(-(SUM($F872:V872)-$E872),($E872*(1-$D$623))*$D872),0)*W$619</f>
        <v>0</v>
      </c>
      <c r="X872">
        <f>IF(X$621&gt;=$C872,MIN(-(SUM($F872:W872)-$E872),($E872*(1-$D$623))*$D872),0)*X$619</f>
        <v>0</v>
      </c>
      <c r="Y872">
        <f>IF(Y$621&gt;=$C872,MIN(-(SUM($F872:X872)-$E872),($E872*(1-$D$623))*$D872),0)*Y$619</f>
        <v>0</v>
      </c>
      <c r="Z872">
        <f>IF(Z$621&gt;=$C872,MIN(-(SUM($F872:Y872)-$E872),($E872*(1-$D$623))*$D872),0)*Z$619</f>
        <v>0</v>
      </c>
      <c r="AA872">
        <f>IF(AA$621&gt;=$C872,MIN(-(SUM($F872:Z872)-$E872),($E872*(1-$D$623))*$D872),0)*AA$619</f>
        <v>0</v>
      </c>
      <c r="AB872">
        <f>IF(AB$621&gt;=$C872,MIN(-(SUM($F872:AA872)-$E872),($E872*(1-$D$623))*$D872),0)*AB$619</f>
        <v>0</v>
      </c>
      <c r="AC872">
        <f>IF(AC$621&gt;=$C872,MIN(-(SUM($F872:AB872)-$E872),($E872*(1-$D$623))*$D872),0)*AC$619</f>
        <v>0</v>
      </c>
      <c r="AD872">
        <f>IF(AD$621&gt;=$C872,MIN(-(SUM($F872:AC872)-$E872),($E872*(1-$D$623))*$D872),0)*AD$619</f>
        <v>0</v>
      </c>
      <c r="AE872">
        <f>IF(AE$621&gt;=$C872,MIN(-(SUM($F872:AD872)-$E872),($E872*(1-$D$623))*$D872),0)*AE$619</f>
        <v>0</v>
      </c>
      <c r="AF872">
        <f>IF(AF$621&gt;=$C872,MIN(-(SUM($F872:AE872)-$E872),($E872*(1-$D$623))*$D872),0)*AF$619</f>
        <v>0</v>
      </c>
      <c r="AG872">
        <f>IF(AG$621&gt;=$C872,MIN(-(SUM($F872:AF872)-$E872),($E872*(1-$D$623))*$D872),0)*AG$619</f>
        <v>0</v>
      </c>
      <c r="AH872">
        <f>IF(AH$621&gt;=$C872,MIN(-(SUM($F872:AG872)-$E872),($E872*(1-$D$623))*$D872),0)*AH$619</f>
        <v>0</v>
      </c>
      <c r="AI872">
        <f>IF(AI$621&gt;=$C872,MIN(-(SUM($F872:AH872)-$E872),($E872*(1-$D$623))*$D872),0)*AI$619</f>
        <v>0</v>
      </c>
      <c r="AJ872">
        <f>IF(AJ$621&gt;=$C872,MIN(-(SUM($F872:AI872)-$E872),($E872*(1-$D$623))*$D872),0)*AJ$619</f>
        <v>0</v>
      </c>
      <c r="AK872">
        <f>IF(AK$621&gt;=$C872,MIN(-(SUM($F872:AJ872)-$E872),($E872*(1-$D$623))*$D872),0)*AK$619</f>
        <v>0</v>
      </c>
      <c r="AL872">
        <f>IF(AL$621&gt;=$C872,MIN(-(SUM($F872:AK872)-$E872),($E872*(1-$D$623))*$D872),0)*AL$619</f>
        <v>0</v>
      </c>
      <c r="AM872">
        <f>IF(AM$621&gt;=$C872,MIN(-(SUM($F872:AL872)-$E872),($E872*(1-$D$623))*$D872),0)*AM$619</f>
        <v>0</v>
      </c>
      <c r="AN872">
        <f>IF(AN$621&gt;=$C872,MIN(-(SUM($F872:AM872)-$E872),($E872*(1-$D$623))*$D872),0)*AN$619</f>
        <v>0</v>
      </c>
    </row>
    <row r="873" spans="3:40" outlineLevel="4">
      <c r="C873">
        <v>23</v>
      </c>
      <c r="D873">
        <f>Inputs!$D$262</f>
        <v>0.1</v>
      </c>
      <c r="E873">
        <v>0</v>
      </c>
      <c r="F873" s="461">
        <f>E873*D848</f>
        <v>0</v>
      </c>
      <c r="G873">
        <f>IF(G$621&gt;=$C873,MIN(-(SUM(F873:$F873)-$E873),($E873*(1-$D$623))*$D873),0)*G$619</f>
        <v>0</v>
      </c>
      <c r="H873">
        <f>IF(H$621&gt;=$C873,MIN(-(SUM($F873:G873)-$E873),($E873*(1-$D$623))*$D873),0)*H$619</f>
        <v>0</v>
      </c>
      <c r="I873">
        <f>IF(I$621&gt;=$C873,MIN(-(SUM($F873:H873)-$E873),($E873*(1-$D$623))*$D873),0)*I$619</f>
        <v>0</v>
      </c>
      <c r="J873">
        <f>IF(J$621&gt;=$C873,MIN(-(SUM($F873:I873)-$E873),($E873*(1-$D$623))*$D873),0)*J$619</f>
        <v>0</v>
      </c>
      <c r="K873">
        <f>IF(K$621&gt;=$C873,MIN(-(SUM($F873:J873)-$E873),($E873*(1-$D$623))*$D873),0)*K$619</f>
        <v>0</v>
      </c>
      <c r="L873">
        <f>IF(L$621&gt;=$C873,MIN(-(SUM($F873:K873)-$E873),($E873*(1-$D$623))*$D873),0)*L$619</f>
        <v>0</v>
      </c>
      <c r="M873">
        <f>IF(M$621&gt;=$C873,MIN(-(SUM($F873:L873)-$E873),($E873*(1-$D$623))*$D873),0)*M$619</f>
        <v>0</v>
      </c>
      <c r="N873">
        <f>IF(N$621&gt;=$C873,MIN(-(SUM($F873:M873)-$E873),($E873*(1-$D$623))*$D873),0)*N$619</f>
        <v>0</v>
      </c>
      <c r="O873">
        <f>IF(O$621&gt;=$C873,MIN(-(SUM($F873:N873)-$E873),($E873*(1-$D$623))*$D873),0)*O$619</f>
        <v>0</v>
      </c>
      <c r="P873">
        <f>IF(P$621&gt;=$C873,MIN(-(SUM($F873:O873)-$E873),($E873*(1-$D$623))*$D873),0)*P$619</f>
        <v>0</v>
      </c>
      <c r="Q873">
        <f>IF(Q$621&gt;=$C873,MIN(-(SUM($F873:P873)-$E873),($E873*(1-$D$623))*$D873),0)*Q$619</f>
        <v>0</v>
      </c>
      <c r="R873">
        <f>IF(R$621&gt;=$C873,MIN(-(SUM($F873:Q873)-$E873),($E873*(1-$D$623))*$D873),0)*R$619</f>
        <v>0</v>
      </c>
      <c r="S873">
        <f>IF(S$621&gt;=$C873,MIN(-(SUM($F873:R873)-$E873),($E873*(1-$D$623))*$D873),0)*S$619</f>
        <v>0</v>
      </c>
      <c r="T873">
        <f>IF(T$621&gt;=$C873,MIN(-(SUM($F873:S873)-$E873),($E873*(1-$D$623))*$D873),0)*T$619</f>
        <v>0</v>
      </c>
      <c r="U873">
        <f>IF(U$621&gt;=$C873,MIN(-(SUM($F873:T873)-$E873),($E873*(1-$D$623))*$D873),0)*U$619</f>
        <v>0</v>
      </c>
      <c r="V873">
        <f>IF(V$621&gt;=$C873,MIN(-(SUM($F873:U873)-$E873),($E873*(1-$D$623))*$D873),0)*V$619</f>
        <v>0</v>
      </c>
      <c r="W873">
        <f>IF(W$621&gt;=$C873,MIN(-(SUM($F873:V873)-$E873),($E873*(1-$D$623))*$D873),0)*W$619</f>
        <v>0</v>
      </c>
      <c r="X873">
        <f>IF(X$621&gt;=$C873,MIN(-(SUM($F873:W873)-$E873),($E873*(1-$D$623))*$D873),0)*X$619</f>
        <v>0</v>
      </c>
      <c r="Y873">
        <f>IF(Y$621&gt;=$C873,MIN(-(SUM($F873:X873)-$E873),($E873*(1-$D$623))*$D873),0)*Y$619</f>
        <v>0</v>
      </c>
      <c r="Z873">
        <f>IF(Z$621&gt;=$C873,MIN(-(SUM($F873:Y873)-$E873),($E873*(1-$D$623))*$D873),0)*Z$619</f>
        <v>0</v>
      </c>
      <c r="AA873">
        <f>IF(AA$621&gt;=$C873,MIN(-(SUM($F873:Z873)-$E873),($E873*(1-$D$623))*$D873),0)*AA$619</f>
        <v>0</v>
      </c>
      <c r="AB873">
        <f>IF(AB$621&gt;=$C873,MIN(-(SUM($F873:AA873)-$E873),($E873*(1-$D$623))*$D873),0)*AB$619</f>
        <v>0</v>
      </c>
      <c r="AC873">
        <f>IF(AC$621&gt;=$C873,MIN(-(SUM($F873:AB873)-$E873),($E873*(1-$D$623))*$D873),0)*AC$619</f>
        <v>0</v>
      </c>
      <c r="AD873">
        <f>IF(AD$621&gt;=$C873,MIN(-(SUM($F873:AC873)-$E873),($E873*(1-$D$623))*$D873),0)*AD$619</f>
        <v>0</v>
      </c>
      <c r="AE873">
        <f>IF(AE$621&gt;=$C873,MIN(-(SUM($F873:AD873)-$E873),($E873*(1-$D$623))*$D873),0)*AE$619</f>
        <v>0</v>
      </c>
      <c r="AF873">
        <f>IF(AF$621&gt;=$C873,MIN(-(SUM($F873:AE873)-$E873),($E873*(1-$D$623))*$D873),0)*AF$619</f>
        <v>0</v>
      </c>
      <c r="AG873">
        <f>IF(AG$621&gt;=$C873,MIN(-(SUM($F873:AF873)-$E873),($E873*(1-$D$623))*$D873),0)*AG$619</f>
        <v>0</v>
      </c>
      <c r="AH873">
        <f>IF(AH$621&gt;=$C873,MIN(-(SUM($F873:AG873)-$E873),($E873*(1-$D$623))*$D873),0)*AH$619</f>
        <v>0</v>
      </c>
      <c r="AI873">
        <f>IF(AI$621&gt;=$C873,MIN(-(SUM($F873:AH873)-$E873),($E873*(1-$D$623))*$D873),0)*AI$619</f>
        <v>0</v>
      </c>
      <c r="AJ873">
        <f>IF(AJ$621&gt;=$C873,MIN(-(SUM($F873:AI873)-$E873),($E873*(1-$D$623))*$D873),0)*AJ$619</f>
        <v>0</v>
      </c>
      <c r="AK873">
        <f>IF(AK$621&gt;=$C873,MIN(-(SUM($F873:AJ873)-$E873),($E873*(1-$D$623))*$D873),0)*AK$619</f>
        <v>0</v>
      </c>
      <c r="AL873">
        <f>IF(AL$621&gt;=$C873,MIN(-(SUM($F873:AK873)-$E873),($E873*(1-$D$623))*$D873),0)*AL$619</f>
        <v>0</v>
      </c>
      <c r="AM873">
        <f>IF(AM$621&gt;=$C873,MIN(-(SUM($F873:AL873)-$E873),($E873*(1-$D$623))*$D873),0)*AM$619</f>
        <v>0</v>
      </c>
      <c r="AN873">
        <f>IF(AN$621&gt;=$C873,MIN(-(SUM($F873:AM873)-$E873),($E873*(1-$D$623))*$D873),0)*AN$619</f>
        <v>0</v>
      </c>
    </row>
    <row r="874" spans="3:40" outlineLevel="4">
      <c r="C874">
        <v>24</v>
      </c>
      <c r="D874">
        <f>Inputs!$D$262</f>
        <v>0.1</v>
      </c>
      <c r="E874">
        <v>0</v>
      </c>
      <c r="F874" s="461">
        <f>E874*D848</f>
        <v>0</v>
      </c>
      <c r="G874">
        <f>IF(G$621&gt;=$C874,MIN(-(SUM(F874:$F874)-$E874),($E874*(1-$D$623))*$D874),0)*G$619</f>
        <v>0</v>
      </c>
      <c r="H874">
        <f>IF(H$621&gt;=$C874,MIN(-(SUM($F874:G874)-$E874),($E874*(1-$D$623))*$D874),0)*H$619</f>
        <v>0</v>
      </c>
      <c r="I874">
        <f>IF(I$621&gt;=$C874,MIN(-(SUM($F874:H874)-$E874),($E874*(1-$D$623))*$D874),0)*I$619</f>
        <v>0</v>
      </c>
      <c r="J874">
        <f>IF(J$621&gt;=$C874,MIN(-(SUM($F874:I874)-$E874),($E874*(1-$D$623))*$D874),0)*J$619</f>
        <v>0</v>
      </c>
      <c r="K874">
        <f>IF(K$621&gt;=$C874,MIN(-(SUM($F874:J874)-$E874),($E874*(1-$D$623))*$D874),0)*K$619</f>
        <v>0</v>
      </c>
      <c r="L874">
        <f>IF(L$621&gt;=$C874,MIN(-(SUM($F874:K874)-$E874),($E874*(1-$D$623))*$D874),0)*L$619</f>
        <v>0</v>
      </c>
      <c r="M874">
        <f>IF(M$621&gt;=$C874,MIN(-(SUM($F874:L874)-$E874),($E874*(1-$D$623))*$D874),0)*M$619</f>
        <v>0</v>
      </c>
      <c r="N874">
        <f>IF(N$621&gt;=$C874,MIN(-(SUM($F874:M874)-$E874),($E874*(1-$D$623))*$D874),0)*N$619</f>
        <v>0</v>
      </c>
      <c r="O874">
        <f>IF(O$621&gt;=$C874,MIN(-(SUM($F874:N874)-$E874),($E874*(1-$D$623))*$D874),0)*O$619</f>
        <v>0</v>
      </c>
      <c r="P874">
        <f>IF(P$621&gt;=$C874,MIN(-(SUM($F874:O874)-$E874),($E874*(1-$D$623))*$D874),0)*P$619</f>
        <v>0</v>
      </c>
      <c r="Q874">
        <f>IF(Q$621&gt;=$C874,MIN(-(SUM($F874:P874)-$E874),($E874*(1-$D$623))*$D874),0)*Q$619</f>
        <v>0</v>
      </c>
      <c r="R874">
        <f>IF(R$621&gt;=$C874,MIN(-(SUM($F874:Q874)-$E874),($E874*(1-$D$623))*$D874),0)*R$619</f>
        <v>0</v>
      </c>
      <c r="S874">
        <f>IF(S$621&gt;=$C874,MIN(-(SUM($F874:R874)-$E874),($E874*(1-$D$623))*$D874),0)*S$619</f>
        <v>0</v>
      </c>
      <c r="T874">
        <f>IF(T$621&gt;=$C874,MIN(-(SUM($F874:S874)-$E874),($E874*(1-$D$623))*$D874),0)*T$619</f>
        <v>0</v>
      </c>
      <c r="U874">
        <f>IF(U$621&gt;=$C874,MIN(-(SUM($F874:T874)-$E874),($E874*(1-$D$623))*$D874),0)*U$619</f>
        <v>0</v>
      </c>
      <c r="V874">
        <f>IF(V$621&gt;=$C874,MIN(-(SUM($F874:U874)-$E874),($E874*(1-$D$623))*$D874),0)*V$619</f>
        <v>0</v>
      </c>
      <c r="W874">
        <f>IF(W$621&gt;=$C874,MIN(-(SUM($F874:V874)-$E874),($E874*(1-$D$623))*$D874),0)*W$619</f>
        <v>0</v>
      </c>
      <c r="X874">
        <f>IF(X$621&gt;=$C874,MIN(-(SUM($F874:W874)-$E874),($E874*(1-$D$623))*$D874),0)*X$619</f>
        <v>0</v>
      </c>
      <c r="Y874">
        <f>IF(Y$621&gt;=$C874,MIN(-(SUM($F874:X874)-$E874),($E874*(1-$D$623))*$D874),0)*Y$619</f>
        <v>0</v>
      </c>
      <c r="Z874">
        <f>IF(Z$621&gt;=$C874,MIN(-(SUM($F874:Y874)-$E874),($E874*(1-$D$623))*$D874),0)*Z$619</f>
        <v>0</v>
      </c>
      <c r="AA874">
        <f>IF(AA$621&gt;=$C874,MIN(-(SUM($F874:Z874)-$E874),($E874*(1-$D$623))*$D874),0)*AA$619</f>
        <v>0</v>
      </c>
      <c r="AB874">
        <f>IF(AB$621&gt;=$C874,MIN(-(SUM($F874:AA874)-$E874),($E874*(1-$D$623))*$D874),0)*AB$619</f>
        <v>0</v>
      </c>
      <c r="AC874">
        <f>IF(AC$621&gt;=$C874,MIN(-(SUM($F874:AB874)-$E874),($E874*(1-$D$623))*$D874),0)*AC$619</f>
        <v>0</v>
      </c>
      <c r="AD874">
        <f>IF(AD$621&gt;=$C874,MIN(-(SUM($F874:AC874)-$E874),($E874*(1-$D$623))*$D874),0)*AD$619</f>
        <v>0</v>
      </c>
      <c r="AE874">
        <f>IF(AE$621&gt;=$C874,MIN(-(SUM($F874:AD874)-$E874),($E874*(1-$D$623))*$D874),0)*AE$619</f>
        <v>0</v>
      </c>
      <c r="AF874">
        <f>IF(AF$621&gt;=$C874,MIN(-(SUM($F874:AE874)-$E874),($E874*(1-$D$623))*$D874),0)*AF$619</f>
        <v>0</v>
      </c>
      <c r="AG874">
        <f>IF(AG$621&gt;=$C874,MIN(-(SUM($F874:AF874)-$E874),($E874*(1-$D$623))*$D874),0)*AG$619</f>
        <v>0</v>
      </c>
      <c r="AH874">
        <f>IF(AH$621&gt;=$C874,MIN(-(SUM($F874:AG874)-$E874),($E874*(1-$D$623))*$D874),0)*AH$619</f>
        <v>0</v>
      </c>
      <c r="AI874">
        <f>IF(AI$621&gt;=$C874,MIN(-(SUM($F874:AH874)-$E874),($E874*(1-$D$623))*$D874),0)*AI$619</f>
        <v>0</v>
      </c>
      <c r="AJ874">
        <f>IF(AJ$621&gt;=$C874,MIN(-(SUM($F874:AI874)-$E874),($E874*(1-$D$623))*$D874),0)*AJ$619</f>
        <v>0</v>
      </c>
      <c r="AK874">
        <f>IF(AK$621&gt;=$C874,MIN(-(SUM($F874:AJ874)-$E874),($E874*(1-$D$623))*$D874),0)*AK$619</f>
        <v>0</v>
      </c>
      <c r="AL874">
        <f>IF(AL$621&gt;=$C874,MIN(-(SUM($F874:AK874)-$E874),($E874*(1-$D$623))*$D874),0)*AL$619</f>
        <v>0</v>
      </c>
      <c r="AM874">
        <f>IF(AM$621&gt;=$C874,MIN(-(SUM($F874:AL874)-$E874),($E874*(1-$D$623))*$D874),0)*AM$619</f>
        <v>0</v>
      </c>
      <c r="AN874">
        <f>IF(AN$621&gt;=$C874,MIN(-(SUM($F874:AM874)-$E874),($E874*(1-$D$623))*$D874),0)*AN$619</f>
        <v>0</v>
      </c>
    </row>
    <row r="875" spans="3:40" outlineLevel="4">
      <c r="C875">
        <v>25</v>
      </c>
      <c r="D875">
        <f>Inputs!$D$262</f>
        <v>0.1</v>
      </c>
      <c r="E875">
        <v>0</v>
      </c>
      <c r="F875" s="461">
        <f>E875*D848</f>
        <v>0</v>
      </c>
      <c r="G875">
        <f>IF(G$621&gt;=$C875,MIN(-(SUM(F875:$F875)-$E875),($E875*(1-$D$623))*$D875),0)*G$619</f>
        <v>0</v>
      </c>
      <c r="H875">
        <f>IF(H$621&gt;=$C875,MIN(-(SUM($F875:G875)-$E875),($E875*(1-$D$623))*$D875),0)*H$619</f>
        <v>0</v>
      </c>
      <c r="I875">
        <f>IF(I$621&gt;=$C875,MIN(-(SUM($F875:H875)-$E875),($E875*(1-$D$623))*$D875),0)*I$619</f>
        <v>0</v>
      </c>
      <c r="J875">
        <f>IF(J$621&gt;=$C875,MIN(-(SUM($F875:I875)-$E875),($E875*(1-$D$623))*$D875),0)*J$619</f>
        <v>0</v>
      </c>
      <c r="K875">
        <f>IF(K$621&gt;=$C875,MIN(-(SUM($F875:J875)-$E875),($E875*(1-$D$623))*$D875),0)*K$619</f>
        <v>0</v>
      </c>
      <c r="L875">
        <f>IF(L$621&gt;=$C875,MIN(-(SUM($F875:K875)-$E875),($E875*(1-$D$623))*$D875),0)*L$619</f>
        <v>0</v>
      </c>
      <c r="M875">
        <f>IF(M$621&gt;=$C875,MIN(-(SUM($F875:L875)-$E875),($E875*(1-$D$623))*$D875),0)*M$619</f>
        <v>0</v>
      </c>
      <c r="N875">
        <f>IF(N$621&gt;=$C875,MIN(-(SUM($F875:M875)-$E875),($E875*(1-$D$623))*$D875),0)*N$619</f>
        <v>0</v>
      </c>
      <c r="O875">
        <f>IF(O$621&gt;=$C875,MIN(-(SUM($F875:N875)-$E875),($E875*(1-$D$623))*$D875),0)*O$619</f>
        <v>0</v>
      </c>
      <c r="P875">
        <f>IF(P$621&gt;=$C875,MIN(-(SUM($F875:O875)-$E875),($E875*(1-$D$623))*$D875),0)*P$619</f>
        <v>0</v>
      </c>
      <c r="Q875">
        <f>IF(Q$621&gt;=$C875,MIN(-(SUM($F875:P875)-$E875),($E875*(1-$D$623))*$D875),0)*Q$619</f>
        <v>0</v>
      </c>
      <c r="R875">
        <f>IF(R$621&gt;=$C875,MIN(-(SUM($F875:Q875)-$E875),($E875*(1-$D$623))*$D875),0)*R$619</f>
        <v>0</v>
      </c>
      <c r="S875">
        <f>IF(S$621&gt;=$C875,MIN(-(SUM($F875:R875)-$E875),($E875*(1-$D$623))*$D875),0)*S$619</f>
        <v>0</v>
      </c>
      <c r="T875">
        <f>IF(T$621&gt;=$C875,MIN(-(SUM($F875:S875)-$E875),($E875*(1-$D$623))*$D875),0)*T$619</f>
        <v>0</v>
      </c>
      <c r="U875">
        <f>IF(U$621&gt;=$C875,MIN(-(SUM($F875:T875)-$E875),($E875*(1-$D$623))*$D875),0)*U$619</f>
        <v>0</v>
      </c>
      <c r="V875">
        <f>IF(V$621&gt;=$C875,MIN(-(SUM($F875:U875)-$E875),($E875*(1-$D$623))*$D875),0)*V$619</f>
        <v>0</v>
      </c>
      <c r="W875">
        <f>IF(W$621&gt;=$C875,MIN(-(SUM($F875:V875)-$E875),($E875*(1-$D$623))*$D875),0)*W$619</f>
        <v>0</v>
      </c>
      <c r="X875">
        <f>IF(X$621&gt;=$C875,MIN(-(SUM($F875:W875)-$E875),($E875*(1-$D$623))*$D875),0)*X$619</f>
        <v>0</v>
      </c>
      <c r="Y875">
        <f>IF(Y$621&gt;=$C875,MIN(-(SUM($F875:X875)-$E875),($E875*(1-$D$623))*$D875),0)*Y$619</f>
        <v>0</v>
      </c>
      <c r="Z875">
        <f>IF(Z$621&gt;=$C875,MIN(-(SUM($F875:Y875)-$E875),($E875*(1-$D$623))*$D875),0)*Z$619</f>
        <v>0</v>
      </c>
      <c r="AA875">
        <f>IF(AA$621&gt;=$C875,MIN(-(SUM($F875:Z875)-$E875),($E875*(1-$D$623))*$D875),0)*AA$619</f>
        <v>0</v>
      </c>
      <c r="AB875">
        <f>IF(AB$621&gt;=$C875,MIN(-(SUM($F875:AA875)-$E875),($E875*(1-$D$623))*$D875),0)*AB$619</f>
        <v>0</v>
      </c>
      <c r="AC875">
        <f>IF(AC$621&gt;=$C875,MIN(-(SUM($F875:AB875)-$E875),($E875*(1-$D$623))*$D875),0)*AC$619</f>
        <v>0</v>
      </c>
      <c r="AD875">
        <f>IF(AD$621&gt;=$C875,MIN(-(SUM($F875:AC875)-$E875),($E875*(1-$D$623))*$D875),0)*AD$619</f>
        <v>0</v>
      </c>
      <c r="AE875">
        <f>IF(AE$621&gt;=$C875,MIN(-(SUM($F875:AD875)-$E875),($E875*(1-$D$623))*$D875),0)*AE$619</f>
        <v>0</v>
      </c>
      <c r="AF875">
        <f>IF(AF$621&gt;=$C875,MIN(-(SUM($F875:AE875)-$E875),($E875*(1-$D$623))*$D875),0)*AF$619</f>
        <v>0</v>
      </c>
      <c r="AG875">
        <f>IF(AG$621&gt;=$C875,MIN(-(SUM($F875:AF875)-$E875),($E875*(1-$D$623))*$D875),0)*AG$619</f>
        <v>0</v>
      </c>
      <c r="AH875">
        <f>IF(AH$621&gt;=$C875,MIN(-(SUM($F875:AG875)-$E875),($E875*(1-$D$623))*$D875),0)*AH$619</f>
        <v>0</v>
      </c>
      <c r="AI875">
        <f>IF(AI$621&gt;=$C875,MIN(-(SUM($F875:AH875)-$E875),($E875*(1-$D$623))*$D875),0)*AI$619</f>
        <v>0</v>
      </c>
      <c r="AJ875">
        <f>IF(AJ$621&gt;=$C875,MIN(-(SUM($F875:AI875)-$E875),($E875*(1-$D$623))*$D875),0)*AJ$619</f>
        <v>0</v>
      </c>
      <c r="AK875">
        <f>IF(AK$621&gt;=$C875,MIN(-(SUM($F875:AJ875)-$E875),($E875*(1-$D$623))*$D875),0)*AK$619</f>
        <v>0</v>
      </c>
      <c r="AL875">
        <f>IF(AL$621&gt;=$C875,MIN(-(SUM($F875:AK875)-$E875),($E875*(1-$D$623))*$D875),0)*AL$619</f>
        <v>0</v>
      </c>
      <c r="AM875">
        <f>IF(AM$621&gt;=$C875,MIN(-(SUM($F875:AL875)-$E875),($E875*(1-$D$623))*$D875),0)*AM$619</f>
        <v>0</v>
      </c>
      <c r="AN875">
        <f>IF(AN$621&gt;=$C875,MIN(-(SUM($F875:AM875)-$E875),($E875*(1-$D$623))*$D875),0)*AN$619</f>
        <v>0</v>
      </c>
    </row>
    <row r="876" spans="3:40" outlineLevel="4">
      <c r="C876">
        <v>26</v>
      </c>
      <c r="D876">
        <f>Inputs!$D$262</f>
        <v>0.1</v>
      </c>
      <c r="E876">
        <v>0</v>
      </c>
      <c r="F876" s="461">
        <f>E876*D848</f>
        <v>0</v>
      </c>
      <c r="G876">
        <f>IF(G$621&gt;=$C876,MIN(-(SUM(F876:$F876)-$E876),($E876*(1-$D$623))*$D876),0)*G$619</f>
        <v>0</v>
      </c>
      <c r="H876">
        <f>IF(H$621&gt;=$C876,MIN(-(SUM($F876:G876)-$E876),($E876*(1-$D$623))*$D876),0)*H$619</f>
        <v>0</v>
      </c>
      <c r="I876">
        <f>IF(I$621&gt;=$C876,MIN(-(SUM($F876:H876)-$E876),($E876*(1-$D$623))*$D876),0)*I$619</f>
        <v>0</v>
      </c>
      <c r="J876">
        <f>IF(J$621&gt;=$C876,MIN(-(SUM($F876:I876)-$E876),($E876*(1-$D$623))*$D876),0)*J$619</f>
        <v>0</v>
      </c>
      <c r="K876">
        <f>IF(K$621&gt;=$C876,MIN(-(SUM($F876:J876)-$E876),($E876*(1-$D$623))*$D876),0)*K$619</f>
        <v>0</v>
      </c>
      <c r="L876">
        <f>IF(L$621&gt;=$C876,MIN(-(SUM($F876:K876)-$E876),($E876*(1-$D$623))*$D876),0)*L$619</f>
        <v>0</v>
      </c>
      <c r="M876">
        <f>IF(M$621&gt;=$C876,MIN(-(SUM($F876:L876)-$E876),($E876*(1-$D$623))*$D876),0)*M$619</f>
        <v>0</v>
      </c>
      <c r="N876">
        <f>IF(N$621&gt;=$C876,MIN(-(SUM($F876:M876)-$E876),($E876*(1-$D$623))*$D876),0)*N$619</f>
        <v>0</v>
      </c>
      <c r="O876">
        <f>IF(O$621&gt;=$C876,MIN(-(SUM($F876:N876)-$E876),($E876*(1-$D$623))*$D876),0)*O$619</f>
        <v>0</v>
      </c>
      <c r="P876">
        <f>IF(P$621&gt;=$C876,MIN(-(SUM($F876:O876)-$E876),($E876*(1-$D$623))*$D876),0)*P$619</f>
        <v>0</v>
      </c>
      <c r="Q876">
        <f>IF(Q$621&gt;=$C876,MIN(-(SUM($F876:P876)-$E876),($E876*(1-$D$623))*$D876),0)*Q$619</f>
        <v>0</v>
      </c>
      <c r="R876">
        <f>IF(R$621&gt;=$C876,MIN(-(SUM($F876:Q876)-$E876),($E876*(1-$D$623))*$D876),0)*R$619</f>
        <v>0</v>
      </c>
      <c r="S876">
        <f>IF(S$621&gt;=$C876,MIN(-(SUM($F876:R876)-$E876),($E876*(1-$D$623))*$D876),0)*S$619</f>
        <v>0</v>
      </c>
      <c r="T876">
        <f>IF(T$621&gt;=$C876,MIN(-(SUM($F876:S876)-$E876),($E876*(1-$D$623))*$D876),0)*T$619</f>
        <v>0</v>
      </c>
      <c r="U876">
        <f>IF(U$621&gt;=$C876,MIN(-(SUM($F876:T876)-$E876),($E876*(1-$D$623))*$D876),0)*U$619</f>
        <v>0</v>
      </c>
      <c r="V876">
        <f>IF(V$621&gt;=$C876,MIN(-(SUM($F876:U876)-$E876),($E876*(1-$D$623))*$D876),0)*V$619</f>
        <v>0</v>
      </c>
      <c r="W876">
        <f>IF(W$621&gt;=$C876,MIN(-(SUM($F876:V876)-$E876),($E876*(1-$D$623))*$D876),0)*W$619</f>
        <v>0</v>
      </c>
      <c r="X876">
        <f>IF(X$621&gt;=$C876,MIN(-(SUM($F876:W876)-$E876),($E876*(1-$D$623))*$D876),0)*X$619</f>
        <v>0</v>
      </c>
      <c r="Y876">
        <f>IF(Y$621&gt;=$C876,MIN(-(SUM($F876:X876)-$E876),($E876*(1-$D$623))*$D876),0)*Y$619</f>
        <v>0</v>
      </c>
      <c r="Z876">
        <f>IF(Z$621&gt;=$C876,MIN(-(SUM($F876:Y876)-$E876),($E876*(1-$D$623))*$D876),0)*Z$619</f>
        <v>0</v>
      </c>
      <c r="AA876">
        <f>IF(AA$621&gt;=$C876,MIN(-(SUM($F876:Z876)-$E876),($E876*(1-$D$623))*$D876),0)*AA$619</f>
        <v>0</v>
      </c>
      <c r="AB876">
        <f>IF(AB$621&gt;=$C876,MIN(-(SUM($F876:AA876)-$E876),($E876*(1-$D$623))*$D876),0)*AB$619</f>
        <v>0</v>
      </c>
      <c r="AC876">
        <f>IF(AC$621&gt;=$C876,MIN(-(SUM($F876:AB876)-$E876),($E876*(1-$D$623))*$D876),0)*AC$619</f>
        <v>0</v>
      </c>
      <c r="AD876">
        <f>IF(AD$621&gt;=$C876,MIN(-(SUM($F876:AC876)-$E876),($E876*(1-$D$623))*$D876),0)*AD$619</f>
        <v>0</v>
      </c>
      <c r="AE876">
        <f>IF(AE$621&gt;=$C876,MIN(-(SUM($F876:AD876)-$E876),($E876*(1-$D$623))*$D876),0)*AE$619</f>
        <v>0</v>
      </c>
      <c r="AF876">
        <f>IF(AF$621&gt;=$C876,MIN(-(SUM($F876:AE876)-$E876),($E876*(1-$D$623))*$D876),0)*AF$619</f>
        <v>0</v>
      </c>
      <c r="AG876">
        <f>IF(AG$621&gt;=$C876,MIN(-(SUM($F876:AF876)-$E876),($E876*(1-$D$623))*$D876),0)*AG$619</f>
        <v>0</v>
      </c>
      <c r="AH876">
        <f>IF(AH$621&gt;=$C876,MIN(-(SUM($F876:AG876)-$E876),($E876*(1-$D$623))*$D876),0)*AH$619</f>
        <v>0</v>
      </c>
      <c r="AI876">
        <f>IF(AI$621&gt;=$C876,MIN(-(SUM($F876:AH876)-$E876),($E876*(1-$D$623))*$D876),0)*AI$619</f>
        <v>0</v>
      </c>
      <c r="AJ876">
        <f>IF(AJ$621&gt;=$C876,MIN(-(SUM($F876:AI876)-$E876),($E876*(1-$D$623))*$D876),0)*AJ$619</f>
        <v>0</v>
      </c>
      <c r="AK876">
        <f>IF(AK$621&gt;=$C876,MIN(-(SUM($F876:AJ876)-$E876),($E876*(1-$D$623))*$D876),0)*AK$619</f>
        <v>0</v>
      </c>
      <c r="AL876">
        <f>IF(AL$621&gt;=$C876,MIN(-(SUM($F876:AK876)-$E876),($E876*(1-$D$623))*$D876),0)*AL$619</f>
        <v>0</v>
      </c>
      <c r="AM876">
        <f>IF(AM$621&gt;=$C876,MIN(-(SUM($F876:AL876)-$E876),($E876*(1-$D$623))*$D876),0)*AM$619</f>
        <v>0</v>
      </c>
      <c r="AN876">
        <f>IF(AN$621&gt;=$C876,MIN(-(SUM($F876:AM876)-$E876),($E876*(1-$D$623))*$D876),0)*AN$619</f>
        <v>0</v>
      </c>
    </row>
    <row r="877" spans="3:40" outlineLevel="4">
      <c r="C877">
        <v>27</v>
      </c>
      <c r="D877">
        <f>Inputs!$D$262</f>
        <v>0.1</v>
      </c>
      <c r="E877">
        <v>0</v>
      </c>
      <c r="F877" s="461">
        <f>E877*D848</f>
        <v>0</v>
      </c>
      <c r="G877">
        <f>IF(G$621&gt;=$C877,MIN(-(SUM(F877:$F877)-$E877),($E877*(1-$D$623))*$D877),0)*G$619</f>
        <v>0</v>
      </c>
      <c r="H877">
        <f>IF(H$621&gt;=$C877,MIN(-(SUM($F877:G877)-$E877),($E877*(1-$D$623))*$D877),0)*H$619</f>
        <v>0</v>
      </c>
      <c r="I877">
        <f>IF(I$621&gt;=$C877,MIN(-(SUM($F877:H877)-$E877),($E877*(1-$D$623))*$D877),0)*I$619</f>
        <v>0</v>
      </c>
      <c r="J877">
        <f>IF(J$621&gt;=$C877,MIN(-(SUM($F877:I877)-$E877),($E877*(1-$D$623))*$D877),0)*J$619</f>
        <v>0</v>
      </c>
      <c r="K877">
        <f>IF(K$621&gt;=$C877,MIN(-(SUM($F877:J877)-$E877),($E877*(1-$D$623))*$D877),0)*K$619</f>
        <v>0</v>
      </c>
      <c r="L877">
        <f>IF(L$621&gt;=$C877,MIN(-(SUM($F877:K877)-$E877),($E877*(1-$D$623))*$D877),0)*L$619</f>
        <v>0</v>
      </c>
      <c r="M877">
        <f>IF(M$621&gt;=$C877,MIN(-(SUM($F877:L877)-$E877),($E877*(1-$D$623))*$D877),0)*M$619</f>
        <v>0</v>
      </c>
      <c r="N877">
        <f>IF(N$621&gt;=$C877,MIN(-(SUM($F877:M877)-$E877),($E877*(1-$D$623))*$D877),0)*N$619</f>
        <v>0</v>
      </c>
      <c r="O877">
        <f>IF(O$621&gt;=$C877,MIN(-(SUM($F877:N877)-$E877),($E877*(1-$D$623))*$D877),0)*O$619</f>
        <v>0</v>
      </c>
      <c r="P877">
        <f>IF(P$621&gt;=$C877,MIN(-(SUM($F877:O877)-$E877),($E877*(1-$D$623))*$D877),0)*P$619</f>
        <v>0</v>
      </c>
      <c r="Q877">
        <f>IF(Q$621&gt;=$C877,MIN(-(SUM($F877:P877)-$E877),($E877*(1-$D$623))*$D877),0)*Q$619</f>
        <v>0</v>
      </c>
      <c r="R877">
        <f>IF(R$621&gt;=$C877,MIN(-(SUM($F877:Q877)-$E877),($E877*(1-$D$623))*$D877),0)*R$619</f>
        <v>0</v>
      </c>
      <c r="S877">
        <f>IF(S$621&gt;=$C877,MIN(-(SUM($F877:R877)-$E877),($E877*(1-$D$623))*$D877),0)*S$619</f>
        <v>0</v>
      </c>
      <c r="T877">
        <f>IF(T$621&gt;=$C877,MIN(-(SUM($F877:S877)-$E877),($E877*(1-$D$623))*$D877),0)*T$619</f>
        <v>0</v>
      </c>
      <c r="U877">
        <f>IF(U$621&gt;=$C877,MIN(-(SUM($F877:T877)-$E877),($E877*(1-$D$623))*$D877),0)*U$619</f>
        <v>0</v>
      </c>
      <c r="V877">
        <f>IF(V$621&gt;=$C877,MIN(-(SUM($F877:U877)-$E877),($E877*(1-$D$623))*$D877),0)*V$619</f>
        <v>0</v>
      </c>
      <c r="W877">
        <f>IF(W$621&gt;=$C877,MIN(-(SUM($F877:V877)-$E877),($E877*(1-$D$623))*$D877),0)*W$619</f>
        <v>0</v>
      </c>
      <c r="X877">
        <f>IF(X$621&gt;=$C877,MIN(-(SUM($F877:W877)-$E877),($E877*(1-$D$623))*$D877),0)*X$619</f>
        <v>0</v>
      </c>
      <c r="Y877">
        <f>IF(Y$621&gt;=$C877,MIN(-(SUM($F877:X877)-$E877),($E877*(1-$D$623))*$D877),0)*Y$619</f>
        <v>0</v>
      </c>
      <c r="Z877">
        <f>IF(Z$621&gt;=$C877,MIN(-(SUM($F877:Y877)-$E877),($E877*(1-$D$623))*$D877),0)*Z$619</f>
        <v>0</v>
      </c>
      <c r="AA877">
        <f>IF(AA$621&gt;=$C877,MIN(-(SUM($F877:Z877)-$E877),($E877*(1-$D$623))*$D877),0)*AA$619</f>
        <v>0</v>
      </c>
      <c r="AB877">
        <f>IF(AB$621&gt;=$C877,MIN(-(SUM($F877:AA877)-$E877),($E877*(1-$D$623))*$D877),0)*AB$619</f>
        <v>0</v>
      </c>
      <c r="AC877">
        <f>IF(AC$621&gt;=$C877,MIN(-(SUM($F877:AB877)-$E877),($E877*(1-$D$623))*$D877),0)*AC$619</f>
        <v>0</v>
      </c>
      <c r="AD877">
        <f>IF(AD$621&gt;=$C877,MIN(-(SUM($F877:AC877)-$E877),($E877*(1-$D$623))*$D877),0)*AD$619</f>
        <v>0</v>
      </c>
      <c r="AE877">
        <f>IF(AE$621&gt;=$C877,MIN(-(SUM($F877:AD877)-$E877),($E877*(1-$D$623))*$D877),0)*AE$619</f>
        <v>0</v>
      </c>
      <c r="AF877">
        <f>IF(AF$621&gt;=$C877,MIN(-(SUM($F877:AE877)-$E877),($E877*(1-$D$623))*$D877),0)*AF$619</f>
        <v>0</v>
      </c>
      <c r="AG877">
        <f>IF(AG$621&gt;=$C877,MIN(-(SUM($F877:AF877)-$E877),($E877*(1-$D$623))*$D877),0)*AG$619</f>
        <v>0</v>
      </c>
      <c r="AH877">
        <f>IF(AH$621&gt;=$C877,MIN(-(SUM($F877:AG877)-$E877),($E877*(1-$D$623))*$D877),0)*AH$619</f>
        <v>0</v>
      </c>
      <c r="AI877">
        <f>IF(AI$621&gt;=$C877,MIN(-(SUM($F877:AH877)-$E877),($E877*(1-$D$623))*$D877),0)*AI$619</f>
        <v>0</v>
      </c>
      <c r="AJ877">
        <f>IF(AJ$621&gt;=$C877,MIN(-(SUM($F877:AI877)-$E877),($E877*(1-$D$623))*$D877),0)*AJ$619</f>
        <v>0</v>
      </c>
      <c r="AK877">
        <f>IF(AK$621&gt;=$C877,MIN(-(SUM($F877:AJ877)-$E877),($E877*(1-$D$623))*$D877),0)*AK$619</f>
        <v>0</v>
      </c>
      <c r="AL877">
        <f>IF(AL$621&gt;=$C877,MIN(-(SUM($F877:AK877)-$E877),($E877*(1-$D$623))*$D877),0)*AL$619</f>
        <v>0</v>
      </c>
      <c r="AM877">
        <f>IF(AM$621&gt;=$C877,MIN(-(SUM($F877:AL877)-$E877),($E877*(1-$D$623))*$D877),0)*AM$619</f>
        <v>0</v>
      </c>
      <c r="AN877">
        <f>IF(AN$621&gt;=$C877,MIN(-(SUM($F877:AM877)-$E877),($E877*(1-$D$623))*$D877),0)*AN$619</f>
        <v>0</v>
      </c>
    </row>
    <row r="878" spans="3:40" outlineLevel="4">
      <c r="C878">
        <v>28</v>
      </c>
      <c r="D878">
        <f>Inputs!$D$262</f>
        <v>0.1</v>
      </c>
      <c r="E878">
        <v>0</v>
      </c>
      <c r="F878" s="461">
        <f>E878*D848</f>
        <v>0</v>
      </c>
      <c r="G878">
        <f>IF(G$621&gt;=$C878,MIN(-(SUM(F878:$F878)-$E878),($E878*(1-$D$623))*$D878),0)*G$619</f>
        <v>0</v>
      </c>
      <c r="H878">
        <f>IF(H$621&gt;=$C878,MIN(-(SUM($F878:G878)-$E878),($E878*(1-$D$623))*$D878),0)*H$619</f>
        <v>0</v>
      </c>
      <c r="I878">
        <f>IF(I$621&gt;=$C878,MIN(-(SUM($F878:H878)-$E878),($E878*(1-$D$623))*$D878),0)*I$619</f>
        <v>0</v>
      </c>
      <c r="J878">
        <f>IF(J$621&gt;=$C878,MIN(-(SUM($F878:I878)-$E878),($E878*(1-$D$623))*$D878),0)*J$619</f>
        <v>0</v>
      </c>
      <c r="K878">
        <f>IF(K$621&gt;=$C878,MIN(-(SUM($F878:J878)-$E878),($E878*(1-$D$623))*$D878),0)*K$619</f>
        <v>0</v>
      </c>
      <c r="L878">
        <f>IF(L$621&gt;=$C878,MIN(-(SUM($F878:K878)-$E878),($E878*(1-$D$623))*$D878),0)*L$619</f>
        <v>0</v>
      </c>
      <c r="M878">
        <f>IF(M$621&gt;=$C878,MIN(-(SUM($F878:L878)-$E878),($E878*(1-$D$623))*$D878),0)*M$619</f>
        <v>0</v>
      </c>
      <c r="N878">
        <f>IF(N$621&gt;=$C878,MIN(-(SUM($F878:M878)-$E878),($E878*(1-$D$623))*$D878),0)*N$619</f>
        <v>0</v>
      </c>
      <c r="O878">
        <f>IF(O$621&gt;=$C878,MIN(-(SUM($F878:N878)-$E878),($E878*(1-$D$623))*$D878),0)*O$619</f>
        <v>0</v>
      </c>
      <c r="P878">
        <f>IF(P$621&gt;=$C878,MIN(-(SUM($F878:O878)-$E878),($E878*(1-$D$623))*$D878),0)*P$619</f>
        <v>0</v>
      </c>
      <c r="Q878">
        <f>IF(Q$621&gt;=$C878,MIN(-(SUM($F878:P878)-$E878),($E878*(1-$D$623))*$D878),0)*Q$619</f>
        <v>0</v>
      </c>
      <c r="R878">
        <f>IF(R$621&gt;=$C878,MIN(-(SUM($F878:Q878)-$E878),($E878*(1-$D$623))*$D878),0)*R$619</f>
        <v>0</v>
      </c>
      <c r="S878">
        <f>IF(S$621&gt;=$C878,MIN(-(SUM($F878:R878)-$E878),($E878*(1-$D$623))*$D878),0)*S$619</f>
        <v>0</v>
      </c>
      <c r="T878">
        <f>IF(T$621&gt;=$C878,MIN(-(SUM($F878:S878)-$E878),($E878*(1-$D$623))*$D878),0)*T$619</f>
        <v>0</v>
      </c>
      <c r="U878">
        <f>IF(U$621&gt;=$C878,MIN(-(SUM($F878:T878)-$E878),($E878*(1-$D$623))*$D878),0)*U$619</f>
        <v>0</v>
      </c>
      <c r="V878">
        <f>IF(V$621&gt;=$C878,MIN(-(SUM($F878:U878)-$E878),($E878*(1-$D$623))*$D878),0)*V$619</f>
        <v>0</v>
      </c>
      <c r="W878">
        <f>IF(W$621&gt;=$C878,MIN(-(SUM($F878:V878)-$E878),($E878*(1-$D$623))*$D878),0)*W$619</f>
        <v>0</v>
      </c>
      <c r="X878">
        <f>IF(X$621&gt;=$C878,MIN(-(SUM($F878:W878)-$E878),($E878*(1-$D$623))*$D878),0)*X$619</f>
        <v>0</v>
      </c>
      <c r="Y878">
        <f>IF(Y$621&gt;=$C878,MIN(-(SUM($F878:X878)-$E878),($E878*(1-$D$623))*$D878),0)*Y$619</f>
        <v>0</v>
      </c>
      <c r="Z878">
        <f>IF(Z$621&gt;=$C878,MIN(-(SUM($F878:Y878)-$E878),($E878*(1-$D$623))*$D878),0)*Z$619</f>
        <v>0</v>
      </c>
      <c r="AA878">
        <f>IF(AA$621&gt;=$C878,MIN(-(SUM($F878:Z878)-$E878),($E878*(1-$D$623))*$D878),0)*AA$619</f>
        <v>0</v>
      </c>
      <c r="AB878">
        <f>IF(AB$621&gt;=$C878,MIN(-(SUM($F878:AA878)-$E878),($E878*(1-$D$623))*$D878),0)*AB$619</f>
        <v>0</v>
      </c>
      <c r="AC878">
        <f>IF(AC$621&gt;=$C878,MIN(-(SUM($F878:AB878)-$E878),($E878*(1-$D$623))*$D878),0)*AC$619</f>
        <v>0</v>
      </c>
      <c r="AD878">
        <f>IF(AD$621&gt;=$C878,MIN(-(SUM($F878:AC878)-$E878),($E878*(1-$D$623))*$D878),0)*AD$619</f>
        <v>0</v>
      </c>
      <c r="AE878">
        <f>IF(AE$621&gt;=$C878,MIN(-(SUM($F878:AD878)-$E878),($E878*(1-$D$623))*$D878),0)*AE$619</f>
        <v>0</v>
      </c>
      <c r="AF878">
        <f>IF(AF$621&gt;=$C878,MIN(-(SUM($F878:AE878)-$E878),($E878*(1-$D$623))*$D878),0)*AF$619</f>
        <v>0</v>
      </c>
      <c r="AG878">
        <f>IF(AG$621&gt;=$C878,MIN(-(SUM($F878:AF878)-$E878),($E878*(1-$D$623))*$D878),0)*AG$619</f>
        <v>0</v>
      </c>
      <c r="AH878">
        <f>IF(AH$621&gt;=$C878,MIN(-(SUM($F878:AG878)-$E878),($E878*(1-$D$623))*$D878),0)*AH$619</f>
        <v>0</v>
      </c>
      <c r="AI878">
        <f>IF(AI$621&gt;=$C878,MIN(-(SUM($F878:AH878)-$E878),($E878*(1-$D$623))*$D878),0)*AI$619</f>
        <v>0</v>
      </c>
      <c r="AJ878">
        <f>IF(AJ$621&gt;=$C878,MIN(-(SUM($F878:AI878)-$E878),($E878*(1-$D$623))*$D878),0)*AJ$619</f>
        <v>0</v>
      </c>
      <c r="AK878">
        <f>IF(AK$621&gt;=$C878,MIN(-(SUM($F878:AJ878)-$E878),($E878*(1-$D$623))*$D878),0)*AK$619</f>
        <v>0</v>
      </c>
      <c r="AL878">
        <f>IF(AL$621&gt;=$C878,MIN(-(SUM($F878:AK878)-$E878),($E878*(1-$D$623))*$D878),0)*AL$619</f>
        <v>0</v>
      </c>
      <c r="AM878">
        <f>IF(AM$621&gt;=$C878,MIN(-(SUM($F878:AL878)-$E878),($E878*(1-$D$623))*$D878),0)*AM$619</f>
        <v>0</v>
      </c>
      <c r="AN878">
        <f>IF(AN$621&gt;=$C878,MIN(-(SUM($F878:AM878)-$E878),($E878*(1-$D$623))*$D878),0)*AN$619</f>
        <v>0</v>
      </c>
    </row>
    <row r="879" spans="3:40" outlineLevel="4">
      <c r="C879">
        <v>29</v>
      </c>
      <c r="D879">
        <f>Inputs!$D$262</f>
        <v>0.1</v>
      </c>
      <c r="E879">
        <v>0</v>
      </c>
      <c r="F879" s="461">
        <f>E879*D848</f>
        <v>0</v>
      </c>
      <c r="G879">
        <f>IF(G$621&gt;=$C879,MIN(-(SUM(F879:$F879)-$E879),($E879*(1-$D$623))*$D879),0)*G$619</f>
        <v>0</v>
      </c>
      <c r="H879">
        <f>IF(H$621&gt;=$C879,MIN(-(SUM($F879:G879)-$E879),($E879*(1-$D$623))*$D879),0)*H$619</f>
        <v>0</v>
      </c>
      <c r="I879">
        <f>IF(I$621&gt;=$C879,MIN(-(SUM($F879:H879)-$E879),($E879*(1-$D$623))*$D879),0)*I$619</f>
        <v>0</v>
      </c>
      <c r="J879">
        <f>IF(J$621&gt;=$C879,MIN(-(SUM($F879:I879)-$E879),($E879*(1-$D$623))*$D879),0)*J$619</f>
        <v>0</v>
      </c>
      <c r="K879">
        <f>IF(K$621&gt;=$C879,MIN(-(SUM($F879:J879)-$E879),($E879*(1-$D$623))*$D879),0)*K$619</f>
        <v>0</v>
      </c>
      <c r="L879">
        <f>IF(L$621&gt;=$C879,MIN(-(SUM($F879:K879)-$E879),($E879*(1-$D$623))*$D879),0)*L$619</f>
        <v>0</v>
      </c>
      <c r="M879">
        <f>IF(M$621&gt;=$C879,MIN(-(SUM($F879:L879)-$E879),($E879*(1-$D$623))*$D879),0)*M$619</f>
        <v>0</v>
      </c>
      <c r="N879">
        <f>IF(N$621&gt;=$C879,MIN(-(SUM($F879:M879)-$E879),($E879*(1-$D$623))*$D879),0)*N$619</f>
        <v>0</v>
      </c>
      <c r="O879">
        <f>IF(O$621&gt;=$C879,MIN(-(SUM($F879:N879)-$E879),($E879*(1-$D$623))*$D879),0)*O$619</f>
        <v>0</v>
      </c>
      <c r="P879">
        <f>IF(P$621&gt;=$C879,MIN(-(SUM($F879:O879)-$E879),($E879*(1-$D$623))*$D879),0)*P$619</f>
        <v>0</v>
      </c>
      <c r="Q879">
        <f>IF(Q$621&gt;=$C879,MIN(-(SUM($F879:P879)-$E879),($E879*(1-$D$623))*$D879),0)*Q$619</f>
        <v>0</v>
      </c>
      <c r="R879">
        <f>IF(R$621&gt;=$C879,MIN(-(SUM($F879:Q879)-$E879),($E879*(1-$D$623))*$D879),0)*R$619</f>
        <v>0</v>
      </c>
      <c r="S879">
        <f>IF(S$621&gt;=$C879,MIN(-(SUM($F879:R879)-$E879),($E879*(1-$D$623))*$D879),0)*S$619</f>
        <v>0</v>
      </c>
      <c r="T879">
        <f>IF(T$621&gt;=$C879,MIN(-(SUM($F879:S879)-$E879),($E879*(1-$D$623))*$D879),0)*T$619</f>
        <v>0</v>
      </c>
      <c r="U879">
        <f>IF(U$621&gt;=$C879,MIN(-(SUM($F879:T879)-$E879),($E879*(1-$D$623))*$D879),0)*U$619</f>
        <v>0</v>
      </c>
      <c r="V879">
        <f>IF(V$621&gt;=$C879,MIN(-(SUM($F879:U879)-$E879),($E879*(1-$D$623))*$D879),0)*V$619</f>
        <v>0</v>
      </c>
      <c r="W879">
        <f>IF(W$621&gt;=$C879,MIN(-(SUM($F879:V879)-$E879),($E879*(1-$D$623))*$D879),0)*W$619</f>
        <v>0</v>
      </c>
      <c r="X879">
        <f>IF(X$621&gt;=$C879,MIN(-(SUM($F879:W879)-$E879),($E879*(1-$D$623))*$D879),0)*X$619</f>
        <v>0</v>
      </c>
      <c r="Y879">
        <f>IF(Y$621&gt;=$C879,MIN(-(SUM($F879:X879)-$E879),($E879*(1-$D$623))*$D879),0)*Y$619</f>
        <v>0</v>
      </c>
      <c r="Z879">
        <f>IF(Z$621&gt;=$C879,MIN(-(SUM($F879:Y879)-$E879),($E879*(1-$D$623))*$D879),0)*Z$619</f>
        <v>0</v>
      </c>
      <c r="AA879">
        <f>IF(AA$621&gt;=$C879,MIN(-(SUM($F879:Z879)-$E879),($E879*(1-$D$623))*$D879),0)*AA$619</f>
        <v>0</v>
      </c>
      <c r="AB879">
        <f>IF(AB$621&gt;=$C879,MIN(-(SUM($F879:AA879)-$E879),($E879*(1-$D$623))*$D879),0)*AB$619</f>
        <v>0</v>
      </c>
      <c r="AC879">
        <f>IF(AC$621&gt;=$C879,MIN(-(SUM($F879:AB879)-$E879),($E879*(1-$D$623))*$D879),0)*AC$619</f>
        <v>0</v>
      </c>
      <c r="AD879">
        <f>IF(AD$621&gt;=$C879,MIN(-(SUM($F879:AC879)-$E879),($E879*(1-$D$623))*$D879),0)*AD$619</f>
        <v>0</v>
      </c>
      <c r="AE879">
        <f>IF(AE$621&gt;=$C879,MIN(-(SUM($F879:AD879)-$E879),($E879*(1-$D$623))*$D879),0)*AE$619</f>
        <v>0</v>
      </c>
      <c r="AF879">
        <f>IF(AF$621&gt;=$C879,MIN(-(SUM($F879:AE879)-$E879),($E879*(1-$D$623))*$D879),0)*AF$619</f>
        <v>0</v>
      </c>
      <c r="AG879">
        <f>IF(AG$621&gt;=$C879,MIN(-(SUM($F879:AF879)-$E879),($E879*(1-$D$623))*$D879),0)*AG$619</f>
        <v>0</v>
      </c>
      <c r="AH879">
        <f>IF(AH$621&gt;=$C879,MIN(-(SUM($F879:AG879)-$E879),($E879*(1-$D$623))*$D879),0)*AH$619</f>
        <v>0</v>
      </c>
      <c r="AI879">
        <f>IF(AI$621&gt;=$C879,MIN(-(SUM($F879:AH879)-$E879),($E879*(1-$D$623))*$D879),0)*AI$619</f>
        <v>0</v>
      </c>
      <c r="AJ879">
        <f>IF(AJ$621&gt;=$C879,MIN(-(SUM($F879:AI879)-$E879),($E879*(1-$D$623))*$D879),0)*AJ$619</f>
        <v>0</v>
      </c>
      <c r="AK879">
        <f>IF(AK$621&gt;=$C879,MIN(-(SUM($F879:AJ879)-$E879),($E879*(1-$D$623))*$D879),0)*AK$619</f>
        <v>0</v>
      </c>
      <c r="AL879">
        <f>IF(AL$621&gt;=$C879,MIN(-(SUM($F879:AK879)-$E879),($E879*(1-$D$623))*$D879),0)*AL$619</f>
        <v>0</v>
      </c>
      <c r="AM879">
        <f>IF(AM$621&gt;=$C879,MIN(-(SUM($F879:AL879)-$E879),($E879*(1-$D$623))*$D879),0)*AM$619</f>
        <v>0</v>
      </c>
      <c r="AN879">
        <f>IF(AN$621&gt;=$C879,MIN(-(SUM($F879:AM879)-$E879),($E879*(1-$D$623))*$D879),0)*AN$619</f>
        <v>0</v>
      </c>
    </row>
    <row r="880" spans="3:40" outlineLevel="4">
      <c r="C880">
        <v>30</v>
      </c>
      <c r="D880">
        <f>Inputs!$D$262</f>
        <v>0.1</v>
      </c>
      <c r="E880">
        <v>0</v>
      </c>
      <c r="F880" s="461">
        <f>E880*D848</f>
        <v>0</v>
      </c>
      <c r="G880">
        <f>IF(G$621&gt;=$C880,MIN(-(SUM(F880:$F880)-$E880),($E880*(1-$D$623))*$D880),0)*G$619</f>
        <v>0</v>
      </c>
      <c r="H880">
        <f>IF(H$621&gt;=$C880,MIN(-(SUM($F880:G880)-$E880),($E880*(1-$D$623))*$D880),0)*H$619</f>
        <v>0</v>
      </c>
      <c r="I880">
        <f>IF(I$621&gt;=$C880,MIN(-(SUM($F880:H880)-$E880),($E880*(1-$D$623))*$D880),0)*I$619</f>
        <v>0</v>
      </c>
      <c r="J880">
        <f>IF(J$621&gt;=$C880,MIN(-(SUM($F880:I880)-$E880),($E880*(1-$D$623))*$D880),0)*J$619</f>
        <v>0</v>
      </c>
      <c r="K880">
        <f>IF(K$621&gt;=$C880,MIN(-(SUM($F880:J880)-$E880),($E880*(1-$D$623))*$D880),0)*K$619</f>
        <v>0</v>
      </c>
      <c r="L880">
        <f>IF(L$621&gt;=$C880,MIN(-(SUM($F880:K880)-$E880),($E880*(1-$D$623))*$D880),0)*L$619</f>
        <v>0</v>
      </c>
      <c r="M880">
        <f>IF(M$621&gt;=$C880,MIN(-(SUM($F880:L880)-$E880),($E880*(1-$D$623))*$D880),0)*M$619</f>
        <v>0</v>
      </c>
      <c r="N880">
        <f>IF(N$621&gt;=$C880,MIN(-(SUM($F880:M880)-$E880),($E880*(1-$D$623))*$D880),0)*N$619</f>
        <v>0</v>
      </c>
      <c r="O880">
        <f>IF(O$621&gt;=$C880,MIN(-(SUM($F880:N880)-$E880),($E880*(1-$D$623))*$D880),0)*O$619</f>
        <v>0</v>
      </c>
      <c r="P880">
        <f>IF(P$621&gt;=$C880,MIN(-(SUM($F880:O880)-$E880),($E880*(1-$D$623))*$D880),0)*P$619</f>
        <v>0</v>
      </c>
      <c r="Q880">
        <f>IF(Q$621&gt;=$C880,MIN(-(SUM($F880:P880)-$E880),($E880*(1-$D$623))*$D880),0)*Q$619</f>
        <v>0</v>
      </c>
      <c r="R880">
        <f>IF(R$621&gt;=$C880,MIN(-(SUM($F880:Q880)-$E880),($E880*(1-$D$623))*$D880),0)*R$619</f>
        <v>0</v>
      </c>
      <c r="S880">
        <f>IF(S$621&gt;=$C880,MIN(-(SUM($F880:R880)-$E880),($E880*(1-$D$623))*$D880),0)*S$619</f>
        <v>0</v>
      </c>
      <c r="T880">
        <f>IF(T$621&gt;=$C880,MIN(-(SUM($F880:S880)-$E880),($E880*(1-$D$623))*$D880),0)*T$619</f>
        <v>0</v>
      </c>
      <c r="U880">
        <f>IF(U$621&gt;=$C880,MIN(-(SUM($F880:T880)-$E880),($E880*(1-$D$623))*$D880),0)*U$619</f>
        <v>0</v>
      </c>
      <c r="V880">
        <f>IF(V$621&gt;=$C880,MIN(-(SUM($F880:U880)-$E880),($E880*(1-$D$623))*$D880),0)*V$619</f>
        <v>0</v>
      </c>
      <c r="W880">
        <f>IF(W$621&gt;=$C880,MIN(-(SUM($F880:V880)-$E880),($E880*(1-$D$623))*$D880),0)*W$619</f>
        <v>0</v>
      </c>
      <c r="X880">
        <f>IF(X$621&gt;=$C880,MIN(-(SUM($F880:W880)-$E880),($E880*(1-$D$623))*$D880),0)*X$619</f>
        <v>0</v>
      </c>
      <c r="Y880">
        <f>IF(Y$621&gt;=$C880,MIN(-(SUM($F880:X880)-$E880),($E880*(1-$D$623))*$D880),0)*Y$619</f>
        <v>0</v>
      </c>
      <c r="Z880">
        <f>IF(Z$621&gt;=$C880,MIN(-(SUM($F880:Y880)-$E880),($E880*(1-$D$623))*$D880),0)*Z$619</f>
        <v>0</v>
      </c>
      <c r="AA880">
        <f>IF(AA$621&gt;=$C880,MIN(-(SUM($F880:Z880)-$E880),($E880*(1-$D$623))*$D880),0)*AA$619</f>
        <v>0</v>
      </c>
      <c r="AB880">
        <f>IF(AB$621&gt;=$C880,MIN(-(SUM($F880:AA880)-$E880),($E880*(1-$D$623))*$D880),0)*AB$619</f>
        <v>0</v>
      </c>
      <c r="AC880">
        <f>IF(AC$621&gt;=$C880,MIN(-(SUM($F880:AB880)-$E880),($E880*(1-$D$623))*$D880),0)*AC$619</f>
        <v>0</v>
      </c>
      <c r="AD880">
        <f>IF(AD$621&gt;=$C880,MIN(-(SUM($F880:AC880)-$E880),($E880*(1-$D$623))*$D880),0)*AD$619</f>
        <v>0</v>
      </c>
      <c r="AE880">
        <f>IF(AE$621&gt;=$C880,MIN(-(SUM($F880:AD880)-$E880),($E880*(1-$D$623))*$D880),0)*AE$619</f>
        <v>0</v>
      </c>
      <c r="AF880">
        <f>IF(AF$621&gt;=$C880,MIN(-(SUM($F880:AE880)-$E880),($E880*(1-$D$623))*$D880),0)*AF$619</f>
        <v>0</v>
      </c>
      <c r="AG880">
        <f>IF(AG$621&gt;=$C880,MIN(-(SUM($F880:AF880)-$E880),($E880*(1-$D$623))*$D880),0)*AG$619</f>
        <v>0</v>
      </c>
      <c r="AH880">
        <f>IF(AH$621&gt;=$C880,MIN(-(SUM($F880:AG880)-$E880),($E880*(1-$D$623))*$D880),0)*AH$619</f>
        <v>0</v>
      </c>
      <c r="AI880">
        <f>IF(AI$621&gt;=$C880,MIN(-(SUM($F880:AH880)-$E880),($E880*(1-$D$623))*$D880),0)*AI$619</f>
        <v>0</v>
      </c>
      <c r="AJ880">
        <f>IF(AJ$621&gt;=$C880,MIN(-(SUM($F880:AI880)-$E880),($E880*(1-$D$623))*$D880),0)*AJ$619</f>
        <v>0</v>
      </c>
      <c r="AK880">
        <f>IF(AK$621&gt;=$C880,MIN(-(SUM($F880:AJ880)-$E880),($E880*(1-$D$623))*$D880),0)*AK$619</f>
        <v>0</v>
      </c>
      <c r="AL880">
        <f>IF(AL$621&gt;=$C880,MIN(-(SUM($F880:AK880)-$E880),($E880*(1-$D$623))*$D880),0)*AL$619</f>
        <v>0</v>
      </c>
      <c r="AM880">
        <f>IF(AM$621&gt;=$C880,MIN(-(SUM($F880:AL880)-$E880),($E880*(1-$D$623))*$D880),0)*AM$619</f>
        <v>0</v>
      </c>
      <c r="AN880">
        <f>IF(AN$621&gt;=$C880,MIN(-(SUM($F880:AM880)-$E880),($E880*(1-$D$623))*$D880),0)*AN$619</f>
        <v>0</v>
      </c>
    </row>
    <row r="881" spans="3:160" outlineLevel="4">
      <c r="C881">
        <v>31</v>
      </c>
      <c r="D881">
        <f>Inputs!$D$262</f>
        <v>0.1</v>
      </c>
      <c r="E881">
        <v>0</v>
      </c>
      <c r="F881" s="461">
        <f>E881*D848</f>
        <v>0</v>
      </c>
      <c r="G881">
        <f>IF(G$621&gt;=$C881,MIN(-(SUM(F881:$F881)-$E881),($E881*(1-$D$623))*$D881),0)*G$619</f>
        <v>0</v>
      </c>
      <c r="H881">
        <f>IF(H$621&gt;=$C881,MIN(-(SUM($F881:G881)-$E881),($E881*(1-$D$623))*$D881),0)*H$619</f>
        <v>0</v>
      </c>
      <c r="I881">
        <f>IF(I$621&gt;=$C881,MIN(-(SUM($F881:H881)-$E881),($E881*(1-$D$623))*$D881),0)*I$619</f>
        <v>0</v>
      </c>
      <c r="J881">
        <f>IF(J$621&gt;=$C881,MIN(-(SUM($F881:I881)-$E881),($E881*(1-$D$623))*$D881),0)*J$619</f>
        <v>0</v>
      </c>
      <c r="K881">
        <f>IF(K$621&gt;=$C881,MIN(-(SUM($F881:J881)-$E881),($E881*(1-$D$623))*$D881),0)*K$619</f>
        <v>0</v>
      </c>
      <c r="L881">
        <f>IF(L$621&gt;=$C881,MIN(-(SUM($F881:K881)-$E881),($E881*(1-$D$623))*$D881),0)*L$619</f>
        <v>0</v>
      </c>
      <c r="M881">
        <f>IF(M$621&gt;=$C881,MIN(-(SUM($F881:L881)-$E881),($E881*(1-$D$623))*$D881),0)*M$619</f>
        <v>0</v>
      </c>
      <c r="N881">
        <f>IF(N$621&gt;=$C881,MIN(-(SUM($F881:M881)-$E881),($E881*(1-$D$623))*$D881),0)*N$619</f>
        <v>0</v>
      </c>
      <c r="O881">
        <f>IF(O$621&gt;=$C881,MIN(-(SUM($F881:N881)-$E881),($E881*(1-$D$623))*$D881),0)*O$619</f>
        <v>0</v>
      </c>
      <c r="P881">
        <f>IF(P$621&gt;=$C881,MIN(-(SUM($F881:O881)-$E881),($E881*(1-$D$623))*$D881),0)*P$619</f>
        <v>0</v>
      </c>
      <c r="Q881">
        <f>IF(Q$621&gt;=$C881,MIN(-(SUM($F881:P881)-$E881),($E881*(1-$D$623))*$D881),0)*Q$619</f>
        <v>0</v>
      </c>
      <c r="R881">
        <f>IF(R$621&gt;=$C881,MIN(-(SUM($F881:Q881)-$E881),($E881*(1-$D$623))*$D881),0)*R$619</f>
        <v>0</v>
      </c>
      <c r="S881">
        <f>IF(S$621&gt;=$C881,MIN(-(SUM($F881:R881)-$E881),($E881*(1-$D$623))*$D881),0)*S$619</f>
        <v>0</v>
      </c>
      <c r="T881">
        <f>IF(T$621&gt;=$C881,MIN(-(SUM($F881:S881)-$E881),($E881*(1-$D$623))*$D881),0)*T$619</f>
        <v>0</v>
      </c>
      <c r="U881">
        <f>IF(U$621&gt;=$C881,MIN(-(SUM($F881:T881)-$E881),($E881*(1-$D$623))*$D881),0)*U$619</f>
        <v>0</v>
      </c>
      <c r="V881">
        <f>IF(V$621&gt;=$C881,MIN(-(SUM($F881:U881)-$E881),($E881*(1-$D$623))*$D881),0)*V$619</f>
        <v>0</v>
      </c>
      <c r="W881">
        <f>IF(W$621&gt;=$C881,MIN(-(SUM($F881:V881)-$E881),($E881*(1-$D$623))*$D881),0)*W$619</f>
        <v>0</v>
      </c>
      <c r="X881">
        <f>IF(X$621&gt;=$C881,MIN(-(SUM($F881:W881)-$E881),($E881*(1-$D$623))*$D881),0)*X$619</f>
        <v>0</v>
      </c>
      <c r="Y881">
        <f>IF(Y$621&gt;=$C881,MIN(-(SUM($F881:X881)-$E881),($E881*(1-$D$623))*$D881),0)*Y$619</f>
        <v>0</v>
      </c>
      <c r="Z881">
        <f>IF(Z$621&gt;=$C881,MIN(-(SUM($F881:Y881)-$E881),($E881*(1-$D$623))*$D881),0)*Z$619</f>
        <v>0</v>
      </c>
      <c r="AA881">
        <f>IF(AA$621&gt;=$C881,MIN(-(SUM($F881:Z881)-$E881),($E881*(1-$D$623))*$D881),0)*AA$619</f>
        <v>0</v>
      </c>
      <c r="AB881">
        <f>IF(AB$621&gt;=$C881,MIN(-(SUM($F881:AA881)-$E881),($E881*(1-$D$623))*$D881),0)*AB$619</f>
        <v>0</v>
      </c>
      <c r="AC881">
        <f>IF(AC$621&gt;=$C881,MIN(-(SUM($F881:AB881)-$E881),($E881*(1-$D$623))*$D881),0)*AC$619</f>
        <v>0</v>
      </c>
      <c r="AD881">
        <f>IF(AD$621&gt;=$C881,MIN(-(SUM($F881:AC881)-$E881),($E881*(1-$D$623))*$D881),0)*AD$619</f>
        <v>0</v>
      </c>
      <c r="AE881">
        <f>IF(AE$621&gt;=$C881,MIN(-(SUM($F881:AD881)-$E881),($E881*(1-$D$623))*$D881),0)*AE$619</f>
        <v>0</v>
      </c>
      <c r="AF881">
        <f>IF(AF$621&gt;=$C881,MIN(-(SUM($F881:AE881)-$E881),($E881*(1-$D$623))*$D881),0)*AF$619</f>
        <v>0</v>
      </c>
      <c r="AG881">
        <f>IF(AG$621&gt;=$C881,MIN(-(SUM($F881:AF881)-$E881),($E881*(1-$D$623))*$D881),0)*AG$619</f>
        <v>0</v>
      </c>
      <c r="AH881">
        <f>IF(AH$621&gt;=$C881,MIN(-(SUM($F881:AG881)-$E881),($E881*(1-$D$623))*$D881),0)*AH$619</f>
        <v>0</v>
      </c>
      <c r="AI881">
        <f>IF(AI$621&gt;=$C881,MIN(-(SUM($F881:AH881)-$E881),($E881*(1-$D$623))*$D881),0)*AI$619</f>
        <v>0</v>
      </c>
      <c r="AJ881">
        <f>IF(AJ$621&gt;=$C881,MIN(-(SUM($F881:AI881)-$E881),($E881*(1-$D$623))*$D881),0)*AJ$619</f>
        <v>0</v>
      </c>
      <c r="AK881">
        <f>IF(AK$621&gt;=$C881,MIN(-(SUM($F881:AJ881)-$E881),($E881*(1-$D$623))*$D881),0)*AK$619</f>
        <v>0</v>
      </c>
      <c r="AL881">
        <f>IF(AL$621&gt;=$C881,MIN(-(SUM($F881:AK881)-$E881),($E881*(1-$D$623))*$D881),0)*AL$619</f>
        <v>0</v>
      </c>
      <c r="AM881">
        <f>IF(AM$621&gt;=$C881,MIN(-(SUM($F881:AL881)-$E881),($E881*(1-$D$623))*$D881),0)*AM$619</f>
        <v>0</v>
      </c>
      <c r="AN881">
        <f>IF(AN$621&gt;=$C881,MIN(-(SUM($F881:AM881)-$E881),($E881*(1-$D$623))*$D881),0)*AN$619</f>
        <v>0</v>
      </c>
    </row>
    <row r="882" spans="3:160" outlineLevel="4">
      <c r="C882">
        <v>32</v>
      </c>
      <c r="D882">
        <f>Inputs!$D$262</f>
        <v>0.1</v>
      </c>
      <c r="E882">
        <v>0</v>
      </c>
      <c r="F882" s="461">
        <f>E882*D848</f>
        <v>0</v>
      </c>
      <c r="G882">
        <f>IF(G$621&gt;=$C882,MIN(-(SUM(F882:$F882)-$E882),($E882*(1-$D$623))*$D882),0)*G$619</f>
        <v>0</v>
      </c>
      <c r="H882">
        <f>IF(H$621&gt;=$C882,MIN(-(SUM($F882:G882)-$E882),($E882*(1-$D$623))*$D882),0)*H$619</f>
        <v>0</v>
      </c>
      <c r="I882">
        <f>IF(I$621&gt;=$C882,MIN(-(SUM($F882:H882)-$E882),($E882*(1-$D$623))*$D882),0)*I$619</f>
        <v>0</v>
      </c>
      <c r="J882">
        <f>IF(J$621&gt;=$C882,MIN(-(SUM($F882:I882)-$E882),($E882*(1-$D$623))*$D882),0)*J$619</f>
        <v>0</v>
      </c>
      <c r="K882">
        <f>IF(K$621&gt;=$C882,MIN(-(SUM($F882:J882)-$E882),($E882*(1-$D$623))*$D882),0)*K$619</f>
        <v>0</v>
      </c>
      <c r="L882">
        <f>IF(L$621&gt;=$C882,MIN(-(SUM($F882:K882)-$E882),($E882*(1-$D$623))*$D882),0)*L$619</f>
        <v>0</v>
      </c>
      <c r="M882">
        <f>IF(M$621&gt;=$C882,MIN(-(SUM($F882:L882)-$E882),($E882*(1-$D$623))*$D882),0)*M$619</f>
        <v>0</v>
      </c>
      <c r="N882">
        <f>IF(N$621&gt;=$C882,MIN(-(SUM($F882:M882)-$E882),($E882*(1-$D$623))*$D882),0)*N$619</f>
        <v>0</v>
      </c>
      <c r="O882">
        <f>IF(O$621&gt;=$C882,MIN(-(SUM($F882:N882)-$E882),($E882*(1-$D$623))*$D882),0)*O$619</f>
        <v>0</v>
      </c>
      <c r="P882">
        <f>IF(P$621&gt;=$C882,MIN(-(SUM($F882:O882)-$E882),($E882*(1-$D$623))*$D882),0)*P$619</f>
        <v>0</v>
      </c>
      <c r="Q882">
        <f>IF(Q$621&gt;=$C882,MIN(-(SUM($F882:P882)-$E882),($E882*(1-$D$623))*$D882),0)*Q$619</f>
        <v>0</v>
      </c>
      <c r="R882">
        <f>IF(R$621&gt;=$C882,MIN(-(SUM($F882:Q882)-$E882),($E882*(1-$D$623))*$D882),0)*R$619</f>
        <v>0</v>
      </c>
      <c r="S882">
        <f>IF(S$621&gt;=$C882,MIN(-(SUM($F882:R882)-$E882),($E882*(1-$D$623))*$D882),0)*S$619</f>
        <v>0</v>
      </c>
      <c r="T882">
        <f>IF(T$621&gt;=$C882,MIN(-(SUM($F882:S882)-$E882),($E882*(1-$D$623))*$D882),0)*T$619</f>
        <v>0</v>
      </c>
      <c r="U882">
        <f>IF(U$621&gt;=$C882,MIN(-(SUM($F882:T882)-$E882),($E882*(1-$D$623))*$D882),0)*U$619</f>
        <v>0</v>
      </c>
      <c r="V882">
        <f>IF(V$621&gt;=$C882,MIN(-(SUM($F882:U882)-$E882),($E882*(1-$D$623))*$D882),0)*V$619</f>
        <v>0</v>
      </c>
      <c r="W882">
        <f>IF(W$621&gt;=$C882,MIN(-(SUM($F882:V882)-$E882),($E882*(1-$D$623))*$D882),0)*W$619</f>
        <v>0</v>
      </c>
      <c r="X882">
        <f>IF(X$621&gt;=$C882,MIN(-(SUM($F882:W882)-$E882),($E882*(1-$D$623))*$D882),0)*X$619</f>
        <v>0</v>
      </c>
      <c r="Y882">
        <f>IF(Y$621&gt;=$C882,MIN(-(SUM($F882:X882)-$E882),($E882*(1-$D$623))*$D882),0)*Y$619</f>
        <v>0</v>
      </c>
      <c r="Z882">
        <f>IF(Z$621&gt;=$C882,MIN(-(SUM($F882:Y882)-$E882),($E882*(1-$D$623))*$D882),0)*Z$619</f>
        <v>0</v>
      </c>
      <c r="AA882">
        <f>IF(AA$621&gt;=$C882,MIN(-(SUM($F882:Z882)-$E882),($E882*(1-$D$623))*$D882),0)*AA$619</f>
        <v>0</v>
      </c>
      <c r="AB882">
        <f>IF(AB$621&gt;=$C882,MIN(-(SUM($F882:AA882)-$E882),($E882*(1-$D$623))*$D882),0)*AB$619</f>
        <v>0</v>
      </c>
      <c r="AC882">
        <f>IF(AC$621&gt;=$C882,MIN(-(SUM($F882:AB882)-$E882),($E882*(1-$D$623))*$D882),0)*AC$619</f>
        <v>0</v>
      </c>
      <c r="AD882">
        <f>IF(AD$621&gt;=$C882,MIN(-(SUM($F882:AC882)-$E882),($E882*(1-$D$623))*$D882),0)*AD$619</f>
        <v>0</v>
      </c>
      <c r="AE882">
        <f>IF(AE$621&gt;=$C882,MIN(-(SUM($F882:AD882)-$E882),($E882*(1-$D$623))*$D882),0)*AE$619</f>
        <v>0</v>
      </c>
      <c r="AF882">
        <f>IF(AF$621&gt;=$C882,MIN(-(SUM($F882:AE882)-$E882),($E882*(1-$D$623))*$D882),0)*AF$619</f>
        <v>0</v>
      </c>
      <c r="AG882">
        <f>IF(AG$621&gt;=$C882,MIN(-(SUM($F882:AF882)-$E882),($E882*(1-$D$623))*$D882),0)*AG$619</f>
        <v>0</v>
      </c>
      <c r="AH882">
        <f>IF(AH$621&gt;=$C882,MIN(-(SUM($F882:AG882)-$E882),($E882*(1-$D$623))*$D882),0)*AH$619</f>
        <v>0</v>
      </c>
      <c r="AI882">
        <f>IF(AI$621&gt;=$C882,MIN(-(SUM($F882:AH882)-$E882),($E882*(1-$D$623))*$D882),0)*AI$619</f>
        <v>0</v>
      </c>
      <c r="AJ882">
        <f>IF(AJ$621&gt;=$C882,MIN(-(SUM($F882:AI882)-$E882),($E882*(1-$D$623))*$D882),0)*AJ$619</f>
        <v>0</v>
      </c>
      <c r="AK882">
        <f>IF(AK$621&gt;=$C882,MIN(-(SUM($F882:AJ882)-$E882),($E882*(1-$D$623))*$D882),0)*AK$619</f>
        <v>0</v>
      </c>
      <c r="AL882">
        <f>IF(AL$621&gt;=$C882,MIN(-(SUM($F882:AK882)-$E882),($E882*(1-$D$623))*$D882),0)*AL$619</f>
        <v>0</v>
      </c>
      <c r="AM882">
        <f>IF(AM$621&gt;=$C882,MIN(-(SUM($F882:AL882)-$E882),($E882*(1-$D$623))*$D882),0)*AM$619</f>
        <v>0</v>
      </c>
      <c r="AN882">
        <f>IF(AN$621&gt;=$C882,MIN(-(SUM($F882:AM882)-$E882),($E882*(1-$D$623))*$D882),0)*AN$619</f>
        <v>0</v>
      </c>
    </row>
    <row r="883" spans="3:160" outlineLevel="4">
      <c r="C883">
        <v>33</v>
      </c>
      <c r="D883">
        <f>Inputs!$D$262</f>
        <v>0.1</v>
      </c>
      <c r="E883">
        <v>0</v>
      </c>
      <c r="F883" s="461">
        <f>E883*D848</f>
        <v>0</v>
      </c>
      <c r="G883">
        <f>IF(G$621&gt;=$C883,MIN(-(SUM(F883:$F883)-$E883),($E883*(1-$D$623))*$D883),0)*G$619</f>
        <v>0</v>
      </c>
      <c r="H883">
        <f>IF(H$621&gt;=$C883,MIN(-(SUM($F883:G883)-$E883),($E883*(1-$D$623))*$D883),0)*H$619</f>
        <v>0</v>
      </c>
      <c r="I883">
        <f>IF(I$621&gt;=$C883,MIN(-(SUM($F883:H883)-$E883),($E883*(1-$D$623))*$D883),0)*I$619</f>
        <v>0</v>
      </c>
      <c r="J883">
        <f>IF(J$621&gt;=$C883,MIN(-(SUM($F883:I883)-$E883),($E883*(1-$D$623))*$D883),0)*J$619</f>
        <v>0</v>
      </c>
      <c r="K883">
        <f>IF(K$621&gt;=$C883,MIN(-(SUM($F883:J883)-$E883),($E883*(1-$D$623))*$D883),0)*K$619</f>
        <v>0</v>
      </c>
      <c r="L883">
        <f>IF(L$621&gt;=$C883,MIN(-(SUM($F883:K883)-$E883),($E883*(1-$D$623))*$D883),0)*L$619</f>
        <v>0</v>
      </c>
      <c r="M883">
        <f>IF(M$621&gt;=$C883,MIN(-(SUM($F883:L883)-$E883),($E883*(1-$D$623))*$D883),0)*M$619</f>
        <v>0</v>
      </c>
      <c r="N883">
        <f>IF(N$621&gt;=$C883,MIN(-(SUM($F883:M883)-$E883),($E883*(1-$D$623))*$D883),0)*N$619</f>
        <v>0</v>
      </c>
      <c r="O883">
        <f>IF(O$621&gt;=$C883,MIN(-(SUM($F883:N883)-$E883),($E883*(1-$D$623))*$D883),0)*O$619</f>
        <v>0</v>
      </c>
      <c r="P883">
        <f>IF(P$621&gt;=$C883,MIN(-(SUM($F883:O883)-$E883),($E883*(1-$D$623))*$D883),0)*P$619</f>
        <v>0</v>
      </c>
      <c r="Q883">
        <f>IF(Q$621&gt;=$C883,MIN(-(SUM($F883:P883)-$E883),($E883*(1-$D$623))*$D883),0)*Q$619</f>
        <v>0</v>
      </c>
      <c r="R883">
        <f>IF(R$621&gt;=$C883,MIN(-(SUM($F883:Q883)-$E883),($E883*(1-$D$623))*$D883),0)*R$619</f>
        <v>0</v>
      </c>
      <c r="S883">
        <f>IF(S$621&gt;=$C883,MIN(-(SUM($F883:R883)-$E883),($E883*(1-$D$623))*$D883),0)*S$619</f>
        <v>0</v>
      </c>
      <c r="T883">
        <f>IF(T$621&gt;=$C883,MIN(-(SUM($F883:S883)-$E883),($E883*(1-$D$623))*$D883),0)*T$619</f>
        <v>0</v>
      </c>
      <c r="U883">
        <f>IF(U$621&gt;=$C883,MIN(-(SUM($F883:T883)-$E883),($E883*(1-$D$623))*$D883),0)*U$619</f>
        <v>0</v>
      </c>
      <c r="V883">
        <f>IF(V$621&gt;=$C883,MIN(-(SUM($F883:U883)-$E883),($E883*(1-$D$623))*$D883),0)*V$619</f>
        <v>0</v>
      </c>
      <c r="W883">
        <f>IF(W$621&gt;=$C883,MIN(-(SUM($F883:V883)-$E883),($E883*(1-$D$623))*$D883),0)*W$619</f>
        <v>0</v>
      </c>
      <c r="X883">
        <f>IF(X$621&gt;=$C883,MIN(-(SUM($F883:W883)-$E883),($E883*(1-$D$623))*$D883),0)*X$619</f>
        <v>0</v>
      </c>
      <c r="Y883">
        <f>IF(Y$621&gt;=$C883,MIN(-(SUM($F883:X883)-$E883),($E883*(1-$D$623))*$D883),0)*Y$619</f>
        <v>0</v>
      </c>
      <c r="Z883">
        <f>IF(Z$621&gt;=$C883,MIN(-(SUM($F883:Y883)-$E883),($E883*(1-$D$623))*$D883),0)*Z$619</f>
        <v>0</v>
      </c>
      <c r="AA883">
        <f>IF(AA$621&gt;=$C883,MIN(-(SUM($F883:Z883)-$E883),($E883*(1-$D$623))*$D883),0)*AA$619</f>
        <v>0</v>
      </c>
      <c r="AB883">
        <f>IF(AB$621&gt;=$C883,MIN(-(SUM($F883:AA883)-$E883),($E883*(1-$D$623))*$D883),0)*AB$619</f>
        <v>0</v>
      </c>
      <c r="AC883">
        <f>IF(AC$621&gt;=$C883,MIN(-(SUM($F883:AB883)-$E883),($E883*(1-$D$623))*$D883),0)*AC$619</f>
        <v>0</v>
      </c>
      <c r="AD883">
        <f>IF(AD$621&gt;=$C883,MIN(-(SUM($F883:AC883)-$E883),($E883*(1-$D$623))*$D883),0)*AD$619</f>
        <v>0</v>
      </c>
      <c r="AE883">
        <f>IF(AE$621&gt;=$C883,MIN(-(SUM($F883:AD883)-$E883),($E883*(1-$D$623))*$D883),0)*AE$619</f>
        <v>0</v>
      </c>
      <c r="AF883">
        <f>IF(AF$621&gt;=$C883,MIN(-(SUM($F883:AE883)-$E883),($E883*(1-$D$623))*$D883),0)*AF$619</f>
        <v>0</v>
      </c>
      <c r="AG883">
        <f>IF(AG$621&gt;=$C883,MIN(-(SUM($F883:AF883)-$E883),($E883*(1-$D$623))*$D883),0)*AG$619</f>
        <v>0</v>
      </c>
      <c r="AH883">
        <f>IF(AH$621&gt;=$C883,MIN(-(SUM($F883:AG883)-$E883),($E883*(1-$D$623))*$D883),0)*AH$619</f>
        <v>0</v>
      </c>
      <c r="AI883">
        <f>IF(AI$621&gt;=$C883,MIN(-(SUM($F883:AH883)-$E883),($E883*(1-$D$623))*$D883),0)*AI$619</f>
        <v>0</v>
      </c>
      <c r="AJ883">
        <f>IF(AJ$621&gt;=$C883,MIN(-(SUM($F883:AI883)-$E883),($E883*(1-$D$623))*$D883),0)*AJ$619</f>
        <v>0</v>
      </c>
      <c r="AK883">
        <f>IF(AK$621&gt;=$C883,MIN(-(SUM($F883:AJ883)-$E883),($E883*(1-$D$623))*$D883),0)*AK$619</f>
        <v>0</v>
      </c>
      <c r="AL883">
        <f>IF(AL$621&gt;=$C883,MIN(-(SUM($F883:AK883)-$E883),($E883*(1-$D$623))*$D883),0)*AL$619</f>
        <v>0</v>
      </c>
      <c r="AM883">
        <f>IF(AM$621&gt;=$C883,MIN(-(SUM($F883:AL883)-$E883),($E883*(1-$D$623))*$D883),0)*AM$619</f>
        <v>0</v>
      </c>
      <c r="AN883">
        <f>IF(AN$621&gt;=$C883,MIN(-(SUM($F883:AM883)-$E883),($E883*(1-$D$623))*$D883),0)*AN$619</f>
        <v>0</v>
      </c>
    </row>
    <row r="884" spans="3:160" outlineLevel="4">
      <c r="C884">
        <v>34</v>
      </c>
      <c r="D884">
        <f>Inputs!$D$262</f>
        <v>0.1</v>
      </c>
      <c r="E884">
        <v>0</v>
      </c>
      <c r="F884" s="461">
        <f>E884*D848</f>
        <v>0</v>
      </c>
      <c r="G884">
        <f>IF(G$621&gt;=$C884,MIN(-(SUM(F884:$F884)-$E884),($E884*(1-$D$623))*$D884),0)*G$619</f>
        <v>0</v>
      </c>
      <c r="H884">
        <f>IF(H$621&gt;=$C884,MIN(-(SUM($F884:G884)-$E884),($E884*(1-$D$623))*$D884),0)*H$619</f>
        <v>0</v>
      </c>
      <c r="I884">
        <f>IF(I$621&gt;=$C884,MIN(-(SUM($F884:H884)-$E884),($E884*(1-$D$623))*$D884),0)*I$619</f>
        <v>0</v>
      </c>
      <c r="J884">
        <f>IF(J$621&gt;=$C884,MIN(-(SUM($F884:I884)-$E884),($E884*(1-$D$623))*$D884),0)*J$619</f>
        <v>0</v>
      </c>
      <c r="K884">
        <f>IF(K$621&gt;=$C884,MIN(-(SUM($F884:J884)-$E884),($E884*(1-$D$623))*$D884),0)*K$619</f>
        <v>0</v>
      </c>
      <c r="L884">
        <f>IF(L$621&gt;=$C884,MIN(-(SUM($F884:K884)-$E884),($E884*(1-$D$623))*$D884),0)*L$619</f>
        <v>0</v>
      </c>
      <c r="M884">
        <f>IF(M$621&gt;=$C884,MIN(-(SUM($F884:L884)-$E884),($E884*(1-$D$623))*$D884),0)*M$619</f>
        <v>0</v>
      </c>
      <c r="N884">
        <f>IF(N$621&gt;=$C884,MIN(-(SUM($F884:M884)-$E884),($E884*(1-$D$623))*$D884),0)*N$619</f>
        <v>0</v>
      </c>
      <c r="O884">
        <f>IF(O$621&gt;=$C884,MIN(-(SUM($F884:N884)-$E884),($E884*(1-$D$623))*$D884),0)*O$619</f>
        <v>0</v>
      </c>
      <c r="P884">
        <f>IF(P$621&gt;=$C884,MIN(-(SUM($F884:O884)-$E884),($E884*(1-$D$623))*$D884),0)*P$619</f>
        <v>0</v>
      </c>
      <c r="Q884">
        <f>IF(Q$621&gt;=$C884,MIN(-(SUM($F884:P884)-$E884),($E884*(1-$D$623))*$D884),0)*Q$619</f>
        <v>0</v>
      </c>
      <c r="R884">
        <f>IF(R$621&gt;=$C884,MIN(-(SUM($F884:Q884)-$E884),($E884*(1-$D$623))*$D884),0)*R$619</f>
        <v>0</v>
      </c>
      <c r="S884">
        <f>IF(S$621&gt;=$C884,MIN(-(SUM($F884:R884)-$E884),($E884*(1-$D$623))*$D884),0)*S$619</f>
        <v>0</v>
      </c>
      <c r="T884">
        <f>IF(T$621&gt;=$C884,MIN(-(SUM($F884:S884)-$E884),($E884*(1-$D$623))*$D884),0)*T$619</f>
        <v>0</v>
      </c>
      <c r="U884">
        <f>IF(U$621&gt;=$C884,MIN(-(SUM($F884:T884)-$E884),($E884*(1-$D$623))*$D884),0)*U$619</f>
        <v>0</v>
      </c>
      <c r="V884">
        <f>IF(V$621&gt;=$C884,MIN(-(SUM($F884:U884)-$E884),($E884*(1-$D$623))*$D884),0)*V$619</f>
        <v>0</v>
      </c>
      <c r="W884">
        <f>IF(W$621&gt;=$C884,MIN(-(SUM($F884:V884)-$E884),($E884*(1-$D$623))*$D884),0)*W$619</f>
        <v>0</v>
      </c>
      <c r="X884">
        <f>IF(X$621&gt;=$C884,MIN(-(SUM($F884:W884)-$E884),($E884*(1-$D$623))*$D884),0)*X$619</f>
        <v>0</v>
      </c>
      <c r="Y884">
        <f>IF(Y$621&gt;=$C884,MIN(-(SUM($F884:X884)-$E884),($E884*(1-$D$623))*$D884),0)*Y$619</f>
        <v>0</v>
      </c>
      <c r="Z884">
        <f>IF(Z$621&gt;=$C884,MIN(-(SUM($F884:Y884)-$E884),($E884*(1-$D$623))*$D884),0)*Z$619</f>
        <v>0</v>
      </c>
      <c r="AA884">
        <f>IF(AA$621&gt;=$C884,MIN(-(SUM($F884:Z884)-$E884),($E884*(1-$D$623))*$D884),0)*AA$619</f>
        <v>0</v>
      </c>
      <c r="AB884">
        <f>IF(AB$621&gt;=$C884,MIN(-(SUM($F884:AA884)-$E884),($E884*(1-$D$623))*$D884),0)*AB$619</f>
        <v>0</v>
      </c>
      <c r="AC884">
        <f>IF(AC$621&gt;=$C884,MIN(-(SUM($F884:AB884)-$E884),($E884*(1-$D$623))*$D884),0)*AC$619</f>
        <v>0</v>
      </c>
      <c r="AD884">
        <f>IF(AD$621&gt;=$C884,MIN(-(SUM($F884:AC884)-$E884),($E884*(1-$D$623))*$D884),0)*AD$619</f>
        <v>0</v>
      </c>
      <c r="AE884">
        <f>IF(AE$621&gt;=$C884,MIN(-(SUM($F884:AD884)-$E884),($E884*(1-$D$623))*$D884),0)*AE$619</f>
        <v>0</v>
      </c>
      <c r="AF884">
        <f>IF(AF$621&gt;=$C884,MIN(-(SUM($F884:AE884)-$E884),($E884*(1-$D$623))*$D884),0)*AF$619</f>
        <v>0</v>
      </c>
      <c r="AG884">
        <f>IF(AG$621&gt;=$C884,MIN(-(SUM($F884:AF884)-$E884),($E884*(1-$D$623))*$D884),0)*AG$619</f>
        <v>0</v>
      </c>
      <c r="AH884">
        <f>IF(AH$621&gt;=$C884,MIN(-(SUM($F884:AG884)-$E884),($E884*(1-$D$623))*$D884),0)*AH$619</f>
        <v>0</v>
      </c>
      <c r="AI884">
        <f>IF(AI$621&gt;=$C884,MIN(-(SUM($F884:AH884)-$E884),($E884*(1-$D$623))*$D884),0)*AI$619</f>
        <v>0</v>
      </c>
      <c r="AJ884">
        <f>IF(AJ$621&gt;=$C884,MIN(-(SUM($F884:AI884)-$E884),($E884*(1-$D$623))*$D884),0)*AJ$619</f>
        <v>0</v>
      </c>
      <c r="AK884">
        <f>IF(AK$621&gt;=$C884,MIN(-(SUM($F884:AJ884)-$E884),($E884*(1-$D$623))*$D884),0)*AK$619</f>
        <v>0</v>
      </c>
      <c r="AL884">
        <f>IF(AL$621&gt;=$C884,MIN(-(SUM($F884:AK884)-$E884),($E884*(1-$D$623))*$D884),0)*AL$619</f>
        <v>0</v>
      </c>
      <c r="AM884">
        <f>IF(AM$621&gt;=$C884,MIN(-(SUM($F884:AL884)-$E884),($E884*(1-$D$623))*$D884),0)*AM$619</f>
        <v>0</v>
      </c>
      <c r="AN884">
        <f>IF(AN$621&gt;=$C884,MIN(-(SUM($F884:AM884)-$E884),($E884*(1-$D$623))*$D884),0)*AN$619</f>
        <v>0</v>
      </c>
    </row>
    <row r="885" spans="3:160" ht="16.2" outlineLevel="4" thickBot="1">
      <c r="C885" s="323" t="s">
        <v>473</v>
      </c>
      <c r="D885"/>
      <c r="E885" s="233"/>
      <c r="F885" s="324" t="s">
        <v>13</v>
      </c>
      <c r="G885">
        <f t="shared" ref="G885" si="727">SUM(G851:G884)</f>
        <v>100</v>
      </c>
      <c r="H885">
        <f t="shared" ref="H885" si="728">SUM(H851:H884)</f>
        <v>100</v>
      </c>
      <c r="I885">
        <f t="shared" ref="I885" si="729">SUM(I851:I884)</f>
        <v>100</v>
      </c>
      <c r="J885">
        <f t="shared" ref="J885" si="730">SUM(J851:J884)</f>
        <v>100</v>
      </c>
      <c r="K885">
        <f t="shared" ref="K885" si="731">SUM(K851:K884)</f>
        <v>100</v>
      </c>
      <c r="L885">
        <f t="shared" ref="L885" si="732">SUM(L851:L884)</f>
        <v>100</v>
      </c>
      <c r="M885">
        <f t="shared" ref="M885" si="733">SUM(M851:M884)</f>
        <v>100</v>
      </c>
      <c r="N885">
        <f t="shared" ref="N885" si="734">SUM(N851:N884)</f>
        <v>100</v>
      </c>
      <c r="O885">
        <f t="shared" ref="O885" si="735">SUM(O851:O884)</f>
        <v>100</v>
      </c>
      <c r="P885">
        <f t="shared" ref="P885" si="736">SUM(P851:P884)</f>
        <v>100</v>
      </c>
      <c r="Q885">
        <f t="shared" ref="Q885" si="737">SUM(Q851:Q884)</f>
        <v>0</v>
      </c>
      <c r="R885">
        <f t="shared" ref="R885" si="738">SUM(R851:R884)</f>
        <v>0</v>
      </c>
      <c r="S885">
        <f t="shared" ref="S885" si="739">SUM(S851:S884)</f>
        <v>0</v>
      </c>
      <c r="T885">
        <f t="shared" ref="T885" si="740">SUM(T851:T884)</f>
        <v>0</v>
      </c>
      <c r="U885">
        <f t="shared" ref="U885" si="741">SUM(U851:U884)</f>
        <v>0</v>
      </c>
      <c r="V885">
        <f t="shared" ref="V885" si="742">SUM(V851:V884)</f>
        <v>0</v>
      </c>
      <c r="W885">
        <f t="shared" ref="W885" si="743">SUM(W851:W884)</f>
        <v>0</v>
      </c>
      <c r="X885">
        <f t="shared" ref="X885" si="744">SUM(X851:X884)</f>
        <v>0</v>
      </c>
      <c r="Y885">
        <f t="shared" ref="Y885" si="745">SUM(Y851:Y884)</f>
        <v>0</v>
      </c>
      <c r="Z885">
        <f t="shared" ref="Z885" si="746">SUM(Z851:Z884)</f>
        <v>0</v>
      </c>
      <c r="AA885">
        <f t="shared" ref="AA885" si="747">SUM(AA851:AA884)</f>
        <v>0</v>
      </c>
      <c r="AB885">
        <f t="shared" ref="AB885" si="748">SUM(AB851:AB884)</f>
        <v>0</v>
      </c>
      <c r="AC885">
        <f t="shared" ref="AC885" si="749">SUM(AC851:AC884)</f>
        <v>0</v>
      </c>
      <c r="AD885">
        <f t="shared" ref="AD885" si="750">SUM(AD851:AD884)</f>
        <v>0</v>
      </c>
      <c r="AE885">
        <f t="shared" ref="AE885" si="751">SUM(AE851:AE884)</f>
        <v>0</v>
      </c>
      <c r="AF885">
        <f t="shared" ref="AF885" si="752">SUM(AF851:AF884)</f>
        <v>0</v>
      </c>
      <c r="AG885">
        <f t="shared" ref="AG885" si="753">SUM(AG851:AG884)</f>
        <v>0</v>
      </c>
      <c r="AH885">
        <f t="shared" ref="AH885" si="754">SUM(AH851:AH884)</f>
        <v>0</v>
      </c>
      <c r="AI885">
        <f t="shared" ref="AI885" si="755">SUM(AI851:AI884)</f>
        <v>0</v>
      </c>
      <c r="AJ885">
        <f t="shared" ref="AJ885" si="756">SUM(AJ851:AJ884)</f>
        <v>0</v>
      </c>
      <c r="AK885">
        <f t="shared" ref="AK885" si="757">SUM(AK851:AK884)</f>
        <v>0</v>
      </c>
      <c r="AL885">
        <f t="shared" ref="AL885" si="758">SUM(AL851:AL884)</f>
        <v>0</v>
      </c>
      <c r="AM885">
        <f t="shared" ref="AM885" si="759">SUM(AM851:AM884)</f>
        <v>0</v>
      </c>
      <c r="AN885">
        <f t="shared" ref="AN885" si="760">SUM(AN851:AN884)</f>
        <v>0</v>
      </c>
      <c r="AO885" s="325"/>
      <c r="AP885" s="325"/>
      <c r="AQ885" s="325"/>
      <c r="AR885" s="325"/>
      <c r="AS885" s="325"/>
      <c r="AT885" s="325"/>
      <c r="AU885" s="325"/>
      <c r="AV885" s="325"/>
      <c r="AW885" s="325"/>
      <c r="AX885" s="325"/>
      <c r="AY885" s="325"/>
      <c r="AZ885" s="325"/>
      <c r="BA885" s="325"/>
      <c r="BB885" s="325"/>
      <c r="BC885" s="325"/>
      <c r="BD885" s="325"/>
      <c r="BE885" s="325"/>
      <c r="BF885" s="325"/>
      <c r="BG885" s="325"/>
      <c r="BH885" s="325"/>
      <c r="BI885" s="325"/>
      <c r="BJ885" s="325"/>
      <c r="BK885" s="325"/>
      <c r="BL885" s="325"/>
      <c r="BM885" s="325"/>
      <c r="BN885" s="325"/>
      <c r="BO885" s="325"/>
      <c r="BP885" s="325"/>
      <c r="BQ885" s="325"/>
      <c r="BR885" s="325"/>
      <c r="BS885" s="325"/>
      <c r="BT885" s="325"/>
      <c r="BU885" s="325"/>
      <c r="BV885" s="325"/>
      <c r="BW885" s="325"/>
      <c r="BX885" s="325"/>
      <c r="BY885" s="325"/>
      <c r="BZ885" s="325"/>
      <c r="CA885" s="325"/>
      <c r="CB885" s="325"/>
      <c r="CC885" s="325"/>
      <c r="CD885" s="325"/>
      <c r="CE885" s="325"/>
      <c r="CF885" s="325"/>
      <c r="CG885" s="325"/>
      <c r="CH885" s="325"/>
      <c r="CI885" s="325"/>
      <c r="CJ885" s="325"/>
      <c r="CK885" s="325"/>
      <c r="CL885" s="325"/>
      <c r="CM885" s="325"/>
      <c r="CN885" s="325"/>
      <c r="CO885" s="325"/>
      <c r="CP885" s="325"/>
      <c r="CQ885" s="325"/>
      <c r="CR885" s="325"/>
      <c r="CS885" s="325"/>
      <c r="CT885" s="325"/>
      <c r="CU885" s="325"/>
      <c r="CV885" s="325"/>
      <c r="CW885" s="325"/>
      <c r="CX885" s="325"/>
      <c r="CY885" s="325"/>
      <c r="CZ885" s="325"/>
      <c r="DA885" s="325"/>
      <c r="DB885" s="325"/>
      <c r="DC885" s="325"/>
      <c r="DD885" s="325"/>
      <c r="DE885" s="325"/>
      <c r="DF885" s="325"/>
      <c r="DG885" s="325"/>
      <c r="DH885" s="325"/>
      <c r="DI885" s="325"/>
      <c r="DJ885" s="325"/>
      <c r="DK885" s="325"/>
      <c r="DL885" s="325"/>
      <c r="DM885" s="325"/>
      <c r="DN885" s="325"/>
      <c r="DO885" s="325"/>
      <c r="DP885" s="325"/>
      <c r="DQ885" s="325"/>
      <c r="DR885" s="325"/>
      <c r="DS885" s="325"/>
      <c r="DT885" s="325"/>
      <c r="DU885" s="325"/>
      <c r="DV885" s="325"/>
      <c r="DW885" s="325"/>
      <c r="DX885" s="325"/>
      <c r="DY885" s="325"/>
      <c r="DZ885" s="325"/>
      <c r="EA885" s="325"/>
      <c r="EB885" s="325"/>
      <c r="EC885" s="325"/>
      <c r="ED885" s="325"/>
      <c r="EE885" s="325"/>
      <c r="EF885" s="325"/>
      <c r="EG885" s="325"/>
      <c r="EH885" s="325"/>
      <c r="EI885" s="325"/>
      <c r="EJ885" s="325"/>
      <c r="EK885" s="325"/>
      <c r="EL885" s="325"/>
      <c r="EM885" s="325"/>
      <c r="EN885" s="325"/>
      <c r="EO885" s="325"/>
      <c r="EP885" s="325"/>
      <c r="EQ885" s="325"/>
      <c r="ER885" s="325"/>
      <c r="ES885" s="325"/>
      <c r="ET885" s="325"/>
      <c r="EU885" s="325"/>
      <c r="EV885" s="325"/>
      <c r="EW885" s="325"/>
      <c r="EX885" s="325"/>
      <c r="EY885" s="325"/>
      <c r="EZ885" s="325"/>
      <c r="FA885" s="325"/>
      <c r="FB885" s="325"/>
      <c r="FC885" s="325"/>
      <c r="FD885" s="325"/>
    </row>
    <row r="886" spans="3:160" ht="16.2" outlineLevel="3" thickTop="1">
      <c r="C886"/>
      <c r="D886" s="266"/>
      <c r="E886" s="76"/>
      <c r="F886"/>
    </row>
    <row r="887" spans="3:160" outlineLevel="2">
      <c r="C887"/>
      <c r="D887" s="266"/>
      <c r="E887" s="76"/>
      <c r="F887"/>
    </row>
    <row r="888" spans="3:160" outlineLevel="2">
      <c r="C888"/>
      <c r="D888" s="266"/>
      <c r="E888" s="76"/>
      <c r="F888"/>
    </row>
    <row r="889" spans="3:160" outlineLevel="1">
      <c r="C889"/>
      <c r="D889" s="266"/>
      <c r="E889" s="76"/>
      <c r="F889"/>
    </row>
    <row r="890" spans="3:160" outlineLevel="1">
      <c r="C890" t="s">
        <v>485</v>
      </c>
      <c r="D890" s="266"/>
      <c r="E890" s="76"/>
      <c r="F890"/>
    </row>
    <row r="891" spans="3:160" outlineLevel="2">
      <c r="C891"/>
      <c r="D891" s="266"/>
      <c r="E891" s="76"/>
      <c r="F891"/>
    </row>
    <row r="892" spans="3:160" outlineLevel="2">
      <c r="C892" t="s">
        <v>463</v>
      </c>
      <c r="D892" s="266"/>
      <c r="E892" s="76"/>
      <c r="F892"/>
    </row>
    <row r="893" spans="3:160" outlineLevel="3">
      <c r="C893"/>
      <c r="D893" s="266"/>
      <c r="E893" s="76"/>
      <c r="F893"/>
    </row>
    <row r="894" spans="3:160" outlineLevel="3">
      <c r="C894" t="s">
        <v>486</v>
      </c>
      <c r="D894" s="266"/>
      <c r="E894" s="76" t="s">
        <v>13</v>
      </c>
      <c r="F894" s="273"/>
      <c r="G894" s="273">
        <f t="shared" ref="G894:AN894" si="761">F897</f>
        <v>0</v>
      </c>
      <c r="H894" s="273">
        <f t="shared" si="761"/>
        <v>6889.2492108063971</v>
      </c>
      <c r="I894" s="273">
        <f t="shared" si="761"/>
        <v>6494.6014501093377</v>
      </c>
      <c r="J894" s="273">
        <f t="shared" si="761"/>
        <v>6193.2861403380139</v>
      </c>
      <c r="K894" s="273">
        <f t="shared" si="761"/>
        <v>4449.8634722392699</v>
      </c>
      <c r="L894" s="273">
        <f t="shared" si="761"/>
        <v>3058.4205999731057</v>
      </c>
      <c r="M894" s="273">
        <f t="shared" si="761"/>
        <v>13529.946480066164</v>
      </c>
      <c r="N894" s="273">
        <f t="shared" si="761"/>
        <v>11921.949666446402</v>
      </c>
      <c r="O894" s="273">
        <f t="shared" si="761"/>
        <v>16838.655775380477</v>
      </c>
      <c r="P894" s="273">
        <f t="shared" si="761"/>
        <v>13605.243360147133</v>
      </c>
      <c r="Q894" s="273">
        <f t="shared" si="761"/>
        <v>11033.263240746368</v>
      </c>
      <c r="R894" s="273">
        <f t="shared" si="761"/>
        <v>8121.9383988277059</v>
      </c>
      <c r="S894" s="273">
        <f t="shared" si="761"/>
        <v>5862.4457382069213</v>
      </c>
      <c r="T894" s="273">
        <f t="shared" si="761"/>
        <v>4862.4239440607671</v>
      </c>
      <c r="U894" s="273">
        <f t="shared" si="761"/>
        <v>3321.5095046334827</v>
      </c>
      <c r="V894" s="273">
        <f t="shared" si="761"/>
        <v>8233.5986659274549</v>
      </c>
      <c r="W894" s="273">
        <f t="shared" si="761"/>
        <v>8452.2823993223028</v>
      </c>
      <c r="X894" s="273">
        <f t="shared" si="761"/>
        <v>6872.2906764769696</v>
      </c>
      <c r="Y894" s="273">
        <f t="shared" si="761"/>
        <v>4977.7980896316367</v>
      </c>
      <c r="Z894" s="273">
        <f t="shared" si="761"/>
        <v>3422.8329927863051</v>
      </c>
      <c r="AA894" s="273">
        <f t="shared" si="761"/>
        <v>2841.4102899409722</v>
      </c>
      <c r="AB894" s="273">
        <f t="shared" si="761"/>
        <v>2486.7207430908684</v>
      </c>
      <c r="AC894" s="273">
        <f t="shared" si="761"/>
        <v>8828.1517556478302</v>
      </c>
      <c r="AD894" s="273">
        <f t="shared" si="761"/>
        <v>7265.0137531066239</v>
      </c>
      <c r="AE894" s="273">
        <f t="shared" si="761"/>
        <v>5665.9563702612904</v>
      </c>
      <c r="AF894" s="273">
        <f t="shared" si="761"/>
        <v>3622.1028214159578</v>
      </c>
      <c r="AG894" s="273">
        <f t="shared" si="761"/>
        <v>4419.1868390682785</v>
      </c>
      <c r="AH894" s="273">
        <f t="shared" si="761"/>
        <v>3710.168516208546</v>
      </c>
      <c r="AI894" s="273">
        <f t="shared" si="761"/>
        <v>4677.899854499683</v>
      </c>
      <c r="AJ894" s="273">
        <f t="shared" si="761"/>
        <v>8929.0671875120752</v>
      </c>
      <c r="AK894" s="273">
        <f t="shared" si="761"/>
        <v>6828.5701805244671</v>
      </c>
      <c r="AL894" s="273">
        <f t="shared" si="761"/>
        <v>6828.5701805244671</v>
      </c>
      <c r="AM894" s="273">
        <f t="shared" si="761"/>
        <v>6828.5701805244671</v>
      </c>
      <c r="AN894" s="273">
        <f t="shared" si="761"/>
        <v>6828.5701805244671</v>
      </c>
    </row>
    <row r="895" spans="3:160" outlineLevel="3">
      <c r="C895" t="s">
        <v>487</v>
      </c>
      <c r="D895" s="275"/>
      <c r="E895" s="203" t="s">
        <v>13</v>
      </c>
      <c r="F895" s="88">
        <f>SUM(G895:AN895)</f>
        <v>71577.398292563041</v>
      </c>
      <c r="G895" s="322">
        <f t="shared" ref="G895:AN895" si="762">G447+G502+G558+G613</f>
        <v>8553.7307308959971</v>
      </c>
      <c r="H895" s="322">
        <f t="shared" si="762"/>
        <v>1410.9263993250449</v>
      </c>
      <c r="I895" s="322">
        <f t="shared" si="762"/>
        <v>1743.4786958342002</v>
      </c>
      <c r="J895" s="322">
        <f t="shared" si="762"/>
        <v>334.85704167419999</v>
      </c>
      <c r="K895" s="322">
        <f t="shared" si="762"/>
        <v>763.15204167420006</v>
      </c>
      <c r="L895" s="322">
        <f t="shared" si="762"/>
        <v>12231.004333370471</v>
      </c>
      <c r="M895" s="322">
        <f t="shared" si="762"/>
        <v>168.31293295294401</v>
      </c>
      <c r="N895" s="322">
        <f t="shared" si="762"/>
        <v>8189.1826116741995</v>
      </c>
      <c r="O895" s="322">
        <f t="shared" si="762"/>
        <v>43.404541674200004</v>
      </c>
      <c r="P895" s="322">
        <f t="shared" si="762"/>
        <v>783.15204167420006</v>
      </c>
      <c r="Q895" s="322">
        <f t="shared" si="762"/>
        <v>444.06521451855957</v>
      </c>
      <c r="R895" s="322">
        <f t="shared" si="762"/>
        <v>1060.8941732043691</v>
      </c>
      <c r="S895" s="322">
        <f t="shared" si="762"/>
        <v>735.30692010619998</v>
      </c>
      <c r="T895" s="322">
        <f t="shared" si="762"/>
        <v>178.80952295294401</v>
      </c>
      <c r="U895" s="322">
        <f t="shared" si="762"/>
        <v>8180.5448516741999</v>
      </c>
      <c r="V895" s="322">
        <f t="shared" si="762"/>
        <v>2510.8966560422537</v>
      </c>
      <c r="W895" s="322">
        <f t="shared" si="762"/>
        <v>772.65545167420009</v>
      </c>
      <c r="X895" s="322">
        <f t="shared" si="762"/>
        <v>351.64980167419998</v>
      </c>
      <c r="Y895" s="322">
        <f t="shared" si="762"/>
        <v>763.15204167420006</v>
      </c>
      <c r="Z895" s="322">
        <f t="shared" si="762"/>
        <v>49.327041674200004</v>
      </c>
      <c r="AA895" s="322">
        <f t="shared" si="762"/>
        <v>262.09519579730363</v>
      </c>
      <c r="AB895" s="322">
        <f t="shared" si="762"/>
        <v>8510.1319832043682</v>
      </c>
      <c r="AC895" s="322">
        <f t="shared" si="762"/>
        <v>735.30692010619998</v>
      </c>
      <c r="AD895" s="322">
        <f t="shared" si="762"/>
        <v>757.22954167420005</v>
      </c>
      <c r="AE895" s="322">
        <f t="shared" si="762"/>
        <v>334.85704167419999</v>
      </c>
      <c r="AF895" s="322">
        <f t="shared" si="762"/>
        <v>3244.9699361862536</v>
      </c>
      <c r="AG895" s="322">
        <f t="shared" si="762"/>
        <v>52.9079516742</v>
      </c>
      <c r="AH895" s="322">
        <f t="shared" si="762"/>
        <v>1934.3310029529439</v>
      </c>
      <c r="AI895" s="322">
        <f t="shared" si="762"/>
        <v>6413.6611316742001</v>
      </c>
      <c r="AJ895" s="322">
        <f t="shared" si="762"/>
        <v>63.404541674200004</v>
      </c>
      <c r="AK895" s="322">
        <f>AK447+AK502+AK558+AK613</f>
        <v>0</v>
      </c>
      <c r="AL895" s="322">
        <f t="shared" si="762"/>
        <v>0</v>
      </c>
      <c r="AM895" s="322">
        <f t="shared" si="762"/>
        <v>0</v>
      </c>
      <c r="AN895" s="322">
        <f t="shared" si="762"/>
        <v>0</v>
      </c>
    </row>
    <row r="896" spans="3:160" outlineLevel="3">
      <c r="C896" t="s">
        <v>467</v>
      </c>
      <c r="D896" s="266"/>
      <c r="E896" s="76" t="s">
        <v>13</v>
      </c>
      <c r="F896" s="50">
        <f>SUM(G896:AN896)</f>
        <v>-64748.828112038587</v>
      </c>
      <c r="G896" s="273">
        <f t="shared" ref="G896:AN896" si="763">G448+G503+G559+G614</f>
        <v>-1664.4815200896001</v>
      </c>
      <c r="H896" s="273">
        <f t="shared" si="763"/>
        <v>-1805.5741600221045</v>
      </c>
      <c r="I896" s="273">
        <f t="shared" si="763"/>
        <v>-2044.7940056055245</v>
      </c>
      <c r="J896" s="273">
        <f t="shared" si="763"/>
        <v>-2078.2797097729444</v>
      </c>
      <c r="K896" s="273">
        <f t="shared" si="763"/>
        <v>-2154.5949139403638</v>
      </c>
      <c r="L896" s="273">
        <f t="shared" si="763"/>
        <v>-1759.4784532774115</v>
      </c>
      <c r="M896" s="273">
        <f t="shared" si="763"/>
        <v>-1776.3097465727058</v>
      </c>
      <c r="N896" s="273">
        <f t="shared" si="763"/>
        <v>-3272.4765027401259</v>
      </c>
      <c r="O896" s="273">
        <f t="shared" si="763"/>
        <v>-3276.8169569075458</v>
      </c>
      <c r="P896" s="273">
        <f t="shared" si="763"/>
        <v>-3355.1321610749656</v>
      </c>
      <c r="Q896" s="273">
        <f t="shared" si="763"/>
        <v>-3355.3900564372216</v>
      </c>
      <c r="R896" s="273">
        <f t="shared" si="763"/>
        <v>-3320.3868338251536</v>
      </c>
      <c r="S896" s="273">
        <f t="shared" si="763"/>
        <v>-1735.3287142523543</v>
      </c>
      <c r="T896" s="273">
        <f t="shared" si="763"/>
        <v>-1719.7239623802286</v>
      </c>
      <c r="U896" s="273">
        <f t="shared" si="763"/>
        <v>-3268.4556903802281</v>
      </c>
      <c r="V896" s="273">
        <f t="shared" si="763"/>
        <v>-2292.2129226474071</v>
      </c>
      <c r="W896" s="273">
        <f t="shared" si="763"/>
        <v>-2352.6471745195331</v>
      </c>
      <c r="X896" s="273">
        <f t="shared" si="763"/>
        <v>-2246.1423885195327</v>
      </c>
      <c r="Y896" s="273">
        <f t="shared" si="763"/>
        <v>-2318.1171385195321</v>
      </c>
      <c r="Z896" s="273">
        <f t="shared" si="763"/>
        <v>-630.74974451953267</v>
      </c>
      <c r="AA896" s="273">
        <f t="shared" si="763"/>
        <v>-616.78474264740714</v>
      </c>
      <c r="AB896" s="273">
        <f t="shared" si="763"/>
        <v>-2168.7009706474073</v>
      </c>
      <c r="AC896" s="273">
        <f t="shared" si="763"/>
        <v>-2298.4449226474071</v>
      </c>
      <c r="AD896" s="273">
        <f t="shared" si="763"/>
        <v>-2356.2869245195329</v>
      </c>
      <c r="AE896" s="273">
        <f t="shared" si="763"/>
        <v>-2378.7105905195331</v>
      </c>
      <c r="AF896" s="273">
        <f t="shared" si="763"/>
        <v>-2447.8859185339325</v>
      </c>
      <c r="AG896" s="273">
        <f t="shared" si="763"/>
        <v>-761.92627453393266</v>
      </c>
      <c r="AH896" s="273">
        <f t="shared" si="763"/>
        <v>-966.59966466180697</v>
      </c>
      <c r="AI896" s="273">
        <f t="shared" si="763"/>
        <v>-2162.4937986618074</v>
      </c>
      <c r="AJ896" s="273">
        <f t="shared" si="763"/>
        <v>-2163.9015486618073</v>
      </c>
      <c r="AK896" s="273">
        <f t="shared" si="763"/>
        <v>0</v>
      </c>
      <c r="AL896" s="273">
        <f t="shared" si="763"/>
        <v>0</v>
      </c>
      <c r="AM896" s="273">
        <f t="shared" si="763"/>
        <v>0</v>
      </c>
      <c r="AN896" s="273">
        <f t="shared" si="763"/>
        <v>0</v>
      </c>
    </row>
    <row r="897" spans="3:40" outlineLevel="3">
      <c r="C897" t="s">
        <v>488</v>
      </c>
      <c r="D897" s="275"/>
      <c r="E897" s="203" t="s">
        <v>13</v>
      </c>
      <c r="F897" s="89"/>
      <c r="G897" s="287">
        <f t="shared" ref="G897:AN897" si="764">SUM(G894:G896)</f>
        <v>6889.2492108063971</v>
      </c>
      <c r="H897" s="287">
        <f t="shared" si="764"/>
        <v>6494.6014501093377</v>
      </c>
      <c r="I897" s="287">
        <f t="shared" si="764"/>
        <v>6193.2861403380139</v>
      </c>
      <c r="J897" s="287">
        <f t="shared" si="764"/>
        <v>4449.8634722392699</v>
      </c>
      <c r="K897" s="287">
        <f t="shared" si="764"/>
        <v>3058.4205999731057</v>
      </c>
      <c r="L897" s="287">
        <f t="shared" si="764"/>
        <v>13529.946480066164</v>
      </c>
      <c r="M897" s="287">
        <f t="shared" si="764"/>
        <v>11921.949666446402</v>
      </c>
      <c r="N897" s="287">
        <f t="shared" si="764"/>
        <v>16838.655775380477</v>
      </c>
      <c r="O897" s="287">
        <f t="shared" si="764"/>
        <v>13605.243360147133</v>
      </c>
      <c r="P897" s="287">
        <f t="shared" si="764"/>
        <v>11033.263240746368</v>
      </c>
      <c r="Q897" s="287">
        <f t="shared" si="764"/>
        <v>8121.9383988277059</v>
      </c>
      <c r="R897" s="287">
        <f t="shared" si="764"/>
        <v>5862.4457382069213</v>
      </c>
      <c r="S897" s="287">
        <f t="shared" si="764"/>
        <v>4862.4239440607671</v>
      </c>
      <c r="T897" s="287">
        <f t="shared" si="764"/>
        <v>3321.5095046334827</v>
      </c>
      <c r="U897" s="287">
        <f t="shared" si="764"/>
        <v>8233.5986659274549</v>
      </c>
      <c r="V897" s="287">
        <f t="shared" si="764"/>
        <v>8452.2823993223028</v>
      </c>
      <c r="W897" s="287">
        <f t="shared" si="764"/>
        <v>6872.2906764769696</v>
      </c>
      <c r="X897" s="287">
        <f t="shared" si="764"/>
        <v>4977.7980896316367</v>
      </c>
      <c r="Y897" s="287">
        <f t="shared" si="764"/>
        <v>3422.8329927863051</v>
      </c>
      <c r="Z897" s="287">
        <f t="shared" si="764"/>
        <v>2841.4102899409722</v>
      </c>
      <c r="AA897" s="287">
        <f t="shared" si="764"/>
        <v>2486.7207430908684</v>
      </c>
      <c r="AB897" s="287">
        <f t="shared" si="764"/>
        <v>8828.1517556478302</v>
      </c>
      <c r="AC897" s="287">
        <f t="shared" si="764"/>
        <v>7265.0137531066239</v>
      </c>
      <c r="AD897" s="287">
        <f t="shared" si="764"/>
        <v>5665.9563702612904</v>
      </c>
      <c r="AE897" s="287">
        <f t="shared" si="764"/>
        <v>3622.1028214159578</v>
      </c>
      <c r="AF897" s="287">
        <f t="shared" si="764"/>
        <v>4419.1868390682785</v>
      </c>
      <c r="AG897" s="287">
        <f t="shared" si="764"/>
        <v>3710.168516208546</v>
      </c>
      <c r="AH897" s="287">
        <f t="shared" si="764"/>
        <v>4677.899854499683</v>
      </c>
      <c r="AI897" s="287">
        <f t="shared" si="764"/>
        <v>8929.0671875120752</v>
      </c>
      <c r="AJ897" s="287">
        <f t="shared" si="764"/>
        <v>6828.5701805244671</v>
      </c>
      <c r="AK897" s="287">
        <f t="shared" si="764"/>
        <v>6828.5701805244671</v>
      </c>
      <c r="AL897" s="287">
        <f t="shared" si="764"/>
        <v>6828.5701805244671</v>
      </c>
      <c r="AM897" s="287">
        <f t="shared" si="764"/>
        <v>6828.5701805244671</v>
      </c>
      <c r="AN897" s="287">
        <f t="shared" si="764"/>
        <v>6828.5701805244671</v>
      </c>
    </row>
    <row r="898" spans="3:40" outlineLevel="3">
      <c r="C898"/>
      <c r="D898" s="266"/>
      <c r="E898" s="76"/>
      <c r="F898"/>
    </row>
    <row r="899" spans="3:40" outlineLevel="2">
      <c r="C899"/>
      <c r="D899" s="266"/>
      <c r="E899" s="76"/>
      <c r="F899"/>
    </row>
    <row r="900" spans="3:40" outlineLevel="2">
      <c r="C900" t="s">
        <v>484</v>
      </c>
      <c r="D900" s="266"/>
      <c r="E900" s="76"/>
      <c r="F900"/>
    </row>
    <row r="901" spans="3:40" outlineLevel="3">
      <c r="C901"/>
      <c r="D901" s="266"/>
      <c r="E901" s="76"/>
      <c r="F901"/>
    </row>
    <row r="902" spans="3:40" outlineLevel="3">
      <c r="C902" t="s">
        <v>486</v>
      </c>
      <c r="D902" s="266"/>
      <c r="E902" s="76" t="s">
        <v>13</v>
      </c>
      <c r="F902" s="273"/>
      <c r="G902" s="273">
        <f t="shared" ref="G902:AN902" si="765">F905</f>
        <v>0</v>
      </c>
      <c r="H902" s="273">
        <f t="shared" si="765"/>
        <v>1914.0003609999999</v>
      </c>
      <c r="I902" s="273">
        <f t="shared" si="765"/>
        <v>1658.1678599999998</v>
      </c>
      <c r="J902" s="273">
        <f t="shared" si="765"/>
        <v>1340.8259489999998</v>
      </c>
      <c r="K902" s="273">
        <f t="shared" si="765"/>
        <v>1079.6505179999999</v>
      </c>
      <c r="L902" s="273">
        <f t="shared" si="765"/>
        <v>756.06788699999993</v>
      </c>
      <c r="M902" s="273">
        <f t="shared" si="765"/>
        <v>667.362166</v>
      </c>
      <c r="N902" s="273">
        <f t="shared" si="765"/>
        <v>576.79584700000009</v>
      </c>
      <c r="O902" s="273">
        <f t="shared" si="765"/>
        <v>412.94752800000009</v>
      </c>
      <c r="P902" s="273">
        <f t="shared" si="765"/>
        <v>249.09920900000009</v>
      </c>
      <c r="Q902" s="273">
        <f t="shared" si="765"/>
        <v>141.61519000000013</v>
      </c>
      <c r="R902" s="273">
        <f t="shared" si="765"/>
        <v>936.34008100000028</v>
      </c>
      <c r="S902" s="273">
        <f t="shared" si="765"/>
        <v>757.73427000000027</v>
      </c>
      <c r="T902" s="273">
        <f t="shared" si="765"/>
        <v>596.58334900000023</v>
      </c>
      <c r="U902" s="273">
        <f t="shared" si="765"/>
        <v>379.04614800000024</v>
      </c>
      <c r="V902" s="273">
        <f t="shared" si="765"/>
        <v>161.50894700000026</v>
      </c>
      <c r="W902" s="273">
        <f t="shared" si="765"/>
        <v>240.14284600000028</v>
      </c>
      <c r="X902" s="273">
        <f t="shared" si="765"/>
        <v>204.36338700000027</v>
      </c>
      <c r="Y902" s="273">
        <f t="shared" si="765"/>
        <v>157.70912800000025</v>
      </c>
      <c r="Z902" s="273">
        <f t="shared" si="765"/>
        <v>167.61698900000025</v>
      </c>
      <c r="AA902" s="273">
        <f t="shared" si="765"/>
        <v>120.94075000000025</v>
      </c>
      <c r="AB902" s="273">
        <f t="shared" si="765"/>
        <v>917.8597010000002</v>
      </c>
      <c r="AC902" s="273">
        <f t="shared" si="765"/>
        <v>795.75007000000028</v>
      </c>
      <c r="AD902" s="273">
        <f t="shared" si="765"/>
        <v>578.14692900000023</v>
      </c>
      <c r="AE902" s="273">
        <f t="shared" si="765"/>
        <v>360.54378800000023</v>
      </c>
      <c r="AF902" s="273">
        <f t="shared" si="765"/>
        <v>199.70058700000027</v>
      </c>
      <c r="AG902" s="273">
        <f t="shared" si="765"/>
        <v>221.86028600000026</v>
      </c>
      <c r="AH902" s="273">
        <f t="shared" si="765"/>
        <v>185.99290700000023</v>
      </c>
      <c r="AI902" s="273">
        <f t="shared" si="765"/>
        <v>196.01066800000024</v>
      </c>
      <c r="AJ902" s="273">
        <f t="shared" si="765"/>
        <v>149.24650900000023</v>
      </c>
      <c r="AK902" s="273">
        <f t="shared" si="765"/>
        <v>102.48235000000024</v>
      </c>
      <c r="AL902" s="273">
        <f t="shared" si="765"/>
        <v>102.48235000000024</v>
      </c>
      <c r="AM902" s="273">
        <f t="shared" si="765"/>
        <v>102.48235000000024</v>
      </c>
      <c r="AN902" s="273">
        <f t="shared" si="765"/>
        <v>102.48235000000024</v>
      </c>
    </row>
    <row r="903" spans="3:40" outlineLevel="3">
      <c r="C903" t="s">
        <v>487</v>
      </c>
      <c r="D903" s="275"/>
      <c r="E903" s="203" t="s">
        <v>13</v>
      </c>
      <c r="F903" s="88">
        <f>SUM(G903:AN903)</f>
        <v>5199.0879999999997</v>
      </c>
      <c r="G903" s="322">
        <f t="shared" ref="G903:AN903" si="766">G672+G727+G783+G838</f>
        <v>2221.3003899999999</v>
      </c>
      <c r="H903" s="322">
        <f t="shared" si="766"/>
        <v>61.509409999999995</v>
      </c>
      <c r="I903" s="322">
        <f t="shared" si="766"/>
        <v>0</v>
      </c>
      <c r="J903" s="322">
        <f t="shared" si="766"/>
        <v>62.407200000000003</v>
      </c>
      <c r="K903" s="322">
        <f t="shared" si="766"/>
        <v>0</v>
      </c>
      <c r="L903" s="322">
        <f t="shared" si="766"/>
        <v>74.508800000000008</v>
      </c>
      <c r="M903" s="322">
        <f t="shared" si="766"/>
        <v>73.281999999999996</v>
      </c>
      <c r="N903" s="322">
        <f t="shared" si="766"/>
        <v>0</v>
      </c>
      <c r="O903" s="322">
        <f t="shared" si="766"/>
        <v>0</v>
      </c>
      <c r="P903" s="322">
        <f t="shared" si="766"/>
        <v>62.627000000000002</v>
      </c>
      <c r="Q903" s="322">
        <f t="shared" si="766"/>
        <v>1008.89319</v>
      </c>
      <c r="R903" s="322">
        <f t="shared" si="766"/>
        <v>38.909409999999994</v>
      </c>
      <c r="S903" s="322">
        <f t="shared" si="766"/>
        <v>62.627000000000002</v>
      </c>
      <c r="T903" s="322">
        <f t="shared" si="766"/>
        <v>0</v>
      </c>
      <c r="U903" s="322">
        <f t="shared" si="766"/>
        <v>0</v>
      </c>
      <c r="V903" s="322">
        <f t="shared" si="766"/>
        <v>137.13579999999999</v>
      </c>
      <c r="W903" s="322">
        <f t="shared" si="766"/>
        <v>10.874799999999999</v>
      </c>
      <c r="X903" s="322">
        <f t="shared" si="766"/>
        <v>0</v>
      </c>
      <c r="Y903" s="322">
        <f t="shared" si="766"/>
        <v>62.846800000000002</v>
      </c>
      <c r="Z903" s="322">
        <f t="shared" si="766"/>
        <v>0</v>
      </c>
      <c r="AA903" s="322">
        <f t="shared" si="766"/>
        <v>1008.89319</v>
      </c>
      <c r="AB903" s="322">
        <f t="shared" si="766"/>
        <v>101.75621</v>
      </c>
      <c r="AC903" s="322">
        <f t="shared" si="766"/>
        <v>0</v>
      </c>
      <c r="AD903" s="322">
        <f t="shared" si="766"/>
        <v>0</v>
      </c>
      <c r="AE903" s="322">
        <f t="shared" si="766"/>
        <v>63.066600000000001</v>
      </c>
      <c r="AF903" s="322">
        <f t="shared" si="766"/>
        <v>74.508800000000008</v>
      </c>
      <c r="AG903" s="322">
        <f t="shared" si="766"/>
        <v>10.874799999999999</v>
      </c>
      <c r="AH903" s="322">
        <f t="shared" si="766"/>
        <v>63.066600000000001</v>
      </c>
      <c r="AI903" s="322">
        <f t="shared" si="766"/>
        <v>0</v>
      </c>
      <c r="AJ903" s="322">
        <f t="shared" si="766"/>
        <v>0</v>
      </c>
      <c r="AK903" s="322">
        <f t="shared" si="766"/>
        <v>0</v>
      </c>
      <c r="AL903" s="322">
        <f t="shared" si="766"/>
        <v>0</v>
      </c>
      <c r="AM903" s="322">
        <f t="shared" si="766"/>
        <v>0</v>
      </c>
      <c r="AN903" s="322">
        <f t="shared" si="766"/>
        <v>0</v>
      </c>
    </row>
    <row r="904" spans="3:40" outlineLevel="3">
      <c r="C904" t="s">
        <v>467</v>
      </c>
      <c r="D904" s="266"/>
      <c r="E904" s="76" t="s">
        <v>13</v>
      </c>
      <c r="F904" s="50">
        <f>SUM(G904:AN904)</f>
        <v>-5096.6056499999995</v>
      </c>
      <c r="G904" s="273">
        <f t="shared" ref="G904:AN904" si="767">G673+G728+G784+G839</f>
        <v>-307.30002899999999</v>
      </c>
      <c r="H904" s="273">
        <f t="shared" si="767"/>
        <v>-317.34191099999998</v>
      </c>
      <c r="I904" s="273">
        <f t="shared" si="767"/>
        <v>-317.34191099999998</v>
      </c>
      <c r="J904" s="273">
        <f t="shared" si="767"/>
        <v>-323.58263099999999</v>
      </c>
      <c r="K904" s="273">
        <f t="shared" si="767"/>
        <v>-323.58263099999999</v>
      </c>
      <c r="L904" s="273">
        <f t="shared" si="767"/>
        <v>-163.21452099999999</v>
      </c>
      <c r="M904" s="273">
        <f t="shared" si="767"/>
        <v>-163.848319</v>
      </c>
      <c r="N904" s="273">
        <f t="shared" si="767"/>
        <v>-163.848319</v>
      </c>
      <c r="O904" s="273">
        <f t="shared" si="767"/>
        <v>-163.848319</v>
      </c>
      <c r="P904" s="273">
        <f t="shared" si="767"/>
        <v>-170.11101899999997</v>
      </c>
      <c r="Q904" s="273">
        <f t="shared" si="767"/>
        <v>-214.16829899999999</v>
      </c>
      <c r="R904" s="273">
        <f t="shared" si="767"/>
        <v>-217.515221</v>
      </c>
      <c r="S904" s="273">
        <f t="shared" si="767"/>
        <v>-223.77792099999999</v>
      </c>
      <c r="T904" s="273">
        <f t="shared" si="767"/>
        <v>-217.53720099999998</v>
      </c>
      <c r="U904" s="273">
        <f t="shared" si="767"/>
        <v>-217.53720099999998</v>
      </c>
      <c r="V904" s="273">
        <f t="shared" si="767"/>
        <v>-58.501900999999997</v>
      </c>
      <c r="W904" s="273">
        <f t="shared" si="767"/>
        <v>-46.65425900000001</v>
      </c>
      <c r="X904" s="273">
        <f t="shared" si="767"/>
        <v>-46.65425900000001</v>
      </c>
      <c r="Y904" s="273">
        <f t="shared" si="767"/>
        <v>-52.938938999999998</v>
      </c>
      <c r="Z904" s="273">
        <f t="shared" si="767"/>
        <v>-46.676238999999995</v>
      </c>
      <c r="AA904" s="273">
        <f t="shared" si="767"/>
        <v>-211.97423900000001</v>
      </c>
      <c r="AB904" s="273">
        <f t="shared" si="767"/>
        <v>-223.86584099999999</v>
      </c>
      <c r="AC904" s="273">
        <f t="shared" si="767"/>
        <v>-217.60314099999999</v>
      </c>
      <c r="AD904" s="273">
        <f t="shared" si="767"/>
        <v>-217.60314099999999</v>
      </c>
      <c r="AE904" s="273">
        <f t="shared" si="767"/>
        <v>-223.90980099999996</v>
      </c>
      <c r="AF904" s="273">
        <f t="shared" si="767"/>
        <v>-52.349101000000019</v>
      </c>
      <c r="AG904" s="273">
        <f t="shared" si="767"/>
        <v>-46.742179000000007</v>
      </c>
      <c r="AH904" s="273">
        <f t="shared" si="767"/>
        <v>-53.048839000000001</v>
      </c>
      <c r="AI904" s="273">
        <f t="shared" si="767"/>
        <v>-46.764159000000006</v>
      </c>
      <c r="AJ904" s="273">
        <f t="shared" si="767"/>
        <v>-46.764158999999992</v>
      </c>
      <c r="AK904" s="273">
        <f t="shared" si="767"/>
        <v>0</v>
      </c>
      <c r="AL904" s="273">
        <f t="shared" si="767"/>
        <v>0</v>
      </c>
      <c r="AM904" s="273">
        <f t="shared" si="767"/>
        <v>0</v>
      </c>
      <c r="AN904" s="273">
        <f t="shared" si="767"/>
        <v>0</v>
      </c>
    </row>
    <row r="905" spans="3:40" outlineLevel="3">
      <c r="C905" t="s">
        <v>488</v>
      </c>
      <c r="D905" s="275"/>
      <c r="E905" s="203" t="s">
        <v>13</v>
      </c>
      <c r="F905" s="89"/>
      <c r="G905" s="287">
        <f t="shared" ref="G905:AN905" si="768">SUM(G902:G904)</f>
        <v>1914.0003609999999</v>
      </c>
      <c r="H905" s="287">
        <f t="shared" si="768"/>
        <v>1658.1678599999998</v>
      </c>
      <c r="I905" s="287">
        <f t="shared" si="768"/>
        <v>1340.8259489999998</v>
      </c>
      <c r="J905" s="287">
        <f t="shared" si="768"/>
        <v>1079.6505179999999</v>
      </c>
      <c r="K905" s="287">
        <f t="shared" si="768"/>
        <v>756.06788699999993</v>
      </c>
      <c r="L905" s="287">
        <f t="shared" si="768"/>
        <v>667.362166</v>
      </c>
      <c r="M905" s="287">
        <f t="shared" si="768"/>
        <v>576.79584700000009</v>
      </c>
      <c r="N905" s="287">
        <f t="shared" si="768"/>
        <v>412.94752800000009</v>
      </c>
      <c r="O905" s="287">
        <f t="shared" si="768"/>
        <v>249.09920900000009</v>
      </c>
      <c r="P905" s="287">
        <f t="shared" si="768"/>
        <v>141.61519000000013</v>
      </c>
      <c r="Q905" s="287">
        <f t="shared" si="768"/>
        <v>936.34008100000028</v>
      </c>
      <c r="R905" s="287">
        <f t="shared" si="768"/>
        <v>757.73427000000027</v>
      </c>
      <c r="S905" s="287">
        <f t="shared" si="768"/>
        <v>596.58334900000023</v>
      </c>
      <c r="T905" s="287">
        <f t="shared" si="768"/>
        <v>379.04614800000024</v>
      </c>
      <c r="U905" s="287">
        <f t="shared" si="768"/>
        <v>161.50894700000026</v>
      </c>
      <c r="V905" s="287">
        <f t="shared" si="768"/>
        <v>240.14284600000028</v>
      </c>
      <c r="W905" s="287">
        <f t="shared" si="768"/>
        <v>204.36338700000027</v>
      </c>
      <c r="X905" s="287">
        <f t="shared" si="768"/>
        <v>157.70912800000025</v>
      </c>
      <c r="Y905" s="287">
        <f t="shared" si="768"/>
        <v>167.61698900000025</v>
      </c>
      <c r="Z905" s="287">
        <f t="shared" si="768"/>
        <v>120.94075000000025</v>
      </c>
      <c r="AA905" s="287">
        <f t="shared" si="768"/>
        <v>917.8597010000002</v>
      </c>
      <c r="AB905" s="287">
        <f t="shared" si="768"/>
        <v>795.75007000000028</v>
      </c>
      <c r="AC905" s="287">
        <f t="shared" si="768"/>
        <v>578.14692900000023</v>
      </c>
      <c r="AD905" s="287">
        <f t="shared" si="768"/>
        <v>360.54378800000023</v>
      </c>
      <c r="AE905" s="287">
        <f t="shared" si="768"/>
        <v>199.70058700000027</v>
      </c>
      <c r="AF905" s="287">
        <f t="shared" si="768"/>
        <v>221.86028600000026</v>
      </c>
      <c r="AG905" s="287">
        <f t="shared" si="768"/>
        <v>185.99290700000023</v>
      </c>
      <c r="AH905" s="287">
        <f t="shared" si="768"/>
        <v>196.01066800000024</v>
      </c>
      <c r="AI905" s="287">
        <f t="shared" si="768"/>
        <v>149.24650900000023</v>
      </c>
      <c r="AJ905" s="287">
        <f t="shared" si="768"/>
        <v>102.48235000000024</v>
      </c>
      <c r="AK905" s="287">
        <f t="shared" si="768"/>
        <v>102.48235000000024</v>
      </c>
      <c r="AL905" s="287">
        <f t="shared" si="768"/>
        <v>102.48235000000024</v>
      </c>
      <c r="AM905" s="287">
        <f t="shared" si="768"/>
        <v>102.48235000000024</v>
      </c>
      <c r="AN905" s="287">
        <f t="shared" si="768"/>
        <v>102.48235000000024</v>
      </c>
    </row>
    <row r="906" spans="3:40" outlineLevel="3">
      <c r="C906"/>
      <c r="D906" s="266"/>
      <c r="E906" s="76"/>
      <c r="F906"/>
    </row>
    <row r="907" spans="3:40" outlineLevel="2">
      <c r="C907"/>
      <c r="D907" s="266"/>
      <c r="E907" s="76"/>
      <c r="F907"/>
    </row>
    <row r="908" spans="3:40" outlineLevel="2">
      <c r="C908"/>
      <c r="D908" s="266"/>
      <c r="E908" s="76"/>
      <c r="F908"/>
    </row>
    <row r="909" spans="3:40" outlineLevel="1">
      <c r="C909"/>
      <c r="D909" s="266"/>
      <c r="E909" s="76"/>
      <c r="F909"/>
    </row>
    <row r="910" spans="3:40" outlineLevel="1">
      <c r="C910" t="s">
        <v>489</v>
      </c>
      <c r="D910" s="266"/>
      <c r="E910" s="76"/>
      <c r="F910"/>
    </row>
    <row r="911" spans="3:40" outlineLevel="2">
      <c r="C911"/>
      <c r="D911" s="266"/>
      <c r="E911" s="76"/>
      <c r="F911"/>
    </row>
    <row r="912" spans="3:40" outlineLevel="2">
      <c r="C912" s="303" t="str">
        <f>Flags!C15</f>
        <v>Counter Concessão</v>
      </c>
      <c r="D912" s="266"/>
      <c r="E912" s="32" t="str">
        <f>Flags!E15</f>
        <v>Ano</v>
      </c>
      <c r="G912" s="326">
        <f>Flags!G15</f>
        <v>1</v>
      </c>
      <c r="H912" s="326">
        <f>Flags!H15</f>
        <v>2</v>
      </c>
      <c r="I912" s="326">
        <f>Flags!I15</f>
        <v>3</v>
      </c>
      <c r="J912" s="326">
        <f>Flags!J15</f>
        <v>4</v>
      </c>
      <c r="K912" s="326">
        <f>Flags!K15</f>
        <v>5</v>
      </c>
      <c r="L912" s="326">
        <f>Flags!L15</f>
        <v>6</v>
      </c>
      <c r="M912" s="326">
        <f>Flags!M15</f>
        <v>7</v>
      </c>
      <c r="N912" s="326">
        <f>Flags!N15</f>
        <v>8</v>
      </c>
      <c r="O912" s="326">
        <f>Flags!O15</f>
        <v>9</v>
      </c>
      <c r="P912" s="326">
        <f>Flags!P15</f>
        <v>10</v>
      </c>
      <c r="Q912" s="326">
        <f>Flags!Q15</f>
        <v>11</v>
      </c>
      <c r="R912" s="326">
        <f>Flags!R15</f>
        <v>12</v>
      </c>
      <c r="S912" s="326">
        <f>Flags!S15</f>
        <v>13</v>
      </c>
      <c r="T912" s="326">
        <f>Flags!T15</f>
        <v>14</v>
      </c>
      <c r="U912" s="326">
        <f>Flags!U15</f>
        <v>15</v>
      </c>
      <c r="V912" s="326">
        <f>Flags!V15</f>
        <v>16</v>
      </c>
      <c r="W912" s="326">
        <f>Flags!W15</f>
        <v>17</v>
      </c>
      <c r="X912" s="326">
        <f>Flags!X15</f>
        <v>18</v>
      </c>
      <c r="Y912" s="326">
        <f>Flags!Y15</f>
        <v>19</v>
      </c>
      <c r="Z912" s="326">
        <f>Flags!Z15</f>
        <v>20</v>
      </c>
      <c r="AA912" s="326">
        <f>Flags!AA15</f>
        <v>21</v>
      </c>
      <c r="AB912" s="326">
        <f>Flags!AB15</f>
        <v>22</v>
      </c>
      <c r="AC912" s="326">
        <f>Flags!AC15</f>
        <v>23</v>
      </c>
      <c r="AD912" s="326">
        <f>Flags!AD15</f>
        <v>24</v>
      </c>
      <c r="AE912" s="326">
        <f>Flags!AE15</f>
        <v>25</v>
      </c>
      <c r="AF912" s="326">
        <f>Flags!AF15</f>
        <v>26</v>
      </c>
      <c r="AG912" s="326">
        <f>Flags!AG15</f>
        <v>27</v>
      </c>
      <c r="AH912" s="326">
        <f>Flags!AH15</f>
        <v>28</v>
      </c>
      <c r="AI912" s="326">
        <f>Flags!AI15</f>
        <v>29</v>
      </c>
      <c r="AJ912" s="326">
        <f>Flags!AJ15</f>
        <v>30</v>
      </c>
      <c r="AK912" s="326">
        <f>Flags!AK15</f>
        <v>31</v>
      </c>
      <c r="AL912" s="326">
        <f>Flags!AL15</f>
        <v>32</v>
      </c>
      <c r="AM912" s="326">
        <f>Flags!AM15</f>
        <v>33</v>
      </c>
      <c r="AN912" s="326">
        <f>Flags!AN15</f>
        <v>34</v>
      </c>
    </row>
    <row r="913" spans="3:40" outlineLevel="2">
      <c r="C913"/>
      <c r="D913" s="266"/>
      <c r="E913" s="76"/>
      <c r="F913"/>
    </row>
    <row r="914" spans="3:40" outlineLevel="2">
      <c r="C914" s="303" t="s">
        <v>490</v>
      </c>
      <c r="D914">
        <v>7</v>
      </c>
      <c r="E914" s="76" t="s">
        <v>491</v>
      </c>
      <c r="F914"/>
    </row>
    <row r="915" spans="3:40" outlineLevel="2">
      <c r="C915" s="303" t="str">
        <f>Flags!C72</f>
        <v>Cons + Ops Flag</v>
      </c>
      <c r="D915" s="266"/>
      <c r="E915" s="32" t="str">
        <f>Flags!E72</f>
        <v>Flag</v>
      </c>
      <c r="F915" s="23">
        <f>Flags!F72</f>
        <v>30</v>
      </c>
      <c r="G915" s="25">
        <f>Flags!G72</f>
        <v>1</v>
      </c>
      <c r="H915" s="25">
        <f>Flags!H72</f>
        <v>1</v>
      </c>
      <c r="I915" s="25">
        <f>Flags!I72</f>
        <v>1</v>
      </c>
      <c r="J915" s="25">
        <f>Flags!J72</f>
        <v>1</v>
      </c>
      <c r="K915" s="25">
        <f>Flags!K72</f>
        <v>1</v>
      </c>
      <c r="L915" s="25">
        <f>Flags!L72</f>
        <v>1</v>
      </c>
      <c r="M915" s="25">
        <f>Flags!M72</f>
        <v>1</v>
      </c>
      <c r="N915" s="25">
        <f>Flags!N72</f>
        <v>1</v>
      </c>
      <c r="O915" s="25">
        <f>Flags!O72</f>
        <v>1</v>
      </c>
      <c r="P915" s="25">
        <f>Flags!P72</f>
        <v>1</v>
      </c>
      <c r="Q915" s="25">
        <f>Flags!Q72</f>
        <v>1</v>
      </c>
      <c r="R915" s="25">
        <f>Flags!R72</f>
        <v>1</v>
      </c>
      <c r="S915" s="25">
        <f>Flags!S72</f>
        <v>1</v>
      </c>
      <c r="T915" s="25">
        <f>Flags!T72</f>
        <v>1</v>
      </c>
      <c r="U915" s="25">
        <f>Flags!U72</f>
        <v>1</v>
      </c>
      <c r="V915" s="25">
        <f>Flags!V72</f>
        <v>1</v>
      </c>
      <c r="W915" s="25">
        <f>Flags!W72</f>
        <v>1</v>
      </c>
      <c r="X915" s="25">
        <f>Flags!X72</f>
        <v>1</v>
      </c>
      <c r="Y915" s="25">
        <f>Flags!Y72</f>
        <v>1</v>
      </c>
      <c r="Z915" s="25">
        <f>Flags!Z72</f>
        <v>1</v>
      </c>
      <c r="AA915" s="25">
        <f>Flags!AA72</f>
        <v>1</v>
      </c>
      <c r="AB915" s="25">
        <f>Flags!AB72</f>
        <v>1</v>
      </c>
      <c r="AC915" s="25">
        <f>Flags!AC72</f>
        <v>1</v>
      </c>
      <c r="AD915" s="25">
        <f>Flags!AD72</f>
        <v>1</v>
      </c>
      <c r="AE915" s="25">
        <f>Flags!AE72</f>
        <v>1</v>
      </c>
      <c r="AF915" s="25">
        <f>Flags!AF72</f>
        <v>1</v>
      </c>
      <c r="AG915" s="25">
        <f>Flags!AG72</f>
        <v>1</v>
      </c>
      <c r="AH915" s="25">
        <f>Flags!AH72</f>
        <v>1</v>
      </c>
      <c r="AI915" s="25">
        <f>Flags!AI72</f>
        <v>1</v>
      </c>
      <c r="AJ915" s="25">
        <f>Flags!AJ72</f>
        <v>1</v>
      </c>
      <c r="AK915" s="25">
        <f>Flags!AK72</f>
        <v>0</v>
      </c>
      <c r="AL915" s="25">
        <f>Flags!AL72</f>
        <v>0</v>
      </c>
      <c r="AM915" s="25">
        <f>Flags!AM72</f>
        <v>0</v>
      </c>
      <c r="AN915" s="25">
        <f>Flags!AN72</f>
        <v>0</v>
      </c>
    </row>
    <row r="916" spans="3:40" outlineLevel="2">
      <c r="C916" s="303" t="s">
        <v>492</v>
      </c>
      <c r="D916" s="266"/>
      <c r="E916" s="32" t="s">
        <v>399</v>
      </c>
      <c r="F916" s="23">
        <f>SUM(G916:AO916)</f>
        <v>86</v>
      </c>
      <c r="G916" s="25">
        <f t="shared" ref="G916:AN916" si="769">IF(AND(G915=1,G912&gt;1),MOD(G912,$D$914),0)</f>
        <v>0</v>
      </c>
      <c r="H916" s="25">
        <f t="shared" si="769"/>
        <v>2</v>
      </c>
      <c r="I916" s="25">
        <f t="shared" si="769"/>
        <v>3</v>
      </c>
      <c r="J916" s="25">
        <f t="shared" si="769"/>
        <v>4</v>
      </c>
      <c r="K916" s="25">
        <f t="shared" si="769"/>
        <v>5</v>
      </c>
      <c r="L916" s="25">
        <f t="shared" si="769"/>
        <v>6</v>
      </c>
      <c r="M916" s="25">
        <f t="shared" si="769"/>
        <v>0</v>
      </c>
      <c r="N916" s="25">
        <f t="shared" si="769"/>
        <v>1</v>
      </c>
      <c r="O916" s="25">
        <f t="shared" si="769"/>
        <v>2</v>
      </c>
      <c r="P916" s="25">
        <f t="shared" si="769"/>
        <v>3</v>
      </c>
      <c r="Q916" s="25">
        <f t="shared" si="769"/>
        <v>4</v>
      </c>
      <c r="R916" s="25">
        <f t="shared" si="769"/>
        <v>5</v>
      </c>
      <c r="S916" s="25">
        <f t="shared" si="769"/>
        <v>6</v>
      </c>
      <c r="T916" s="25">
        <f t="shared" si="769"/>
        <v>0</v>
      </c>
      <c r="U916" s="25">
        <f t="shared" si="769"/>
        <v>1</v>
      </c>
      <c r="V916" s="25">
        <f t="shared" si="769"/>
        <v>2</v>
      </c>
      <c r="W916" s="25">
        <f t="shared" si="769"/>
        <v>3</v>
      </c>
      <c r="X916" s="25">
        <f t="shared" si="769"/>
        <v>4</v>
      </c>
      <c r="Y916" s="25">
        <f t="shared" si="769"/>
        <v>5</v>
      </c>
      <c r="Z916" s="25">
        <f t="shared" si="769"/>
        <v>6</v>
      </c>
      <c r="AA916" s="25">
        <f t="shared" si="769"/>
        <v>0</v>
      </c>
      <c r="AB916" s="25">
        <f t="shared" si="769"/>
        <v>1</v>
      </c>
      <c r="AC916" s="25">
        <f t="shared" si="769"/>
        <v>2</v>
      </c>
      <c r="AD916" s="25">
        <f t="shared" si="769"/>
        <v>3</v>
      </c>
      <c r="AE916" s="25">
        <f t="shared" si="769"/>
        <v>4</v>
      </c>
      <c r="AF916" s="25">
        <f t="shared" si="769"/>
        <v>5</v>
      </c>
      <c r="AG916" s="25">
        <f t="shared" si="769"/>
        <v>6</v>
      </c>
      <c r="AH916" s="25">
        <f t="shared" si="769"/>
        <v>0</v>
      </c>
      <c r="AI916" s="25">
        <f t="shared" si="769"/>
        <v>1</v>
      </c>
      <c r="AJ916" s="25">
        <f>IF(AND(AJ915=1,AJ912&gt;1),MOD(AJ912,$D$914),0)</f>
        <v>2</v>
      </c>
      <c r="AK916" s="25">
        <f t="shared" si="769"/>
        <v>0</v>
      </c>
      <c r="AL916" s="25">
        <f t="shared" si="769"/>
        <v>0</v>
      </c>
      <c r="AM916" s="25">
        <f t="shared" si="769"/>
        <v>0</v>
      </c>
      <c r="AN916" s="25">
        <f t="shared" si="769"/>
        <v>0</v>
      </c>
    </row>
    <row r="917" spans="3:40" outlineLevel="2">
      <c r="C917" s="303"/>
      <c r="D917" s="118"/>
      <c r="E917" s="76"/>
      <c r="F917"/>
    </row>
    <row r="918" spans="3:40" outlineLevel="2">
      <c r="C918" s="303" t="s">
        <v>493</v>
      </c>
      <c r="D918">
        <v>0.2</v>
      </c>
      <c r="E918" s="76"/>
      <c r="F918"/>
    </row>
    <row r="919" spans="3:40" outlineLevel="2">
      <c r="C919"/>
      <c r="D919" s="266"/>
      <c r="E919" s="76"/>
      <c r="F919"/>
    </row>
    <row r="920" spans="3:40" outlineLevel="2">
      <c r="C920" s="303" t="s">
        <v>494</v>
      </c>
      <c r="D920" s="266"/>
      <c r="E920" s="76"/>
      <c r="F920"/>
      <c r="G920" s="319">
        <v>0</v>
      </c>
      <c r="H920" s="278">
        <f>G923</f>
        <v>2682.8353109999998</v>
      </c>
      <c r="I920" s="278">
        <f t="shared" ref="I920:AN920" si="770">H923</f>
        <v>2694.5081339999997</v>
      </c>
      <c r="J920" s="278">
        <f t="shared" si="770"/>
        <v>2889.1240619999999</v>
      </c>
      <c r="K920" s="278">
        <f t="shared" si="770"/>
        <v>2889.1240619999999</v>
      </c>
      <c r="L920" s="278">
        <f t="shared" si="770"/>
        <v>2889.1240619999999</v>
      </c>
      <c r="M920" s="278">
        <f t="shared" si="770"/>
        <v>2896.6870319999998</v>
      </c>
      <c r="N920" s="278">
        <f t="shared" si="770"/>
        <v>2899.9494719999998</v>
      </c>
      <c r="O920" s="278">
        <f t="shared" si="770"/>
        <v>5320.926813</v>
      </c>
      <c r="P920" s="278">
        <f t="shared" si="770"/>
        <v>2420.9773410000003</v>
      </c>
      <c r="Q920" s="278">
        <f t="shared" si="770"/>
        <v>2420.9773410000003</v>
      </c>
      <c r="R920" s="278">
        <f t="shared" si="770"/>
        <v>2682.8353110000003</v>
      </c>
      <c r="S920" s="278">
        <f t="shared" si="770"/>
        <v>2694.5081340000002</v>
      </c>
      <c r="T920" s="278">
        <f t="shared" si="770"/>
        <v>2889.1240620000003</v>
      </c>
      <c r="U920" s="278">
        <f t="shared" si="770"/>
        <v>2889.1240620000003</v>
      </c>
      <c r="V920" s="278">
        <f t="shared" si="770"/>
        <v>5310.1014030000006</v>
      </c>
      <c r="W920" s="278">
        <f t="shared" si="770"/>
        <v>2428.5403110000002</v>
      </c>
      <c r="X920" s="278">
        <f t="shared" si="770"/>
        <v>2431.8027510000002</v>
      </c>
      <c r="Y920" s="278">
        <f t="shared" si="770"/>
        <v>2431.8027510000002</v>
      </c>
      <c r="Z920" s="278">
        <f t="shared" si="770"/>
        <v>2431.8027510000002</v>
      </c>
      <c r="AA920" s="278">
        <f t="shared" si="770"/>
        <v>2431.8027510000002</v>
      </c>
      <c r="AB920" s="278">
        <f t="shared" si="770"/>
        <v>2693.6607210000002</v>
      </c>
      <c r="AC920" s="278">
        <f t="shared" si="770"/>
        <v>5126.3108849999999</v>
      </c>
      <c r="AD920" s="278">
        <f t="shared" si="770"/>
        <v>2627.2660919999998</v>
      </c>
      <c r="AE920" s="278">
        <f t="shared" si="770"/>
        <v>2627.2660919999998</v>
      </c>
      <c r="AF920" s="278">
        <f t="shared" si="770"/>
        <v>2627.2660919999998</v>
      </c>
      <c r="AG920" s="278">
        <f t="shared" si="770"/>
        <v>2634.8290619999998</v>
      </c>
      <c r="AH920" s="278">
        <f t="shared" si="770"/>
        <v>2638.0915019999998</v>
      </c>
      <c r="AI920" s="278">
        <f t="shared" si="770"/>
        <v>3166.5391679999998</v>
      </c>
      <c r="AJ920" s="278">
        <f t="shared" si="770"/>
        <v>5059.0688429999991</v>
      </c>
      <c r="AK920" s="278">
        <f t="shared" si="770"/>
        <v>1892.5296749999993</v>
      </c>
      <c r="AL920" s="278">
        <f t="shared" si="770"/>
        <v>1892.5296749999993</v>
      </c>
      <c r="AM920" s="278">
        <f t="shared" si="770"/>
        <v>1892.5296749999993</v>
      </c>
      <c r="AN920" s="278">
        <f t="shared" si="770"/>
        <v>1892.5296749999993</v>
      </c>
    </row>
    <row r="921" spans="3:40" outlineLevel="2">
      <c r="C921" s="303" t="s">
        <v>495</v>
      </c>
      <c r="D921" s="266"/>
      <c r="E921" s="76"/>
      <c r="F921"/>
      <c r="G921" s="319">
        <f>G551+G776</f>
        <v>2682.8353109999998</v>
      </c>
      <c r="H921" s="319">
        <f t="shared" ref="H921:AN921" si="771">H551+H776</f>
        <v>11.672822999999998</v>
      </c>
      <c r="I921" s="319">
        <f t="shared" si="771"/>
        <v>194.61592800000003</v>
      </c>
      <c r="J921" s="319">
        <f t="shared" si="771"/>
        <v>0</v>
      </c>
      <c r="K921" s="319">
        <f t="shared" si="771"/>
        <v>0</v>
      </c>
      <c r="L921" s="319">
        <f t="shared" si="771"/>
        <v>7.56297</v>
      </c>
      <c r="M921" s="319">
        <f t="shared" si="771"/>
        <v>3.2624399999999993</v>
      </c>
      <c r="N921" s="319">
        <f t="shared" si="771"/>
        <v>2420.9773409999998</v>
      </c>
      <c r="O921" s="319">
        <f t="shared" si="771"/>
        <v>0</v>
      </c>
      <c r="P921" s="319">
        <f t="shared" si="771"/>
        <v>0</v>
      </c>
      <c r="Q921" s="319">
        <f t="shared" si="771"/>
        <v>261.85796999999997</v>
      </c>
      <c r="R921" s="319">
        <f t="shared" si="771"/>
        <v>11.672822999999998</v>
      </c>
      <c r="S921" s="319">
        <f t="shared" si="771"/>
        <v>194.61592800000003</v>
      </c>
      <c r="T921" s="319">
        <f t="shared" si="771"/>
        <v>0</v>
      </c>
      <c r="U921" s="319">
        <f t="shared" si="771"/>
        <v>2420.9773409999998</v>
      </c>
      <c r="V921" s="319">
        <f t="shared" si="771"/>
        <v>7.56297</v>
      </c>
      <c r="W921" s="319">
        <f t="shared" si="771"/>
        <v>3.2624399999999993</v>
      </c>
      <c r="X921" s="319">
        <f t="shared" si="771"/>
        <v>0</v>
      </c>
      <c r="Y921" s="319">
        <f t="shared" si="771"/>
        <v>0</v>
      </c>
      <c r="Z921" s="319">
        <f t="shared" si="771"/>
        <v>0</v>
      </c>
      <c r="AA921" s="319">
        <f t="shared" si="771"/>
        <v>261.85796999999997</v>
      </c>
      <c r="AB921" s="319">
        <f t="shared" si="771"/>
        <v>2432.6501639999997</v>
      </c>
      <c r="AC921" s="319">
        <f t="shared" si="771"/>
        <v>194.61592800000003</v>
      </c>
      <c r="AD921" s="319">
        <f t="shared" si="771"/>
        <v>0</v>
      </c>
      <c r="AE921" s="319">
        <f t="shared" si="771"/>
        <v>0</v>
      </c>
      <c r="AF921" s="319">
        <f t="shared" si="771"/>
        <v>7.56297</v>
      </c>
      <c r="AG921" s="319">
        <f t="shared" si="771"/>
        <v>3.2624399999999993</v>
      </c>
      <c r="AH921" s="319">
        <f t="shared" si="771"/>
        <v>528.44766599999991</v>
      </c>
      <c r="AI921" s="319">
        <f t="shared" si="771"/>
        <v>1892.5296749999998</v>
      </c>
      <c r="AJ921" s="319">
        <f t="shared" si="771"/>
        <v>0</v>
      </c>
      <c r="AK921" s="319">
        <f t="shared" si="771"/>
        <v>0</v>
      </c>
      <c r="AL921" s="319">
        <f t="shared" si="771"/>
        <v>0</v>
      </c>
      <c r="AM921" s="319">
        <f t="shared" si="771"/>
        <v>0</v>
      </c>
      <c r="AN921" s="319">
        <f t="shared" si="771"/>
        <v>0</v>
      </c>
    </row>
    <row r="922" spans="3:40" outlineLevel="2">
      <c r="C922" t="str">
        <f>C925</f>
        <v>Write-off imobilizado para venda</v>
      </c>
      <c r="D922" s="266"/>
      <c r="E922" s="76"/>
      <c r="F922"/>
      <c r="G922" s="278">
        <v>0</v>
      </c>
      <c r="H922" s="278">
        <f>-G925</f>
        <v>0</v>
      </c>
      <c r="I922" s="278">
        <f t="shared" ref="I922:AN922" si="772">-H925</f>
        <v>0</v>
      </c>
      <c r="J922" s="278">
        <f t="shared" si="772"/>
        <v>0</v>
      </c>
      <c r="K922" s="278">
        <f t="shared" si="772"/>
        <v>0</v>
      </c>
      <c r="L922" s="278">
        <f t="shared" si="772"/>
        <v>0</v>
      </c>
      <c r="M922" s="278">
        <f t="shared" si="772"/>
        <v>0</v>
      </c>
      <c r="N922" s="278">
        <f t="shared" si="772"/>
        <v>0</v>
      </c>
      <c r="O922" s="278">
        <f t="shared" si="772"/>
        <v>-2899.9494719999998</v>
      </c>
      <c r="P922" s="278">
        <f t="shared" si="772"/>
        <v>0</v>
      </c>
      <c r="Q922" s="278">
        <f t="shared" si="772"/>
        <v>0</v>
      </c>
      <c r="R922" s="278">
        <f t="shared" si="772"/>
        <v>0</v>
      </c>
      <c r="S922" s="278">
        <f t="shared" si="772"/>
        <v>0</v>
      </c>
      <c r="T922" s="278">
        <f t="shared" si="772"/>
        <v>0</v>
      </c>
      <c r="U922" s="278">
        <f t="shared" si="772"/>
        <v>0</v>
      </c>
      <c r="V922" s="278">
        <f t="shared" si="772"/>
        <v>-2889.1240620000003</v>
      </c>
      <c r="W922" s="278">
        <f t="shared" si="772"/>
        <v>0</v>
      </c>
      <c r="X922" s="278">
        <f t="shared" si="772"/>
        <v>0</v>
      </c>
      <c r="Y922" s="278">
        <f t="shared" si="772"/>
        <v>0</v>
      </c>
      <c r="Z922" s="278">
        <f t="shared" si="772"/>
        <v>0</v>
      </c>
      <c r="AA922" s="278">
        <f t="shared" si="772"/>
        <v>0</v>
      </c>
      <c r="AB922" s="278">
        <f t="shared" si="772"/>
        <v>0</v>
      </c>
      <c r="AC922" s="278">
        <f t="shared" si="772"/>
        <v>-2693.6607210000002</v>
      </c>
      <c r="AD922" s="278">
        <f t="shared" si="772"/>
        <v>0</v>
      </c>
      <c r="AE922" s="278">
        <f t="shared" si="772"/>
        <v>0</v>
      </c>
      <c r="AF922" s="278">
        <f t="shared" si="772"/>
        <v>0</v>
      </c>
      <c r="AG922" s="278">
        <f t="shared" si="772"/>
        <v>0</v>
      </c>
      <c r="AH922" s="278">
        <f t="shared" si="772"/>
        <v>0</v>
      </c>
      <c r="AI922" s="278">
        <f t="shared" si="772"/>
        <v>0</v>
      </c>
      <c r="AJ922" s="278">
        <f t="shared" si="772"/>
        <v>-3166.5391679999998</v>
      </c>
      <c r="AK922" s="278">
        <f t="shared" si="772"/>
        <v>0</v>
      </c>
      <c r="AL922" s="278">
        <f t="shared" si="772"/>
        <v>0</v>
      </c>
      <c r="AM922" s="278">
        <f t="shared" si="772"/>
        <v>0</v>
      </c>
      <c r="AN922" s="278">
        <f t="shared" si="772"/>
        <v>0</v>
      </c>
    </row>
    <row r="923" spans="3:40" outlineLevel="2">
      <c r="C923" s="303" t="s">
        <v>496</v>
      </c>
      <c r="D923" s="266"/>
      <c r="E923" s="76"/>
      <c r="F923" s="273"/>
      <c r="G923" s="273">
        <f>SUM(G920:G922)</f>
        <v>2682.8353109999998</v>
      </c>
      <c r="H923" s="273">
        <f>SUM(H920:H922)</f>
        <v>2694.5081339999997</v>
      </c>
      <c r="I923" s="273">
        <f t="shared" ref="I923:AN923" si="773">SUM(I920:I922)</f>
        <v>2889.1240619999999</v>
      </c>
      <c r="J923" s="273">
        <f t="shared" si="773"/>
        <v>2889.1240619999999</v>
      </c>
      <c r="K923" s="273">
        <f t="shared" si="773"/>
        <v>2889.1240619999999</v>
      </c>
      <c r="L923" s="273">
        <f t="shared" si="773"/>
        <v>2896.6870319999998</v>
      </c>
      <c r="M923" s="273">
        <f t="shared" si="773"/>
        <v>2899.9494719999998</v>
      </c>
      <c r="N923" s="273">
        <f t="shared" si="773"/>
        <v>5320.926813</v>
      </c>
      <c r="O923" s="273">
        <f t="shared" si="773"/>
        <v>2420.9773410000003</v>
      </c>
      <c r="P923" s="273">
        <f t="shared" si="773"/>
        <v>2420.9773410000003</v>
      </c>
      <c r="Q923" s="273">
        <f t="shared" si="773"/>
        <v>2682.8353110000003</v>
      </c>
      <c r="R923" s="273">
        <f t="shared" si="773"/>
        <v>2694.5081340000002</v>
      </c>
      <c r="S923" s="273">
        <f t="shared" si="773"/>
        <v>2889.1240620000003</v>
      </c>
      <c r="T923" s="273">
        <f t="shared" si="773"/>
        <v>2889.1240620000003</v>
      </c>
      <c r="U923" s="273">
        <f t="shared" si="773"/>
        <v>5310.1014030000006</v>
      </c>
      <c r="V923" s="273">
        <f t="shared" si="773"/>
        <v>2428.5403110000002</v>
      </c>
      <c r="W923" s="273">
        <f t="shared" si="773"/>
        <v>2431.8027510000002</v>
      </c>
      <c r="X923" s="273">
        <f t="shared" si="773"/>
        <v>2431.8027510000002</v>
      </c>
      <c r="Y923" s="273">
        <f t="shared" si="773"/>
        <v>2431.8027510000002</v>
      </c>
      <c r="Z923" s="273">
        <f t="shared" si="773"/>
        <v>2431.8027510000002</v>
      </c>
      <c r="AA923" s="273">
        <f t="shared" si="773"/>
        <v>2693.6607210000002</v>
      </c>
      <c r="AB923" s="273">
        <f t="shared" si="773"/>
        <v>5126.3108849999999</v>
      </c>
      <c r="AC923" s="273">
        <f t="shared" si="773"/>
        <v>2627.2660919999998</v>
      </c>
      <c r="AD923" s="273">
        <f t="shared" si="773"/>
        <v>2627.2660919999998</v>
      </c>
      <c r="AE923" s="273">
        <f t="shared" si="773"/>
        <v>2627.2660919999998</v>
      </c>
      <c r="AF923" s="273">
        <f t="shared" si="773"/>
        <v>2634.8290619999998</v>
      </c>
      <c r="AG923" s="273">
        <f t="shared" si="773"/>
        <v>2638.0915019999998</v>
      </c>
      <c r="AH923" s="273">
        <f t="shared" si="773"/>
        <v>3166.5391679999998</v>
      </c>
      <c r="AI923" s="273">
        <f t="shared" si="773"/>
        <v>5059.0688429999991</v>
      </c>
      <c r="AJ923" s="273">
        <f t="shared" si="773"/>
        <v>1892.5296749999993</v>
      </c>
      <c r="AK923" s="273">
        <f t="shared" si="773"/>
        <v>1892.5296749999993</v>
      </c>
      <c r="AL923" s="273">
        <f t="shared" si="773"/>
        <v>1892.5296749999993</v>
      </c>
      <c r="AM923" s="273">
        <f t="shared" si="773"/>
        <v>1892.5296749999993</v>
      </c>
      <c r="AN923" s="273">
        <f t="shared" si="773"/>
        <v>1892.5296749999993</v>
      </c>
    </row>
    <row r="924" spans="3:40" outlineLevel="2">
      <c r="C924"/>
      <c r="D924" s="266"/>
      <c r="E924" s="76"/>
      <c r="F924"/>
    </row>
    <row r="925" spans="3:40" outlineLevel="2">
      <c r="C925" s="303" t="s">
        <v>497</v>
      </c>
      <c r="D925" s="266"/>
      <c r="E925" s="76" t="str">
        <f>E503</f>
        <v>$ 000s</v>
      </c>
      <c r="F925" s="23">
        <f>SUM(G925:AO925)</f>
        <v>11649.273422999999</v>
      </c>
      <c r="G925">
        <f t="shared" ref="G925:M925" si="774">IF(G916=1,G920,0)</f>
        <v>0</v>
      </c>
      <c r="H925">
        <f t="shared" si="774"/>
        <v>0</v>
      </c>
      <c r="I925">
        <f t="shared" si="774"/>
        <v>0</v>
      </c>
      <c r="J925">
        <f t="shared" si="774"/>
        <v>0</v>
      </c>
      <c r="K925">
        <f t="shared" si="774"/>
        <v>0</v>
      </c>
      <c r="L925">
        <f t="shared" si="774"/>
        <v>0</v>
      </c>
      <c r="M925">
        <f t="shared" si="774"/>
        <v>0</v>
      </c>
      <c r="N925">
        <f>IF(N916=1,N920,0)</f>
        <v>2899.9494719999998</v>
      </c>
      <c r="O925">
        <f t="shared" ref="O925:AN925" si="775">IF(O916=1,O920,0)</f>
        <v>0</v>
      </c>
      <c r="P925">
        <f t="shared" si="775"/>
        <v>0</v>
      </c>
      <c r="Q925">
        <f t="shared" si="775"/>
        <v>0</v>
      </c>
      <c r="R925">
        <f t="shared" si="775"/>
        <v>0</v>
      </c>
      <c r="S925">
        <f t="shared" si="775"/>
        <v>0</v>
      </c>
      <c r="T925">
        <f t="shared" si="775"/>
        <v>0</v>
      </c>
      <c r="U925">
        <f t="shared" si="775"/>
        <v>2889.1240620000003</v>
      </c>
      <c r="V925">
        <f t="shared" si="775"/>
        <v>0</v>
      </c>
      <c r="W925">
        <f t="shared" si="775"/>
        <v>0</v>
      </c>
      <c r="X925">
        <f t="shared" si="775"/>
        <v>0</v>
      </c>
      <c r="Y925">
        <f t="shared" si="775"/>
        <v>0</v>
      </c>
      <c r="Z925">
        <f t="shared" si="775"/>
        <v>0</v>
      </c>
      <c r="AA925">
        <f t="shared" si="775"/>
        <v>0</v>
      </c>
      <c r="AB925">
        <f t="shared" si="775"/>
        <v>2693.6607210000002</v>
      </c>
      <c r="AC925">
        <f t="shared" si="775"/>
        <v>0</v>
      </c>
      <c r="AD925">
        <f t="shared" si="775"/>
        <v>0</v>
      </c>
      <c r="AE925">
        <f t="shared" si="775"/>
        <v>0</v>
      </c>
      <c r="AF925">
        <f t="shared" si="775"/>
        <v>0</v>
      </c>
      <c r="AG925">
        <f t="shared" si="775"/>
        <v>0</v>
      </c>
      <c r="AH925">
        <f t="shared" si="775"/>
        <v>0</v>
      </c>
      <c r="AI925">
        <f t="shared" si="775"/>
        <v>3166.5391679999998</v>
      </c>
      <c r="AJ925">
        <f>IF(AJ916=1,AJ920,0)</f>
        <v>0</v>
      </c>
      <c r="AK925">
        <f t="shared" si="775"/>
        <v>0</v>
      </c>
      <c r="AL925">
        <f t="shared" si="775"/>
        <v>0</v>
      </c>
      <c r="AM925">
        <f t="shared" si="775"/>
        <v>0</v>
      </c>
      <c r="AN925">
        <f t="shared" si="775"/>
        <v>0</v>
      </c>
    </row>
    <row r="926" spans="3:40" outlineLevel="2">
      <c r="C926" s="303" t="s">
        <v>498</v>
      </c>
      <c r="D926" s="266"/>
      <c r="E926" s="76" t="str">
        <f>E504</f>
        <v>$ 000s</v>
      </c>
      <c r="F926" s="23">
        <f>SUM(G926:AO926)</f>
        <v>2329.8546845999995</v>
      </c>
      <c r="G926">
        <f t="shared" ref="G926:AN926" si="776">G925*(1+$D$918)-G925</f>
        <v>0</v>
      </c>
      <c r="H926">
        <f t="shared" si="776"/>
        <v>0</v>
      </c>
      <c r="I926">
        <f t="shared" si="776"/>
        <v>0</v>
      </c>
      <c r="J926">
        <f t="shared" si="776"/>
        <v>0</v>
      </c>
      <c r="K926">
        <f t="shared" si="776"/>
        <v>0</v>
      </c>
      <c r="L926">
        <f t="shared" si="776"/>
        <v>0</v>
      </c>
      <c r="M926">
        <f t="shared" si="776"/>
        <v>0</v>
      </c>
      <c r="N926">
        <f t="shared" si="776"/>
        <v>579.98989439999968</v>
      </c>
      <c r="O926">
        <f t="shared" si="776"/>
        <v>0</v>
      </c>
      <c r="P926">
        <f t="shared" si="776"/>
        <v>0</v>
      </c>
      <c r="Q926">
        <f t="shared" si="776"/>
        <v>0</v>
      </c>
      <c r="R926">
        <f t="shared" si="776"/>
        <v>0</v>
      </c>
      <c r="S926">
        <f t="shared" si="776"/>
        <v>0</v>
      </c>
      <c r="T926">
        <f t="shared" si="776"/>
        <v>0</v>
      </c>
      <c r="U926">
        <f t="shared" si="776"/>
        <v>577.82481240000016</v>
      </c>
      <c r="V926">
        <f t="shared" si="776"/>
        <v>0</v>
      </c>
      <c r="W926">
        <f t="shared" si="776"/>
        <v>0</v>
      </c>
      <c r="X926">
        <f t="shared" si="776"/>
        <v>0</v>
      </c>
      <c r="Y926">
        <f t="shared" si="776"/>
        <v>0</v>
      </c>
      <c r="Z926">
        <f t="shared" si="776"/>
        <v>0</v>
      </c>
      <c r="AA926">
        <f t="shared" si="776"/>
        <v>0</v>
      </c>
      <c r="AB926">
        <f t="shared" si="776"/>
        <v>538.73214419999977</v>
      </c>
      <c r="AC926">
        <f t="shared" si="776"/>
        <v>0</v>
      </c>
      <c r="AD926">
        <f t="shared" si="776"/>
        <v>0</v>
      </c>
      <c r="AE926">
        <f t="shared" si="776"/>
        <v>0</v>
      </c>
      <c r="AF926">
        <f t="shared" si="776"/>
        <v>0</v>
      </c>
      <c r="AG926">
        <f t="shared" si="776"/>
        <v>0</v>
      </c>
      <c r="AH926">
        <f t="shared" si="776"/>
        <v>0</v>
      </c>
      <c r="AI926">
        <f t="shared" si="776"/>
        <v>633.30783359999987</v>
      </c>
      <c r="AJ926">
        <f t="shared" si="776"/>
        <v>0</v>
      </c>
      <c r="AK926">
        <f t="shared" si="776"/>
        <v>0</v>
      </c>
      <c r="AL926">
        <f t="shared" si="776"/>
        <v>0</v>
      </c>
      <c r="AM926">
        <f t="shared" si="776"/>
        <v>0</v>
      </c>
      <c r="AN926">
        <f t="shared" si="776"/>
        <v>0</v>
      </c>
    </row>
    <row r="927" spans="3:40" outlineLevel="2">
      <c r="C927" s="303" t="s">
        <v>499</v>
      </c>
      <c r="D927" s="266"/>
      <c r="E927" s="76" t="s">
        <v>13</v>
      </c>
      <c r="F927" s="23">
        <f>SUM(G927:AO927)</f>
        <v>13979.1281076</v>
      </c>
      <c r="G927">
        <f t="shared" ref="G927:AN927" si="777">MAX(SUM(G925:G926),0)</f>
        <v>0</v>
      </c>
      <c r="H927">
        <f t="shared" si="777"/>
        <v>0</v>
      </c>
      <c r="I927">
        <f t="shared" si="777"/>
        <v>0</v>
      </c>
      <c r="J927">
        <f t="shared" si="777"/>
        <v>0</v>
      </c>
      <c r="K927">
        <f t="shared" si="777"/>
        <v>0</v>
      </c>
      <c r="L927">
        <f t="shared" si="777"/>
        <v>0</v>
      </c>
      <c r="M927">
        <f t="shared" si="777"/>
        <v>0</v>
      </c>
      <c r="N927">
        <f>MAX(SUM(N925:N926),0)</f>
        <v>3479.9393663999995</v>
      </c>
      <c r="O927">
        <f t="shared" si="777"/>
        <v>0</v>
      </c>
      <c r="P927">
        <f t="shared" si="777"/>
        <v>0</v>
      </c>
      <c r="Q927">
        <f t="shared" si="777"/>
        <v>0</v>
      </c>
      <c r="R927">
        <f t="shared" si="777"/>
        <v>0</v>
      </c>
      <c r="S927">
        <f t="shared" si="777"/>
        <v>0</v>
      </c>
      <c r="T927">
        <f t="shared" si="777"/>
        <v>0</v>
      </c>
      <c r="U927">
        <f t="shared" si="777"/>
        <v>3466.9488744000005</v>
      </c>
      <c r="V927">
        <f t="shared" si="777"/>
        <v>0</v>
      </c>
      <c r="W927">
        <f t="shared" si="777"/>
        <v>0</v>
      </c>
      <c r="X927">
        <f t="shared" si="777"/>
        <v>0</v>
      </c>
      <c r="Y927">
        <f t="shared" si="777"/>
        <v>0</v>
      </c>
      <c r="Z927">
        <f t="shared" si="777"/>
        <v>0</v>
      </c>
      <c r="AA927">
        <f t="shared" si="777"/>
        <v>0</v>
      </c>
      <c r="AB927">
        <f t="shared" si="777"/>
        <v>3232.3928652</v>
      </c>
      <c r="AC927">
        <f t="shared" si="777"/>
        <v>0</v>
      </c>
      <c r="AD927">
        <f t="shared" si="777"/>
        <v>0</v>
      </c>
      <c r="AE927">
        <f t="shared" si="777"/>
        <v>0</v>
      </c>
      <c r="AF927">
        <f t="shared" si="777"/>
        <v>0</v>
      </c>
      <c r="AG927">
        <f t="shared" si="777"/>
        <v>0</v>
      </c>
      <c r="AH927">
        <f t="shared" si="777"/>
        <v>0</v>
      </c>
      <c r="AI927">
        <f t="shared" si="777"/>
        <v>3799.8470015999997</v>
      </c>
      <c r="AJ927">
        <f t="shared" si="777"/>
        <v>0</v>
      </c>
      <c r="AK927">
        <f t="shared" si="777"/>
        <v>0</v>
      </c>
      <c r="AL927">
        <f t="shared" si="777"/>
        <v>0</v>
      </c>
      <c r="AM927">
        <f t="shared" si="777"/>
        <v>0</v>
      </c>
      <c r="AN927">
        <f t="shared" si="777"/>
        <v>0</v>
      </c>
    </row>
    <row r="928" spans="3:40" outlineLevel="2">
      <c r="C928"/>
      <c r="D928" s="266"/>
      <c r="E928" s="76"/>
      <c r="F928"/>
    </row>
    <row r="929" spans="3:40" outlineLevel="1">
      <c r="C929"/>
      <c r="D929" s="266"/>
      <c r="E929" s="76"/>
      <c r="F929"/>
    </row>
    <row r="930" spans="3:40">
      <c r="C930"/>
      <c r="D930" s="266"/>
      <c r="E930" s="76"/>
      <c r="F930"/>
    </row>
    <row r="931" spans="3:40" ht="16.2" thickBot="1">
      <c r="C931" s="394" t="s">
        <v>500</v>
      </c>
      <c r="D931" s="395"/>
      <c r="E931" s="396"/>
      <c r="F931" s="395"/>
      <c r="G931" s="395"/>
      <c r="H931" s="395"/>
      <c r="I931" s="395"/>
      <c r="J931" s="395"/>
      <c r="K931" s="395"/>
      <c r="L931" s="395"/>
      <c r="M931" s="395"/>
      <c r="N931" s="395"/>
      <c r="O931" s="395"/>
      <c r="P931" s="395"/>
      <c r="Q931" s="395"/>
      <c r="R931" s="395"/>
      <c r="S931" s="395"/>
      <c r="T931" s="395"/>
      <c r="U931" s="395"/>
      <c r="V931" s="395"/>
      <c r="W931" s="395"/>
      <c r="X931" s="395"/>
      <c r="Y931" s="395"/>
      <c r="Z931" s="395"/>
      <c r="AA931" s="395"/>
      <c r="AB931" s="395"/>
      <c r="AC931" s="395"/>
      <c r="AD931" s="395"/>
      <c r="AE931" s="395"/>
      <c r="AF931" s="395"/>
      <c r="AG931" s="395"/>
      <c r="AH931" s="395"/>
      <c r="AI931" s="395"/>
      <c r="AJ931" s="395"/>
      <c r="AK931" s="8"/>
      <c r="AL931" s="8"/>
      <c r="AM931" s="8"/>
      <c r="AN931" s="8"/>
    </row>
    <row r="932" spans="3:40" outlineLevel="1">
      <c r="E932" s="76"/>
    </row>
    <row r="933" spans="3:40" outlineLevel="1">
      <c r="C933" s="11" t="s">
        <v>501</v>
      </c>
      <c r="E933" s="76"/>
    </row>
    <row r="934" spans="3:40" outlineLevel="2">
      <c r="C934" s="266" t="s">
        <v>310</v>
      </c>
      <c r="D934">
        <f>Inputs!E275</f>
        <v>0.15</v>
      </c>
      <c r="E934" s="76" t="s">
        <v>23</v>
      </c>
    </row>
    <row r="935" spans="3:40" outlineLevel="2">
      <c r="C935" s="266" t="s">
        <v>311</v>
      </c>
      <c r="D935">
        <f>Inputs!E276</f>
        <v>0.1</v>
      </c>
      <c r="E935" s="76" t="s">
        <v>23</v>
      </c>
    </row>
    <row r="936" spans="3:40" outlineLevel="2">
      <c r="C936" s="266" t="s">
        <v>312</v>
      </c>
      <c r="D936" s="38">
        <f>Inputs!E277/1000</f>
        <v>240</v>
      </c>
      <c r="E936" s="76" t="s">
        <v>502</v>
      </c>
    </row>
    <row r="937" spans="3:40" outlineLevel="2">
      <c r="C937" s="266" t="s">
        <v>314</v>
      </c>
      <c r="D937">
        <f>Inputs!E278</f>
        <v>0.09</v>
      </c>
      <c r="E937" s="76" t="s">
        <v>23</v>
      </c>
    </row>
    <row r="938" spans="3:40" outlineLevel="2">
      <c r="C938" s="266" t="s">
        <v>315</v>
      </c>
      <c r="D938">
        <f>Inputs!E279</f>
        <v>0.3</v>
      </c>
      <c r="E938" s="76" t="s">
        <v>23</v>
      </c>
    </row>
    <row r="939" spans="3:40" outlineLevel="2">
      <c r="E939" s="76"/>
    </row>
    <row r="940" spans="3:40" outlineLevel="2">
      <c r="C940" s="266" t="s">
        <v>503</v>
      </c>
      <c r="E940" s="76" t="s">
        <v>504</v>
      </c>
      <c r="F940" s="23">
        <f>SUM(G940:AN940)</f>
        <v>8160</v>
      </c>
      <c r="G940" s="278">
        <f t="shared" ref="G940:AN940" si="778">$D$936</f>
        <v>240</v>
      </c>
      <c r="H940" s="278">
        <f t="shared" si="778"/>
        <v>240</v>
      </c>
      <c r="I940" s="278">
        <f t="shared" si="778"/>
        <v>240</v>
      </c>
      <c r="J940" s="278">
        <f t="shared" si="778"/>
        <v>240</v>
      </c>
      <c r="K940" s="278">
        <f t="shared" si="778"/>
        <v>240</v>
      </c>
      <c r="L940" s="278">
        <f t="shared" si="778"/>
        <v>240</v>
      </c>
      <c r="M940" s="278">
        <f t="shared" si="778"/>
        <v>240</v>
      </c>
      <c r="N940" s="278">
        <f t="shared" si="778"/>
        <v>240</v>
      </c>
      <c r="O940" s="278">
        <f t="shared" si="778"/>
        <v>240</v>
      </c>
      <c r="P940" s="278">
        <f t="shared" si="778"/>
        <v>240</v>
      </c>
      <c r="Q940" s="278">
        <f t="shared" si="778"/>
        <v>240</v>
      </c>
      <c r="R940" s="278">
        <f t="shared" si="778"/>
        <v>240</v>
      </c>
      <c r="S940" s="278">
        <f t="shared" si="778"/>
        <v>240</v>
      </c>
      <c r="T940" s="278">
        <f t="shared" si="778"/>
        <v>240</v>
      </c>
      <c r="U940" s="278">
        <f t="shared" si="778"/>
        <v>240</v>
      </c>
      <c r="V940" s="278">
        <f t="shared" si="778"/>
        <v>240</v>
      </c>
      <c r="W940" s="278">
        <f t="shared" si="778"/>
        <v>240</v>
      </c>
      <c r="X940" s="278">
        <f t="shared" si="778"/>
        <v>240</v>
      </c>
      <c r="Y940" s="278">
        <f t="shared" si="778"/>
        <v>240</v>
      </c>
      <c r="Z940" s="278">
        <f t="shared" si="778"/>
        <v>240</v>
      </c>
      <c r="AA940" s="278">
        <f t="shared" si="778"/>
        <v>240</v>
      </c>
      <c r="AB940" s="278">
        <f t="shared" si="778"/>
        <v>240</v>
      </c>
      <c r="AC940" s="278">
        <f t="shared" si="778"/>
        <v>240</v>
      </c>
      <c r="AD940" s="278">
        <f t="shared" si="778"/>
        <v>240</v>
      </c>
      <c r="AE940" s="278">
        <f t="shared" si="778"/>
        <v>240</v>
      </c>
      <c r="AF940" s="278">
        <f t="shared" si="778"/>
        <v>240</v>
      </c>
      <c r="AG940" s="278">
        <f t="shared" si="778"/>
        <v>240</v>
      </c>
      <c r="AH940" s="278">
        <f t="shared" si="778"/>
        <v>240</v>
      </c>
      <c r="AI940" s="278">
        <f t="shared" si="778"/>
        <v>240</v>
      </c>
      <c r="AJ940" s="278">
        <f t="shared" si="778"/>
        <v>240</v>
      </c>
      <c r="AK940" s="278">
        <f t="shared" si="778"/>
        <v>240</v>
      </c>
      <c r="AL940" s="278">
        <f t="shared" si="778"/>
        <v>240</v>
      </c>
      <c r="AM940" s="278">
        <f t="shared" si="778"/>
        <v>240</v>
      </c>
      <c r="AN940" s="278">
        <f t="shared" si="778"/>
        <v>240</v>
      </c>
    </row>
    <row r="941" spans="3:40" outlineLevel="2">
      <c r="E941" s="76"/>
    </row>
    <row r="942" spans="3:40" outlineLevel="2">
      <c r="C942" s="266" t="s">
        <v>505</v>
      </c>
      <c r="E942" s="76" t="s">
        <v>504</v>
      </c>
      <c r="F942" s="23">
        <f>SUM(G942:AN942)</f>
        <v>109158.9404776946</v>
      </c>
      <c r="G942" s="273">
        <f>DFs!G143+DFs!G144+G896+G904</f>
        <v>-1893.3154964264986</v>
      </c>
      <c r="H942" s="273">
        <f>DFs!H143+DFs!H144+H896+H904</f>
        <v>-3626.7079347447511</v>
      </c>
      <c r="I942" s="273">
        <f>DFs!I143+DFs!I144+I896+I904</f>
        <v>136.21613443860224</v>
      </c>
      <c r="J942" s="273">
        <f>DFs!J143+DFs!J144+J896+J904</f>
        <v>403.58751024016078</v>
      </c>
      <c r="K942" s="273">
        <f>DFs!K143+DFs!K144+K896+K904</f>
        <v>687.10466732815371</v>
      </c>
      <c r="L942" s="273">
        <f>DFs!L143+DFs!L144+L896+L904</f>
        <v>2599.2102758453188</v>
      </c>
      <c r="M942" s="273">
        <f>DFs!M143+DFs!M144+M896+M904</f>
        <v>1816.1321504016951</v>
      </c>
      <c r="N942" s="273">
        <f>DFs!N143+DFs!N144+N896+N904</f>
        <v>2260.177147803538</v>
      </c>
      <c r="O942" s="273">
        <f>DFs!O143+DFs!O144+O896+O904</f>
        <v>1890.8475587876767</v>
      </c>
      <c r="P942" s="273">
        <f>DFs!P143+DFs!P144+P896+P904</f>
        <v>1849.1578364312882</v>
      </c>
      <c r="Q942" s="273">
        <f>DFs!Q143+DFs!Q144+Q896+Q904</f>
        <v>2064.9972141084281</v>
      </c>
      <c r="R942" s="273">
        <f>DFs!R143+DFs!R144+R896+R904</f>
        <v>2266.6790924890447</v>
      </c>
      <c r="S942" s="273">
        <f>DFs!S143+DFs!S144+S896+S904</f>
        <v>4021.4118124034158</v>
      </c>
      <c r="T942" s="273">
        <f>DFs!T143+DFs!T144+T896+T904</f>
        <v>4188.0143685606463</v>
      </c>
      <c r="U942" s="273">
        <f>DFs!U143+DFs!U144+U896+U904</f>
        <v>3581.694393641174</v>
      </c>
      <c r="V942" s="273">
        <f>DFs!V143+DFs!V144+V896+V904</f>
        <v>4397.9166121725602</v>
      </c>
      <c r="W942" s="273">
        <f>DFs!W143+DFs!W144+W896+W904</f>
        <v>4385.781408435254</v>
      </c>
      <c r="X942" s="273">
        <f>DFs!X143+DFs!X144+X896+X904</f>
        <v>4652.4629664110316</v>
      </c>
      <c r="Y942" s="273">
        <f>DFs!Y143+DFs!Y144+Y896+Y904</f>
        <v>4465.8198864124915</v>
      </c>
      <c r="Z942" s="273">
        <f>DFs!Z143+DFs!Z144+Z896+Z904</f>
        <v>6286.7191985208956</v>
      </c>
      <c r="AA942" s="273">
        <f>DFs!AA143+DFs!AA144+AA896+AA904</f>
        <v>6446.4305555902747</v>
      </c>
      <c r="AB942" s="273">
        <f>DFs!AB143+DFs!AB144+AB896+AB904</f>
        <v>5759.1995662944255</v>
      </c>
      <c r="AC942" s="273">
        <f>DFs!AC143+DFs!AC144+AC896+AC904</f>
        <v>5105.7585781470907</v>
      </c>
      <c r="AD942" s="273">
        <f>DFs!AD143+DFs!AD144+AD896+AD904</f>
        <v>5246.9872533424605</v>
      </c>
      <c r="AE942" s="273">
        <f>DFs!AE143+DFs!AE144+AE896+AE904</f>
        <v>5381.6793489449192</v>
      </c>
      <c r="AF942" s="273">
        <f>DFs!AF143+DFs!AF144+AF896+AF904</f>
        <v>5941.946250959455</v>
      </c>
      <c r="AG942" s="273">
        <f>DFs!AG143+DFs!AG144+AG896+AG904</f>
        <v>7480.1516388806021</v>
      </c>
      <c r="AH942" s="273">
        <f>DFs!AH143+DFs!AH144+AH896+AH904</f>
        <v>7642.9747315180721</v>
      </c>
      <c r="AI942" s="273">
        <f>DFs!AI143+DFs!AI144+AI896+AI904</f>
        <v>7057.150617557556</v>
      </c>
      <c r="AJ942" s="273">
        <f>DFs!AJ143+DFs!AJ144+AJ896+AJ904</f>
        <v>6662.7551331996101</v>
      </c>
      <c r="AK942" s="273">
        <f>DFs!AK143+DFs!AK144+AK896+AK904</f>
        <v>0</v>
      </c>
      <c r="AL942" s="273">
        <f>DFs!AL143+DFs!AL144+AL896+AL904</f>
        <v>0</v>
      </c>
      <c r="AM942" s="273">
        <f>DFs!AM143+DFs!AM144+AM896+AM904</f>
        <v>0</v>
      </c>
      <c r="AN942" s="273">
        <f>DFs!AN143+DFs!AN144+AN896+AN904</f>
        <v>0</v>
      </c>
    </row>
    <row r="943" spans="3:40" outlineLevel="2">
      <c r="C943" s="266" t="s">
        <v>506</v>
      </c>
      <c r="E943" s="76" t="s">
        <v>504</v>
      </c>
      <c r="F943" s="23">
        <f>SUM(G943:AN943)</f>
        <v>-5520.0234311712493</v>
      </c>
      <c r="G943" s="273">
        <f t="shared" ref="G943:AL943" si="779">G955</f>
        <v>0</v>
      </c>
      <c r="H943" s="273">
        <f t="shared" si="779"/>
        <v>0</v>
      </c>
      <c r="I943" s="273">
        <f t="shared" si="779"/>
        <v>-40.864840331580673</v>
      </c>
      <c r="J943" s="273">
        <f t="shared" si="779"/>
        <v>-121.07625307204823</v>
      </c>
      <c r="K943" s="273">
        <f t="shared" si="779"/>
        <v>-206.1314001984461</v>
      </c>
      <c r="L943" s="273">
        <f t="shared" si="779"/>
        <v>-779.76308275359565</v>
      </c>
      <c r="M943" s="273">
        <f t="shared" si="779"/>
        <v>-544.83964512050852</v>
      </c>
      <c r="N943" s="273">
        <f t="shared" si="779"/>
        <v>-678.0531443410614</v>
      </c>
      <c r="O943" s="273">
        <f t="shared" si="779"/>
        <v>-567.25426763630298</v>
      </c>
      <c r="P943" s="273">
        <f t="shared" si="779"/>
        <v>-554.74735092938647</v>
      </c>
      <c r="Q943" s="273">
        <f t="shared" si="779"/>
        <v>-619.49916423252841</v>
      </c>
      <c r="R943" s="273">
        <f t="shared" si="779"/>
        <v>-680.00372774671337</v>
      </c>
      <c r="S943" s="273">
        <f t="shared" si="779"/>
        <v>-727.79055480907732</v>
      </c>
      <c r="T943" s="273">
        <f t="shared" si="779"/>
        <v>0</v>
      </c>
      <c r="U943" s="273">
        <f t="shared" si="779"/>
        <v>0</v>
      </c>
      <c r="V943" s="273">
        <f t="shared" si="779"/>
        <v>0</v>
      </c>
      <c r="W943" s="273">
        <f t="shared" si="779"/>
        <v>0</v>
      </c>
      <c r="X943" s="273">
        <f t="shared" si="779"/>
        <v>0</v>
      </c>
      <c r="Y943" s="273">
        <f t="shared" si="779"/>
        <v>0</v>
      </c>
      <c r="Z943" s="273">
        <f t="shared" si="779"/>
        <v>0</v>
      </c>
      <c r="AA943" s="273">
        <f t="shared" si="779"/>
        <v>0</v>
      </c>
      <c r="AB943" s="273">
        <f t="shared" si="779"/>
        <v>0</v>
      </c>
      <c r="AC943" s="273">
        <f t="shared" si="779"/>
        <v>0</v>
      </c>
      <c r="AD943" s="273">
        <f t="shared" si="779"/>
        <v>0</v>
      </c>
      <c r="AE943" s="273">
        <f t="shared" si="779"/>
        <v>0</v>
      </c>
      <c r="AF943" s="273">
        <f t="shared" si="779"/>
        <v>0</v>
      </c>
      <c r="AG943" s="273">
        <f t="shared" si="779"/>
        <v>0</v>
      </c>
      <c r="AH943" s="273">
        <f t="shared" si="779"/>
        <v>0</v>
      </c>
      <c r="AI943" s="273">
        <f t="shared" si="779"/>
        <v>0</v>
      </c>
      <c r="AJ943" s="273">
        <f t="shared" si="779"/>
        <v>0</v>
      </c>
      <c r="AK943" s="273">
        <f t="shared" si="779"/>
        <v>0</v>
      </c>
      <c r="AL943" s="273">
        <f t="shared" si="779"/>
        <v>0</v>
      </c>
      <c r="AM943" s="273">
        <f t="shared" ref="AM943:AN943" si="780">AM955</f>
        <v>0</v>
      </c>
      <c r="AN943" s="273">
        <f t="shared" si="780"/>
        <v>0</v>
      </c>
    </row>
    <row r="944" spans="3:40" outlineLevel="2">
      <c r="E944" s="76"/>
    </row>
    <row r="945" spans="3:40" outlineLevel="2">
      <c r="C945" s="266" t="s">
        <v>507</v>
      </c>
      <c r="E945" s="76" t="s">
        <v>504</v>
      </c>
      <c r="F945" s="23">
        <f>SUM(G945:AN945)</f>
        <v>109158.9404776946</v>
      </c>
      <c r="G945" s="278">
        <f t="shared" ref="G945:AL945" si="781">IF(G942&gt;0,SUM(G942:G943),0)</f>
        <v>0</v>
      </c>
      <c r="H945" s="278">
        <f t="shared" si="781"/>
        <v>0</v>
      </c>
      <c r="I945" s="278">
        <f t="shared" si="781"/>
        <v>95.351294107021573</v>
      </c>
      <c r="J945" s="278">
        <f t="shared" si="781"/>
        <v>282.51125716811254</v>
      </c>
      <c r="K945" s="278">
        <f t="shared" si="781"/>
        <v>480.97326712970761</v>
      </c>
      <c r="L945" s="278">
        <f t="shared" si="781"/>
        <v>1819.4471930917232</v>
      </c>
      <c r="M945" s="278">
        <f t="shared" si="781"/>
        <v>1271.2925052811865</v>
      </c>
      <c r="N945" s="278">
        <f t="shared" si="781"/>
        <v>1582.1240034624766</v>
      </c>
      <c r="O945" s="278">
        <f t="shared" si="781"/>
        <v>1323.5932911513737</v>
      </c>
      <c r="P945" s="278">
        <f t="shared" si="781"/>
        <v>1294.4104855019018</v>
      </c>
      <c r="Q945" s="278">
        <f t="shared" si="781"/>
        <v>1445.4980498758996</v>
      </c>
      <c r="R945" s="278">
        <f t="shared" si="781"/>
        <v>1586.6753647423313</v>
      </c>
      <c r="S945" s="278">
        <f t="shared" si="781"/>
        <v>3293.6212575943382</v>
      </c>
      <c r="T945" s="278">
        <f t="shared" si="781"/>
        <v>4188.0143685606463</v>
      </c>
      <c r="U945" s="278">
        <f t="shared" si="781"/>
        <v>3581.694393641174</v>
      </c>
      <c r="V945" s="278">
        <f t="shared" si="781"/>
        <v>4397.9166121725602</v>
      </c>
      <c r="W945" s="278">
        <f t="shared" si="781"/>
        <v>4385.781408435254</v>
      </c>
      <c r="X945" s="278">
        <f t="shared" si="781"/>
        <v>4652.4629664110316</v>
      </c>
      <c r="Y945" s="278">
        <f t="shared" si="781"/>
        <v>4465.8198864124915</v>
      </c>
      <c r="Z945" s="278">
        <f t="shared" si="781"/>
        <v>6286.7191985208956</v>
      </c>
      <c r="AA945" s="278">
        <f t="shared" si="781"/>
        <v>6446.4305555902747</v>
      </c>
      <c r="AB945" s="278">
        <f t="shared" si="781"/>
        <v>5759.1995662944255</v>
      </c>
      <c r="AC945" s="278">
        <f t="shared" si="781"/>
        <v>5105.7585781470907</v>
      </c>
      <c r="AD945" s="278">
        <f t="shared" si="781"/>
        <v>5246.9872533424605</v>
      </c>
      <c r="AE945" s="278">
        <f t="shared" si="781"/>
        <v>5381.6793489449192</v>
      </c>
      <c r="AF945" s="278">
        <f t="shared" si="781"/>
        <v>5941.946250959455</v>
      </c>
      <c r="AG945" s="278">
        <f t="shared" si="781"/>
        <v>7480.1516388806021</v>
      </c>
      <c r="AH945" s="278">
        <f t="shared" si="781"/>
        <v>7642.9747315180721</v>
      </c>
      <c r="AI945" s="278">
        <f t="shared" si="781"/>
        <v>7057.150617557556</v>
      </c>
      <c r="AJ945" s="278">
        <f t="shared" si="781"/>
        <v>6662.7551331996101</v>
      </c>
      <c r="AK945" s="278">
        <f t="shared" si="781"/>
        <v>0</v>
      </c>
      <c r="AL945" s="278">
        <f t="shared" si="781"/>
        <v>0</v>
      </c>
      <c r="AM945" s="278">
        <f t="shared" ref="AM945:AN945" si="782">IF(AM942&gt;0,SUM(AM942:AM943),0)</f>
        <v>0</v>
      </c>
      <c r="AN945" s="278">
        <f t="shared" si="782"/>
        <v>0</v>
      </c>
    </row>
    <row r="946" spans="3:40" outlineLevel="2">
      <c r="D946" s="266"/>
      <c r="E946" s="309"/>
    </row>
    <row r="947" spans="3:40" outlineLevel="2">
      <c r="C947" s="266" t="s">
        <v>508</v>
      </c>
      <c r="D947" s="266"/>
      <c r="E947" s="76" t="s">
        <v>504</v>
      </c>
      <c r="F947" s="23">
        <f>SUM(G947:AN947)</f>
        <v>-16373.841071654186</v>
      </c>
      <c r="G947" s="273">
        <f t="shared" ref="G947:AL947" si="783">G945*-$D$934</f>
        <v>0</v>
      </c>
      <c r="H947" s="273">
        <f t="shared" si="783"/>
        <v>0</v>
      </c>
      <c r="I947" s="273">
        <f t="shared" si="783"/>
        <v>-14.302694116053235</v>
      </c>
      <c r="J947" s="273">
        <f t="shared" si="783"/>
        <v>-42.376688575216882</v>
      </c>
      <c r="K947" s="273">
        <f t="shared" si="783"/>
        <v>-72.145990069456133</v>
      </c>
      <c r="L947" s="273">
        <f t="shared" si="783"/>
        <v>-272.91707896375846</v>
      </c>
      <c r="M947" s="273">
        <f t="shared" si="783"/>
        <v>-190.69387579217798</v>
      </c>
      <c r="N947" s="273">
        <f t="shared" si="783"/>
        <v>-237.31860051937147</v>
      </c>
      <c r="O947" s="273">
        <f t="shared" si="783"/>
        <v>-198.53899367270606</v>
      </c>
      <c r="P947" s="273">
        <f t="shared" si="783"/>
        <v>-194.16157282528528</v>
      </c>
      <c r="Q947" s="273">
        <f t="shared" si="783"/>
        <v>-216.82470748138493</v>
      </c>
      <c r="R947" s="273">
        <f t="shared" si="783"/>
        <v>-238.00130471134969</v>
      </c>
      <c r="S947" s="273">
        <f t="shared" si="783"/>
        <v>-494.04318863915069</v>
      </c>
      <c r="T947" s="273">
        <f t="shared" si="783"/>
        <v>-628.20215528409688</v>
      </c>
      <c r="U947" s="273">
        <f t="shared" si="783"/>
        <v>-537.25415904617603</v>
      </c>
      <c r="V947" s="273">
        <f t="shared" si="783"/>
        <v>-659.68749182588397</v>
      </c>
      <c r="W947" s="273">
        <f t="shared" si="783"/>
        <v>-657.86721126528812</v>
      </c>
      <c r="X947" s="273">
        <f t="shared" si="783"/>
        <v>-697.86944496165472</v>
      </c>
      <c r="Y947" s="273">
        <f t="shared" si="783"/>
        <v>-669.87298296187373</v>
      </c>
      <c r="Z947" s="273">
        <f t="shared" si="783"/>
        <v>-943.00787977813434</v>
      </c>
      <c r="AA947" s="273">
        <f t="shared" si="783"/>
        <v>-966.96458333854116</v>
      </c>
      <c r="AB947" s="273">
        <f t="shared" si="783"/>
        <v>-863.87993494416378</v>
      </c>
      <c r="AC947" s="273">
        <f t="shared" si="783"/>
        <v>-765.86378672206354</v>
      </c>
      <c r="AD947" s="273">
        <f t="shared" si="783"/>
        <v>-787.04808800136902</v>
      </c>
      <c r="AE947" s="273">
        <f t="shared" si="783"/>
        <v>-807.25190234173783</v>
      </c>
      <c r="AF947" s="273">
        <f t="shared" si="783"/>
        <v>-891.29193764391823</v>
      </c>
      <c r="AG947" s="273">
        <f t="shared" si="783"/>
        <v>-1122.0227458320903</v>
      </c>
      <c r="AH947" s="273">
        <f t="shared" si="783"/>
        <v>-1146.4462097277108</v>
      </c>
      <c r="AI947" s="273">
        <f t="shared" si="783"/>
        <v>-1058.5725926336333</v>
      </c>
      <c r="AJ947" s="273">
        <f t="shared" si="783"/>
        <v>-999.41326997994145</v>
      </c>
      <c r="AK947" s="273">
        <f t="shared" si="783"/>
        <v>0</v>
      </c>
      <c r="AL947" s="273">
        <f t="shared" si="783"/>
        <v>0</v>
      </c>
      <c r="AM947" s="273">
        <f>AM945*-$D$934</f>
        <v>0</v>
      </c>
      <c r="AN947" s="273">
        <f>AN945*-$D$934</f>
        <v>0</v>
      </c>
    </row>
    <row r="948" spans="3:40" outlineLevel="2">
      <c r="C948" s="266" t="s">
        <v>509</v>
      </c>
      <c r="D948" s="266"/>
      <c r="E948" s="76" t="s">
        <v>504</v>
      </c>
      <c r="F948" s="23">
        <f>SUM(G948:AN948)</f>
        <v>-9824.3046429925125</v>
      </c>
      <c r="G948" s="273">
        <f t="shared" ref="G948:AL948" si="784">G945*-$D$937</f>
        <v>0</v>
      </c>
      <c r="H948" s="273">
        <f t="shared" si="784"/>
        <v>0</v>
      </c>
      <c r="I948" s="273">
        <f t="shared" si="784"/>
        <v>-8.5816164696319408</v>
      </c>
      <c r="J948" s="273">
        <f t="shared" si="784"/>
        <v>-25.426013145130128</v>
      </c>
      <c r="K948" s="273">
        <f t="shared" si="784"/>
        <v>-43.287594041673685</v>
      </c>
      <c r="L948" s="273">
        <f t="shared" si="784"/>
        <v>-163.75024737825507</v>
      </c>
      <c r="M948" s="273">
        <f t="shared" si="784"/>
        <v>-114.41632547530679</v>
      </c>
      <c r="N948" s="273">
        <f t="shared" si="784"/>
        <v>-142.39116031162288</v>
      </c>
      <c r="O948" s="273">
        <f t="shared" si="784"/>
        <v>-119.12339620362363</v>
      </c>
      <c r="P948" s="273">
        <f t="shared" si="784"/>
        <v>-116.49694369517115</v>
      </c>
      <c r="Q948" s="273">
        <f t="shared" si="784"/>
        <v>-130.09482448883097</v>
      </c>
      <c r="R948" s="273">
        <f t="shared" si="784"/>
        <v>-142.80078282680981</v>
      </c>
      <c r="S948" s="273">
        <f t="shared" si="784"/>
        <v>-296.42591318349042</v>
      </c>
      <c r="T948" s="273">
        <f t="shared" si="784"/>
        <v>-376.92129317045817</v>
      </c>
      <c r="U948" s="273">
        <f t="shared" si="784"/>
        <v>-322.35249542770566</v>
      </c>
      <c r="V948" s="273">
        <f t="shared" si="784"/>
        <v>-395.81249509553038</v>
      </c>
      <c r="W948" s="273">
        <f t="shared" si="784"/>
        <v>-394.72032675917285</v>
      </c>
      <c r="X948" s="273">
        <f t="shared" si="784"/>
        <v>-418.72166697699282</v>
      </c>
      <c r="Y948" s="273">
        <f t="shared" si="784"/>
        <v>-401.92378977712423</v>
      </c>
      <c r="Z948" s="273">
        <f t="shared" si="784"/>
        <v>-565.80472786688063</v>
      </c>
      <c r="AA948" s="273">
        <f t="shared" si="784"/>
        <v>-580.17875000312472</v>
      </c>
      <c r="AB948" s="273">
        <f t="shared" si="784"/>
        <v>-518.32796096649827</v>
      </c>
      <c r="AC948" s="273">
        <f t="shared" si="784"/>
        <v>-459.51827203323813</v>
      </c>
      <c r="AD948" s="273">
        <f t="shared" si="784"/>
        <v>-472.22885280082141</v>
      </c>
      <c r="AE948" s="273">
        <f t="shared" si="784"/>
        <v>-484.35114140504271</v>
      </c>
      <c r="AF948" s="273">
        <f t="shared" si="784"/>
        <v>-534.77516258635092</v>
      </c>
      <c r="AG948" s="273">
        <f t="shared" si="784"/>
        <v>-673.21364749925419</v>
      </c>
      <c r="AH948" s="273">
        <f t="shared" si="784"/>
        <v>-687.86772583662651</v>
      </c>
      <c r="AI948" s="273">
        <f t="shared" si="784"/>
        <v>-635.14355558017996</v>
      </c>
      <c r="AJ948" s="273">
        <f t="shared" si="784"/>
        <v>-599.64796198796489</v>
      </c>
      <c r="AK948" s="273">
        <f t="shared" si="784"/>
        <v>0</v>
      </c>
      <c r="AL948" s="273">
        <f t="shared" si="784"/>
        <v>0</v>
      </c>
      <c r="AM948" s="273">
        <f>AM945*-$D$937</f>
        <v>0</v>
      </c>
      <c r="AN948" s="273">
        <f>AN945*-$D$937</f>
        <v>0</v>
      </c>
    </row>
    <row r="949" spans="3:40" outlineLevel="2">
      <c r="C949" s="266" t="s">
        <v>311</v>
      </c>
      <c r="D949" s="266"/>
      <c r="E949" s="76" t="s">
        <v>504</v>
      </c>
      <c r="F949" s="23">
        <f>SUM(G949:AN949)</f>
        <v>-10258.358918358757</v>
      </c>
      <c r="G949" s="273">
        <f t="shared" ref="G949:AL949" si="785">IF(G945&gt;G940,(G945-G940)*-$D$935,0)</f>
        <v>0</v>
      </c>
      <c r="H949" s="273">
        <f t="shared" si="785"/>
        <v>0</v>
      </c>
      <c r="I949" s="273">
        <f t="shared" si="785"/>
        <v>0</v>
      </c>
      <c r="J949" s="273">
        <f t="shared" si="785"/>
        <v>-4.251125716811254</v>
      </c>
      <c r="K949" s="273">
        <f t="shared" si="785"/>
        <v>-24.097326712970762</v>
      </c>
      <c r="L949" s="273">
        <f t="shared" si="785"/>
        <v>-157.94471930917234</v>
      </c>
      <c r="M949" s="273">
        <f t="shared" si="785"/>
        <v>-103.12925052811866</v>
      </c>
      <c r="N949" s="273">
        <f t="shared" si="785"/>
        <v>-134.21240034624768</v>
      </c>
      <c r="O949" s="273">
        <f t="shared" si="785"/>
        <v>-108.35932911513737</v>
      </c>
      <c r="P949" s="273">
        <f t="shared" si="785"/>
        <v>-105.44104855019019</v>
      </c>
      <c r="Q949" s="273">
        <f t="shared" si="785"/>
        <v>-120.54980498758997</v>
      </c>
      <c r="R949" s="273">
        <f t="shared" si="785"/>
        <v>-134.66753647423315</v>
      </c>
      <c r="S949" s="273">
        <f t="shared" si="785"/>
        <v>-305.36212575943381</v>
      </c>
      <c r="T949" s="273">
        <f t="shared" si="785"/>
        <v>-394.80143685606464</v>
      </c>
      <c r="U949" s="273">
        <f t="shared" si="785"/>
        <v>-334.16943936411741</v>
      </c>
      <c r="V949" s="273">
        <f t="shared" si="785"/>
        <v>-415.79166121725603</v>
      </c>
      <c r="W949" s="273">
        <f t="shared" si="785"/>
        <v>-414.57814084352543</v>
      </c>
      <c r="X949" s="273">
        <f t="shared" si="785"/>
        <v>-441.24629664110319</v>
      </c>
      <c r="Y949" s="273">
        <f t="shared" si="785"/>
        <v>-422.58198864124915</v>
      </c>
      <c r="Z949" s="273">
        <f t="shared" si="785"/>
        <v>-604.67191985208956</v>
      </c>
      <c r="AA949" s="273">
        <f t="shared" si="785"/>
        <v>-620.64305555902752</v>
      </c>
      <c r="AB949" s="273">
        <f t="shared" si="785"/>
        <v>-551.91995662944259</v>
      </c>
      <c r="AC949" s="273">
        <f t="shared" si="785"/>
        <v>-486.57585781470908</v>
      </c>
      <c r="AD949" s="273">
        <f t="shared" si="785"/>
        <v>-500.69872533424609</v>
      </c>
      <c r="AE949" s="273">
        <f t="shared" si="785"/>
        <v>-514.16793489449196</v>
      </c>
      <c r="AF949" s="273">
        <f t="shared" si="785"/>
        <v>-570.19462509594553</v>
      </c>
      <c r="AG949" s="273">
        <f t="shared" si="785"/>
        <v>-724.01516388806021</v>
      </c>
      <c r="AH949" s="273">
        <f t="shared" si="785"/>
        <v>-740.29747315180725</v>
      </c>
      <c r="AI949" s="273">
        <f t="shared" si="785"/>
        <v>-681.71506175575564</v>
      </c>
      <c r="AJ949" s="273">
        <f t="shared" si="785"/>
        <v>-642.27551331996108</v>
      </c>
      <c r="AK949" s="273">
        <f t="shared" si="785"/>
        <v>0</v>
      </c>
      <c r="AL949" s="273">
        <f t="shared" si="785"/>
        <v>0</v>
      </c>
      <c r="AM949" s="273">
        <f>IF(AM945&gt;AM940,(AM945-AM940)*-$D$935,0)</f>
        <v>0</v>
      </c>
      <c r="AN949" s="273">
        <f>IF(AN945&gt;AN940,(AN945-AN940)*-$D$935,0)</f>
        <v>0</v>
      </c>
    </row>
    <row r="950" spans="3:40" outlineLevel="2">
      <c r="D950" s="266"/>
      <c r="E950" s="309"/>
    </row>
    <row r="951" spans="3:40" outlineLevel="2">
      <c r="C951" s="266" t="s">
        <v>510</v>
      </c>
      <c r="D951" s="266"/>
      <c r="E951" s="76" t="s">
        <v>504</v>
      </c>
      <c r="F951" s="23">
        <f>SUM(G951:AN951)</f>
        <v>-36456.504633005454</v>
      </c>
      <c r="G951" s="278">
        <f>SUM(G947:G950)</f>
        <v>0</v>
      </c>
      <c r="H951" s="278">
        <f t="shared" ref="H951:AL951" si="786">SUM(H947:H950)</f>
        <v>0</v>
      </c>
      <c r="I951" s="278">
        <f t="shared" si="786"/>
        <v>-22.884310585685178</v>
      </c>
      <c r="J951" s="278">
        <f t="shared" si="786"/>
        <v>-72.053827437158276</v>
      </c>
      <c r="K951" s="278">
        <f t="shared" si="786"/>
        <v>-139.53091082410057</v>
      </c>
      <c r="L951" s="278">
        <f t="shared" si="786"/>
        <v>-594.61204565118589</v>
      </c>
      <c r="M951" s="278">
        <f t="shared" si="786"/>
        <v>-408.23945179560337</v>
      </c>
      <c r="N951" s="278">
        <f t="shared" si="786"/>
        <v>-513.92216117724206</v>
      </c>
      <c r="O951" s="278">
        <f t="shared" si="786"/>
        <v>-426.02171899146708</v>
      </c>
      <c r="P951" s="278">
        <f t="shared" si="786"/>
        <v>-416.09956507064663</v>
      </c>
      <c r="Q951" s="278">
        <f t="shared" si="786"/>
        <v>-467.46933695780581</v>
      </c>
      <c r="R951" s="278">
        <f t="shared" si="786"/>
        <v>-515.46962401239261</v>
      </c>
      <c r="S951" s="278">
        <f t="shared" si="786"/>
        <v>-1095.8312275820749</v>
      </c>
      <c r="T951" s="278">
        <f>SUM(T947:T950)</f>
        <v>-1399.9248853106196</v>
      </c>
      <c r="U951" s="278">
        <f t="shared" si="786"/>
        <v>-1193.776093837999</v>
      </c>
      <c r="V951" s="278">
        <f t="shared" si="786"/>
        <v>-1471.2916481386703</v>
      </c>
      <c r="W951" s="278">
        <f t="shared" si="786"/>
        <v>-1467.1656788679866</v>
      </c>
      <c r="X951" s="278">
        <f t="shared" si="786"/>
        <v>-1557.8374085797509</v>
      </c>
      <c r="Y951" s="278">
        <f t="shared" si="786"/>
        <v>-1494.3787613802472</v>
      </c>
      <c r="Z951" s="278">
        <f t="shared" si="786"/>
        <v>-2113.4845274971044</v>
      </c>
      <c r="AA951" s="278">
        <f t="shared" si="786"/>
        <v>-2167.7863889006931</v>
      </c>
      <c r="AB951" s="278">
        <f t="shared" si="786"/>
        <v>-1934.1278525401046</v>
      </c>
      <c r="AC951" s="278">
        <f t="shared" si="786"/>
        <v>-1711.9579165700106</v>
      </c>
      <c r="AD951" s="278">
        <f t="shared" si="786"/>
        <v>-1759.9756661364365</v>
      </c>
      <c r="AE951" s="278">
        <f t="shared" si="786"/>
        <v>-1805.7709786412724</v>
      </c>
      <c r="AF951" s="278">
        <f t="shared" si="786"/>
        <v>-1996.2617253262147</v>
      </c>
      <c r="AG951" s="278">
        <f t="shared" si="786"/>
        <v>-2519.2515572194047</v>
      </c>
      <c r="AH951" s="278">
        <f t="shared" si="786"/>
        <v>-2574.6114087161445</v>
      </c>
      <c r="AI951" s="278">
        <f t="shared" si="786"/>
        <v>-2375.431209969569</v>
      </c>
      <c r="AJ951" s="278">
        <f t="shared" si="786"/>
        <v>-2241.3367452878674</v>
      </c>
      <c r="AK951" s="278">
        <f>SUM(AK947:AK950)</f>
        <v>0</v>
      </c>
      <c r="AL951" s="278">
        <f t="shared" si="786"/>
        <v>0</v>
      </c>
      <c r="AM951" s="278">
        <f t="shared" ref="AM951:AN951" si="787">SUM(AM947:AM950)</f>
        <v>0</v>
      </c>
      <c r="AN951" s="278">
        <f t="shared" si="787"/>
        <v>0</v>
      </c>
    </row>
    <row r="952" spans="3:40" outlineLevel="2">
      <c r="E952" s="76"/>
    </row>
    <row r="953" spans="3:40" outlineLevel="2">
      <c r="C953" s="270" t="s">
        <v>511</v>
      </c>
      <c r="D953" s="81"/>
      <c r="E953" s="204" t="s">
        <v>504</v>
      </c>
      <c r="F953" s="270"/>
      <c r="G953" s="327">
        <f t="shared" ref="G953:AL953" si="788">F956</f>
        <v>0</v>
      </c>
      <c r="H953" s="327">
        <f t="shared" si="788"/>
        <v>1893.3154964264986</v>
      </c>
      <c r="I953" s="327">
        <f t="shared" si="788"/>
        <v>5520.0234311712502</v>
      </c>
      <c r="J953" s="327">
        <f t="shared" si="788"/>
        <v>5479.1585908396692</v>
      </c>
      <c r="K953" s="327">
        <f t="shared" si="788"/>
        <v>5358.0823377676206</v>
      </c>
      <c r="L953" s="327">
        <f t="shared" si="788"/>
        <v>5151.9509375691741</v>
      </c>
      <c r="M953" s="327">
        <f t="shared" si="788"/>
        <v>4372.1878548155782</v>
      </c>
      <c r="N953" s="327">
        <f t="shared" si="788"/>
        <v>3827.3482096950697</v>
      </c>
      <c r="O953" s="327">
        <f t="shared" si="788"/>
        <v>3149.2950653540083</v>
      </c>
      <c r="P953" s="327">
        <f t="shared" si="788"/>
        <v>2582.0407977177056</v>
      </c>
      <c r="Q953" s="327">
        <f t="shared" si="788"/>
        <v>2027.2934467883192</v>
      </c>
      <c r="R953" s="327">
        <f t="shared" si="788"/>
        <v>1407.7942825557907</v>
      </c>
      <c r="S953" s="327">
        <f t="shared" si="788"/>
        <v>727.79055480907732</v>
      </c>
      <c r="T953" s="327">
        <f t="shared" si="788"/>
        <v>0</v>
      </c>
      <c r="U953" s="327">
        <f t="shared" si="788"/>
        <v>0</v>
      </c>
      <c r="V953" s="327">
        <f t="shared" si="788"/>
        <v>0</v>
      </c>
      <c r="W953" s="327">
        <f t="shared" si="788"/>
        <v>0</v>
      </c>
      <c r="X953" s="327">
        <f t="shared" si="788"/>
        <v>0</v>
      </c>
      <c r="Y953" s="327">
        <f t="shared" si="788"/>
        <v>0</v>
      </c>
      <c r="Z953" s="327">
        <f t="shared" si="788"/>
        <v>0</v>
      </c>
      <c r="AA953" s="327">
        <f t="shared" si="788"/>
        <v>0</v>
      </c>
      <c r="AB953" s="327">
        <f t="shared" si="788"/>
        <v>0</v>
      </c>
      <c r="AC953" s="327">
        <f t="shared" si="788"/>
        <v>0</v>
      </c>
      <c r="AD953" s="327">
        <f t="shared" si="788"/>
        <v>0</v>
      </c>
      <c r="AE953" s="327">
        <f t="shared" si="788"/>
        <v>0</v>
      </c>
      <c r="AF953" s="327">
        <f t="shared" si="788"/>
        <v>0</v>
      </c>
      <c r="AG953" s="327">
        <f t="shared" si="788"/>
        <v>0</v>
      </c>
      <c r="AH953" s="327">
        <f t="shared" si="788"/>
        <v>0</v>
      </c>
      <c r="AI953" s="327">
        <f t="shared" si="788"/>
        <v>0</v>
      </c>
      <c r="AJ953" s="327">
        <f t="shared" si="788"/>
        <v>0</v>
      </c>
      <c r="AK953" s="327">
        <f t="shared" si="788"/>
        <v>0</v>
      </c>
      <c r="AL953" s="327">
        <f t="shared" si="788"/>
        <v>0</v>
      </c>
      <c r="AM953" s="327">
        <f t="shared" ref="AM953:AN953" si="789">AL956</f>
        <v>0</v>
      </c>
      <c r="AN953" s="327">
        <f t="shared" si="789"/>
        <v>0</v>
      </c>
    </row>
    <row r="954" spans="3:40" outlineLevel="2">
      <c r="C954" s="266" t="s">
        <v>512</v>
      </c>
      <c r="E954" s="76" t="s">
        <v>504</v>
      </c>
      <c r="G954" s="273">
        <f t="shared" ref="G954:AL954" si="790">IF(G942&lt;0,-G942,0)</f>
        <v>1893.3154964264986</v>
      </c>
      <c r="H954" s="273">
        <f t="shared" si="790"/>
        <v>3626.7079347447511</v>
      </c>
      <c r="I954" s="273">
        <f t="shared" si="790"/>
        <v>0</v>
      </c>
      <c r="J954" s="273">
        <f t="shared" si="790"/>
        <v>0</v>
      </c>
      <c r="K954" s="273">
        <f t="shared" si="790"/>
        <v>0</v>
      </c>
      <c r="L954" s="273">
        <f t="shared" si="790"/>
        <v>0</v>
      </c>
      <c r="M954" s="273">
        <f t="shared" si="790"/>
        <v>0</v>
      </c>
      <c r="N954" s="273">
        <f t="shared" si="790"/>
        <v>0</v>
      </c>
      <c r="O954" s="273">
        <f t="shared" si="790"/>
        <v>0</v>
      </c>
      <c r="P954" s="273">
        <f t="shared" si="790"/>
        <v>0</v>
      </c>
      <c r="Q954" s="273">
        <f t="shared" si="790"/>
        <v>0</v>
      </c>
      <c r="R954" s="273">
        <f t="shared" si="790"/>
        <v>0</v>
      </c>
      <c r="S954" s="273">
        <f t="shared" si="790"/>
        <v>0</v>
      </c>
      <c r="T954" s="273">
        <f t="shared" si="790"/>
        <v>0</v>
      </c>
      <c r="U954" s="273">
        <f t="shared" si="790"/>
        <v>0</v>
      </c>
      <c r="V954" s="273">
        <f t="shared" si="790"/>
        <v>0</v>
      </c>
      <c r="W954" s="273">
        <f t="shared" si="790"/>
        <v>0</v>
      </c>
      <c r="X954" s="273">
        <f t="shared" si="790"/>
        <v>0</v>
      </c>
      <c r="Y954" s="273">
        <f t="shared" si="790"/>
        <v>0</v>
      </c>
      <c r="Z954" s="273">
        <f t="shared" si="790"/>
        <v>0</v>
      </c>
      <c r="AA954" s="273">
        <f t="shared" si="790"/>
        <v>0</v>
      </c>
      <c r="AB954" s="273">
        <f t="shared" si="790"/>
        <v>0</v>
      </c>
      <c r="AC954" s="273">
        <f t="shared" si="790"/>
        <v>0</v>
      </c>
      <c r="AD954" s="273">
        <f t="shared" si="790"/>
        <v>0</v>
      </c>
      <c r="AE954" s="273">
        <f t="shared" si="790"/>
        <v>0</v>
      </c>
      <c r="AF954" s="273">
        <f t="shared" si="790"/>
        <v>0</v>
      </c>
      <c r="AG954" s="273">
        <f t="shared" si="790"/>
        <v>0</v>
      </c>
      <c r="AH954" s="273">
        <f t="shared" si="790"/>
        <v>0</v>
      </c>
      <c r="AI954" s="273">
        <f t="shared" si="790"/>
        <v>0</v>
      </c>
      <c r="AJ954" s="273">
        <f t="shared" si="790"/>
        <v>0</v>
      </c>
      <c r="AK954" s="273">
        <f t="shared" si="790"/>
        <v>0</v>
      </c>
      <c r="AL954" s="273">
        <f t="shared" si="790"/>
        <v>0</v>
      </c>
      <c r="AM954" s="273">
        <f t="shared" ref="AM954:AN954" si="791">IF(AM942&lt;0,-AM942,0)</f>
        <v>0</v>
      </c>
      <c r="AN954" s="273">
        <f t="shared" si="791"/>
        <v>0</v>
      </c>
    </row>
    <row r="955" spans="3:40" outlineLevel="2">
      <c r="C955" s="270" t="s">
        <v>513</v>
      </c>
      <c r="D955" s="81"/>
      <c r="E955" s="76" t="s">
        <v>504</v>
      </c>
      <c r="F955" s="270"/>
      <c r="G955" s="327">
        <f t="shared" ref="G955:AL955" si="792">-IF(AND(G942&gt;0,G953&gt;0),MIN(G942*$D$938,G953))</f>
        <v>0</v>
      </c>
      <c r="H955" s="327">
        <f t="shared" si="792"/>
        <v>0</v>
      </c>
      <c r="I955" s="327">
        <f t="shared" si="792"/>
        <v>-40.864840331580673</v>
      </c>
      <c r="J955" s="327">
        <f t="shared" si="792"/>
        <v>-121.07625307204823</v>
      </c>
      <c r="K955" s="327">
        <f t="shared" si="792"/>
        <v>-206.1314001984461</v>
      </c>
      <c r="L955" s="327">
        <f t="shared" si="792"/>
        <v>-779.76308275359565</v>
      </c>
      <c r="M955" s="327">
        <f t="shared" si="792"/>
        <v>-544.83964512050852</v>
      </c>
      <c r="N955" s="327">
        <f t="shared" si="792"/>
        <v>-678.0531443410614</v>
      </c>
      <c r="O955" s="327">
        <f t="shared" si="792"/>
        <v>-567.25426763630298</v>
      </c>
      <c r="P955" s="327">
        <f t="shared" si="792"/>
        <v>-554.74735092938647</v>
      </c>
      <c r="Q955" s="327">
        <f t="shared" si="792"/>
        <v>-619.49916423252841</v>
      </c>
      <c r="R955" s="327">
        <f t="shared" si="792"/>
        <v>-680.00372774671337</v>
      </c>
      <c r="S955" s="327">
        <f t="shared" si="792"/>
        <v>-727.79055480907732</v>
      </c>
      <c r="T955" s="327">
        <f t="shared" si="792"/>
        <v>0</v>
      </c>
      <c r="U955" s="327">
        <f t="shared" si="792"/>
        <v>0</v>
      </c>
      <c r="V955" s="327">
        <f t="shared" si="792"/>
        <v>0</v>
      </c>
      <c r="W955" s="327">
        <f t="shared" si="792"/>
        <v>0</v>
      </c>
      <c r="X955" s="327">
        <f t="shared" si="792"/>
        <v>0</v>
      </c>
      <c r="Y955" s="327">
        <f t="shared" si="792"/>
        <v>0</v>
      </c>
      <c r="Z955" s="327">
        <f t="shared" si="792"/>
        <v>0</v>
      </c>
      <c r="AA955" s="327">
        <f t="shared" si="792"/>
        <v>0</v>
      </c>
      <c r="AB955" s="327">
        <f t="shared" si="792"/>
        <v>0</v>
      </c>
      <c r="AC955" s="327">
        <f t="shared" si="792"/>
        <v>0</v>
      </c>
      <c r="AD955" s="327">
        <f t="shared" si="792"/>
        <v>0</v>
      </c>
      <c r="AE955" s="327">
        <f t="shared" si="792"/>
        <v>0</v>
      </c>
      <c r="AF955" s="327">
        <f t="shared" si="792"/>
        <v>0</v>
      </c>
      <c r="AG955" s="327">
        <f t="shared" si="792"/>
        <v>0</v>
      </c>
      <c r="AH955" s="327">
        <f t="shared" si="792"/>
        <v>0</v>
      </c>
      <c r="AI955" s="327">
        <f t="shared" si="792"/>
        <v>0</v>
      </c>
      <c r="AJ955" s="327">
        <f t="shared" si="792"/>
        <v>0</v>
      </c>
      <c r="AK955" s="327">
        <f t="shared" si="792"/>
        <v>0</v>
      </c>
      <c r="AL955" s="327">
        <f t="shared" si="792"/>
        <v>0</v>
      </c>
      <c r="AM955" s="327">
        <f>-IF(AND(AM942&gt;0,AM953&gt;0),MIN(AM942*$D$938,AM953))</f>
        <v>0</v>
      </c>
      <c r="AN955" s="327">
        <f>-IF(AND(AN942&gt;0,AN953&gt;0),MIN(AN942*$D$938,AN953))</f>
        <v>0</v>
      </c>
    </row>
    <row r="956" spans="3:40" outlineLevel="2">
      <c r="C956" s="266" t="s">
        <v>514</v>
      </c>
      <c r="E956" s="205" t="s">
        <v>504</v>
      </c>
      <c r="F956" s="53"/>
      <c r="G956" s="273">
        <f t="shared" ref="G956:AL956" si="793">SUM(G953:G955)</f>
        <v>1893.3154964264986</v>
      </c>
      <c r="H956" s="273">
        <f t="shared" si="793"/>
        <v>5520.0234311712502</v>
      </c>
      <c r="I956" s="273">
        <f t="shared" si="793"/>
        <v>5479.1585908396692</v>
      </c>
      <c r="J956" s="273">
        <f t="shared" si="793"/>
        <v>5358.0823377676206</v>
      </c>
      <c r="K956" s="273">
        <f t="shared" si="793"/>
        <v>5151.9509375691741</v>
      </c>
      <c r="L956" s="273">
        <f t="shared" si="793"/>
        <v>4372.1878548155782</v>
      </c>
      <c r="M956" s="273">
        <f t="shared" si="793"/>
        <v>3827.3482096950697</v>
      </c>
      <c r="N956" s="273">
        <f t="shared" si="793"/>
        <v>3149.2950653540083</v>
      </c>
      <c r="O956" s="273">
        <f t="shared" si="793"/>
        <v>2582.0407977177056</v>
      </c>
      <c r="P956" s="273">
        <f t="shared" si="793"/>
        <v>2027.2934467883192</v>
      </c>
      <c r="Q956" s="273">
        <f t="shared" si="793"/>
        <v>1407.7942825557907</v>
      </c>
      <c r="R956" s="273">
        <f t="shared" si="793"/>
        <v>727.79055480907732</v>
      </c>
      <c r="S956" s="273">
        <f t="shared" si="793"/>
        <v>0</v>
      </c>
      <c r="T956" s="273">
        <f t="shared" si="793"/>
        <v>0</v>
      </c>
      <c r="U956" s="273">
        <f t="shared" si="793"/>
        <v>0</v>
      </c>
      <c r="V956" s="273">
        <f t="shared" si="793"/>
        <v>0</v>
      </c>
      <c r="W956" s="273">
        <f t="shared" si="793"/>
        <v>0</v>
      </c>
      <c r="X956" s="273">
        <f t="shared" si="793"/>
        <v>0</v>
      </c>
      <c r="Y956" s="273">
        <f t="shared" si="793"/>
        <v>0</v>
      </c>
      <c r="Z956" s="273">
        <f t="shared" si="793"/>
        <v>0</v>
      </c>
      <c r="AA956" s="273">
        <f t="shared" si="793"/>
        <v>0</v>
      </c>
      <c r="AB956" s="273">
        <f t="shared" si="793"/>
        <v>0</v>
      </c>
      <c r="AC956" s="273">
        <f t="shared" si="793"/>
        <v>0</v>
      </c>
      <c r="AD956" s="273">
        <f t="shared" si="793"/>
        <v>0</v>
      </c>
      <c r="AE956" s="273">
        <f t="shared" si="793"/>
        <v>0</v>
      </c>
      <c r="AF956" s="273">
        <f t="shared" si="793"/>
        <v>0</v>
      </c>
      <c r="AG956" s="273">
        <f t="shared" si="793"/>
        <v>0</v>
      </c>
      <c r="AH956" s="273">
        <f t="shared" si="793"/>
        <v>0</v>
      </c>
      <c r="AI956" s="273">
        <f t="shared" si="793"/>
        <v>0</v>
      </c>
      <c r="AJ956" s="273">
        <f t="shared" si="793"/>
        <v>0</v>
      </c>
      <c r="AK956" s="273">
        <f t="shared" si="793"/>
        <v>0</v>
      </c>
      <c r="AL956" s="273">
        <f t="shared" si="793"/>
        <v>0</v>
      </c>
      <c r="AM956" s="273">
        <f t="shared" ref="AM956:AN956" si="794">SUM(AM953:AM955)</f>
        <v>0</v>
      </c>
      <c r="AN956" s="273">
        <f t="shared" si="794"/>
        <v>0</v>
      </c>
    </row>
    <row r="957" spans="3:40" outlineLevel="1">
      <c r="E957" s="76"/>
    </row>
    <row r="958" spans="3:40" ht="13.2" customHeight="1" outlineLevel="1">
      <c r="C958" s="11" t="s">
        <v>515</v>
      </c>
      <c r="E958" s="76"/>
    </row>
    <row r="959" spans="3:40" ht="18" customHeight="1" outlineLevel="2">
      <c r="C959" s="266" t="s">
        <v>310</v>
      </c>
      <c r="D959">
        <f>Inputs!E275</f>
        <v>0.15</v>
      </c>
      <c r="E959" s="76" t="s">
        <v>23</v>
      </c>
    </row>
    <row r="960" spans="3:40" outlineLevel="2">
      <c r="C960" s="266" t="s">
        <v>311</v>
      </c>
      <c r="D960">
        <f>Inputs!E276</f>
        <v>0.1</v>
      </c>
      <c r="E960" s="76" t="s">
        <v>23</v>
      </c>
    </row>
    <row r="961" spans="3:40" outlineLevel="2">
      <c r="C961" s="266" t="s">
        <v>312</v>
      </c>
      <c r="D961" s="38">
        <f>Inputs!E277/1000</f>
        <v>240</v>
      </c>
      <c r="E961" s="76" t="s">
        <v>516</v>
      </c>
    </row>
    <row r="962" spans="3:40" outlineLevel="2">
      <c r="C962" s="266" t="s">
        <v>314</v>
      </c>
      <c r="D962">
        <f>Inputs!E278</f>
        <v>0.09</v>
      </c>
      <c r="E962" s="76" t="s">
        <v>23</v>
      </c>
    </row>
    <row r="963" spans="3:40" outlineLevel="2">
      <c r="C963" s="266" t="s">
        <v>315</v>
      </c>
      <c r="D963">
        <f>Inputs!E279</f>
        <v>0.3</v>
      </c>
      <c r="E963" s="76" t="s">
        <v>23</v>
      </c>
    </row>
    <row r="964" spans="3:40" outlineLevel="2">
      <c r="E964" s="76"/>
    </row>
    <row r="965" spans="3:40" outlineLevel="2">
      <c r="C965" s="266" t="s">
        <v>503</v>
      </c>
      <c r="E965" s="76" t="s">
        <v>13</v>
      </c>
      <c r="F965" s="23">
        <f>SUM(G965:AN965)</f>
        <v>8160</v>
      </c>
      <c r="G965" s="278">
        <f t="shared" ref="G965:AN965" si="795">$D$936</f>
        <v>240</v>
      </c>
      <c r="H965" s="278">
        <f t="shared" si="795"/>
        <v>240</v>
      </c>
      <c r="I965" s="278">
        <f t="shared" si="795"/>
        <v>240</v>
      </c>
      <c r="J965" s="278">
        <f t="shared" si="795"/>
        <v>240</v>
      </c>
      <c r="K965" s="278">
        <f t="shared" si="795"/>
        <v>240</v>
      </c>
      <c r="L965" s="278">
        <f t="shared" si="795"/>
        <v>240</v>
      </c>
      <c r="M965" s="278">
        <f t="shared" si="795"/>
        <v>240</v>
      </c>
      <c r="N965" s="278">
        <f t="shared" si="795"/>
        <v>240</v>
      </c>
      <c r="O965" s="278">
        <f t="shared" si="795"/>
        <v>240</v>
      </c>
      <c r="P965" s="278">
        <f t="shared" si="795"/>
        <v>240</v>
      </c>
      <c r="Q965" s="278">
        <f t="shared" si="795"/>
        <v>240</v>
      </c>
      <c r="R965" s="278">
        <f t="shared" si="795"/>
        <v>240</v>
      </c>
      <c r="S965" s="278">
        <f t="shared" si="795"/>
        <v>240</v>
      </c>
      <c r="T965" s="278">
        <f t="shared" si="795"/>
        <v>240</v>
      </c>
      <c r="U965" s="278">
        <f t="shared" si="795"/>
        <v>240</v>
      </c>
      <c r="V965" s="278">
        <f t="shared" si="795"/>
        <v>240</v>
      </c>
      <c r="W965" s="278">
        <f t="shared" si="795"/>
        <v>240</v>
      </c>
      <c r="X965" s="278">
        <f t="shared" si="795"/>
        <v>240</v>
      </c>
      <c r="Y965" s="278">
        <f t="shared" si="795"/>
        <v>240</v>
      </c>
      <c r="Z965" s="278">
        <f t="shared" si="795"/>
        <v>240</v>
      </c>
      <c r="AA965" s="278">
        <f t="shared" si="795"/>
        <v>240</v>
      </c>
      <c r="AB965" s="278">
        <f t="shared" si="795"/>
        <v>240</v>
      </c>
      <c r="AC965" s="278">
        <f t="shared" si="795"/>
        <v>240</v>
      </c>
      <c r="AD965" s="278">
        <f t="shared" si="795"/>
        <v>240</v>
      </c>
      <c r="AE965" s="278">
        <f t="shared" si="795"/>
        <v>240</v>
      </c>
      <c r="AF965" s="278">
        <f t="shared" si="795"/>
        <v>240</v>
      </c>
      <c r="AG965" s="278">
        <f t="shared" si="795"/>
        <v>240</v>
      </c>
      <c r="AH965" s="278">
        <f t="shared" si="795"/>
        <v>240</v>
      </c>
      <c r="AI965" s="278">
        <f t="shared" si="795"/>
        <v>240</v>
      </c>
      <c r="AJ965" s="278">
        <f t="shared" si="795"/>
        <v>240</v>
      </c>
      <c r="AK965" s="278">
        <f t="shared" si="795"/>
        <v>240</v>
      </c>
      <c r="AL965" s="278">
        <f t="shared" si="795"/>
        <v>240</v>
      </c>
      <c r="AM965" s="278">
        <f t="shared" si="795"/>
        <v>240</v>
      </c>
      <c r="AN965" s="278">
        <f t="shared" si="795"/>
        <v>240</v>
      </c>
    </row>
    <row r="966" spans="3:40" outlineLevel="2">
      <c r="E966" s="76"/>
    </row>
    <row r="967" spans="3:40" outlineLevel="2">
      <c r="C967" s="266" t="s">
        <v>517</v>
      </c>
      <c r="E967" s="76" t="s">
        <v>13</v>
      </c>
      <c r="F967" s="23">
        <f ca="1">SUM(G967:AN967)</f>
        <v>88595.650459257013</v>
      </c>
      <c r="G967" s="273">
        <f ca="1">DFs!G154</f>
        <v>-648.84854799737877</v>
      </c>
      <c r="H967" s="273">
        <f ca="1">DFs!H154</f>
        <v>-2044.3734997558727</v>
      </c>
      <c r="I967" s="273">
        <f ca="1">DFs!I154</f>
        <v>1656.6352395838385</v>
      </c>
      <c r="J967" s="273">
        <f ca="1">DFs!J154</f>
        <v>2071.7232290142183</v>
      </c>
      <c r="K967" s="273">
        <f ca="1">DFs!K154</f>
        <v>2556.2518325749611</v>
      </c>
      <c r="L967" s="273">
        <f ca="1">DFs!L154</f>
        <v>3118.0275728618308</v>
      </c>
      <c r="M967" s="273">
        <f ca="1">DFs!M154</f>
        <v>2293.3984447580069</v>
      </c>
      <c r="N967" s="273">
        <f ca="1">DFs!N154</f>
        <v>3745.2495686176226</v>
      </c>
      <c r="O967" s="273">
        <f ca="1">DFs!O154</f>
        <v>3526.7425033495274</v>
      </c>
      <c r="P967" s="273">
        <f ca="1">DFs!P154</f>
        <v>3639.7504804974615</v>
      </c>
      <c r="Q967" s="273">
        <f ca="1">DFs!Q154</f>
        <v>4117.1041069862131</v>
      </c>
      <c r="R967" s="273">
        <f ca="1">DFs!R154</f>
        <v>4325.4471239409377</v>
      </c>
      <c r="S967" s="273">
        <f ca="1">DFs!S154</f>
        <v>4558.2786129650076</v>
      </c>
      <c r="T967" s="273">
        <f ca="1">DFs!T154</f>
        <v>4796.0734962728166</v>
      </c>
      <c r="U967" s="273">
        <f ca="1">DFs!U154</f>
        <v>5370.990145205611</v>
      </c>
      <c r="V967" s="273">
        <f ca="1">DFs!V154</f>
        <v>5197.3393450853746</v>
      </c>
      <c r="W967" s="273">
        <f ca="1">DFs!W154</f>
        <v>5232.0910160985404</v>
      </c>
      <c r="X967" s="273">
        <f ca="1">DFs!X154</f>
        <v>5163.0842736602426</v>
      </c>
      <c r="Y967" s="273">
        <f ca="1">DFs!Y154</f>
        <v>4787.5906626283986</v>
      </c>
      <c r="Z967" s="273">
        <f ca="1">DFs!Z154</f>
        <v>4647.0248955402421</v>
      </c>
      <c r="AA967" s="273">
        <f ca="1">DFs!AA154</f>
        <v>4626.1888115164193</v>
      </c>
      <c r="AB967" s="273">
        <f ca="1">DFs!AB154</f>
        <v>4657.8388447159559</v>
      </c>
      <c r="AC967" s="273">
        <f ca="1">DFs!AC154</f>
        <v>3298.9903054855586</v>
      </c>
      <c r="AD967" s="273">
        <f ca="1">DFs!AD154</f>
        <v>3224.4423387984662</v>
      </c>
      <c r="AE967" s="273">
        <f ca="1">DFs!AE154</f>
        <v>3096.1117101575273</v>
      </c>
      <c r="AF967" s="273">
        <f ca="1">DFs!AF154</f>
        <v>3093.7880469083375</v>
      </c>
      <c r="AG967" s="273">
        <f ca="1">DFs!AG154</f>
        <v>2030.7432098666031</v>
      </c>
      <c r="AH967" s="273">
        <f ca="1">DFs!AH154</f>
        <v>1941.9782145446115</v>
      </c>
      <c r="AI967" s="273">
        <f ca="1">DFs!AI154</f>
        <v>850.3111328924897</v>
      </c>
      <c r="AJ967" s="273">
        <f ca="1">DFs!AJ154</f>
        <v>-6334.3226575165263</v>
      </c>
      <c r="AK967" s="273">
        <f ca="1">DFs!AK154</f>
        <v>0</v>
      </c>
      <c r="AL967" s="273">
        <f ca="1">DFs!AL154</f>
        <v>0</v>
      </c>
      <c r="AM967" s="273">
        <f ca="1">DFs!AM154</f>
        <v>0</v>
      </c>
      <c r="AN967" s="273">
        <f>DFs!AN154</f>
        <v>0</v>
      </c>
    </row>
    <row r="968" spans="3:40" outlineLevel="2">
      <c r="C968" s="266" t="s">
        <v>506</v>
      </c>
      <c r="E968" s="76" t="s">
        <v>13</v>
      </c>
      <c r="F968" s="23">
        <f ca="1">SUM(G968:AN968)</f>
        <v>-2693.2220477532514</v>
      </c>
      <c r="G968" s="273">
        <f t="shared" ref="G968:AN968" ca="1" si="796">G980</f>
        <v>0</v>
      </c>
      <c r="H968" s="273">
        <f t="shared" ca="1" si="796"/>
        <v>0</v>
      </c>
      <c r="I968" s="273">
        <f t="shared" ca="1" si="796"/>
        <v>-496.99057187515155</v>
      </c>
      <c r="J968" s="273">
        <f t="shared" ca="1" si="796"/>
        <v>-621.51696870426542</v>
      </c>
      <c r="K968" s="273">
        <f t="shared" ca="1" si="796"/>
        <v>-766.87554977248828</v>
      </c>
      <c r="L968" s="273">
        <f t="shared" ca="1" si="796"/>
        <v>-807.83895740134631</v>
      </c>
      <c r="M968" s="273">
        <f t="shared" ca="1" si="796"/>
        <v>0</v>
      </c>
      <c r="N968" s="273">
        <f t="shared" ca="1" si="796"/>
        <v>0</v>
      </c>
      <c r="O968" s="273">
        <f t="shared" ca="1" si="796"/>
        <v>0</v>
      </c>
      <c r="P968" s="273">
        <f t="shared" ca="1" si="796"/>
        <v>0</v>
      </c>
      <c r="Q968" s="273">
        <f t="shared" ca="1" si="796"/>
        <v>0</v>
      </c>
      <c r="R968" s="273">
        <f t="shared" ca="1" si="796"/>
        <v>0</v>
      </c>
      <c r="S968" s="273">
        <f t="shared" ca="1" si="796"/>
        <v>0</v>
      </c>
      <c r="T968" s="273">
        <f t="shared" ca="1" si="796"/>
        <v>0</v>
      </c>
      <c r="U968" s="273">
        <f t="shared" ca="1" si="796"/>
        <v>0</v>
      </c>
      <c r="V968" s="273">
        <f t="shared" ca="1" si="796"/>
        <v>0</v>
      </c>
      <c r="W968" s="273">
        <f t="shared" ca="1" si="796"/>
        <v>0</v>
      </c>
      <c r="X968" s="273">
        <f t="shared" ca="1" si="796"/>
        <v>0</v>
      </c>
      <c r="Y968" s="273">
        <f t="shared" ca="1" si="796"/>
        <v>0</v>
      </c>
      <c r="Z968" s="273">
        <f t="shared" ca="1" si="796"/>
        <v>0</v>
      </c>
      <c r="AA968" s="273">
        <f t="shared" ca="1" si="796"/>
        <v>0</v>
      </c>
      <c r="AB968" s="273">
        <f t="shared" ca="1" si="796"/>
        <v>0</v>
      </c>
      <c r="AC968" s="273">
        <f t="shared" ca="1" si="796"/>
        <v>0</v>
      </c>
      <c r="AD968" s="273">
        <f t="shared" ca="1" si="796"/>
        <v>0</v>
      </c>
      <c r="AE968" s="273">
        <f t="shared" ca="1" si="796"/>
        <v>0</v>
      </c>
      <c r="AF968" s="273">
        <f t="shared" ca="1" si="796"/>
        <v>0</v>
      </c>
      <c r="AG968" s="273">
        <f t="shared" ca="1" si="796"/>
        <v>0</v>
      </c>
      <c r="AH968" s="273">
        <f t="shared" ca="1" si="796"/>
        <v>0</v>
      </c>
      <c r="AI968" s="273">
        <f t="shared" ca="1" si="796"/>
        <v>0</v>
      </c>
      <c r="AJ968" s="273">
        <f t="shared" ca="1" si="796"/>
        <v>0</v>
      </c>
      <c r="AK968" s="273">
        <f t="shared" ca="1" si="796"/>
        <v>0</v>
      </c>
      <c r="AL968" s="273">
        <f t="shared" ca="1" si="796"/>
        <v>0</v>
      </c>
      <c r="AM968" s="273">
        <f t="shared" ca="1" si="796"/>
        <v>0</v>
      </c>
      <c r="AN968" s="273">
        <f t="shared" ca="1" si="796"/>
        <v>0</v>
      </c>
    </row>
    <row r="969" spans="3:40" outlineLevel="2">
      <c r="E969" s="76"/>
    </row>
    <row r="970" spans="3:40" outlineLevel="2">
      <c r="C970" s="266" t="s">
        <v>507</v>
      </c>
      <c r="E970" s="76" t="s">
        <v>13</v>
      </c>
      <c r="F970" s="23">
        <f ca="1">SUM(G970:AN970)</f>
        <v>94929.973116773544</v>
      </c>
      <c r="G970" s="278">
        <f t="shared" ref="G970:AM970" ca="1" si="797">IF(G967&gt;0,SUM(G967:G968),0)</f>
        <v>0</v>
      </c>
      <c r="H970" s="278">
        <f t="shared" ca="1" si="797"/>
        <v>0</v>
      </c>
      <c r="I970" s="278">
        <f t="shared" ca="1" si="797"/>
        <v>1159.6446677086869</v>
      </c>
      <c r="J970" s="278">
        <f t="shared" ca="1" si="797"/>
        <v>1450.206260309953</v>
      </c>
      <c r="K970" s="278">
        <f t="shared" ca="1" si="797"/>
        <v>1789.3762828024728</v>
      </c>
      <c r="L970" s="278">
        <f t="shared" ca="1" si="797"/>
        <v>2310.1886154604845</v>
      </c>
      <c r="M970" s="278">
        <f t="shared" ca="1" si="797"/>
        <v>2293.3984447580069</v>
      </c>
      <c r="N970" s="278">
        <f t="shared" ca="1" si="797"/>
        <v>3745.2495686176226</v>
      </c>
      <c r="O970" s="278">
        <f t="shared" ca="1" si="797"/>
        <v>3526.7425033495274</v>
      </c>
      <c r="P970" s="278">
        <f t="shared" ca="1" si="797"/>
        <v>3639.7504804974615</v>
      </c>
      <c r="Q970" s="278">
        <f t="shared" ca="1" si="797"/>
        <v>4117.1041069862131</v>
      </c>
      <c r="R970" s="278">
        <f t="shared" ca="1" si="797"/>
        <v>4325.4471239409377</v>
      </c>
      <c r="S970" s="278">
        <f t="shared" ca="1" si="797"/>
        <v>4558.2786129650076</v>
      </c>
      <c r="T970" s="278">
        <f t="shared" ca="1" si="797"/>
        <v>4796.0734962728166</v>
      </c>
      <c r="U970" s="278">
        <f t="shared" ca="1" si="797"/>
        <v>5370.990145205611</v>
      </c>
      <c r="V970" s="278">
        <f t="shared" ca="1" si="797"/>
        <v>5197.3393450853746</v>
      </c>
      <c r="W970" s="278">
        <f t="shared" ca="1" si="797"/>
        <v>5232.0910160985404</v>
      </c>
      <c r="X970" s="278">
        <f t="shared" ca="1" si="797"/>
        <v>5163.0842736602426</v>
      </c>
      <c r="Y970" s="278">
        <f t="shared" ca="1" si="797"/>
        <v>4787.5906626283986</v>
      </c>
      <c r="Z970" s="278">
        <f t="shared" ca="1" si="797"/>
        <v>4647.0248955402421</v>
      </c>
      <c r="AA970" s="278">
        <f t="shared" ca="1" si="797"/>
        <v>4626.1888115164193</v>
      </c>
      <c r="AB970" s="278">
        <f t="shared" ca="1" si="797"/>
        <v>4657.8388447159559</v>
      </c>
      <c r="AC970" s="278">
        <f t="shared" ca="1" si="797"/>
        <v>3298.9903054855586</v>
      </c>
      <c r="AD970" s="278">
        <f t="shared" ca="1" si="797"/>
        <v>3224.4423387984662</v>
      </c>
      <c r="AE970" s="278">
        <f t="shared" ca="1" si="797"/>
        <v>3096.1117101575273</v>
      </c>
      <c r="AF970" s="278">
        <f t="shared" ca="1" si="797"/>
        <v>3093.7880469083375</v>
      </c>
      <c r="AG970" s="278">
        <f t="shared" ca="1" si="797"/>
        <v>2030.7432098666031</v>
      </c>
      <c r="AH970" s="278">
        <f t="shared" ca="1" si="797"/>
        <v>1941.9782145446115</v>
      </c>
      <c r="AI970" s="278">
        <f t="shared" ca="1" si="797"/>
        <v>850.3111328924897</v>
      </c>
      <c r="AJ970" s="278">
        <f t="shared" ca="1" si="797"/>
        <v>0</v>
      </c>
      <c r="AK970" s="278">
        <f t="shared" ca="1" si="797"/>
        <v>0</v>
      </c>
      <c r="AL970" s="278">
        <f t="shared" ca="1" si="797"/>
        <v>0</v>
      </c>
      <c r="AM970" s="278">
        <f t="shared" ca="1" si="797"/>
        <v>0</v>
      </c>
      <c r="AN970" s="278">
        <f t="shared" ref="AN970" si="798">IF(AN967&gt;0,SUM(AN967:AN968),0)</f>
        <v>0</v>
      </c>
    </row>
    <row r="971" spans="3:40" outlineLevel="2">
      <c r="D971" s="266"/>
      <c r="E971" s="309"/>
    </row>
    <row r="972" spans="3:40" outlineLevel="2">
      <c r="C972" s="266" t="s">
        <v>508</v>
      </c>
      <c r="D972" s="266"/>
      <c r="E972" s="76" t="s">
        <v>13</v>
      </c>
      <c r="F972" s="23">
        <f ca="1">SUM(G972:AN972)</f>
        <v>-14239.495967516037</v>
      </c>
      <c r="G972" s="273">
        <f t="shared" ref="G972:AN972" ca="1" si="799">G970*-$D$934</f>
        <v>0</v>
      </c>
      <c r="H972" s="273">
        <f t="shared" ca="1" si="799"/>
        <v>0</v>
      </c>
      <c r="I972" s="273">
        <f t="shared" ca="1" si="799"/>
        <v>-173.94670015630302</v>
      </c>
      <c r="J972" s="273">
        <f t="shared" ca="1" si="799"/>
        <v>-217.53093904649293</v>
      </c>
      <c r="K972" s="273">
        <f t="shared" ca="1" si="799"/>
        <v>-268.40644242037092</v>
      </c>
      <c r="L972" s="273">
        <f t="shared" ca="1" si="799"/>
        <v>-346.52829231907265</v>
      </c>
      <c r="M972" s="273">
        <f t="shared" ca="1" si="799"/>
        <v>-344.00976671370103</v>
      </c>
      <c r="N972" s="273">
        <f t="shared" ca="1" si="799"/>
        <v>-561.78743529264341</v>
      </c>
      <c r="O972" s="273">
        <f t="shared" ca="1" si="799"/>
        <v>-529.01137550242913</v>
      </c>
      <c r="P972" s="273">
        <f t="shared" ca="1" si="799"/>
        <v>-545.96257207461917</v>
      </c>
      <c r="Q972" s="273">
        <f t="shared" ca="1" si="799"/>
        <v>-617.56561604793194</v>
      </c>
      <c r="R972" s="273">
        <f t="shared" ca="1" si="799"/>
        <v>-648.81706859114058</v>
      </c>
      <c r="S972" s="273">
        <f t="shared" ca="1" si="799"/>
        <v>-683.74179194475107</v>
      </c>
      <c r="T972" s="273">
        <f t="shared" ca="1" si="799"/>
        <v>-719.41102444092246</v>
      </c>
      <c r="U972" s="273">
        <f t="shared" ca="1" si="799"/>
        <v>-805.64852178084163</v>
      </c>
      <c r="V972" s="273">
        <f t="shared" ca="1" si="799"/>
        <v>-779.60090176280619</v>
      </c>
      <c r="W972" s="273">
        <f t="shared" ca="1" si="799"/>
        <v>-784.81365241478102</v>
      </c>
      <c r="X972" s="273">
        <f t="shared" ca="1" si="799"/>
        <v>-774.46264104903639</v>
      </c>
      <c r="Y972" s="273">
        <f t="shared" ca="1" si="799"/>
        <v>-718.13859939425981</v>
      </c>
      <c r="Z972" s="273">
        <f t="shared" ca="1" si="799"/>
        <v>-697.05373433103625</v>
      </c>
      <c r="AA972" s="273">
        <f t="shared" ca="1" si="799"/>
        <v>-693.92832172746284</v>
      </c>
      <c r="AB972" s="273">
        <f t="shared" ca="1" si="799"/>
        <v>-698.67582670739341</v>
      </c>
      <c r="AC972" s="273">
        <f t="shared" ca="1" si="799"/>
        <v>-494.84854582283378</v>
      </c>
      <c r="AD972" s="273">
        <f t="shared" ca="1" si="799"/>
        <v>-483.66635081976989</v>
      </c>
      <c r="AE972" s="273">
        <f t="shared" ca="1" si="799"/>
        <v>-464.41675652362909</v>
      </c>
      <c r="AF972" s="273">
        <f t="shared" ca="1" si="799"/>
        <v>-464.06820703625061</v>
      </c>
      <c r="AG972" s="273">
        <f t="shared" ca="1" si="799"/>
        <v>-304.61148147999046</v>
      </c>
      <c r="AH972" s="273">
        <f t="shared" ca="1" si="799"/>
        <v>-291.29673218169171</v>
      </c>
      <c r="AI972" s="273">
        <f t="shared" ca="1" si="799"/>
        <v>-127.54666993387345</v>
      </c>
      <c r="AJ972" s="273">
        <f t="shared" ca="1" si="799"/>
        <v>0</v>
      </c>
      <c r="AK972" s="273">
        <f t="shared" ca="1" si="799"/>
        <v>0</v>
      </c>
      <c r="AL972" s="273">
        <f t="shared" ca="1" si="799"/>
        <v>0</v>
      </c>
      <c r="AM972" s="273">
        <f t="shared" ca="1" si="799"/>
        <v>0</v>
      </c>
      <c r="AN972" s="273">
        <f t="shared" si="799"/>
        <v>0</v>
      </c>
    </row>
    <row r="973" spans="3:40" outlineLevel="2">
      <c r="C973" s="266" t="s">
        <v>509</v>
      </c>
      <c r="D973" s="266"/>
      <c r="E973" s="76" t="s">
        <v>13</v>
      </c>
      <c r="F973" s="23">
        <f ca="1">SUM(G973:AN973)</f>
        <v>-8543.697580509619</v>
      </c>
      <c r="G973" s="273">
        <f t="shared" ref="G973:AN973" ca="1" si="800">G970*-$D$937</f>
        <v>0</v>
      </c>
      <c r="H973" s="273">
        <f t="shared" ca="1" si="800"/>
        <v>0</v>
      </c>
      <c r="I973" s="273">
        <f t="shared" ca="1" si="800"/>
        <v>-104.36802009378182</v>
      </c>
      <c r="J973" s="273">
        <f t="shared" ca="1" si="800"/>
        <v>-130.51856342789577</v>
      </c>
      <c r="K973" s="273">
        <f t="shared" ca="1" si="800"/>
        <v>-161.04386545222255</v>
      </c>
      <c r="L973" s="273">
        <f t="shared" ca="1" si="800"/>
        <v>-207.9169753914436</v>
      </c>
      <c r="M973" s="273">
        <f t="shared" ca="1" si="800"/>
        <v>-206.40586002822062</v>
      </c>
      <c r="N973" s="273">
        <f t="shared" ca="1" si="800"/>
        <v>-337.072461175586</v>
      </c>
      <c r="O973" s="273">
        <f t="shared" ca="1" si="800"/>
        <v>-317.40682530145745</v>
      </c>
      <c r="P973" s="273">
        <f t="shared" ca="1" si="800"/>
        <v>-327.5775432447715</v>
      </c>
      <c r="Q973" s="273">
        <f t="shared" ca="1" si="800"/>
        <v>-370.53936962875918</v>
      </c>
      <c r="R973" s="273">
        <f t="shared" ca="1" si="800"/>
        <v>-389.2902411546844</v>
      </c>
      <c r="S973" s="273">
        <f t="shared" ca="1" si="800"/>
        <v>-410.24507516685065</v>
      </c>
      <c r="T973" s="273">
        <f t="shared" ca="1" si="800"/>
        <v>-431.64661466455345</v>
      </c>
      <c r="U973" s="273">
        <f t="shared" ca="1" si="800"/>
        <v>-483.38911306850497</v>
      </c>
      <c r="V973" s="273">
        <f t="shared" ca="1" si="800"/>
        <v>-467.76054105768367</v>
      </c>
      <c r="W973" s="273">
        <f t="shared" ca="1" si="800"/>
        <v>-470.88819144886861</v>
      </c>
      <c r="X973" s="273">
        <f t="shared" ca="1" si="800"/>
        <v>-464.6775846294218</v>
      </c>
      <c r="Y973" s="273">
        <f t="shared" ca="1" si="800"/>
        <v>-430.88315963655583</v>
      </c>
      <c r="Z973" s="273">
        <f t="shared" ca="1" si="800"/>
        <v>-418.23224059862179</v>
      </c>
      <c r="AA973" s="273">
        <f t="shared" ca="1" si="800"/>
        <v>-416.35699303647772</v>
      </c>
      <c r="AB973" s="273">
        <f t="shared" ca="1" si="800"/>
        <v>-419.205496024436</v>
      </c>
      <c r="AC973" s="273">
        <f t="shared" ca="1" si="800"/>
        <v>-296.90912749370028</v>
      </c>
      <c r="AD973" s="273">
        <f t="shared" ca="1" si="800"/>
        <v>-290.19981049186197</v>
      </c>
      <c r="AE973" s="273">
        <f t="shared" ca="1" si="800"/>
        <v>-278.65005391417748</v>
      </c>
      <c r="AF973" s="273">
        <f t="shared" ca="1" si="800"/>
        <v>-278.44092422175038</v>
      </c>
      <c r="AG973" s="273">
        <f t="shared" ca="1" si="800"/>
        <v>-182.76688888799427</v>
      </c>
      <c r="AH973" s="273">
        <f t="shared" ca="1" si="800"/>
        <v>-174.77803930901504</v>
      </c>
      <c r="AI973" s="273">
        <f t="shared" ca="1" si="800"/>
        <v>-76.528001960324076</v>
      </c>
      <c r="AJ973" s="273">
        <f t="shared" ca="1" si="800"/>
        <v>0</v>
      </c>
      <c r="AK973" s="273">
        <f t="shared" ca="1" si="800"/>
        <v>0</v>
      </c>
      <c r="AL973" s="273">
        <f t="shared" ca="1" si="800"/>
        <v>0</v>
      </c>
      <c r="AM973" s="273">
        <f t="shared" ca="1" si="800"/>
        <v>0</v>
      </c>
      <c r="AN973" s="273">
        <f t="shared" si="800"/>
        <v>0</v>
      </c>
    </row>
    <row r="974" spans="3:40" outlineLevel="2">
      <c r="C974" s="266" t="s">
        <v>311</v>
      </c>
      <c r="D974" s="266"/>
      <c r="E974" s="76" t="s">
        <v>13</v>
      </c>
      <c r="F974" s="23">
        <f ca="1">SUM(G974:AN974)</f>
        <v>-8844.9973116773563</v>
      </c>
      <c r="G974" s="273">
        <f t="shared" ref="G974:AM974" ca="1" si="801">IF(G970&gt;G965,(G970-G965)*-$D$935,0)</f>
        <v>0</v>
      </c>
      <c r="H974" s="273">
        <f t="shared" ca="1" si="801"/>
        <v>0</v>
      </c>
      <c r="I974" s="273">
        <f t="shared" ca="1" si="801"/>
        <v>-91.964466770868697</v>
      </c>
      <c r="J974" s="273">
        <f t="shared" ca="1" si="801"/>
        <v>-121.0206260309953</v>
      </c>
      <c r="K974" s="273">
        <f t="shared" ca="1" si="801"/>
        <v>-154.93762828024728</v>
      </c>
      <c r="L974" s="273">
        <f t="shared" ca="1" si="801"/>
        <v>-207.01886154604847</v>
      </c>
      <c r="M974" s="273">
        <f t="shared" ca="1" si="801"/>
        <v>-205.3398444758007</v>
      </c>
      <c r="N974" s="273">
        <f t="shared" ca="1" si="801"/>
        <v>-350.52495686176229</v>
      </c>
      <c r="O974" s="273">
        <f t="shared" ca="1" si="801"/>
        <v>-328.67425033495277</v>
      </c>
      <c r="P974" s="273">
        <f t="shared" ca="1" si="801"/>
        <v>-339.97504804974619</v>
      </c>
      <c r="Q974" s="273">
        <f t="shared" ca="1" si="801"/>
        <v>-387.71041069862133</v>
      </c>
      <c r="R974" s="273">
        <f t="shared" ca="1" si="801"/>
        <v>-408.54471239409378</v>
      </c>
      <c r="S974" s="273">
        <f t="shared" ca="1" si="801"/>
        <v>-431.82786129650077</v>
      </c>
      <c r="T974" s="273">
        <f t="shared" ca="1" si="801"/>
        <v>-455.60734962728168</v>
      </c>
      <c r="U974" s="273">
        <f t="shared" ca="1" si="801"/>
        <v>-513.09901452056113</v>
      </c>
      <c r="V974" s="273">
        <f t="shared" ca="1" si="801"/>
        <v>-495.73393450853746</v>
      </c>
      <c r="W974" s="273">
        <f t="shared" ca="1" si="801"/>
        <v>-499.20910160985409</v>
      </c>
      <c r="X974" s="273">
        <f t="shared" ca="1" si="801"/>
        <v>-492.30842736602426</v>
      </c>
      <c r="Y974" s="273">
        <f t="shared" ca="1" si="801"/>
        <v>-454.75906626283989</v>
      </c>
      <c r="Z974" s="273">
        <f t="shared" ca="1" si="801"/>
        <v>-440.70248955402423</v>
      </c>
      <c r="AA974" s="273">
        <f t="shared" ca="1" si="801"/>
        <v>-438.61888115164197</v>
      </c>
      <c r="AB974" s="273">
        <f t="shared" ca="1" si="801"/>
        <v>-441.78388447159563</v>
      </c>
      <c r="AC974" s="273">
        <f t="shared" ca="1" si="801"/>
        <v>-305.89903054855586</v>
      </c>
      <c r="AD974" s="273">
        <f t="shared" ca="1" si="801"/>
        <v>-298.44423387984665</v>
      </c>
      <c r="AE974" s="273">
        <f t="shared" ca="1" si="801"/>
        <v>-285.61117101575275</v>
      </c>
      <c r="AF974" s="273">
        <f t="shared" ca="1" si="801"/>
        <v>-285.37880469083376</v>
      </c>
      <c r="AG974" s="273">
        <f t="shared" ca="1" si="801"/>
        <v>-179.07432098666033</v>
      </c>
      <c r="AH974" s="273">
        <f t="shared" ca="1" si="801"/>
        <v>-170.19782145446118</v>
      </c>
      <c r="AI974" s="273">
        <f t="shared" ca="1" si="801"/>
        <v>-61.031113289248971</v>
      </c>
      <c r="AJ974" s="273">
        <f t="shared" ca="1" si="801"/>
        <v>0</v>
      </c>
      <c r="AK974" s="273">
        <f t="shared" ca="1" si="801"/>
        <v>0</v>
      </c>
      <c r="AL974" s="273">
        <f t="shared" ca="1" si="801"/>
        <v>0</v>
      </c>
      <c r="AM974" s="273">
        <f t="shared" ca="1" si="801"/>
        <v>0</v>
      </c>
      <c r="AN974" s="273">
        <f t="shared" ref="AN974" si="802">IF(AN970&gt;AN965,(AN970-AN965)*-$D$935,0)</f>
        <v>0</v>
      </c>
    </row>
    <row r="975" spans="3:40" outlineLevel="2">
      <c r="D975" s="266"/>
      <c r="E975" s="309"/>
    </row>
    <row r="976" spans="3:40" outlineLevel="2">
      <c r="C976" s="266" t="s">
        <v>510</v>
      </c>
      <c r="D976" s="266"/>
      <c r="E976" s="76" t="s">
        <v>13</v>
      </c>
      <c r="F976" s="23">
        <f ca="1">SUM(G976:AN976)</f>
        <v>-31628.190859703012</v>
      </c>
      <c r="G976" s="278">
        <f t="shared" ref="G976:AM976" ca="1" si="803">SUM(G972:G975)</f>
        <v>0</v>
      </c>
      <c r="H976" s="278">
        <f ca="1">SUM(H972:H975)</f>
        <v>0</v>
      </c>
      <c r="I976" s="278">
        <f t="shared" ca="1" si="803"/>
        <v>-370.27918702095354</v>
      </c>
      <c r="J976" s="278">
        <f t="shared" ca="1" si="803"/>
        <v>-469.07012850538399</v>
      </c>
      <c r="K976" s="278">
        <f t="shared" ca="1" si="803"/>
        <v>-584.38793615284078</v>
      </c>
      <c r="L976" s="278">
        <f t="shared" ca="1" si="803"/>
        <v>-761.46412925656466</v>
      </c>
      <c r="M976" s="278">
        <f t="shared" ca="1" si="803"/>
        <v>-755.75547121772229</v>
      </c>
      <c r="N976" s="278">
        <f t="shared" ca="1" si="803"/>
        <v>-1249.3848533299918</v>
      </c>
      <c r="O976" s="278">
        <f t="shared" ca="1" si="803"/>
        <v>-1175.0924511388394</v>
      </c>
      <c r="P976" s="278">
        <f t="shared" ca="1" si="803"/>
        <v>-1213.5151633691369</v>
      </c>
      <c r="Q976" s="278">
        <f t="shared" ca="1" si="803"/>
        <v>-1375.8153963753125</v>
      </c>
      <c r="R976" s="278">
        <f t="shared" ca="1" si="803"/>
        <v>-1446.6520221399187</v>
      </c>
      <c r="S976" s="278">
        <f t="shared" ca="1" si="803"/>
        <v>-1525.8147284081024</v>
      </c>
      <c r="T976" s="278">
        <f t="shared" ca="1" si="803"/>
        <v>-1606.6649887327576</v>
      </c>
      <c r="U976" s="278">
        <f t="shared" ca="1" si="803"/>
        <v>-1802.1366493699079</v>
      </c>
      <c r="V976" s="278">
        <f t="shared" ca="1" si="803"/>
        <v>-1743.0953773290273</v>
      </c>
      <c r="W976" s="278">
        <f t="shared" ca="1" si="803"/>
        <v>-1754.9109454735037</v>
      </c>
      <c r="X976" s="278">
        <f t="shared" ca="1" si="803"/>
        <v>-1731.4486530444824</v>
      </c>
      <c r="Y976" s="278">
        <f t="shared" ca="1" si="803"/>
        <v>-1603.7808252936557</v>
      </c>
      <c r="Z976" s="278">
        <f t="shared" ca="1" si="803"/>
        <v>-1555.9884644836823</v>
      </c>
      <c r="AA976" s="278">
        <f t="shared" ca="1" si="803"/>
        <v>-1548.9041959155825</v>
      </c>
      <c r="AB976" s="278">
        <f t="shared" ca="1" si="803"/>
        <v>-1559.6652072034251</v>
      </c>
      <c r="AC976" s="278">
        <f t="shared" ca="1" si="803"/>
        <v>-1097.6567038650899</v>
      </c>
      <c r="AD976" s="278">
        <f t="shared" ca="1" si="803"/>
        <v>-1072.3103951914786</v>
      </c>
      <c r="AE976" s="278">
        <f t="shared" ca="1" si="803"/>
        <v>-1028.6779814535594</v>
      </c>
      <c r="AF976" s="278">
        <f t="shared" ca="1" si="803"/>
        <v>-1027.8879359488346</v>
      </c>
      <c r="AG976" s="278">
        <f t="shared" ca="1" si="803"/>
        <v>-666.45269135464514</v>
      </c>
      <c r="AH976" s="278">
        <f t="shared" ca="1" si="803"/>
        <v>-636.27259294516796</v>
      </c>
      <c r="AI976" s="278">
        <f t="shared" ca="1" si="803"/>
        <v>-265.10578518344653</v>
      </c>
      <c r="AJ976" s="278">
        <f t="shared" ca="1" si="803"/>
        <v>0</v>
      </c>
      <c r="AK976" s="278">
        <f t="shared" ca="1" si="803"/>
        <v>0</v>
      </c>
      <c r="AL976" s="278">
        <f t="shared" ca="1" si="803"/>
        <v>0</v>
      </c>
      <c r="AM976" s="278">
        <f t="shared" ca="1" si="803"/>
        <v>0</v>
      </c>
      <c r="AN976" s="278">
        <f t="shared" ref="AN976" si="804">SUM(AN972:AN975)</f>
        <v>0</v>
      </c>
    </row>
    <row r="977" spans="3:40" outlineLevel="2">
      <c r="E977" s="76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</row>
    <row r="978" spans="3:40" outlineLevel="2">
      <c r="C978" s="270" t="s">
        <v>511</v>
      </c>
      <c r="D978" s="81"/>
      <c r="E978" s="204" t="s">
        <v>13</v>
      </c>
      <c r="F978" s="270"/>
      <c r="G978" s="327">
        <f t="shared" ref="G978" si="805">F981</f>
        <v>0</v>
      </c>
      <c r="H978" s="327">
        <f t="shared" ref="H978:AN978" ca="1" si="806">G981</f>
        <v>648.84854799737877</v>
      </c>
      <c r="I978" s="327">
        <f t="shared" ca="1" si="806"/>
        <v>2693.2220477532514</v>
      </c>
      <c r="J978" s="327">
        <f t="shared" ca="1" si="806"/>
        <v>2196.2314758780999</v>
      </c>
      <c r="K978" s="327">
        <f t="shared" ca="1" si="806"/>
        <v>1574.7145071738346</v>
      </c>
      <c r="L978" s="327">
        <f t="shared" ca="1" si="806"/>
        <v>807.83895740134631</v>
      </c>
      <c r="M978" s="327">
        <f t="shared" ca="1" si="806"/>
        <v>0</v>
      </c>
      <c r="N978" s="327">
        <f t="shared" ca="1" si="806"/>
        <v>0</v>
      </c>
      <c r="O978" s="327">
        <f t="shared" ca="1" si="806"/>
        <v>0</v>
      </c>
      <c r="P978" s="327">
        <f t="shared" ca="1" si="806"/>
        <v>0</v>
      </c>
      <c r="Q978" s="327">
        <f t="shared" ca="1" si="806"/>
        <v>0</v>
      </c>
      <c r="R978" s="327">
        <f t="shared" ca="1" si="806"/>
        <v>0</v>
      </c>
      <c r="S978" s="327">
        <f t="shared" ca="1" si="806"/>
        <v>0</v>
      </c>
      <c r="T978" s="327">
        <f t="shared" ca="1" si="806"/>
        <v>0</v>
      </c>
      <c r="U978" s="327">
        <f t="shared" ca="1" si="806"/>
        <v>0</v>
      </c>
      <c r="V978" s="327">
        <f t="shared" ca="1" si="806"/>
        <v>0</v>
      </c>
      <c r="W978" s="327">
        <f t="shared" ca="1" si="806"/>
        <v>0</v>
      </c>
      <c r="X978" s="327">
        <f t="shared" ca="1" si="806"/>
        <v>0</v>
      </c>
      <c r="Y978" s="327">
        <f t="shared" ca="1" si="806"/>
        <v>0</v>
      </c>
      <c r="Z978" s="327">
        <f t="shared" ca="1" si="806"/>
        <v>0</v>
      </c>
      <c r="AA978" s="327">
        <f t="shared" ca="1" si="806"/>
        <v>0</v>
      </c>
      <c r="AB978" s="327">
        <f t="shared" ca="1" si="806"/>
        <v>0</v>
      </c>
      <c r="AC978" s="327">
        <f t="shared" ca="1" si="806"/>
        <v>0</v>
      </c>
      <c r="AD978" s="327">
        <f t="shared" ca="1" si="806"/>
        <v>0</v>
      </c>
      <c r="AE978" s="327">
        <f t="shared" ca="1" si="806"/>
        <v>0</v>
      </c>
      <c r="AF978" s="327">
        <f t="shared" ca="1" si="806"/>
        <v>0</v>
      </c>
      <c r="AG978" s="327">
        <f t="shared" ca="1" si="806"/>
        <v>0</v>
      </c>
      <c r="AH978" s="327">
        <f t="shared" ca="1" si="806"/>
        <v>0</v>
      </c>
      <c r="AI978" s="327">
        <f t="shared" ca="1" si="806"/>
        <v>0</v>
      </c>
      <c r="AJ978" s="327">
        <f t="shared" ca="1" si="806"/>
        <v>0</v>
      </c>
      <c r="AK978" s="327">
        <f t="shared" ca="1" si="806"/>
        <v>6334.3226575165263</v>
      </c>
      <c r="AL978" s="327">
        <f t="shared" ca="1" si="806"/>
        <v>6334.3226575165263</v>
      </c>
      <c r="AM978" s="327">
        <f t="shared" ca="1" si="806"/>
        <v>6334.3226575165263</v>
      </c>
      <c r="AN978" s="327">
        <f t="shared" ca="1" si="806"/>
        <v>6334.3226575165263</v>
      </c>
    </row>
    <row r="979" spans="3:40" outlineLevel="2">
      <c r="C979" s="266" t="s">
        <v>512</v>
      </c>
      <c r="E979" s="76" t="s">
        <v>13</v>
      </c>
      <c r="G979" s="273">
        <f t="shared" ref="G979:AM979" ca="1" si="807">IF(G967&lt;0,-G967,0)</f>
        <v>648.84854799737877</v>
      </c>
      <c r="H979" s="273">
        <f t="shared" ca="1" si="807"/>
        <v>2044.3734997558727</v>
      </c>
      <c r="I979" s="273">
        <f t="shared" ca="1" si="807"/>
        <v>0</v>
      </c>
      <c r="J979" s="273">
        <f t="shared" ca="1" si="807"/>
        <v>0</v>
      </c>
      <c r="K979" s="273">
        <f t="shared" ca="1" si="807"/>
        <v>0</v>
      </c>
      <c r="L979" s="273">
        <f t="shared" ca="1" si="807"/>
        <v>0</v>
      </c>
      <c r="M979" s="273">
        <f t="shared" ca="1" si="807"/>
        <v>0</v>
      </c>
      <c r="N979" s="273">
        <f t="shared" ca="1" si="807"/>
        <v>0</v>
      </c>
      <c r="O979" s="273">
        <f t="shared" ca="1" si="807"/>
        <v>0</v>
      </c>
      <c r="P979" s="273">
        <f t="shared" ca="1" si="807"/>
        <v>0</v>
      </c>
      <c r="Q979" s="273">
        <f t="shared" ca="1" si="807"/>
        <v>0</v>
      </c>
      <c r="R979" s="273">
        <f t="shared" ca="1" si="807"/>
        <v>0</v>
      </c>
      <c r="S979" s="273">
        <f t="shared" ca="1" si="807"/>
        <v>0</v>
      </c>
      <c r="T979" s="273">
        <f t="shared" ca="1" si="807"/>
        <v>0</v>
      </c>
      <c r="U979" s="273">
        <f t="shared" ca="1" si="807"/>
        <v>0</v>
      </c>
      <c r="V979" s="273">
        <f t="shared" ca="1" si="807"/>
        <v>0</v>
      </c>
      <c r="W979" s="273">
        <f t="shared" ca="1" si="807"/>
        <v>0</v>
      </c>
      <c r="X979" s="273">
        <f t="shared" ca="1" si="807"/>
        <v>0</v>
      </c>
      <c r="Y979" s="273">
        <f t="shared" ca="1" si="807"/>
        <v>0</v>
      </c>
      <c r="Z979" s="273">
        <f t="shared" ca="1" si="807"/>
        <v>0</v>
      </c>
      <c r="AA979" s="273">
        <f t="shared" ca="1" si="807"/>
        <v>0</v>
      </c>
      <c r="AB979" s="273">
        <f t="shared" ca="1" si="807"/>
        <v>0</v>
      </c>
      <c r="AC979" s="273">
        <f t="shared" ca="1" si="807"/>
        <v>0</v>
      </c>
      <c r="AD979" s="273">
        <f t="shared" ca="1" si="807"/>
        <v>0</v>
      </c>
      <c r="AE979" s="273">
        <f t="shared" ca="1" si="807"/>
        <v>0</v>
      </c>
      <c r="AF979" s="273">
        <f t="shared" ca="1" si="807"/>
        <v>0</v>
      </c>
      <c r="AG979" s="273">
        <f t="shared" ca="1" si="807"/>
        <v>0</v>
      </c>
      <c r="AH979" s="273">
        <f t="shared" ca="1" si="807"/>
        <v>0</v>
      </c>
      <c r="AI979" s="273">
        <f t="shared" ca="1" si="807"/>
        <v>0</v>
      </c>
      <c r="AJ979" s="273">
        <f t="shared" ca="1" si="807"/>
        <v>6334.3226575165263</v>
      </c>
      <c r="AK979" s="273">
        <f t="shared" ca="1" si="807"/>
        <v>0</v>
      </c>
      <c r="AL979" s="273">
        <f t="shared" ca="1" si="807"/>
        <v>0</v>
      </c>
      <c r="AM979" s="273">
        <f t="shared" ca="1" si="807"/>
        <v>0</v>
      </c>
      <c r="AN979" s="273">
        <f t="shared" ref="AN979" si="808">IF(AN967&lt;0,-AN967,0)</f>
        <v>0</v>
      </c>
    </row>
    <row r="980" spans="3:40" outlineLevel="2">
      <c r="C980" s="270" t="s">
        <v>513</v>
      </c>
      <c r="D980" s="81"/>
      <c r="E980" s="204" t="s">
        <v>13</v>
      </c>
      <c r="F980" s="270"/>
      <c r="G980" s="327">
        <f t="shared" ref="G980:AN980" ca="1" si="809">-IF(AND(G967&gt;0,G978&gt;0),MIN(G967*$D$938,G978))</f>
        <v>0</v>
      </c>
      <c r="H980" s="327">
        <f t="shared" ca="1" si="809"/>
        <v>0</v>
      </c>
      <c r="I980" s="327">
        <f t="shared" ca="1" si="809"/>
        <v>-496.99057187515155</v>
      </c>
      <c r="J980" s="327">
        <f t="shared" ca="1" si="809"/>
        <v>-621.51696870426542</v>
      </c>
      <c r="K980" s="327">
        <f t="shared" ca="1" si="809"/>
        <v>-766.87554977248828</v>
      </c>
      <c r="L980" s="327">
        <f t="shared" ca="1" si="809"/>
        <v>-807.83895740134631</v>
      </c>
      <c r="M980" s="327">
        <f t="shared" ca="1" si="809"/>
        <v>0</v>
      </c>
      <c r="N980" s="327">
        <f t="shared" ca="1" si="809"/>
        <v>0</v>
      </c>
      <c r="O980" s="327">
        <f t="shared" ca="1" si="809"/>
        <v>0</v>
      </c>
      <c r="P980" s="327">
        <f t="shared" ca="1" si="809"/>
        <v>0</v>
      </c>
      <c r="Q980" s="327">
        <f t="shared" ca="1" si="809"/>
        <v>0</v>
      </c>
      <c r="R980" s="327">
        <f t="shared" ca="1" si="809"/>
        <v>0</v>
      </c>
      <c r="S980" s="327">
        <f t="shared" ca="1" si="809"/>
        <v>0</v>
      </c>
      <c r="T980" s="327">
        <f t="shared" ca="1" si="809"/>
        <v>0</v>
      </c>
      <c r="U980" s="327">
        <f t="shared" ca="1" si="809"/>
        <v>0</v>
      </c>
      <c r="V980" s="327">
        <f t="shared" ca="1" si="809"/>
        <v>0</v>
      </c>
      <c r="W980" s="327">
        <f t="shared" ca="1" si="809"/>
        <v>0</v>
      </c>
      <c r="X980" s="327">
        <f t="shared" ca="1" si="809"/>
        <v>0</v>
      </c>
      <c r="Y980" s="327">
        <f t="shared" ca="1" si="809"/>
        <v>0</v>
      </c>
      <c r="Z980" s="327">
        <f t="shared" ca="1" si="809"/>
        <v>0</v>
      </c>
      <c r="AA980" s="327">
        <f t="shared" ca="1" si="809"/>
        <v>0</v>
      </c>
      <c r="AB980" s="327">
        <f t="shared" ca="1" si="809"/>
        <v>0</v>
      </c>
      <c r="AC980" s="327">
        <f t="shared" ca="1" si="809"/>
        <v>0</v>
      </c>
      <c r="AD980" s="327">
        <f t="shared" ca="1" si="809"/>
        <v>0</v>
      </c>
      <c r="AE980" s="327">
        <f t="shared" ca="1" si="809"/>
        <v>0</v>
      </c>
      <c r="AF980" s="327">
        <f t="shared" ca="1" si="809"/>
        <v>0</v>
      </c>
      <c r="AG980" s="327">
        <f t="shared" ca="1" si="809"/>
        <v>0</v>
      </c>
      <c r="AH980" s="327">
        <f t="shared" ca="1" si="809"/>
        <v>0</v>
      </c>
      <c r="AI980" s="327">
        <f t="shared" ca="1" si="809"/>
        <v>0</v>
      </c>
      <c r="AJ980" s="327">
        <f t="shared" ca="1" si="809"/>
        <v>0</v>
      </c>
      <c r="AK980" s="327">
        <f t="shared" ca="1" si="809"/>
        <v>0</v>
      </c>
      <c r="AL980" s="327">
        <f t="shared" ca="1" si="809"/>
        <v>0</v>
      </c>
      <c r="AM980" s="327">
        <f t="shared" ca="1" si="809"/>
        <v>0</v>
      </c>
      <c r="AN980" s="327">
        <f t="shared" ca="1" si="809"/>
        <v>0</v>
      </c>
    </row>
    <row r="981" spans="3:40" outlineLevel="2">
      <c r="C981" s="266" t="s">
        <v>514</v>
      </c>
      <c r="E981" s="76" t="s">
        <v>13</v>
      </c>
      <c r="F981" s="53"/>
      <c r="G981" s="273">
        <f t="shared" ref="G981:AN981" ca="1" si="810">SUM(G978:G980)</f>
        <v>648.84854799737877</v>
      </c>
      <c r="H981" s="273">
        <f t="shared" ca="1" si="810"/>
        <v>2693.2220477532514</v>
      </c>
      <c r="I981" s="273">
        <f t="shared" ca="1" si="810"/>
        <v>2196.2314758780999</v>
      </c>
      <c r="J981" s="273">
        <f t="shared" ca="1" si="810"/>
        <v>1574.7145071738346</v>
      </c>
      <c r="K981" s="273">
        <f t="shared" ca="1" si="810"/>
        <v>807.83895740134631</v>
      </c>
      <c r="L981" s="273">
        <f t="shared" ca="1" si="810"/>
        <v>0</v>
      </c>
      <c r="M981" s="273">
        <f t="shared" ca="1" si="810"/>
        <v>0</v>
      </c>
      <c r="N981" s="273">
        <f t="shared" ca="1" si="810"/>
        <v>0</v>
      </c>
      <c r="O981" s="273">
        <f t="shared" ca="1" si="810"/>
        <v>0</v>
      </c>
      <c r="P981" s="273">
        <f t="shared" ca="1" si="810"/>
        <v>0</v>
      </c>
      <c r="Q981" s="273">
        <f t="shared" ca="1" si="810"/>
        <v>0</v>
      </c>
      <c r="R981" s="273">
        <f t="shared" ca="1" si="810"/>
        <v>0</v>
      </c>
      <c r="S981" s="273">
        <f t="shared" ca="1" si="810"/>
        <v>0</v>
      </c>
      <c r="T981" s="273">
        <f t="shared" ca="1" si="810"/>
        <v>0</v>
      </c>
      <c r="U981" s="273">
        <f t="shared" ca="1" si="810"/>
        <v>0</v>
      </c>
      <c r="V981" s="273">
        <f t="shared" ca="1" si="810"/>
        <v>0</v>
      </c>
      <c r="W981" s="273">
        <f t="shared" ca="1" si="810"/>
        <v>0</v>
      </c>
      <c r="X981" s="273">
        <f t="shared" ca="1" si="810"/>
        <v>0</v>
      </c>
      <c r="Y981" s="273">
        <f t="shared" ca="1" si="810"/>
        <v>0</v>
      </c>
      <c r="Z981" s="273">
        <f t="shared" ca="1" si="810"/>
        <v>0</v>
      </c>
      <c r="AA981" s="273">
        <f t="shared" ca="1" si="810"/>
        <v>0</v>
      </c>
      <c r="AB981" s="273">
        <f t="shared" ca="1" si="810"/>
        <v>0</v>
      </c>
      <c r="AC981" s="273">
        <f t="shared" ca="1" si="810"/>
        <v>0</v>
      </c>
      <c r="AD981" s="273">
        <f t="shared" ca="1" si="810"/>
        <v>0</v>
      </c>
      <c r="AE981" s="273">
        <f t="shared" ca="1" si="810"/>
        <v>0</v>
      </c>
      <c r="AF981" s="273">
        <f t="shared" ca="1" si="810"/>
        <v>0</v>
      </c>
      <c r="AG981" s="273">
        <f t="shared" ca="1" si="810"/>
        <v>0</v>
      </c>
      <c r="AH981" s="273">
        <f t="shared" ca="1" si="810"/>
        <v>0</v>
      </c>
      <c r="AI981" s="273">
        <f t="shared" ca="1" si="810"/>
        <v>0</v>
      </c>
      <c r="AJ981" s="273">
        <f t="shared" ca="1" si="810"/>
        <v>6334.3226575165263</v>
      </c>
      <c r="AK981" s="273">
        <f t="shared" ca="1" si="810"/>
        <v>6334.3226575165263</v>
      </c>
      <c r="AL981" s="273">
        <f t="shared" ca="1" si="810"/>
        <v>6334.3226575165263</v>
      </c>
      <c r="AM981" s="273">
        <f t="shared" ca="1" si="810"/>
        <v>6334.3226575165263</v>
      </c>
      <c r="AN981" s="273">
        <f t="shared" ca="1" si="810"/>
        <v>6334.3226575165263</v>
      </c>
    </row>
    <row r="982" spans="3:40" outlineLevel="1">
      <c r="E982" s="76"/>
      <c r="X982"/>
    </row>
    <row r="983" spans="3:40" outlineLevel="1">
      <c r="C983" s="11" t="s">
        <v>518</v>
      </c>
      <c r="E983" s="76"/>
      <c r="T983"/>
      <c r="U983"/>
      <c r="V983" s="297"/>
      <c r="W983" s="286"/>
      <c r="X983" s="286"/>
      <c r="Z983" s="286"/>
      <c r="AA983" s="286"/>
      <c r="AB983" s="286"/>
    </row>
    <row r="984" spans="3:40" outlineLevel="2">
      <c r="E984" s="76"/>
      <c r="F984" s="278"/>
      <c r="H984" s="278"/>
    </row>
    <row r="985" spans="3:40" outlineLevel="2">
      <c r="C985" s="266" t="s">
        <v>519</v>
      </c>
      <c r="E985" s="76" t="s">
        <v>13</v>
      </c>
      <c r="F985" s="23">
        <f>SUM(G985:AN985)</f>
        <v>36456.504633005454</v>
      </c>
      <c r="G985" s="278">
        <f>-G951</f>
        <v>0</v>
      </c>
      <c r="H985" s="278">
        <f t="shared" ref="H985:AH985" si="811">-H951</f>
        <v>0</v>
      </c>
      <c r="I985" s="278">
        <f t="shared" si="811"/>
        <v>22.884310585685178</v>
      </c>
      <c r="J985" s="278">
        <f t="shared" si="811"/>
        <v>72.053827437158276</v>
      </c>
      <c r="K985" s="278">
        <f t="shared" si="811"/>
        <v>139.53091082410057</v>
      </c>
      <c r="L985" s="278">
        <f t="shared" si="811"/>
        <v>594.61204565118589</v>
      </c>
      <c r="M985" s="278">
        <f t="shared" si="811"/>
        <v>408.23945179560337</v>
      </c>
      <c r="N985" s="278">
        <f t="shared" si="811"/>
        <v>513.92216117724206</v>
      </c>
      <c r="O985" s="278">
        <f t="shared" si="811"/>
        <v>426.02171899146708</v>
      </c>
      <c r="P985" s="278">
        <f t="shared" si="811"/>
        <v>416.09956507064663</v>
      </c>
      <c r="Q985" s="278">
        <f t="shared" si="811"/>
        <v>467.46933695780581</v>
      </c>
      <c r="R985" s="278">
        <f t="shared" si="811"/>
        <v>515.46962401239261</v>
      </c>
      <c r="S985" s="278">
        <f t="shared" si="811"/>
        <v>1095.8312275820749</v>
      </c>
      <c r="T985" s="278">
        <f t="shared" si="811"/>
        <v>1399.9248853106196</v>
      </c>
      <c r="U985" s="278">
        <f t="shared" si="811"/>
        <v>1193.776093837999</v>
      </c>
      <c r="V985" s="278">
        <f t="shared" si="811"/>
        <v>1471.2916481386703</v>
      </c>
      <c r="W985" s="278">
        <f t="shared" si="811"/>
        <v>1467.1656788679866</v>
      </c>
      <c r="X985" s="278">
        <f t="shared" si="811"/>
        <v>1557.8374085797509</v>
      </c>
      <c r="Y985" s="278">
        <f t="shared" si="811"/>
        <v>1494.3787613802472</v>
      </c>
      <c r="Z985" s="278">
        <f t="shared" si="811"/>
        <v>2113.4845274971044</v>
      </c>
      <c r="AA985" s="278">
        <f t="shared" si="811"/>
        <v>2167.7863889006931</v>
      </c>
      <c r="AB985" s="278">
        <f t="shared" si="811"/>
        <v>1934.1278525401046</v>
      </c>
      <c r="AC985" s="278">
        <f t="shared" si="811"/>
        <v>1711.9579165700106</v>
      </c>
      <c r="AD985" s="278">
        <f t="shared" si="811"/>
        <v>1759.9756661364365</v>
      </c>
      <c r="AE985" s="278">
        <f t="shared" si="811"/>
        <v>1805.7709786412724</v>
      </c>
      <c r="AF985" s="278">
        <f t="shared" si="811"/>
        <v>1996.2617253262147</v>
      </c>
      <c r="AG985" s="278">
        <f t="shared" si="811"/>
        <v>2519.2515572194047</v>
      </c>
      <c r="AH985" s="278">
        <f t="shared" si="811"/>
        <v>2574.6114087161445</v>
      </c>
      <c r="AI985" s="278">
        <f t="shared" ref="AI985:AN985" si="812">-AI951</f>
        <v>2375.431209969569</v>
      </c>
      <c r="AJ985" s="278">
        <f t="shared" si="812"/>
        <v>2241.3367452878674</v>
      </c>
      <c r="AK985" s="278">
        <f>-AK951</f>
        <v>0</v>
      </c>
      <c r="AL985" s="278">
        <f t="shared" si="812"/>
        <v>0</v>
      </c>
      <c r="AM985" s="278">
        <f t="shared" si="812"/>
        <v>0</v>
      </c>
      <c r="AN985" s="278">
        <f t="shared" si="812"/>
        <v>0</v>
      </c>
    </row>
    <row r="986" spans="3:40" outlineLevel="2">
      <c r="C986" s="266" t="s">
        <v>520</v>
      </c>
      <c r="E986" s="76" t="s">
        <v>13</v>
      </c>
      <c r="F986" s="23">
        <f ca="1">SUM(G986:AN986)</f>
        <v>31628.190859703012</v>
      </c>
      <c r="G986" s="278">
        <f t="shared" ref="G986:AM986" ca="1" si="813">-G976</f>
        <v>0</v>
      </c>
      <c r="H986" s="278">
        <f ca="1">-H976</f>
        <v>0</v>
      </c>
      <c r="I986" s="278">
        <f t="shared" ca="1" si="813"/>
        <v>370.27918702095354</v>
      </c>
      <c r="J986" s="278">
        <f t="shared" ca="1" si="813"/>
        <v>469.07012850538399</v>
      </c>
      <c r="K986" s="278">
        <f t="shared" ca="1" si="813"/>
        <v>584.38793615284078</v>
      </c>
      <c r="L986" s="278">
        <f t="shared" ca="1" si="813"/>
        <v>761.46412925656466</v>
      </c>
      <c r="M986" s="278">
        <f t="shared" ca="1" si="813"/>
        <v>755.75547121772229</v>
      </c>
      <c r="N986" s="278">
        <f t="shared" ca="1" si="813"/>
        <v>1249.3848533299918</v>
      </c>
      <c r="O986" s="278">
        <f t="shared" ca="1" si="813"/>
        <v>1175.0924511388394</v>
      </c>
      <c r="P986" s="278">
        <f t="shared" ca="1" si="813"/>
        <v>1213.5151633691369</v>
      </c>
      <c r="Q986" s="278">
        <f t="shared" ca="1" si="813"/>
        <v>1375.8153963753125</v>
      </c>
      <c r="R986" s="278">
        <f t="shared" ca="1" si="813"/>
        <v>1446.6520221399187</v>
      </c>
      <c r="S986" s="278">
        <f t="shared" ca="1" si="813"/>
        <v>1525.8147284081024</v>
      </c>
      <c r="T986" s="278">
        <f t="shared" ca="1" si="813"/>
        <v>1606.6649887327576</v>
      </c>
      <c r="U986" s="278">
        <f t="shared" ca="1" si="813"/>
        <v>1802.1366493699079</v>
      </c>
      <c r="V986" s="278">
        <f t="shared" ca="1" si="813"/>
        <v>1743.0953773290273</v>
      </c>
      <c r="W986" s="278">
        <f t="shared" ca="1" si="813"/>
        <v>1754.9109454735037</v>
      </c>
      <c r="X986" s="278">
        <f t="shared" ca="1" si="813"/>
        <v>1731.4486530444824</v>
      </c>
      <c r="Y986" s="278">
        <f t="shared" ca="1" si="813"/>
        <v>1603.7808252936557</v>
      </c>
      <c r="Z986" s="278">
        <f t="shared" ca="1" si="813"/>
        <v>1555.9884644836823</v>
      </c>
      <c r="AA986" s="278">
        <f t="shared" ca="1" si="813"/>
        <v>1548.9041959155825</v>
      </c>
      <c r="AB986" s="278">
        <f t="shared" ca="1" si="813"/>
        <v>1559.6652072034251</v>
      </c>
      <c r="AC986" s="278">
        <f t="shared" ca="1" si="813"/>
        <v>1097.6567038650899</v>
      </c>
      <c r="AD986" s="278">
        <f t="shared" ca="1" si="813"/>
        <v>1072.3103951914786</v>
      </c>
      <c r="AE986" s="278">
        <f t="shared" ca="1" si="813"/>
        <v>1028.6779814535594</v>
      </c>
      <c r="AF986" s="278">
        <f t="shared" ca="1" si="813"/>
        <v>1027.8879359488346</v>
      </c>
      <c r="AG986" s="278">
        <f t="shared" ca="1" si="813"/>
        <v>666.45269135464514</v>
      </c>
      <c r="AH986" s="278">
        <f t="shared" ca="1" si="813"/>
        <v>636.27259294516796</v>
      </c>
      <c r="AI986" s="278">
        <f t="shared" ca="1" si="813"/>
        <v>265.10578518344653</v>
      </c>
      <c r="AJ986" s="278">
        <f t="shared" ca="1" si="813"/>
        <v>0</v>
      </c>
      <c r="AK986" s="278">
        <f t="shared" ca="1" si="813"/>
        <v>0</v>
      </c>
      <c r="AL986" s="278">
        <f t="shared" ca="1" si="813"/>
        <v>0</v>
      </c>
      <c r="AM986" s="278">
        <f t="shared" ca="1" si="813"/>
        <v>0</v>
      </c>
      <c r="AN986" s="278">
        <f t="shared" ref="AN986" si="814">-AN976</f>
        <v>0</v>
      </c>
    </row>
    <row r="987" spans="3:40" outlineLevel="2">
      <c r="E987" s="76"/>
    </row>
    <row r="988" spans="3:40" outlineLevel="2">
      <c r="C988" s="266" t="s">
        <v>107</v>
      </c>
      <c r="E988" s="76"/>
      <c r="H988" s="278"/>
      <c r="I988" s="278"/>
    </row>
    <row r="989" spans="3:40" outlineLevel="2">
      <c r="C989" s="266" t="s">
        <v>521</v>
      </c>
      <c r="E989" s="76" t="s">
        <v>13</v>
      </c>
      <c r="G989" s="328">
        <f t="shared" ref="G989" si="815">F991</f>
        <v>0</v>
      </c>
      <c r="H989" s="328">
        <f t="shared" ref="H989:AN989" ca="1" si="816">G991</f>
        <v>0</v>
      </c>
      <c r="I989" s="328">
        <f t="shared" ca="1" si="816"/>
        <v>0</v>
      </c>
      <c r="J989" s="328">
        <f t="shared" ca="1" si="816"/>
        <v>347.39487643526837</v>
      </c>
      <c r="K989" s="328">
        <f t="shared" ca="1" si="816"/>
        <v>744.41117750349417</v>
      </c>
      <c r="L989" s="328">
        <f t="shared" ca="1" si="816"/>
        <v>1189.2682028322342</v>
      </c>
      <c r="M989" s="328">
        <f t="shared" ca="1" si="816"/>
        <v>1356.120286437613</v>
      </c>
      <c r="N989" s="328">
        <f t="shared" ca="1" si="816"/>
        <v>1703.6363058597319</v>
      </c>
      <c r="O989" s="328">
        <f t="shared" ca="1" si="816"/>
        <v>2439.0989980124814</v>
      </c>
      <c r="P989" s="328">
        <f t="shared" ca="1" si="816"/>
        <v>3188.1697301598538</v>
      </c>
      <c r="Q989" s="328">
        <f t="shared" ca="1" si="816"/>
        <v>3985.5853284583441</v>
      </c>
      <c r="R989" s="328">
        <f t="shared" ca="1" si="816"/>
        <v>4893.9313878758512</v>
      </c>
      <c r="S989" s="328">
        <f t="shared" ca="1" si="816"/>
        <v>5825.1137860033778</v>
      </c>
      <c r="T989" s="328">
        <f t="shared" ca="1" si="816"/>
        <v>6255.0972868294048</v>
      </c>
      <c r="U989" s="328">
        <f t="shared" ca="1" si="816"/>
        <v>6461.8373902515432</v>
      </c>
      <c r="V989" s="328">
        <f t="shared" ca="1" si="816"/>
        <v>7070.1979457834523</v>
      </c>
      <c r="W989" s="328">
        <f t="shared" ca="1" si="816"/>
        <v>7342.0016749738097</v>
      </c>
      <c r="X989" s="328">
        <f t="shared" ca="1" si="816"/>
        <v>7629.7469415793266</v>
      </c>
      <c r="Y989" s="328">
        <f t="shared" ca="1" si="816"/>
        <v>7803.3581860440581</v>
      </c>
      <c r="Z989" s="328">
        <f t="shared" ca="1" si="816"/>
        <v>7912.7602499574668</v>
      </c>
      <c r="AA989" s="328">
        <f t="shared" ca="1" si="816"/>
        <v>7355.2641869440449</v>
      </c>
      <c r="AB989" s="328">
        <f t="shared" ca="1" si="816"/>
        <v>6736.3819939589339</v>
      </c>
      <c r="AC989" s="328">
        <f t="shared" ca="1" si="816"/>
        <v>6361.9193486222539</v>
      </c>
      <c r="AD989" s="328">
        <f t="shared" ca="1" si="816"/>
        <v>5747.6181359173333</v>
      </c>
      <c r="AE989" s="328">
        <f t="shared" ca="1" si="816"/>
        <v>5059.9528649723752</v>
      </c>
      <c r="AF989" s="328">
        <f t="shared" ca="1" si="816"/>
        <v>4282.8598677846621</v>
      </c>
      <c r="AG989" s="328">
        <f t="shared" ca="1" si="816"/>
        <v>3314.4860784072821</v>
      </c>
      <c r="AH989" s="328">
        <f t="shared" ca="1" si="816"/>
        <v>1461.6872125425225</v>
      </c>
      <c r="AI989" s="328">
        <f t="shared" ca="1" si="816"/>
        <v>0</v>
      </c>
      <c r="AJ989" s="328">
        <f t="shared" ca="1" si="816"/>
        <v>0</v>
      </c>
      <c r="AK989" s="328">
        <f t="shared" ca="1" si="816"/>
        <v>0</v>
      </c>
      <c r="AL989" s="328">
        <f t="shared" ca="1" si="816"/>
        <v>0</v>
      </c>
      <c r="AM989" s="328">
        <f t="shared" ca="1" si="816"/>
        <v>0</v>
      </c>
      <c r="AN989" s="328">
        <f t="shared" ca="1" si="816"/>
        <v>0</v>
      </c>
    </row>
    <row r="990" spans="3:40" outlineLevel="2">
      <c r="C990" s="329" t="s">
        <v>522</v>
      </c>
      <c r="D990" s="48"/>
      <c r="E990" s="206" t="s">
        <v>13</v>
      </c>
      <c r="F990" s="329"/>
      <c r="G990" s="330">
        <f t="shared" ref="G990:AN990" ca="1" si="817">MAX(G986-G985,-G989)</f>
        <v>0</v>
      </c>
      <c r="H990" s="330">
        <f t="shared" ca="1" si="817"/>
        <v>0</v>
      </c>
      <c r="I990" s="330">
        <f t="shared" ca="1" si="817"/>
        <v>347.39487643526837</v>
      </c>
      <c r="J990" s="330">
        <f t="shared" ca="1" si="817"/>
        <v>397.01630106822574</v>
      </c>
      <c r="K990" s="330">
        <f t="shared" ca="1" si="817"/>
        <v>444.85702532874018</v>
      </c>
      <c r="L990" s="330">
        <f t="shared" ca="1" si="817"/>
        <v>166.85208360537877</v>
      </c>
      <c r="M990" s="330">
        <f t="shared" ca="1" si="817"/>
        <v>347.51601942211892</v>
      </c>
      <c r="N990" s="330">
        <f t="shared" ca="1" si="817"/>
        <v>735.4626921527497</v>
      </c>
      <c r="O990" s="330">
        <f t="shared" ca="1" si="817"/>
        <v>749.07073214737227</v>
      </c>
      <c r="P990" s="330">
        <f t="shared" ca="1" si="817"/>
        <v>797.41559829849029</v>
      </c>
      <c r="Q990" s="330">
        <f t="shared" ca="1" si="817"/>
        <v>908.34605941750669</v>
      </c>
      <c r="R990" s="330">
        <f t="shared" ca="1" si="817"/>
        <v>931.18239812752608</v>
      </c>
      <c r="S990" s="330">
        <f t="shared" ca="1" si="817"/>
        <v>429.98350082602747</v>
      </c>
      <c r="T990" s="330">
        <f t="shared" ca="1" si="817"/>
        <v>206.74010342213796</v>
      </c>
      <c r="U990" s="330">
        <f t="shared" ca="1" si="817"/>
        <v>608.36055553190886</v>
      </c>
      <c r="V990" s="330">
        <f t="shared" ca="1" si="817"/>
        <v>271.80372919035699</v>
      </c>
      <c r="W990" s="330">
        <f t="shared" ca="1" si="817"/>
        <v>287.74526660551714</v>
      </c>
      <c r="X990" s="330">
        <f t="shared" ca="1" si="817"/>
        <v>173.6112444647315</v>
      </c>
      <c r="Y990" s="330">
        <f t="shared" ca="1" si="817"/>
        <v>109.40206391340848</v>
      </c>
      <c r="Z990" s="330">
        <f t="shared" ca="1" si="817"/>
        <v>-557.49606301342214</v>
      </c>
      <c r="AA990" s="330">
        <f t="shared" ca="1" si="817"/>
        <v>-618.88219298511058</v>
      </c>
      <c r="AB990" s="330">
        <f t="shared" ca="1" si="817"/>
        <v>-374.46264533667954</v>
      </c>
      <c r="AC990" s="330">
        <f t="shared" ca="1" si="817"/>
        <v>-614.30121270492077</v>
      </c>
      <c r="AD990" s="330">
        <f t="shared" ca="1" si="817"/>
        <v>-687.66527094495791</v>
      </c>
      <c r="AE990" s="330">
        <f t="shared" ca="1" si="817"/>
        <v>-777.09299718771308</v>
      </c>
      <c r="AF990" s="330">
        <f t="shared" ca="1" si="817"/>
        <v>-968.37378937738004</v>
      </c>
      <c r="AG990" s="330">
        <f t="shared" ca="1" si="817"/>
        <v>-1852.7988658647596</v>
      </c>
      <c r="AH990" s="330">
        <f t="shared" ca="1" si="817"/>
        <v>-1461.6872125425225</v>
      </c>
      <c r="AI990" s="330">
        <f t="shared" ca="1" si="817"/>
        <v>0</v>
      </c>
      <c r="AJ990" s="330">
        <f t="shared" ca="1" si="817"/>
        <v>0</v>
      </c>
      <c r="AK990" s="330">
        <f t="shared" ca="1" si="817"/>
        <v>0</v>
      </c>
      <c r="AL990" s="330">
        <f t="shared" ca="1" si="817"/>
        <v>0</v>
      </c>
      <c r="AM990" s="330">
        <f t="shared" ca="1" si="817"/>
        <v>0</v>
      </c>
      <c r="AN990" s="330">
        <f t="shared" ca="1" si="817"/>
        <v>0</v>
      </c>
    </row>
    <row r="991" spans="3:40" outlineLevel="2">
      <c r="C991" s="266" t="s">
        <v>523</v>
      </c>
      <c r="E991" s="76" t="s">
        <v>13</v>
      </c>
      <c r="F991" s="53"/>
      <c r="G991" s="331">
        <f t="shared" ref="G991:AN991" ca="1" si="818">SUM(G989:G990)</f>
        <v>0</v>
      </c>
      <c r="H991" s="331">
        <f t="shared" ca="1" si="818"/>
        <v>0</v>
      </c>
      <c r="I991" s="331">
        <f t="shared" ca="1" si="818"/>
        <v>347.39487643526837</v>
      </c>
      <c r="J991" s="331">
        <f t="shared" ca="1" si="818"/>
        <v>744.41117750349417</v>
      </c>
      <c r="K991" s="331">
        <f t="shared" ca="1" si="818"/>
        <v>1189.2682028322342</v>
      </c>
      <c r="L991" s="331">
        <f t="shared" ca="1" si="818"/>
        <v>1356.120286437613</v>
      </c>
      <c r="M991" s="331">
        <f t="shared" ca="1" si="818"/>
        <v>1703.6363058597319</v>
      </c>
      <c r="N991" s="331">
        <f t="shared" ca="1" si="818"/>
        <v>2439.0989980124814</v>
      </c>
      <c r="O991" s="331">
        <f t="shared" ca="1" si="818"/>
        <v>3188.1697301598538</v>
      </c>
      <c r="P991" s="331">
        <f t="shared" ca="1" si="818"/>
        <v>3985.5853284583441</v>
      </c>
      <c r="Q991" s="331">
        <f t="shared" ca="1" si="818"/>
        <v>4893.9313878758512</v>
      </c>
      <c r="R991" s="331">
        <f t="shared" ca="1" si="818"/>
        <v>5825.1137860033778</v>
      </c>
      <c r="S991" s="331">
        <f t="shared" ca="1" si="818"/>
        <v>6255.0972868294048</v>
      </c>
      <c r="T991" s="331">
        <f t="shared" ca="1" si="818"/>
        <v>6461.8373902515432</v>
      </c>
      <c r="U991" s="331">
        <f t="shared" ca="1" si="818"/>
        <v>7070.1979457834523</v>
      </c>
      <c r="V991" s="331">
        <f t="shared" ca="1" si="818"/>
        <v>7342.0016749738097</v>
      </c>
      <c r="W991" s="331">
        <f t="shared" ca="1" si="818"/>
        <v>7629.7469415793266</v>
      </c>
      <c r="X991" s="331">
        <f t="shared" ca="1" si="818"/>
        <v>7803.3581860440581</v>
      </c>
      <c r="Y991" s="331">
        <f t="shared" ca="1" si="818"/>
        <v>7912.7602499574668</v>
      </c>
      <c r="Z991" s="331">
        <f t="shared" ca="1" si="818"/>
        <v>7355.2641869440449</v>
      </c>
      <c r="AA991" s="331">
        <f t="shared" ca="1" si="818"/>
        <v>6736.3819939589339</v>
      </c>
      <c r="AB991" s="331">
        <f t="shared" ca="1" si="818"/>
        <v>6361.9193486222539</v>
      </c>
      <c r="AC991" s="331">
        <f t="shared" ca="1" si="818"/>
        <v>5747.6181359173333</v>
      </c>
      <c r="AD991" s="331">
        <f t="shared" ca="1" si="818"/>
        <v>5059.9528649723752</v>
      </c>
      <c r="AE991" s="331">
        <f t="shared" ca="1" si="818"/>
        <v>4282.8598677846621</v>
      </c>
      <c r="AF991" s="331">
        <f t="shared" ca="1" si="818"/>
        <v>3314.4860784072821</v>
      </c>
      <c r="AG991" s="331">
        <f t="shared" ca="1" si="818"/>
        <v>1461.6872125425225</v>
      </c>
      <c r="AH991" s="331">
        <f t="shared" ca="1" si="818"/>
        <v>0</v>
      </c>
      <c r="AI991" s="331">
        <f t="shared" ca="1" si="818"/>
        <v>0</v>
      </c>
      <c r="AJ991" s="331">
        <f t="shared" ca="1" si="818"/>
        <v>0</v>
      </c>
      <c r="AK991" s="331">
        <f t="shared" ca="1" si="818"/>
        <v>0</v>
      </c>
      <c r="AL991" s="331">
        <f t="shared" ca="1" si="818"/>
        <v>0</v>
      </c>
      <c r="AM991" s="331">
        <f t="shared" ca="1" si="818"/>
        <v>0</v>
      </c>
      <c r="AN991" s="331">
        <f t="shared" ca="1" si="818"/>
        <v>0</v>
      </c>
    </row>
    <row r="992" spans="3:40" outlineLevel="2">
      <c r="E992" s="76"/>
      <c r="W992"/>
    </row>
    <row r="993" spans="3:40" outlineLevel="2">
      <c r="C993" s="266" t="s">
        <v>104</v>
      </c>
      <c r="E993" s="76"/>
      <c r="W993"/>
      <c r="X993" s="286"/>
    </row>
    <row r="994" spans="3:40" outlineLevel="2">
      <c r="C994" s="266" t="s">
        <v>521</v>
      </c>
      <c r="E994" s="76" t="s">
        <v>13</v>
      </c>
      <c r="G994" s="273">
        <f t="shared" ref="G994" si="819">F996</f>
        <v>0</v>
      </c>
      <c r="H994" s="273">
        <f t="shared" ref="H994:AN994" ca="1" si="820">G996</f>
        <v>0</v>
      </c>
      <c r="I994" s="273">
        <f t="shared" ca="1" si="820"/>
        <v>0</v>
      </c>
      <c r="J994" s="273">
        <f t="shared" ca="1" si="820"/>
        <v>0</v>
      </c>
      <c r="K994" s="273">
        <f t="shared" ca="1" si="820"/>
        <v>0</v>
      </c>
      <c r="L994" s="273">
        <f t="shared" ca="1" si="820"/>
        <v>0</v>
      </c>
      <c r="M994" s="273">
        <f t="shared" ca="1" si="820"/>
        <v>0</v>
      </c>
      <c r="N994" s="273">
        <f t="shared" ca="1" si="820"/>
        <v>0</v>
      </c>
      <c r="O994" s="273">
        <f t="shared" ca="1" si="820"/>
        <v>0</v>
      </c>
      <c r="P994" s="273">
        <f t="shared" ca="1" si="820"/>
        <v>0</v>
      </c>
      <c r="Q994" s="273">
        <f t="shared" ca="1" si="820"/>
        <v>0</v>
      </c>
      <c r="R994" s="273">
        <f t="shared" ca="1" si="820"/>
        <v>0</v>
      </c>
      <c r="S994" s="273">
        <f t="shared" ca="1" si="820"/>
        <v>0</v>
      </c>
      <c r="T994" s="273">
        <f t="shared" ca="1" si="820"/>
        <v>0</v>
      </c>
      <c r="U994" s="273">
        <f t="shared" ca="1" si="820"/>
        <v>0</v>
      </c>
      <c r="V994" s="273">
        <f t="shared" ca="1" si="820"/>
        <v>0</v>
      </c>
      <c r="W994" s="273">
        <f t="shared" ca="1" si="820"/>
        <v>0</v>
      </c>
      <c r="X994" s="273">
        <f t="shared" ca="1" si="820"/>
        <v>0</v>
      </c>
      <c r="Y994" s="273">
        <f t="shared" ca="1" si="820"/>
        <v>0</v>
      </c>
      <c r="Z994" s="273">
        <f t="shared" ca="1" si="820"/>
        <v>0</v>
      </c>
      <c r="AA994" s="273">
        <f t="shared" ca="1" si="820"/>
        <v>0</v>
      </c>
      <c r="AB994" s="273">
        <f t="shared" ca="1" si="820"/>
        <v>0</v>
      </c>
      <c r="AC994" s="273">
        <f t="shared" ca="1" si="820"/>
        <v>0</v>
      </c>
      <c r="AD994" s="273">
        <f t="shared" ca="1" si="820"/>
        <v>0</v>
      </c>
      <c r="AE994" s="273">
        <f t="shared" ca="1" si="820"/>
        <v>0</v>
      </c>
      <c r="AF994" s="273">
        <f t="shared" ca="1" si="820"/>
        <v>0</v>
      </c>
      <c r="AG994" s="273">
        <f t="shared" ca="1" si="820"/>
        <v>0</v>
      </c>
      <c r="AH994" s="273">
        <f t="shared" ca="1" si="820"/>
        <v>0</v>
      </c>
      <c r="AI994" s="273">
        <f t="shared" ca="1" si="820"/>
        <v>476.65160322845395</v>
      </c>
      <c r="AJ994" s="273">
        <f t="shared" ca="1" si="820"/>
        <v>2586.9770280145763</v>
      </c>
      <c r="AK994" s="273">
        <f t="shared" ca="1" si="820"/>
        <v>4828.3137733024432</v>
      </c>
      <c r="AL994" s="273">
        <f t="shared" ca="1" si="820"/>
        <v>4828.3137733024432</v>
      </c>
      <c r="AM994" s="273">
        <f t="shared" ca="1" si="820"/>
        <v>4828.3137733024432</v>
      </c>
      <c r="AN994" s="273">
        <f t="shared" ca="1" si="820"/>
        <v>4828.3137733024432</v>
      </c>
    </row>
    <row r="995" spans="3:40" outlineLevel="2">
      <c r="C995" s="329" t="s">
        <v>522</v>
      </c>
      <c r="D995" s="48"/>
      <c r="E995" s="206" t="s">
        <v>13</v>
      </c>
      <c r="F995" s="329"/>
      <c r="G995" s="498">
        <f t="shared" ref="G995:AN995" ca="1" si="821">-(G986-G985-G990)</f>
        <v>0</v>
      </c>
      <c r="H995" s="289">
        <f t="shared" ca="1" si="821"/>
        <v>0</v>
      </c>
      <c r="I995" s="289">
        <f t="shared" ca="1" si="821"/>
        <v>0</v>
      </c>
      <c r="J995" s="289">
        <f t="shared" ca="1" si="821"/>
        <v>0</v>
      </c>
      <c r="K995" s="289">
        <f t="shared" ca="1" si="821"/>
        <v>0</v>
      </c>
      <c r="L995" s="289">
        <f t="shared" ca="1" si="821"/>
        <v>0</v>
      </c>
      <c r="M995" s="289">
        <f t="shared" ca="1" si="821"/>
        <v>0</v>
      </c>
      <c r="N995" s="289">
        <f t="shared" ca="1" si="821"/>
        <v>0</v>
      </c>
      <c r="O995" s="289">
        <f t="shared" ca="1" si="821"/>
        <v>0</v>
      </c>
      <c r="P995" s="289">
        <f t="shared" ca="1" si="821"/>
        <v>0</v>
      </c>
      <c r="Q995" s="289">
        <f t="shared" ca="1" si="821"/>
        <v>0</v>
      </c>
      <c r="R995" s="289">
        <f t="shared" ca="1" si="821"/>
        <v>0</v>
      </c>
      <c r="S995" s="289">
        <f t="shared" ca="1" si="821"/>
        <v>0</v>
      </c>
      <c r="T995" s="289">
        <f t="shared" ca="1" si="821"/>
        <v>0</v>
      </c>
      <c r="U995" s="289">
        <f t="shared" ca="1" si="821"/>
        <v>0</v>
      </c>
      <c r="V995" s="289">
        <f t="shared" ca="1" si="821"/>
        <v>0</v>
      </c>
      <c r="W995" s="289">
        <f t="shared" ca="1" si="821"/>
        <v>0</v>
      </c>
      <c r="X995" s="289">
        <f t="shared" ca="1" si="821"/>
        <v>0</v>
      </c>
      <c r="Y995" s="289">
        <f t="shared" ca="1" si="821"/>
        <v>0</v>
      </c>
      <c r="Z995" s="289">
        <f t="shared" ca="1" si="821"/>
        <v>0</v>
      </c>
      <c r="AA995" s="289">
        <f t="shared" ca="1" si="821"/>
        <v>0</v>
      </c>
      <c r="AB995" s="289">
        <f t="shared" ca="1" si="821"/>
        <v>0</v>
      </c>
      <c r="AC995" s="289">
        <f t="shared" ca="1" si="821"/>
        <v>0</v>
      </c>
      <c r="AD995" s="289">
        <f t="shared" ca="1" si="821"/>
        <v>0</v>
      </c>
      <c r="AE995" s="289">
        <f t="shared" ca="1" si="821"/>
        <v>0</v>
      </c>
      <c r="AF995" s="289">
        <f t="shared" ca="1" si="821"/>
        <v>0</v>
      </c>
      <c r="AG995" s="289">
        <f t="shared" ca="1" si="821"/>
        <v>0</v>
      </c>
      <c r="AH995" s="289">
        <f t="shared" ca="1" si="821"/>
        <v>476.65160322845395</v>
      </c>
      <c r="AI995" s="289">
        <f t="shared" ca="1" si="821"/>
        <v>2110.3254247861223</v>
      </c>
      <c r="AJ995" s="289">
        <f t="shared" ca="1" si="821"/>
        <v>2241.3367452878674</v>
      </c>
      <c r="AK995" s="289">
        <f t="shared" ca="1" si="821"/>
        <v>0</v>
      </c>
      <c r="AL995" s="289">
        <f t="shared" ca="1" si="821"/>
        <v>0</v>
      </c>
      <c r="AM995" s="289">
        <f t="shared" ca="1" si="821"/>
        <v>0</v>
      </c>
      <c r="AN995" s="289">
        <f t="shared" ca="1" si="821"/>
        <v>0</v>
      </c>
    </row>
    <row r="996" spans="3:40" outlineLevel="2">
      <c r="C996" s="266" t="s">
        <v>523</v>
      </c>
      <c r="E996" s="76" t="s">
        <v>13</v>
      </c>
      <c r="F996" s="53"/>
      <c r="G996" s="273">
        <f t="shared" ref="G996:AN996" ca="1" si="822">SUM(G994:G995)</f>
        <v>0</v>
      </c>
      <c r="H996" s="273">
        <f t="shared" ca="1" si="822"/>
        <v>0</v>
      </c>
      <c r="I996" s="273">
        <f t="shared" ca="1" si="822"/>
        <v>0</v>
      </c>
      <c r="J996" s="273">
        <f t="shared" ca="1" si="822"/>
        <v>0</v>
      </c>
      <c r="K996" s="273">
        <f t="shared" ca="1" si="822"/>
        <v>0</v>
      </c>
      <c r="L996" s="273">
        <f t="shared" ca="1" si="822"/>
        <v>0</v>
      </c>
      <c r="M996" s="273">
        <f t="shared" ca="1" si="822"/>
        <v>0</v>
      </c>
      <c r="N996" s="273">
        <f t="shared" ca="1" si="822"/>
        <v>0</v>
      </c>
      <c r="O996" s="273">
        <f t="shared" ca="1" si="822"/>
        <v>0</v>
      </c>
      <c r="P996" s="273">
        <f t="shared" ca="1" si="822"/>
        <v>0</v>
      </c>
      <c r="Q996" s="273">
        <f t="shared" ca="1" si="822"/>
        <v>0</v>
      </c>
      <c r="R996" s="273">
        <f t="shared" ca="1" si="822"/>
        <v>0</v>
      </c>
      <c r="S996" s="273">
        <f t="shared" ca="1" si="822"/>
        <v>0</v>
      </c>
      <c r="T996" s="273">
        <f t="shared" ca="1" si="822"/>
        <v>0</v>
      </c>
      <c r="U996" s="273">
        <f t="shared" ca="1" si="822"/>
        <v>0</v>
      </c>
      <c r="V996" s="273">
        <f t="shared" ca="1" si="822"/>
        <v>0</v>
      </c>
      <c r="W996" s="273">
        <f t="shared" ca="1" si="822"/>
        <v>0</v>
      </c>
      <c r="X996" s="273">
        <f t="shared" ca="1" si="822"/>
        <v>0</v>
      </c>
      <c r="Y996" s="273">
        <f t="shared" ca="1" si="822"/>
        <v>0</v>
      </c>
      <c r="Z996" s="273">
        <f t="shared" ca="1" si="822"/>
        <v>0</v>
      </c>
      <c r="AA996" s="273">
        <f t="shared" ca="1" si="822"/>
        <v>0</v>
      </c>
      <c r="AB996" s="273">
        <f t="shared" ca="1" si="822"/>
        <v>0</v>
      </c>
      <c r="AC996" s="273">
        <f t="shared" ca="1" si="822"/>
        <v>0</v>
      </c>
      <c r="AD996" s="273">
        <f t="shared" ca="1" si="822"/>
        <v>0</v>
      </c>
      <c r="AE996" s="273">
        <f t="shared" ca="1" si="822"/>
        <v>0</v>
      </c>
      <c r="AF996" s="273">
        <f t="shared" ca="1" si="822"/>
        <v>0</v>
      </c>
      <c r="AG996" s="273">
        <f t="shared" ca="1" si="822"/>
        <v>0</v>
      </c>
      <c r="AH996" s="273">
        <f t="shared" ca="1" si="822"/>
        <v>476.65160322845395</v>
      </c>
      <c r="AI996" s="273">
        <f t="shared" ca="1" si="822"/>
        <v>2586.9770280145763</v>
      </c>
      <c r="AJ996" s="273">
        <f t="shared" ca="1" si="822"/>
        <v>4828.3137733024432</v>
      </c>
      <c r="AK996" s="273">
        <f t="shared" ca="1" si="822"/>
        <v>4828.3137733024432</v>
      </c>
      <c r="AL996" s="273">
        <f t="shared" ca="1" si="822"/>
        <v>4828.3137733024432</v>
      </c>
      <c r="AM996" s="273">
        <f t="shared" ca="1" si="822"/>
        <v>4828.3137733024432</v>
      </c>
      <c r="AN996" s="273">
        <f t="shared" ca="1" si="822"/>
        <v>4828.3137733024432</v>
      </c>
    </row>
    <row r="997" spans="3:40" outlineLevel="1"/>
    <row r="999" spans="3:40" ht="16.2" thickBot="1">
      <c r="C999" s="394" t="s">
        <v>524</v>
      </c>
      <c r="D999" s="395"/>
      <c r="E999" s="396"/>
      <c r="F999" s="395"/>
      <c r="G999" s="395"/>
      <c r="H999" s="395"/>
      <c r="I999" s="395"/>
      <c r="J999" s="395"/>
      <c r="K999" s="395"/>
      <c r="L999" s="395"/>
      <c r="M999" s="395"/>
      <c r="N999" s="395"/>
      <c r="O999" s="395"/>
      <c r="P999" s="395"/>
      <c r="Q999" s="395"/>
      <c r="R999" s="395"/>
      <c r="S999" s="395"/>
      <c r="T999" s="395"/>
      <c r="U999" s="395"/>
      <c r="V999" s="395"/>
      <c r="W999" s="395"/>
      <c r="X999" s="395"/>
      <c r="Y999" s="395"/>
      <c r="Z999" s="395"/>
      <c r="AA999" s="395"/>
      <c r="AB999" s="395"/>
      <c r="AC999" s="395"/>
      <c r="AD999" s="395"/>
      <c r="AE999" s="395"/>
      <c r="AF999" s="395"/>
      <c r="AG999" s="395"/>
      <c r="AH999" s="395"/>
      <c r="AI999" s="395"/>
      <c r="AJ999" s="395"/>
      <c r="AK999" s="8"/>
      <c r="AL999" s="8"/>
      <c r="AM999" s="8"/>
      <c r="AN999" s="8"/>
    </row>
    <row r="1000" spans="3:40" s="118" customFormat="1" ht="13.8" outlineLevel="1">
      <c r="E1000" s="497"/>
    </row>
    <row r="1001" spans="3:40" s="118" customFormat="1" outlineLevel="1">
      <c r="C1001" s="11" t="s">
        <v>525</v>
      </c>
      <c r="E1001" s="497"/>
    </row>
    <row r="1002" spans="3:40" s="118" customFormat="1" ht="13.8" outlineLevel="2">
      <c r="E1002" s="497"/>
    </row>
    <row r="1003" spans="3:40" s="118" customFormat="1" outlineLevel="2">
      <c r="C1003" t="str">
        <f t="shared" ref="C1003:E1013" si="823">C400</f>
        <v>Coleta Manual E Conteinerizada Rsc</v>
      </c>
      <c r="D1003" t="str">
        <f t="shared" si="823"/>
        <v>Divisivel</v>
      </c>
      <c r="E1003" s="76" t="str">
        <f t="shared" si="823"/>
        <v>$ 000s</v>
      </c>
      <c r="F1003" s="23">
        <f t="shared" ref="F1003:F1013" si="824">SUM(G1003:AN1003)</f>
        <v>28252.241950000003</v>
      </c>
      <c r="G1003" s="319">
        <f t="shared" ref="G1003:AN1003" si="825">G400</f>
        <v>4510.7923900000005</v>
      </c>
      <c r="H1003" s="319">
        <f t="shared" si="825"/>
        <v>0</v>
      </c>
      <c r="I1003" s="319">
        <f t="shared" si="825"/>
        <v>713.82500000000005</v>
      </c>
      <c r="J1003" s="319">
        <f t="shared" si="825"/>
        <v>0</v>
      </c>
      <c r="K1003" s="319">
        <f t="shared" si="825"/>
        <v>713.82500000000005</v>
      </c>
      <c r="L1003" s="319">
        <f t="shared" si="825"/>
        <v>30</v>
      </c>
      <c r="M1003" s="319">
        <f t="shared" si="825"/>
        <v>0</v>
      </c>
      <c r="N1003" s="319">
        <f t="shared" si="825"/>
        <v>4459.6323900000007</v>
      </c>
      <c r="O1003" s="319">
        <f t="shared" si="825"/>
        <v>0</v>
      </c>
      <c r="P1003" s="319">
        <f t="shared" si="825"/>
        <v>713.82500000000005</v>
      </c>
      <c r="Q1003" s="319">
        <f t="shared" si="825"/>
        <v>51.16</v>
      </c>
      <c r="R1003" s="319">
        <f t="shared" si="825"/>
        <v>713.82500000000005</v>
      </c>
      <c r="S1003" s="319">
        <f t="shared" si="825"/>
        <v>0</v>
      </c>
      <c r="T1003" s="319">
        <f t="shared" si="825"/>
        <v>0</v>
      </c>
      <c r="U1003" s="319">
        <f t="shared" si="825"/>
        <v>4459.6323900000007</v>
      </c>
      <c r="V1003" s="319">
        <f t="shared" si="825"/>
        <v>30</v>
      </c>
      <c r="W1003" s="319">
        <f t="shared" si="825"/>
        <v>713.82500000000005</v>
      </c>
      <c r="X1003" s="319">
        <f t="shared" si="825"/>
        <v>0</v>
      </c>
      <c r="Y1003" s="319">
        <f t="shared" si="825"/>
        <v>713.82500000000005</v>
      </c>
      <c r="Z1003" s="319">
        <f t="shared" si="825"/>
        <v>0</v>
      </c>
      <c r="AA1003" s="319">
        <f t="shared" si="825"/>
        <v>51.16</v>
      </c>
      <c r="AB1003" s="319">
        <f t="shared" si="825"/>
        <v>4459.6323900000007</v>
      </c>
      <c r="AC1003" s="319">
        <f t="shared" si="825"/>
        <v>0</v>
      </c>
      <c r="AD1003" s="319">
        <f t="shared" si="825"/>
        <v>713.82500000000005</v>
      </c>
      <c r="AE1003" s="319">
        <f t="shared" si="825"/>
        <v>0</v>
      </c>
      <c r="AF1003" s="319">
        <f t="shared" si="825"/>
        <v>743.82500000000005</v>
      </c>
      <c r="AG1003" s="319">
        <f t="shared" si="825"/>
        <v>0</v>
      </c>
      <c r="AH1003" s="319">
        <f t="shared" si="825"/>
        <v>0</v>
      </c>
      <c r="AI1003" s="319">
        <f t="shared" si="825"/>
        <v>4459.6323900000007</v>
      </c>
      <c r="AJ1003" s="319">
        <f t="shared" si="825"/>
        <v>0</v>
      </c>
      <c r="AK1003" s="499">
        <f t="shared" si="825"/>
        <v>0</v>
      </c>
      <c r="AL1003" s="499">
        <f t="shared" si="825"/>
        <v>0</v>
      </c>
      <c r="AM1003" s="499">
        <f t="shared" si="825"/>
        <v>0</v>
      </c>
      <c r="AN1003" s="499">
        <f t="shared" si="825"/>
        <v>0</v>
      </c>
    </row>
    <row r="1004" spans="3:40" s="118" customFormat="1" outlineLevel="2">
      <c r="C1004" t="str">
        <f t="shared" si="823"/>
        <v>Coleta De Materiais Recicláveis</v>
      </c>
      <c r="D1004" t="str">
        <f t="shared" si="823"/>
        <v>Divisivel</v>
      </c>
      <c r="E1004" s="76" t="str">
        <f t="shared" si="823"/>
        <v>$ 000s</v>
      </c>
      <c r="F1004" s="23">
        <f t="shared" si="824"/>
        <v>10006.151100000001</v>
      </c>
      <c r="G1004" s="319">
        <f t="shared" ref="G1004:AN1004" si="826">G401</f>
        <v>1772.8062199999999</v>
      </c>
      <c r="H1004" s="319">
        <f t="shared" si="826"/>
        <v>0</v>
      </c>
      <c r="I1004" s="319">
        <f t="shared" si="826"/>
        <v>0</v>
      </c>
      <c r="J1004" s="319">
        <f t="shared" si="826"/>
        <v>285.52999999999997</v>
      </c>
      <c r="K1004" s="319">
        <f t="shared" si="826"/>
        <v>0</v>
      </c>
      <c r="L1004" s="319">
        <f t="shared" si="826"/>
        <v>0</v>
      </c>
      <c r="M1004" s="319">
        <f t="shared" si="826"/>
        <v>0</v>
      </c>
      <c r="N1004" s="319">
        <f t="shared" si="826"/>
        <v>1772.8062199999999</v>
      </c>
      <c r="O1004" s="319">
        <f t="shared" si="826"/>
        <v>0</v>
      </c>
      <c r="P1004" s="319">
        <f t="shared" si="826"/>
        <v>0</v>
      </c>
      <c r="Q1004" s="319">
        <f t="shared" si="826"/>
        <v>285.52999999999997</v>
      </c>
      <c r="R1004" s="319">
        <f t="shared" si="826"/>
        <v>0</v>
      </c>
      <c r="S1004" s="319">
        <f t="shared" si="826"/>
        <v>0</v>
      </c>
      <c r="T1004" s="319">
        <f t="shared" si="826"/>
        <v>0</v>
      </c>
      <c r="U1004" s="319">
        <f t="shared" si="826"/>
        <v>1772.8062199999999</v>
      </c>
      <c r="V1004" s="319">
        <f t="shared" si="826"/>
        <v>0</v>
      </c>
      <c r="W1004" s="319">
        <f t="shared" si="826"/>
        <v>0</v>
      </c>
      <c r="X1004" s="319">
        <f t="shared" si="826"/>
        <v>285.52999999999997</v>
      </c>
      <c r="Y1004" s="319">
        <f t="shared" si="826"/>
        <v>0</v>
      </c>
      <c r="Z1004" s="319">
        <f t="shared" si="826"/>
        <v>0</v>
      </c>
      <c r="AA1004" s="319">
        <f t="shared" si="826"/>
        <v>0</v>
      </c>
      <c r="AB1004" s="319">
        <f t="shared" si="826"/>
        <v>1772.8062199999999</v>
      </c>
      <c r="AC1004" s="319">
        <f t="shared" si="826"/>
        <v>0</v>
      </c>
      <c r="AD1004" s="319">
        <f t="shared" si="826"/>
        <v>0</v>
      </c>
      <c r="AE1004" s="319">
        <f t="shared" si="826"/>
        <v>285.52999999999997</v>
      </c>
      <c r="AF1004" s="319">
        <f t="shared" si="826"/>
        <v>0</v>
      </c>
      <c r="AG1004" s="319">
        <f t="shared" si="826"/>
        <v>0</v>
      </c>
      <c r="AH1004" s="319">
        <f t="shared" si="826"/>
        <v>1772.8062199999999</v>
      </c>
      <c r="AI1004" s="319">
        <f t="shared" si="826"/>
        <v>0</v>
      </c>
      <c r="AJ1004" s="319">
        <f t="shared" si="826"/>
        <v>0</v>
      </c>
      <c r="AK1004" s="499">
        <f t="shared" si="826"/>
        <v>0</v>
      </c>
      <c r="AL1004" s="499">
        <f t="shared" si="826"/>
        <v>0</v>
      </c>
      <c r="AM1004" s="499">
        <f t="shared" si="826"/>
        <v>0</v>
      </c>
      <c r="AN1004" s="499">
        <f t="shared" si="826"/>
        <v>0</v>
      </c>
    </row>
    <row r="1005" spans="3:40" s="118" customFormat="1" outlineLevel="2">
      <c r="C1005" t="str">
        <f t="shared" si="823"/>
        <v>Transporte E Destinação Final - Resíduos Pevs</v>
      </c>
      <c r="D1005" t="str">
        <f t="shared" si="823"/>
        <v>Divisivel</v>
      </c>
      <c r="E1005" s="76" t="str">
        <f t="shared" si="823"/>
        <v>$ 000s</v>
      </c>
      <c r="F1005" s="23">
        <f t="shared" si="824"/>
        <v>1954.4542800000002</v>
      </c>
      <c r="G1005" s="319">
        <f t="shared" ref="G1005:AN1005" si="827">G402</f>
        <v>0</v>
      </c>
      <c r="H1005" s="319">
        <f t="shared" si="827"/>
        <v>0</v>
      </c>
      <c r="I1005" s="319">
        <f t="shared" si="827"/>
        <v>651.48476000000005</v>
      </c>
      <c r="J1005" s="319">
        <f t="shared" si="827"/>
        <v>0</v>
      </c>
      <c r="K1005" s="319">
        <f t="shared" si="827"/>
        <v>0</v>
      </c>
      <c r="L1005" s="319">
        <f t="shared" si="827"/>
        <v>0</v>
      </c>
      <c r="M1005" s="319">
        <f t="shared" si="827"/>
        <v>0</v>
      </c>
      <c r="N1005" s="319">
        <f t="shared" si="827"/>
        <v>0</v>
      </c>
      <c r="O1005" s="319">
        <f t="shared" si="827"/>
        <v>0</v>
      </c>
      <c r="P1005" s="319">
        <f t="shared" si="827"/>
        <v>0</v>
      </c>
      <c r="Q1005" s="319">
        <f t="shared" si="827"/>
        <v>0</v>
      </c>
      <c r="R1005" s="319">
        <f t="shared" si="827"/>
        <v>0</v>
      </c>
      <c r="S1005" s="319">
        <f t="shared" si="827"/>
        <v>651.48476000000005</v>
      </c>
      <c r="T1005" s="319">
        <f t="shared" si="827"/>
        <v>0</v>
      </c>
      <c r="U1005" s="319">
        <f t="shared" si="827"/>
        <v>0</v>
      </c>
      <c r="V1005" s="319">
        <f t="shared" si="827"/>
        <v>0</v>
      </c>
      <c r="W1005" s="319">
        <f t="shared" si="827"/>
        <v>0</v>
      </c>
      <c r="X1005" s="319">
        <f t="shared" si="827"/>
        <v>0</v>
      </c>
      <c r="Y1005" s="319">
        <f t="shared" si="827"/>
        <v>0</v>
      </c>
      <c r="Z1005" s="319">
        <f t="shared" si="827"/>
        <v>0</v>
      </c>
      <c r="AA1005" s="319">
        <f t="shared" si="827"/>
        <v>0</v>
      </c>
      <c r="AB1005" s="319">
        <f t="shared" si="827"/>
        <v>0</v>
      </c>
      <c r="AC1005" s="319">
        <f t="shared" si="827"/>
        <v>651.48476000000005</v>
      </c>
      <c r="AD1005" s="319">
        <f t="shared" si="827"/>
        <v>0</v>
      </c>
      <c r="AE1005" s="319">
        <f t="shared" si="827"/>
        <v>0</v>
      </c>
      <c r="AF1005" s="319">
        <f t="shared" si="827"/>
        <v>0</v>
      </c>
      <c r="AG1005" s="319">
        <f t="shared" si="827"/>
        <v>0</v>
      </c>
      <c r="AH1005" s="319">
        <f t="shared" si="827"/>
        <v>0</v>
      </c>
      <c r="AI1005" s="319">
        <f t="shared" si="827"/>
        <v>0</v>
      </c>
      <c r="AJ1005" s="319">
        <f t="shared" si="827"/>
        <v>0</v>
      </c>
      <c r="AK1005" s="499">
        <f t="shared" si="827"/>
        <v>0</v>
      </c>
      <c r="AL1005" s="499">
        <f t="shared" si="827"/>
        <v>0</v>
      </c>
      <c r="AM1005" s="499">
        <f t="shared" si="827"/>
        <v>0</v>
      </c>
      <c r="AN1005" s="499">
        <f t="shared" si="827"/>
        <v>0</v>
      </c>
    </row>
    <row r="1006" spans="3:40" s="118" customFormat="1" outlineLevel="2">
      <c r="C1006" t="str">
        <f t="shared" si="823"/>
        <v>Coleta Programada  De Volumosos</v>
      </c>
      <c r="D1006" t="str">
        <f t="shared" si="823"/>
        <v>Divisivel</v>
      </c>
      <c r="E1006" s="76" t="str">
        <f t="shared" si="823"/>
        <v>$ 000s</v>
      </c>
      <c r="F1006" s="23">
        <f t="shared" si="824"/>
        <v>9523.5084999999999</v>
      </c>
      <c r="G1006" s="319">
        <f t="shared" ref="G1006:AN1006" si="828">G403</f>
        <v>1904.7016999999998</v>
      </c>
      <c r="H1006" s="319">
        <f t="shared" si="828"/>
        <v>0</v>
      </c>
      <c r="I1006" s="319">
        <f t="shared" si="828"/>
        <v>0</v>
      </c>
      <c r="J1006" s="319">
        <f t="shared" si="828"/>
        <v>0</v>
      </c>
      <c r="K1006" s="319">
        <f t="shared" si="828"/>
        <v>0</v>
      </c>
      <c r="L1006" s="319">
        <f t="shared" si="828"/>
        <v>0</v>
      </c>
      <c r="M1006" s="319">
        <f t="shared" si="828"/>
        <v>0</v>
      </c>
      <c r="N1006" s="319">
        <f t="shared" si="828"/>
        <v>1904.7016999999998</v>
      </c>
      <c r="O1006" s="319">
        <f t="shared" si="828"/>
        <v>0</v>
      </c>
      <c r="P1006" s="319">
        <f t="shared" si="828"/>
        <v>0</v>
      </c>
      <c r="Q1006" s="319">
        <f t="shared" si="828"/>
        <v>0</v>
      </c>
      <c r="R1006" s="319">
        <f t="shared" si="828"/>
        <v>0</v>
      </c>
      <c r="S1006" s="319">
        <f t="shared" si="828"/>
        <v>0</v>
      </c>
      <c r="T1006" s="319">
        <f t="shared" si="828"/>
        <v>0</v>
      </c>
      <c r="U1006" s="319">
        <f t="shared" si="828"/>
        <v>1904.7016999999998</v>
      </c>
      <c r="V1006" s="319">
        <f t="shared" si="828"/>
        <v>0</v>
      </c>
      <c r="W1006" s="319">
        <f t="shared" si="828"/>
        <v>0</v>
      </c>
      <c r="X1006" s="319">
        <f t="shared" si="828"/>
        <v>0</v>
      </c>
      <c r="Y1006" s="319">
        <f t="shared" si="828"/>
        <v>0</v>
      </c>
      <c r="Z1006" s="319">
        <f t="shared" si="828"/>
        <v>0</v>
      </c>
      <c r="AA1006" s="319">
        <f t="shared" si="828"/>
        <v>0</v>
      </c>
      <c r="AB1006" s="319">
        <f t="shared" si="828"/>
        <v>1904.7016999999998</v>
      </c>
      <c r="AC1006" s="319">
        <f t="shared" si="828"/>
        <v>0</v>
      </c>
      <c r="AD1006" s="319">
        <f t="shared" si="828"/>
        <v>0</v>
      </c>
      <c r="AE1006" s="319">
        <f t="shared" si="828"/>
        <v>0</v>
      </c>
      <c r="AF1006" s="319">
        <f t="shared" si="828"/>
        <v>0</v>
      </c>
      <c r="AG1006" s="319">
        <f t="shared" si="828"/>
        <v>0</v>
      </c>
      <c r="AH1006" s="319">
        <f t="shared" si="828"/>
        <v>0</v>
      </c>
      <c r="AI1006" s="319">
        <f t="shared" si="828"/>
        <v>1904.7016999999998</v>
      </c>
      <c r="AJ1006" s="319">
        <f t="shared" si="828"/>
        <v>0</v>
      </c>
      <c r="AK1006" s="499">
        <f t="shared" si="828"/>
        <v>0</v>
      </c>
      <c r="AL1006" s="499">
        <f t="shared" si="828"/>
        <v>0</v>
      </c>
      <c r="AM1006" s="499">
        <f t="shared" si="828"/>
        <v>0</v>
      </c>
      <c r="AN1006" s="499">
        <f t="shared" si="828"/>
        <v>0</v>
      </c>
    </row>
    <row r="1007" spans="3:40" s="118" customFormat="1" outlineLevel="2">
      <c r="C1007" t="str">
        <f t="shared" si="823"/>
        <v>Varrição Manual</v>
      </c>
      <c r="D1007" t="str">
        <f t="shared" si="823"/>
        <v>Indivisível</v>
      </c>
      <c r="E1007" s="76" t="str">
        <f t="shared" si="823"/>
        <v>$ 000s</v>
      </c>
      <c r="F1007" s="23">
        <f t="shared" si="824"/>
        <v>236.60580000000002</v>
      </c>
      <c r="G1007" s="319">
        <f t="shared" ref="G1007:AN1007" si="829">G404</f>
        <v>47.486600000000003</v>
      </c>
      <c r="H1007" s="319">
        <f t="shared" si="829"/>
        <v>0</v>
      </c>
      <c r="I1007" s="319">
        <f t="shared" si="829"/>
        <v>0</v>
      </c>
      <c r="J1007" s="319">
        <f t="shared" si="829"/>
        <v>3.0772000000000004</v>
      </c>
      <c r="K1007" s="319">
        <f t="shared" si="829"/>
        <v>0</v>
      </c>
      <c r="L1007" s="319">
        <f t="shared" si="829"/>
        <v>23.249400000000001</v>
      </c>
      <c r="M1007" s="319">
        <f t="shared" si="829"/>
        <v>3.0772000000000004</v>
      </c>
      <c r="N1007" s="319">
        <f t="shared" si="829"/>
        <v>0</v>
      </c>
      <c r="O1007" s="319">
        <f t="shared" si="829"/>
        <v>0</v>
      </c>
      <c r="P1007" s="319">
        <f t="shared" si="829"/>
        <v>3.2970000000000002</v>
      </c>
      <c r="Q1007" s="319">
        <f t="shared" si="829"/>
        <v>44.409400000000005</v>
      </c>
      <c r="R1007" s="319">
        <f t="shared" si="829"/>
        <v>0</v>
      </c>
      <c r="S1007" s="319">
        <f t="shared" si="829"/>
        <v>3.2970000000000002</v>
      </c>
      <c r="T1007" s="319">
        <f t="shared" si="829"/>
        <v>0</v>
      </c>
      <c r="U1007" s="319">
        <f t="shared" si="829"/>
        <v>0</v>
      </c>
      <c r="V1007" s="319">
        <f t="shared" si="829"/>
        <v>26.546400000000002</v>
      </c>
      <c r="W1007" s="319">
        <f t="shared" si="829"/>
        <v>0</v>
      </c>
      <c r="X1007" s="319">
        <f t="shared" si="829"/>
        <v>0</v>
      </c>
      <c r="Y1007" s="319">
        <f t="shared" si="829"/>
        <v>3.5168000000000004</v>
      </c>
      <c r="Z1007" s="319">
        <f t="shared" si="829"/>
        <v>0</v>
      </c>
      <c r="AA1007" s="319">
        <f t="shared" si="829"/>
        <v>44.409400000000005</v>
      </c>
      <c r="AB1007" s="319">
        <f t="shared" si="829"/>
        <v>3.5168000000000004</v>
      </c>
      <c r="AC1007" s="319">
        <f t="shared" si="829"/>
        <v>0</v>
      </c>
      <c r="AD1007" s="319">
        <f t="shared" si="829"/>
        <v>0</v>
      </c>
      <c r="AE1007" s="319">
        <f t="shared" si="829"/>
        <v>3.7366000000000001</v>
      </c>
      <c r="AF1007" s="319">
        <f t="shared" si="829"/>
        <v>23.249400000000001</v>
      </c>
      <c r="AG1007" s="319">
        <f t="shared" si="829"/>
        <v>0</v>
      </c>
      <c r="AH1007" s="319">
        <f t="shared" si="829"/>
        <v>3.7366000000000001</v>
      </c>
      <c r="AI1007" s="319">
        <f t="shared" si="829"/>
        <v>0</v>
      </c>
      <c r="AJ1007" s="319">
        <f t="shared" si="829"/>
        <v>0</v>
      </c>
      <c r="AK1007" s="499">
        <f t="shared" si="829"/>
        <v>0</v>
      </c>
      <c r="AL1007" s="499">
        <f t="shared" si="829"/>
        <v>0</v>
      </c>
      <c r="AM1007" s="499">
        <f t="shared" si="829"/>
        <v>0</v>
      </c>
      <c r="AN1007" s="499">
        <f t="shared" si="829"/>
        <v>0</v>
      </c>
    </row>
    <row r="1008" spans="3:40" s="118" customFormat="1" outlineLevel="2">
      <c r="C1008" t="str">
        <f t="shared" si="823"/>
        <v>Serviços Gerais</v>
      </c>
      <c r="D1008" t="str">
        <f t="shared" si="823"/>
        <v>Indivisível</v>
      </c>
      <c r="E1008" s="76" t="str">
        <f t="shared" si="823"/>
        <v>$ 000s</v>
      </c>
      <c r="F1008" s="23">
        <f t="shared" si="824"/>
        <v>1321.0890000000002</v>
      </c>
      <c r="G1008" s="319">
        <f t="shared" ref="G1008:AN1008" si="830">G405</f>
        <v>415.93299999999999</v>
      </c>
      <c r="H1008" s="319">
        <f t="shared" si="830"/>
        <v>0</v>
      </c>
      <c r="I1008" s="319">
        <f t="shared" si="830"/>
        <v>0</v>
      </c>
      <c r="J1008" s="319">
        <f t="shared" si="830"/>
        <v>10.47</v>
      </c>
      <c r="K1008" s="319">
        <f t="shared" si="830"/>
        <v>0</v>
      </c>
      <c r="L1008" s="319">
        <f t="shared" si="830"/>
        <v>0</v>
      </c>
      <c r="M1008" s="319">
        <f t="shared" si="830"/>
        <v>10.47</v>
      </c>
      <c r="N1008" s="319">
        <f t="shared" si="830"/>
        <v>0</v>
      </c>
      <c r="O1008" s="319">
        <f t="shared" si="830"/>
        <v>0</v>
      </c>
      <c r="P1008" s="319">
        <f t="shared" si="830"/>
        <v>10.47</v>
      </c>
      <c r="Q1008" s="319">
        <f t="shared" si="830"/>
        <v>405.46300000000002</v>
      </c>
      <c r="R1008" s="319">
        <f t="shared" si="830"/>
        <v>0</v>
      </c>
      <c r="S1008" s="319">
        <f t="shared" si="830"/>
        <v>10.47</v>
      </c>
      <c r="T1008" s="319">
        <f t="shared" si="830"/>
        <v>0</v>
      </c>
      <c r="U1008" s="319">
        <f t="shared" si="830"/>
        <v>0</v>
      </c>
      <c r="V1008" s="319">
        <f t="shared" si="830"/>
        <v>10.47</v>
      </c>
      <c r="W1008" s="319">
        <f t="shared" si="830"/>
        <v>0</v>
      </c>
      <c r="X1008" s="319">
        <f t="shared" si="830"/>
        <v>0</v>
      </c>
      <c r="Y1008" s="319">
        <f t="shared" si="830"/>
        <v>10.47</v>
      </c>
      <c r="Z1008" s="319">
        <f t="shared" si="830"/>
        <v>0</v>
      </c>
      <c r="AA1008" s="319">
        <f t="shared" si="830"/>
        <v>405.46300000000002</v>
      </c>
      <c r="AB1008" s="319">
        <f t="shared" si="830"/>
        <v>10.47</v>
      </c>
      <c r="AC1008" s="319">
        <f t="shared" si="830"/>
        <v>0</v>
      </c>
      <c r="AD1008" s="319">
        <f t="shared" si="830"/>
        <v>0</v>
      </c>
      <c r="AE1008" s="319">
        <f t="shared" si="830"/>
        <v>10.47</v>
      </c>
      <c r="AF1008" s="319">
        <f t="shared" si="830"/>
        <v>0</v>
      </c>
      <c r="AG1008" s="319">
        <f t="shared" si="830"/>
        <v>0</v>
      </c>
      <c r="AH1008" s="319">
        <f t="shared" si="830"/>
        <v>10.47</v>
      </c>
      <c r="AI1008" s="319">
        <f t="shared" si="830"/>
        <v>0</v>
      </c>
      <c r="AJ1008" s="319">
        <f t="shared" si="830"/>
        <v>0</v>
      </c>
      <c r="AK1008" s="499">
        <f t="shared" si="830"/>
        <v>0</v>
      </c>
      <c r="AL1008" s="499">
        <f t="shared" si="830"/>
        <v>0</v>
      </c>
      <c r="AM1008" s="499">
        <f t="shared" si="830"/>
        <v>0</v>
      </c>
      <c r="AN1008" s="499">
        <f t="shared" si="830"/>
        <v>0</v>
      </c>
    </row>
    <row r="1009" spans="3:41" s="118" customFormat="1" outlineLevel="2">
      <c r="C1009" t="str">
        <f t="shared" si="823"/>
        <v>Roçada</v>
      </c>
      <c r="D1009" t="str">
        <f t="shared" si="823"/>
        <v>Divisivel</v>
      </c>
      <c r="E1009" s="76" t="str">
        <f t="shared" si="823"/>
        <v>$ 000s</v>
      </c>
      <c r="F1009" s="23">
        <f t="shared" ref="F1009" si="831">SUM(G1009:AN1009)</f>
        <v>1709.1859999999995</v>
      </c>
      <c r="G1009" s="319">
        <f t="shared" ref="G1009:AN1009" si="832">G406</f>
        <v>455.72200000000004</v>
      </c>
      <c r="H1009" s="319">
        <f t="shared" si="832"/>
        <v>0</v>
      </c>
      <c r="I1009" s="319">
        <f t="shared" si="832"/>
        <v>0</v>
      </c>
      <c r="J1009" s="319">
        <f t="shared" si="832"/>
        <v>48.86</v>
      </c>
      <c r="K1009" s="319">
        <f t="shared" si="832"/>
        <v>0</v>
      </c>
      <c r="L1009" s="319">
        <f t="shared" si="832"/>
        <v>0</v>
      </c>
      <c r="M1009" s="319">
        <f t="shared" si="832"/>
        <v>48.86</v>
      </c>
      <c r="N1009" s="319">
        <f t="shared" si="832"/>
        <v>0</v>
      </c>
      <c r="O1009" s="319">
        <f t="shared" si="832"/>
        <v>0</v>
      </c>
      <c r="P1009" s="319">
        <f t="shared" si="832"/>
        <v>48.86</v>
      </c>
      <c r="Q1009" s="319">
        <f t="shared" si="832"/>
        <v>406.86200000000002</v>
      </c>
      <c r="R1009" s="319">
        <f t="shared" si="832"/>
        <v>0</v>
      </c>
      <c r="S1009" s="319">
        <f t="shared" si="832"/>
        <v>48.86</v>
      </c>
      <c r="T1009" s="319">
        <f t="shared" si="832"/>
        <v>0</v>
      </c>
      <c r="U1009" s="319">
        <f t="shared" si="832"/>
        <v>0</v>
      </c>
      <c r="V1009" s="319">
        <f t="shared" si="832"/>
        <v>48.86</v>
      </c>
      <c r="W1009" s="319">
        <f t="shared" si="832"/>
        <v>0</v>
      </c>
      <c r="X1009" s="319">
        <f t="shared" si="832"/>
        <v>0</v>
      </c>
      <c r="Y1009" s="319">
        <f t="shared" si="832"/>
        <v>48.86</v>
      </c>
      <c r="Z1009" s="319">
        <f t="shared" si="832"/>
        <v>0</v>
      </c>
      <c r="AA1009" s="319">
        <f t="shared" si="832"/>
        <v>406.86200000000002</v>
      </c>
      <c r="AB1009" s="319">
        <f t="shared" si="832"/>
        <v>48.86</v>
      </c>
      <c r="AC1009" s="319">
        <f t="shared" si="832"/>
        <v>0</v>
      </c>
      <c r="AD1009" s="319">
        <f t="shared" si="832"/>
        <v>0</v>
      </c>
      <c r="AE1009" s="319">
        <f t="shared" si="832"/>
        <v>48.86</v>
      </c>
      <c r="AF1009" s="319">
        <f t="shared" si="832"/>
        <v>0</v>
      </c>
      <c r="AG1009" s="319">
        <f t="shared" si="832"/>
        <v>0</v>
      </c>
      <c r="AH1009" s="319">
        <f t="shared" si="832"/>
        <v>48.86</v>
      </c>
      <c r="AI1009" s="319">
        <f t="shared" si="832"/>
        <v>0</v>
      </c>
      <c r="AJ1009" s="319">
        <f t="shared" si="832"/>
        <v>0</v>
      </c>
      <c r="AK1009" s="499">
        <f t="shared" si="832"/>
        <v>0</v>
      </c>
      <c r="AL1009" s="499">
        <f t="shared" si="832"/>
        <v>0</v>
      </c>
      <c r="AM1009" s="499">
        <f t="shared" si="832"/>
        <v>0</v>
      </c>
      <c r="AN1009" s="499">
        <f t="shared" si="832"/>
        <v>0</v>
      </c>
    </row>
    <row r="1010" spans="3:41" s="118" customFormat="1" outlineLevel="2">
      <c r="C1010" t="str">
        <f t="shared" si="823"/>
        <v>Investimentos Destinação Final</v>
      </c>
      <c r="D1010" t="str">
        <f t="shared" si="823"/>
        <v>Divisivel</v>
      </c>
      <c r="E1010" s="76" t="str">
        <f t="shared" si="823"/>
        <v>$ 000s</v>
      </c>
      <c r="F1010" s="23">
        <f t="shared" si="824"/>
        <v>21841.042462563055</v>
      </c>
      <c r="G1010" s="319">
        <f t="shared" ref="G1010:AN1010" si="833">G407</f>
        <v>365.43042089599805</v>
      </c>
      <c r="H1010" s="319">
        <f t="shared" si="833"/>
        <v>1410.9263993250449</v>
      </c>
      <c r="I1010" s="319">
        <f t="shared" si="833"/>
        <v>378.16893583420006</v>
      </c>
      <c r="J1010" s="319">
        <f t="shared" si="833"/>
        <v>49.327041674200004</v>
      </c>
      <c r="K1010" s="319">
        <f t="shared" si="833"/>
        <v>49.327041674200004</v>
      </c>
      <c r="L1010" s="319">
        <f t="shared" si="833"/>
        <v>12201.004333370471</v>
      </c>
      <c r="M1010" s="319">
        <f t="shared" si="833"/>
        <v>168.31293295294401</v>
      </c>
      <c r="N1010" s="319">
        <f t="shared" si="833"/>
        <v>52.042301674200004</v>
      </c>
      <c r="O1010" s="319">
        <f t="shared" si="833"/>
        <v>43.404541674200004</v>
      </c>
      <c r="P1010" s="319">
        <f t="shared" si="833"/>
        <v>69.327041674200004</v>
      </c>
      <c r="Q1010" s="319">
        <f t="shared" si="833"/>
        <v>107.3752145185596</v>
      </c>
      <c r="R1010" s="319">
        <f t="shared" si="833"/>
        <v>347.06917320436901</v>
      </c>
      <c r="S1010" s="319">
        <f t="shared" si="833"/>
        <v>83.822160106200016</v>
      </c>
      <c r="T1010" s="319">
        <f t="shared" si="833"/>
        <v>178.80952295294401</v>
      </c>
      <c r="U1010" s="319">
        <f t="shared" si="833"/>
        <v>43.404541674200004</v>
      </c>
      <c r="V1010" s="319">
        <f t="shared" si="833"/>
        <v>2480.8966560422537</v>
      </c>
      <c r="W1010" s="319">
        <f t="shared" si="833"/>
        <v>58.830451674199999</v>
      </c>
      <c r="X1010" s="319">
        <f t="shared" si="833"/>
        <v>66.119801674200005</v>
      </c>
      <c r="Y1010" s="319">
        <f t="shared" si="833"/>
        <v>49.327041674200004</v>
      </c>
      <c r="Z1010" s="319">
        <f t="shared" si="833"/>
        <v>49.327041674200004</v>
      </c>
      <c r="AA1010" s="319">
        <f t="shared" si="833"/>
        <v>210.93519579730363</v>
      </c>
      <c r="AB1010" s="319">
        <f t="shared" si="833"/>
        <v>372.99167320436902</v>
      </c>
      <c r="AC1010" s="319">
        <f t="shared" si="833"/>
        <v>83.822160106200016</v>
      </c>
      <c r="AD1010" s="319">
        <f t="shared" si="833"/>
        <v>43.404541674200004</v>
      </c>
      <c r="AE1010" s="319">
        <f t="shared" si="833"/>
        <v>49.327041674200004</v>
      </c>
      <c r="AF1010" s="319">
        <f t="shared" si="833"/>
        <v>2501.1449361862537</v>
      </c>
      <c r="AG1010" s="319">
        <f t="shared" si="833"/>
        <v>52.9079516742</v>
      </c>
      <c r="AH1010" s="319">
        <f t="shared" si="833"/>
        <v>161.52478295294401</v>
      </c>
      <c r="AI1010" s="319">
        <f t="shared" si="833"/>
        <v>49.327041674200004</v>
      </c>
      <c r="AJ1010" s="319">
        <f t="shared" si="833"/>
        <v>63.404541674200004</v>
      </c>
      <c r="AK1010" s="499">
        <f t="shared" si="833"/>
        <v>0</v>
      </c>
      <c r="AL1010" s="499">
        <f t="shared" si="833"/>
        <v>0</v>
      </c>
      <c r="AM1010" s="499">
        <f t="shared" si="833"/>
        <v>0</v>
      </c>
      <c r="AN1010" s="499">
        <f t="shared" si="833"/>
        <v>0</v>
      </c>
    </row>
    <row r="1011" spans="3:41" s="118" customFormat="1" outlineLevel="2">
      <c r="C1011" t="str">
        <f t="shared" si="823"/>
        <v>Relação Com O Usuário</v>
      </c>
      <c r="D1011" t="str">
        <f t="shared" si="823"/>
        <v>Indivisível</v>
      </c>
      <c r="E1011" s="76" t="str">
        <f t="shared" si="823"/>
        <v>$ 000s</v>
      </c>
      <c r="F1011" s="23">
        <f t="shared" si="824"/>
        <v>473.21202999999997</v>
      </c>
      <c r="G1011" s="319">
        <f t="shared" ref="G1011:AN1011" si="834">G408</f>
        <v>175.2099</v>
      </c>
      <c r="H1011" s="319">
        <f t="shared" si="834"/>
        <v>61.509409999999995</v>
      </c>
      <c r="I1011" s="319">
        <f t="shared" si="834"/>
        <v>0</v>
      </c>
      <c r="J1011" s="319">
        <f t="shared" si="834"/>
        <v>0</v>
      </c>
      <c r="K1011" s="319">
        <f t="shared" si="834"/>
        <v>0</v>
      </c>
      <c r="L1011" s="319">
        <f t="shared" si="834"/>
        <v>25.209900000000001</v>
      </c>
      <c r="M1011" s="319">
        <f t="shared" si="834"/>
        <v>10.874799999999999</v>
      </c>
      <c r="N1011" s="319">
        <f t="shared" si="834"/>
        <v>0</v>
      </c>
      <c r="O1011" s="319">
        <f t="shared" si="834"/>
        <v>0</v>
      </c>
      <c r="P1011" s="319">
        <f t="shared" si="834"/>
        <v>0</v>
      </c>
      <c r="Q1011" s="319">
        <f t="shared" si="834"/>
        <v>25.209900000000001</v>
      </c>
      <c r="R1011" s="319">
        <f t="shared" si="834"/>
        <v>38.909409999999994</v>
      </c>
      <c r="S1011" s="319">
        <f t="shared" si="834"/>
        <v>0</v>
      </c>
      <c r="T1011" s="319">
        <f t="shared" si="834"/>
        <v>0</v>
      </c>
      <c r="U1011" s="319">
        <f t="shared" si="834"/>
        <v>0</v>
      </c>
      <c r="V1011" s="319">
        <f t="shared" si="834"/>
        <v>25.209900000000001</v>
      </c>
      <c r="W1011" s="319">
        <f t="shared" si="834"/>
        <v>10.874799999999999</v>
      </c>
      <c r="X1011" s="319">
        <f t="shared" si="834"/>
        <v>0</v>
      </c>
      <c r="Y1011" s="319">
        <f t="shared" si="834"/>
        <v>0</v>
      </c>
      <c r="Z1011" s="319">
        <f t="shared" si="834"/>
        <v>0</v>
      </c>
      <c r="AA1011" s="319">
        <f t="shared" si="834"/>
        <v>25.209900000000001</v>
      </c>
      <c r="AB1011" s="319">
        <f t="shared" si="834"/>
        <v>38.909409999999994</v>
      </c>
      <c r="AC1011" s="319">
        <f t="shared" si="834"/>
        <v>0</v>
      </c>
      <c r="AD1011" s="319">
        <f t="shared" si="834"/>
        <v>0</v>
      </c>
      <c r="AE1011" s="319">
        <f t="shared" si="834"/>
        <v>0</v>
      </c>
      <c r="AF1011" s="319">
        <f t="shared" si="834"/>
        <v>25.209900000000001</v>
      </c>
      <c r="AG1011" s="319">
        <f t="shared" si="834"/>
        <v>10.874799999999999</v>
      </c>
      <c r="AH1011" s="319">
        <f t="shared" si="834"/>
        <v>0</v>
      </c>
      <c r="AI1011" s="319">
        <f t="shared" si="834"/>
        <v>0</v>
      </c>
      <c r="AJ1011" s="319">
        <f t="shared" si="834"/>
        <v>0</v>
      </c>
      <c r="AK1011" s="499">
        <f t="shared" si="834"/>
        <v>0</v>
      </c>
      <c r="AL1011" s="499">
        <f t="shared" si="834"/>
        <v>0</v>
      </c>
      <c r="AM1011" s="499">
        <f t="shared" si="834"/>
        <v>0</v>
      </c>
      <c r="AN1011" s="499">
        <f t="shared" si="834"/>
        <v>0</v>
      </c>
    </row>
    <row r="1012" spans="3:41" s="118" customFormat="1" outlineLevel="2">
      <c r="C1012" t="str">
        <f t="shared" si="823"/>
        <v>Administração Local</v>
      </c>
      <c r="D1012" t="str">
        <f t="shared" si="823"/>
        <v>Indivisível</v>
      </c>
      <c r="E1012" s="76" t="str">
        <f t="shared" si="823"/>
        <v>$ 000s</v>
      </c>
      <c r="F1012" s="23">
        <f t="shared" si="824"/>
        <v>458.99517000000003</v>
      </c>
      <c r="G1012" s="319">
        <f t="shared" ref="G1012:AN1012" si="835">G409</f>
        <v>126.94889000000001</v>
      </c>
      <c r="H1012" s="319">
        <f t="shared" si="835"/>
        <v>0</v>
      </c>
      <c r="I1012" s="319">
        <f t="shared" si="835"/>
        <v>0</v>
      </c>
      <c r="J1012" s="319">
        <f t="shared" si="835"/>
        <v>0</v>
      </c>
      <c r="K1012" s="319">
        <f t="shared" si="835"/>
        <v>0</v>
      </c>
      <c r="L1012" s="319">
        <f t="shared" si="835"/>
        <v>26.049499999999998</v>
      </c>
      <c r="M1012" s="319">
        <f t="shared" si="835"/>
        <v>0</v>
      </c>
      <c r="N1012" s="319">
        <f t="shared" si="835"/>
        <v>0</v>
      </c>
      <c r="O1012" s="319">
        <f t="shared" si="835"/>
        <v>0</v>
      </c>
      <c r="P1012" s="319">
        <f t="shared" si="835"/>
        <v>0</v>
      </c>
      <c r="Q1012" s="319">
        <f t="shared" si="835"/>
        <v>126.94889000000001</v>
      </c>
      <c r="R1012" s="319">
        <f t="shared" si="835"/>
        <v>0</v>
      </c>
      <c r="S1012" s="319">
        <f t="shared" si="835"/>
        <v>0</v>
      </c>
      <c r="T1012" s="319">
        <f t="shared" si="835"/>
        <v>0</v>
      </c>
      <c r="U1012" s="319">
        <f t="shared" si="835"/>
        <v>0</v>
      </c>
      <c r="V1012" s="319">
        <f t="shared" si="835"/>
        <v>26.049499999999998</v>
      </c>
      <c r="W1012" s="319">
        <f t="shared" si="835"/>
        <v>0</v>
      </c>
      <c r="X1012" s="319">
        <f t="shared" si="835"/>
        <v>0</v>
      </c>
      <c r="Y1012" s="319">
        <f t="shared" si="835"/>
        <v>0</v>
      </c>
      <c r="Z1012" s="319">
        <f t="shared" si="835"/>
        <v>0</v>
      </c>
      <c r="AA1012" s="319">
        <f t="shared" si="835"/>
        <v>126.94889000000001</v>
      </c>
      <c r="AB1012" s="319">
        <f t="shared" si="835"/>
        <v>0</v>
      </c>
      <c r="AC1012" s="319">
        <f t="shared" si="835"/>
        <v>0</v>
      </c>
      <c r="AD1012" s="319">
        <f t="shared" si="835"/>
        <v>0</v>
      </c>
      <c r="AE1012" s="319">
        <f t="shared" si="835"/>
        <v>0</v>
      </c>
      <c r="AF1012" s="319">
        <f t="shared" si="835"/>
        <v>26.049499999999998</v>
      </c>
      <c r="AG1012" s="319">
        <f t="shared" si="835"/>
        <v>0</v>
      </c>
      <c r="AH1012" s="319">
        <f t="shared" si="835"/>
        <v>0</v>
      </c>
      <c r="AI1012" s="319">
        <f t="shared" si="835"/>
        <v>0</v>
      </c>
      <c r="AJ1012" s="319">
        <f t="shared" si="835"/>
        <v>0</v>
      </c>
      <c r="AK1012" s="499">
        <f t="shared" si="835"/>
        <v>0</v>
      </c>
      <c r="AL1012" s="499">
        <f t="shared" si="835"/>
        <v>0</v>
      </c>
      <c r="AM1012" s="499">
        <f t="shared" si="835"/>
        <v>0</v>
      </c>
      <c r="AN1012" s="499">
        <f t="shared" si="835"/>
        <v>0</v>
      </c>
    </row>
    <row r="1013" spans="3:41" s="118" customFormat="1" outlineLevel="2">
      <c r="C1013" t="str">
        <f t="shared" si="823"/>
        <v>Reembolso Do PMI</v>
      </c>
      <c r="D1013" t="str">
        <f t="shared" si="823"/>
        <v>Indivisível</v>
      </c>
      <c r="E1013" s="76" t="str">
        <f t="shared" si="823"/>
        <v>$ 000s</v>
      </c>
      <c r="F1013" s="23">
        <f t="shared" si="824"/>
        <v>1000</v>
      </c>
      <c r="G1013" s="319">
        <f t="shared" ref="G1013:AN1013" si="836">G410</f>
        <v>1000</v>
      </c>
      <c r="H1013" s="319">
        <f t="shared" si="836"/>
        <v>0</v>
      </c>
      <c r="I1013" s="319">
        <f t="shared" si="836"/>
        <v>0</v>
      </c>
      <c r="J1013" s="319">
        <f t="shared" si="836"/>
        <v>0</v>
      </c>
      <c r="K1013" s="319">
        <f t="shared" si="836"/>
        <v>0</v>
      </c>
      <c r="L1013" s="319">
        <f t="shared" si="836"/>
        <v>0</v>
      </c>
      <c r="M1013" s="319">
        <f t="shared" si="836"/>
        <v>0</v>
      </c>
      <c r="N1013" s="319">
        <f t="shared" si="836"/>
        <v>0</v>
      </c>
      <c r="O1013" s="319">
        <f t="shared" si="836"/>
        <v>0</v>
      </c>
      <c r="P1013" s="319">
        <f t="shared" si="836"/>
        <v>0</v>
      </c>
      <c r="Q1013" s="319">
        <f t="shared" si="836"/>
        <v>0</v>
      </c>
      <c r="R1013" s="319">
        <f t="shared" si="836"/>
        <v>0</v>
      </c>
      <c r="S1013" s="319">
        <f t="shared" si="836"/>
        <v>0</v>
      </c>
      <c r="T1013" s="319">
        <f t="shared" si="836"/>
        <v>0</v>
      </c>
      <c r="U1013" s="319">
        <f t="shared" si="836"/>
        <v>0</v>
      </c>
      <c r="V1013" s="319">
        <f t="shared" si="836"/>
        <v>0</v>
      </c>
      <c r="W1013" s="319">
        <f t="shared" si="836"/>
        <v>0</v>
      </c>
      <c r="X1013" s="319">
        <f t="shared" si="836"/>
        <v>0</v>
      </c>
      <c r="Y1013" s="319">
        <f t="shared" si="836"/>
        <v>0</v>
      </c>
      <c r="Z1013" s="319">
        <f t="shared" si="836"/>
        <v>0</v>
      </c>
      <c r="AA1013" s="319">
        <f t="shared" si="836"/>
        <v>0</v>
      </c>
      <c r="AB1013" s="319">
        <f t="shared" si="836"/>
        <v>0</v>
      </c>
      <c r="AC1013" s="319">
        <f t="shared" si="836"/>
        <v>0</v>
      </c>
      <c r="AD1013" s="319">
        <f t="shared" si="836"/>
        <v>0</v>
      </c>
      <c r="AE1013" s="319">
        <f t="shared" si="836"/>
        <v>0</v>
      </c>
      <c r="AF1013" s="319">
        <f t="shared" si="836"/>
        <v>0</v>
      </c>
      <c r="AG1013" s="319">
        <f t="shared" si="836"/>
        <v>0</v>
      </c>
      <c r="AH1013" s="319">
        <f t="shared" si="836"/>
        <v>0</v>
      </c>
      <c r="AI1013" s="319">
        <f t="shared" si="836"/>
        <v>0</v>
      </c>
      <c r="AJ1013" s="319">
        <f t="shared" si="836"/>
        <v>0</v>
      </c>
      <c r="AK1013" s="499">
        <f t="shared" si="836"/>
        <v>0</v>
      </c>
      <c r="AL1013" s="499">
        <f t="shared" si="836"/>
        <v>0</v>
      </c>
      <c r="AM1013" s="499">
        <f t="shared" si="836"/>
        <v>0</v>
      </c>
      <c r="AN1013" s="499">
        <f t="shared" si="836"/>
        <v>0</v>
      </c>
    </row>
    <row r="1014" spans="3:41" s="118" customFormat="1" ht="13.8" outlineLevel="1">
      <c r="C1014" s="499">
        <f>C411</f>
        <v>0</v>
      </c>
      <c r="E1014" s="497"/>
    </row>
    <row r="1015" spans="3:41" outlineLevel="1">
      <c r="C1015" s="11" t="s">
        <v>526</v>
      </c>
    </row>
    <row r="1016" spans="3:41" outlineLevel="2">
      <c r="C1016" s="266" t="s">
        <v>527</v>
      </c>
      <c r="D1016" t="s">
        <v>171</v>
      </c>
      <c r="E1016" s="32" t="s">
        <v>13</v>
      </c>
      <c r="F1016" s="23">
        <f>SUM(G1016:AN1016)</f>
        <v>3489.9020000000005</v>
      </c>
      <c r="G1016" s="278">
        <f t="shared" ref="G1016:AN1016" si="837">SUMIF($D$1003:$D$1013,$D$1016,G1003:G1013)</f>
        <v>1765.5783900000001</v>
      </c>
      <c r="H1016" s="278">
        <f t="shared" si="837"/>
        <v>61.509409999999995</v>
      </c>
      <c r="I1016" s="278">
        <f t="shared" si="837"/>
        <v>0</v>
      </c>
      <c r="J1016" s="278">
        <f t="shared" si="837"/>
        <v>13.5472</v>
      </c>
      <c r="K1016" s="278">
        <f t="shared" si="837"/>
        <v>0</v>
      </c>
      <c r="L1016" s="278">
        <f t="shared" si="837"/>
        <v>74.508799999999994</v>
      </c>
      <c r="M1016" s="278">
        <f t="shared" si="837"/>
        <v>24.421999999999997</v>
      </c>
      <c r="N1016" s="278">
        <f t="shared" si="837"/>
        <v>0</v>
      </c>
      <c r="O1016" s="278">
        <f t="shared" si="837"/>
        <v>0</v>
      </c>
      <c r="P1016" s="278">
        <f t="shared" si="837"/>
        <v>13.767000000000001</v>
      </c>
      <c r="Q1016" s="278">
        <f t="shared" si="837"/>
        <v>602.03119000000004</v>
      </c>
      <c r="R1016" s="278">
        <f t="shared" si="837"/>
        <v>38.909409999999994</v>
      </c>
      <c r="S1016" s="278">
        <f t="shared" si="837"/>
        <v>13.767000000000001</v>
      </c>
      <c r="T1016" s="278">
        <f t="shared" si="837"/>
        <v>0</v>
      </c>
      <c r="U1016" s="278">
        <f t="shared" si="837"/>
        <v>0</v>
      </c>
      <c r="V1016" s="278">
        <f t="shared" si="837"/>
        <v>88.275800000000004</v>
      </c>
      <c r="W1016" s="278">
        <f t="shared" si="837"/>
        <v>10.874799999999999</v>
      </c>
      <c r="X1016" s="278">
        <f t="shared" si="837"/>
        <v>0</v>
      </c>
      <c r="Y1016" s="278">
        <f t="shared" si="837"/>
        <v>13.986800000000001</v>
      </c>
      <c r="Z1016" s="278">
        <f t="shared" si="837"/>
        <v>0</v>
      </c>
      <c r="AA1016" s="278">
        <f t="shared" si="837"/>
        <v>602.03119000000004</v>
      </c>
      <c r="AB1016" s="278">
        <f t="shared" si="837"/>
        <v>52.896209999999996</v>
      </c>
      <c r="AC1016" s="278">
        <f t="shared" si="837"/>
        <v>0</v>
      </c>
      <c r="AD1016" s="278">
        <f t="shared" si="837"/>
        <v>0</v>
      </c>
      <c r="AE1016" s="278">
        <f t="shared" si="837"/>
        <v>14.206600000000002</v>
      </c>
      <c r="AF1016" s="278">
        <f t="shared" si="837"/>
        <v>74.508799999999994</v>
      </c>
      <c r="AG1016" s="278">
        <f t="shared" si="837"/>
        <v>10.874799999999999</v>
      </c>
      <c r="AH1016" s="278">
        <f t="shared" si="837"/>
        <v>14.206600000000002</v>
      </c>
      <c r="AI1016" s="278">
        <f t="shared" si="837"/>
        <v>0</v>
      </c>
      <c r="AJ1016" s="278">
        <f t="shared" si="837"/>
        <v>0</v>
      </c>
      <c r="AK1016" s="278">
        <f t="shared" si="837"/>
        <v>0</v>
      </c>
      <c r="AL1016" s="278">
        <f t="shared" si="837"/>
        <v>0</v>
      </c>
      <c r="AM1016" s="278">
        <f t="shared" si="837"/>
        <v>0</v>
      </c>
      <c r="AN1016" s="278">
        <f t="shared" si="837"/>
        <v>0</v>
      </c>
    </row>
    <row r="1017" spans="3:41" outlineLevel="2"/>
    <row r="1018" spans="3:41" outlineLevel="2">
      <c r="C1018" s="266" t="s">
        <v>528</v>
      </c>
      <c r="D1018">
        <f>Project_IRR_Paste</f>
        <v>0.1003105461597443</v>
      </c>
      <c r="E1018" s="32" t="s">
        <v>23</v>
      </c>
    </row>
    <row r="1019" spans="3:41" outlineLevel="2"/>
    <row r="1020" spans="3:41" outlineLevel="2">
      <c r="C1020" s="266" t="str">
        <f>Flags!C72</f>
        <v>Cons + Ops Flag</v>
      </c>
      <c r="D1020" s="266"/>
      <c r="E1020" s="32" t="str">
        <f>Flags!E72</f>
        <v>Flag</v>
      </c>
      <c r="F1020" s="23">
        <f>Flags!F72</f>
        <v>30</v>
      </c>
      <c r="G1020" s="25">
        <f>Flags!G72</f>
        <v>1</v>
      </c>
      <c r="H1020" s="25">
        <f>Flags!H72</f>
        <v>1</v>
      </c>
      <c r="I1020" s="25">
        <f>Flags!I72</f>
        <v>1</v>
      </c>
      <c r="J1020" s="25">
        <f>Flags!J72</f>
        <v>1</v>
      </c>
      <c r="K1020" s="25">
        <f>Flags!K72</f>
        <v>1</v>
      </c>
      <c r="L1020" s="25">
        <f>Flags!L72</f>
        <v>1</v>
      </c>
      <c r="M1020" s="25">
        <f>Flags!M72</f>
        <v>1</v>
      </c>
      <c r="N1020" s="25">
        <f>Flags!N72</f>
        <v>1</v>
      </c>
      <c r="O1020" s="25">
        <f>Flags!O72</f>
        <v>1</v>
      </c>
      <c r="P1020" s="25">
        <f>Flags!P72</f>
        <v>1</v>
      </c>
      <c r="Q1020" s="25">
        <f>Flags!Q72</f>
        <v>1</v>
      </c>
      <c r="R1020" s="25">
        <f>Flags!R72</f>
        <v>1</v>
      </c>
      <c r="S1020" s="25">
        <f>Flags!S72</f>
        <v>1</v>
      </c>
      <c r="T1020" s="25">
        <f>Flags!T72</f>
        <v>1</v>
      </c>
      <c r="U1020" s="25">
        <f>Flags!U72</f>
        <v>1</v>
      </c>
      <c r="V1020" s="25">
        <f>Flags!V72</f>
        <v>1</v>
      </c>
      <c r="W1020" s="25">
        <f>Flags!W72</f>
        <v>1</v>
      </c>
      <c r="X1020" s="25">
        <f>Flags!X72</f>
        <v>1</v>
      </c>
      <c r="Y1020" s="25">
        <f>Flags!Y72</f>
        <v>1</v>
      </c>
      <c r="Z1020" s="25">
        <f>Flags!Z72</f>
        <v>1</v>
      </c>
      <c r="AA1020" s="25">
        <f>Flags!AA72</f>
        <v>1</v>
      </c>
      <c r="AB1020" s="25">
        <f>Flags!AB72</f>
        <v>1</v>
      </c>
      <c r="AC1020" s="25">
        <f>Flags!AC72</f>
        <v>1</v>
      </c>
      <c r="AD1020" s="25">
        <f>Flags!AD72</f>
        <v>1</v>
      </c>
      <c r="AE1020" s="25">
        <f>Flags!AE72</f>
        <v>1</v>
      </c>
      <c r="AF1020" s="25">
        <f>Flags!AF72</f>
        <v>1</v>
      </c>
      <c r="AG1020" s="25">
        <f>Flags!AG72</f>
        <v>1</v>
      </c>
      <c r="AH1020" s="25">
        <f>Flags!AH72</f>
        <v>1</v>
      </c>
      <c r="AI1020" s="25">
        <f>Flags!AI72</f>
        <v>1</v>
      </c>
      <c r="AJ1020" s="25">
        <f>Flags!AJ72</f>
        <v>1</v>
      </c>
      <c r="AK1020" s="25">
        <f>Flags!AK72</f>
        <v>0</v>
      </c>
      <c r="AL1020" s="25">
        <f>Flags!AL72</f>
        <v>0</v>
      </c>
      <c r="AM1020" s="25">
        <f>Flags!AM72</f>
        <v>0</v>
      </c>
      <c r="AN1020" s="25">
        <f>Flags!AN72</f>
        <v>0</v>
      </c>
      <c r="AO1020" s="118"/>
    </row>
    <row r="1021" spans="3:41" outlineLevel="2"/>
    <row r="1022" spans="3:41" outlineLevel="2">
      <c r="C1022" s="270" t="s">
        <v>529</v>
      </c>
      <c r="D1022" s="81"/>
      <c r="E1022" s="204" t="s">
        <v>13</v>
      </c>
      <c r="F1022" s="270"/>
      <c r="G1022" s="327">
        <f t="shared" ref="G1022:AL1022" si="838">F1026</f>
        <v>0</v>
      </c>
      <c r="H1022" s="327">
        <f t="shared" si="838"/>
        <v>1765.5783900000001</v>
      </c>
      <c r="I1022" s="327">
        <f t="shared" si="838"/>
        <v>1830.1314470206185</v>
      </c>
      <c r="J1022" s="327">
        <f t="shared" si="838"/>
        <v>1831.5457822205922</v>
      </c>
      <c r="K1022" s="327">
        <f t="shared" si="838"/>
        <v>1844.6214580497033</v>
      </c>
      <c r="L1022" s="327">
        <f t="shared" si="838"/>
        <v>1842.0790652151309</v>
      </c>
      <c r="M1022" s="327">
        <f t="shared" si="838"/>
        <v>1911.793202937884</v>
      </c>
      <c r="N1022" s="327">
        <f t="shared" si="838"/>
        <v>1928.670290357627</v>
      </c>
      <c r="O1022" s="327">
        <f t="shared" si="838"/>
        <v>1918.2030404899817</v>
      </c>
      <c r="P1022" s="327">
        <f t="shared" si="838"/>
        <v>1904.6489691845791</v>
      </c>
      <c r="Q1022" s="327">
        <f t="shared" si="838"/>
        <v>1901.4871497662964</v>
      </c>
      <c r="R1022" s="327">
        <f t="shared" si="838"/>
        <v>2482.7471192075309</v>
      </c>
      <c r="S1022" s="327">
        <f t="shared" si="838"/>
        <v>2488.8620950079894</v>
      </c>
      <c r="T1022" s="327">
        <f t="shared" si="838"/>
        <v>2463.3341708698154</v>
      </c>
      <c r="U1022" s="327">
        <f t="shared" si="838"/>
        <v>2417.2290649959859</v>
      </c>
      <c r="V1022" s="327">
        <f t="shared" si="838"/>
        <v>2363.9002147276992</v>
      </c>
      <c r="W1022" s="327">
        <f t="shared" si="838"/>
        <v>2390.9248427669063</v>
      </c>
      <c r="X1022" s="327">
        <f t="shared" si="838"/>
        <v>2329.1756146530452</v>
      </c>
      <c r="Y1022" s="327">
        <f t="shared" si="838"/>
        <v>2246.2604770810567</v>
      </c>
      <c r="Z1022" s="327">
        <f t="shared" si="838"/>
        <v>2166.4091599172248</v>
      </c>
      <c r="AA1022" s="327">
        <f t="shared" si="838"/>
        <v>2059.8897636600641</v>
      </c>
      <c r="AB1022" s="327">
        <f t="shared" si="838"/>
        <v>2542.143938449442</v>
      </c>
      <c r="AC1022" s="327">
        <f t="shared" si="838"/>
        <v>2419.0132032399488</v>
      </c>
      <c r="AD1022" s="327">
        <f t="shared" si="838"/>
        <v>2217.6172293491322</v>
      </c>
      <c r="AE1022" s="327">
        <f t="shared" si="838"/>
        <v>1992.6687639721267</v>
      </c>
      <c r="AF1022" s="327">
        <f t="shared" si="838"/>
        <v>1756.0426366322315</v>
      </c>
      <c r="AG1022" s="327">
        <f t="shared" si="838"/>
        <v>1548.9903511437237</v>
      </c>
      <c r="AH1022" s="327">
        <f t="shared" si="838"/>
        <v>1230.9531224838229</v>
      </c>
      <c r="AI1022" s="327">
        <f t="shared" si="838"/>
        <v>876.57671024229251</v>
      </c>
      <c r="AJ1022" s="327">
        <f t="shared" si="838"/>
        <v>460.86218391810121</v>
      </c>
      <c r="AK1022" s="327">
        <f t="shared" si="838"/>
        <v>0</v>
      </c>
      <c r="AL1022" s="327">
        <f t="shared" si="838"/>
        <v>0</v>
      </c>
      <c r="AM1022" s="327">
        <f t="shared" ref="AM1022:AN1022" si="839">AL1026</f>
        <v>0</v>
      </c>
      <c r="AN1022" s="327">
        <f t="shared" si="839"/>
        <v>0</v>
      </c>
    </row>
    <row r="1023" spans="3:41" outlineLevel="2">
      <c r="C1023" s="314" t="s">
        <v>527</v>
      </c>
      <c r="E1023" s="76" t="s">
        <v>13</v>
      </c>
      <c r="G1023" s="273">
        <f t="shared" ref="G1023:AN1023" si="840">G1016</f>
        <v>1765.5783900000001</v>
      </c>
      <c r="H1023" s="273">
        <f t="shared" si="840"/>
        <v>61.509409999999995</v>
      </c>
      <c r="I1023" s="273">
        <f t="shared" si="840"/>
        <v>0</v>
      </c>
      <c r="J1023" s="273">
        <f t="shared" si="840"/>
        <v>13.5472</v>
      </c>
      <c r="K1023" s="273">
        <f t="shared" si="840"/>
        <v>0</v>
      </c>
      <c r="L1023" s="273">
        <f t="shared" si="840"/>
        <v>74.508799999999994</v>
      </c>
      <c r="M1023" s="273">
        <f t="shared" si="840"/>
        <v>24.421999999999997</v>
      </c>
      <c r="N1023" s="273">
        <f t="shared" si="840"/>
        <v>0</v>
      </c>
      <c r="O1023" s="273">
        <f t="shared" si="840"/>
        <v>0</v>
      </c>
      <c r="P1023" s="273">
        <f t="shared" si="840"/>
        <v>13.767000000000001</v>
      </c>
      <c r="Q1023" s="273">
        <f t="shared" si="840"/>
        <v>602.03119000000004</v>
      </c>
      <c r="R1023" s="273">
        <f t="shared" si="840"/>
        <v>38.909409999999994</v>
      </c>
      <c r="S1023" s="273">
        <f t="shared" si="840"/>
        <v>13.767000000000001</v>
      </c>
      <c r="T1023" s="273">
        <f t="shared" si="840"/>
        <v>0</v>
      </c>
      <c r="U1023" s="273">
        <f t="shared" si="840"/>
        <v>0</v>
      </c>
      <c r="V1023" s="273">
        <f t="shared" si="840"/>
        <v>88.275800000000004</v>
      </c>
      <c r="W1023" s="273">
        <f t="shared" si="840"/>
        <v>10.874799999999999</v>
      </c>
      <c r="X1023" s="273">
        <f t="shared" si="840"/>
        <v>0</v>
      </c>
      <c r="Y1023" s="273">
        <f t="shared" si="840"/>
        <v>13.986800000000001</v>
      </c>
      <c r="Z1023" s="273">
        <f t="shared" si="840"/>
        <v>0</v>
      </c>
      <c r="AA1023" s="273">
        <f t="shared" si="840"/>
        <v>602.03119000000004</v>
      </c>
      <c r="AB1023" s="273">
        <f t="shared" si="840"/>
        <v>52.896209999999996</v>
      </c>
      <c r="AC1023" s="273">
        <f t="shared" si="840"/>
        <v>0</v>
      </c>
      <c r="AD1023" s="273">
        <f t="shared" si="840"/>
        <v>0</v>
      </c>
      <c r="AE1023" s="273">
        <f t="shared" si="840"/>
        <v>14.206600000000002</v>
      </c>
      <c r="AF1023" s="273">
        <f t="shared" si="840"/>
        <v>74.508799999999994</v>
      </c>
      <c r="AG1023" s="273">
        <f t="shared" si="840"/>
        <v>10.874799999999999</v>
      </c>
      <c r="AH1023" s="273">
        <f t="shared" si="840"/>
        <v>14.206600000000002</v>
      </c>
      <c r="AI1023" s="273">
        <f t="shared" si="840"/>
        <v>0</v>
      </c>
      <c r="AJ1023" s="273">
        <f t="shared" si="840"/>
        <v>0</v>
      </c>
      <c r="AK1023" s="273">
        <f t="shared" si="840"/>
        <v>0</v>
      </c>
      <c r="AL1023" s="273">
        <f t="shared" si="840"/>
        <v>0</v>
      </c>
      <c r="AM1023" s="273">
        <f t="shared" si="840"/>
        <v>0</v>
      </c>
      <c r="AN1023" s="273">
        <f t="shared" si="840"/>
        <v>0</v>
      </c>
    </row>
    <row r="1024" spans="3:41" outlineLevel="2">
      <c r="C1024" s="314" t="s">
        <v>530</v>
      </c>
      <c r="E1024" s="76" t="s">
        <v>13</v>
      </c>
      <c r="G1024" s="273">
        <f t="shared" ref="G1024:AL1024" si="841">G1022*$D$1018</f>
        <v>0</v>
      </c>
      <c r="H1024" s="273">
        <f t="shared" si="841"/>
        <v>177.10613258874204</v>
      </c>
      <c r="I1024" s="273">
        <f t="shared" si="841"/>
        <v>183.58148499476138</v>
      </c>
      <c r="J1024" s="273">
        <f t="shared" si="841"/>
        <v>183.72335773112368</v>
      </c>
      <c r="K1024" s="273">
        <f t="shared" si="841"/>
        <v>185.0349859149496</v>
      </c>
      <c r="L1024" s="273">
        <f t="shared" si="841"/>
        <v>184.77995710116102</v>
      </c>
      <c r="M1024" s="273">
        <f t="shared" si="841"/>
        <v>191.77302033118602</v>
      </c>
      <c r="N1024" s="273">
        <f t="shared" si="841"/>
        <v>193.46597018784618</v>
      </c>
      <c r="O1024" s="273">
        <f t="shared" si="841"/>
        <v>192.41599463683218</v>
      </c>
      <c r="P1024" s="273">
        <f t="shared" si="841"/>
        <v>191.05637834149911</v>
      </c>
      <c r="Q1024" s="273">
        <f t="shared" si="841"/>
        <v>190.73921450879271</v>
      </c>
      <c r="R1024" s="273">
        <f t="shared" si="841"/>
        <v>249.0457195042392</v>
      </c>
      <c r="S1024" s="273">
        <f t="shared" si="841"/>
        <v>249.65911606653682</v>
      </c>
      <c r="T1024" s="273">
        <f t="shared" si="841"/>
        <v>247.09839605391207</v>
      </c>
      <c r="U1024" s="273">
        <f t="shared" si="841"/>
        <v>242.47356770295539</v>
      </c>
      <c r="V1024" s="273">
        <f t="shared" si="841"/>
        <v>237.12412160647233</v>
      </c>
      <c r="W1024" s="273">
        <f t="shared" si="841"/>
        <v>239.83497680484913</v>
      </c>
      <c r="X1024" s="273">
        <f t="shared" si="841"/>
        <v>233.6408780078051</v>
      </c>
      <c r="Y1024" s="273">
        <f t="shared" si="841"/>
        <v>225.3236152730486</v>
      </c>
      <c r="Z1024" s="273">
        <f t="shared" si="841"/>
        <v>217.31368603676964</v>
      </c>
      <c r="AA1024" s="273">
        <f t="shared" si="841"/>
        <v>206.62866722160763</v>
      </c>
      <c r="AB1024" s="273">
        <f t="shared" si="841"/>
        <v>255.00384688254692</v>
      </c>
      <c r="AC1024" s="273">
        <f t="shared" si="841"/>
        <v>242.65253558463181</v>
      </c>
      <c r="AD1024" s="273">
        <f t="shared" si="841"/>
        <v>222.45039544927039</v>
      </c>
      <c r="AE1024" s="273">
        <f t="shared" si="841"/>
        <v>199.88569202950663</v>
      </c>
      <c r="AF1024" s="273">
        <f t="shared" si="841"/>
        <v>176.14959596037656</v>
      </c>
      <c r="AG1024" s="273">
        <f t="shared" si="841"/>
        <v>155.38006811940105</v>
      </c>
      <c r="AH1024" s="273">
        <f t="shared" si="841"/>
        <v>123.4775800133949</v>
      </c>
      <c r="AI1024" s="273">
        <f t="shared" si="841"/>
        <v>87.929888555316282</v>
      </c>
      <c r="AJ1024" s="273">
        <f t="shared" si="841"/>
        <v>46.229337373197261</v>
      </c>
      <c r="AK1024" s="273">
        <f t="shared" si="841"/>
        <v>0</v>
      </c>
      <c r="AL1024" s="273">
        <f t="shared" si="841"/>
        <v>0</v>
      </c>
      <c r="AM1024" s="273">
        <f>AM1022*$D$1018</f>
        <v>0</v>
      </c>
      <c r="AN1024" s="273">
        <f>AN1022*$D$1018</f>
        <v>0</v>
      </c>
    </row>
    <row r="1025" spans="3:40" outlineLevel="2">
      <c r="C1025" s="332" t="s">
        <v>531</v>
      </c>
      <c r="D1025" s="81"/>
      <c r="E1025" s="204" t="s">
        <v>13</v>
      </c>
      <c r="F1025" s="270"/>
      <c r="G1025" s="327">
        <f t="shared" ref="G1025:AN1025" si="842">IF(H1020=0,-(G1022+G1023+G1024),G1022*-G1031)</f>
        <v>0</v>
      </c>
      <c r="H1025" s="327">
        <f t="shared" si="842"/>
        <v>-174.06248556812358</v>
      </c>
      <c r="I1025" s="327">
        <f t="shared" si="842"/>
        <v>-182.16714979478766</v>
      </c>
      <c r="J1025" s="327">
        <f t="shared" si="842"/>
        <v>-184.19488190201258</v>
      </c>
      <c r="K1025" s="327">
        <f t="shared" si="842"/>
        <v>-187.57737874952196</v>
      </c>
      <c r="L1025" s="327">
        <f t="shared" si="842"/>
        <v>-189.57461937840804</v>
      </c>
      <c r="M1025" s="327">
        <f t="shared" si="842"/>
        <v>-199.31793291144311</v>
      </c>
      <c r="N1025" s="327">
        <f t="shared" si="842"/>
        <v>-203.93322005549157</v>
      </c>
      <c r="O1025" s="327">
        <f t="shared" si="842"/>
        <v>-205.97006594223478</v>
      </c>
      <c r="P1025" s="327">
        <f t="shared" si="842"/>
        <v>-207.98519775978153</v>
      </c>
      <c r="Q1025" s="327">
        <f t="shared" si="842"/>
        <v>-211.51043506755843</v>
      </c>
      <c r="R1025" s="327">
        <f t="shared" si="842"/>
        <v>-281.84015370378057</v>
      </c>
      <c r="S1025" s="327">
        <f t="shared" si="842"/>
        <v>-288.95404020471068</v>
      </c>
      <c r="T1025" s="327">
        <f t="shared" si="842"/>
        <v>-293.20350192774134</v>
      </c>
      <c r="U1025" s="327">
        <f t="shared" si="842"/>
        <v>-295.80241797124194</v>
      </c>
      <c r="V1025" s="327">
        <f t="shared" si="842"/>
        <v>-298.37529356726486</v>
      </c>
      <c r="W1025" s="327">
        <f t="shared" si="842"/>
        <v>-312.45900491871026</v>
      </c>
      <c r="X1025" s="327">
        <f t="shared" si="842"/>
        <v>-316.55601557979321</v>
      </c>
      <c r="Y1025" s="327">
        <f t="shared" si="842"/>
        <v>-319.16173243688075</v>
      </c>
      <c r="Z1025" s="327">
        <f t="shared" si="842"/>
        <v>-323.83308229392998</v>
      </c>
      <c r="AA1025" s="327">
        <f t="shared" si="842"/>
        <v>-326.40568243222987</v>
      </c>
      <c r="AB1025" s="327">
        <f t="shared" si="842"/>
        <v>-431.03079209203992</v>
      </c>
      <c r="AC1025" s="327">
        <f t="shared" si="842"/>
        <v>-444.04850947544855</v>
      </c>
      <c r="AD1025" s="327">
        <f t="shared" si="842"/>
        <v>-447.39886082627567</v>
      </c>
      <c r="AE1025" s="327">
        <f t="shared" si="842"/>
        <v>-450.71841936940177</v>
      </c>
      <c r="AF1025" s="327">
        <f t="shared" si="842"/>
        <v>-457.71068144888437</v>
      </c>
      <c r="AG1025" s="327">
        <f t="shared" si="842"/>
        <v>-484.29209677930197</v>
      </c>
      <c r="AH1025" s="327">
        <f t="shared" si="842"/>
        <v>-492.06059225492515</v>
      </c>
      <c r="AI1025" s="327">
        <f t="shared" si="842"/>
        <v>-503.64441487950762</v>
      </c>
      <c r="AJ1025" s="327">
        <f t="shared" si="842"/>
        <v>-507.09152129129848</v>
      </c>
      <c r="AK1025" s="327">
        <f t="shared" si="842"/>
        <v>0</v>
      </c>
      <c r="AL1025" s="327">
        <f t="shared" si="842"/>
        <v>0</v>
      </c>
      <c r="AM1025" s="327">
        <f t="shared" si="842"/>
        <v>0</v>
      </c>
      <c r="AN1025" s="327">
        <f t="shared" si="842"/>
        <v>0</v>
      </c>
    </row>
    <row r="1026" spans="3:40" outlineLevel="2">
      <c r="C1026" s="266" t="s">
        <v>532</v>
      </c>
      <c r="E1026" s="76" t="s">
        <v>13</v>
      </c>
      <c r="F1026" s="53"/>
      <c r="G1026" s="273">
        <f t="shared" ref="G1026:AL1026" si="843">SUM(G1022:G1025)</f>
        <v>1765.5783900000001</v>
      </c>
      <c r="H1026" s="273">
        <f t="shared" si="843"/>
        <v>1830.1314470206185</v>
      </c>
      <c r="I1026" s="273">
        <f t="shared" si="843"/>
        <v>1831.5457822205922</v>
      </c>
      <c r="J1026" s="273">
        <f t="shared" si="843"/>
        <v>1844.6214580497033</v>
      </c>
      <c r="K1026" s="273">
        <f t="shared" si="843"/>
        <v>1842.0790652151309</v>
      </c>
      <c r="L1026" s="273">
        <f t="shared" si="843"/>
        <v>1911.793202937884</v>
      </c>
      <c r="M1026" s="273">
        <f t="shared" si="843"/>
        <v>1928.670290357627</v>
      </c>
      <c r="N1026" s="273">
        <f t="shared" si="843"/>
        <v>1918.2030404899817</v>
      </c>
      <c r="O1026" s="273">
        <f t="shared" si="843"/>
        <v>1904.6489691845791</v>
      </c>
      <c r="P1026" s="273">
        <f t="shared" si="843"/>
        <v>1901.4871497662964</v>
      </c>
      <c r="Q1026" s="273">
        <f t="shared" si="843"/>
        <v>2482.7471192075309</v>
      </c>
      <c r="R1026" s="273">
        <f t="shared" si="843"/>
        <v>2488.8620950079894</v>
      </c>
      <c r="S1026" s="273">
        <f t="shared" si="843"/>
        <v>2463.3341708698154</v>
      </c>
      <c r="T1026" s="273">
        <f t="shared" si="843"/>
        <v>2417.2290649959859</v>
      </c>
      <c r="U1026" s="273">
        <f t="shared" si="843"/>
        <v>2363.9002147276992</v>
      </c>
      <c r="V1026" s="273">
        <f t="shared" si="843"/>
        <v>2390.9248427669063</v>
      </c>
      <c r="W1026" s="273">
        <f t="shared" si="843"/>
        <v>2329.1756146530452</v>
      </c>
      <c r="X1026" s="273">
        <f t="shared" si="843"/>
        <v>2246.2604770810567</v>
      </c>
      <c r="Y1026" s="273">
        <f t="shared" si="843"/>
        <v>2166.4091599172248</v>
      </c>
      <c r="Z1026" s="273">
        <f t="shared" si="843"/>
        <v>2059.8897636600641</v>
      </c>
      <c r="AA1026" s="273">
        <f t="shared" si="843"/>
        <v>2542.143938449442</v>
      </c>
      <c r="AB1026" s="273">
        <f t="shared" si="843"/>
        <v>2419.0132032399488</v>
      </c>
      <c r="AC1026" s="273">
        <f t="shared" si="843"/>
        <v>2217.6172293491322</v>
      </c>
      <c r="AD1026" s="273">
        <f t="shared" si="843"/>
        <v>1992.6687639721267</v>
      </c>
      <c r="AE1026" s="273">
        <f t="shared" si="843"/>
        <v>1756.0426366322315</v>
      </c>
      <c r="AF1026" s="273">
        <f t="shared" si="843"/>
        <v>1548.9903511437237</v>
      </c>
      <c r="AG1026" s="273">
        <f t="shared" si="843"/>
        <v>1230.9531224838229</v>
      </c>
      <c r="AH1026" s="273">
        <f t="shared" si="843"/>
        <v>876.57671024229251</v>
      </c>
      <c r="AI1026" s="273">
        <f t="shared" si="843"/>
        <v>460.86218391810121</v>
      </c>
      <c r="AJ1026" s="273">
        <f t="shared" si="843"/>
        <v>0</v>
      </c>
      <c r="AK1026" s="273">
        <f t="shared" si="843"/>
        <v>0</v>
      </c>
      <c r="AL1026" s="273">
        <f t="shared" si="843"/>
        <v>0</v>
      </c>
      <c r="AM1026" s="273">
        <f t="shared" ref="AM1026:AN1026" si="844">SUM(AM1022:AM1025)</f>
        <v>0</v>
      </c>
      <c r="AN1026" s="273">
        <f t="shared" si="844"/>
        <v>0</v>
      </c>
    </row>
    <row r="1027" spans="3:40" outlineLevel="2"/>
    <row r="1028" spans="3:40" outlineLevel="2">
      <c r="C1028" s="266" t="str">
        <f>Ops!C127</f>
        <v>Contraprestação anual</v>
      </c>
      <c r="E1028" s="32" t="str">
        <f>Ops!E127</f>
        <v>R$</v>
      </c>
      <c r="F1028" s="44">
        <f>SUM(G1028:AN1028)</f>
        <v>225809.85502067092</v>
      </c>
      <c r="G1028" s="273">
        <f t="shared" ref="G1028:AN1028" si="845">G127</f>
        <v>15451.717165367998</v>
      </c>
      <c r="H1028" s="273">
        <f t="shared" si="845"/>
        <v>6334.3740971543702</v>
      </c>
      <c r="I1028" s="273">
        <f t="shared" si="845"/>
        <v>6406.5075084297869</v>
      </c>
      <c r="J1028" s="273">
        <f t="shared" si="845"/>
        <v>6477.8193831813778</v>
      </c>
      <c r="K1028" s="273">
        <f t="shared" si="845"/>
        <v>6548.32822384881</v>
      </c>
      <c r="L1028" s="273">
        <f t="shared" si="845"/>
        <v>6618.0519147711393</v>
      </c>
      <c r="M1028" s="273">
        <f t="shared" si="845"/>
        <v>6687.0077494149991</v>
      </c>
      <c r="N1028" s="273">
        <f t="shared" si="845"/>
        <v>6755.2124561198252</v>
      </c>
      <c r="O1028" s="273">
        <f t="shared" si="845"/>
        <v>6822.6822224559801</v>
      </c>
      <c r="P1028" s="273">
        <f t="shared" si="845"/>
        <v>6889.43271828452</v>
      </c>
      <c r="Q1028" s="273">
        <f t="shared" si="845"/>
        <v>6955.4791176007702</v>
      </c>
      <c r="R1028" s="273">
        <f t="shared" si="845"/>
        <v>7020.8361192378707</v>
      </c>
      <c r="S1028" s="273">
        <f t="shared" si="845"/>
        <v>7085.5179665009537</v>
      </c>
      <c r="T1028" s="273">
        <f t="shared" si="845"/>
        <v>7149.5384657975737</v>
      </c>
      <c r="U1028" s="273">
        <f t="shared" si="845"/>
        <v>7212.9110043253195</v>
      </c>
      <c r="V1028" s="273">
        <f t="shared" si="845"/>
        <v>7275.6485668732985</v>
      </c>
      <c r="W1028" s="273">
        <f t="shared" si="845"/>
        <v>7337.7637517902504</v>
      </c>
      <c r="X1028" s="273">
        <f t="shared" si="845"/>
        <v>7399.2687861683899</v>
      </c>
      <c r="Y1028" s="273">
        <f t="shared" si="845"/>
        <v>7460.1755402887547</v>
      </c>
      <c r="Z1028" s="273">
        <f t="shared" si="845"/>
        <v>7520.4955413707503</v>
      </c>
      <c r="AA1028" s="273">
        <f t="shared" si="845"/>
        <v>7580.2399866657288</v>
      </c>
      <c r="AB1028" s="273">
        <f t="shared" si="845"/>
        <v>7639.4197559317854</v>
      </c>
      <c r="AC1028" s="273">
        <f t="shared" si="845"/>
        <v>7698.04542332456</v>
      </c>
      <c r="AD1028" s="273">
        <f t="shared" si="845"/>
        <v>7756.1272687365181</v>
      </c>
      <c r="AE1028" s="273">
        <f t="shared" si="845"/>
        <v>7813.6752886151517</v>
      </c>
      <c r="AF1028" s="273">
        <f t="shared" si="845"/>
        <v>7870.6992062885556</v>
      </c>
      <c r="AG1028" s="273">
        <f t="shared" si="845"/>
        <v>7927.2084818250605</v>
      </c>
      <c r="AH1028" s="273">
        <f t="shared" si="845"/>
        <v>7983.2123214519324</v>
      </c>
      <c r="AI1028" s="273">
        <f t="shared" si="845"/>
        <v>8038.7196865565847</v>
      </c>
      <c r="AJ1028" s="273">
        <f t="shared" si="845"/>
        <v>8093.7393022923152</v>
      </c>
      <c r="AK1028" s="273">
        <f t="shared" si="845"/>
        <v>0</v>
      </c>
      <c r="AL1028" s="273">
        <f t="shared" si="845"/>
        <v>0</v>
      </c>
      <c r="AM1028" s="273">
        <f t="shared" si="845"/>
        <v>0</v>
      </c>
      <c r="AN1028" s="273">
        <f t="shared" si="845"/>
        <v>0</v>
      </c>
    </row>
    <row r="1029" spans="3:40" outlineLevel="2"/>
    <row r="1030" spans="3:40" outlineLevel="2">
      <c r="C1030" s="266" t="s">
        <v>531</v>
      </c>
      <c r="D1030" s="148">
        <f>D1018</f>
        <v>0.1003105461597443</v>
      </c>
      <c r="E1030" s="32" t="s">
        <v>23</v>
      </c>
      <c r="F1030" s="44">
        <f>SUM(G1030:AN1030)</f>
        <v>1528977.1289973715</v>
      </c>
      <c r="G1030" s="319">
        <f>NPV($D$1030,G1028:$AN$1028)</f>
        <v>72437.324145186911</v>
      </c>
      <c r="H1030" s="319">
        <f>NPV($D$1030,H1028:$AN$1028)</f>
        <v>64251.834527173014</v>
      </c>
      <c r="I1030" s="319">
        <f>NPV($D$1030,I1028:$AN$1028)</f>
        <v>64362.597043204893</v>
      </c>
      <c r="J1030" s="319">
        <f>NPV($D$1030,J1028:$AN$1028)</f>
        <v>64412.336796438511</v>
      </c>
      <c r="K1030" s="319">
        <f>NPV($D$1030,K1028:$AN$1028)</f>
        <v>64395.754096733268</v>
      </c>
      <c r="L1030" s="319">
        <f>NPV($D$1030,L1028:$AN$1028)</f>
        <v>64306.999136696359</v>
      </c>
      <c r="M1030" s="319">
        <f>NPV($D$1030,M1028:$AN$1028)</f>
        <v>64139.617427221448</v>
      </c>
      <c r="N1030" s="319">
        <f>NPV($D$1030,N1028:$AN$1028)</f>
        <v>63886.489732408096</v>
      </c>
      <c r="O1030" s="319">
        <f>NPV($D$1030,O1028:$AN$1028)</f>
        <v>63539.765953574999</v>
      </c>
      <c r="P1030" s="319">
        <f>NPV($D$1030,P1028:$AN$1028)</f>
        <v>63090.792356784434</v>
      </c>
      <c r="Q1030" s="319">
        <f>NPV($D$1030,Q1028:$AN$1028)</f>
        <v>62530.031477459976</v>
      </c>
      <c r="R1030" s="319">
        <f>NPV($D$1030,R1028:$AN$1028)</f>
        <v>61846.973968749247</v>
      </c>
      <c r="S1030" s="319">
        <f>NPV($D$1030,S1028:$AN$1028)</f>
        <v>61030.041586644067</v>
      </c>
      <c r="T1030" s="319">
        <f>NPV($D$1030,T1028:$AN$1028)</f>
        <v>60066.480423851288</v>
      </c>
      <c r="U1030" s="319">
        <f>NPV($D$1030,U1028:$AN$1028)</f>
        <v>58942.243415263809</v>
      </c>
      <c r="V1030" s="319">
        <f>NPV($D$1030,V1028:$AN$1028)</f>
        <v>57641.8610398042</v>
      </c>
      <c r="W1030" s="319">
        <f>NPV($D$1030,W1028:$AN$1028)</f>
        <v>56148.299035497759</v>
      </c>
      <c r="X1030" s="319">
        <f>NPV($D$1030,X1028:$AN$1028)</f>
        <v>54442.801825898918</v>
      </c>
      <c r="Y1030" s="319">
        <f>NPV($D$1030,Y1028:$AN$1028)</f>
        <v>52504.720225353165</v>
      </c>
      <c r="Z1030" s="319">
        <f>NPV($D$1030,Z1028:$AN$1028)</f>
        <v>50311.321846834151</v>
      </c>
      <c r="AA1030" s="319">
        <f>NPV($D$1030,AA1028:$AN$1028)</f>
        <v>47837.582477938005</v>
      </c>
      <c r="AB1030" s="319">
        <f>NPV($D$1030,AB1028:$AN$1028)</f>
        <v>45055.956516596052</v>
      </c>
      <c r="AC1030" s="319">
        <f>NPV($D$1030,AC1028:$AN$1028)</f>
        <v>41936.1243665937</v>
      </c>
      <c r="AD1030" s="319">
        <f>NPV($D$1030,AD1028:$AN$1028)</f>
        <v>38444.714482305113</v>
      </c>
      <c r="AE1030" s="319">
        <f>NPV($D$1030,AE1028:$AN$1028)</f>
        <v>34544.997520244055</v>
      </c>
      <c r="AF1030" s="319">
        <f>NPV($D$1030,AF1028:$AN$1028)</f>
        <v>30196.549799971584</v>
      </c>
      <c r="AG1030" s="319">
        <f>NPV($D$1030,AG1028:$AN$1028)</f>
        <v>25354.8829962581</v>
      </c>
      <c r="AH1030" s="319">
        <f>NPV($D$1030,AH1028:$AN$1028)</f>
        <v>19971.0366756041</v>
      </c>
      <c r="AI1030" s="319">
        <f>NPV($D$1030,AI1028:$AN$1028)</f>
        <v>13991.129950458298</v>
      </c>
      <c r="AJ1030" s="319">
        <f>NPV($D$1030,AJ1028:$AN$1028)</f>
        <v>7355.8681506241401</v>
      </c>
      <c r="AK1030" s="273">
        <f>NPV($D$1030,AK1028:$AN$1028)</f>
        <v>0</v>
      </c>
      <c r="AL1030" s="273">
        <f>NPV($D$1030,AL1028:$AN$1028)</f>
        <v>0</v>
      </c>
      <c r="AM1030" s="273">
        <f>NPV($D$1030,AM1028:$AN$1028)</f>
        <v>0</v>
      </c>
      <c r="AN1030" s="273">
        <f>NPV($D$1030,AN1028:$AN$1028)</f>
        <v>0</v>
      </c>
    </row>
    <row r="1031" spans="3:40" ht="16.5" customHeight="1" outlineLevel="2">
      <c r="C1031" s="266" t="s">
        <v>533</v>
      </c>
      <c r="E1031" s="32" t="s">
        <v>23</v>
      </c>
      <c r="F1031" s="278"/>
      <c r="G1031" s="473">
        <f t="shared" ref="G1031:AL1031" si="846">IF(G1020=1,G1028/G1030,0)</f>
        <v>0.21331153997900246</v>
      </c>
      <c r="H1031" s="473">
        <f t="shared" si="846"/>
        <v>9.8586665171022839E-2</v>
      </c>
      <c r="I1031" s="473">
        <f t="shared" si="846"/>
        <v>9.9537740904539165E-2</v>
      </c>
      <c r="J1031" s="473">
        <f t="shared" si="846"/>
        <v>0.10056799217909371</v>
      </c>
      <c r="K1031" s="473">
        <f t="shared" si="846"/>
        <v>0.1016888196388246</v>
      </c>
      <c r="L1031" s="473">
        <f t="shared" si="846"/>
        <v>0.1029133998416448</v>
      </c>
      <c r="M1031" s="473">
        <f t="shared" si="846"/>
        <v>0.10425705698981876</v>
      </c>
      <c r="N1031" s="473">
        <f t="shared" si="846"/>
        <v>0.10573773084754517</v>
      </c>
      <c r="O1031" s="473">
        <f t="shared" si="846"/>
        <v>0.10737657150706123</v>
      </c>
      <c r="P1031" s="473">
        <f t="shared" si="846"/>
        <v>0.1091987033436531</v>
      </c>
      <c r="Q1031" s="473">
        <f t="shared" si="846"/>
        <v>0.11123421743531334</v>
      </c>
      <c r="R1031" s="473">
        <f t="shared" si="846"/>
        <v>0.11351947668103277</v>
      </c>
      <c r="S1031" s="473">
        <f t="shared" si="846"/>
        <v>0.11609885528984405</v>
      </c>
      <c r="T1031" s="473">
        <f t="shared" si="846"/>
        <v>0.11902709157166838</v>
      </c>
      <c r="U1031" s="473">
        <f t="shared" si="846"/>
        <v>0.12237252242858215</v>
      </c>
      <c r="V1031" s="473">
        <f t="shared" si="846"/>
        <v>0.12622161109352711</v>
      </c>
      <c r="W1031" s="473">
        <f t="shared" si="846"/>
        <v>0.13068541483600796</v>
      </c>
      <c r="X1031" s="473">
        <f t="shared" si="846"/>
        <v>0.13590903733849519</v>
      </c>
      <c r="Y1031" s="473">
        <f t="shared" si="846"/>
        <v>0.14208580691924971</v>
      </c>
      <c r="Z1031" s="473">
        <f t="shared" si="846"/>
        <v>0.14947918808942959</v>
      </c>
      <c r="AA1031" s="473">
        <f t="shared" si="846"/>
        <v>0.15845783992453266</v>
      </c>
      <c r="AB1031" s="473">
        <f t="shared" si="846"/>
        <v>0.16955404671339866</v>
      </c>
      <c r="AC1031" s="473">
        <f t="shared" si="846"/>
        <v>0.18356597181061443</v>
      </c>
      <c r="AD1031" s="473">
        <f t="shared" si="846"/>
        <v>0.20174755810207456</v>
      </c>
      <c r="AE1031" s="473">
        <f t="shared" si="846"/>
        <v>0.22618832970059363</v>
      </c>
      <c r="AF1031" s="473">
        <f t="shared" si="846"/>
        <v>0.2606489568651304</v>
      </c>
      <c r="AG1031" s="473">
        <f t="shared" si="846"/>
        <v>0.3126501701070743</v>
      </c>
      <c r="AH1031" s="473">
        <f t="shared" si="846"/>
        <v>0.39973950532091995</v>
      </c>
      <c r="AI1031" s="473">
        <f t="shared" si="846"/>
        <v>0.57455828907466233</v>
      </c>
      <c r="AJ1031" s="473">
        <f t="shared" si="846"/>
        <v>1.1003105461597442</v>
      </c>
      <c r="AK1031" s="473">
        <f t="shared" si="846"/>
        <v>0</v>
      </c>
      <c r="AL1031" s="473">
        <f t="shared" si="846"/>
        <v>0</v>
      </c>
      <c r="AM1031" s="473">
        <f t="shared" ref="AM1031:AN1031" si="847">IF(AM1020=1,AM1028/AM1030,0)</f>
        <v>0</v>
      </c>
      <c r="AN1031" s="473">
        <f t="shared" si="847"/>
        <v>0</v>
      </c>
    </row>
    <row r="1032" spans="3:40" outlineLevel="1"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</row>
    <row r="1033" spans="3:40" outlineLevel="1">
      <c r="C1033" s="11" t="s">
        <v>534</v>
      </c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</row>
    <row r="1034" spans="3:40" outlineLevel="2"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</row>
    <row r="1035" spans="3:40" outlineLevel="2">
      <c r="C1035" s="266" t="s">
        <v>535</v>
      </c>
      <c r="D1035" t="s">
        <v>170</v>
      </c>
      <c r="E1035" s="32" t="s">
        <v>13</v>
      </c>
      <c r="F1035" s="23">
        <f>SUM(G1035:AN1035)</f>
        <v>73286.584292563057</v>
      </c>
      <c r="G1035" s="278">
        <f t="shared" ref="G1035:AN1035" si="848">SUMIF($D$1003:$D$1013,$D$1035,G1003:G1013)</f>
        <v>9009.4527308959987</v>
      </c>
      <c r="H1035" s="278">
        <f t="shared" si="848"/>
        <v>1410.9263993250449</v>
      </c>
      <c r="I1035" s="278">
        <f t="shared" si="848"/>
        <v>1743.4786958342002</v>
      </c>
      <c r="J1035" s="278">
        <f t="shared" si="848"/>
        <v>383.7170416742</v>
      </c>
      <c r="K1035" s="278">
        <f t="shared" si="848"/>
        <v>763.15204167420006</v>
      </c>
      <c r="L1035" s="278">
        <f t="shared" si="848"/>
        <v>12231.004333370471</v>
      </c>
      <c r="M1035" s="278">
        <f t="shared" si="848"/>
        <v>217.172932952944</v>
      </c>
      <c r="N1035" s="278">
        <f t="shared" si="848"/>
        <v>8189.1826116742004</v>
      </c>
      <c r="O1035" s="278">
        <f t="shared" si="848"/>
        <v>43.404541674200004</v>
      </c>
      <c r="P1035" s="278">
        <f t="shared" si="848"/>
        <v>832.01204167420008</v>
      </c>
      <c r="Q1035" s="278">
        <f t="shared" si="848"/>
        <v>850.92721451855948</v>
      </c>
      <c r="R1035" s="278">
        <f t="shared" si="848"/>
        <v>1060.8941732043691</v>
      </c>
      <c r="S1035" s="278">
        <f t="shared" si="848"/>
        <v>784.16692010620011</v>
      </c>
      <c r="T1035" s="278">
        <f t="shared" si="848"/>
        <v>178.80952295294401</v>
      </c>
      <c r="U1035" s="278">
        <f t="shared" si="848"/>
        <v>8180.5448516742008</v>
      </c>
      <c r="V1035" s="278">
        <f t="shared" si="848"/>
        <v>2559.7566560422538</v>
      </c>
      <c r="W1035" s="278">
        <f t="shared" si="848"/>
        <v>772.65545167420009</v>
      </c>
      <c r="X1035" s="278">
        <f t="shared" si="848"/>
        <v>351.64980167419998</v>
      </c>
      <c r="Y1035" s="278">
        <f t="shared" si="848"/>
        <v>812.01204167420008</v>
      </c>
      <c r="Z1035" s="278">
        <f t="shared" si="848"/>
        <v>49.327041674200004</v>
      </c>
      <c r="AA1035" s="278">
        <f t="shared" si="848"/>
        <v>668.95719579730371</v>
      </c>
      <c r="AB1035" s="278">
        <f t="shared" si="848"/>
        <v>8558.9919832043688</v>
      </c>
      <c r="AC1035" s="278">
        <f t="shared" si="848"/>
        <v>735.3069201062001</v>
      </c>
      <c r="AD1035" s="278">
        <f t="shared" si="848"/>
        <v>757.22954167420005</v>
      </c>
      <c r="AE1035" s="278">
        <f t="shared" si="848"/>
        <v>383.7170416742</v>
      </c>
      <c r="AF1035" s="278">
        <f t="shared" si="848"/>
        <v>3244.969936186254</v>
      </c>
      <c r="AG1035" s="278">
        <f t="shared" si="848"/>
        <v>52.9079516742</v>
      </c>
      <c r="AH1035" s="278">
        <f t="shared" si="848"/>
        <v>1983.1910029529438</v>
      </c>
      <c r="AI1035" s="278">
        <f t="shared" si="848"/>
        <v>6413.6611316742001</v>
      </c>
      <c r="AJ1035" s="278">
        <f t="shared" si="848"/>
        <v>63.404541674200004</v>
      </c>
      <c r="AK1035" s="278">
        <f t="shared" si="848"/>
        <v>0</v>
      </c>
      <c r="AL1035" s="278">
        <f t="shared" si="848"/>
        <v>0</v>
      </c>
      <c r="AM1035" s="278">
        <f t="shared" si="848"/>
        <v>0</v>
      </c>
      <c r="AN1035" s="278">
        <f t="shared" si="848"/>
        <v>0</v>
      </c>
    </row>
    <row r="1036" spans="3:40" outlineLevel="2"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</row>
    <row r="1037" spans="3:40" outlineLevel="2">
      <c r="C1037" s="266" t="str">
        <f t="shared" ref="C1037:E1037" si="849">C1018</f>
        <v>TIR efetiva do projeto</v>
      </c>
      <c r="D1037">
        <f>D1030</f>
        <v>0.1003105461597443</v>
      </c>
      <c r="E1037" s="32" t="str">
        <f t="shared" si="849"/>
        <v>%</v>
      </c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</row>
    <row r="1038" spans="3:40" outlineLevel="2"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</row>
    <row r="1039" spans="3:40" outlineLevel="2">
      <c r="C1039" s="270" t="s">
        <v>529</v>
      </c>
      <c r="D1039" s="81"/>
      <c r="E1039" s="204" t="s">
        <v>13</v>
      </c>
      <c r="F1039" s="270"/>
      <c r="G1039" s="327">
        <f t="shared" ref="G1039" si="850">F1043</f>
        <v>0</v>
      </c>
      <c r="H1039" s="327">
        <f t="shared" ref="H1039" si="851">G1043</f>
        <v>9009.4527308959987</v>
      </c>
      <c r="I1039" s="327">
        <f t="shared" ref="I1039" si="852">H1043</f>
        <v>10676.520287154877</v>
      </c>
      <c r="J1039" s="327">
        <f t="shared" ref="J1039" si="853">I1043</f>
        <v>12480.644466171951</v>
      </c>
      <c r="K1039" s="327">
        <f t="shared" ref="K1039" si="854">J1043</f>
        <v>12928.544583448816</v>
      </c>
      <c r="L1039" s="327">
        <f t="shared" ref="L1039" si="855">K1043</f>
        <v>13750.687701685851</v>
      </c>
      <c r="M1039" s="327">
        <f t="shared" ref="M1039" si="856">L1043</f>
        <v>26035.813877316854</v>
      </c>
      <c r="N1039" s="327">
        <f t="shared" ref="N1039" si="857">M1043</f>
        <v>26173.514651346224</v>
      </c>
      <c r="O1039" s="327">
        <f t="shared" ref="O1039" si="858">N1043</f>
        <v>34244.949433359463</v>
      </c>
      <c r="P1039" s="327">
        <f t="shared" ref="P1039" si="859">O1043</f>
        <v>34079.208563276385</v>
      </c>
      <c r="Q1039" s="327">
        <f t="shared" ref="Q1039" si="860">P1043</f>
        <v>34641.88616479074</v>
      </c>
      <c r="R1039" s="327">
        <f t="shared" ref="R1039" si="861">Q1043</f>
        <v>35149.295335832372</v>
      </c>
      <c r="S1039" s="327">
        <f t="shared" ref="S1039" si="862">R1043</f>
        <v>35781.972567719036</v>
      </c>
      <c r="T1039" s="327">
        <f t="shared" ref="T1039" si="863">S1043</f>
        <v>36038.459791230584</v>
      </c>
      <c r="U1039" s="327">
        <f t="shared" ref="U1039" si="864">T1043</f>
        <v>35580.694904204967</v>
      </c>
      <c r="V1039" s="327">
        <f t="shared" ref="V1039" si="865">U1043</f>
        <v>43014.006787490995</v>
      </c>
      <c r="W1039" s="327">
        <f t="shared" ref="W1039" si="866">V1043</f>
        <v>44505.059918419647</v>
      </c>
      <c r="X1039" s="327">
        <f t="shared" ref="X1039" si="867">W1043</f>
        <v>43973.361810042094</v>
      </c>
      <c r="Y1039" s="327">
        <f t="shared" ref="Y1039" si="868">X1043</f>
        <v>42806.448067029582</v>
      </c>
      <c r="Z1039" s="327">
        <f t="shared" ref="Z1039" si="869">Y1043</f>
        <v>41875.550067010423</v>
      </c>
      <c r="AA1039" s="327">
        <f t="shared" ref="AA1039" si="870">Z1043</f>
        <v>39909.883211864901</v>
      </c>
      <c r="AB1039" s="327">
        <f t="shared" ref="AB1039" si="871">AA1043</f>
        <v>38299.575140528177</v>
      </c>
      <c r="AC1039" s="327">
        <f t="shared" ref="AC1039" si="872">AB1043</f>
        <v>44245.626169557552</v>
      </c>
      <c r="AD1039" s="327">
        <f t="shared" ref="AD1039" si="873">AC1043</f>
        <v>41341.383936973434</v>
      </c>
      <c r="AE1039" s="327">
        <f t="shared" ref="AE1039" si="874">AD1043</f>
        <v>37945.145882954013</v>
      </c>
      <c r="AF1039" s="327">
        <f t="shared" ref="AF1039" si="875">AE1043</f>
        <v>33587.830995839977</v>
      </c>
      <c r="AG1039" s="327">
        <f t="shared" ref="AG1039" si="876">AF1043</f>
        <v>31477.13873666188</v>
      </c>
      <c r="AH1039" s="327">
        <f t="shared" ref="AH1039" si="877">AG1043</f>
        <v>24872.009793824451</v>
      </c>
      <c r="AI1039" s="327">
        <f t="shared" ref="AI1039" si="878">AH1043</f>
        <v>19425.66465350458</v>
      </c>
      <c r="AJ1039" s="327">
        <f t="shared" ref="AJ1039" si="879">AI1043</f>
        <v>16637.04521936932</v>
      </c>
      <c r="AK1039" s="327">
        <f t="shared" ref="AK1039" si="880">AJ1043</f>
        <v>0</v>
      </c>
      <c r="AL1039" s="327">
        <f t="shared" ref="AL1039" si="881">AK1043</f>
        <v>0</v>
      </c>
      <c r="AM1039" s="327">
        <f t="shared" ref="AM1039" si="882">AL1043</f>
        <v>0</v>
      </c>
      <c r="AN1039" s="327">
        <f t="shared" ref="AN1039" si="883">AM1043</f>
        <v>0</v>
      </c>
    </row>
    <row r="1040" spans="3:40" outlineLevel="2">
      <c r="C1040" s="314" t="s">
        <v>527</v>
      </c>
      <c r="E1040" s="76" t="s">
        <v>13</v>
      </c>
      <c r="G1040" s="273">
        <f t="shared" ref="G1040:AN1040" si="884">G1035</f>
        <v>9009.4527308959987</v>
      </c>
      <c r="H1040" s="273">
        <f t="shared" si="884"/>
        <v>1410.9263993250449</v>
      </c>
      <c r="I1040" s="273">
        <f t="shared" si="884"/>
        <v>1743.4786958342002</v>
      </c>
      <c r="J1040" s="273">
        <f t="shared" si="884"/>
        <v>383.7170416742</v>
      </c>
      <c r="K1040" s="273">
        <f t="shared" si="884"/>
        <v>763.15204167420006</v>
      </c>
      <c r="L1040" s="273">
        <f t="shared" si="884"/>
        <v>12231.004333370471</v>
      </c>
      <c r="M1040" s="273">
        <f t="shared" si="884"/>
        <v>217.172932952944</v>
      </c>
      <c r="N1040" s="273">
        <f t="shared" si="884"/>
        <v>8189.1826116742004</v>
      </c>
      <c r="O1040" s="273">
        <f t="shared" si="884"/>
        <v>43.404541674200004</v>
      </c>
      <c r="P1040" s="273">
        <f t="shared" si="884"/>
        <v>832.01204167420008</v>
      </c>
      <c r="Q1040" s="273">
        <f t="shared" si="884"/>
        <v>850.92721451855948</v>
      </c>
      <c r="R1040" s="273">
        <f t="shared" si="884"/>
        <v>1060.8941732043691</v>
      </c>
      <c r="S1040" s="273">
        <f t="shared" si="884"/>
        <v>784.16692010620011</v>
      </c>
      <c r="T1040" s="273">
        <f t="shared" si="884"/>
        <v>178.80952295294401</v>
      </c>
      <c r="U1040" s="273">
        <f t="shared" si="884"/>
        <v>8180.5448516742008</v>
      </c>
      <c r="V1040" s="273">
        <f t="shared" si="884"/>
        <v>2559.7566560422538</v>
      </c>
      <c r="W1040" s="273">
        <f t="shared" si="884"/>
        <v>772.65545167420009</v>
      </c>
      <c r="X1040" s="273">
        <f t="shared" si="884"/>
        <v>351.64980167419998</v>
      </c>
      <c r="Y1040" s="273">
        <f t="shared" si="884"/>
        <v>812.01204167420008</v>
      </c>
      <c r="Z1040" s="273">
        <f t="shared" si="884"/>
        <v>49.327041674200004</v>
      </c>
      <c r="AA1040" s="273">
        <f t="shared" si="884"/>
        <v>668.95719579730371</v>
      </c>
      <c r="AB1040" s="273">
        <f t="shared" si="884"/>
        <v>8558.9919832043688</v>
      </c>
      <c r="AC1040" s="273">
        <f t="shared" si="884"/>
        <v>735.3069201062001</v>
      </c>
      <c r="AD1040" s="273">
        <f t="shared" si="884"/>
        <v>757.22954167420005</v>
      </c>
      <c r="AE1040" s="273">
        <f t="shared" si="884"/>
        <v>383.7170416742</v>
      </c>
      <c r="AF1040" s="273">
        <f t="shared" si="884"/>
        <v>3244.969936186254</v>
      </c>
      <c r="AG1040" s="273">
        <f t="shared" si="884"/>
        <v>52.9079516742</v>
      </c>
      <c r="AH1040" s="273">
        <f t="shared" si="884"/>
        <v>1983.1910029529438</v>
      </c>
      <c r="AI1040" s="273">
        <f t="shared" si="884"/>
        <v>6413.6611316742001</v>
      </c>
      <c r="AJ1040" s="273">
        <f t="shared" si="884"/>
        <v>63.404541674200004</v>
      </c>
      <c r="AK1040" s="273">
        <f t="shared" si="884"/>
        <v>0</v>
      </c>
      <c r="AL1040" s="273">
        <f t="shared" si="884"/>
        <v>0</v>
      </c>
      <c r="AM1040" s="273">
        <f t="shared" si="884"/>
        <v>0</v>
      </c>
      <c r="AN1040" s="273">
        <f t="shared" si="884"/>
        <v>0</v>
      </c>
    </row>
    <row r="1041" spans="3:40" outlineLevel="2">
      <c r="C1041" s="314" t="s">
        <v>530</v>
      </c>
      <c r="E1041" s="76" t="s">
        <v>13</v>
      </c>
      <c r="G1041" s="273">
        <f t="shared" ref="G1041:AN1041" si="885">G1039*$D$1037</f>
        <v>0</v>
      </c>
      <c r="H1041" s="273">
        <f t="shared" si="885"/>
        <v>903.74312403657746</v>
      </c>
      <c r="I1041" s="273">
        <f t="shared" si="885"/>
        <v>1070.9675810900958</v>
      </c>
      <c r="J1041" s="273">
        <f t="shared" si="885"/>
        <v>1251.9402628272987</v>
      </c>
      <c r="K1041" s="273">
        <f t="shared" si="885"/>
        <v>1296.8693682163546</v>
      </c>
      <c r="L1041" s="273">
        <f t="shared" si="885"/>
        <v>1379.3389934281868</v>
      </c>
      <c r="M1041" s="273">
        <f t="shared" si="885"/>
        <v>2611.6667097471036</v>
      </c>
      <c r="N1041" s="273">
        <f t="shared" si="885"/>
        <v>2625.4795495966091</v>
      </c>
      <c r="O1041" s="273">
        <f t="shared" si="885"/>
        <v>3435.1295808731138</v>
      </c>
      <c r="P1041" s="273">
        <f t="shared" si="885"/>
        <v>3418.5040236740892</v>
      </c>
      <c r="Q1041" s="273">
        <f t="shared" si="885"/>
        <v>3474.9465211938491</v>
      </c>
      <c r="R1041" s="273">
        <f t="shared" si="885"/>
        <v>3525.8450122674981</v>
      </c>
      <c r="S1041" s="273">
        <f t="shared" si="885"/>
        <v>3589.3092109408849</v>
      </c>
      <c r="T1041" s="273">
        <f t="shared" si="885"/>
        <v>3615.0375844143246</v>
      </c>
      <c r="U1041" s="273">
        <f t="shared" si="885"/>
        <v>3569.1189385840312</v>
      </c>
      <c r="V1041" s="273">
        <f t="shared" si="885"/>
        <v>4314.7585133721705</v>
      </c>
      <c r="W1041" s="273">
        <f t="shared" si="885"/>
        <v>4464.3268672888198</v>
      </c>
      <c r="X1041" s="273">
        <f t="shared" si="885"/>
        <v>4410.9919396453643</v>
      </c>
      <c r="Y1041" s="273">
        <f t="shared" si="885"/>
        <v>4293.9381847624682</v>
      </c>
      <c r="Z1041" s="273">
        <f t="shared" si="885"/>
        <v>4200.559297961533</v>
      </c>
      <c r="AA1041" s="273">
        <f t="shared" si="885"/>
        <v>4003.3821821537781</v>
      </c>
      <c r="AB1041" s="273">
        <f t="shared" si="885"/>
        <v>3841.851300032547</v>
      </c>
      <c r="AC1041" s="273">
        <f t="shared" si="885"/>
        <v>4438.3029262481932</v>
      </c>
      <c r="AD1041" s="273">
        <f t="shared" si="885"/>
        <v>4146.9768017174856</v>
      </c>
      <c r="AE1041" s="273">
        <f t="shared" si="885"/>
        <v>3806.2983076302899</v>
      </c>
      <c r="AF1041" s="273">
        <f t="shared" si="885"/>
        <v>3369.2136715138963</v>
      </c>
      <c r="AG1041" s="273">
        <f t="shared" si="885"/>
        <v>3157.4889782205969</v>
      </c>
      <c r="AH1041" s="273">
        <f t="shared" si="885"/>
        <v>2494.9248865090399</v>
      </c>
      <c r="AI1041" s="273">
        <f t="shared" si="885"/>
        <v>1948.5990309090844</v>
      </c>
      <c r="AJ1041" s="273">
        <f t="shared" si="885"/>
        <v>1668.8710924392994</v>
      </c>
      <c r="AK1041" s="273">
        <f t="shared" si="885"/>
        <v>0</v>
      </c>
      <c r="AL1041" s="273">
        <f t="shared" si="885"/>
        <v>0</v>
      </c>
      <c r="AM1041" s="273">
        <f t="shared" si="885"/>
        <v>0</v>
      </c>
      <c r="AN1041" s="273">
        <f t="shared" si="885"/>
        <v>0</v>
      </c>
    </row>
    <row r="1042" spans="3:40" outlineLevel="2">
      <c r="C1042" s="332" t="s">
        <v>536</v>
      </c>
      <c r="D1042" s="81"/>
      <c r="E1042" s="204" t="s">
        <v>13</v>
      </c>
      <c r="F1042" s="270"/>
      <c r="G1042" s="327">
        <f t="shared" ref="G1042:AN1042" si="886">IFERROR(IF(H1020=0,-(G1039+G1040+G1041),G1039*-G1048),0)</f>
        <v>0</v>
      </c>
      <c r="H1042" s="327">
        <f t="shared" si="886"/>
        <v>-647.6019671027417</v>
      </c>
      <c r="I1042" s="327">
        <f t="shared" si="886"/>
        <v>-1010.3220979072208</v>
      </c>
      <c r="J1042" s="327">
        <f t="shared" si="886"/>
        <v>-1187.7571872246326</v>
      </c>
      <c r="K1042" s="327">
        <f t="shared" si="886"/>
        <v>-1237.8782916535206</v>
      </c>
      <c r="L1042" s="327">
        <f t="shared" si="886"/>
        <v>-1325.2171511676563</v>
      </c>
      <c r="M1042" s="327">
        <f t="shared" si="886"/>
        <v>-2691.1388686706773</v>
      </c>
      <c r="N1042" s="327">
        <f t="shared" si="886"/>
        <v>-2743.2273792575729</v>
      </c>
      <c r="O1042" s="327">
        <f t="shared" si="886"/>
        <v>-3644.274992630395</v>
      </c>
      <c r="P1042" s="327">
        <f t="shared" si="886"/>
        <v>-3687.8384638339357</v>
      </c>
      <c r="Q1042" s="327">
        <f t="shared" si="886"/>
        <v>-3818.4645646707831</v>
      </c>
      <c r="R1042" s="327">
        <f t="shared" si="886"/>
        <v>-3954.0619535851997</v>
      </c>
      <c r="S1042" s="327">
        <f t="shared" si="886"/>
        <v>-4116.9889075355377</v>
      </c>
      <c r="T1042" s="327">
        <f t="shared" si="886"/>
        <v>-4251.6119943928843</v>
      </c>
      <c r="U1042" s="327">
        <f t="shared" si="886"/>
        <v>-4316.3519069722097</v>
      </c>
      <c r="V1042" s="327">
        <f t="shared" si="886"/>
        <v>-5383.4620384857753</v>
      </c>
      <c r="W1042" s="327">
        <f t="shared" si="886"/>
        <v>-5768.6804273405796</v>
      </c>
      <c r="X1042" s="327">
        <f t="shared" si="886"/>
        <v>-5929.5554843320706</v>
      </c>
      <c r="Y1042" s="327">
        <f t="shared" si="886"/>
        <v>-6036.8482264558279</v>
      </c>
      <c r="Z1042" s="327">
        <f t="shared" si="886"/>
        <v>-6215.553194781256</v>
      </c>
      <c r="AA1042" s="327">
        <f t="shared" si="886"/>
        <v>-6282.6474492878006</v>
      </c>
      <c r="AB1042" s="327">
        <f t="shared" si="886"/>
        <v>-6454.7922542075394</v>
      </c>
      <c r="AC1042" s="327">
        <f t="shared" si="886"/>
        <v>-8077.852078938512</v>
      </c>
      <c r="AD1042" s="327">
        <f t="shared" si="886"/>
        <v>-8300.4443974111036</v>
      </c>
      <c r="AE1042" s="327">
        <f t="shared" si="886"/>
        <v>-8547.3302364185292</v>
      </c>
      <c r="AF1042" s="327">
        <f t="shared" si="886"/>
        <v>-8724.8758668782484</v>
      </c>
      <c r="AG1042" s="327">
        <f t="shared" si="886"/>
        <v>-9815.5258727322198</v>
      </c>
      <c r="AH1042" s="327">
        <f t="shared" si="886"/>
        <v>-9924.4610297818526</v>
      </c>
      <c r="AI1042" s="327">
        <f t="shared" si="886"/>
        <v>-11150.879596718543</v>
      </c>
      <c r="AJ1042" s="327">
        <f t="shared" si="886"/>
        <v>-18369.320853482819</v>
      </c>
      <c r="AK1042" s="327">
        <f t="shared" si="886"/>
        <v>0</v>
      </c>
      <c r="AL1042" s="327">
        <f t="shared" si="886"/>
        <v>0</v>
      </c>
      <c r="AM1042" s="327">
        <f t="shared" si="886"/>
        <v>0</v>
      </c>
      <c r="AN1042" s="327">
        <f t="shared" si="886"/>
        <v>0</v>
      </c>
    </row>
    <row r="1043" spans="3:40" outlineLevel="2">
      <c r="C1043" s="266" t="s">
        <v>532</v>
      </c>
      <c r="E1043" s="76" t="s">
        <v>13</v>
      </c>
      <c r="F1043" s="53"/>
      <c r="G1043" s="273">
        <f t="shared" ref="G1043:AL1043" si="887">SUM(G1039:G1042)</f>
        <v>9009.4527308959987</v>
      </c>
      <c r="H1043" s="273">
        <f t="shared" si="887"/>
        <v>10676.520287154877</v>
      </c>
      <c r="I1043" s="273">
        <f t="shared" si="887"/>
        <v>12480.644466171951</v>
      </c>
      <c r="J1043" s="273">
        <f t="shared" si="887"/>
        <v>12928.544583448816</v>
      </c>
      <c r="K1043" s="273">
        <f t="shared" si="887"/>
        <v>13750.687701685851</v>
      </c>
      <c r="L1043" s="273">
        <f t="shared" si="887"/>
        <v>26035.813877316854</v>
      </c>
      <c r="M1043" s="273">
        <f t="shared" si="887"/>
        <v>26173.514651346224</v>
      </c>
      <c r="N1043" s="273">
        <f t="shared" si="887"/>
        <v>34244.949433359463</v>
      </c>
      <c r="O1043" s="273">
        <f t="shared" si="887"/>
        <v>34079.208563276385</v>
      </c>
      <c r="P1043" s="273">
        <f t="shared" si="887"/>
        <v>34641.88616479074</v>
      </c>
      <c r="Q1043" s="273">
        <f t="shared" si="887"/>
        <v>35149.295335832372</v>
      </c>
      <c r="R1043" s="273">
        <f t="shared" si="887"/>
        <v>35781.972567719036</v>
      </c>
      <c r="S1043" s="273">
        <f t="shared" si="887"/>
        <v>36038.459791230584</v>
      </c>
      <c r="T1043" s="273">
        <f t="shared" si="887"/>
        <v>35580.694904204967</v>
      </c>
      <c r="U1043" s="273">
        <f t="shared" si="887"/>
        <v>43014.006787490995</v>
      </c>
      <c r="V1043" s="273">
        <f t="shared" si="887"/>
        <v>44505.059918419647</v>
      </c>
      <c r="W1043" s="273">
        <f t="shared" si="887"/>
        <v>43973.361810042094</v>
      </c>
      <c r="X1043" s="273">
        <f t="shared" si="887"/>
        <v>42806.448067029582</v>
      </c>
      <c r="Y1043" s="273">
        <f t="shared" si="887"/>
        <v>41875.550067010423</v>
      </c>
      <c r="Z1043" s="273">
        <f t="shared" si="887"/>
        <v>39909.883211864901</v>
      </c>
      <c r="AA1043" s="273">
        <f t="shared" si="887"/>
        <v>38299.575140528177</v>
      </c>
      <c r="AB1043" s="273">
        <f t="shared" si="887"/>
        <v>44245.626169557552</v>
      </c>
      <c r="AC1043" s="273">
        <f t="shared" si="887"/>
        <v>41341.383936973434</v>
      </c>
      <c r="AD1043" s="273">
        <f t="shared" si="887"/>
        <v>37945.145882954013</v>
      </c>
      <c r="AE1043" s="273">
        <f t="shared" si="887"/>
        <v>33587.830995839977</v>
      </c>
      <c r="AF1043" s="273">
        <f t="shared" si="887"/>
        <v>31477.13873666188</v>
      </c>
      <c r="AG1043" s="273">
        <f t="shared" si="887"/>
        <v>24872.009793824451</v>
      </c>
      <c r="AH1043" s="273">
        <f t="shared" si="887"/>
        <v>19425.66465350458</v>
      </c>
      <c r="AI1043" s="273">
        <f t="shared" si="887"/>
        <v>16637.04521936932</v>
      </c>
      <c r="AJ1043" s="273">
        <f t="shared" si="887"/>
        <v>0</v>
      </c>
      <c r="AK1043" s="273">
        <f t="shared" si="887"/>
        <v>0</v>
      </c>
      <c r="AL1043" s="273">
        <f t="shared" si="887"/>
        <v>0</v>
      </c>
      <c r="AM1043" s="273">
        <f t="shared" ref="AM1043:AN1043" si="888">SUM(AM1039:AM1042)</f>
        <v>0</v>
      </c>
      <c r="AN1043" s="273">
        <f t="shared" si="888"/>
        <v>0</v>
      </c>
    </row>
    <row r="1044" spans="3:40" outlineLevel="2"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</row>
    <row r="1045" spans="3:40" outlineLevel="2">
      <c r="C1045" s="266" t="str">
        <f>DFs!C17</f>
        <v>Receitas Tarifárias</v>
      </c>
      <c r="E1045" s="32" t="str">
        <f>DFs!E17</f>
        <v>$ 000s</v>
      </c>
      <c r="F1045" s="23">
        <f>DFs!F17</f>
        <v>555333.9449924737</v>
      </c>
      <c r="G1045" s="278">
        <f>DFs!G17</f>
        <v>0</v>
      </c>
      <c r="H1045" s="278">
        <f>DFs!H17</f>
        <v>11758.952798734137</v>
      </c>
      <c r="I1045" s="278">
        <f>DFs!I17</f>
        <v>15920.762778005295</v>
      </c>
      <c r="J1045" s="278">
        <f>DFs!J17</f>
        <v>16102.167234904948</v>
      </c>
      <c r="K1045" s="278">
        <f>DFs!K17</f>
        <v>16283.571691804606</v>
      </c>
      <c r="L1045" s="278">
        <f>DFs!L17</f>
        <v>16464.97614870426</v>
      </c>
      <c r="M1045" s="278">
        <f>DFs!M17</f>
        <v>17728.395344968165</v>
      </c>
      <c r="N1045" s="278">
        <f>DFs!N17</f>
        <v>17921.591091566297</v>
      </c>
      <c r="O1045" s="278">
        <f>DFs!O17</f>
        <v>18114.786838164429</v>
      </c>
      <c r="P1045" s="278">
        <f>DFs!P17</f>
        <v>18307.982584762562</v>
      </c>
      <c r="Q1045" s="278">
        <f>DFs!Q17</f>
        <v>18501.17833136069</v>
      </c>
      <c r="R1045" s="278">
        <f>DFs!R17</f>
        <v>18694.374077958822</v>
      </c>
      <c r="S1045" s="278">
        <f>DFs!S17</f>
        <v>18887.569824556955</v>
      </c>
      <c r="T1045" s="278">
        <f>DFs!T17</f>
        <v>19080.765571155087</v>
      </c>
      <c r="U1045" s="278">
        <f>DFs!U17</f>
        <v>19273.961317753216</v>
      </c>
      <c r="V1045" s="278">
        <f>DFs!V17</f>
        <v>19467.157064351348</v>
      </c>
      <c r="W1045" s="278">
        <f>DFs!W17</f>
        <v>19660.35281094948</v>
      </c>
      <c r="X1045" s="278">
        <f>DFs!X17</f>
        <v>19853.548557547612</v>
      </c>
      <c r="Y1045" s="278">
        <f>DFs!Y17</f>
        <v>20046.744304145745</v>
      </c>
      <c r="Z1045" s="278">
        <f>DFs!Z17</f>
        <v>20239.940050743877</v>
      </c>
      <c r="AA1045" s="278">
        <f>DFs!AA17</f>
        <v>20433.135797342009</v>
      </c>
      <c r="AB1045" s="278">
        <f>DFs!AB17</f>
        <v>20626.331543940141</v>
      </c>
      <c r="AC1045" s="278">
        <f>DFs!AC17</f>
        <v>20819.527290538274</v>
      </c>
      <c r="AD1045" s="278">
        <f>DFs!AD17</f>
        <v>21012.723037136402</v>
      </c>
      <c r="AE1045" s="278">
        <f>DFs!AE17</f>
        <v>21205.918783734534</v>
      </c>
      <c r="AF1045" s="278">
        <f>DFs!AF17</f>
        <v>21399.11453033267</v>
      </c>
      <c r="AG1045" s="278">
        <f>DFs!AG17</f>
        <v>21592.310276930795</v>
      </c>
      <c r="AH1045" s="278">
        <f>DFs!AH17</f>
        <v>21785.506023528927</v>
      </c>
      <c r="AI1045" s="278">
        <f>DFs!AI17</f>
        <v>21978.701770127063</v>
      </c>
      <c r="AJ1045" s="278">
        <f>DFs!AJ17</f>
        <v>22171.897516725192</v>
      </c>
      <c r="AK1045" s="278">
        <f>DFs!AK17</f>
        <v>0</v>
      </c>
      <c r="AL1045" s="278">
        <f>DFs!AL17</f>
        <v>0</v>
      </c>
      <c r="AM1045" s="278">
        <f>DFs!AM17</f>
        <v>0</v>
      </c>
      <c r="AN1045" s="278">
        <f>DFs!AN17</f>
        <v>0</v>
      </c>
    </row>
    <row r="1046" spans="3:40" outlineLevel="2"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</row>
    <row r="1047" spans="3:40" outlineLevel="2">
      <c r="C1047" s="266" t="s">
        <v>531</v>
      </c>
      <c r="D1047" s="148">
        <f>D1037</f>
        <v>0.1003105461597443</v>
      </c>
      <c r="E1047" s="32" t="s">
        <v>23</v>
      </c>
      <c r="F1047" s="44">
        <f>SUM(G1047:AN1047)</f>
        <v>4053980.5374315027</v>
      </c>
      <c r="G1047" s="333">
        <f>NPV($D$1030,G$1045:$AN1045)</f>
        <v>148676.94316174625</v>
      </c>
      <c r="H1047" s="333">
        <f>NPV($D$1030,H$1045:$AN1045)</f>
        <v>163590.80853166222</v>
      </c>
      <c r="I1047" s="333">
        <f>NPV($D$1030,I$1045:$AN1045)</f>
        <v>168241.73908345326</v>
      </c>
      <c r="J1047" s="333">
        <f>NPV($D$1030,J$1045:$AN1045)</f>
        <v>169197.39703977434</v>
      </c>
      <c r="K1047" s="333">
        <f>NPV($D$1030,K$1045:$AN1045)</f>
        <v>170067.51311073624</v>
      </c>
      <c r="L1047" s="333">
        <f>NPV($D$1030,L$1045:$AN1045)</f>
        <v>170843.50654309904</v>
      </c>
      <c r="M1047" s="333">
        <f>NPV($D$1030,M$1045:$AN1045)</f>
        <v>171515.93584357898</v>
      </c>
      <c r="N1047" s="333">
        <f>NPV($D$1030,N$1045:$AN1045)</f>
        <v>170992.39769817979</v>
      </c>
      <c r="O1047" s="333">
        <f>NPV($D$1030,O$1045:$AN1045)</f>
        <v>170223.1474088821</v>
      </c>
      <c r="P1047" s="333">
        <f>NPV($D$1030,P$1045:$AN1045)</f>
        <v>169183.53745633326</v>
      </c>
      <c r="Q1047" s="333">
        <f>NPV($D$1030,Q$1045:$AN1045)</f>
        <v>167846.447915053</v>
      </c>
      <c r="R1047" s="333">
        <f>NPV($D$1030,R$1045:$AN1045)</f>
        <v>166182.03844502431</v>
      </c>
      <c r="S1047" s="333">
        <f>NPV($D$1030,S$1045:$AN1045)</f>
        <v>164157.47540542553</v>
      </c>
      <c r="T1047" s="333">
        <f>NPV($D$1030,T$1045:$AN1045)</f>
        <v>161736.6315949916</v>
      </c>
      <c r="U1047" s="333">
        <f>NPV($D$1030,U$1045:$AN1045)</f>
        <v>158879.75587316745</v>
      </c>
      <c r="V1047" s="333">
        <f>NPV($D$1030,V$1045:$AN1045)</f>
        <v>155543.10964077854</v>
      </c>
      <c r="W1047" s="333">
        <f>NPV($D$1030,W$1045:$AN1045)</f>
        <v>151678.56685587866</v>
      </c>
      <c r="X1047" s="333">
        <f>NPV($D$1030,X$1045:$AN1045)</f>
        <v>147233.17392696964</v>
      </c>
      <c r="Y1047" s="333">
        <f>NPV($D$1030,Y$1045:$AN1045)</f>
        <v>142148.66545886896</v>
      </c>
      <c r="Z1047" s="333">
        <f>NPV($D$1030,Z$1045:$AN1045)</f>
        <v>136360.93142278108</v>
      </c>
      <c r="AA1047" s="333">
        <f>NPV($D$1030,AA$1045:$AN1045)</f>
        <v>129799.4308779078</v>
      </c>
      <c r="AB1047" s="333">
        <f>NPV($D$1030,AB$1045:$AN1045)</f>
        <v>122386.54688315271</v>
      </c>
      <c r="AC1047" s="333">
        <f>NPV($D$1030,AC$1045:$AN1045)</f>
        <v>114036.87669966675</v>
      </c>
      <c r="AD1047" s="333">
        <f>NPV($D$1030,AD$1045:$AN1045)</f>
        <v>104656.45079322347</v>
      </c>
      <c r="AE1047" s="333">
        <f>NPV($D$1030,AE$1045:$AN1045)</f>
        <v>94141.873494295694</v>
      </c>
      <c r="AF1047" s="333">
        <f>NPV($D$1030,AF$1045:$AN1045)</f>
        <v>82379.377457275521</v>
      </c>
      <c r="AG1047" s="333">
        <f>NPV($D$1030,AG$1045:$AN1045)</f>
        <v>69243.783271981883</v>
      </c>
      <c r="AH1047" s="333">
        <f>NPV($D$1030,AH$1045:$AN1045)</f>
        <v>54597.354713230539</v>
      </c>
      <c r="AI1047" s="333">
        <f>NPV($D$1030,AI$1045:$AN1045)</f>
        <v>38288.539159863052</v>
      </c>
      <c r="AJ1047" s="333">
        <f>NPV($D$1030,AJ$1045:$AN1045)</f>
        <v>20150.581664520603</v>
      </c>
      <c r="AK1047" s="333">
        <f>NPV($D$1030,AK$1045:$AN1045)</f>
        <v>0</v>
      </c>
      <c r="AL1047" s="333">
        <f>NPV($D$1030,AL$1045:$AN1045)</f>
        <v>0</v>
      </c>
      <c r="AM1047" s="333">
        <f>NPV($D$1030,AM$1045:$AN1045)</f>
        <v>0</v>
      </c>
      <c r="AN1047" s="333">
        <f>NPV($D$1030,AN$1045:$AN1045)</f>
        <v>0</v>
      </c>
    </row>
    <row r="1048" spans="3:40" ht="16.5" customHeight="1" outlineLevel="2">
      <c r="C1048" s="266" t="s">
        <v>533</v>
      </c>
      <c r="E1048" s="32" t="s">
        <v>23</v>
      </c>
      <c r="F1048" s="278"/>
      <c r="G1048" s="473">
        <f t="shared" ref="G1048:AN1048" si="889">IFERROR(IF(G1020=1,G1045/G1047,0),0)</f>
        <v>0</v>
      </c>
      <c r="H1048" s="473">
        <f t="shared" si="889"/>
        <v>7.1880278019765695E-2</v>
      </c>
      <c r="I1048" s="473">
        <f t="shared" si="889"/>
        <v>9.4630279410676379E-2</v>
      </c>
      <c r="J1048" s="473">
        <f t="shared" si="889"/>
        <v>9.5167937076004225E-2</v>
      </c>
      <c r="K1048" s="473">
        <f t="shared" si="889"/>
        <v>9.5747690984355524E-2</v>
      </c>
      <c r="L1048" s="473">
        <f t="shared" si="889"/>
        <v>9.6374609031749228E-2</v>
      </c>
      <c r="M1048" s="473">
        <f t="shared" si="889"/>
        <v>0.103362963084295</v>
      </c>
      <c r="N1048" s="473">
        <f t="shared" si="889"/>
        <v>0.10480928586778376</v>
      </c>
      <c r="O1048" s="473">
        <f t="shared" si="889"/>
        <v>0.10641788213827384</v>
      </c>
      <c r="P1048" s="473">
        <f t="shared" si="889"/>
        <v>0.10821373556802417</v>
      </c>
      <c r="Q1048" s="473">
        <f t="shared" si="889"/>
        <v>0.110226808855223</v>
      </c>
      <c r="R1048" s="473">
        <f t="shared" si="889"/>
        <v>0.11249334917830618</v>
      </c>
      <c r="S1048" s="473">
        <f t="shared" si="889"/>
        <v>0.11505762852352386</v>
      </c>
      <c r="T1048" s="473">
        <f t="shared" si="889"/>
        <v>0.11797429798671502</v>
      </c>
      <c r="U1048" s="473">
        <f t="shared" si="889"/>
        <v>0.12131162470528642</v>
      </c>
      <c r="V1048" s="473">
        <f t="shared" si="889"/>
        <v>0.12515602336426265</v>
      </c>
      <c r="W1048" s="473">
        <f t="shared" si="889"/>
        <v>0.12961852962146114</v>
      </c>
      <c r="X1048" s="473">
        <f t="shared" si="889"/>
        <v>0.13484426116763154</v>
      </c>
      <c r="Y1048" s="473">
        <f t="shared" si="889"/>
        <v>0.14102660928565885</v>
      </c>
      <c r="Z1048" s="473">
        <f t="shared" si="889"/>
        <v>0.14842917131440553</v>
      </c>
      <c r="AA1048" s="473">
        <f t="shared" si="889"/>
        <v>0.15742084275055002</v>
      </c>
      <c r="AB1048" s="473">
        <f t="shared" si="889"/>
        <v>0.16853430437605954</v>
      </c>
      <c r="AC1048" s="473">
        <f t="shared" si="889"/>
        <v>0.18256837518770025</v>
      </c>
      <c r="AD1048" s="473">
        <f t="shared" si="889"/>
        <v>0.20077809707738514</v>
      </c>
      <c r="AE1048" s="473">
        <f t="shared" si="889"/>
        <v>0.22525490514079749</v>
      </c>
      <c r="AF1048" s="473">
        <f t="shared" si="889"/>
        <v>0.25976300368901073</v>
      </c>
      <c r="AG1048" s="473">
        <f t="shared" si="889"/>
        <v>0.31183030817537222</v>
      </c>
      <c r="AH1048" s="473">
        <f t="shared" si="889"/>
        <v>0.39902127379533392</v>
      </c>
      <c r="AI1048" s="473">
        <f t="shared" si="889"/>
        <v>0.57402821450986052</v>
      </c>
      <c r="AJ1048" s="473">
        <f t="shared" si="889"/>
        <v>1.1003105461597442</v>
      </c>
      <c r="AK1048" s="473">
        <f t="shared" si="889"/>
        <v>0</v>
      </c>
      <c r="AL1048" s="473">
        <f t="shared" si="889"/>
        <v>0</v>
      </c>
      <c r="AM1048" s="473">
        <f t="shared" si="889"/>
        <v>0</v>
      </c>
      <c r="AN1048" s="473">
        <f t="shared" si="889"/>
        <v>0</v>
      </c>
    </row>
    <row r="1049" spans="3:40" outlineLevel="2"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</row>
    <row r="1050" spans="3:40" outlineLevel="1"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</row>
    <row r="1052" spans="3:40" ht="16.2" thickBot="1">
      <c r="C1052" s="394" t="s">
        <v>537</v>
      </c>
      <c r="D1052" s="395"/>
      <c r="E1052" s="396"/>
      <c r="F1052" s="395"/>
      <c r="G1052" s="395"/>
      <c r="H1052" s="395"/>
      <c r="I1052" s="395"/>
      <c r="J1052" s="395"/>
      <c r="K1052" s="395"/>
      <c r="L1052" s="395"/>
      <c r="M1052" s="395"/>
      <c r="N1052" s="395"/>
      <c r="O1052" s="395"/>
      <c r="P1052" s="395"/>
      <c r="Q1052" s="395"/>
      <c r="R1052" s="395"/>
      <c r="S1052" s="395"/>
      <c r="T1052" s="395"/>
      <c r="U1052" s="395"/>
      <c r="V1052" s="395"/>
      <c r="W1052" s="395"/>
      <c r="X1052" s="395"/>
      <c r="Y1052" s="395"/>
      <c r="Z1052" s="395"/>
      <c r="AA1052" s="395"/>
      <c r="AB1052" s="395"/>
      <c r="AC1052" s="395"/>
      <c r="AD1052" s="395"/>
      <c r="AE1052" s="395"/>
      <c r="AF1052" s="395"/>
      <c r="AG1052" s="395"/>
      <c r="AH1052" s="395"/>
      <c r="AI1052" s="395"/>
      <c r="AJ1052" s="395"/>
      <c r="AK1052" s="8"/>
      <c r="AL1052" s="8"/>
      <c r="AM1052" s="8"/>
      <c r="AN1052" s="8"/>
    </row>
    <row r="1053" spans="3:40" outlineLevel="1"/>
    <row r="1054" spans="3:40" outlineLevel="1">
      <c r="C1054" s="14" t="s">
        <v>112</v>
      </c>
      <c r="D1054" s="266"/>
    </row>
    <row r="1055" spans="3:40" outlineLevel="2">
      <c r="C1055" s="301" t="s">
        <v>538</v>
      </c>
      <c r="D1055" s="266"/>
      <c r="E1055" s="76" t="s">
        <v>13</v>
      </c>
      <c r="F1055" s="327"/>
      <c r="G1055" s="273">
        <f t="shared" ref="G1055" si="890">F1058</f>
        <v>0</v>
      </c>
      <c r="H1055" s="273">
        <f t="shared" ref="H1055:AN1055" ca="1" si="891">G1058</f>
        <v>6640.1433350360567</v>
      </c>
      <c r="I1055" s="273">
        <f t="shared" ca="1" si="891"/>
        <v>10033.740567941948</v>
      </c>
      <c r="J1055" s="273">
        <f t="shared" ca="1" si="891"/>
        <v>10905.479915859049</v>
      </c>
      <c r="K1055" s="273">
        <f t="shared" ca="1" si="891"/>
        <v>11104.112036696148</v>
      </c>
      <c r="L1055" s="273">
        <f t="shared" ca="1" si="891"/>
        <v>11485.688057533247</v>
      </c>
      <c r="M1055" s="273">
        <f t="shared" ca="1" si="891"/>
        <v>17638.444624218482</v>
      </c>
      <c r="N1055" s="273">
        <f t="shared" ca="1" si="891"/>
        <v>17759.242090694956</v>
      </c>
      <c r="O1055" s="273">
        <f t="shared" ca="1" si="891"/>
        <v>21853.833396532056</v>
      </c>
      <c r="P1055" s="273">
        <f t="shared" ca="1" si="891"/>
        <v>21875.535667369157</v>
      </c>
      <c r="Q1055" s="273">
        <f t="shared" ca="1" si="891"/>
        <v>22298.425188206256</v>
      </c>
      <c r="R1055" s="273">
        <f t="shared" ca="1" si="891"/>
        <v>23024.904390465537</v>
      </c>
      <c r="S1055" s="273">
        <f t="shared" ca="1" si="891"/>
        <v>23574.806182067721</v>
      </c>
      <c r="T1055" s="273">
        <f t="shared" ca="1" si="891"/>
        <v>23973.773142120823</v>
      </c>
      <c r="U1055" s="273">
        <f t="shared" ca="1" si="891"/>
        <v>24063.177903597294</v>
      </c>
      <c r="V1055" s="273">
        <f t="shared" ca="1" si="891"/>
        <v>28153.450329434396</v>
      </c>
      <c r="W1055" s="273">
        <f t="shared" ca="1" si="891"/>
        <v>29477.466557455522</v>
      </c>
      <c r="X1055" s="273">
        <f t="shared" ca="1" si="891"/>
        <v>29869.231683292623</v>
      </c>
      <c r="Y1055" s="273">
        <f t="shared" ca="1" si="891"/>
        <v>30045.056584129721</v>
      </c>
      <c r="Z1055" s="273">
        <f t="shared" ca="1" si="891"/>
        <v>30458.05600496682</v>
      </c>
      <c r="AA1055" s="273">
        <f t="shared" ca="1" si="891"/>
        <v>30482.719525803921</v>
      </c>
      <c r="AB1055" s="273">
        <f t="shared" ca="1" si="891"/>
        <v>31118.213718702573</v>
      </c>
      <c r="AC1055" s="273">
        <f t="shared" ca="1" si="891"/>
        <v>35424.157815304759</v>
      </c>
      <c r="AD1055" s="273">
        <f t="shared" ca="1" si="891"/>
        <v>35791.811275357861</v>
      </c>
      <c r="AE1055" s="273">
        <f t="shared" ca="1" si="891"/>
        <v>36170.42604619496</v>
      </c>
      <c r="AF1055" s="273">
        <f t="shared" ca="1" si="891"/>
        <v>36369.387867032063</v>
      </c>
      <c r="AG1055" s="273">
        <f t="shared" ca="1" si="891"/>
        <v>38029.12723512519</v>
      </c>
      <c r="AH1055" s="273">
        <f t="shared" ca="1" si="891"/>
        <v>38061.018610962288</v>
      </c>
      <c r="AI1055" s="273">
        <f t="shared" ca="1" si="891"/>
        <v>39059.71741243876</v>
      </c>
      <c r="AJ1055" s="273">
        <f t="shared" ca="1" si="891"/>
        <v>42266.547978275863</v>
      </c>
      <c r="AK1055" s="273">
        <f t="shared" ca="1" si="891"/>
        <v>42298.250249112964</v>
      </c>
      <c r="AL1055" s="273">
        <f t="shared" ca="1" si="891"/>
        <v>42298.250249112964</v>
      </c>
      <c r="AM1055" s="273">
        <f t="shared" ca="1" si="891"/>
        <v>42298.250249112964</v>
      </c>
      <c r="AN1055" s="273">
        <f t="shared" ca="1" si="891"/>
        <v>42298.250249112964</v>
      </c>
    </row>
    <row r="1056" spans="3:40" outlineLevel="2">
      <c r="C1056" s="334" t="s">
        <v>539</v>
      </c>
      <c r="D1056" s="275"/>
      <c r="E1056" s="207" t="s">
        <v>13</v>
      </c>
      <c r="F1056" s="90">
        <f ca="1">SUM(G1056:AN1056)</f>
        <v>38388.243146281529</v>
      </c>
      <c r="G1056" s="322">
        <f ca="1">DFs!G52</f>
        <v>5387.5155604479987</v>
      </c>
      <c r="H1056" s="322">
        <f ca="1">DFs!H52</f>
        <v>736.21790466252253</v>
      </c>
      <c r="I1056" s="322">
        <f ca="1">DFs!I52</f>
        <v>871.73934791710019</v>
      </c>
      <c r="J1056" s="322">
        <f ca="1">DFs!J52</f>
        <v>198.63212083710005</v>
      </c>
      <c r="K1056" s="322">
        <f ca="1">DFs!K52</f>
        <v>381.57602083710003</v>
      </c>
      <c r="L1056" s="322">
        <f ca="1">DFs!L52</f>
        <v>6152.7565666852361</v>
      </c>
      <c r="M1056" s="322">
        <f ca="1">DFs!M52</f>
        <v>120.79746647647202</v>
      </c>
      <c r="N1056" s="322">
        <f ca="1">DFs!N52</f>
        <v>4094.5913058371002</v>
      </c>
      <c r="O1056" s="322">
        <f ca="1">DFs!O52</f>
        <v>21.702270837100006</v>
      </c>
      <c r="P1056" s="322">
        <f ca="1">DFs!P52</f>
        <v>422.88952083710018</v>
      </c>
      <c r="Q1056" s="322">
        <f ca="1">DFs!Q52</f>
        <v>726.4792022592801</v>
      </c>
      <c r="R1056" s="322">
        <f ca="1">DFs!R52</f>
        <v>549.90179160218463</v>
      </c>
      <c r="S1056" s="322">
        <f ca="1">DFs!S52</f>
        <v>398.96696005310019</v>
      </c>
      <c r="T1056" s="322">
        <f ca="1">DFs!T52</f>
        <v>89.404761476472018</v>
      </c>
      <c r="U1056" s="322">
        <f ca="1">DFs!U52</f>
        <v>4090.2724258371009</v>
      </c>
      <c r="V1056" s="322">
        <f ca="1">DFs!V52</f>
        <v>1324.0162280211268</v>
      </c>
      <c r="W1056" s="322">
        <f ca="1">DFs!W52</f>
        <v>391.76512583710007</v>
      </c>
      <c r="X1056" s="322">
        <f ca="1">DFs!X52</f>
        <v>175.82490083709999</v>
      </c>
      <c r="Y1056" s="322">
        <f ca="1">DFs!Y52</f>
        <v>412.99942083710005</v>
      </c>
      <c r="Z1056" s="322">
        <f ca="1">DFs!Z52</f>
        <v>24.663520837100002</v>
      </c>
      <c r="AA1056" s="322">
        <f ca="1">DFs!AA52</f>
        <v>635.49419289865182</v>
      </c>
      <c r="AB1056" s="322">
        <f ca="1">DFs!AB52</f>
        <v>4305.9440966021857</v>
      </c>
      <c r="AC1056" s="322">
        <f ca="1">DFs!AC52</f>
        <v>367.65346005310005</v>
      </c>
      <c r="AD1056" s="322">
        <f ca="1">DFs!AD52</f>
        <v>378.61477083710002</v>
      </c>
      <c r="AE1056" s="322">
        <f ca="1">DFs!AE52</f>
        <v>198.96182083710002</v>
      </c>
      <c r="AF1056" s="322">
        <f ca="1">DFs!AF52</f>
        <v>1659.7393680931268</v>
      </c>
      <c r="AG1056" s="322">
        <f ca="1">DFs!AG52</f>
        <v>31.8913758371</v>
      </c>
      <c r="AH1056" s="322">
        <f ca="1">DFs!AH52</f>
        <v>998.69880147647189</v>
      </c>
      <c r="AI1056" s="322">
        <f ca="1">DFs!AI52</f>
        <v>3206.8305658371</v>
      </c>
      <c r="AJ1056" s="322">
        <f ca="1">DFs!AJ52</f>
        <v>31.702270837099999</v>
      </c>
      <c r="AK1056" s="322">
        <f ca="1">DFs!AK52</f>
        <v>0</v>
      </c>
      <c r="AL1056" s="322">
        <f ca="1">DFs!AL52</f>
        <v>0</v>
      </c>
      <c r="AM1056" s="322">
        <f ca="1">DFs!AM52</f>
        <v>0</v>
      </c>
      <c r="AN1056" s="322">
        <f>DFs!AN52</f>
        <v>0</v>
      </c>
    </row>
    <row r="1057" spans="3:40" outlineLevel="2">
      <c r="C1057" s="335" t="s">
        <v>540</v>
      </c>
      <c r="D1057" s="266"/>
      <c r="E1057" s="208" t="s">
        <v>13</v>
      </c>
      <c r="F1057" s="47">
        <f ca="1">SUM(G1057:AJ1057)</f>
        <v>3910.0071028314269</v>
      </c>
      <c r="G1057" s="336">
        <f t="shared" ref="G1057:AN1057" ca="1" si="892">IF((G1062+G1061)&lt;0,-G1062-G1061,0)</f>
        <v>1252.6277745880582</v>
      </c>
      <c r="H1057" s="336">
        <f t="shared" ca="1" si="892"/>
        <v>2657.3793282433689</v>
      </c>
      <c r="I1057" s="336">
        <f t="shared" ca="1" si="892"/>
        <v>0</v>
      </c>
      <c r="J1057" s="336">
        <f t="shared" ca="1" si="892"/>
        <v>0</v>
      </c>
      <c r="K1057" s="336">
        <f t="shared" ca="1" si="892"/>
        <v>0</v>
      </c>
      <c r="L1057" s="336">
        <f t="shared" ca="1" si="892"/>
        <v>0</v>
      </c>
      <c r="M1057" s="336">
        <f t="shared" ca="1" si="892"/>
        <v>0</v>
      </c>
      <c r="N1057" s="336">
        <f t="shared" ca="1" si="892"/>
        <v>0</v>
      </c>
      <c r="O1057" s="336">
        <f t="shared" ca="1" si="892"/>
        <v>0</v>
      </c>
      <c r="P1057" s="336">
        <f t="shared" ca="1" si="892"/>
        <v>0</v>
      </c>
      <c r="Q1057" s="336">
        <f t="shared" ca="1" si="892"/>
        <v>0</v>
      </c>
      <c r="R1057" s="336">
        <f t="shared" ca="1" si="892"/>
        <v>0</v>
      </c>
      <c r="S1057" s="336">
        <f t="shared" ca="1" si="892"/>
        <v>0</v>
      </c>
      <c r="T1057" s="336">
        <f t="shared" ca="1" si="892"/>
        <v>0</v>
      </c>
      <c r="U1057" s="336">
        <f t="shared" ca="1" si="892"/>
        <v>0</v>
      </c>
      <c r="V1057" s="336">
        <f t="shared" ca="1" si="892"/>
        <v>0</v>
      </c>
      <c r="W1057" s="336">
        <f t="shared" ca="1" si="892"/>
        <v>0</v>
      </c>
      <c r="X1057" s="336">
        <f t="shared" ca="1" si="892"/>
        <v>0</v>
      </c>
      <c r="Y1057" s="336">
        <f t="shared" ca="1" si="892"/>
        <v>0</v>
      </c>
      <c r="Z1057" s="336">
        <f t="shared" ca="1" si="892"/>
        <v>0</v>
      </c>
      <c r="AA1057" s="336">
        <f t="shared" ca="1" si="892"/>
        <v>0</v>
      </c>
      <c r="AB1057" s="336">
        <f t="shared" ca="1" si="892"/>
        <v>0</v>
      </c>
      <c r="AC1057" s="336">
        <f t="shared" ca="1" si="892"/>
        <v>0</v>
      </c>
      <c r="AD1057" s="336">
        <f t="shared" ca="1" si="892"/>
        <v>0</v>
      </c>
      <c r="AE1057" s="336">
        <f t="shared" ca="1" si="892"/>
        <v>0</v>
      </c>
      <c r="AF1057" s="336">
        <f t="shared" ca="1" si="892"/>
        <v>0</v>
      </c>
      <c r="AG1057" s="336">
        <f t="shared" ca="1" si="892"/>
        <v>0</v>
      </c>
      <c r="AH1057" s="336">
        <f t="shared" ca="1" si="892"/>
        <v>0</v>
      </c>
      <c r="AI1057" s="336">
        <f t="shared" ca="1" si="892"/>
        <v>0</v>
      </c>
      <c r="AJ1057" s="336">
        <f t="shared" ca="1" si="892"/>
        <v>0</v>
      </c>
      <c r="AK1057" s="336">
        <f t="shared" ca="1" si="892"/>
        <v>0</v>
      </c>
      <c r="AL1057" s="336">
        <f t="shared" ca="1" si="892"/>
        <v>0</v>
      </c>
      <c r="AM1057" s="336">
        <f t="shared" ca="1" si="892"/>
        <v>0</v>
      </c>
      <c r="AN1057" s="336">
        <f t="shared" ca="1" si="892"/>
        <v>0</v>
      </c>
    </row>
    <row r="1058" spans="3:40" outlineLevel="2">
      <c r="C1058" s="334" t="s">
        <v>541</v>
      </c>
      <c r="D1058" s="275"/>
      <c r="E1058" s="203" t="s">
        <v>13</v>
      </c>
      <c r="F1058" s="89"/>
      <c r="G1058" s="287">
        <f t="shared" ref="G1058:AN1058" ca="1" si="893">SUM(G1055:G1057)</f>
        <v>6640.1433350360567</v>
      </c>
      <c r="H1058" s="287">
        <f t="shared" ca="1" si="893"/>
        <v>10033.740567941948</v>
      </c>
      <c r="I1058" s="287">
        <f t="shared" ca="1" si="893"/>
        <v>10905.479915859049</v>
      </c>
      <c r="J1058" s="287">
        <f t="shared" ca="1" si="893"/>
        <v>11104.112036696148</v>
      </c>
      <c r="K1058" s="287">
        <f t="shared" ca="1" si="893"/>
        <v>11485.688057533247</v>
      </c>
      <c r="L1058" s="287">
        <f t="shared" ca="1" si="893"/>
        <v>17638.444624218482</v>
      </c>
      <c r="M1058" s="287">
        <f t="shared" ca="1" si="893"/>
        <v>17759.242090694956</v>
      </c>
      <c r="N1058" s="287">
        <f t="shared" ca="1" si="893"/>
        <v>21853.833396532056</v>
      </c>
      <c r="O1058" s="287">
        <f t="shared" ca="1" si="893"/>
        <v>21875.535667369157</v>
      </c>
      <c r="P1058" s="287">
        <f t="shared" ca="1" si="893"/>
        <v>22298.425188206256</v>
      </c>
      <c r="Q1058" s="287">
        <f t="shared" ca="1" si="893"/>
        <v>23024.904390465537</v>
      </c>
      <c r="R1058" s="287">
        <f t="shared" ca="1" si="893"/>
        <v>23574.806182067721</v>
      </c>
      <c r="S1058" s="287">
        <f t="shared" ca="1" si="893"/>
        <v>23973.773142120823</v>
      </c>
      <c r="T1058" s="287">
        <f t="shared" ca="1" si="893"/>
        <v>24063.177903597294</v>
      </c>
      <c r="U1058" s="287">
        <f t="shared" ca="1" si="893"/>
        <v>28153.450329434396</v>
      </c>
      <c r="V1058" s="287">
        <f t="shared" ca="1" si="893"/>
        <v>29477.466557455522</v>
      </c>
      <c r="W1058" s="287">
        <f t="shared" ca="1" si="893"/>
        <v>29869.231683292623</v>
      </c>
      <c r="X1058" s="287">
        <f t="shared" ca="1" si="893"/>
        <v>30045.056584129721</v>
      </c>
      <c r="Y1058" s="287">
        <f t="shared" ca="1" si="893"/>
        <v>30458.05600496682</v>
      </c>
      <c r="Z1058" s="287">
        <f t="shared" ca="1" si="893"/>
        <v>30482.719525803921</v>
      </c>
      <c r="AA1058" s="287">
        <f t="shared" ca="1" si="893"/>
        <v>31118.213718702573</v>
      </c>
      <c r="AB1058" s="287">
        <f t="shared" ca="1" si="893"/>
        <v>35424.157815304759</v>
      </c>
      <c r="AC1058" s="287">
        <f t="shared" ca="1" si="893"/>
        <v>35791.811275357861</v>
      </c>
      <c r="AD1058" s="287">
        <f t="shared" ca="1" si="893"/>
        <v>36170.42604619496</v>
      </c>
      <c r="AE1058" s="287">
        <f t="shared" ca="1" si="893"/>
        <v>36369.387867032063</v>
      </c>
      <c r="AF1058" s="287">
        <f t="shared" ca="1" si="893"/>
        <v>38029.12723512519</v>
      </c>
      <c r="AG1058" s="287">
        <f t="shared" ca="1" si="893"/>
        <v>38061.018610962288</v>
      </c>
      <c r="AH1058" s="287">
        <f t="shared" ca="1" si="893"/>
        <v>39059.71741243876</v>
      </c>
      <c r="AI1058" s="287">
        <f t="shared" ca="1" si="893"/>
        <v>42266.547978275863</v>
      </c>
      <c r="AJ1058" s="287">
        <f t="shared" ca="1" si="893"/>
        <v>42298.250249112964</v>
      </c>
      <c r="AK1058" s="287">
        <f t="shared" ca="1" si="893"/>
        <v>42298.250249112964</v>
      </c>
      <c r="AL1058" s="287">
        <f t="shared" ca="1" si="893"/>
        <v>42298.250249112964</v>
      </c>
      <c r="AM1058" s="287">
        <f t="shared" ca="1" si="893"/>
        <v>42298.250249112964</v>
      </c>
      <c r="AN1058" s="287">
        <f t="shared" ca="1" si="893"/>
        <v>42298.250249112964</v>
      </c>
    </row>
    <row r="1059" spans="3:40" outlineLevel="1"/>
    <row r="1060" spans="3:40" outlineLevel="1">
      <c r="C1060" s="14" t="s">
        <v>542</v>
      </c>
      <c r="D1060" s="266"/>
      <c r="T1060" s="278"/>
    </row>
    <row r="1061" spans="3:40" outlineLevel="2">
      <c r="C1061" s="301" t="s">
        <v>543</v>
      </c>
      <c r="D1061" s="266"/>
      <c r="E1061" s="32" t="s">
        <v>13</v>
      </c>
      <c r="G1061" s="278">
        <f t="shared" ref="G1061" si="894">F1065</f>
        <v>0</v>
      </c>
      <c r="H1061" s="278">
        <f t="shared" ref="H1061:AN1061" ca="1" si="895">G1065</f>
        <v>0</v>
      </c>
      <c r="I1061" s="278">
        <f t="shared" ca="1" si="895"/>
        <v>0</v>
      </c>
      <c r="J1061" s="278">
        <f t="shared" ca="1" si="895"/>
        <v>747.42995614621304</v>
      </c>
      <c r="K1061" s="278">
        <f t="shared" ca="1" si="895"/>
        <v>2099.1766519028406</v>
      </c>
      <c r="L1061" s="278">
        <f t="shared" ca="1" si="895"/>
        <v>1613.595583495171</v>
      </c>
      <c r="M1061" s="278">
        <f t="shared" ca="1" si="895"/>
        <v>658.74874446110016</v>
      </c>
      <c r="N1061" s="278">
        <f t="shared" ca="1" si="895"/>
        <v>76.882148677014129</v>
      </c>
      <c r="O1061" s="278">
        <f t="shared" ca="1" si="895"/>
        <v>298.79020408438191</v>
      </c>
      <c r="P1061" s="278">
        <f t="shared" ca="1" si="895"/>
        <v>117.58250261053445</v>
      </c>
      <c r="Q1061" s="278">
        <f t="shared" ca="1" si="895"/>
        <v>121.31176585641629</v>
      </c>
      <c r="R1061" s="278">
        <f t="shared" ca="1" si="895"/>
        <v>137.06443553054487</v>
      </c>
      <c r="S1061" s="278">
        <f t="shared" ca="1" si="895"/>
        <v>143.93975509005077</v>
      </c>
      <c r="T1061" s="278">
        <f t="shared" ca="1" si="895"/>
        <v>151.62319422784503</v>
      </c>
      <c r="U1061" s="278">
        <f t="shared" ca="1" si="895"/>
        <v>159.47042537700304</v>
      </c>
      <c r="V1061" s="278">
        <f t="shared" ca="1" si="895"/>
        <v>351.79011851178529</v>
      </c>
      <c r="W1061" s="278">
        <f t="shared" ca="1" si="895"/>
        <v>172.71219838781735</v>
      </c>
      <c r="X1061" s="278">
        <f t="shared" ca="1" si="895"/>
        <v>173.8590035312518</v>
      </c>
      <c r="Y1061" s="278">
        <f t="shared" ca="1" si="895"/>
        <v>171.58178103078808</v>
      </c>
      <c r="Z1061" s="278">
        <f t="shared" ca="1" si="895"/>
        <v>159.19049186673692</v>
      </c>
      <c r="AA1061" s="278">
        <f t="shared" ca="1" si="895"/>
        <v>154.55182155282819</v>
      </c>
      <c r="AB1061" s="278">
        <f t="shared" ca="1" si="895"/>
        <v>284.11796220664382</v>
      </c>
      <c r="AC1061" s="278">
        <f t="shared" ca="1" si="895"/>
        <v>2227.8692349964458</v>
      </c>
      <c r="AD1061" s="278">
        <f t="shared" ca="1" si="895"/>
        <v>4838.2162191802654</v>
      </c>
      <c r="AE1061" s="278">
        <f t="shared" ca="1" si="895"/>
        <v>7815.3714103135617</v>
      </c>
      <c r="AF1061" s="278">
        <f t="shared" ca="1" si="895"/>
        <v>11130.149377151782</v>
      </c>
      <c r="AG1061" s="278">
        <f t="shared" ca="1" si="895"/>
        <v>14725.725920053617</v>
      </c>
      <c r="AH1061" s="278">
        <f t="shared" ca="1" si="895"/>
        <v>18639.010603825926</v>
      </c>
      <c r="AI1061" s="278">
        <f t="shared" ca="1" si="895"/>
        <v>22414.690351025918</v>
      </c>
      <c r="AJ1061" s="278">
        <f t="shared" ca="1" si="895"/>
        <v>27069.08995683019</v>
      </c>
      <c r="AK1061" s="278">
        <f t="shared" ca="1" si="895"/>
        <v>35134.32043891518</v>
      </c>
      <c r="AL1061" s="278">
        <f t="shared" ca="1" si="895"/>
        <v>35134.32043891518</v>
      </c>
      <c r="AM1061" s="278">
        <f t="shared" ca="1" si="895"/>
        <v>35134.32043891518</v>
      </c>
      <c r="AN1061" s="278">
        <f t="shared" ca="1" si="895"/>
        <v>35134.32043891518</v>
      </c>
    </row>
    <row r="1062" spans="3:40" outlineLevel="2">
      <c r="C1062" s="334" t="s">
        <v>70</v>
      </c>
      <c r="D1062" s="275"/>
      <c r="E1062" s="83" t="s">
        <v>13</v>
      </c>
      <c r="F1062" s="23">
        <f ca="1">SUM(G1062:AN1062)</f>
        <v>104506.51708013311</v>
      </c>
      <c r="G1062" s="287">
        <f ca="1">DFs!G81</f>
        <v>-1252.6277745880582</v>
      </c>
      <c r="H1062" s="287">
        <f ca="1">DFs!H81</f>
        <v>-2657.3793282433689</v>
      </c>
      <c r="I1062" s="287">
        <f ca="1">DFs!I81</f>
        <v>747.42995614621304</v>
      </c>
      <c r="J1062" s="287">
        <f ca="1">DFs!J81</f>
        <v>1403.083343421509</v>
      </c>
      <c r="K1062" s="287">
        <f ca="1">DFs!K81</f>
        <v>1387.6896331933449</v>
      </c>
      <c r="L1062" s="287">
        <f ca="1">DFs!L81</f>
        <v>1283.8884323909319</v>
      </c>
      <c r="M1062" s="287">
        <f ca="1">DFs!M81</f>
        <v>574.19608586394702</v>
      </c>
      <c r="N1062" s="287">
        <f ca="1">DFs!N81</f>
        <v>5229.7107385581112</v>
      </c>
      <c r="O1062" s="287">
        <f ca="1">DFs!O81</f>
        <v>1798.1324481091438</v>
      </c>
      <c r="P1062" s="287">
        <f ca="1">DFs!P81</f>
        <v>1859.4604622471418</v>
      </c>
      <c r="Q1062" s="287">
        <f ca="1">DFs!Q81</f>
        <v>2238.1601183230955</v>
      </c>
      <c r="R1062" s="287">
        <f ca="1">DFs!R81</f>
        <v>2408.6376461619266</v>
      </c>
      <c r="S1062" s="287">
        <f ca="1">DFs!S81</f>
        <v>2105.309018828485</v>
      </c>
      <c r="T1062" s="287">
        <f ca="1">DFs!T81</f>
        <v>1313.2375987340276</v>
      </c>
      <c r="U1062" s="287">
        <f ca="1">DFs!U81</f>
        <v>4468.6829175330895</v>
      </c>
      <c r="V1062" s="287">
        <f ca="1">DFs!V81</f>
        <v>2229.7199549614857</v>
      </c>
      <c r="W1062" s="287">
        <f ca="1">DFs!W81</f>
        <v>5008.979944139659</v>
      </c>
      <c r="X1062" s="287">
        <f ca="1">DFs!X81</f>
        <v>5037.7171698069687</v>
      </c>
      <c r="Y1062" s="287">
        <f ca="1">DFs!Y81</f>
        <v>4976.1141478483296</v>
      </c>
      <c r="Z1062" s="287">
        <f ca="1">DFs!Z81</f>
        <v>4432.1186960271416</v>
      </c>
      <c r="AA1062" s="287">
        <f ca="1">DFs!AA81</f>
        <v>4285.2597357887507</v>
      </c>
      <c r="AB1062" s="287">
        <f ca="1">DFs!AB81</f>
        <v>7957.7894503667067</v>
      </c>
      <c r="AC1062" s="287">
        <f ca="1">DFs!AC81</f>
        <v>4701.6139057232649</v>
      </c>
      <c r="AD1062" s="287">
        <f ca="1">DFs!AD81</f>
        <v>5021.6805375599351</v>
      </c>
      <c r="AE1062" s="287">
        <f ca="1">DFs!AE81</f>
        <v>5278.8400091069898</v>
      </c>
      <c r="AF1062" s="287">
        <f ca="1">DFs!AF81</f>
        <v>5558.1816483133643</v>
      </c>
      <c r="AG1062" s="287">
        <f ca="1">DFs!AG81</f>
        <v>5209.3606763586668</v>
      </c>
      <c r="AH1062" s="287">
        <f ca="1">DFs!AH81</f>
        <v>5016.1000877194638</v>
      </c>
      <c r="AI1062" s="287">
        <f ca="1">DFs!AI81</f>
        <v>8820.1993376478604</v>
      </c>
      <c r="AJ1062" s="287">
        <f ca="1">DFs!AJ81</f>
        <v>8065.2304820849859</v>
      </c>
      <c r="AK1062" s="287">
        <f ca="1">DFs!AK81</f>
        <v>0</v>
      </c>
      <c r="AL1062" s="287">
        <f ca="1">DFs!AL81</f>
        <v>0</v>
      </c>
      <c r="AM1062" s="287">
        <f ca="1">DFs!AM81</f>
        <v>0</v>
      </c>
      <c r="AN1062" s="287">
        <f>DFs!AN81</f>
        <v>0</v>
      </c>
    </row>
    <row r="1063" spans="3:40" outlineLevel="2">
      <c r="C1063" s="335" t="s">
        <v>544</v>
      </c>
      <c r="D1063" s="266"/>
      <c r="E1063" s="202" t="s">
        <v>13</v>
      </c>
      <c r="F1063" s="23">
        <f ca="1">SUM(G1063:AN1063)</f>
        <v>3910.0071028314269</v>
      </c>
      <c r="G1063" s="272">
        <f t="shared" ref="G1063:AN1063" ca="1" si="896">G1057</f>
        <v>1252.6277745880582</v>
      </c>
      <c r="H1063" s="272">
        <f t="shared" ca="1" si="896"/>
        <v>2657.3793282433689</v>
      </c>
      <c r="I1063" s="272">
        <f t="shared" ca="1" si="896"/>
        <v>0</v>
      </c>
      <c r="J1063" s="272">
        <f t="shared" ca="1" si="896"/>
        <v>0</v>
      </c>
      <c r="K1063" s="272">
        <f t="shared" ca="1" si="896"/>
        <v>0</v>
      </c>
      <c r="L1063" s="272">
        <f t="shared" ca="1" si="896"/>
        <v>0</v>
      </c>
      <c r="M1063" s="272">
        <f t="shared" ca="1" si="896"/>
        <v>0</v>
      </c>
      <c r="N1063" s="272">
        <f t="shared" ca="1" si="896"/>
        <v>0</v>
      </c>
      <c r="O1063" s="272">
        <f t="shared" ca="1" si="896"/>
        <v>0</v>
      </c>
      <c r="P1063" s="272">
        <f t="shared" ca="1" si="896"/>
        <v>0</v>
      </c>
      <c r="Q1063" s="272">
        <f t="shared" ca="1" si="896"/>
        <v>0</v>
      </c>
      <c r="R1063" s="272">
        <f t="shared" ca="1" si="896"/>
        <v>0</v>
      </c>
      <c r="S1063" s="272">
        <f t="shared" ca="1" si="896"/>
        <v>0</v>
      </c>
      <c r="T1063" s="272">
        <f t="shared" ca="1" si="896"/>
        <v>0</v>
      </c>
      <c r="U1063" s="272">
        <f t="shared" ca="1" si="896"/>
        <v>0</v>
      </c>
      <c r="V1063" s="272">
        <f t="shared" ca="1" si="896"/>
        <v>0</v>
      </c>
      <c r="W1063" s="272">
        <f t="shared" ca="1" si="896"/>
        <v>0</v>
      </c>
      <c r="X1063" s="272">
        <f t="shared" ca="1" si="896"/>
        <v>0</v>
      </c>
      <c r="Y1063" s="272">
        <f t="shared" ca="1" si="896"/>
        <v>0</v>
      </c>
      <c r="Z1063" s="272">
        <f t="shared" ca="1" si="896"/>
        <v>0</v>
      </c>
      <c r="AA1063" s="272">
        <f t="shared" ca="1" si="896"/>
        <v>0</v>
      </c>
      <c r="AB1063" s="272">
        <f t="shared" ca="1" si="896"/>
        <v>0</v>
      </c>
      <c r="AC1063" s="272">
        <f t="shared" ca="1" si="896"/>
        <v>0</v>
      </c>
      <c r="AD1063" s="272">
        <f t="shared" ca="1" si="896"/>
        <v>0</v>
      </c>
      <c r="AE1063" s="272">
        <f t="shared" ca="1" si="896"/>
        <v>0</v>
      </c>
      <c r="AF1063" s="272">
        <f t="shared" ca="1" si="896"/>
        <v>0</v>
      </c>
      <c r="AG1063" s="272">
        <f t="shared" ca="1" si="896"/>
        <v>0</v>
      </c>
      <c r="AH1063" s="272">
        <f t="shared" ca="1" si="896"/>
        <v>0</v>
      </c>
      <c r="AI1063" s="272">
        <f t="shared" ca="1" si="896"/>
        <v>0</v>
      </c>
      <c r="AJ1063" s="272">
        <f t="shared" ca="1" si="896"/>
        <v>0</v>
      </c>
      <c r="AK1063" s="272">
        <f t="shared" ca="1" si="896"/>
        <v>0</v>
      </c>
      <c r="AL1063" s="272">
        <f t="shared" ca="1" si="896"/>
        <v>0</v>
      </c>
      <c r="AM1063" s="272">
        <f t="shared" ca="1" si="896"/>
        <v>0</v>
      </c>
      <c r="AN1063" s="272">
        <f t="shared" ca="1" si="896"/>
        <v>0</v>
      </c>
    </row>
    <row r="1064" spans="3:40" outlineLevel="2">
      <c r="C1064" s="301" t="s">
        <v>545</v>
      </c>
      <c r="D1064" s="266"/>
      <c r="E1064" s="32" t="s">
        <v>13</v>
      </c>
      <c r="F1064" s="23">
        <f ca="1">SUM(G1064:AN1064)</f>
        <v>73282.203744049359</v>
      </c>
      <c r="G1064" s="278">
        <f t="shared" ref="G1064:AN1064" ca="1" si="897">G1116</f>
        <v>0</v>
      </c>
      <c r="H1064" s="278">
        <f ca="1">H1116</f>
        <v>0</v>
      </c>
      <c r="I1064" s="278">
        <f t="shared" ca="1" si="897"/>
        <v>0</v>
      </c>
      <c r="J1064" s="278">
        <f t="shared" ca="1" si="897"/>
        <v>51.336647664881781</v>
      </c>
      <c r="K1064" s="278">
        <f t="shared" ca="1" si="897"/>
        <v>1873.2707016010145</v>
      </c>
      <c r="L1064" s="278">
        <f t="shared" ca="1" si="897"/>
        <v>2238.7352714250028</v>
      </c>
      <c r="M1064" s="278">
        <f t="shared" ca="1" si="897"/>
        <v>1156.062681648033</v>
      </c>
      <c r="N1064" s="278">
        <f t="shared" ca="1" si="897"/>
        <v>5007.8026831507432</v>
      </c>
      <c r="O1064" s="278">
        <f t="shared" ca="1" si="897"/>
        <v>1979.3401495829912</v>
      </c>
      <c r="P1064" s="278">
        <f t="shared" ca="1" si="897"/>
        <v>1855.7311990012599</v>
      </c>
      <c r="Q1064" s="278">
        <f t="shared" ca="1" si="897"/>
        <v>2222.4074486489671</v>
      </c>
      <c r="R1064" s="278">
        <f t="shared" ca="1" si="897"/>
        <v>2401.7623266024207</v>
      </c>
      <c r="S1064" s="278">
        <f t="shared" ca="1" si="897"/>
        <v>2097.6255796906908</v>
      </c>
      <c r="T1064" s="278">
        <f t="shared" ca="1" si="897"/>
        <v>1305.3903675848696</v>
      </c>
      <c r="U1064" s="278">
        <f t="shared" ca="1" si="897"/>
        <v>4276.3632243983075</v>
      </c>
      <c r="V1064" s="278">
        <f t="shared" ca="1" si="897"/>
        <v>2408.7978750854536</v>
      </c>
      <c r="W1064" s="278">
        <f t="shared" ca="1" si="897"/>
        <v>5007.8331389962241</v>
      </c>
      <c r="X1064" s="278">
        <f t="shared" ca="1" si="897"/>
        <v>5039.9943923074325</v>
      </c>
      <c r="Y1064" s="278">
        <f t="shared" ca="1" si="897"/>
        <v>4988.5054370123808</v>
      </c>
      <c r="Z1064" s="278">
        <f t="shared" ca="1" si="897"/>
        <v>4436.7573663410503</v>
      </c>
      <c r="AA1064" s="278">
        <f t="shared" ca="1" si="897"/>
        <v>4155.6935951349351</v>
      </c>
      <c r="AB1064" s="278">
        <f t="shared" ca="1" si="897"/>
        <v>6014.0381775769038</v>
      </c>
      <c r="AC1064" s="278">
        <f t="shared" ca="1" si="897"/>
        <v>2091.2669215394449</v>
      </c>
      <c r="AD1064" s="278">
        <f t="shared" ca="1" si="897"/>
        <v>2044.5253464266382</v>
      </c>
      <c r="AE1064" s="278">
        <f t="shared" ca="1" si="897"/>
        <v>1964.0620422687696</v>
      </c>
      <c r="AF1064" s="278">
        <f t="shared" ca="1" si="897"/>
        <v>1962.6051054115278</v>
      </c>
      <c r="AG1064" s="278">
        <f t="shared" ca="1" si="897"/>
        <v>1296.0759925863604</v>
      </c>
      <c r="AH1064" s="278">
        <f t="shared" ca="1" si="897"/>
        <v>1240.4203405194712</v>
      </c>
      <c r="AI1064" s="278">
        <f t="shared" ca="1" si="897"/>
        <v>4165.7997318435901</v>
      </c>
      <c r="AJ1064" s="278">
        <f t="shared" ca="1" si="897"/>
        <v>0</v>
      </c>
      <c r="AK1064" s="278">
        <f t="shared" ca="1" si="897"/>
        <v>0</v>
      </c>
      <c r="AL1064" s="278">
        <f t="shared" ca="1" si="897"/>
        <v>0</v>
      </c>
      <c r="AM1064" s="278">
        <f t="shared" ca="1" si="897"/>
        <v>0</v>
      </c>
      <c r="AN1064" s="278">
        <f t="shared" ca="1" si="897"/>
        <v>0</v>
      </c>
    </row>
    <row r="1065" spans="3:40" outlineLevel="2">
      <c r="C1065" s="334" t="s">
        <v>546</v>
      </c>
      <c r="D1065" s="275"/>
      <c r="E1065" s="83" t="s">
        <v>13</v>
      </c>
      <c r="F1065" s="89"/>
      <c r="G1065" s="317">
        <f t="shared" ref="G1065:AN1065" ca="1" si="898">G1061+G1063+G1062-G1064</f>
        <v>0</v>
      </c>
      <c r="H1065" s="317">
        <f t="shared" ca="1" si="898"/>
        <v>0</v>
      </c>
      <c r="I1065" s="317">
        <f t="shared" ca="1" si="898"/>
        <v>747.42995614621304</v>
      </c>
      <c r="J1065" s="317">
        <f t="shared" ca="1" si="898"/>
        <v>2099.1766519028406</v>
      </c>
      <c r="K1065" s="317">
        <f t="shared" ca="1" si="898"/>
        <v>1613.595583495171</v>
      </c>
      <c r="L1065" s="317">
        <f t="shared" ca="1" si="898"/>
        <v>658.74874446110016</v>
      </c>
      <c r="M1065" s="317">
        <f t="shared" ca="1" si="898"/>
        <v>76.882148677014129</v>
      </c>
      <c r="N1065" s="317">
        <f t="shared" ca="1" si="898"/>
        <v>298.79020408438191</v>
      </c>
      <c r="O1065" s="317">
        <f t="shared" ca="1" si="898"/>
        <v>117.58250261053445</v>
      </c>
      <c r="P1065" s="317">
        <f t="shared" ca="1" si="898"/>
        <v>121.31176585641629</v>
      </c>
      <c r="Q1065" s="317">
        <f t="shared" ca="1" si="898"/>
        <v>137.06443553054487</v>
      </c>
      <c r="R1065" s="317">
        <f t="shared" ca="1" si="898"/>
        <v>143.93975509005077</v>
      </c>
      <c r="S1065" s="317">
        <f t="shared" ca="1" si="898"/>
        <v>151.62319422784503</v>
      </c>
      <c r="T1065" s="317">
        <f t="shared" ca="1" si="898"/>
        <v>159.47042537700304</v>
      </c>
      <c r="U1065" s="317">
        <f t="shared" ca="1" si="898"/>
        <v>351.79011851178529</v>
      </c>
      <c r="V1065" s="317">
        <f t="shared" ca="1" si="898"/>
        <v>172.71219838781735</v>
      </c>
      <c r="W1065" s="317">
        <f t="shared" ca="1" si="898"/>
        <v>173.8590035312518</v>
      </c>
      <c r="X1065" s="317">
        <f t="shared" ca="1" si="898"/>
        <v>171.58178103078808</v>
      </c>
      <c r="Y1065" s="317">
        <f t="shared" ca="1" si="898"/>
        <v>159.19049186673692</v>
      </c>
      <c r="Z1065" s="317">
        <f t="shared" ca="1" si="898"/>
        <v>154.55182155282819</v>
      </c>
      <c r="AA1065" s="317">
        <f t="shared" ca="1" si="898"/>
        <v>284.11796220664382</v>
      </c>
      <c r="AB1065" s="317">
        <f t="shared" ca="1" si="898"/>
        <v>2227.8692349964458</v>
      </c>
      <c r="AC1065" s="317">
        <f t="shared" ca="1" si="898"/>
        <v>4838.2162191802654</v>
      </c>
      <c r="AD1065" s="317">
        <f t="shared" ca="1" si="898"/>
        <v>7815.3714103135617</v>
      </c>
      <c r="AE1065" s="317">
        <f t="shared" ca="1" si="898"/>
        <v>11130.149377151782</v>
      </c>
      <c r="AF1065" s="317">
        <f t="shared" ca="1" si="898"/>
        <v>14725.725920053617</v>
      </c>
      <c r="AG1065" s="317">
        <f t="shared" ca="1" si="898"/>
        <v>18639.010603825926</v>
      </c>
      <c r="AH1065" s="317">
        <f t="shared" ca="1" si="898"/>
        <v>22414.690351025918</v>
      </c>
      <c r="AI1065" s="317">
        <f t="shared" ca="1" si="898"/>
        <v>27069.08995683019</v>
      </c>
      <c r="AJ1065" s="317">
        <f t="shared" ca="1" si="898"/>
        <v>35134.32043891518</v>
      </c>
      <c r="AK1065" s="317">
        <f t="shared" ca="1" si="898"/>
        <v>35134.32043891518</v>
      </c>
      <c r="AL1065" s="317">
        <f t="shared" ca="1" si="898"/>
        <v>35134.32043891518</v>
      </c>
      <c r="AM1065" s="317">
        <f t="shared" ca="1" si="898"/>
        <v>35134.32043891518</v>
      </c>
      <c r="AN1065" s="317">
        <f t="shared" ca="1" si="898"/>
        <v>35134.32043891518</v>
      </c>
    </row>
    <row r="1066" spans="3:40" outlineLevel="1"/>
    <row r="1067" spans="3:40" outlineLevel="1">
      <c r="C1067" s="14" t="s">
        <v>68</v>
      </c>
      <c r="D1067" s="266"/>
    </row>
    <row r="1068" spans="3:40" outlineLevel="2">
      <c r="C1068" s="14"/>
      <c r="D1068" s="266"/>
    </row>
    <row r="1069" spans="3:40" outlineLevel="2">
      <c r="C1069" s="301" t="str">
        <f>C1061</f>
        <v>Caixa (b/f)</v>
      </c>
      <c r="D1069" s="319"/>
      <c r="E1069" s="41" t="s">
        <v>13</v>
      </c>
      <c r="F1069" s="500"/>
      <c r="G1069" s="278">
        <f t="shared" ref="G1069" si="899">G1061</f>
        <v>0</v>
      </c>
      <c r="H1069" s="278">
        <f t="shared" ref="H1069:AN1069" ca="1" si="900">H1061</f>
        <v>0</v>
      </c>
      <c r="I1069" s="278">
        <f t="shared" ca="1" si="900"/>
        <v>0</v>
      </c>
      <c r="J1069" s="278">
        <f t="shared" ca="1" si="900"/>
        <v>747.42995614621304</v>
      </c>
      <c r="K1069" s="278">
        <f t="shared" ca="1" si="900"/>
        <v>2099.1766519028406</v>
      </c>
      <c r="L1069" s="278">
        <f t="shared" ca="1" si="900"/>
        <v>1613.595583495171</v>
      </c>
      <c r="M1069" s="278">
        <f t="shared" ca="1" si="900"/>
        <v>658.74874446110016</v>
      </c>
      <c r="N1069" s="278">
        <f t="shared" ca="1" si="900"/>
        <v>76.882148677014129</v>
      </c>
      <c r="O1069" s="278">
        <f t="shared" ca="1" si="900"/>
        <v>298.79020408438191</v>
      </c>
      <c r="P1069" s="278">
        <f t="shared" ca="1" si="900"/>
        <v>117.58250261053445</v>
      </c>
      <c r="Q1069" s="278">
        <f t="shared" ca="1" si="900"/>
        <v>121.31176585641629</v>
      </c>
      <c r="R1069" s="278">
        <f t="shared" ca="1" si="900"/>
        <v>137.06443553054487</v>
      </c>
      <c r="S1069" s="278">
        <f t="shared" ca="1" si="900"/>
        <v>143.93975509005077</v>
      </c>
      <c r="T1069" s="278">
        <f t="shared" ca="1" si="900"/>
        <v>151.62319422784503</v>
      </c>
      <c r="U1069" s="278">
        <f t="shared" ca="1" si="900"/>
        <v>159.47042537700304</v>
      </c>
      <c r="V1069" s="278">
        <f t="shared" ca="1" si="900"/>
        <v>351.79011851178529</v>
      </c>
      <c r="W1069" s="278">
        <f t="shared" ca="1" si="900"/>
        <v>172.71219838781735</v>
      </c>
      <c r="X1069" s="278">
        <f t="shared" ca="1" si="900"/>
        <v>173.8590035312518</v>
      </c>
      <c r="Y1069" s="278">
        <f t="shared" ca="1" si="900"/>
        <v>171.58178103078808</v>
      </c>
      <c r="Z1069" s="278">
        <f t="shared" ca="1" si="900"/>
        <v>159.19049186673692</v>
      </c>
      <c r="AA1069" s="278">
        <f t="shared" ca="1" si="900"/>
        <v>154.55182155282819</v>
      </c>
      <c r="AB1069" s="278">
        <f t="shared" ca="1" si="900"/>
        <v>284.11796220664382</v>
      </c>
      <c r="AC1069" s="278">
        <f t="shared" ca="1" si="900"/>
        <v>2227.8692349964458</v>
      </c>
      <c r="AD1069" s="278">
        <f t="shared" ca="1" si="900"/>
        <v>4838.2162191802654</v>
      </c>
      <c r="AE1069" s="278">
        <f t="shared" ca="1" si="900"/>
        <v>7815.3714103135617</v>
      </c>
      <c r="AF1069" s="278">
        <f t="shared" ca="1" si="900"/>
        <v>11130.149377151782</v>
      </c>
      <c r="AG1069" s="278">
        <f t="shared" ca="1" si="900"/>
        <v>14725.725920053617</v>
      </c>
      <c r="AH1069" s="278">
        <f t="shared" ca="1" si="900"/>
        <v>18639.010603825926</v>
      </c>
      <c r="AI1069" s="278">
        <f t="shared" ca="1" si="900"/>
        <v>22414.690351025918</v>
      </c>
      <c r="AJ1069" s="278">
        <f t="shared" ca="1" si="900"/>
        <v>27069.08995683019</v>
      </c>
      <c r="AK1069" s="278">
        <f t="shared" ca="1" si="900"/>
        <v>35134.32043891518</v>
      </c>
      <c r="AL1069" s="278">
        <f t="shared" ca="1" si="900"/>
        <v>35134.32043891518</v>
      </c>
      <c r="AM1069" s="278">
        <f t="shared" ca="1" si="900"/>
        <v>35134.32043891518</v>
      </c>
      <c r="AN1069" s="278">
        <f t="shared" ca="1" si="900"/>
        <v>35134.32043891518</v>
      </c>
    </row>
    <row r="1070" spans="3:40" outlineLevel="2">
      <c r="C1070" s="301"/>
      <c r="D1070" s="319"/>
      <c r="E1070" s="41"/>
      <c r="F1070" s="319"/>
      <c r="G1070" s="278"/>
      <c r="H1070" s="278"/>
      <c r="I1070" s="278"/>
      <c r="J1070" s="278"/>
      <c r="K1070" s="278"/>
      <c r="L1070" s="278"/>
      <c r="M1070" s="278"/>
      <c r="N1070" s="278"/>
      <c r="O1070" s="278"/>
      <c r="P1070" s="278"/>
      <c r="Q1070" s="278"/>
      <c r="R1070" s="278"/>
      <c r="S1070" s="278"/>
      <c r="T1070" s="278"/>
      <c r="U1070" s="278"/>
      <c r="V1070" s="278"/>
      <c r="W1070" s="278"/>
      <c r="X1070" s="278"/>
      <c r="Y1070" s="278"/>
      <c r="Z1070" s="278"/>
      <c r="AA1070" s="278"/>
      <c r="AB1070" s="278"/>
      <c r="AC1070" s="278"/>
      <c r="AD1070" s="278"/>
      <c r="AE1070" s="278"/>
      <c r="AF1070" s="278"/>
      <c r="AG1070" s="278"/>
      <c r="AH1070" s="278"/>
      <c r="AI1070" s="278"/>
      <c r="AJ1070" s="278"/>
      <c r="AK1070" s="278"/>
      <c r="AL1070" s="278"/>
      <c r="AM1070" s="278"/>
      <c r="AN1070" s="278"/>
    </row>
    <row r="1071" spans="3:40" outlineLevel="2">
      <c r="C1071" s="301" t="str">
        <f t="shared" ref="C1071:AN1071" si="901">C94</f>
        <v>Cons + Ops Flag</v>
      </c>
      <c r="D1071" s="319">
        <f t="shared" si="901"/>
        <v>0</v>
      </c>
      <c r="E1071" s="41" t="str">
        <f t="shared" si="901"/>
        <v>Flag</v>
      </c>
      <c r="F1071" s="50">
        <f t="shared" si="901"/>
        <v>30</v>
      </c>
      <c r="G1071" s="25">
        <f t="shared" si="901"/>
        <v>1</v>
      </c>
      <c r="H1071" s="25">
        <f t="shared" si="901"/>
        <v>1</v>
      </c>
      <c r="I1071" s="25">
        <f t="shared" si="901"/>
        <v>1</v>
      </c>
      <c r="J1071" s="25">
        <f t="shared" si="901"/>
        <v>1</v>
      </c>
      <c r="K1071" s="25">
        <f t="shared" si="901"/>
        <v>1</v>
      </c>
      <c r="L1071" s="25">
        <f t="shared" si="901"/>
        <v>1</v>
      </c>
      <c r="M1071" s="25">
        <f t="shared" si="901"/>
        <v>1</v>
      </c>
      <c r="N1071" s="25">
        <f t="shared" si="901"/>
        <v>1</v>
      </c>
      <c r="O1071" s="25">
        <f t="shared" si="901"/>
        <v>1</v>
      </c>
      <c r="P1071" s="25">
        <f t="shared" si="901"/>
        <v>1</v>
      </c>
      <c r="Q1071" s="25">
        <f t="shared" si="901"/>
        <v>1</v>
      </c>
      <c r="R1071" s="25">
        <f t="shared" si="901"/>
        <v>1</v>
      </c>
      <c r="S1071" s="25">
        <f t="shared" si="901"/>
        <v>1</v>
      </c>
      <c r="T1071" s="25">
        <f t="shared" si="901"/>
        <v>1</v>
      </c>
      <c r="U1071" s="25">
        <f t="shared" si="901"/>
        <v>1</v>
      </c>
      <c r="V1071" s="25">
        <f t="shared" si="901"/>
        <v>1</v>
      </c>
      <c r="W1071" s="25">
        <f t="shared" si="901"/>
        <v>1</v>
      </c>
      <c r="X1071" s="25">
        <f t="shared" si="901"/>
        <v>1</v>
      </c>
      <c r="Y1071" s="25">
        <f t="shared" si="901"/>
        <v>1</v>
      </c>
      <c r="Z1071" s="25">
        <f t="shared" si="901"/>
        <v>1</v>
      </c>
      <c r="AA1071" s="25">
        <f t="shared" si="901"/>
        <v>1</v>
      </c>
      <c r="AB1071" s="25">
        <f t="shared" si="901"/>
        <v>1</v>
      </c>
      <c r="AC1071" s="25">
        <f t="shared" si="901"/>
        <v>1</v>
      </c>
      <c r="AD1071" s="25">
        <f t="shared" si="901"/>
        <v>1</v>
      </c>
      <c r="AE1071" s="25">
        <f t="shared" si="901"/>
        <v>1</v>
      </c>
      <c r="AF1071" s="25">
        <f t="shared" si="901"/>
        <v>1</v>
      </c>
      <c r="AG1071" s="25">
        <f t="shared" si="901"/>
        <v>1</v>
      </c>
      <c r="AH1071" s="25">
        <f t="shared" si="901"/>
        <v>1</v>
      </c>
      <c r="AI1071" s="25">
        <f t="shared" si="901"/>
        <v>1</v>
      </c>
      <c r="AJ1071" s="25">
        <f t="shared" si="901"/>
        <v>1</v>
      </c>
      <c r="AK1071" s="25">
        <f t="shared" si="901"/>
        <v>0</v>
      </c>
      <c r="AL1071" s="25">
        <f t="shared" si="901"/>
        <v>0</v>
      </c>
      <c r="AM1071" s="25">
        <f t="shared" si="901"/>
        <v>0</v>
      </c>
      <c r="AN1071" s="25">
        <f t="shared" si="901"/>
        <v>0</v>
      </c>
    </row>
    <row r="1072" spans="3:40" outlineLevel="2">
      <c r="C1072" s="301"/>
      <c r="D1072" s="319"/>
      <c r="E1072" s="41"/>
      <c r="F1072" s="319"/>
      <c r="G1072" s="278"/>
      <c r="H1072" s="278"/>
      <c r="I1072" s="278"/>
      <c r="J1072" s="278"/>
      <c r="K1072" s="278"/>
      <c r="L1072" s="278"/>
      <c r="M1072" s="278"/>
      <c r="N1072" s="278"/>
      <c r="O1072" s="278"/>
      <c r="P1072" s="278"/>
      <c r="Q1072" s="278"/>
      <c r="R1072" s="278"/>
      <c r="S1072" s="278"/>
      <c r="T1072" s="278"/>
      <c r="U1072" s="278"/>
      <c r="V1072" s="278"/>
      <c r="W1072" s="278"/>
      <c r="X1072" s="278"/>
      <c r="Y1072" s="278"/>
      <c r="Z1072" s="278"/>
      <c r="AA1072" s="278"/>
      <c r="AB1072" s="278"/>
      <c r="AC1072" s="278"/>
      <c r="AD1072" s="278"/>
      <c r="AE1072" s="278"/>
      <c r="AF1072" s="278"/>
      <c r="AG1072" s="278"/>
      <c r="AH1072" s="278"/>
      <c r="AI1072" s="278"/>
      <c r="AJ1072" s="278"/>
      <c r="AK1072" s="278"/>
      <c r="AL1072" s="278"/>
      <c r="AM1072" s="278"/>
      <c r="AN1072" s="278"/>
    </row>
    <row r="1073" spans="3:40" outlineLevel="2">
      <c r="C1073" s="106" t="s">
        <v>547</v>
      </c>
      <c r="F1073" s="319"/>
      <c r="G1073" s="278"/>
      <c r="H1073" s="278"/>
      <c r="I1073" s="278"/>
      <c r="J1073" s="278"/>
      <c r="K1073" s="278"/>
      <c r="L1073" s="278"/>
      <c r="M1073" s="278"/>
      <c r="N1073" s="278"/>
      <c r="O1073" s="278"/>
      <c r="P1073" s="278"/>
      <c r="Q1073" s="278"/>
      <c r="R1073" s="278"/>
      <c r="S1073" s="278"/>
      <c r="T1073" s="278"/>
      <c r="U1073" s="278"/>
      <c r="V1073" s="278"/>
      <c r="W1073" s="278"/>
      <c r="X1073" s="278"/>
      <c r="Y1073" s="278"/>
      <c r="Z1073" s="278"/>
      <c r="AA1073" s="278"/>
      <c r="AB1073" s="278"/>
      <c r="AC1073" s="278"/>
      <c r="AD1073" s="278"/>
      <c r="AE1073" s="278"/>
      <c r="AF1073" s="278"/>
      <c r="AG1073" s="278"/>
      <c r="AH1073" s="278"/>
      <c r="AI1073" s="278"/>
      <c r="AJ1073" s="278"/>
      <c r="AK1073" s="278"/>
      <c r="AL1073" s="278"/>
      <c r="AM1073" s="278"/>
      <c r="AN1073" s="278"/>
    </row>
    <row r="1074" spans="3:40" outlineLevel="2">
      <c r="C1074" s="301" t="str">
        <f>Inputs!C351</f>
        <v>Modelo Considera receitas financeiras?</v>
      </c>
      <c r="D1074" s="121">
        <f>Inputs!D351</f>
        <v>0</v>
      </c>
      <c r="E1074" s="32" t="s">
        <v>336</v>
      </c>
      <c r="F1074" s="319"/>
      <c r="G1074" s="278"/>
      <c r="H1074" s="278"/>
      <c r="I1074" s="278"/>
      <c r="J1074" s="278"/>
      <c r="K1074" s="278"/>
      <c r="L1074" s="278"/>
      <c r="M1074" s="278"/>
      <c r="N1074" s="278"/>
      <c r="O1074" s="278"/>
      <c r="P1074" s="278"/>
      <c r="Q1074" s="278"/>
      <c r="R1074" s="278"/>
      <c r="S1074" s="278"/>
      <c r="T1074" s="278"/>
      <c r="U1074" s="278"/>
      <c r="V1074" s="278"/>
      <c r="W1074" s="278"/>
      <c r="X1074" s="278"/>
      <c r="Y1074" s="278"/>
      <c r="Z1074" s="278"/>
      <c r="AA1074" s="278"/>
      <c r="AB1074" s="278"/>
      <c r="AC1074" s="278"/>
      <c r="AD1074" s="278"/>
      <c r="AE1074" s="278"/>
      <c r="AF1074" s="278"/>
      <c r="AG1074" s="278"/>
      <c r="AH1074" s="278"/>
      <c r="AI1074" s="278"/>
      <c r="AJ1074" s="278"/>
      <c r="AK1074" s="278"/>
      <c r="AL1074" s="278"/>
      <c r="AM1074" s="278"/>
      <c r="AN1074" s="278"/>
    </row>
    <row r="1075" spans="3:40" outlineLevel="2">
      <c r="C1075" s="301" t="str">
        <f>Inputs!C352</f>
        <v>Percentual</v>
      </c>
      <c r="D1075" s="107">
        <f>Inputs!D352</f>
        <v>1</v>
      </c>
      <c r="E1075" s="32" t="s">
        <v>23</v>
      </c>
      <c r="F1075" s="319"/>
      <c r="G1075" s="278"/>
      <c r="H1075" s="278"/>
      <c r="I1075" s="278"/>
      <c r="J1075" s="278"/>
      <c r="K1075" s="278"/>
      <c r="L1075" s="278"/>
      <c r="M1075" s="278"/>
      <c r="N1075" s="278"/>
      <c r="O1075" s="278"/>
      <c r="P1075" s="278"/>
      <c r="Q1075" s="278"/>
      <c r="R1075" s="278"/>
      <c r="S1075" s="278"/>
      <c r="T1075" s="278"/>
      <c r="U1075" s="278"/>
      <c r="V1075" s="278"/>
      <c r="W1075" s="278"/>
      <c r="X1075" s="278"/>
      <c r="Y1075" s="278"/>
      <c r="Z1075" s="278"/>
      <c r="AA1075" s="278"/>
      <c r="AB1075" s="278"/>
      <c r="AC1075" s="278"/>
      <c r="AD1075" s="278"/>
      <c r="AE1075" s="278"/>
      <c r="AF1075" s="278"/>
      <c r="AG1075" s="278"/>
      <c r="AH1075" s="278"/>
      <c r="AI1075" s="278"/>
      <c r="AJ1075" s="278"/>
      <c r="AK1075" s="278"/>
      <c r="AL1075" s="278"/>
      <c r="AM1075" s="278"/>
      <c r="AN1075" s="278"/>
    </row>
    <row r="1076" spans="3:40" outlineLevel="2">
      <c r="C1076" s="301" t="str">
        <f>Inputs!C353</f>
        <v>Indexador</v>
      </c>
      <c r="D1076" s="27" t="str">
        <f>Inputs!D353</f>
        <v>CDI</v>
      </c>
      <c r="E1076" s="41" t="s">
        <v>169</v>
      </c>
      <c r="F1076" s="319"/>
      <c r="G1076">
        <f t="shared" ref="G1076:AN1076" si="902">IF($D$1074=1,0,INDEX(G$20:G$28,MATCH($D$1076,$C$20:$C$28,0)))</f>
        <v>8.5000000000000006E-2</v>
      </c>
      <c r="H1076">
        <f t="shared" si="902"/>
        <v>8.5000000000000006E-2</v>
      </c>
      <c r="I1076">
        <f t="shared" si="902"/>
        <v>8.5000000000000006E-2</v>
      </c>
      <c r="J1076">
        <f t="shared" si="902"/>
        <v>8.5000000000000006E-2</v>
      </c>
      <c r="K1076">
        <f t="shared" si="902"/>
        <v>8.5000000000000006E-2</v>
      </c>
      <c r="L1076">
        <f t="shared" si="902"/>
        <v>8.5000000000000006E-2</v>
      </c>
      <c r="M1076">
        <f t="shared" si="902"/>
        <v>8.5000000000000006E-2</v>
      </c>
      <c r="N1076">
        <f t="shared" si="902"/>
        <v>8.5000000000000006E-2</v>
      </c>
      <c r="O1076">
        <f t="shared" si="902"/>
        <v>8.5000000000000006E-2</v>
      </c>
      <c r="P1076">
        <f t="shared" si="902"/>
        <v>8.5000000000000006E-2</v>
      </c>
      <c r="Q1076">
        <f t="shared" si="902"/>
        <v>8.5000000000000006E-2</v>
      </c>
      <c r="R1076">
        <f t="shared" si="902"/>
        <v>8.5000000000000006E-2</v>
      </c>
      <c r="S1076">
        <f t="shared" si="902"/>
        <v>8.5000000000000006E-2</v>
      </c>
      <c r="T1076">
        <f t="shared" si="902"/>
        <v>8.5000000000000006E-2</v>
      </c>
      <c r="U1076">
        <f t="shared" si="902"/>
        <v>8.5000000000000006E-2</v>
      </c>
      <c r="V1076">
        <f t="shared" si="902"/>
        <v>8.5000000000000006E-2</v>
      </c>
      <c r="W1076">
        <f t="shared" si="902"/>
        <v>8.5000000000000006E-2</v>
      </c>
      <c r="X1076">
        <f t="shared" si="902"/>
        <v>8.5000000000000006E-2</v>
      </c>
      <c r="Y1076">
        <f t="shared" si="902"/>
        <v>8.5000000000000006E-2</v>
      </c>
      <c r="Z1076">
        <f t="shared" si="902"/>
        <v>8.5000000000000006E-2</v>
      </c>
      <c r="AA1076">
        <f t="shared" si="902"/>
        <v>8.5000000000000006E-2</v>
      </c>
      <c r="AB1076">
        <f t="shared" si="902"/>
        <v>8.5000000000000006E-2</v>
      </c>
      <c r="AC1076">
        <f t="shared" si="902"/>
        <v>8.5000000000000006E-2</v>
      </c>
      <c r="AD1076">
        <f t="shared" si="902"/>
        <v>8.5000000000000006E-2</v>
      </c>
      <c r="AE1076">
        <f t="shared" si="902"/>
        <v>8.5000000000000006E-2</v>
      </c>
      <c r="AF1076">
        <f t="shared" si="902"/>
        <v>8.5000000000000006E-2</v>
      </c>
      <c r="AG1076">
        <f t="shared" si="902"/>
        <v>8.5000000000000006E-2</v>
      </c>
      <c r="AH1076">
        <f t="shared" si="902"/>
        <v>8.5000000000000006E-2</v>
      </c>
      <c r="AI1076">
        <f t="shared" si="902"/>
        <v>8.5000000000000006E-2</v>
      </c>
      <c r="AJ1076">
        <f t="shared" si="902"/>
        <v>8.5000000000000006E-2</v>
      </c>
      <c r="AK1076">
        <f t="shared" si="902"/>
        <v>8.5000000000000006E-2</v>
      </c>
      <c r="AL1076">
        <f t="shared" si="902"/>
        <v>8.5000000000000006E-2</v>
      </c>
      <c r="AM1076">
        <f t="shared" si="902"/>
        <v>8.5000000000000006E-2</v>
      </c>
      <c r="AN1076">
        <f t="shared" si="902"/>
        <v>8.5000000000000006E-2</v>
      </c>
    </row>
    <row r="1077" spans="3:40" outlineLevel="2">
      <c r="C1077" s="301"/>
      <c r="D1077" s="319"/>
      <c r="E1077" s="41"/>
      <c r="F1077" s="319"/>
      <c r="G1077" s="278"/>
      <c r="H1077" s="278"/>
      <c r="I1077" s="278"/>
      <c r="J1077" s="278"/>
      <c r="K1077" s="278"/>
      <c r="L1077" s="278"/>
      <c r="M1077" s="278"/>
      <c r="N1077" s="278"/>
      <c r="O1077" s="278"/>
      <c r="P1077" s="278"/>
      <c r="Q1077" s="278"/>
      <c r="R1077" s="278"/>
      <c r="S1077" s="278"/>
      <c r="T1077" s="278"/>
      <c r="U1077" s="278"/>
      <c r="V1077" s="278"/>
      <c r="W1077" s="278"/>
      <c r="X1077" s="278"/>
      <c r="Y1077" s="278"/>
      <c r="Z1077" s="278"/>
      <c r="AA1077" s="278"/>
      <c r="AB1077" s="278"/>
      <c r="AC1077" s="278"/>
      <c r="AD1077" s="278"/>
      <c r="AE1077" s="278"/>
      <c r="AF1077" s="278"/>
      <c r="AG1077" s="278"/>
      <c r="AH1077" s="278"/>
      <c r="AI1077" s="278"/>
      <c r="AJ1077" s="278"/>
      <c r="AK1077" s="278"/>
      <c r="AL1077" s="278"/>
      <c r="AM1077" s="278"/>
      <c r="AN1077" s="278"/>
    </row>
    <row r="1078" spans="3:40" outlineLevel="2">
      <c r="C1078" s="301" t="s">
        <v>547</v>
      </c>
      <c r="D1078" s="319"/>
      <c r="E1078" s="41" t="s">
        <v>13</v>
      </c>
      <c r="F1078" s="23">
        <f ca="1">SUM(G1078:AN1078)</f>
        <v>9915.5510545235975</v>
      </c>
      <c r="G1078" s="278">
        <f t="shared" ref="G1078" si="903">IF(AND(G1069&gt;1,G1071=1),G1069,0)*G1076</f>
        <v>0</v>
      </c>
      <c r="H1078" s="278">
        <f t="shared" ref="H1078:AN1078" ca="1" si="904">IF(AND(H1069&gt;1,H1071=1),H1069,0)*H1076</f>
        <v>0</v>
      </c>
      <c r="I1078" s="278">
        <f t="shared" ca="1" si="904"/>
        <v>0</v>
      </c>
      <c r="J1078" s="278">
        <f t="shared" ca="1" si="904"/>
        <v>63.531546272428116</v>
      </c>
      <c r="K1078" s="278">
        <f t="shared" ca="1" si="904"/>
        <v>178.43001541174146</v>
      </c>
      <c r="L1078" s="278">
        <f t="shared" ca="1" si="904"/>
        <v>137.15562459708954</v>
      </c>
      <c r="M1078" s="278">
        <f t="shared" ca="1" si="904"/>
        <v>55.99364327919352</v>
      </c>
      <c r="N1078" s="278">
        <f t="shared" ca="1" si="904"/>
        <v>6.534982637546201</v>
      </c>
      <c r="O1078" s="278">
        <f t="shared" ca="1" si="904"/>
        <v>25.397167347172463</v>
      </c>
      <c r="P1078" s="278">
        <f t="shared" ca="1" si="904"/>
        <v>9.9945127218954291</v>
      </c>
      <c r="Q1078" s="278">
        <f t="shared" ca="1" si="904"/>
        <v>10.311500097795385</v>
      </c>
      <c r="R1078" s="278">
        <f t="shared" ca="1" si="904"/>
        <v>11.650477020096314</v>
      </c>
      <c r="S1078" s="278">
        <f t="shared" ca="1" si="904"/>
        <v>12.234879182654316</v>
      </c>
      <c r="T1078" s="278">
        <f t="shared" ca="1" si="904"/>
        <v>12.887971509366828</v>
      </c>
      <c r="U1078" s="278">
        <f t="shared" ca="1" si="904"/>
        <v>13.55498615704526</v>
      </c>
      <c r="V1078" s="278">
        <f t="shared" ca="1" si="904"/>
        <v>29.902160073501751</v>
      </c>
      <c r="W1078" s="278">
        <f t="shared" ca="1" si="904"/>
        <v>14.680536862964477</v>
      </c>
      <c r="X1078" s="278">
        <f t="shared" ca="1" si="904"/>
        <v>14.778015300156405</v>
      </c>
      <c r="Y1078" s="278">
        <f t="shared" ca="1" si="904"/>
        <v>14.584451387616987</v>
      </c>
      <c r="Z1078" s="278">
        <f t="shared" ca="1" si="904"/>
        <v>13.53119180867264</v>
      </c>
      <c r="AA1078" s="278">
        <f t="shared" ca="1" si="904"/>
        <v>13.136904831990396</v>
      </c>
      <c r="AB1078" s="278">
        <f t="shared" ca="1" si="904"/>
        <v>24.150026787564727</v>
      </c>
      <c r="AC1078" s="278">
        <f t="shared" ca="1" si="904"/>
        <v>189.36888497469792</v>
      </c>
      <c r="AD1078" s="278">
        <f t="shared" ca="1" si="904"/>
        <v>411.24837863032258</v>
      </c>
      <c r="AE1078" s="278">
        <f t="shared" ca="1" si="904"/>
        <v>664.30656987665282</v>
      </c>
      <c r="AF1078" s="278">
        <f t="shared" ca="1" si="904"/>
        <v>946.06269705790146</v>
      </c>
      <c r="AG1078" s="278">
        <f t="shared" ca="1" si="904"/>
        <v>1251.6867032045575</v>
      </c>
      <c r="AH1078" s="278">
        <f t="shared" ca="1" si="904"/>
        <v>1584.3159013252039</v>
      </c>
      <c r="AI1078" s="278">
        <f t="shared" ca="1" si="904"/>
        <v>1905.2486798372031</v>
      </c>
      <c r="AJ1078" s="278">
        <f t="shared" ca="1" si="904"/>
        <v>2300.8726463305661</v>
      </c>
      <c r="AK1078" s="278">
        <f t="shared" ca="1" si="904"/>
        <v>0</v>
      </c>
      <c r="AL1078" s="278">
        <f t="shared" ca="1" si="904"/>
        <v>0</v>
      </c>
      <c r="AM1078" s="278">
        <f t="shared" ca="1" si="904"/>
        <v>0</v>
      </c>
      <c r="AN1078" s="278">
        <f t="shared" ca="1" si="904"/>
        <v>0</v>
      </c>
    </row>
    <row r="1079" spans="3:40" outlineLevel="2">
      <c r="C1079" s="301"/>
      <c r="D1079" s="319"/>
      <c r="E1079" s="41"/>
      <c r="F1079" s="319"/>
      <c r="G1079" s="278"/>
      <c r="H1079" s="278"/>
      <c r="I1079" s="278"/>
      <c r="J1079" s="278"/>
      <c r="K1079" s="278"/>
      <c r="L1079" s="278"/>
      <c r="M1079" s="278"/>
      <c r="N1079" s="278"/>
      <c r="O1079" s="278"/>
      <c r="P1079" s="278"/>
      <c r="Q1079" s="278"/>
      <c r="R1079" s="278"/>
      <c r="S1079" s="278"/>
      <c r="T1079" s="278"/>
      <c r="U1079" s="278"/>
      <c r="V1079" s="278"/>
      <c r="W1079" s="278"/>
      <c r="X1079" s="278"/>
      <c r="Y1079" s="278"/>
      <c r="Z1079" s="278"/>
      <c r="AA1079" s="278"/>
      <c r="AB1079" s="278"/>
      <c r="AC1079" s="278"/>
      <c r="AD1079" s="278"/>
      <c r="AE1079" s="278"/>
      <c r="AF1079" s="278"/>
      <c r="AG1079" s="278"/>
      <c r="AH1079" s="278"/>
      <c r="AI1079" s="278"/>
      <c r="AJ1079" s="278"/>
      <c r="AK1079" s="278"/>
      <c r="AL1079" s="278"/>
      <c r="AM1079" s="278"/>
      <c r="AN1079" s="278"/>
    </row>
    <row r="1080" spans="3:40" outlineLevel="1"/>
    <row r="1081" spans="3:40" outlineLevel="1">
      <c r="C1081" s="14" t="s">
        <v>113</v>
      </c>
      <c r="D1081" s="266"/>
    </row>
    <row r="1082" spans="3:40" outlineLevel="2">
      <c r="C1082" s="14"/>
      <c r="D1082" s="266"/>
    </row>
    <row r="1083" spans="3:40" outlineLevel="2">
      <c r="C1083" s="296" t="str">
        <f>Inputs!C311</f>
        <v>% Lucro Líquido</v>
      </c>
      <c r="D1083">
        <f>Inputs!D311</f>
        <v>0.05</v>
      </c>
      <c r="E1083" s="309" t="str">
        <f>Inputs!E311</f>
        <v>%</v>
      </c>
    </row>
    <row r="1084" spans="3:40" outlineLevel="2">
      <c r="C1084" s="296" t="str">
        <f>Inputs!C312</f>
        <v>Máximo do Capital Social %</v>
      </c>
      <c r="D1084">
        <f>Inputs!D312</f>
        <v>0.2</v>
      </c>
      <c r="E1084" s="309" t="str">
        <f>Inputs!E312</f>
        <v>%</v>
      </c>
    </row>
    <row r="1085" spans="3:40" outlineLevel="2">
      <c r="C1085" s="14"/>
      <c r="D1085" s="266"/>
    </row>
    <row r="1086" spans="3:40" outlineLevel="2">
      <c r="C1086" s="296" t="str">
        <f>DFs!C158</f>
        <v>Lucro Líquido</v>
      </c>
      <c r="D1086" s="266"/>
      <c r="E1086" s="32" t="str">
        <f>DFs!E158</f>
        <v>$ 000s</v>
      </c>
      <c r="F1086" s="273"/>
      <c r="G1086" s="273">
        <f ca="1">DFs!G158</f>
        <v>-648.84854799737877</v>
      </c>
      <c r="H1086" s="273">
        <f ca="1">DFs!H158</f>
        <v>-2044.3734997558727</v>
      </c>
      <c r="I1086" s="273">
        <f ca="1">DFs!I158</f>
        <v>1286.356052562885</v>
      </c>
      <c r="J1086" s="273">
        <f ca="1">DFs!J158</f>
        <v>1602.6531005088343</v>
      </c>
      <c r="K1086" s="273">
        <f ca="1">DFs!K158</f>
        <v>1971.8638964221204</v>
      </c>
      <c r="L1086" s="273">
        <f ca="1">DFs!L158</f>
        <v>2356.563443605266</v>
      </c>
      <c r="M1086" s="273">
        <f ca="1">DFs!M158</f>
        <v>1537.6429735402846</v>
      </c>
      <c r="N1086" s="273">
        <f ca="1">DFs!N158</f>
        <v>5975.8040816876301</v>
      </c>
      <c r="O1086" s="273">
        <f ca="1">DFs!O158</f>
        <v>2351.650052210688</v>
      </c>
      <c r="P1086" s="273">
        <f ca="1">DFs!P158</f>
        <v>2426.2353171283248</v>
      </c>
      <c r="Q1086" s="273">
        <f ca="1">DFs!Q158</f>
        <v>2741.2887106109006</v>
      </c>
      <c r="R1086" s="273">
        <f ca="1">DFs!R158</f>
        <v>2878.795101801019</v>
      </c>
      <c r="S1086" s="273">
        <f ca="1">DFs!S158</f>
        <v>3032.4638845569052</v>
      </c>
      <c r="T1086" s="273">
        <f ca="1">DFs!T158</f>
        <v>3189.408507540059</v>
      </c>
      <c r="U1086" s="273">
        <f ca="1">DFs!U158</f>
        <v>7035.8023702357041</v>
      </c>
      <c r="V1086" s="273">
        <f ca="1">DFs!V158</f>
        <v>3454.243967756347</v>
      </c>
      <c r="W1086" s="273">
        <f ca="1">DFs!W158</f>
        <v>3477.1800706250369</v>
      </c>
      <c r="X1086" s="273">
        <f ca="1">DFs!X158</f>
        <v>3431.6356206157602</v>
      </c>
      <c r="Y1086" s="273">
        <f ca="1">DFs!Y158</f>
        <v>3183.809837334743</v>
      </c>
      <c r="Z1086" s="273">
        <f ca="1">DFs!Z158</f>
        <v>3091.0364310565601</v>
      </c>
      <c r="AA1086" s="273">
        <f ca="1">DFs!AA158</f>
        <v>3077.2846156008368</v>
      </c>
      <c r="AB1086" s="273">
        <f ca="1">DFs!AB158</f>
        <v>6330.5665027125306</v>
      </c>
      <c r="AC1086" s="273">
        <f ca="1">DFs!AC158</f>
        <v>2201.3336016204685</v>
      </c>
      <c r="AD1086" s="273">
        <f ca="1">DFs!AD158</f>
        <v>2152.1319436069875</v>
      </c>
      <c r="AE1086" s="273">
        <f ca="1">DFs!AE158</f>
        <v>2067.433728703968</v>
      </c>
      <c r="AF1086" s="273">
        <f ca="1">DFs!AF158</f>
        <v>2065.9001109595029</v>
      </c>
      <c r="AG1086" s="273">
        <f ca="1">DFs!AG158</f>
        <v>1364.290518511958</v>
      </c>
      <c r="AH1086" s="273">
        <f ca="1">DFs!AH158</f>
        <v>1305.7056215994435</v>
      </c>
      <c r="AI1086" s="273">
        <f ca="1">DFs!AI158</f>
        <v>4385.0523493090423</v>
      </c>
      <c r="AJ1086" s="273">
        <f ca="1">DFs!AJ158</f>
        <v>-6334.3226575165263</v>
      </c>
      <c r="AK1086" s="273">
        <f ca="1">DFs!AK158</f>
        <v>0</v>
      </c>
      <c r="AL1086" s="273">
        <f ca="1">DFs!AL158</f>
        <v>0</v>
      </c>
      <c r="AM1086" s="273">
        <f ca="1">DFs!AM158</f>
        <v>0</v>
      </c>
      <c r="AN1086" s="273">
        <f>DFs!AN158</f>
        <v>0</v>
      </c>
    </row>
    <row r="1087" spans="3:40" outlineLevel="2">
      <c r="C1087" s="14"/>
      <c r="D1087" s="266"/>
    </row>
    <row r="1088" spans="3:40" outlineLevel="3">
      <c r="C1088" s="301" t="s">
        <v>548</v>
      </c>
      <c r="D1088" s="266"/>
      <c r="E1088" s="32" t="s">
        <v>13</v>
      </c>
      <c r="G1088" s="273">
        <f t="shared" ref="G1088" si="905">F1090</f>
        <v>0</v>
      </c>
      <c r="H1088" s="273">
        <f t="shared" ref="H1088:AN1088" ca="1" si="906">G1090</f>
        <v>0</v>
      </c>
      <c r="I1088" s="273">
        <f t="shared" ca="1" si="906"/>
        <v>0</v>
      </c>
      <c r="J1088" s="273">
        <f t="shared" ca="1" si="906"/>
        <v>64.31780262814425</v>
      </c>
      <c r="K1088" s="273">
        <f t="shared" ca="1" si="906"/>
        <v>144.45045765358597</v>
      </c>
      <c r="L1088" s="273">
        <f t="shared" ca="1" si="906"/>
        <v>243.04365247469201</v>
      </c>
      <c r="M1088" s="273">
        <f t="shared" ca="1" si="906"/>
        <v>360.87182465495533</v>
      </c>
      <c r="N1088" s="273">
        <f t="shared" ca="1" si="906"/>
        <v>437.75397333196958</v>
      </c>
      <c r="O1088" s="273">
        <f t="shared" ca="1" si="906"/>
        <v>736.54417741635109</v>
      </c>
      <c r="P1088" s="273">
        <f t="shared" ca="1" si="906"/>
        <v>854.12668002688554</v>
      </c>
      <c r="Q1088" s="273">
        <f t="shared" ca="1" si="906"/>
        <v>975.43844588330182</v>
      </c>
      <c r="R1088" s="273">
        <f t="shared" ca="1" si="906"/>
        <v>1112.5028814138468</v>
      </c>
      <c r="S1088" s="273">
        <f t="shared" ca="1" si="906"/>
        <v>1256.4426365038978</v>
      </c>
      <c r="T1088" s="273">
        <f t="shared" ca="1" si="906"/>
        <v>1408.0658307317431</v>
      </c>
      <c r="U1088" s="273">
        <f t="shared" ca="1" si="906"/>
        <v>1567.5362561087461</v>
      </c>
      <c r="V1088" s="273">
        <f t="shared" ca="1" si="906"/>
        <v>1919.3263746205314</v>
      </c>
      <c r="W1088" s="273">
        <f t="shared" ca="1" si="906"/>
        <v>2092.038573008349</v>
      </c>
      <c r="X1088" s="273">
        <f t="shared" ca="1" si="906"/>
        <v>2265.8975765396008</v>
      </c>
      <c r="Y1088" s="273">
        <f t="shared" ca="1" si="906"/>
        <v>2437.4793575703889</v>
      </c>
      <c r="Z1088" s="273">
        <f t="shared" ca="1" si="906"/>
        <v>2596.6698494371258</v>
      </c>
      <c r="AA1088" s="273">
        <f t="shared" ca="1" si="906"/>
        <v>2751.221670989954</v>
      </c>
      <c r="AB1088" s="273">
        <f t="shared" ca="1" si="906"/>
        <v>2905.0859017699959</v>
      </c>
      <c r="AC1088" s="273">
        <f t="shared" ca="1" si="906"/>
        <v>3221.6142269056227</v>
      </c>
      <c r="AD1088" s="273">
        <f t="shared" ca="1" si="906"/>
        <v>3331.6809069866463</v>
      </c>
      <c r="AE1088" s="273">
        <f t="shared" ca="1" si="906"/>
        <v>3439.2875041669959</v>
      </c>
      <c r="AF1088" s="273">
        <f t="shared" ca="1" si="906"/>
        <v>3542.659190602194</v>
      </c>
      <c r="AG1088" s="273">
        <f t="shared" ca="1" si="906"/>
        <v>3645.9541961501691</v>
      </c>
      <c r="AH1088" s="273">
        <f t="shared" ca="1" si="906"/>
        <v>3714.1687220757672</v>
      </c>
      <c r="AI1088" s="273">
        <f t="shared" ca="1" si="906"/>
        <v>3779.4540031557394</v>
      </c>
      <c r="AJ1088" s="273">
        <f t="shared" ca="1" si="906"/>
        <v>3998.7066206211916</v>
      </c>
      <c r="AK1088" s="273">
        <f t="shared" ca="1" si="906"/>
        <v>3998.7066206211916</v>
      </c>
      <c r="AL1088" s="273">
        <f t="shared" ca="1" si="906"/>
        <v>3998.7066206211916</v>
      </c>
      <c r="AM1088" s="273">
        <f t="shared" ca="1" si="906"/>
        <v>3998.7066206211916</v>
      </c>
      <c r="AN1088" s="273">
        <f t="shared" ca="1" si="906"/>
        <v>3998.7066206211916</v>
      </c>
    </row>
    <row r="1089" spans="3:160" outlineLevel="3">
      <c r="C1089" s="334" t="s">
        <v>549</v>
      </c>
      <c r="D1089" s="275"/>
      <c r="E1089" s="83" t="s">
        <v>13</v>
      </c>
      <c r="F1089" s="24"/>
      <c r="G1089" s="337">
        <f t="shared" ref="G1089:AN1089" ca="1" si="907">IF(G1086&lt;0,0,MAX(IF((G1088+G1086*$D$1083)/G1058&lt;$D$1084,G1086*$D$1083,G1058*$D$1084-G1088)))</f>
        <v>0</v>
      </c>
      <c r="H1089" s="287">
        <f ca="1">IF(H1086&lt;0,0,MAX(IF((H1088+H1086*$D$1083)/H1058&lt;$D$1084,H1086*$D$1083,H1058*$D$1084-H1088)))</f>
        <v>0</v>
      </c>
      <c r="I1089" s="287">
        <f t="shared" ca="1" si="907"/>
        <v>64.31780262814425</v>
      </c>
      <c r="J1089" s="287">
        <f t="shared" ca="1" si="907"/>
        <v>80.132655025441721</v>
      </c>
      <c r="K1089" s="287">
        <f t="shared" ca="1" si="907"/>
        <v>98.593194821106025</v>
      </c>
      <c r="L1089" s="287">
        <f t="shared" ca="1" si="907"/>
        <v>117.82817218026331</v>
      </c>
      <c r="M1089" s="287">
        <f t="shared" ca="1" si="907"/>
        <v>76.882148677014243</v>
      </c>
      <c r="N1089" s="287">
        <f t="shared" ca="1" si="907"/>
        <v>298.79020408438151</v>
      </c>
      <c r="O1089" s="287">
        <f t="shared" ca="1" si="907"/>
        <v>117.58250261053441</v>
      </c>
      <c r="P1089" s="287">
        <f t="shared" ca="1" si="907"/>
        <v>121.31176585641624</v>
      </c>
      <c r="Q1089" s="287">
        <f t="shared" ca="1" si="907"/>
        <v>137.06443553054504</v>
      </c>
      <c r="R1089" s="287">
        <f t="shared" ca="1" si="907"/>
        <v>143.93975509005097</v>
      </c>
      <c r="S1089" s="287">
        <f t="shared" ca="1" si="907"/>
        <v>151.62319422784526</v>
      </c>
      <c r="T1089" s="287">
        <f t="shared" ca="1" si="907"/>
        <v>159.47042537700295</v>
      </c>
      <c r="U1089" s="287">
        <f t="shared" ca="1" si="907"/>
        <v>351.79011851178524</v>
      </c>
      <c r="V1089" s="287">
        <f t="shared" ca="1" si="907"/>
        <v>172.71219838781735</v>
      </c>
      <c r="W1089" s="287">
        <f t="shared" ca="1" si="907"/>
        <v>173.85900353125186</v>
      </c>
      <c r="X1089" s="287">
        <f t="shared" ca="1" si="907"/>
        <v>171.58178103078802</v>
      </c>
      <c r="Y1089" s="287">
        <f t="shared" ca="1" si="907"/>
        <v>159.19049186673715</v>
      </c>
      <c r="Z1089" s="287">
        <f t="shared" ca="1" si="907"/>
        <v>154.55182155282802</v>
      </c>
      <c r="AA1089" s="287">
        <f t="shared" ca="1" si="907"/>
        <v>153.86423078004185</v>
      </c>
      <c r="AB1089" s="287">
        <f t="shared" ca="1" si="907"/>
        <v>316.52832513562657</v>
      </c>
      <c r="AC1089" s="287">
        <f t="shared" ca="1" si="907"/>
        <v>110.06668008102343</v>
      </c>
      <c r="AD1089" s="287">
        <f t="shared" ca="1" si="907"/>
        <v>107.60659718034938</v>
      </c>
      <c r="AE1089" s="287">
        <f t="shared" ca="1" si="907"/>
        <v>103.3716864351984</v>
      </c>
      <c r="AF1089" s="287">
        <f t="shared" ca="1" si="907"/>
        <v>103.29500554797515</v>
      </c>
      <c r="AG1089" s="287">
        <f t="shared" ca="1" si="907"/>
        <v>68.214525925597897</v>
      </c>
      <c r="AH1089" s="287">
        <f t="shared" ca="1" si="907"/>
        <v>65.285281079972179</v>
      </c>
      <c r="AI1089" s="287">
        <f t="shared" ca="1" si="907"/>
        <v>219.25261746545212</v>
      </c>
      <c r="AJ1089" s="287">
        <f t="shared" ca="1" si="907"/>
        <v>0</v>
      </c>
      <c r="AK1089" s="287">
        <f t="shared" ca="1" si="907"/>
        <v>0</v>
      </c>
      <c r="AL1089" s="287">
        <f t="shared" ca="1" si="907"/>
        <v>0</v>
      </c>
      <c r="AM1089" s="287">
        <f t="shared" ca="1" si="907"/>
        <v>0</v>
      </c>
      <c r="AN1089" s="287">
        <f t="shared" ca="1" si="907"/>
        <v>0</v>
      </c>
    </row>
    <row r="1090" spans="3:160" outlineLevel="3">
      <c r="C1090" s="334" t="s">
        <v>550</v>
      </c>
      <c r="D1090" s="275"/>
      <c r="E1090" s="83" t="s">
        <v>13</v>
      </c>
      <c r="F1090" s="53"/>
      <c r="G1090" s="287">
        <f t="shared" ref="G1090:AN1090" ca="1" si="908">SUM(G1088:G1089)</f>
        <v>0</v>
      </c>
      <c r="H1090" s="287">
        <f t="shared" ca="1" si="908"/>
        <v>0</v>
      </c>
      <c r="I1090" s="287">
        <f t="shared" ca="1" si="908"/>
        <v>64.31780262814425</v>
      </c>
      <c r="J1090" s="287">
        <f t="shared" ca="1" si="908"/>
        <v>144.45045765358597</v>
      </c>
      <c r="K1090" s="287">
        <f t="shared" ca="1" si="908"/>
        <v>243.04365247469201</v>
      </c>
      <c r="L1090" s="287">
        <f t="shared" ca="1" si="908"/>
        <v>360.87182465495533</v>
      </c>
      <c r="M1090" s="287">
        <f t="shared" ca="1" si="908"/>
        <v>437.75397333196958</v>
      </c>
      <c r="N1090" s="287">
        <f t="shared" ca="1" si="908"/>
        <v>736.54417741635109</v>
      </c>
      <c r="O1090" s="287">
        <f t="shared" ca="1" si="908"/>
        <v>854.12668002688554</v>
      </c>
      <c r="P1090" s="287">
        <f t="shared" ca="1" si="908"/>
        <v>975.43844588330182</v>
      </c>
      <c r="Q1090" s="287">
        <f t="shared" ca="1" si="908"/>
        <v>1112.5028814138468</v>
      </c>
      <c r="R1090" s="287">
        <f t="shared" ca="1" si="908"/>
        <v>1256.4426365038978</v>
      </c>
      <c r="S1090" s="287">
        <f t="shared" ca="1" si="908"/>
        <v>1408.0658307317431</v>
      </c>
      <c r="T1090" s="287">
        <f t="shared" ca="1" si="908"/>
        <v>1567.5362561087461</v>
      </c>
      <c r="U1090" s="287">
        <f t="shared" ca="1" si="908"/>
        <v>1919.3263746205314</v>
      </c>
      <c r="V1090" s="287">
        <f t="shared" ca="1" si="908"/>
        <v>2092.038573008349</v>
      </c>
      <c r="W1090" s="287">
        <f t="shared" ca="1" si="908"/>
        <v>2265.8975765396008</v>
      </c>
      <c r="X1090" s="287">
        <f t="shared" ca="1" si="908"/>
        <v>2437.4793575703889</v>
      </c>
      <c r="Y1090" s="287">
        <f t="shared" ca="1" si="908"/>
        <v>2596.6698494371258</v>
      </c>
      <c r="Z1090" s="287">
        <f t="shared" ca="1" si="908"/>
        <v>2751.221670989954</v>
      </c>
      <c r="AA1090" s="287">
        <f t="shared" ca="1" si="908"/>
        <v>2905.0859017699959</v>
      </c>
      <c r="AB1090" s="287">
        <f t="shared" ca="1" si="908"/>
        <v>3221.6142269056227</v>
      </c>
      <c r="AC1090" s="287">
        <f t="shared" ca="1" si="908"/>
        <v>3331.6809069866463</v>
      </c>
      <c r="AD1090" s="287">
        <f t="shared" ca="1" si="908"/>
        <v>3439.2875041669959</v>
      </c>
      <c r="AE1090" s="287">
        <f t="shared" ca="1" si="908"/>
        <v>3542.659190602194</v>
      </c>
      <c r="AF1090" s="287">
        <f t="shared" ca="1" si="908"/>
        <v>3645.9541961501691</v>
      </c>
      <c r="AG1090" s="287">
        <f t="shared" ca="1" si="908"/>
        <v>3714.1687220757672</v>
      </c>
      <c r="AH1090" s="287">
        <f t="shared" ca="1" si="908"/>
        <v>3779.4540031557394</v>
      </c>
      <c r="AI1090" s="287">
        <f t="shared" ca="1" si="908"/>
        <v>3998.7066206211916</v>
      </c>
      <c r="AJ1090" s="287">
        <f t="shared" ca="1" si="908"/>
        <v>3998.7066206211916</v>
      </c>
      <c r="AK1090" s="287">
        <f t="shared" ca="1" si="908"/>
        <v>3998.7066206211916</v>
      </c>
      <c r="AL1090" s="287">
        <f t="shared" ca="1" si="908"/>
        <v>3998.7066206211916</v>
      </c>
      <c r="AM1090" s="287">
        <f t="shared" ca="1" si="908"/>
        <v>3998.7066206211916</v>
      </c>
      <c r="AN1090" s="287">
        <f t="shared" ca="1" si="908"/>
        <v>3998.7066206211916</v>
      </c>
    </row>
    <row r="1091" spans="3:160" outlineLevel="1"/>
    <row r="1092" spans="3:160" outlineLevel="1">
      <c r="C1092" s="14" t="s">
        <v>71</v>
      </c>
      <c r="D1092" s="266"/>
    </row>
    <row r="1093" spans="3:160" outlineLevel="2">
      <c r="C1093" s="301" t="str">
        <f>C1061</f>
        <v>Caixa (b/f)</v>
      </c>
      <c r="D1093" s="319"/>
      <c r="E1093" s="41" t="str">
        <f t="shared" ref="E1093:G1093" si="909">E1061</f>
        <v>$ 000s</v>
      </c>
      <c r="F1093" s="273">
        <f t="shared" si="909"/>
        <v>0</v>
      </c>
      <c r="G1093" s="273">
        <f t="shared" si="909"/>
        <v>0</v>
      </c>
      <c r="H1093" s="273">
        <f t="shared" ref="H1093:AN1093" ca="1" si="910">H1061</f>
        <v>0</v>
      </c>
      <c r="I1093" s="273">
        <f t="shared" ca="1" si="910"/>
        <v>0</v>
      </c>
      <c r="J1093" s="273">
        <f t="shared" ca="1" si="910"/>
        <v>747.42995614621304</v>
      </c>
      <c r="K1093" s="273">
        <f t="shared" ca="1" si="910"/>
        <v>2099.1766519028406</v>
      </c>
      <c r="L1093" s="273">
        <f t="shared" ca="1" si="910"/>
        <v>1613.595583495171</v>
      </c>
      <c r="M1093" s="273">
        <f t="shared" ca="1" si="910"/>
        <v>658.74874446110016</v>
      </c>
      <c r="N1093" s="273">
        <f t="shared" ca="1" si="910"/>
        <v>76.882148677014129</v>
      </c>
      <c r="O1093" s="273">
        <f t="shared" ca="1" si="910"/>
        <v>298.79020408438191</v>
      </c>
      <c r="P1093" s="273">
        <f t="shared" ca="1" si="910"/>
        <v>117.58250261053445</v>
      </c>
      <c r="Q1093" s="273">
        <f t="shared" ca="1" si="910"/>
        <v>121.31176585641629</v>
      </c>
      <c r="R1093" s="273">
        <f t="shared" ca="1" si="910"/>
        <v>137.06443553054487</v>
      </c>
      <c r="S1093" s="273">
        <f t="shared" ca="1" si="910"/>
        <v>143.93975509005077</v>
      </c>
      <c r="T1093" s="273">
        <f t="shared" ca="1" si="910"/>
        <v>151.62319422784503</v>
      </c>
      <c r="U1093" s="273">
        <f t="shared" ca="1" si="910"/>
        <v>159.47042537700304</v>
      </c>
      <c r="V1093" s="273">
        <f t="shared" ca="1" si="910"/>
        <v>351.79011851178529</v>
      </c>
      <c r="W1093" s="273">
        <f t="shared" ca="1" si="910"/>
        <v>172.71219838781735</v>
      </c>
      <c r="X1093" s="273">
        <f t="shared" ca="1" si="910"/>
        <v>173.8590035312518</v>
      </c>
      <c r="Y1093" s="273">
        <f t="shared" ca="1" si="910"/>
        <v>171.58178103078808</v>
      </c>
      <c r="Z1093" s="273">
        <f t="shared" ca="1" si="910"/>
        <v>159.19049186673692</v>
      </c>
      <c r="AA1093" s="273">
        <f t="shared" ca="1" si="910"/>
        <v>154.55182155282819</v>
      </c>
      <c r="AB1093" s="273">
        <f t="shared" ca="1" si="910"/>
        <v>284.11796220664382</v>
      </c>
      <c r="AC1093" s="273">
        <f t="shared" ca="1" si="910"/>
        <v>2227.8692349964458</v>
      </c>
      <c r="AD1093" s="273">
        <f t="shared" ca="1" si="910"/>
        <v>4838.2162191802654</v>
      </c>
      <c r="AE1093" s="273">
        <f t="shared" ca="1" si="910"/>
        <v>7815.3714103135617</v>
      </c>
      <c r="AF1093" s="273">
        <f t="shared" ca="1" si="910"/>
        <v>11130.149377151782</v>
      </c>
      <c r="AG1093" s="273">
        <f t="shared" ca="1" si="910"/>
        <v>14725.725920053617</v>
      </c>
      <c r="AH1093" s="273">
        <f t="shared" ca="1" si="910"/>
        <v>18639.010603825926</v>
      </c>
      <c r="AI1093" s="273">
        <f t="shared" ca="1" si="910"/>
        <v>22414.690351025918</v>
      </c>
      <c r="AJ1093" s="273">
        <f t="shared" ca="1" si="910"/>
        <v>27069.08995683019</v>
      </c>
      <c r="AK1093" s="273">
        <f t="shared" ca="1" si="910"/>
        <v>35134.32043891518</v>
      </c>
      <c r="AL1093" s="273">
        <f t="shared" ca="1" si="910"/>
        <v>35134.32043891518</v>
      </c>
      <c r="AM1093" s="273">
        <f t="shared" ca="1" si="910"/>
        <v>35134.32043891518</v>
      </c>
      <c r="AN1093" s="273">
        <f t="shared" ca="1" si="910"/>
        <v>35134.32043891518</v>
      </c>
    </row>
    <row r="1094" spans="3:160" outlineLevel="2">
      <c r="C1094" s="301" t="str">
        <f>DFs!C81</f>
        <v>Fluxo de Caixa para Acionista</v>
      </c>
      <c r="D1094" s="266"/>
      <c r="E1094" s="32" t="str">
        <f>E1062</f>
        <v>$ 000s</v>
      </c>
      <c r="F1094" s="44">
        <f ca="1">DFs!F81</f>
        <v>104506.51708013311</v>
      </c>
      <c r="G1094" s="273">
        <f ca="1">DFs!G81</f>
        <v>-1252.6277745880582</v>
      </c>
      <c r="H1094" s="273">
        <f ca="1">DFs!H81</f>
        <v>-2657.3793282433689</v>
      </c>
      <c r="I1094" s="273">
        <f ca="1">DFs!I81</f>
        <v>747.42995614621304</v>
      </c>
      <c r="J1094" s="273">
        <f ca="1">DFs!J81</f>
        <v>1403.083343421509</v>
      </c>
      <c r="K1094" s="273">
        <f ca="1">DFs!K81</f>
        <v>1387.6896331933449</v>
      </c>
      <c r="L1094" s="273">
        <f ca="1">DFs!L81</f>
        <v>1283.8884323909319</v>
      </c>
      <c r="M1094" s="273">
        <f ca="1">DFs!M81</f>
        <v>574.19608586394702</v>
      </c>
      <c r="N1094" s="273">
        <f ca="1">DFs!N81</f>
        <v>5229.7107385581112</v>
      </c>
      <c r="O1094" s="273">
        <f ca="1">DFs!O81</f>
        <v>1798.1324481091438</v>
      </c>
      <c r="P1094" s="273">
        <f ca="1">DFs!P81</f>
        <v>1859.4604622471418</v>
      </c>
      <c r="Q1094" s="273">
        <f ca="1">DFs!Q81</f>
        <v>2238.1601183230955</v>
      </c>
      <c r="R1094" s="273">
        <f ca="1">DFs!R81</f>
        <v>2408.6376461619266</v>
      </c>
      <c r="S1094" s="273">
        <f ca="1">DFs!S81</f>
        <v>2105.309018828485</v>
      </c>
      <c r="T1094" s="273">
        <f ca="1">DFs!T81</f>
        <v>1313.2375987340276</v>
      </c>
      <c r="U1094" s="273">
        <f ca="1">DFs!U81</f>
        <v>4468.6829175330895</v>
      </c>
      <c r="V1094" s="273">
        <f ca="1">DFs!V81</f>
        <v>2229.7199549614857</v>
      </c>
      <c r="W1094" s="273">
        <f ca="1">DFs!W81</f>
        <v>5008.979944139659</v>
      </c>
      <c r="X1094" s="273">
        <f ca="1">DFs!X81</f>
        <v>5037.7171698069687</v>
      </c>
      <c r="Y1094" s="273">
        <f ca="1">DFs!Y81</f>
        <v>4976.1141478483296</v>
      </c>
      <c r="Z1094" s="273">
        <f ca="1">DFs!Z81</f>
        <v>4432.1186960271416</v>
      </c>
      <c r="AA1094" s="273">
        <f ca="1">DFs!AA81</f>
        <v>4285.2597357887507</v>
      </c>
      <c r="AB1094" s="273">
        <f ca="1">DFs!AB81</f>
        <v>7957.7894503667067</v>
      </c>
      <c r="AC1094" s="273">
        <f ca="1">DFs!AC81</f>
        <v>4701.6139057232649</v>
      </c>
      <c r="AD1094" s="273">
        <f ca="1">DFs!AD81</f>
        <v>5021.6805375599351</v>
      </c>
      <c r="AE1094" s="273">
        <f ca="1">DFs!AE81</f>
        <v>5278.8400091069898</v>
      </c>
      <c r="AF1094" s="273">
        <f ca="1">DFs!AF81</f>
        <v>5558.1816483133643</v>
      </c>
      <c r="AG1094" s="273">
        <f ca="1">DFs!AG81</f>
        <v>5209.3606763586668</v>
      </c>
      <c r="AH1094" s="273">
        <f ca="1">DFs!AH81</f>
        <v>5016.1000877194638</v>
      </c>
      <c r="AI1094" s="273">
        <f ca="1">DFs!AI81</f>
        <v>8820.1993376478604</v>
      </c>
      <c r="AJ1094" s="273">
        <f ca="1">DFs!AJ81</f>
        <v>8065.2304820849859</v>
      </c>
      <c r="AK1094" s="273">
        <f ca="1">DFs!AK81</f>
        <v>0</v>
      </c>
      <c r="AL1094" s="273">
        <f ca="1">DFs!AL81</f>
        <v>0</v>
      </c>
      <c r="AM1094" s="273">
        <f ca="1">DFs!AM81</f>
        <v>0</v>
      </c>
      <c r="AN1094" s="273">
        <f>DFs!AN81</f>
        <v>0</v>
      </c>
    </row>
    <row r="1095" spans="3:160" outlineLevel="2">
      <c r="C1095" s="301" t="s">
        <v>551</v>
      </c>
      <c r="D1095" s="266"/>
      <c r="E1095" s="32" t="str">
        <f t="shared" ref="E1095:E1096" si="911">E1063</f>
        <v>$ 000s</v>
      </c>
      <c r="F1095" s="44">
        <f ca="1">SUM(G1095:AN1095)</f>
        <v>-3998.7066206211916</v>
      </c>
      <c r="G1095" s="273">
        <f t="shared" ref="G1095:AN1095" ca="1" si="912">-G1089</f>
        <v>0</v>
      </c>
      <c r="H1095" s="273">
        <f ca="1">-H1089</f>
        <v>0</v>
      </c>
      <c r="I1095" s="273">
        <f t="shared" ca="1" si="912"/>
        <v>-64.31780262814425</v>
      </c>
      <c r="J1095" s="273">
        <f t="shared" ca="1" si="912"/>
        <v>-80.132655025441721</v>
      </c>
      <c r="K1095" s="273">
        <f t="shared" ca="1" si="912"/>
        <v>-98.593194821106025</v>
      </c>
      <c r="L1095" s="273">
        <f t="shared" ca="1" si="912"/>
        <v>-117.82817218026331</v>
      </c>
      <c r="M1095" s="273">
        <f t="shared" ca="1" si="912"/>
        <v>-76.882148677014243</v>
      </c>
      <c r="N1095" s="273">
        <f t="shared" ca="1" si="912"/>
        <v>-298.79020408438151</v>
      </c>
      <c r="O1095" s="273">
        <f t="shared" ca="1" si="912"/>
        <v>-117.58250261053441</v>
      </c>
      <c r="P1095" s="273">
        <f t="shared" ca="1" si="912"/>
        <v>-121.31176585641624</v>
      </c>
      <c r="Q1095" s="273">
        <f t="shared" ca="1" si="912"/>
        <v>-137.06443553054504</v>
      </c>
      <c r="R1095" s="273">
        <f t="shared" ca="1" si="912"/>
        <v>-143.93975509005097</v>
      </c>
      <c r="S1095" s="273">
        <f t="shared" ca="1" si="912"/>
        <v>-151.62319422784526</v>
      </c>
      <c r="T1095" s="273">
        <f t="shared" ca="1" si="912"/>
        <v>-159.47042537700295</v>
      </c>
      <c r="U1095" s="273">
        <f t="shared" ca="1" si="912"/>
        <v>-351.79011851178524</v>
      </c>
      <c r="V1095" s="273">
        <f t="shared" ca="1" si="912"/>
        <v>-172.71219838781735</v>
      </c>
      <c r="W1095" s="273">
        <f t="shared" ca="1" si="912"/>
        <v>-173.85900353125186</v>
      </c>
      <c r="X1095" s="273">
        <f t="shared" ca="1" si="912"/>
        <v>-171.58178103078802</v>
      </c>
      <c r="Y1095" s="273">
        <f t="shared" ca="1" si="912"/>
        <v>-159.19049186673715</v>
      </c>
      <c r="Z1095" s="273">
        <f t="shared" ca="1" si="912"/>
        <v>-154.55182155282802</v>
      </c>
      <c r="AA1095" s="273">
        <f t="shared" ca="1" si="912"/>
        <v>-153.86423078004185</v>
      </c>
      <c r="AB1095" s="273">
        <f t="shared" ca="1" si="912"/>
        <v>-316.52832513562657</v>
      </c>
      <c r="AC1095" s="273">
        <f t="shared" ca="1" si="912"/>
        <v>-110.06668008102343</v>
      </c>
      <c r="AD1095" s="273">
        <f t="shared" ca="1" si="912"/>
        <v>-107.60659718034938</v>
      </c>
      <c r="AE1095" s="273">
        <f t="shared" ca="1" si="912"/>
        <v>-103.3716864351984</v>
      </c>
      <c r="AF1095" s="273">
        <f t="shared" ca="1" si="912"/>
        <v>-103.29500554797515</v>
      </c>
      <c r="AG1095" s="273">
        <f t="shared" ca="1" si="912"/>
        <v>-68.214525925597897</v>
      </c>
      <c r="AH1095" s="273">
        <f t="shared" ca="1" si="912"/>
        <v>-65.285281079972179</v>
      </c>
      <c r="AI1095" s="273">
        <f t="shared" ca="1" si="912"/>
        <v>-219.25261746545212</v>
      </c>
      <c r="AJ1095" s="273">
        <f t="shared" ca="1" si="912"/>
        <v>0</v>
      </c>
      <c r="AK1095" s="273">
        <f t="shared" ca="1" si="912"/>
        <v>0</v>
      </c>
      <c r="AL1095" s="273">
        <f t="shared" ca="1" si="912"/>
        <v>0</v>
      </c>
      <c r="AM1095" s="273">
        <f t="shared" ca="1" si="912"/>
        <v>0</v>
      </c>
      <c r="AN1095" s="273">
        <f t="shared" ca="1" si="912"/>
        <v>0</v>
      </c>
    </row>
    <row r="1096" spans="3:160" outlineLevel="2">
      <c r="C1096" s="334" t="s">
        <v>552</v>
      </c>
      <c r="D1096" s="275"/>
      <c r="E1096" s="83" t="str">
        <f t="shared" si="911"/>
        <v>$ 000s</v>
      </c>
      <c r="F1096" s="272"/>
      <c r="G1096" s="287">
        <f t="shared" ref="G1096:AN1096" ca="1" si="913">MAX(SUM(G1093:G1095),0)</f>
        <v>0</v>
      </c>
      <c r="H1096" s="287">
        <f t="shared" ca="1" si="913"/>
        <v>0</v>
      </c>
      <c r="I1096" s="287">
        <f t="shared" ca="1" si="913"/>
        <v>683.11215351806879</v>
      </c>
      <c r="J1096" s="287">
        <f t="shared" ca="1" si="913"/>
        <v>2070.3806445422806</v>
      </c>
      <c r="K1096" s="287">
        <f t="shared" ca="1" si="913"/>
        <v>3388.2730902750795</v>
      </c>
      <c r="L1096" s="287">
        <f t="shared" ca="1" si="913"/>
        <v>2779.6558437058397</v>
      </c>
      <c r="M1096" s="287">
        <f t="shared" ca="1" si="913"/>
        <v>1156.062681648033</v>
      </c>
      <c r="N1096" s="287">
        <f t="shared" ca="1" si="913"/>
        <v>5007.8026831507432</v>
      </c>
      <c r="O1096" s="287">
        <f t="shared" ca="1" si="913"/>
        <v>1979.3401495829912</v>
      </c>
      <c r="P1096" s="287">
        <f t="shared" ca="1" si="913"/>
        <v>1855.7311990012599</v>
      </c>
      <c r="Q1096" s="287">
        <f t="shared" ca="1" si="913"/>
        <v>2222.4074486489671</v>
      </c>
      <c r="R1096" s="287">
        <f t="shared" ca="1" si="913"/>
        <v>2401.7623266024207</v>
      </c>
      <c r="S1096" s="287">
        <f t="shared" ca="1" si="913"/>
        <v>2097.6255796906908</v>
      </c>
      <c r="T1096" s="287">
        <f t="shared" ca="1" si="913"/>
        <v>1305.3903675848696</v>
      </c>
      <c r="U1096" s="287">
        <f t="shared" ca="1" si="913"/>
        <v>4276.3632243983075</v>
      </c>
      <c r="V1096" s="287">
        <f t="shared" ca="1" si="913"/>
        <v>2408.7978750854536</v>
      </c>
      <c r="W1096" s="287">
        <f t="shared" ca="1" si="913"/>
        <v>5007.8331389962241</v>
      </c>
      <c r="X1096" s="287">
        <f t="shared" ca="1" si="913"/>
        <v>5039.9943923074325</v>
      </c>
      <c r="Y1096" s="287">
        <f t="shared" ca="1" si="913"/>
        <v>4988.5054370123808</v>
      </c>
      <c r="Z1096" s="287">
        <f t="shared" ca="1" si="913"/>
        <v>4436.7573663410503</v>
      </c>
      <c r="AA1096" s="287">
        <f t="shared" ca="1" si="913"/>
        <v>4285.947326561537</v>
      </c>
      <c r="AB1096" s="287">
        <f t="shared" ca="1" si="913"/>
        <v>7925.3790874377228</v>
      </c>
      <c r="AC1096" s="287">
        <f t="shared" ca="1" si="913"/>
        <v>6819.4164606386876</v>
      </c>
      <c r="AD1096" s="287">
        <f t="shared" ca="1" si="913"/>
        <v>9752.2901595598505</v>
      </c>
      <c r="AE1096" s="287">
        <f t="shared" ca="1" si="913"/>
        <v>12990.839732985352</v>
      </c>
      <c r="AF1096" s="287">
        <f t="shared" ca="1" si="913"/>
        <v>16585.03601991717</v>
      </c>
      <c r="AG1096" s="287">
        <f t="shared" ca="1" si="913"/>
        <v>19866.872070486686</v>
      </c>
      <c r="AH1096" s="287">
        <f t="shared" ca="1" si="913"/>
        <v>23589.825410465419</v>
      </c>
      <c r="AI1096" s="287">
        <f t="shared" ca="1" si="913"/>
        <v>31015.637071208326</v>
      </c>
      <c r="AJ1096" s="287">
        <f t="shared" ca="1" si="913"/>
        <v>35134.32043891518</v>
      </c>
      <c r="AK1096" s="287">
        <f t="shared" ca="1" si="913"/>
        <v>35134.32043891518</v>
      </c>
      <c r="AL1096" s="287">
        <f t="shared" ca="1" si="913"/>
        <v>35134.32043891518</v>
      </c>
      <c r="AM1096" s="287">
        <f t="shared" ca="1" si="913"/>
        <v>35134.32043891518</v>
      </c>
      <c r="AN1096" s="287">
        <f t="shared" ca="1" si="913"/>
        <v>35134.32043891518</v>
      </c>
    </row>
    <row r="1097" spans="3:160" outlineLevel="2">
      <c r="C1097" s="335"/>
      <c r="D1097" s="266"/>
      <c r="E1097" s="202"/>
      <c r="F1097" s="272"/>
      <c r="G1097" s="272"/>
      <c r="H1097" s="272"/>
      <c r="I1097" s="272"/>
      <c r="J1097" s="272"/>
      <c r="K1097" s="272"/>
      <c r="L1097" s="272"/>
      <c r="M1097" s="272"/>
      <c r="N1097" s="272"/>
      <c r="O1097" s="272"/>
      <c r="P1097" s="272"/>
      <c r="Q1097" s="272"/>
      <c r="R1097" s="272"/>
      <c r="S1097" s="272"/>
      <c r="T1097" s="272"/>
      <c r="U1097" s="272"/>
      <c r="V1097" s="272"/>
      <c r="W1097" s="272"/>
      <c r="X1097" s="272"/>
      <c r="Y1097" s="272"/>
      <c r="Z1097" s="272"/>
      <c r="AA1097" s="272"/>
      <c r="AB1097" s="272"/>
      <c r="AC1097" s="272"/>
      <c r="AD1097" s="272"/>
      <c r="AE1097" s="272"/>
      <c r="AF1097" s="272"/>
      <c r="AG1097" s="272"/>
      <c r="AH1097" s="272"/>
      <c r="AI1097" s="272"/>
      <c r="AJ1097" s="272"/>
      <c r="AK1097" s="272"/>
      <c r="AL1097" s="272"/>
      <c r="AM1097" s="272"/>
      <c r="AN1097" s="272"/>
    </row>
    <row r="1098" spans="3:160" outlineLevel="2">
      <c r="C1098" s="335" t="str">
        <f>DFs!C164</f>
        <v>Lucros retidos b/f</v>
      </c>
      <c r="D1098" s="319">
        <f>DFs!D164</f>
        <v>0</v>
      </c>
      <c r="E1098" s="199" t="str">
        <f>DFs!E164</f>
        <v>$ 000s</v>
      </c>
      <c r="F1098" s="272">
        <f>DFs!F164</f>
        <v>0</v>
      </c>
      <c r="G1098" s="272">
        <f>DFs!G164</f>
        <v>0</v>
      </c>
      <c r="H1098" s="272">
        <f ca="1">DFs!H164</f>
        <v>-648.84854799737877</v>
      </c>
      <c r="I1098" s="272">
        <f ca="1">DFs!I164</f>
        <v>-2693.2220477532514</v>
      </c>
      <c r="J1098" s="272">
        <f ca="1">DFs!J164</f>
        <v>-1471.1837978185108</v>
      </c>
      <c r="K1098" s="272">
        <f ca="1">DFs!K164</f>
        <v>0</v>
      </c>
      <c r="L1098" s="272">
        <f ca="1">DFs!L164</f>
        <v>0</v>
      </c>
      <c r="M1098" s="272">
        <f ca="1">DFs!M164</f>
        <v>0</v>
      </c>
      <c r="N1098" s="272">
        <f ca="1">DFs!N164</f>
        <v>304.69814321523734</v>
      </c>
      <c r="O1098" s="272">
        <f ca="1">DFs!O164</f>
        <v>973.90933766774276</v>
      </c>
      <c r="P1098" s="272">
        <f ca="1">DFs!P164</f>
        <v>1228.6367376849053</v>
      </c>
      <c r="Q1098" s="272">
        <f ca="1">DFs!Q164</f>
        <v>1677.8290899555539</v>
      </c>
      <c r="R1098" s="272">
        <f ca="1">DFs!R164</f>
        <v>2059.6459163869422</v>
      </c>
      <c r="S1098" s="272">
        <f ca="1">DFs!S164</f>
        <v>2392.7389364954897</v>
      </c>
      <c r="T1098" s="272">
        <f ca="1">DFs!T164</f>
        <v>3175.9540471338587</v>
      </c>
      <c r="U1098" s="272">
        <f ca="1">DFs!U164</f>
        <v>4900.5017617120448</v>
      </c>
      <c r="V1098" s="272">
        <f ca="1">DFs!V164</f>
        <v>7308.1507890376561</v>
      </c>
      <c r="W1098" s="272">
        <f ca="1">DFs!W164</f>
        <v>8180.8846833207317</v>
      </c>
      <c r="X1098" s="272">
        <f ca="1">DFs!X164</f>
        <v>6476.3726114182928</v>
      </c>
      <c r="Y1098" s="272">
        <f ca="1">DFs!Y164</f>
        <v>4696.4320586958329</v>
      </c>
      <c r="Z1098" s="272">
        <f ca="1">DFs!Z164</f>
        <v>2732.5459671514582</v>
      </c>
      <c r="AA1098" s="272">
        <f ca="1">DFs!AA164</f>
        <v>1232.27321031414</v>
      </c>
      <c r="AB1098" s="272">
        <f ca="1">DFs!AB164</f>
        <v>0</v>
      </c>
      <c r="AC1098" s="272">
        <f ca="1">DFs!AC164</f>
        <v>0</v>
      </c>
      <c r="AD1098" s="272">
        <f ca="1">DFs!AD164</f>
        <v>1.7053025658242404E-13</v>
      </c>
      <c r="AE1098" s="272">
        <f ca="1">DFs!AE164</f>
        <v>1.7053025658242404E-13</v>
      </c>
      <c r="AF1098" s="272">
        <f ca="1">DFs!AF164</f>
        <v>1.7053025658242404E-13</v>
      </c>
      <c r="AG1098" s="272">
        <f ca="1">DFs!AG164</f>
        <v>1.7053025658242404E-13</v>
      </c>
      <c r="AH1098" s="272">
        <f ca="1">DFs!AH164</f>
        <v>-9.9475983006414026E-14</v>
      </c>
      <c r="AI1098" s="272">
        <f ca="1">DFs!AI164</f>
        <v>-9.9475983006414026E-14</v>
      </c>
      <c r="AJ1098" s="272">
        <f ca="1">DFs!AJ164</f>
        <v>-9.9475983006414026E-14</v>
      </c>
      <c r="AK1098" s="272">
        <f>DFs!AK164</f>
        <v>0</v>
      </c>
      <c r="AL1098" s="272">
        <f>DFs!AL164</f>
        <v>0</v>
      </c>
      <c r="AM1098" s="272">
        <f>DFs!AM164</f>
        <v>0</v>
      </c>
      <c r="AN1098" s="272">
        <f>DFs!AN164</f>
        <v>0</v>
      </c>
      <c r="AO1098" s="272"/>
      <c r="AP1098" s="272"/>
      <c r="AQ1098" s="272"/>
      <c r="AR1098" s="272"/>
      <c r="AS1098" s="272"/>
      <c r="AT1098" s="272"/>
      <c r="AU1098" s="272"/>
      <c r="AV1098" s="272"/>
      <c r="AW1098" s="272"/>
      <c r="AX1098" s="272"/>
      <c r="AY1098" s="272"/>
      <c r="AZ1098" s="272"/>
      <c r="BA1098" s="272"/>
      <c r="BB1098" s="272"/>
      <c r="BC1098" s="272"/>
      <c r="BD1098" s="272"/>
      <c r="BE1098" s="272"/>
      <c r="BF1098" s="272"/>
      <c r="BG1098" s="272"/>
      <c r="BH1098" s="272"/>
      <c r="BI1098" s="272"/>
      <c r="BJ1098" s="272"/>
      <c r="BK1098" s="272"/>
      <c r="BL1098" s="272"/>
      <c r="BM1098" s="272"/>
      <c r="BN1098" s="272"/>
      <c r="BO1098" s="272"/>
      <c r="BP1098" s="272"/>
      <c r="BQ1098" s="272"/>
      <c r="BR1098" s="272"/>
      <c r="BS1098" s="272"/>
      <c r="BT1098" s="272"/>
      <c r="BU1098" s="272"/>
      <c r="BV1098" s="272"/>
      <c r="BW1098" s="272"/>
      <c r="BX1098" s="272"/>
      <c r="BY1098" s="272"/>
      <c r="BZ1098" s="272"/>
      <c r="CA1098" s="272"/>
      <c r="CB1098" s="272"/>
      <c r="CC1098" s="272"/>
      <c r="CD1098" s="272"/>
      <c r="CE1098" s="272"/>
      <c r="CF1098" s="272"/>
      <c r="CG1098" s="272"/>
      <c r="CH1098" s="272"/>
      <c r="CI1098" s="272"/>
      <c r="CJ1098" s="272"/>
      <c r="CK1098" s="272"/>
      <c r="CL1098" s="272"/>
      <c r="CM1098" s="272"/>
      <c r="CN1098" s="272"/>
      <c r="CO1098" s="272"/>
      <c r="CP1098" s="272"/>
      <c r="CQ1098" s="272"/>
      <c r="CR1098" s="272"/>
      <c r="CS1098" s="272"/>
      <c r="CT1098" s="272"/>
      <c r="CU1098" s="272"/>
      <c r="CV1098" s="272"/>
      <c r="CW1098" s="272"/>
      <c r="CX1098" s="272"/>
      <c r="CY1098" s="272"/>
      <c r="CZ1098" s="272"/>
      <c r="DA1098" s="272"/>
      <c r="DB1098" s="272"/>
      <c r="DC1098" s="272"/>
      <c r="DD1098" s="272"/>
      <c r="DE1098" s="272"/>
      <c r="DF1098" s="272"/>
      <c r="DG1098" s="272"/>
      <c r="DH1098" s="272"/>
      <c r="DI1098" s="272"/>
      <c r="DJ1098" s="272"/>
      <c r="DK1098" s="272"/>
      <c r="DL1098" s="272"/>
      <c r="DM1098" s="272"/>
      <c r="DN1098" s="272"/>
      <c r="DO1098" s="272"/>
      <c r="DP1098" s="272"/>
      <c r="DQ1098" s="272"/>
      <c r="DR1098" s="272"/>
      <c r="DS1098" s="272"/>
      <c r="DT1098" s="272"/>
      <c r="DU1098" s="272"/>
      <c r="DV1098" s="272"/>
      <c r="DW1098" s="272"/>
      <c r="DX1098" s="272"/>
      <c r="DY1098" s="272"/>
      <c r="DZ1098" s="272"/>
      <c r="EA1098" s="272"/>
      <c r="EB1098" s="272"/>
      <c r="EC1098" s="272"/>
      <c r="ED1098" s="272"/>
      <c r="EE1098" s="272"/>
      <c r="EF1098" s="272"/>
      <c r="EG1098" s="272"/>
      <c r="EH1098" s="272"/>
      <c r="EI1098" s="272"/>
      <c r="EJ1098" s="272"/>
      <c r="EK1098" s="272"/>
      <c r="EL1098" s="272"/>
      <c r="EM1098" s="272"/>
      <c r="EN1098" s="272"/>
      <c r="EO1098" s="272"/>
      <c r="EP1098" s="272"/>
      <c r="EQ1098" s="272"/>
      <c r="ER1098" s="272"/>
      <c r="ES1098" s="272"/>
      <c r="ET1098" s="272"/>
      <c r="EU1098" s="272"/>
      <c r="EV1098" s="272"/>
      <c r="EW1098" s="272"/>
      <c r="EX1098" s="272"/>
      <c r="EY1098" s="272"/>
      <c r="EZ1098" s="272"/>
      <c r="FA1098" s="272"/>
      <c r="FB1098" s="272"/>
      <c r="FC1098" s="272"/>
      <c r="FD1098" s="272"/>
    </row>
    <row r="1099" spans="3:160" outlineLevel="2">
      <c r="C1099" s="335" t="str">
        <f>DFs!C158</f>
        <v>Lucro Líquido</v>
      </c>
      <c r="D1099" s="319"/>
      <c r="E1099" s="199" t="str">
        <f>DFs!E158</f>
        <v>$ 000s</v>
      </c>
      <c r="F1099" s="47">
        <f ca="1">SUM(G1099:AO1099)</f>
        <v>70946.587707154016</v>
      </c>
      <c r="G1099" s="272">
        <f ca="1">DFs!G158</f>
        <v>-648.84854799737877</v>
      </c>
      <c r="H1099" s="272">
        <f ca="1">DFs!H158</f>
        <v>-2044.3734997558727</v>
      </c>
      <c r="I1099" s="272">
        <f ca="1">DFs!I158</f>
        <v>1286.356052562885</v>
      </c>
      <c r="J1099" s="272">
        <f ca="1">DFs!J158</f>
        <v>1602.6531005088343</v>
      </c>
      <c r="K1099" s="272">
        <f ca="1">DFs!K158</f>
        <v>1971.8638964221204</v>
      </c>
      <c r="L1099" s="272">
        <f ca="1">DFs!L158</f>
        <v>2356.563443605266</v>
      </c>
      <c r="M1099" s="272">
        <f ca="1">DFs!M158</f>
        <v>1537.6429735402846</v>
      </c>
      <c r="N1099" s="272">
        <f ca="1">DFs!N158</f>
        <v>5975.8040816876301</v>
      </c>
      <c r="O1099" s="272">
        <f ca="1">DFs!O158</f>
        <v>2351.650052210688</v>
      </c>
      <c r="P1099" s="272">
        <f ca="1">DFs!P158</f>
        <v>2426.2353171283248</v>
      </c>
      <c r="Q1099" s="272">
        <f ca="1">DFs!Q158</f>
        <v>2741.2887106109006</v>
      </c>
      <c r="R1099" s="272">
        <f ca="1">DFs!R158</f>
        <v>2878.795101801019</v>
      </c>
      <c r="S1099" s="272">
        <f ca="1">DFs!S158</f>
        <v>3032.4638845569052</v>
      </c>
      <c r="T1099" s="272">
        <f ca="1">DFs!T158</f>
        <v>3189.408507540059</v>
      </c>
      <c r="U1099" s="272">
        <f ca="1">DFs!U158</f>
        <v>7035.8023702357041</v>
      </c>
      <c r="V1099" s="272">
        <f ca="1">DFs!V158</f>
        <v>3454.243967756347</v>
      </c>
      <c r="W1099" s="272">
        <f ca="1">DFs!W158</f>
        <v>3477.1800706250369</v>
      </c>
      <c r="X1099" s="272">
        <f ca="1">DFs!X158</f>
        <v>3431.6356206157602</v>
      </c>
      <c r="Y1099" s="272">
        <f ca="1">DFs!Y158</f>
        <v>3183.809837334743</v>
      </c>
      <c r="Z1099" s="272">
        <f ca="1">DFs!Z158</f>
        <v>3091.0364310565601</v>
      </c>
      <c r="AA1099" s="272">
        <f ca="1">DFs!AA158</f>
        <v>3077.2846156008368</v>
      </c>
      <c r="AB1099" s="272">
        <f ca="1">DFs!AB158</f>
        <v>6330.5665027125306</v>
      </c>
      <c r="AC1099" s="272">
        <f ca="1">DFs!AC158</f>
        <v>2201.3336016204685</v>
      </c>
      <c r="AD1099" s="272">
        <f ca="1">DFs!AD158</f>
        <v>2152.1319436069875</v>
      </c>
      <c r="AE1099" s="272">
        <f ca="1">DFs!AE158</f>
        <v>2067.433728703968</v>
      </c>
      <c r="AF1099" s="272">
        <f ca="1">DFs!AF158</f>
        <v>2065.9001109595029</v>
      </c>
      <c r="AG1099" s="272">
        <f ca="1">DFs!AG158</f>
        <v>1364.290518511958</v>
      </c>
      <c r="AH1099" s="272">
        <f ca="1">DFs!AH158</f>
        <v>1305.7056215994435</v>
      </c>
      <c r="AI1099" s="272">
        <f ca="1">DFs!AI158</f>
        <v>4385.0523493090423</v>
      </c>
      <c r="AJ1099" s="272">
        <f ca="1">DFs!AJ158</f>
        <v>-6334.3226575165263</v>
      </c>
      <c r="AK1099" s="272">
        <f ca="1">DFs!AK158</f>
        <v>0</v>
      </c>
      <c r="AL1099" s="272">
        <f ca="1">DFs!AL158</f>
        <v>0</v>
      </c>
      <c r="AM1099" s="272">
        <f ca="1">DFs!AM158</f>
        <v>0</v>
      </c>
      <c r="AN1099" s="272">
        <f>DFs!AN158</f>
        <v>0</v>
      </c>
      <c r="AO1099" s="272"/>
      <c r="AP1099" s="272"/>
      <c r="AQ1099" s="272"/>
      <c r="AR1099" s="272"/>
      <c r="AS1099" s="272"/>
      <c r="AT1099" s="272"/>
      <c r="AU1099" s="272"/>
      <c r="AV1099" s="272"/>
      <c r="AW1099" s="272"/>
      <c r="AX1099" s="272"/>
      <c r="AY1099" s="272"/>
      <c r="AZ1099" s="272"/>
      <c r="BA1099" s="272"/>
      <c r="BB1099" s="272"/>
      <c r="BC1099" s="272"/>
      <c r="BD1099" s="272"/>
      <c r="BE1099" s="272"/>
      <c r="BF1099" s="272"/>
      <c r="BG1099" s="272"/>
      <c r="BH1099" s="272"/>
      <c r="BI1099" s="272"/>
      <c r="BJ1099" s="272"/>
      <c r="BK1099" s="272"/>
      <c r="BL1099" s="272"/>
      <c r="BM1099" s="272"/>
      <c r="BN1099" s="272"/>
      <c r="BO1099" s="272"/>
      <c r="BP1099" s="272"/>
      <c r="BQ1099" s="272"/>
      <c r="BR1099" s="272"/>
      <c r="BS1099" s="272"/>
      <c r="BT1099" s="272"/>
      <c r="BU1099" s="272"/>
      <c r="BV1099" s="272"/>
      <c r="BW1099" s="272"/>
      <c r="BX1099" s="272"/>
      <c r="BY1099" s="272"/>
      <c r="BZ1099" s="272"/>
      <c r="CA1099" s="272"/>
      <c r="CB1099" s="272"/>
      <c r="CC1099" s="272"/>
      <c r="CD1099" s="272"/>
      <c r="CE1099" s="272"/>
      <c r="CF1099" s="272"/>
      <c r="CG1099" s="272"/>
      <c r="CH1099" s="272"/>
      <c r="CI1099" s="272"/>
      <c r="CJ1099" s="272"/>
      <c r="CK1099" s="272"/>
      <c r="CL1099" s="272"/>
      <c r="CM1099" s="272"/>
      <c r="CN1099" s="272"/>
      <c r="CO1099" s="272"/>
      <c r="CP1099" s="272"/>
      <c r="CQ1099" s="272"/>
      <c r="CR1099" s="272"/>
      <c r="CS1099" s="272"/>
      <c r="CT1099" s="272"/>
      <c r="CU1099" s="272"/>
      <c r="CV1099" s="272"/>
      <c r="CW1099" s="272"/>
      <c r="CX1099" s="272"/>
      <c r="CY1099" s="272"/>
      <c r="CZ1099" s="272"/>
      <c r="DA1099" s="272"/>
      <c r="DB1099" s="272"/>
      <c r="DC1099" s="272"/>
      <c r="DD1099" s="272"/>
      <c r="DE1099" s="272"/>
      <c r="DF1099" s="272"/>
      <c r="DG1099" s="272"/>
      <c r="DH1099" s="272"/>
      <c r="DI1099" s="272"/>
      <c r="DJ1099" s="272"/>
      <c r="DK1099" s="272"/>
      <c r="DL1099" s="272"/>
      <c r="DM1099" s="272"/>
      <c r="DN1099" s="272"/>
      <c r="DO1099" s="272"/>
      <c r="DP1099" s="272"/>
      <c r="DQ1099" s="272"/>
      <c r="DR1099" s="272"/>
      <c r="DS1099" s="272"/>
      <c r="DT1099" s="272"/>
      <c r="DU1099" s="272"/>
      <c r="DV1099" s="272"/>
      <c r="DW1099" s="272"/>
      <c r="DX1099" s="272"/>
      <c r="DY1099" s="272"/>
      <c r="DZ1099" s="272"/>
      <c r="EA1099" s="272"/>
      <c r="EB1099" s="272"/>
      <c r="EC1099" s="272"/>
      <c r="ED1099" s="272"/>
      <c r="EE1099" s="272"/>
      <c r="EF1099" s="272"/>
      <c r="EG1099" s="272"/>
      <c r="EH1099" s="272"/>
      <c r="EI1099" s="272"/>
      <c r="EJ1099" s="272"/>
      <c r="EK1099" s="272"/>
      <c r="EL1099" s="272"/>
      <c r="EM1099" s="272"/>
      <c r="EN1099" s="272"/>
      <c r="EO1099" s="272"/>
      <c r="EP1099" s="272"/>
      <c r="EQ1099" s="272"/>
      <c r="ER1099" s="272"/>
      <c r="ES1099" s="272"/>
      <c r="ET1099" s="272"/>
      <c r="EU1099" s="272"/>
      <c r="EV1099" s="272"/>
      <c r="EW1099" s="272"/>
      <c r="EX1099" s="272"/>
      <c r="EY1099" s="272"/>
      <c r="EZ1099" s="272"/>
      <c r="FA1099" s="272"/>
      <c r="FB1099" s="272"/>
      <c r="FC1099" s="272"/>
      <c r="FD1099" s="272"/>
    </row>
    <row r="1100" spans="3:160" outlineLevel="2">
      <c r="C1100" s="335" t="str">
        <f t="shared" ref="C1100:E1100" si="914">C1095</f>
        <v>(-) Constituição reserva legal</v>
      </c>
      <c r="D1100" s="319">
        <f t="shared" si="914"/>
        <v>0</v>
      </c>
      <c r="E1100" s="199" t="str">
        <f t="shared" si="914"/>
        <v>$ 000s</v>
      </c>
      <c r="F1100" s="47">
        <f t="shared" ref="F1100:AN1100" ca="1" si="915">F1095</f>
        <v>-3998.7066206211916</v>
      </c>
      <c r="G1100" s="272">
        <f t="shared" ca="1" si="915"/>
        <v>0</v>
      </c>
      <c r="H1100" s="272">
        <f t="shared" ca="1" si="915"/>
        <v>0</v>
      </c>
      <c r="I1100" s="272">
        <f t="shared" ca="1" si="915"/>
        <v>-64.31780262814425</v>
      </c>
      <c r="J1100" s="272">
        <f t="shared" ca="1" si="915"/>
        <v>-80.132655025441721</v>
      </c>
      <c r="K1100" s="272">
        <f t="shared" ca="1" si="915"/>
        <v>-98.593194821106025</v>
      </c>
      <c r="L1100" s="272">
        <f t="shared" ca="1" si="915"/>
        <v>-117.82817218026331</v>
      </c>
      <c r="M1100" s="272">
        <f t="shared" ca="1" si="915"/>
        <v>-76.882148677014243</v>
      </c>
      <c r="N1100" s="272">
        <f t="shared" ca="1" si="915"/>
        <v>-298.79020408438151</v>
      </c>
      <c r="O1100" s="272">
        <f t="shared" ca="1" si="915"/>
        <v>-117.58250261053441</v>
      </c>
      <c r="P1100" s="272">
        <f t="shared" ca="1" si="915"/>
        <v>-121.31176585641624</v>
      </c>
      <c r="Q1100" s="272">
        <f t="shared" ca="1" si="915"/>
        <v>-137.06443553054504</v>
      </c>
      <c r="R1100" s="272">
        <f t="shared" ca="1" si="915"/>
        <v>-143.93975509005097</v>
      </c>
      <c r="S1100" s="272">
        <f t="shared" ca="1" si="915"/>
        <v>-151.62319422784526</v>
      </c>
      <c r="T1100" s="272">
        <f t="shared" ca="1" si="915"/>
        <v>-159.47042537700295</v>
      </c>
      <c r="U1100" s="272">
        <f t="shared" ca="1" si="915"/>
        <v>-351.79011851178524</v>
      </c>
      <c r="V1100" s="272">
        <f t="shared" ca="1" si="915"/>
        <v>-172.71219838781735</v>
      </c>
      <c r="W1100" s="272">
        <f t="shared" ca="1" si="915"/>
        <v>-173.85900353125186</v>
      </c>
      <c r="X1100" s="272">
        <f t="shared" ca="1" si="915"/>
        <v>-171.58178103078802</v>
      </c>
      <c r="Y1100" s="272">
        <f t="shared" ca="1" si="915"/>
        <v>-159.19049186673715</v>
      </c>
      <c r="Z1100" s="272">
        <f t="shared" ca="1" si="915"/>
        <v>-154.55182155282802</v>
      </c>
      <c r="AA1100" s="272">
        <f t="shared" ca="1" si="915"/>
        <v>-153.86423078004185</v>
      </c>
      <c r="AB1100" s="272">
        <f t="shared" ca="1" si="915"/>
        <v>-316.52832513562657</v>
      </c>
      <c r="AC1100" s="272">
        <f t="shared" ca="1" si="915"/>
        <v>-110.06668008102343</v>
      </c>
      <c r="AD1100" s="272">
        <f t="shared" ca="1" si="915"/>
        <v>-107.60659718034938</v>
      </c>
      <c r="AE1100" s="272">
        <f t="shared" ca="1" si="915"/>
        <v>-103.3716864351984</v>
      </c>
      <c r="AF1100" s="272">
        <f t="shared" ca="1" si="915"/>
        <v>-103.29500554797515</v>
      </c>
      <c r="AG1100" s="272">
        <f t="shared" ca="1" si="915"/>
        <v>-68.214525925597897</v>
      </c>
      <c r="AH1100" s="272">
        <f t="shared" ca="1" si="915"/>
        <v>-65.285281079972179</v>
      </c>
      <c r="AI1100" s="272">
        <f t="shared" ca="1" si="915"/>
        <v>-219.25261746545212</v>
      </c>
      <c r="AJ1100" s="272">
        <f t="shared" ca="1" si="915"/>
        <v>0</v>
      </c>
      <c r="AK1100" s="272">
        <f t="shared" ca="1" si="915"/>
        <v>0</v>
      </c>
      <c r="AL1100" s="272">
        <f t="shared" ca="1" si="915"/>
        <v>0</v>
      </c>
      <c r="AM1100" s="272">
        <f t="shared" ca="1" si="915"/>
        <v>0</v>
      </c>
      <c r="AN1100" s="272">
        <f t="shared" ca="1" si="915"/>
        <v>0</v>
      </c>
      <c r="AO1100" s="272"/>
      <c r="AP1100" s="272"/>
      <c r="AQ1100" s="272"/>
      <c r="AR1100" s="272"/>
      <c r="AS1100" s="272"/>
      <c r="AT1100" s="272"/>
      <c r="AU1100" s="272"/>
      <c r="AV1100" s="272"/>
      <c r="AW1100" s="272"/>
      <c r="AX1100" s="272"/>
      <c r="AY1100" s="272"/>
      <c r="AZ1100" s="272"/>
      <c r="BA1100" s="272"/>
      <c r="BB1100" s="272"/>
      <c r="BC1100" s="272"/>
      <c r="BD1100" s="272"/>
      <c r="BE1100" s="272"/>
      <c r="BF1100" s="272"/>
      <c r="BG1100" s="272"/>
      <c r="BH1100" s="272"/>
      <c r="BI1100" s="272"/>
      <c r="BJ1100" s="272"/>
      <c r="BK1100" s="272"/>
      <c r="BL1100" s="272"/>
      <c r="BM1100" s="272"/>
      <c r="BN1100" s="272"/>
      <c r="BO1100" s="272"/>
      <c r="BP1100" s="272"/>
      <c r="BQ1100" s="272"/>
      <c r="BR1100" s="272"/>
      <c r="BS1100" s="272"/>
      <c r="BT1100" s="272"/>
      <c r="BU1100" s="272"/>
      <c r="BV1100" s="272"/>
      <c r="BW1100" s="272"/>
      <c r="BX1100" s="272"/>
      <c r="BY1100" s="272"/>
      <c r="BZ1100" s="272"/>
      <c r="CA1100" s="272"/>
      <c r="CB1100" s="272"/>
      <c r="CC1100" s="272"/>
      <c r="CD1100" s="272"/>
      <c r="CE1100" s="272"/>
      <c r="CF1100" s="272"/>
      <c r="CG1100" s="272"/>
      <c r="CH1100" s="272"/>
      <c r="CI1100" s="272"/>
      <c r="CJ1100" s="272"/>
      <c r="CK1100" s="272"/>
      <c r="CL1100" s="272"/>
      <c r="CM1100" s="272"/>
      <c r="CN1100" s="272"/>
      <c r="CO1100" s="272"/>
      <c r="CP1100" s="272"/>
      <c r="CQ1100" s="272"/>
      <c r="CR1100" s="272"/>
      <c r="CS1100" s="272"/>
      <c r="CT1100" s="272"/>
      <c r="CU1100" s="272"/>
      <c r="CV1100" s="272"/>
      <c r="CW1100" s="272"/>
      <c r="CX1100" s="272"/>
      <c r="CY1100" s="272"/>
      <c r="CZ1100" s="272"/>
      <c r="DA1100" s="272"/>
      <c r="DB1100" s="272"/>
      <c r="DC1100" s="272"/>
      <c r="DD1100" s="272"/>
      <c r="DE1100" s="272"/>
      <c r="DF1100" s="272"/>
      <c r="DG1100" s="272"/>
      <c r="DH1100" s="272"/>
      <c r="DI1100" s="272"/>
      <c r="DJ1100" s="272"/>
      <c r="DK1100" s="272"/>
      <c r="DL1100" s="272"/>
      <c r="DM1100" s="272"/>
      <c r="DN1100" s="272"/>
      <c r="DO1100" s="272"/>
      <c r="DP1100" s="272"/>
      <c r="DQ1100" s="272"/>
      <c r="DR1100" s="272"/>
      <c r="DS1100" s="272"/>
      <c r="DT1100" s="272"/>
      <c r="DU1100" s="272"/>
      <c r="DV1100" s="272"/>
      <c r="DW1100" s="272"/>
      <c r="DX1100" s="272"/>
      <c r="DY1100" s="272"/>
      <c r="DZ1100" s="272"/>
      <c r="EA1100" s="272"/>
      <c r="EB1100" s="272"/>
      <c r="EC1100" s="272"/>
      <c r="ED1100" s="272"/>
      <c r="EE1100" s="272"/>
      <c r="EF1100" s="272"/>
      <c r="EG1100" s="272"/>
      <c r="EH1100" s="272"/>
      <c r="EI1100" s="272"/>
      <c r="EJ1100" s="272"/>
      <c r="EK1100" s="272"/>
      <c r="EL1100" s="272"/>
      <c r="EM1100" s="272"/>
      <c r="EN1100" s="272"/>
      <c r="EO1100" s="272"/>
      <c r="EP1100" s="272"/>
      <c r="EQ1100" s="272"/>
      <c r="ER1100" s="272"/>
      <c r="ES1100" s="272"/>
      <c r="ET1100" s="272"/>
      <c r="EU1100" s="272"/>
      <c r="EV1100" s="272"/>
      <c r="EW1100" s="272"/>
      <c r="EX1100" s="272"/>
      <c r="EY1100" s="272"/>
      <c r="EZ1100" s="272"/>
      <c r="FA1100" s="272"/>
      <c r="FB1100" s="272"/>
      <c r="FC1100" s="272"/>
      <c r="FD1100" s="272"/>
    </row>
    <row r="1101" spans="3:160" outlineLevel="2">
      <c r="C1101" s="334" t="s">
        <v>553</v>
      </c>
      <c r="D1101" s="275"/>
      <c r="E1101" s="83"/>
      <c r="F1101" s="47">
        <f ca="1">SUM(G1101:DV1101)</f>
        <v>120622.77703423926</v>
      </c>
      <c r="G1101" s="287">
        <f t="shared" ref="G1101:AN1101" ca="1" si="916">MAX(SUM(G1098:G1100),0)</f>
        <v>0</v>
      </c>
      <c r="H1101" s="287">
        <f t="shared" ca="1" si="916"/>
        <v>0</v>
      </c>
      <c r="I1101" s="287">
        <f t="shared" ca="1" si="916"/>
        <v>0</v>
      </c>
      <c r="J1101" s="287">
        <f t="shared" ca="1" si="916"/>
        <v>51.336647664881781</v>
      </c>
      <c r="K1101" s="287">
        <f t="shared" ca="1" si="916"/>
        <v>1873.2707016010145</v>
      </c>
      <c r="L1101" s="287">
        <f t="shared" ca="1" si="916"/>
        <v>2238.7352714250028</v>
      </c>
      <c r="M1101" s="287">
        <f t="shared" ca="1" si="916"/>
        <v>1460.7608248632705</v>
      </c>
      <c r="N1101" s="287">
        <f t="shared" ca="1" si="916"/>
        <v>5981.7120208184851</v>
      </c>
      <c r="O1101" s="287">
        <f t="shared" ca="1" si="916"/>
        <v>3207.9768872678965</v>
      </c>
      <c r="P1101" s="287">
        <f t="shared" ca="1" si="916"/>
        <v>3533.560288956814</v>
      </c>
      <c r="Q1101" s="287">
        <f t="shared" ca="1" si="916"/>
        <v>4282.0533650359093</v>
      </c>
      <c r="R1101" s="287">
        <f t="shared" ca="1" si="916"/>
        <v>4794.5012630979099</v>
      </c>
      <c r="S1101" s="287">
        <f t="shared" ca="1" si="916"/>
        <v>5273.5796268245495</v>
      </c>
      <c r="T1101" s="287">
        <f t="shared" ca="1" si="916"/>
        <v>6205.8921292969144</v>
      </c>
      <c r="U1101" s="287">
        <f t="shared" ca="1" si="916"/>
        <v>11584.514013435964</v>
      </c>
      <c r="V1101" s="287">
        <f t="shared" ca="1" si="916"/>
        <v>10589.682558406186</v>
      </c>
      <c r="W1101" s="287">
        <f t="shared" ca="1" si="916"/>
        <v>11484.205750414516</v>
      </c>
      <c r="X1101" s="287">
        <f t="shared" ca="1" si="916"/>
        <v>9736.4264510032663</v>
      </c>
      <c r="Y1101" s="287">
        <f t="shared" ca="1" si="916"/>
        <v>7721.0514041638389</v>
      </c>
      <c r="Z1101" s="287">
        <f t="shared" ca="1" si="916"/>
        <v>5669.0305766551901</v>
      </c>
      <c r="AA1101" s="287">
        <f t="shared" ca="1" si="916"/>
        <v>4155.6935951349351</v>
      </c>
      <c r="AB1101" s="287">
        <f t="shared" ca="1" si="916"/>
        <v>6014.0381775769038</v>
      </c>
      <c r="AC1101" s="287">
        <f t="shared" ca="1" si="916"/>
        <v>2091.2669215394449</v>
      </c>
      <c r="AD1101" s="287">
        <f t="shared" ca="1" si="916"/>
        <v>2044.5253464266382</v>
      </c>
      <c r="AE1101" s="287">
        <f t="shared" ca="1" si="916"/>
        <v>1964.0620422687696</v>
      </c>
      <c r="AF1101" s="287">
        <f t="shared" ca="1" si="916"/>
        <v>1962.6051054115278</v>
      </c>
      <c r="AG1101" s="287">
        <f t="shared" ca="1" si="916"/>
        <v>1296.0759925863604</v>
      </c>
      <c r="AH1101" s="287">
        <f t="shared" ca="1" si="916"/>
        <v>1240.4203405194712</v>
      </c>
      <c r="AI1101" s="287">
        <f t="shared" ca="1" si="916"/>
        <v>4165.7997318435901</v>
      </c>
      <c r="AJ1101" s="287">
        <f t="shared" ca="1" si="916"/>
        <v>0</v>
      </c>
      <c r="AK1101" s="287">
        <f t="shared" ca="1" si="916"/>
        <v>0</v>
      </c>
      <c r="AL1101" s="287">
        <f t="shared" ca="1" si="916"/>
        <v>0</v>
      </c>
      <c r="AM1101" s="287">
        <f t="shared" ca="1" si="916"/>
        <v>0</v>
      </c>
      <c r="AN1101" s="287">
        <f t="shared" ca="1" si="916"/>
        <v>0</v>
      </c>
      <c r="AO1101" s="287"/>
      <c r="AP1101" s="287"/>
      <c r="AQ1101" s="287"/>
      <c r="AR1101" s="287"/>
      <c r="AS1101" s="287"/>
      <c r="AT1101" s="287"/>
      <c r="AU1101" s="287"/>
      <c r="AV1101" s="287"/>
      <c r="AW1101" s="287"/>
      <c r="AX1101" s="287"/>
      <c r="AY1101" s="287"/>
      <c r="AZ1101" s="287"/>
      <c r="BA1101" s="287"/>
      <c r="BB1101" s="287"/>
      <c r="BC1101" s="287"/>
      <c r="BD1101" s="287"/>
      <c r="BE1101" s="287"/>
      <c r="BF1101" s="287"/>
      <c r="BG1101" s="287"/>
      <c r="BH1101" s="287"/>
      <c r="BI1101" s="287"/>
      <c r="BJ1101" s="287"/>
      <c r="BK1101" s="287"/>
      <c r="BL1101" s="287"/>
      <c r="BM1101" s="287"/>
      <c r="BN1101" s="287"/>
      <c r="BO1101" s="287"/>
      <c r="BP1101" s="287"/>
      <c r="BQ1101" s="287"/>
      <c r="BR1101" s="287"/>
      <c r="BS1101" s="287"/>
      <c r="BT1101" s="287"/>
      <c r="BU1101" s="287"/>
      <c r="BV1101" s="287"/>
      <c r="BW1101" s="287"/>
      <c r="BX1101" s="287"/>
      <c r="BY1101" s="287"/>
      <c r="BZ1101" s="287"/>
      <c r="CA1101" s="287"/>
      <c r="CB1101" s="287"/>
      <c r="CC1101" s="287"/>
      <c r="CD1101" s="287"/>
      <c r="CE1101" s="287"/>
      <c r="CF1101" s="287"/>
      <c r="CG1101" s="287"/>
      <c r="CH1101" s="287"/>
      <c r="CI1101" s="287"/>
      <c r="CJ1101" s="287"/>
      <c r="CK1101" s="287"/>
      <c r="CL1101" s="287"/>
      <c r="CM1101" s="287"/>
      <c r="CN1101" s="287"/>
      <c r="CO1101" s="287"/>
      <c r="CP1101" s="287"/>
      <c r="CQ1101" s="287"/>
      <c r="CR1101" s="287"/>
      <c r="CS1101" s="287"/>
      <c r="CT1101" s="287"/>
      <c r="CU1101" s="287"/>
      <c r="CV1101" s="287"/>
      <c r="CW1101" s="287"/>
      <c r="CX1101" s="287"/>
      <c r="CY1101" s="287"/>
      <c r="CZ1101" s="287"/>
      <c r="DA1101" s="287"/>
      <c r="DB1101" s="287"/>
      <c r="DC1101" s="287"/>
      <c r="DD1101" s="287"/>
      <c r="DE1101" s="287"/>
      <c r="DF1101" s="287"/>
      <c r="DG1101" s="287"/>
      <c r="DH1101" s="287"/>
      <c r="DI1101" s="287"/>
      <c r="DJ1101" s="287"/>
      <c r="DK1101" s="287"/>
      <c r="DL1101" s="287"/>
      <c r="DM1101" s="287"/>
      <c r="DN1101" s="287"/>
      <c r="DO1101" s="287"/>
      <c r="DP1101" s="287"/>
      <c r="DQ1101" s="287"/>
      <c r="DR1101" s="287"/>
      <c r="DS1101" s="287"/>
      <c r="DT1101" s="287"/>
      <c r="DU1101" s="287"/>
      <c r="DV1101" s="287"/>
      <c r="DW1101" s="287"/>
      <c r="DX1101" s="287"/>
      <c r="DY1101" s="287"/>
      <c r="DZ1101" s="287"/>
      <c r="EA1101" s="287"/>
      <c r="EB1101" s="287"/>
      <c r="EC1101" s="287"/>
      <c r="ED1101" s="287"/>
      <c r="EE1101" s="287"/>
      <c r="EF1101" s="287"/>
      <c r="EG1101" s="287"/>
      <c r="EH1101" s="287"/>
      <c r="EI1101" s="287"/>
      <c r="EJ1101" s="287"/>
      <c r="EK1101" s="287"/>
      <c r="EL1101" s="287"/>
      <c r="EM1101" s="287"/>
      <c r="EN1101" s="287"/>
      <c r="EO1101" s="287"/>
      <c r="EP1101" s="287"/>
      <c r="EQ1101" s="287"/>
      <c r="ER1101" s="287"/>
      <c r="ES1101" s="287"/>
      <c r="ET1101" s="287"/>
      <c r="EU1101" s="287"/>
      <c r="EV1101" s="287"/>
      <c r="EW1101" s="287"/>
      <c r="EX1101" s="287"/>
      <c r="EY1101" s="287"/>
      <c r="EZ1101" s="287"/>
      <c r="FA1101" s="287"/>
      <c r="FB1101" s="287"/>
      <c r="FC1101" s="287"/>
      <c r="FD1101" s="287"/>
    </row>
    <row r="1102" spans="3:160" outlineLevel="2">
      <c r="C1102" s="335"/>
      <c r="D1102" s="266"/>
      <c r="E1102" s="202"/>
      <c r="F1102" s="272"/>
      <c r="G1102" s="272"/>
      <c r="H1102" s="272"/>
      <c r="I1102" s="272"/>
      <c r="J1102" s="272"/>
      <c r="K1102" s="272"/>
      <c r="L1102" s="272"/>
      <c r="M1102" s="272"/>
      <c r="N1102" s="272"/>
      <c r="O1102" s="272"/>
      <c r="P1102" s="272"/>
      <c r="Q1102" s="272"/>
      <c r="R1102" s="272"/>
      <c r="S1102" s="272"/>
      <c r="T1102" s="272"/>
      <c r="U1102" s="272"/>
      <c r="V1102" s="272"/>
      <c r="W1102" s="272"/>
      <c r="X1102" s="272"/>
      <c r="Y1102" s="272"/>
      <c r="Z1102" s="272"/>
      <c r="AA1102" s="272"/>
      <c r="AB1102" s="272"/>
      <c r="AC1102" s="272"/>
      <c r="AD1102" s="272"/>
      <c r="AE1102" s="272"/>
      <c r="AF1102" s="272"/>
      <c r="AG1102" s="272"/>
      <c r="AH1102" s="272"/>
      <c r="AI1102" s="272"/>
      <c r="AJ1102" s="272"/>
      <c r="AK1102" s="272"/>
      <c r="AL1102" s="272"/>
      <c r="AM1102" s="272"/>
      <c r="AN1102" s="272"/>
    </row>
    <row r="1103" spans="3:160" outlineLevel="2">
      <c r="C1103" s="335"/>
      <c r="D1103" s="266"/>
      <c r="E1103" s="202"/>
      <c r="F1103" s="272"/>
      <c r="G1103" s="272"/>
      <c r="H1103" s="272"/>
      <c r="I1103" s="272"/>
      <c r="J1103" s="272"/>
      <c r="K1103" s="272"/>
      <c r="L1103" s="272"/>
      <c r="M1103" s="272"/>
      <c r="N1103" s="272"/>
      <c r="O1103" s="272"/>
      <c r="P1103" s="272"/>
      <c r="Q1103" s="272"/>
      <c r="R1103" s="272"/>
      <c r="S1103" s="272"/>
      <c r="T1103" s="272"/>
      <c r="U1103" s="272"/>
      <c r="V1103" s="272"/>
      <c r="W1103" s="272"/>
      <c r="X1103" s="272"/>
      <c r="Y1103" s="272"/>
      <c r="Z1103" s="272"/>
      <c r="AA1103" s="272"/>
      <c r="AB1103" s="272"/>
      <c r="AC1103" s="272"/>
      <c r="AD1103" s="272"/>
      <c r="AE1103" s="272"/>
      <c r="AF1103" s="272"/>
      <c r="AG1103" s="272"/>
      <c r="AH1103" s="272"/>
      <c r="AI1103" s="272"/>
      <c r="AJ1103" s="272"/>
      <c r="AK1103" s="272"/>
      <c r="AL1103" s="272"/>
      <c r="AM1103" s="272"/>
      <c r="AN1103" s="272"/>
    </row>
    <row r="1104" spans="3:160" outlineLevel="2">
      <c r="C1104" s="335" t="str">
        <f>Inputs!C307</f>
        <v>% distribuição</v>
      </c>
      <c r="D1104" s="248">
        <v>1</v>
      </c>
      <c r="E1104" s="202" t="s">
        <v>23</v>
      </c>
      <c r="F1104" s="272"/>
      <c r="G1104" s="272">
        <f t="shared" ref="G1104:AN1104" ca="1" si="917">MIN(G1101,G1096)</f>
        <v>0</v>
      </c>
      <c r="H1104" s="272">
        <f t="shared" ca="1" si="917"/>
        <v>0</v>
      </c>
      <c r="I1104" s="272">
        <f t="shared" ca="1" si="917"/>
        <v>0</v>
      </c>
      <c r="J1104" s="272">
        <f t="shared" ca="1" si="917"/>
        <v>51.336647664881781</v>
      </c>
      <c r="K1104" s="272">
        <f t="shared" ca="1" si="917"/>
        <v>1873.2707016010145</v>
      </c>
      <c r="L1104" s="272">
        <f t="shared" ca="1" si="917"/>
        <v>2238.7352714250028</v>
      </c>
      <c r="M1104" s="272">
        <f t="shared" ca="1" si="917"/>
        <v>1156.062681648033</v>
      </c>
      <c r="N1104" s="272">
        <f t="shared" ca="1" si="917"/>
        <v>5007.8026831507432</v>
      </c>
      <c r="O1104" s="272">
        <f t="shared" ca="1" si="917"/>
        <v>1979.3401495829912</v>
      </c>
      <c r="P1104" s="272">
        <f t="shared" ca="1" si="917"/>
        <v>1855.7311990012599</v>
      </c>
      <c r="Q1104" s="272">
        <f t="shared" ca="1" si="917"/>
        <v>2222.4074486489671</v>
      </c>
      <c r="R1104" s="272">
        <f t="shared" ca="1" si="917"/>
        <v>2401.7623266024207</v>
      </c>
      <c r="S1104" s="272">
        <f t="shared" ca="1" si="917"/>
        <v>2097.6255796906908</v>
      </c>
      <c r="T1104" s="272">
        <f t="shared" ca="1" si="917"/>
        <v>1305.3903675848696</v>
      </c>
      <c r="U1104" s="272">
        <f t="shared" ca="1" si="917"/>
        <v>4276.3632243983075</v>
      </c>
      <c r="V1104" s="272">
        <f t="shared" ca="1" si="917"/>
        <v>2408.7978750854536</v>
      </c>
      <c r="W1104" s="272">
        <f t="shared" ca="1" si="917"/>
        <v>5007.8331389962241</v>
      </c>
      <c r="X1104" s="272">
        <f t="shared" ca="1" si="917"/>
        <v>5039.9943923074325</v>
      </c>
      <c r="Y1104" s="272">
        <f t="shared" ca="1" si="917"/>
        <v>4988.5054370123808</v>
      </c>
      <c r="Z1104" s="272">
        <f t="shared" ca="1" si="917"/>
        <v>4436.7573663410503</v>
      </c>
      <c r="AA1104" s="272">
        <f t="shared" ca="1" si="917"/>
        <v>4155.6935951349351</v>
      </c>
      <c r="AB1104" s="272">
        <f t="shared" ca="1" si="917"/>
        <v>6014.0381775769038</v>
      </c>
      <c r="AC1104" s="272">
        <f t="shared" ca="1" si="917"/>
        <v>2091.2669215394449</v>
      </c>
      <c r="AD1104" s="272">
        <f t="shared" ca="1" si="917"/>
        <v>2044.5253464266382</v>
      </c>
      <c r="AE1104" s="272">
        <f t="shared" ca="1" si="917"/>
        <v>1964.0620422687696</v>
      </c>
      <c r="AF1104" s="272">
        <f t="shared" ca="1" si="917"/>
        <v>1962.6051054115278</v>
      </c>
      <c r="AG1104" s="272">
        <f t="shared" ca="1" si="917"/>
        <v>1296.0759925863604</v>
      </c>
      <c r="AH1104" s="272">
        <f t="shared" ca="1" si="917"/>
        <v>1240.4203405194712</v>
      </c>
      <c r="AI1104" s="272">
        <f t="shared" ca="1" si="917"/>
        <v>4165.7997318435901</v>
      </c>
      <c r="AJ1104" s="272">
        <f t="shared" ca="1" si="917"/>
        <v>0</v>
      </c>
      <c r="AK1104" s="272">
        <f t="shared" ca="1" si="917"/>
        <v>0</v>
      </c>
      <c r="AL1104" s="272">
        <f t="shared" ca="1" si="917"/>
        <v>0</v>
      </c>
      <c r="AM1104" s="272">
        <f t="shared" ca="1" si="917"/>
        <v>0</v>
      </c>
      <c r="AN1104" s="272">
        <f t="shared" ca="1" si="917"/>
        <v>0</v>
      </c>
    </row>
    <row r="1105" spans="3:40" outlineLevel="2">
      <c r="C1105" s="314"/>
    </row>
    <row r="1106" spans="3:40" outlineLevel="2">
      <c r="C1106" s="314" t="str">
        <f>C94</f>
        <v>Cons + Ops Flag</v>
      </c>
      <c r="D1106" s="266"/>
      <c r="E1106" s="32" t="str">
        <f t="shared" ref="E1106:AN1106" si="918">E94</f>
        <v>Flag</v>
      </c>
      <c r="F1106" s="23">
        <f t="shared" si="918"/>
        <v>30</v>
      </c>
      <c r="G1106" s="25">
        <f t="shared" si="918"/>
        <v>1</v>
      </c>
      <c r="H1106" s="25">
        <f t="shared" si="918"/>
        <v>1</v>
      </c>
      <c r="I1106" s="25">
        <f t="shared" si="918"/>
        <v>1</v>
      </c>
      <c r="J1106" s="25">
        <f t="shared" si="918"/>
        <v>1</v>
      </c>
      <c r="K1106" s="25">
        <f t="shared" si="918"/>
        <v>1</v>
      </c>
      <c r="L1106" s="25">
        <f t="shared" si="918"/>
        <v>1</v>
      </c>
      <c r="M1106" s="25">
        <f t="shared" si="918"/>
        <v>1</v>
      </c>
      <c r="N1106" s="25">
        <f t="shared" si="918"/>
        <v>1</v>
      </c>
      <c r="O1106" s="25">
        <f t="shared" si="918"/>
        <v>1</v>
      </c>
      <c r="P1106" s="25">
        <f t="shared" si="918"/>
        <v>1</v>
      </c>
      <c r="Q1106" s="25">
        <f t="shared" si="918"/>
        <v>1</v>
      </c>
      <c r="R1106" s="25">
        <f t="shared" si="918"/>
        <v>1</v>
      </c>
      <c r="S1106" s="25">
        <f t="shared" si="918"/>
        <v>1</v>
      </c>
      <c r="T1106" s="25">
        <f t="shared" si="918"/>
        <v>1</v>
      </c>
      <c r="U1106" s="25">
        <f t="shared" si="918"/>
        <v>1</v>
      </c>
      <c r="V1106" s="25">
        <f t="shared" si="918"/>
        <v>1</v>
      </c>
      <c r="W1106" s="25">
        <f t="shared" si="918"/>
        <v>1</v>
      </c>
      <c r="X1106" s="25">
        <f t="shared" si="918"/>
        <v>1</v>
      </c>
      <c r="Y1106" s="25">
        <f t="shared" si="918"/>
        <v>1</v>
      </c>
      <c r="Z1106" s="25">
        <f t="shared" si="918"/>
        <v>1</v>
      </c>
      <c r="AA1106" s="25">
        <f t="shared" si="918"/>
        <v>1</v>
      </c>
      <c r="AB1106" s="25">
        <f t="shared" si="918"/>
        <v>1</v>
      </c>
      <c r="AC1106" s="25">
        <f t="shared" si="918"/>
        <v>1</v>
      </c>
      <c r="AD1106" s="25">
        <f t="shared" si="918"/>
        <v>1</v>
      </c>
      <c r="AE1106" s="25">
        <f t="shared" si="918"/>
        <v>1</v>
      </c>
      <c r="AF1106" s="25">
        <f t="shared" si="918"/>
        <v>1</v>
      </c>
      <c r="AG1106" s="25">
        <f t="shared" si="918"/>
        <v>1</v>
      </c>
      <c r="AH1106" s="25">
        <f t="shared" si="918"/>
        <v>1</v>
      </c>
      <c r="AI1106" s="25">
        <f t="shared" si="918"/>
        <v>1</v>
      </c>
      <c r="AJ1106" s="25">
        <f t="shared" si="918"/>
        <v>1</v>
      </c>
      <c r="AK1106" s="25">
        <f t="shared" si="918"/>
        <v>0</v>
      </c>
      <c r="AL1106" s="25">
        <f t="shared" si="918"/>
        <v>0</v>
      </c>
      <c r="AM1106" s="25">
        <f t="shared" si="918"/>
        <v>0</v>
      </c>
      <c r="AN1106" s="25">
        <f t="shared" si="918"/>
        <v>0</v>
      </c>
    </row>
    <row r="1107" spans="3:40" outlineLevel="2">
      <c r="D1107" s="266"/>
    </row>
    <row r="1108" spans="3:40" outlineLevel="2">
      <c r="C1108" s="301" t="s">
        <v>554</v>
      </c>
      <c r="D1108" s="266"/>
      <c r="E1108" s="32" t="s">
        <v>399</v>
      </c>
      <c r="F1108" s="23">
        <f ca="1">SUM(G1108:AN1108)</f>
        <v>0</v>
      </c>
      <c r="G1108" s="25">
        <f ca="1">Debt!G376</f>
        <v>0</v>
      </c>
      <c r="H1108" s="25">
        <f ca="1">Debt!H376</f>
        <v>0</v>
      </c>
      <c r="I1108" s="25">
        <f ca="1">Debt!I376</f>
        <v>0</v>
      </c>
      <c r="J1108" s="25">
        <f ca="1">Debt!J376</f>
        <v>0</v>
      </c>
      <c r="K1108" s="25">
        <f ca="1">Debt!K376</f>
        <v>0</v>
      </c>
      <c r="L1108" s="25">
        <f ca="1">Debt!L376</f>
        <v>0</v>
      </c>
      <c r="M1108" s="25">
        <f ca="1">Debt!M376</f>
        <v>0</v>
      </c>
      <c r="N1108" s="25">
        <f ca="1">Debt!N376</f>
        <v>0</v>
      </c>
      <c r="O1108" s="25">
        <f ca="1">Debt!O376</f>
        <v>0</v>
      </c>
      <c r="P1108" s="25">
        <f ca="1">Debt!P376</f>
        <v>0</v>
      </c>
      <c r="Q1108" s="25">
        <f ca="1">Debt!Q376</f>
        <v>0</v>
      </c>
      <c r="R1108" s="25">
        <f ca="1">Debt!R376</f>
        <v>0</v>
      </c>
      <c r="S1108" s="25">
        <f ca="1">Debt!S376</f>
        <v>0</v>
      </c>
      <c r="T1108" s="25">
        <f ca="1">Debt!T376</f>
        <v>0</v>
      </c>
      <c r="U1108" s="25">
        <f ca="1">Debt!U376</f>
        <v>0</v>
      </c>
      <c r="V1108" s="25">
        <f ca="1">Debt!V376</f>
        <v>0</v>
      </c>
      <c r="W1108" s="25">
        <f ca="1">Debt!W376</f>
        <v>0</v>
      </c>
      <c r="X1108" s="25">
        <f ca="1">Debt!X376</f>
        <v>0</v>
      </c>
      <c r="Y1108" s="25">
        <f ca="1">Debt!Y376</f>
        <v>0</v>
      </c>
      <c r="Z1108" s="25">
        <f ca="1">Debt!Z376</f>
        <v>0</v>
      </c>
      <c r="AA1108" s="25">
        <f ca="1">Debt!AA376</f>
        <v>0</v>
      </c>
      <c r="AB1108" s="25">
        <f ca="1">Debt!AB376</f>
        <v>0</v>
      </c>
      <c r="AC1108" s="25">
        <f ca="1">Debt!AC376</f>
        <v>0</v>
      </c>
      <c r="AD1108" s="25">
        <f ca="1">Debt!AD376</f>
        <v>0</v>
      </c>
      <c r="AE1108" s="25">
        <f ca="1">Debt!AE376</f>
        <v>0</v>
      </c>
      <c r="AF1108" s="25">
        <f ca="1">Debt!AF376</f>
        <v>0</v>
      </c>
      <c r="AG1108" s="25">
        <f ca="1">Debt!AG376</f>
        <v>0</v>
      </c>
      <c r="AH1108" s="25">
        <f ca="1">Debt!AH376</f>
        <v>0</v>
      </c>
      <c r="AI1108" s="25">
        <f ca="1">Debt!AI376</f>
        <v>0</v>
      </c>
      <c r="AJ1108" s="25">
        <f ca="1">Debt!AJ376</f>
        <v>0</v>
      </c>
      <c r="AK1108" s="25">
        <f ca="1">Debt!AK376</f>
        <v>0</v>
      </c>
      <c r="AL1108" s="25">
        <f ca="1">Debt!AL376</f>
        <v>0</v>
      </c>
      <c r="AM1108" s="25">
        <f ca="1">Debt!AM376</f>
        <v>0</v>
      </c>
      <c r="AN1108" s="25">
        <f>Debt!AN376</f>
        <v>0</v>
      </c>
    </row>
    <row r="1109" spans="3:40" outlineLevel="2">
      <c r="C1109" s="301" t="s">
        <v>555</v>
      </c>
      <c r="D1109" s="266"/>
      <c r="E1109" s="32" t="s">
        <v>399</v>
      </c>
      <c r="F1109" s="23">
        <f>SUM(G1109:AN1109)</f>
        <v>0</v>
      </c>
      <c r="G1109" s="25">
        <f>Dividends*Ops!G1106</f>
        <v>0</v>
      </c>
      <c r="H1109" s="25">
        <f>Dividends*Ops!H1106</f>
        <v>0</v>
      </c>
      <c r="I1109" s="25">
        <f>Dividends*Ops!I1106</f>
        <v>0</v>
      </c>
      <c r="J1109" s="25">
        <f>Dividends*Ops!J1106</f>
        <v>0</v>
      </c>
      <c r="K1109" s="25">
        <f>Dividends*Ops!K1106</f>
        <v>0</v>
      </c>
      <c r="L1109" s="25">
        <f>Dividends*Ops!L1106</f>
        <v>0</v>
      </c>
      <c r="M1109" s="25">
        <f>Dividends*Ops!M1106</f>
        <v>0</v>
      </c>
      <c r="N1109" s="25">
        <f>Dividends*Ops!N1106</f>
        <v>0</v>
      </c>
      <c r="O1109" s="25">
        <f>Dividends*Ops!O1106</f>
        <v>0</v>
      </c>
      <c r="P1109" s="25">
        <f>Dividends*Ops!P1106</f>
        <v>0</v>
      </c>
      <c r="Q1109" s="25">
        <f>Dividends*Ops!Q1106</f>
        <v>0</v>
      </c>
      <c r="R1109" s="25">
        <f>Dividends*Ops!R1106</f>
        <v>0</v>
      </c>
      <c r="S1109" s="25">
        <f>Dividends*Ops!S1106</f>
        <v>0</v>
      </c>
      <c r="T1109" s="25">
        <f>Dividends*Ops!T1106</f>
        <v>0</v>
      </c>
      <c r="U1109" s="25">
        <f>Dividends*Ops!U1106</f>
        <v>0</v>
      </c>
      <c r="V1109" s="25">
        <f>Dividends*Ops!V1106</f>
        <v>0</v>
      </c>
      <c r="W1109" s="25">
        <f>Dividends*Ops!W1106</f>
        <v>0</v>
      </c>
      <c r="X1109" s="25">
        <f>Dividends*Ops!X1106</f>
        <v>0</v>
      </c>
      <c r="Y1109" s="25">
        <f>Dividends*Ops!Y1106</f>
        <v>0</v>
      </c>
      <c r="Z1109" s="25">
        <f>Dividends*Ops!Z1106</f>
        <v>0</v>
      </c>
      <c r="AA1109" s="25">
        <f>Dividends*Ops!AA1106</f>
        <v>0</v>
      </c>
      <c r="AB1109" s="25">
        <f>Dividends*Ops!AB1106</f>
        <v>0</v>
      </c>
      <c r="AC1109" s="25">
        <f>Dividends*Ops!AC1106</f>
        <v>0</v>
      </c>
      <c r="AD1109" s="25">
        <f>Dividends*Ops!AD1106</f>
        <v>0</v>
      </c>
      <c r="AE1109" s="25">
        <f>Dividends*Ops!AE1106</f>
        <v>0</v>
      </c>
      <c r="AF1109" s="25">
        <f>Dividends*Ops!AF1106</f>
        <v>0</v>
      </c>
      <c r="AG1109" s="25">
        <f>Dividends*Ops!AG1106</f>
        <v>0</v>
      </c>
      <c r="AH1109" s="25">
        <f>Dividends*Ops!AH1106</f>
        <v>0</v>
      </c>
      <c r="AI1109" s="25">
        <f>Dividends*Ops!AI1106</f>
        <v>0</v>
      </c>
      <c r="AJ1109" s="25">
        <f>Dividends*Ops!AJ1106</f>
        <v>0</v>
      </c>
      <c r="AK1109" s="25">
        <f>Dividends*Ops!AK1106</f>
        <v>0</v>
      </c>
      <c r="AL1109" s="25">
        <f>Dividends*Ops!AL1106</f>
        <v>0</v>
      </c>
      <c r="AM1109" s="25">
        <f>Dividends*Ops!AM1106</f>
        <v>0</v>
      </c>
      <c r="AN1109" s="25">
        <f>Dividends*Ops!AN1106</f>
        <v>0</v>
      </c>
    </row>
    <row r="1110" spans="3:40" outlineLevel="2">
      <c r="C1110" s="301" t="s">
        <v>556</v>
      </c>
      <c r="D1110" s="266"/>
      <c r="E1110" s="32" t="s">
        <v>399</v>
      </c>
      <c r="F1110" s="23">
        <f ca="1">SUM(G1110:AN1110)</f>
        <v>0</v>
      </c>
      <c r="G1110" s="25">
        <f ca="1">Debt!G383</f>
        <v>0</v>
      </c>
      <c r="H1110" s="25">
        <f ca="1">Debt!H383</f>
        <v>0</v>
      </c>
      <c r="I1110" s="25">
        <f ca="1">Debt!I383</f>
        <v>0</v>
      </c>
      <c r="J1110" s="25">
        <f ca="1">Debt!J383</f>
        <v>0</v>
      </c>
      <c r="K1110" s="25">
        <f ca="1">Debt!K383</f>
        <v>0</v>
      </c>
      <c r="L1110" s="25">
        <f ca="1">Debt!L383</f>
        <v>0</v>
      </c>
      <c r="M1110" s="25">
        <f ca="1">Debt!M383</f>
        <v>0</v>
      </c>
      <c r="N1110" s="25">
        <f ca="1">Debt!N383</f>
        <v>0</v>
      </c>
      <c r="O1110" s="25">
        <f ca="1">Debt!O383</f>
        <v>0</v>
      </c>
      <c r="P1110" s="25">
        <f ca="1">Debt!P383</f>
        <v>0</v>
      </c>
      <c r="Q1110" s="25">
        <f ca="1">Debt!Q383</f>
        <v>0</v>
      </c>
      <c r="R1110" s="25">
        <f ca="1">Debt!R383</f>
        <v>0</v>
      </c>
      <c r="S1110" s="25">
        <f ca="1">Debt!S383</f>
        <v>0</v>
      </c>
      <c r="T1110" s="25">
        <f ca="1">Debt!T383</f>
        <v>0</v>
      </c>
      <c r="U1110" s="25">
        <f ca="1">Debt!U383</f>
        <v>0</v>
      </c>
      <c r="V1110" s="25">
        <f ca="1">Debt!V383</f>
        <v>0</v>
      </c>
      <c r="W1110" s="25">
        <f ca="1">Debt!W383</f>
        <v>0</v>
      </c>
      <c r="X1110" s="25">
        <f ca="1">Debt!X383</f>
        <v>0</v>
      </c>
      <c r="Y1110" s="25">
        <f ca="1">Debt!Y383</f>
        <v>0</v>
      </c>
      <c r="Z1110" s="25">
        <f ca="1">Debt!Z383</f>
        <v>0</v>
      </c>
      <c r="AA1110" s="25">
        <f ca="1">Debt!AA383</f>
        <v>0</v>
      </c>
      <c r="AB1110" s="25">
        <f ca="1">Debt!AB383</f>
        <v>0</v>
      </c>
      <c r="AC1110" s="25">
        <f ca="1">Debt!AC383</f>
        <v>0</v>
      </c>
      <c r="AD1110" s="25">
        <f ca="1">Debt!AD383</f>
        <v>0</v>
      </c>
      <c r="AE1110" s="25">
        <f ca="1">Debt!AE383</f>
        <v>0</v>
      </c>
      <c r="AF1110" s="25">
        <f ca="1">Debt!AF383</f>
        <v>0</v>
      </c>
      <c r="AG1110" s="25">
        <f ca="1">Debt!AG383</f>
        <v>0</v>
      </c>
      <c r="AH1110" s="25">
        <f ca="1">Debt!AH383</f>
        <v>0</v>
      </c>
      <c r="AI1110" s="25">
        <f ca="1">Debt!AI383</f>
        <v>0</v>
      </c>
      <c r="AJ1110" s="25">
        <f ca="1">Debt!AJ383</f>
        <v>0</v>
      </c>
      <c r="AK1110" s="25">
        <f ca="1">Debt!AK383</f>
        <v>0</v>
      </c>
      <c r="AL1110" s="25">
        <f ca="1">Debt!AL383</f>
        <v>0</v>
      </c>
      <c r="AM1110" s="25">
        <f ca="1">Debt!AM383</f>
        <v>0</v>
      </c>
      <c r="AN1110" s="25">
        <f>Debt!AN383</f>
        <v>0</v>
      </c>
    </row>
    <row r="1111" spans="3:40" outlineLevel="2">
      <c r="C1111" s="301" t="s">
        <v>557</v>
      </c>
      <c r="D1111" s="266"/>
      <c r="E1111" s="32" t="s">
        <v>399</v>
      </c>
      <c r="F1111" s="23">
        <f ca="1">SUM(G1111:AN1111)</f>
        <v>0</v>
      </c>
      <c r="G1111" s="25">
        <f ca="1">Debt!G346</f>
        <v>0</v>
      </c>
      <c r="H1111" s="25">
        <f ca="1">Debt!H346</f>
        <v>0</v>
      </c>
      <c r="I1111" s="25">
        <f ca="1">Debt!I346</f>
        <v>0</v>
      </c>
      <c r="J1111" s="25">
        <f ca="1">Debt!J346</f>
        <v>0</v>
      </c>
      <c r="K1111" s="25">
        <f ca="1">Debt!K346</f>
        <v>0</v>
      </c>
      <c r="L1111" s="25">
        <f ca="1">Debt!L346</f>
        <v>0</v>
      </c>
      <c r="M1111" s="25">
        <f ca="1">Debt!M346</f>
        <v>0</v>
      </c>
      <c r="N1111" s="25">
        <f ca="1">Debt!N346</f>
        <v>0</v>
      </c>
      <c r="O1111" s="25">
        <f ca="1">Debt!O346</f>
        <v>0</v>
      </c>
      <c r="P1111" s="25">
        <f ca="1">Debt!P346</f>
        <v>0</v>
      </c>
      <c r="Q1111" s="25">
        <f ca="1">Debt!Q346</f>
        <v>0</v>
      </c>
      <c r="R1111" s="25">
        <f ca="1">Debt!R346</f>
        <v>0</v>
      </c>
      <c r="S1111" s="25">
        <f ca="1">Debt!S346</f>
        <v>0</v>
      </c>
      <c r="T1111" s="25">
        <f ca="1">Debt!T346</f>
        <v>0</v>
      </c>
      <c r="U1111" s="25">
        <f ca="1">Debt!U346</f>
        <v>0</v>
      </c>
      <c r="V1111" s="25">
        <f ca="1">Debt!V346</f>
        <v>0</v>
      </c>
      <c r="W1111" s="25">
        <f ca="1">Debt!W346</f>
        <v>0</v>
      </c>
      <c r="X1111" s="25">
        <f ca="1">Debt!X346</f>
        <v>0</v>
      </c>
      <c r="Y1111" s="25">
        <f ca="1">Debt!Y346</f>
        <v>0</v>
      </c>
      <c r="Z1111" s="25">
        <f ca="1">Debt!Z346</f>
        <v>0</v>
      </c>
      <c r="AA1111" s="25">
        <f ca="1">Debt!AA346</f>
        <v>0</v>
      </c>
      <c r="AB1111" s="25">
        <f ca="1">Debt!AB346</f>
        <v>0</v>
      </c>
      <c r="AC1111" s="25">
        <f ca="1">Debt!AC346</f>
        <v>0</v>
      </c>
      <c r="AD1111" s="25">
        <f ca="1">Debt!AD346</f>
        <v>0</v>
      </c>
      <c r="AE1111" s="25">
        <f ca="1">Debt!AE346</f>
        <v>0</v>
      </c>
      <c r="AF1111" s="25">
        <f ca="1">Debt!AF346</f>
        <v>0</v>
      </c>
      <c r="AG1111" s="25">
        <f ca="1">Debt!AG346</f>
        <v>0</v>
      </c>
      <c r="AH1111" s="25">
        <f ca="1">Debt!AH346</f>
        <v>0</v>
      </c>
      <c r="AI1111" s="25">
        <f ca="1">Debt!AI346</f>
        <v>0</v>
      </c>
      <c r="AJ1111" s="25">
        <f ca="1">Debt!AJ346</f>
        <v>0</v>
      </c>
      <c r="AK1111" s="25">
        <f ca="1">Debt!AK346</f>
        <v>0</v>
      </c>
      <c r="AL1111" s="25">
        <f ca="1">Debt!AL346</f>
        <v>0</v>
      </c>
      <c r="AM1111" s="25">
        <f ca="1">Debt!AM346</f>
        <v>0</v>
      </c>
      <c r="AN1111" s="25">
        <f ca="1">Debt!AN346</f>
        <v>0</v>
      </c>
    </row>
    <row r="1112" spans="3:40" outlineLevel="2">
      <c r="C1112" s="334" t="s">
        <v>558</v>
      </c>
      <c r="D1112" s="275"/>
      <c r="E1112" s="108" t="s">
        <v>399</v>
      </c>
      <c r="F1112" s="23">
        <f ca="1">SUM(G1112:AN1112)</f>
        <v>30</v>
      </c>
      <c r="G1112" s="25">
        <f t="shared" ref="G1112:AN1112" ca="1" si="919">IF(MAX(G1108:G1111)&gt;0,0,1)*G1106</f>
        <v>1</v>
      </c>
      <c r="H1112" s="25">
        <f t="shared" ca="1" si="919"/>
        <v>1</v>
      </c>
      <c r="I1112" s="25">
        <f t="shared" ca="1" si="919"/>
        <v>1</v>
      </c>
      <c r="J1112" s="25">
        <f t="shared" ca="1" si="919"/>
        <v>1</v>
      </c>
      <c r="K1112" s="25">
        <f t="shared" ca="1" si="919"/>
        <v>1</v>
      </c>
      <c r="L1112" s="25">
        <f t="shared" ca="1" si="919"/>
        <v>1</v>
      </c>
      <c r="M1112" s="25">
        <f t="shared" ca="1" si="919"/>
        <v>1</v>
      </c>
      <c r="N1112" s="25">
        <f t="shared" ca="1" si="919"/>
        <v>1</v>
      </c>
      <c r="O1112" s="25">
        <f t="shared" ca="1" si="919"/>
        <v>1</v>
      </c>
      <c r="P1112" s="25">
        <f t="shared" ca="1" si="919"/>
        <v>1</v>
      </c>
      <c r="Q1112" s="25">
        <f t="shared" ca="1" si="919"/>
        <v>1</v>
      </c>
      <c r="R1112" s="25">
        <f t="shared" ca="1" si="919"/>
        <v>1</v>
      </c>
      <c r="S1112" s="25">
        <f t="shared" ca="1" si="919"/>
        <v>1</v>
      </c>
      <c r="T1112" s="25">
        <f t="shared" ca="1" si="919"/>
        <v>1</v>
      </c>
      <c r="U1112" s="25">
        <f t="shared" ca="1" si="919"/>
        <v>1</v>
      </c>
      <c r="V1112" s="25">
        <f t="shared" ca="1" si="919"/>
        <v>1</v>
      </c>
      <c r="W1112" s="25">
        <f t="shared" ca="1" si="919"/>
        <v>1</v>
      </c>
      <c r="X1112" s="25">
        <f t="shared" ca="1" si="919"/>
        <v>1</v>
      </c>
      <c r="Y1112" s="25">
        <f t="shared" ca="1" si="919"/>
        <v>1</v>
      </c>
      <c r="Z1112" s="25">
        <f t="shared" ca="1" si="919"/>
        <v>1</v>
      </c>
      <c r="AA1112" s="25">
        <f t="shared" ca="1" si="919"/>
        <v>1</v>
      </c>
      <c r="AB1112" s="25">
        <f t="shared" ca="1" si="919"/>
        <v>1</v>
      </c>
      <c r="AC1112" s="25">
        <f t="shared" ca="1" si="919"/>
        <v>1</v>
      </c>
      <c r="AD1112" s="25">
        <f t="shared" ca="1" si="919"/>
        <v>1</v>
      </c>
      <c r="AE1112" s="25">
        <f t="shared" ca="1" si="919"/>
        <v>1</v>
      </c>
      <c r="AF1112" s="25">
        <f t="shared" ca="1" si="919"/>
        <v>1</v>
      </c>
      <c r="AG1112" s="25">
        <f t="shared" ca="1" si="919"/>
        <v>1</v>
      </c>
      <c r="AH1112" s="25">
        <f t="shared" ca="1" si="919"/>
        <v>1</v>
      </c>
      <c r="AI1112" s="25">
        <f t="shared" ca="1" si="919"/>
        <v>1</v>
      </c>
      <c r="AJ1112" s="25">
        <f t="shared" ca="1" si="919"/>
        <v>1</v>
      </c>
      <c r="AK1112" s="25">
        <f t="shared" ca="1" si="919"/>
        <v>0</v>
      </c>
      <c r="AL1112" s="25">
        <f t="shared" ca="1" si="919"/>
        <v>0</v>
      </c>
      <c r="AM1112" s="25">
        <f t="shared" ca="1" si="919"/>
        <v>0</v>
      </c>
      <c r="AN1112" s="25">
        <f t="shared" ca="1" si="919"/>
        <v>0</v>
      </c>
    </row>
    <row r="1113" spans="3:40" outlineLevel="2">
      <c r="C1113" s="314"/>
    </row>
    <row r="1114" spans="3:40" outlineLevel="2">
      <c r="C1114" s="301" t="str">
        <f>C1096</f>
        <v>Dívidendos máximos</v>
      </c>
      <c r="D1114" s="49"/>
      <c r="E1114" s="41" t="str">
        <f>E1096</f>
        <v>$ 000s</v>
      </c>
      <c r="F1114" s="319">
        <f>F1096</f>
        <v>0</v>
      </c>
      <c r="G1114" s="273">
        <f t="shared" ref="G1114:AN1114" ca="1" si="920">G1104</f>
        <v>0</v>
      </c>
      <c r="H1114" s="273">
        <f t="shared" ca="1" si="920"/>
        <v>0</v>
      </c>
      <c r="I1114" s="273">
        <f t="shared" ca="1" si="920"/>
        <v>0</v>
      </c>
      <c r="J1114" s="273">
        <f t="shared" ca="1" si="920"/>
        <v>51.336647664881781</v>
      </c>
      <c r="K1114" s="273">
        <f t="shared" ca="1" si="920"/>
        <v>1873.2707016010145</v>
      </c>
      <c r="L1114" s="273">
        <f t="shared" ca="1" si="920"/>
        <v>2238.7352714250028</v>
      </c>
      <c r="M1114" s="273">
        <f t="shared" ca="1" si="920"/>
        <v>1156.062681648033</v>
      </c>
      <c r="N1114" s="273">
        <f t="shared" ca="1" si="920"/>
        <v>5007.8026831507432</v>
      </c>
      <c r="O1114" s="273">
        <f t="shared" ca="1" si="920"/>
        <v>1979.3401495829912</v>
      </c>
      <c r="P1114" s="273">
        <f t="shared" ca="1" si="920"/>
        <v>1855.7311990012599</v>
      </c>
      <c r="Q1114" s="273">
        <f t="shared" ca="1" si="920"/>
        <v>2222.4074486489671</v>
      </c>
      <c r="R1114" s="273">
        <f t="shared" ca="1" si="920"/>
        <v>2401.7623266024207</v>
      </c>
      <c r="S1114" s="273">
        <f t="shared" ca="1" si="920"/>
        <v>2097.6255796906908</v>
      </c>
      <c r="T1114" s="273">
        <f t="shared" ca="1" si="920"/>
        <v>1305.3903675848696</v>
      </c>
      <c r="U1114" s="273">
        <f t="shared" ca="1" si="920"/>
        <v>4276.3632243983075</v>
      </c>
      <c r="V1114" s="273">
        <f t="shared" ca="1" si="920"/>
        <v>2408.7978750854536</v>
      </c>
      <c r="W1114" s="273">
        <f t="shared" ca="1" si="920"/>
        <v>5007.8331389962241</v>
      </c>
      <c r="X1114" s="273">
        <f t="shared" ca="1" si="920"/>
        <v>5039.9943923074325</v>
      </c>
      <c r="Y1114" s="273">
        <f t="shared" ca="1" si="920"/>
        <v>4988.5054370123808</v>
      </c>
      <c r="Z1114" s="273">
        <f t="shared" ca="1" si="920"/>
        <v>4436.7573663410503</v>
      </c>
      <c r="AA1114" s="273">
        <f t="shared" ca="1" si="920"/>
        <v>4155.6935951349351</v>
      </c>
      <c r="AB1114" s="273">
        <f t="shared" ca="1" si="920"/>
        <v>6014.0381775769038</v>
      </c>
      <c r="AC1114" s="273">
        <f t="shared" ca="1" si="920"/>
        <v>2091.2669215394449</v>
      </c>
      <c r="AD1114" s="273">
        <f t="shared" ca="1" si="920"/>
        <v>2044.5253464266382</v>
      </c>
      <c r="AE1114" s="273">
        <f t="shared" ca="1" si="920"/>
        <v>1964.0620422687696</v>
      </c>
      <c r="AF1114" s="273">
        <f t="shared" ca="1" si="920"/>
        <v>1962.6051054115278</v>
      </c>
      <c r="AG1114" s="273">
        <f t="shared" ca="1" si="920"/>
        <v>1296.0759925863604</v>
      </c>
      <c r="AH1114" s="273">
        <f t="shared" ca="1" si="920"/>
        <v>1240.4203405194712</v>
      </c>
      <c r="AI1114" s="273">
        <f t="shared" ca="1" si="920"/>
        <v>4165.7997318435901</v>
      </c>
      <c r="AJ1114" s="273">
        <f t="shared" ca="1" si="920"/>
        <v>0</v>
      </c>
      <c r="AK1114" s="273">
        <f t="shared" ca="1" si="920"/>
        <v>0</v>
      </c>
      <c r="AL1114" s="273">
        <f t="shared" ca="1" si="920"/>
        <v>0</v>
      </c>
      <c r="AM1114" s="273">
        <f t="shared" ca="1" si="920"/>
        <v>0</v>
      </c>
      <c r="AN1114" s="273">
        <f t="shared" ca="1" si="920"/>
        <v>0</v>
      </c>
    </row>
    <row r="1115" spans="3:40" outlineLevel="2">
      <c r="C1115" s="301" t="str">
        <f t="shared" ref="C1115:E1115" si="921">C1112</f>
        <v>Dividend lock-up flag</v>
      </c>
      <c r="D1115" s="49"/>
      <c r="E1115" s="32" t="str">
        <f t="shared" si="921"/>
        <v>Flag</v>
      </c>
      <c r="F1115" s="24">
        <f t="shared" ref="F1115:AN1115" ca="1" si="922">F1112</f>
        <v>30</v>
      </c>
      <c r="G1115" s="109">
        <f t="shared" ca="1" si="922"/>
        <v>1</v>
      </c>
      <c r="H1115" s="109">
        <f t="shared" ca="1" si="922"/>
        <v>1</v>
      </c>
      <c r="I1115" s="109">
        <f t="shared" ca="1" si="922"/>
        <v>1</v>
      </c>
      <c r="J1115" s="109">
        <f t="shared" ca="1" si="922"/>
        <v>1</v>
      </c>
      <c r="K1115" s="109">
        <f t="shared" ca="1" si="922"/>
        <v>1</v>
      </c>
      <c r="L1115" s="109">
        <f t="shared" ca="1" si="922"/>
        <v>1</v>
      </c>
      <c r="M1115" s="109">
        <f t="shared" ca="1" si="922"/>
        <v>1</v>
      </c>
      <c r="N1115" s="109">
        <f t="shared" ca="1" si="922"/>
        <v>1</v>
      </c>
      <c r="O1115" s="109">
        <f t="shared" ca="1" si="922"/>
        <v>1</v>
      </c>
      <c r="P1115" s="109">
        <f t="shared" ca="1" si="922"/>
        <v>1</v>
      </c>
      <c r="Q1115" s="109">
        <f t="shared" ca="1" si="922"/>
        <v>1</v>
      </c>
      <c r="R1115" s="109">
        <f t="shared" ca="1" si="922"/>
        <v>1</v>
      </c>
      <c r="S1115" s="109">
        <f t="shared" ca="1" si="922"/>
        <v>1</v>
      </c>
      <c r="T1115" s="109">
        <f t="shared" ca="1" si="922"/>
        <v>1</v>
      </c>
      <c r="U1115" s="109">
        <f t="shared" ca="1" si="922"/>
        <v>1</v>
      </c>
      <c r="V1115" s="109">
        <f t="shared" ca="1" si="922"/>
        <v>1</v>
      </c>
      <c r="W1115" s="109">
        <f t="shared" ca="1" si="922"/>
        <v>1</v>
      </c>
      <c r="X1115" s="109">
        <f t="shared" ca="1" si="922"/>
        <v>1</v>
      </c>
      <c r="Y1115" s="109">
        <f t="shared" ca="1" si="922"/>
        <v>1</v>
      </c>
      <c r="Z1115" s="109">
        <f t="shared" ca="1" si="922"/>
        <v>1</v>
      </c>
      <c r="AA1115" s="109">
        <f t="shared" ca="1" si="922"/>
        <v>1</v>
      </c>
      <c r="AB1115" s="109">
        <f t="shared" ca="1" si="922"/>
        <v>1</v>
      </c>
      <c r="AC1115" s="109">
        <f t="shared" ca="1" si="922"/>
        <v>1</v>
      </c>
      <c r="AD1115" s="109">
        <f t="shared" ca="1" si="922"/>
        <v>1</v>
      </c>
      <c r="AE1115" s="109">
        <f t="shared" ca="1" si="922"/>
        <v>1</v>
      </c>
      <c r="AF1115" s="109">
        <f t="shared" ca="1" si="922"/>
        <v>1</v>
      </c>
      <c r="AG1115" s="109">
        <f t="shared" ca="1" si="922"/>
        <v>1</v>
      </c>
      <c r="AH1115" s="109">
        <f t="shared" ca="1" si="922"/>
        <v>1</v>
      </c>
      <c r="AI1115" s="109">
        <f t="shared" ca="1" si="922"/>
        <v>1</v>
      </c>
      <c r="AJ1115" s="109">
        <f t="shared" ca="1" si="922"/>
        <v>1</v>
      </c>
      <c r="AK1115" s="109">
        <f t="shared" ca="1" si="922"/>
        <v>0</v>
      </c>
      <c r="AL1115" s="109">
        <f t="shared" ca="1" si="922"/>
        <v>0</v>
      </c>
      <c r="AM1115" s="109">
        <f t="shared" ca="1" si="922"/>
        <v>0</v>
      </c>
      <c r="AN1115" s="109">
        <f t="shared" ca="1" si="922"/>
        <v>0</v>
      </c>
    </row>
    <row r="1116" spans="3:40" ht="16.2" outlineLevel="2" thickBot="1">
      <c r="C1116" s="338" t="s">
        <v>559</v>
      </c>
      <c r="D1116" s="45"/>
      <c r="E1116" s="209" t="s">
        <v>13</v>
      </c>
      <c r="F1116" s="324">
        <f ca="1">SUM(G1116:AN1116)</f>
        <v>73282.203744049359</v>
      </c>
      <c r="G1116" s="325">
        <f t="shared" ref="G1116:AN1116" ca="1" si="923">G1114*G1115*$D$1104</f>
        <v>0</v>
      </c>
      <c r="H1116" s="325">
        <f t="shared" ca="1" si="923"/>
        <v>0</v>
      </c>
      <c r="I1116" s="325">
        <f t="shared" ca="1" si="923"/>
        <v>0</v>
      </c>
      <c r="J1116" s="325">
        <f t="shared" ca="1" si="923"/>
        <v>51.336647664881781</v>
      </c>
      <c r="K1116" s="325">
        <f t="shared" ca="1" si="923"/>
        <v>1873.2707016010145</v>
      </c>
      <c r="L1116" s="325">
        <f t="shared" ca="1" si="923"/>
        <v>2238.7352714250028</v>
      </c>
      <c r="M1116" s="325">
        <f t="shared" ca="1" si="923"/>
        <v>1156.062681648033</v>
      </c>
      <c r="N1116" s="325">
        <f t="shared" ca="1" si="923"/>
        <v>5007.8026831507432</v>
      </c>
      <c r="O1116" s="325">
        <f t="shared" ca="1" si="923"/>
        <v>1979.3401495829912</v>
      </c>
      <c r="P1116" s="325">
        <f t="shared" ca="1" si="923"/>
        <v>1855.7311990012599</v>
      </c>
      <c r="Q1116" s="325">
        <f t="shared" ca="1" si="923"/>
        <v>2222.4074486489671</v>
      </c>
      <c r="R1116" s="325">
        <f t="shared" ca="1" si="923"/>
        <v>2401.7623266024207</v>
      </c>
      <c r="S1116" s="325">
        <f t="shared" ca="1" si="923"/>
        <v>2097.6255796906908</v>
      </c>
      <c r="T1116" s="325">
        <f t="shared" ca="1" si="923"/>
        <v>1305.3903675848696</v>
      </c>
      <c r="U1116" s="325">
        <f t="shared" ca="1" si="923"/>
        <v>4276.3632243983075</v>
      </c>
      <c r="V1116" s="325">
        <f t="shared" ca="1" si="923"/>
        <v>2408.7978750854536</v>
      </c>
      <c r="W1116" s="325">
        <f t="shared" ca="1" si="923"/>
        <v>5007.8331389962241</v>
      </c>
      <c r="X1116" s="325">
        <f t="shared" ca="1" si="923"/>
        <v>5039.9943923074325</v>
      </c>
      <c r="Y1116" s="325">
        <f t="shared" ca="1" si="923"/>
        <v>4988.5054370123808</v>
      </c>
      <c r="Z1116" s="325">
        <f t="shared" ca="1" si="923"/>
        <v>4436.7573663410503</v>
      </c>
      <c r="AA1116" s="325">
        <f t="shared" ca="1" si="923"/>
        <v>4155.6935951349351</v>
      </c>
      <c r="AB1116" s="325">
        <f t="shared" ca="1" si="923"/>
        <v>6014.0381775769038</v>
      </c>
      <c r="AC1116" s="325">
        <f t="shared" ca="1" si="923"/>
        <v>2091.2669215394449</v>
      </c>
      <c r="AD1116" s="325">
        <f t="shared" ca="1" si="923"/>
        <v>2044.5253464266382</v>
      </c>
      <c r="AE1116" s="325">
        <f t="shared" ca="1" si="923"/>
        <v>1964.0620422687696</v>
      </c>
      <c r="AF1116" s="325">
        <f t="shared" ca="1" si="923"/>
        <v>1962.6051054115278</v>
      </c>
      <c r="AG1116" s="325">
        <f t="shared" ca="1" si="923"/>
        <v>1296.0759925863604</v>
      </c>
      <c r="AH1116" s="325">
        <f t="shared" ca="1" si="923"/>
        <v>1240.4203405194712</v>
      </c>
      <c r="AI1116" s="325">
        <f t="shared" ca="1" si="923"/>
        <v>4165.7997318435901</v>
      </c>
      <c r="AJ1116" s="325">
        <f t="shared" ca="1" si="923"/>
        <v>0</v>
      </c>
      <c r="AK1116" s="325">
        <f t="shared" ca="1" si="923"/>
        <v>0</v>
      </c>
      <c r="AL1116" s="325">
        <f t="shared" ca="1" si="923"/>
        <v>0</v>
      </c>
      <c r="AM1116" s="325">
        <f t="shared" ca="1" si="923"/>
        <v>0</v>
      </c>
      <c r="AN1116" s="325">
        <f t="shared" ca="1" si="923"/>
        <v>0</v>
      </c>
    </row>
    <row r="1117" spans="3:40" ht="16.2" outlineLevel="1" thickTop="1"/>
    <row r="1124" spans="10:18">
      <c r="J1124" s="501"/>
      <c r="K1124" s="339"/>
    </row>
    <row r="1125" spans="10:18">
      <c r="J1125" s="502"/>
      <c r="K1125" s="340"/>
      <c r="M1125" s="299"/>
    </row>
    <row r="1126" spans="10:18">
      <c r="J1126"/>
    </row>
    <row r="1127" spans="10:18">
      <c r="J1127"/>
    </row>
    <row r="1128" spans="10:18">
      <c r="J1128" s="297"/>
    </row>
    <row r="1129" spans="10:18">
      <c r="J1129" s="286"/>
      <c r="K1129"/>
      <c r="L1129"/>
      <c r="M1129"/>
      <c r="N1129"/>
      <c r="O1129" s="286"/>
      <c r="P1129" s="286"/>
      <c r="Q1129" s="286"/>
      <c r="R1129" s="286"/>
    </row>
    <row r="1130" spans="10:18">
      <c r="K1130"/>
      <c r="L1130"/>
      <c r="M1130"/>
      <c r="N1130"/>
      <c r="O1130" s="286"/>
      <c r="P1130" s="286"/>
      <c r="Q1130" s="286"/>
      <c r="R1130" s="286"/>
    </row>
    <row r="1131" spans="10:18">
      <c r="K1131"/>
      <c r="L1131"/>
      <c r="M1131"/>
      <c r="N1131"/>
      <c r="O1131" s="286"/>
      <c r="P1131" s="286"/>
      <c r="Q1131" s="286"/>
      <c r="R1131" s="286"/>
    </row>
    <row r="1132" spans="10:18">
      <c r="K1132"/>
      <c r="L1132"/>
      <c r="M1132"/>
      <c r="N1132"/>
      <c r="O1132" s="286"/>
      <c r="P1132" s="286"/>
      <c r="Q1132" s="286"/>
      <c r="R1132" s="286"/>
    </row>
    <row r="1133" spans="10:18">
      <c r="K1133"/>
      <c r="L1133"/>
      <c r="M1133"/>
      <c r="N1133"/>
      <c r="O1133" s="286"/>
      <c r="P1133" s="286"/>
      <c r="Q1133" s="286"/>
      <c r="R1133" s="286"/>
    </row>
    <row r="1134" spans="10:18">
      <c r="K1134"/>
      <c r="L1134"/>
      <c r="M1134"/>
      <c r="N1134"/>
      <c r="O1134" s="286"/>
      <c r="P1134" s="286"/>
      <c r="Q1134" s="286"/>
      <c r="R1134" s="286"/>
    </row>
    <row r="1135" spans="10:18">
      <c r="K1135"/>
      <c r="L1135"/>
      <c r="M1135"/>
      <c r="N1135"/>
      <c r="O1135" s="286"/>
      <c r="P1135" s="286"/>
      <c r="Q1135" s="286"/>
      <c r="R1135" s="286"/>
    </row>
    <row r="1136" spans="10:18">
      <c r="K1136"/>
      <c r="L1136"/>
      <c r="M1136"/>
      <c r="N1136"/>
      <c r="O1136" s="286"/>
      <c r="P1136" s="286"/>
      <c r="Q1136" s="286"/>
      <c r="R1136" s="286"/>
    </row>
    <row r="1137" spans="11:18">
      <c r="K1137"/>
      <c r="L1137"/>
      <c r="M1137"/>
      <c r="N1137"/>
      <c r="O1137" s="286"/>
      <c r="P1137" s="286"/>
      <c r="Q1137" s="286"/>
      <c r="R1137" s="286"/>
    </row>
    <row r="1138" spans="11:18">
      <c r="K1138"/>
      <c r="L1138"/>
      <c r="M1138"/>
      <c r="N1138"/>
      <c r="O1138" s="286"/>
      <c r="P1138" s="286"/>
      <c r="Q1138" s="286"/>
      <c r="R1138" s="286"/>
    </row>
    <row r="1139" spans="11:18">
      <c r="K1139"/>
      <c r="L1139"/>
      <c r="M1139"/>
      <c r="N1139"/>
      <c r="O1139" s="286"/>
      <c r="P1139" s="286"/>
      <c r="Q1139" s="286"/>
      <c r="R1139" s="286"/>
    </row>
    <row r="1140" spans="11:18">
      <c r="K1140"/>
      <c r="L1140"/>
      <c r="M1140"/>
      <c r="N1140"/>
      <c r="O1140" s="286"/>
      <c r="P1140" s="286"/>
      <c r="Q1140" s="286"/>
      <c r="R1140" s="286"/>
    </row>
    <row r="1141" spans="11:18">
      <c r="K1141"/>
      <c r="L1141"/>
      <c r="M1141"/>
      <c r="N1141"/>
      <c r="O1141" s="286"/>
      <c r="P1141" s="286"/>
      <c r="Q1141" s="286"/>
      <c r="R1141" s="286"/>
    </row>
    <row r="1142" spans="11:18">
      <c r="K1142"/>
      <c r="L1142"/>
      <c r="M1142"/>
      <c r="N1142"/>
      <c r="O1142" s="286"/>
      <c r="P1142" s="286"/>
      <c r="Q1142" s="286"/>
      <c r="R1142" s="286"/>
    </row>
    <row r="1143" spans="11:18">
      <c r="K1143"/>
      <c r="L1143"/>
      <c r="M1143"/>
      <c r="N1143"/>
      <c r="O1143" s="286"/>
      <c r="P1143" s="286"/>
      <c r="Q1143" s="286"/>
      <c r="R1143" s="286"/>
    </row>
    <row r="1144" spans="11:18">
      <c r="K1144"/>
      <c r="L1144"/>
      <c r="M1144"/>
      <c r="N1144"/>
      <c r="O1144" s="286"/>
      <c r="P1144" s="286"/>
      <c r="Q1144" s="286"/>
      <c r="R1144" s="286"/>
    </row>
    <row r="1145" spans="11:18">
      <c r="K1145"/>
      <c r="L1145"/>
      <c r="M1145"/>
      <c r="N1145"/>
      <c r="O1145" s="286"/>
      <c r="P1145" s="286"/>
      <c r="Q1145" s="286"/>
      <c r="R1145" s="286"/>
    </row>
    <row r="1146" spans="11:18">
      <c r="K1146"/>
      <c r="L1146"/>
      <c r="M1146"/>
      <c r="N1146"/>
      <c r="O1146" s="286"/>
      <c r="P1146" s="286"/>
      <c r="Q1146" s="286"/>
      <c r="R1146" s="286"/>
    </row>
  </sheetData>
  <phoneticPr fontId="67" type="noConversion"/>
  <conditionalFormatting sqref="G56:AN57">
    <cfRule type="cellIs" dxfId="104" priority="1" operator="equal">
      <formula>1</formula>
    </cfRule>
  </conditionalFormatting>
  <conditionalFormatting sqref="G72:AN73">
    <cfRule type="cellIs" dxfId="103" priority="2" operator="equal">
      <formula>1</formula>
    </cfRule>
  </conditionalFormatting>
  <conditionalFormatting sqref="G94:AN95">
    <cfRule type="cellIs" dxfId="102" priority="23" operator="equal">
      <formula>1</formula>
    </cfRule>
  </conditionalFormatting>
  <conditionalFormatting sqref="G106:AN107 G124:AN124 G1020:AN1020 G1071:AN1071 G1106:AN1106 G1108:AN1112 G1115:AN1115">
    <cfRule type="cellIs" dxfId="101" priority="24" operator="equal">
      <formula>1</formula>
    </cfRule>
  </conditionalFormatting>
  <conditionalFormatting sqref="G132:AN132">
    <cfRule type="cellIs" dxfId="100" priority="17" operator="equal">
      <formula>1</formula>
    </cfRule>
  </conditionalFormatting>
  <conditionalFormatting sqref="G135:AN135">
    <cfRule type="cellIs" dxfId="99" priority="5" operator="equal">
      <formula>1</formula>
    </cfRule>
  </conditionalFormatting>
  <conditionalFormatting sqref="G173:AN173">
    <cfRule type="cellIs" dxfId="98" priority="19" operator="equal">
      <formula>1</formula>
    </cfRule>
  </conditionalFormatting>
  <conditionalFormatting sqref="G179:AN179">
    <cfRule type="cellIs" dxfId="97" priority="18" operator="equal">
      <formula>1</formula>
    </cfRule>
  </conditionalFormatting>
  <conditionalFormatting sqref="G256:AN256">
    <cfRule type="cellIs" dxfId="96" priority="16" operator="equal">
      <formula>1</formula>
    </cfRule>
  </conditionalFormatting>
  <conditionalFormatting sqref="G290:AN290">
    <cfRule type="cellIs" dxfId="95" priority="20" operator="equal">
      <formula>1</formula>
    </cfRule>
  </conditionalFormatting>
  <conditionalFormatting sqref="G298:AN298">
    <cfRule type="cellIs" dxfId="94" priority="22" operator="equal">
      <formula>1</formula>
    </cfRule>
  </conditionalFormatting>
  <conditionalFormatting sqref="G304:AN304">
    <cfRule type="cellIs" dxfId="93" priority="21" operator="equal">
      <formula>1</formula>
    </cfRule>
  </conditionalFormatting>
  <conditionalFormatting sqref="G309:AN309">
    <cfRule type="cellIs" dxfId="92" priority="3" operator="equal">
      <formula>1</formula>
    </cfRule>
  </conditionalFormatting>
  <conditionalFormatting sqref="G361:AN361">
    <cfRule type="cellIs" dxfId="91" priority="4" operator="equal">
      <formula>1</formula>
    </cfRule>
  </conditionalFormatting>
  <conditionalFormatting sqref="G453:AN453">
    <cfRule type="cellIs" dxfId="90" priority="15" operator="equal">
      <formula>1</formula>
    </cfRule>
  </conditionalFormatting>
  <conditionalFormatting sqref="G508:AN508">
    <cfRule type="cellIs" dxfId="89" priority="14" operator="equal">
      <formula>1</formula>
    </cfRule>
  </conditionalFormatting>
  <conditionalFormatting sqref="G564:AN564">
    <cfRule type="cellIs" dxfId="88" priority="13" operator="equal">
      <formula>1</formula>
    </cfRule>
  </conditionalFormatting>
  <conditionalFormatting sqref="G619:AN619">
    <cfRule type="cellIs" dxfId="87" priority="12" operator="equal">
      <formula>1</formula>
    </cfRule>
  </conditionalFormatting>
  <conditionalFormatting sqref="G678:AN678">
    <cfRule type="cellIs" dxfId="86" priority="11" operator="equal">
      <formula>1</formula>
    </cfRule>
  </conditionalFormatting>
  <conditionalFormatting sqref="G733:AN733">
    <cfRule type="cellIs" dxfId="85" priority="10" operator="equal">
      <formula>1</formula>
    </cfRule>
  </conditionalFormatting>
  <conditionalFormatting sqref="G789:AN789">
    <cfRule type="cellIs" dxfId="84" priority="9" operator="equal">
      <formula>1</formula>
    </cfRule>
  </conditionalFormatting>
  <conditionalFormatting sqref="G844:AN844">
    <cfRule type="cellIs" dxfId="83" priority="8" operator="equal">
      <formula>1</formula>
    </cfRule>
  </conditionalFormatting>
  <conditionalFormatting sqref="G915:AN916">
    <cfRule type="cellIs" dxfId="82" priority="6" operator="equal">
      <formula>1</formula>
    </cfRule>
  </conditionalFormatting>
  <pageMargins left="0.7" right="0.7" top="0.75" bottom="0.75" header="0.3" footer="0.3"/>
  <pageSetup paperSize="9" scale="25" orientation="landscape" r:id="rId1"/>
  <rowBreaks count="10" manualBreakCount="10">
    <brk id="133" max="39" man="1"/>
    <brk id="253" max="39" man="1"/>
    <brk id="358" max="39" man="1"/>
    <brk id="451" max="39" man="1"/>
    <brk id="554" max="39" man="1"/>
    <brk id="664" max="39" man="1"/>
    <brk id="780" max="39" man="1"/>
    <brk id="889" max="39" man="1"/>
    <brk id="977" max="39" man="1"/>
    <brk id="1051" max="39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225" r:id="rId4" name="Button 1">
              <controlPr defaultSize="0" print="0" autoFill="0" autoPict="0" macro="[0]!IFRIC12_Macro">
                <anchor moveWithCells="1" sizeWithCells="1">
                  <from>
                    <xdr:col>2</xdr:col>
                    <xdr:colOff>2400300</xdr:colOff>
                    <xdr:row>1015</xdr:row>
                    <xdr:rowOff>22860</xdr:rowOff>
                  </from>
                  <to>
                    <xdr:col>2</xdr:col>
                    <xdr:colOff>3451860</xdr:colOff>
                    <xdr:row>1016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478E6-0785-46B7-B705-AAE0FAB450A4}">
  <sheetPr codeName="Sheet19">
    <tabColor rgb="FF0091DA"/>
  </sheetPr>
  <dimension ref="A1:AO389"/>
  <sheetViews>
    <sheetView showGridLines="0" view="pageBreakPreview" zoomScale="130" zoomScaleNormal="80" zoomScaleSheetLayoutView="130" workbookViewId="0">
      <pane ySplit="2" topLeftCell="A154" activePane="bottomLeft" state="frozen"/>
      <selection activeCell="AM95" sqref="AM95"/>
      <selection pane="bottomLeft" activeCell="AM95" sqref="AM95"/>
    </sheetView>
  </sheetViews>
  <sheetFormatPr defaultColWidth="0" defaultRowHeight="15.6" outlineLevelRow="3"/>
  <cols>
    <col min="1" max="1" width="5.5546875" style="1" bestFit="1" customWidth="1"/>
    <col min="2" max="2" width="2.6640625" style="1" customWidth="1"/>
    <col min="3" max="3" width="41.33203125" style="1" bestFit="1" customWidth="1"/>
    <col min="4" max="4" width="11.33203125" style="4" bestFit="1" customWidth="1"/>
    <col min="5" max="5" width="13" style="32" bestFit="1" customWidth="1"/>
    <col min="6" max="6" width="17.5546875" style="1" customWidth="1"/>
    <col min="7" max="7" width="16.6640625" style="1" bestFit="1" customWidth="1"/>
    <col min="8" max="8" width="18.5546875" style="1" bestFit="1" customWidth="1"/>
    <col min="9" max="21" width="15.5546875" style="1" bestFit="1" customWidth="1"/>
    <col min="22" max="24" width="14.5546875" style="1" bestFit="1" customWidth="1"/>
    <col min="25" max="40" width="12.6640625" style="1" bestFit="1" customWidth="1"/>
    <col min="41" max="41" width="8.6640625" style="1" customWidth="1"/>
    <col min="42" max="16384" width="0" style="1" hidden="1"/>
  </cols>
  <sheetData>
    <row r="1" spans="1:41" s="6" customFormat="1">
      <c r="A1" s="386" t="s">
        <v>560</v>
      </c>
      <c r="B1" s="386"/>
      <c r="C1" s="386"/>
      <c r="D1" s="393" t="s">
        <v>33</v>
      </c>
      <c r="E1" s="393" t="s">
        <v>34</v>
      </c>
      <c r="F1" s="393" t="s">
        <v>35</v>
      </c>
      <c r="G1" s="393" t="s">
        <v>36</v>
      </c>
      <c r="H1" s="386" t="s">
        <v>37</v>
      </c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6"/>
      <c r="AD1" s="386"/>
      <c r="AE1" s="386"/>
      <c r="AF1" s="386"/>
      <c r="AG1" s="386"/>
      <c r="AH1" s="386"/>
      <c r="AI1" s="386"/>
      <c r="AJ1" s="386"/>
      <c r="AK1" s="386"/>
      <c r="AL1" s="386"/>
      <c r="AM1" s="386"/>
      <c r="AN1" s="386"/>
      <c r="AO1" s="386"/>
    </row>
    <row r="2" spans="1:41" s="7" customFormat="1">
      <c r="A2" s="280"/>
      <c r="B2" s="280"/>
      <c r="C2" s="280"/>
      <c r="D2" s="96">
        <f ca="1">CHECKS!$F$9</f>
        <v>0</v>
      </c>
      <c r="E2" s="128">
        <f ca="1">CHECKS!$F$15</f>
        <v>0</v>
      </c>
      <c r="F2" s="889">
        <f ca="1">Project_IRR</f>
        <v>0.10790613293647766</v>
      </c>
      <c r="G2" s="890">
        <f ca="1">Project_NPV</f>
        <v>0.44602648716568183</v>
      </c>
      <c r="H2" s="129">
        <f ca="1">Master_Check</f>
        <v>0</v>
      </c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0"/>
      <c r="AH2" s="280"/>
      <c r="AI2" s="280"/>
      <c r="AJ2" s="280"/>
      <c r="AK2" s="280"/>
      <c r="AL2" s="280"/>
      <c r="AM2" s="280"/>
      <c r="AN2" s="280"/>
      <c r="AO2" s="280"/>
    </row>
    <row r="3" spans="1:41">
      <c r="A3" s="266"/>
      <c r="B3" s="266"/>
      <c r="C3" s="266"/>
      <c r="E3" s="308"/>
      <c r="F3" s="281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6"/>
      <c r="R3" s="266"/>
      <c r="S3" s="266"/>
      <c r="T3" s="266"/>
      <c r="U3" s="266"/>
      <c r="V3" s="266"/>
      <c r="W3" s="266"/>
      <c r="X3" s="266"/>
      <c r="Y3" s="266"/>
      <c r="Z3" s="266"/>
      <c r="AA3" s="266"/>
      <c r="AB3" s="266"/>
      <c r="AC3" s="266"/>
      <c r="AD3" s="266"/>
      <c r="AE3" s="266"/>
      <c r="AF3" s="266"/>
      <c r="AG3" s="266"/>
      <c r="AH3" s="266"/>
      <c r="AI3" s="266"/>
      <c r="AJ3" s="266"/>
      <c r="AK3" s="266"/>
      <c r="AL3" s="266"/>
      <c r="AM3" s="266"/>
      <c r="AN3" s="266"/>
      <c r="AO3" s="266"/>
    </row>
    <row r="4" spans="1:41">
      <c r="A4" s="266"/>
      <c r="B4" s="266"/>
      <c r="C4" s="11" t="str">
        <f>Flags!C4</f>
        <v>Começo período</v>
      </c>
      <c r="D4" s="119"/>
      <c r="E4" s="309"/>
      <c r="F4" s="266"/>
      <c r="G4" s="281">
        <f>Flags!G4</f>
        <v>46388</v>
      </c>
      <c r="H4" s="281">
        <f>Flags!H4</f>
        <v>46753</v>
      </c>
      <c r="I4" s="281">
        <f>Flags!I4</f>
        <v>47119</v>
      </c>
      <c r="J4" s="281">
        <f>Flags!J4</f>
        <v>47484</v>
      </c>
      <c r="K4" s="281">
        <f>Flags!K4</f>
        <v>47849</v>
      </c>
      <c r="L4" s="281">
        <f>Flags!L4</f>
        <v>48214</v>
      </c>
      <c r="M4" s="281">
        <f>Flags!M4</f>
        <v>48580</v>
      </c>
      <c r="N4" s="281">
        <f>Flags!N4</f>
        <v>48945</v>
      </c>
      <c r="O4" s="281">
        <f>Flags!O4</f>
        <v>49310</v>
      </c>
      <c r="P4" s="281">
        <f>Flags!P4</f>
        <v>49675</v>
      </c>
      <c r="Q4" s="281">
        <f>Flags!Q4</f>
        <v>50041</v>
      </c>
      <c r="R4" s="281">
        <f>Flags!R4</f>
        <v>50406</v>
      </c>
      <c r="S4" s="281">
        <f>Flags!S4</f>
        <v>50771</v>
      </c>
      <c r="T4" s="281">
        <f>Flags!T4</f>
        <v>51136</v>
      </c>
      <c r="U4" s="281">
        <f>Flags!U4</f>
        <v>51502</v>
      </c>
      <c r="V4" s="281">
        <f>Flags!V4</f>
        <v>51867</v>
      </c>
      <c r="W4" s="281">
        <f>Flags!W4</f>
        <v>52232</v>
      </c>
      <c r="X4" s="281">
        <f>Flags!X4</f>
        <v>52597</v>
      </c>
      <c r="Y4" s="281">
        <f>Flags!Y4</f>
        <v>52963</v>
      </c>
      <c r="Z4" s="281">
        <f>Flags!Z4</f>
        <v>53328</v>
      </c>
      <c r="AA4" s="281">
        <f>Flags!AA4</f>
        <v>53693</v>
      </c>
      <c r="AB4" s="281">
        <f>Flags!AB4</f>
        <v>54058</v>
      </c>
      <c r="AC4" s="281">
        <f>Flags!AC4</f>
        <v>54424</v>
      </c>
      <c r="AD4" s="281">
        <f>Flags!AD4</f>
        <v>54789</v>
      </c>
      <c r="AE4" s="281">
        <f>Flags!AE4</f>
        <v>55154</v>
      </c>
      <c r="AF4" s="281">
        <f>Flags!AF4</f>
        <v>55519</v>
      </c>
      <c r="AG4" s="281">
        <f>Flags!AG4</f>
        <v>55885</v>
      </c>
      <c r="AH4" s="281">
        <f>Flags!AH4</f>
        <v>56250</v>
      </c>
      <c r="AI4" s="281">
        <f>Flags!AI4</f>
        <v>56615</v>
      </c>
      <c r="AJ4" s="281">
        <f>Flags!AJ4</f>
        <v>56980</v>
      </c>
      <c r="AK4" s="281">
        <f>Flags!AK4</f>
        <v>57346</v>
      </c>
      <c r="AL4" s="281">
        <f>Flags!AL4</f>
        <v>57711</v>
      </c>
      <c r="AM4" s="281">
        <f>Flags!AM4</f>
        <v>58076</v>
      </c>
      <c r="AN4" s="281">
        <f>Flags!AN4</f>
        <v>58441</v>
      </c>
      <c r="AO4" s="266"/>
    </row>
    <row r="5" spans="1:41">
      <c r="A5" s="266"/>
      <c r="B5" s="266"/>
      <c r="C5" s="11" t="str">
        <f>Flags!C5</f>
        <v>Fim período</v>
      </c>
      <c r="E5" s="309"/>
      <c r="F5" s="266"/>
      <c r="G5" s="281">
        <f>Flags!G5</f>
        <v>46752</v>
      </c>
      <c r="H5" s="281">
        <f>Flags!H5</f>
        <v>47118</v>
      </c>
      <c r="I5" s="281">
        <f>Flags!I5</f>
        <v>47483</v>
      </c>
      <c r="J5" s="281">
        <f>Flags!J5</f>
        <v>47848</v>
      </c>
      <c r="K5" s="281">
        <f>Flags!K5</f>
        <v>48213</v>
      </c>
      <c r="L5" s="281">
        <f>Flags!L5</f>
        <v>48579</v>
      </c>
      <c r="M5" s="281">
        <f>Flags!M5</f>
        <v>48944</v>
      </c>
      <c r="N5" s="281">
        <f>Flags!N5</f>
        <v>49309</v>
      </c>
      <c r="O5" s="281">
        <f>Flags!O5</f>
        <v>49674</v>
      </c>
      <c r="P5" s="281">
        <f>Flags!P5</f>
        <v>50040</v>
      </c>
      <c r="Q5" s="281">
        <f>Flags!Q5</f>
        <v>50405</v>
      </c>
      <c r="R5" s="281">
        <f>Flags!R5</f>
        <v>50770</v>
      </c>
      <c r="S5" s="281">
        <f>Flags!S5</f>
        <v>51135</v>
      </c>
      <c r="T5" s="281">
        <f>Flags!T5</f>
        <v>51501</v>
      </c>
      <c r="U5" s="281">
        <f>Flags!U5</f>
        <v>51866</v>
      </c>
      <c r="V5" s="281">
        <f>Flags!V5</f>
        <v>52231</v>
      </c>
      <c r="W5" s="281">
        <f>Flags!W5</f>
        <v>52596</v>
      </c>
      <c r="X5" s="281">
        <f>Flags!X5</f>
        <v>52962</v>
      </c>
      <c r="Y5" s="281">
        <f>Flags!Y5</f>
        <v>53327</v>
      </c>
      <c r="Z5" s="281">
        <f>Flags!Z5</f>
        <v>53692</v>
      </c>
      <c r="AA5" s="281">
        <f>Flags!AA5</f>
        <v>54057</v>
      </c>
      <c r="AB5" s="281">
        <f>Flags!AB5</f>
        <v>54423</v>
      </c>
      <c r="AC5" s="281">
        <f>Flags!AC5</f>
        <v>54788</v>
      </c>
      <c r="AD5" s="281">
        <f>Flags!AD5</f>
        <v>55153</v>
      </c>
      <c r="AE5" s="281">
        <f>Flags!AE5</f>
        <v>55518</v>
      </c>
      <c r="AF5" s="281">
        <f>Flags!AF5</f>
        <v>55884</v>
      </c>
      <c r="AG5" s="281">
        <f>Flags!AG5</f>
        <v>56249</v>
      </c>
      <c r="AH5" s="281">
        <f>Flags!AH5</f>
        <v>56614</v>
      </c>
      <c r="AI5" s="281">
        <f>Flags!AI5</f>
        <v>56979</v>
      </c>
      <c r="AJ5" s="281">
        <f>Flags!AJ5</f>
        <v>57345</v>
      </c>
      <c r="AK5" s="281">
        <f>Flags!AK5</f>
        <v>57710</v>
      </c>
      <c r="AL5" s="281">
        <f>Flags!AL5</f>
        <v>58075</v>
      </c>
      <c r="AM5" s="281">
        <f>Flags!AM5</f>
        <v>58440</v>
      </c>
      <c r="AN5" s="281">
        <f>Flags!AN5</f>
        <v>58806</v>
      </c>
      <c r="AO5" s="266"/>
    </row>
    <row r="6" spans="1:41">
      <c r="A6" s="266"/>
      <c r="B6" s="266"/>
      <c r="C6" s="11" t="s">
        <v>38</v>
      </c>
      <c r="E6" s="309"/>
      <c r="F6" s="266"/>
      <c r="G6" s="310">
        <f t="shared" ref="G6:AN6" si="0">YEAR(G5)</f>
        <v>2027</v>
      </c>
      <c r="H6" s="310">
        <f t="shared" si="0"/>
        <v>2028</v>
      </c>
      <c r="I6" s="310">
        <f t="shared" si="0"/>
        <v>2029</v>
      </c>
      <c r="J6" s="310">
        <f t="shared" si="0"/>
        <v>2030</v>
      </c>
      <c r="K6" s="310">
        <f t="shared" si="0"/>
        <v>2031</v>
      </c>
      <c r="L6" s="310">
        <f t="shared" si="0"/>
        <v>2032</v>
      </c>
      <c r="M6" s="310">
        <f t="shared" si="0"/>
        <v>2033</v>
      </c>
      <c r="N6" s="310">
        <f t="shared" si="0"/>
        <v>2034</v>
      </c>
      <c r="O6" s="310">
        <f t="shared" si="0"/>
        <v>2035</v>
      </c>
      <c r="P6" s="310">
        <f t="shared" si="0"/>
        <v>2036</v>
      </c>
      <c r="Q6" s="310">
        <f t="shared" si="0"/>
        <v>2037</v>
      </c>
      <c r="R6" s="310">
        <f t="shared" si="0"/>
        <v>2038</v>
      </c>
      <c r="S6" s="310">
        <f t="shared" si="0"/>
        <v>2039</v>
      </c>
      <c r="T6" s="310">
        <f t="shared" si="0"/>
        <v>2040</v>
      </c>
      <c r="U6" s="310">
        <f t="shared" si="0"/>
        <v>2041</v>
      </c>
      <c r="V6" s="310">
        <f t="shared" si="0"/>
        <v>2042</v>
      </c>
      <c r="W6" s="310">
        <f t="shared" si="0"/>
        <v>2043</v>
      </c>
      <c r="X6" s="310">
        <f t="shared" si="0"/>
        <v>2044</v>
      </c>
      <c r="Y6" s="310">
        <f t="shared" si="0"/>
        <v>2045</v>
      </c>
      <c r="Z6" s="310">
        <f t="shared" si="0"/>
        <v>2046</v>
      </c>
      <c r="AA6" s="310">
        <f t="shared" si="0"/>
        <v>2047</v>
      </c>
      <c r="AB6" s="310">
        <f t="shared" si="0"/>
        <v>2048</v>
      </c>
      <c r="AC6" s="310">
        <f t="shared" si="0"/>
        <v>2049</v>
      </c>
      <c r="AD6" s="310">
        <f t="shared" si="0"/>
        <v>2050</v>
      </c>
      <c r="AE6" s="310">
        <f t="shared" si="0"/>
        <v>2051</v>
      </c>
      <c r="AF6" s="310">
        <f t="shared" si="0"/>
        <v>2052</v>
      </c>
      <c r="AG6" s="310">
        <f t="shared" si="0"/>
        <v>2053</v>
      </c>
      <c r="AH6" s="310">
        <f t="shared" si="0"/>
        <v>2054</v>
      </c>
      <c r="AI6" s="310">
        <f t="shared" si="0"/>
        <v>2055</v>
      </c>
      <c r="AJ6" s="310">
        <f t="shared" si="0"/>
        <v>2056</v>
      </c>
      <c r="AK6" s="310">
        <f t="shared" si="0"/>
        <v>2057</v>
      </c>
      <c r="AL6" s="310">
        <f t="shared" si="0"/>
        <v>2058</v>
      </c>
      <c r="AM6" s="310">
        <f t="shared" si="0"/>
        <v>2059</v>
      </c>
      <c r="AN6" s="310">
        <f t="shared" si="0"/>
        <v>2060</v>
      </c>
      <c r="AO6" s="266"/>
    </row>
    <row r="7" spans="1:41">
      <c r="A7" s="266"/>
      <c r="B7" s="266"/>
      <c r="C7" s="11" t="str">
        <f>Flags!C6</f>
        <v>Timeline</v>
      </c>
      <c r="E7" s="309"/>
      <c r="F7" s="266"/>
      <c r="G7" s="273" t="str">
        <f>Flags!G90</f>
        <v>Ops</v>
      </c>
      <c r="H7" s="273" t="str">
        <f>Flags!H90</f>
        <v>Ops</v>
      </c>
      <c r="I7" s="273" t="str">
        <f>Flags!I90</f>
        <v>Ops</v>
      </c>
      <c r="J7" s="273" t="str">
        <f>Flags!J90</f>
        <v>Ops</v>
      </c>
      <c r="K7" s="273" t="str">
        <f>Flags!K90</f>
        <v>Ops</v>
      </c>
      <c r="L7" s="273" t="str">
        <f>Flags!L90</f>
        <v>Ops</v>
      </c>
      <c r="M7" s="273" t="str">
        <f>Flags!M90</f>
        <v>Ops</v>
      </c>
      <c r="N7" s="273" t="str">
        <f>Flags!N90</f>
        <v>Ops</v>
      </c>
      <c r="O7" s="273" t="str">
        <f>Flags!O90</f>
        <v>Ops</v>
      </c>
      <c r="P7" s="273" t="str">
        <f>Flags!P90</f>
        <v>Ops</v>
      </c>
      <c r="Q7" s="273" t="str">
        <f>Flags!Q90</f>
        <v>Ops</v>
      </c>
      <c r="R7" s="273" t="str">
        <f>Flags!R90</f>
        <v>Ops</v>
      </c>
      <c r="S7" s="273" t="str">
        <f>Flags!S90</f>
        <v>Ops</v>
      </c>
      <c r="T7" s="273" t="str">
        <f>Flags!T90</f>
        <v>Ops</v>
      </c>
      <c r="U7" s="273" t="str">
        <f>Flags!U90</f>
        <v>Ops</v>
      </c>
      <c r="V7" s="273" t="str">
        <f>Flags!V90</f>
        <v>Ops</v>
      </c>
      <c r="W7" s="273" t="str">
        <f>Flags!W90</f>
        <v>Ops</v>
      </c>
      <c r="X7" s="273" t="str">
        <f>Flags!X90</f>
        <v>Ops</v>
      </c>
      <c r="Y7" s="273" t="str">
        <f>Flags!Y90</f>
        <v>Ops</v>
      </c>
      <c r="Z7" s="273" t="str">
        <f>Flags!Z90</f>
        <v>Ops</v>
      </c>
      <c r="AA7" s="273" t="str">
        <f>Flags!AA90</f>
        <v>Ops</v>
      </c>
      <c r="AB7" s="273" t="str">
        <f>Flags!AB90</f>
        <v>Ops</v>
      </c>
      <c r="AC7" s="273" t="str">
        <f>Flags!AC90</f>
        <v>Ops</v>
      </c>
      <c r="AD7" s="273" t="str">
        <f>Flags!AD90</f>
        <v>Ops</v>
      </c>
      <c r="AE7" s="273" t="str">
        <f>Flags!AE90</f>
        <v>Ops</v>
      </c>
      <c r="AF7" s="273" t="str">
        <f>Flags!AF90</f>
        <v>Ops</v>
      </c>
      <c r="AG7" s="273" t="str">
        <f>Flags!AG90</f>
        <v>Ops</v>
      </c>
      <c r="AH7" s="273" t="str">
        <f>Flags!AH90</f>
        <v>Ops</v>
      </c>
      <c r="AI7" s="273" t="str">
        <f>Flags!AI90</f>
        <v>Ops</v>
      </c>
      <c r="AJ7" s="273" t="str">
        <f>Flags!AJ90</f>
        <v>Ops</v>
      </c>
      <c r="AK7" s="273" t="str">
        <f>Flags!AK90</f>
        <v>Post Ops.</v>
      </c>
      <c r="AL7" s="273" t="str">
        <f>Flags!AL90</f>
        <v>Post Ops.</v>
      </c>
      <c r="AM7" s="273" t="str">
        <f>Flags!AM90</f>
        <v>Post Ops.</v>
      </c>
      <c r="AN7" s="273" t="str">
        <f>Flags!AN90</f>
        <v>Post Ops.</v>
      </c>
      <c r="AO7" s="266"/>
    </row>
    <row r="8" spans="1:41">
      <c r="A8" s="266"/>
      <c r="B8" s="266"/>
      <c r="C8" s="266"/>
      <c r="E8" s="309"/>
      <c r="F8" s="266"/>
      <c r="G8" s="266"/>
      <c r="H8" s="266"/>
      <c r="I8" s="266"/>
      <c r="J8" s="266"/>
      <c r="K8" s="266"/>
      <c r="L8" s="266"/>
      <c r="M8" s="266"/>
      <c r="N8" s="266"/>
      <c r="O8" s="266"/>
      <c r="P8" s="266"/>
      <c r="Q8" s="266"/>
      <c r="R8" s="266"/>
      <c r="S8" s="266"/>
      <c r="T8" s="266"/>
      <c r="U8" s="266"/>
      <c r="V8" s="266"/>
      <c r="W8" s="266"/>
      <c r="X8" s="266"/>
      <c r="Y8" s="266"/>
      <c r="Z8" s="266"/>
      <c r="AA8" s="266"/>
      <c r="AB8" s="266"/>
      <c r="AC8" s="266"/>
      <c r="AD8" s="266"/>
      <c r="AE8" s="266"/>
      <c r="AF8" s="266"/>
      <c r="AG8" s="266"/>
      <c r="AH8" s="266"/>
      <c r="AI8" s="266"/>
      <c r="AJ8" s="266"/>
      <c r="AK8" s="266"/>
      <c r="AL8" s="266"/>
      <c r="AM8" s="266"/>
      <c r="AN8" s="266"/>
      <c r="AO8" s="266"/>
    </row>
    <row r="9" spans="1:41">
      <c r="A9" s="266"/>
      <c r="B9" s="266"/>
      <c r="C9" s="266"/>
      <c r="D9" s="892" t="str">
        <f>Flags!D8</f>
        <v>Inputs</v>
      </c>
      <c r="E9" s="893" t="str">
        <f>Flags!E8</f>
        <v>Units</v>
      </c>
      <c r="F9" s="893" t="str">
        <f>Flags!F8</f>
        <v>Total</v>
      </c>
      <c r="G9" s="266"/>
      <c r="H9" s="266"/>
      <c r="I9" s="266"/>
      <c r="J9" s="266"/>
      <c r="K9" s="266"/>
      <c r="L9" s="266"/>
      <c r="M9" s="266"/>
      <c r="N9" s="266"/>
      <c r="O9" s="266"/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66"/>
      <c r="AD9" s="266"/>
      <c r="AE9" s="266"/>
      <c r="AF9" s="266"/>
      <c r="AG9" s="266"/>
      <c r="AH9" s="266"/>
      <c r="AI9" s="266"/>
      <c r="AJ9" s="266"/>
      <c r="AK9" s="266"/>
      <c r="AL9" s="266"/>
      <c r="AM9" s="266"/>
      <c r="AN9" s="266"/>
      <c r="AO9" s="266"/>
    </row>
    <row r="10" spans="1:41">
      <c r="A10" s="266"/>
      <c r="B10" s="266"/>
      <c r="C10" s="266"/>
      <c r="D10" s="19"/>
      <c r="E10" s="75"/>
      <c r="F10" s="20"/>
      <c r="G10" s="266"/>
      <c r="H10" s="266"/>
      <c r="I10" s="266"/>
      <c r="J10" s="266"/>
      <c r="K10" s="266"/>
      <c r="L10" s="266"/>
      <c r="M10" s="266"/>
      <c r="N10" s="266"/>
      <c r="O10" s="266"/>
      <c r="P10" s="266"/>
      <c r="Q10" s="266"/>
      <c r="R10" s="266"/>
      <c r="S10" s="266"/>
      <c r="T10" s="266"/>
      <c r="U10" s="266"/>
      <c r="V10" s="266"/>
      <c r="W10" s="266"/>
      <c r="X10" s="266"/>
      <c r="Y10" s="266"/>
      <c r="Z10" s="266"/>
      <c r="AA10" s="266"/>
      <c r="AB10" s="266"/>
      <c r="AC10" s="266"/>
      <c r="AD10" s="266"/>
      <c r="AE10" s="266"/>
      <c r="AF10" s="266"/>
      <c r="AG10" s="266"/>
      <c r="AH10" s="266"/>
      <c r="AI10" s="266"/>
      <c r="AJ10" s="266"/>
      <c r="AK10" s="266"/>
      <c r="AL10" s="266"/>
      <c r="AM10" s="266"/>
      <c r="AN10" s="266"/>
      <c r="AO10" s="266"/>
    </row>
    <row r="11" spans="1:41" s="266" customFormat="1" ht="16.2" thickBot="1">
      <c r="C11" s="394" t="s">
        <v>372</v>
      </c>
      <c r="D11" s="395"/>
      <c r="E11" s="396"/>
      <c r="F11" s="395"/>
      <c r="G11" s="395"/>
      <c r="H11" s="395"/>
      <c r="I11" s="395"/>
      <c r="J11" s="395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95"/>
      <c r="AJ11" s="395"/>
      <c r="AK11" s="8"/>
      <c r="AL11" s="8"/>
      <c r="AM11" s="8"/>
      <c r="AN11" s="8"/>
    </row>
    <row r="12" spans="1:41" outlineLevel="1">
      <c r="A12" s="266"/>
      <c r="B12" s="266"/>
      <c r="C12" s="266"/>
      <c r="D12" s="266"/>
      <c r="E12" s="266"/>
      <c r="F12" s="266"/>
      <c r="G12" s="266"/>
      <c r="H12" s="266"/>
      <c r="I12" s="266"/>
      <c r="J12" s="266"/>
      <c r="K12" s="266"/>
      <c r="L12" s="266"/>
      <c r="M12" s="266"/>
      <c r="N12" s="266"/>
      <c r="O12" s="266"/>
      <c r="P12" s="266"/>
      <c r="Q12" s="266"/>
      <c r="R12" s="266"/>
      <c r="S12" s="266"/>
      <c r="T12" s="266"/>
      <c r="U12" s="266"/>
      <c r="V12" s="266"/>
      <c r="W12" s="266"/>
      <c r="X12" s="266"/>
      <c r="Y12" s="266"/>
      <c r="Z12" s="266"/>
      <c r="AA12" s="266"/>
      <c r="AB12" s="266"/>
      <c r="AC12" s="266"/>
      <c r="AD12" s="266"/>
      <c r="AE12" s="266"/>
      <c r="AF12" s="266"/>
      <c r="AG12" s="266"/>
      <c r="AH12" s="266"/>
      <c r="AI12" s="266"/>
      <c r="AJ12" s="266"/>
      <c r="AK12" s="266"/>
      <c r="AL12" s="266"/>
      <c r="AM12" s="266"/>
      <c r="AN12" s="266"/>
      <c r="AO12" s="266"/>
    </row>
    <row r="13" spans="1:41" outlineLevel="1">
      <c r="A13" s="266"/>
      <c r="B13" s="266"/>
      <c r="C13" s="266" t="s">
        <v>373</v>
      </c>
      <c r="E13" s="21" t="s">
        <v>38</v>
      </c>
      <c r="F13" s="266"/>
      <c r="G13" s="266">
        <f t="shared" ref="G13:AN13" si="1">YEAR(G$5)</f>
        <v>2027</v>
      </c>
      <c r="H13" s="266">
        <f t="shared" si="1"/>
        <v>2028</v>
      </c>
      <c r="I13" s="266">
        <f t="shared" si="1"/>
        <v>2029</v>
      </c>
      <c r="J13" s="266">
        <f t="shared" si="1"/>
        <v>2030</v>
      </c>
      <c r="K13" s="266">
        <f t="shared" si="1"/>
        <v>2031</v>
      </c>
      <c r="L13" s="266">
        <f t="shared" si="1"/>
        <v>2032</v>
      </c>
      <c r="M13" s="266">
        <f t="shared" si="1"/>
        <v>2033</v>
      </c>
      <c r="N13" s="266">
        <f t="shared" si="1"/>
        <v>2034</v>
      </c>
      <c r="O13" s="266">
        <f t="shared" si="1"/>
        <v>2035</v>
      </c>
      <c r="P13" s="266">
        <f t="shared" si="1"/>
        <v>2036</v>
      </c>
      <c r="Q13" s="266">
        <f t="shared" si="1"/>
        <v>2037</v>
      </c>
      <c r="R13" s="266">
        <f t="shared" si="1"/>
        <v>2038</v>
      </c>
      <c r="S13" s="266">
        <f t="shared" si="1"/>
        <v>2039</v>
      </c>
      <c r="T13" s="266">
        <f t="shared" si="1"/>
        <v>2040</v>
      </c>
      <c r="U13" s="266">
        <f t="shared" si="1"/>
        <v>2041</v>
      </c>
      <c r="V13" s="266">
        <f t="shared" si="1"/>
        <v>2042</v>
      </c>
      <c r="W13" s="266">
        <f t="shared" si="1"/>
        <v>2043</v>
      </c>
      <c r="X13" s="266">
        <f t="shared" si="1"/>
        <v>2044</v>
      </c>
      <c r="Y13" s="266">
        <f t="shared" si="1"/>
        <v>2045</v>
      </c>
      <c r="Z13" s="266">
        <f t="shared" si="1"/>
        <v>2046</v>
      </c>
      <c r="AA13" s="266">
        <f t="shared" si="1"/>
        <v>2047</v>
      </c>
      <c r="AB13" s="266">
        <f t="shared" si="1"/>
        <v>2048</v>
      </c>
      <c r="AC13" s="266">
        <f t="shared" si="1"/>
        <v>2049</v>
      </c>
      <c r="AD13" s="266">
        <f t="shared" si="1"/>
        <v>2050</v>
      </c>
      <c r="AE13" s="266">
        <f t="shared" si="1"/>
        <v>2051</v>
      </c>
      <c r="AF13" s="266">
        <f t="shared" si="1"/>
        <v>2052</v>
      </c>
      <c r="AG13" s="266">
        <f t="shared" si="1"/>
        <v>2053</v>
      </c>
      <c r="AH13" s="266">
        <f t="shared" si="1"/>
        <v>2054</v>
      </c>
      <c r="AI13" s="266">
        <f t="shared" si="1"/>
        <v>2055</v>
      </c>
      <c r="AJ13" s="266">
        <f t="shared" si="1"/>
        <v>2056</v>
      </c>
      <c r="AK13" s="266">
        <f t="shared" si="1"/>
        <v>2057</v>
      </c>
      <c r="AL13" s="266">
        <f t="shared" si="1"/>
        <v>2058</v>
      </c>
      <c r="AM13" s="266">
        <f t="shared" si="1"/>
        <v>2059</v>
      </c>
      <c r="AN13" s="266">
        <f t="shared" si="1"/>
        <v>2060</v>
      </c>
      <c r="AO13" s="266"/>
    </row>
    <row r="14" spans="1:41" outlineLevel="1">
      <c r="A14" s="266"/>
      <c r="B14" s="266"/>
      <c r="C14" s="266" t="s">
        <v>374</v>
      </c>
      <c r="E14" s="21" t="s">
        <v>304</v>
      </c>
      <c r="F14" s="266"/>
      <c r="G14" s="266">
        <f>Flags!H$26</f>
        <v>366</v>
      </c>
      <c r="H14" s="266">
        <f>Flags!I$26</f>
        <v>365</v>
      </c>
      <c r="I14" s="266">
        <f>Flags!J$26</f>
        <v>365</v>
      </c>
      <c r="J14" s="266">
        <f>Flags!K$26</f>
        <v>365</v>
      </c>
      <c r="K14" s="266">
        <f>Flags!L$26</f>
        <v>366</v>
      </c>
      <c r="L14" s="266">
        <f>Flags!M$26</f>
        <v>365</v>
      </c>
      <c r="M14" s="266">
        <f>Flags!N$26</f>
        <v>365</v>
      </c>
      <c r="N14" s="266">
        <f>Flags!O$26</f>
        <v>365</v>
      </c>
      <c r="O14" s="266">
        <f>Flags!P$26</f>
        <v>366</v>
      </c>
      <c r="P14" s="266">
        <f>Flags!Q$26</f>
        <v>365</v>
      </c>
      <c r="Q14" s="266">
        <f>Flags!R$26</f>
        <v>365</v>
      </c>
      <c r="R14" s="266">
        <f>Flags!S$26</f>
        <v>365</v>
      </c>
      <c r="S14" s="266">
        <f>Flags!T$26</f>
        <v>366</v>
      </c>
      <c r="T14" s="266">
        <f>Flags!U$26</f>
        <v>365</v>
      </c>
      <c r="U14" s="266">
        <f>Flags!V$26</f>
        <v>365</v>
      </c>
      <c r="V14" s="266">
        <f>Flags!W$26</f>
        <v>365</v>
      </c>
      <c r="W14" s="266">
        <f>Flags!X$26</f>
        <v>366</v>
      </c>
      <c r="X14" s="266">
        <f>Flags!Y$26</f>
        <v>365</v>
      </c>
      <c r="Y14" s="266">
        <f>Flags!Z$26</f>
        <v>365</v>
      </c>
      <c r="Z14" s="266">
        <f>Flags!AA$26</f>
        <v>365</v>
      </c>
      <c r="AA14" s="266">
        <f>Flags!AB$26</f>
        <v>366</v>
      </c>
      <c r="AB14" s="266">
        <f>Flags!AC$26</f>
        <v>365</v>
      </c>
      <c r="AC14" s="266">
        <f>Flags!AD$26</f>
        <v>365</v>
      </c>
      <c r="AD14" s="266">
        <f>Flags!AE$26</f>
        <v>365</v>
      </c>
      <c r="AE14" s="266">
        <f>Flags!AF$26</f>
        <v>366</v>
      </c>
      <c r="AF14" s="266">
        <f>Flags!AG$26</f>
        <v>365</v>
      </c>
      <c r="AG14" s="266">
        <f>Flags!AH$26</f>
        <v>365</v>
      </c>
      <c r="AH14" s="266">
        <f>Flags!AI$26</f>
        <v>365</v>
      </c>
      <c r="AI14" s="266">
        <f>Flags!AJ$26</f>
        <v>366</v>
      </c>
      <c r="AJ14" s="266">
        <f>Flags!AK$26</f>
        <v>365</v>
      </c>
      <c r="AK14" s="266">
        <f>Flags!AL$26</f>
        <v>365</v>
      </c>
      <c r="AL14" s="266">
        <f>Flags!AM$26</f>
        <v>365</v>
      </c>
      <c r="AM14" s="266">
        <f>Flags!AN$26</f>
        <v>366</v>
      </c>
      <c r="AN14" s="266">
        <f>Flags!AO$26</f>
        <v>0</v>
      </c>
      <c r="AO14" s="266"/>
    </row>
    <row r="15" spans="1:41" outlineLevel="1">
      <c r="A15" s="266"/>
      <c r="B15" s="266"/>
      <c r="C15" s="266" t="s">
        <v>375</v>
      </c>
      <c r="E15" s="21" t="s">
        <v>304</v>
      </c>
      <c r="F15" s="266"/>
      <c r="G15" s="266">
        <f t="shared" ref="G15:AJ15" si="2">SUMIF($G$13:$AN$13,G13,$G$14:$AN$14)</f>
        <v>366</v>
      </c>
      <c r="H15" s="266">
        <f t="shared" si="2"/>
        <v>365</v>
      </c>
      <c r="I15" s="266">
        <f t="shared" si="2"/>
        <v>365</v>
      </c>
      <c r="J15" s="266">
        <f t="shared" si="2"/>
        <v>365</v>
      </c>
      <c r="K15" s="266">
        <f t="shared" si="2"/>
        <v>366</v>
      </c>
      <c r="L15" s="266">
        <f t="shared" si="2"/>
        <v>365</v>
      </c>
      <c r="M15" s="266">
        <f t="shared" si="2"/>
        <v>365</v>
      </c>
      <c r="N15" s="266">
        <f t="shared" si="2"/>
        <v>365</v>
      </c>
      <c r="O15" s="266">
        <f t="shared" si="2"/>
        <v>366</v>
      </c>
      <c r="P15" s="266">
        <f t="shared" si="2"/>
        <v>365</v>
      </c>
      <c r="Q15" s="266">
        <f t="shared" si="2"/>
        <v>365</v>
      </c>
      <c r="R15" s="266">
        <f t="shared" si="2"/>
        <v>365</v>
      </c>
      <c r="S15" s="266">
        <f t="shared" si="2"/>
        <v>366</v>
      </c>
      <c r="T15" s="266">
        <f t="shared" si="2"/>
        <v>365</v>
      </c>
      <c r="U15" s="266">
        <f t="shared" si="2"/>
        <v>365</v>
      </c>
      <c r="V15" s="266">
        <f t="shared" si="2"/>
        <v>365</v>
      </c>
      <c r="W15" s="266">
        <f t="shared" si="2"/>
        <v>366</v>
      </c>
      <c r="X15" s="266">
        <f t="shared" si="2"/>
        <v>365</v>
      </c>
      <c r="Y15" s="266">
        <f t="shared" si="2"/>
        <v>365</v>
      </c>
      <c r="Z15" s="266">
        <f t="shared" si="2"/>
        <v>365</v>
      </c>
      <c r="AA15" s="266">
        <f t="shared" si="2"/>
        <v>366</v>
      </c>
      <c r="AB15" s="266">
        <f t="shared" si="2"/>
        <v>365</v>
      </c>
      <c r="AC15" s="266">
        <f t="shared" si="2"/>
        <v>365</v>
      </c>
      <c r="AD15" s="266">
        <f t="shared" si="2"/>
        <v>365</v>
      </c>
      <c r="AE15" s="266">
        <f t="shared" si="2"/>
        <v>366</v>
      </c>
      <c r="AF15" s="266">
        <f t="shared" si="2"/>
        <v>365</v>
      </c>
      <c r="AG15" s="266">
        <f t="shared" si="2"/>
        <v>365</v>
      </c>
      <c r="AH15" s="266">
        <f t="shared" si="2"/>
        <v>365</v>
      </c>
      <c r="AI15" s="266">
        <f t="shared" si="2"/>
        <v>366</v>
      </c>
      <c r="AJ15" s="266">
        <f t="shared" si="2"/>
        <v>365</v>
      </c>
      <c r="AK15" s="266">
        <f t="shared" ref="AK15" si="3">SUMIF($G$13:$AN$13,AK13,$G$14:$AN$14)</f>
        <v>365</v>
      </c>
      <c r="AL15" s="266">
        <f>SUMIF($G$13:$AN$13,AL13,$G$14:$AN$14)</f>
        <v>365</v>
      </c>
      <c r="AM15" s="266">
        <f>SUMIF($G$13:$AN$13,AM13,$G$14:$AN$14)</f>
        <v>366</v>
      </c>
      <c r="AN15" s="266">
        <f>SUMIF($G$13:$AN$13,AN13,$G$14:$AN$14)</f>
        <v>0</v>
      </c>
      <c r="AO15" s="266"/>
    </row>
    <row r="16" spans="1:41" outlineLevel="1">
      <c r="A16" s="266"/>
      <c r="B16" s="266"/>
      <c r="C16" s="266"/>
      <c r="E16" s="21"/>
      <c r="F16" s="266"/>
      <c r="G16" s="266"/>
      <c r="H16" s="266"/>
      <c r="I16" s="266"/>
      <c r="J16" s="266"/>
      <c r="K16" s="266"/>
      <c r="L16" s="266"/>
      <c r="M16" s="266"/>
      <c r="N16" s="266"/>
      <c r="O16" s="266"/>
      <c r="P16" s="266"/>
      <c r="Q16" s="266"/>
      <c r="R16" s="266"/>
      <c r="S16" s="266"/>
      <c r="T16" s="266"/>
      <c r="U16" s="266"/>
      <c r="V16" s="266"/>
      <c r="W16" s="266"/>
      <c r="X16" s="266"/>
      <c r="Y16" s="266"/>
      <c r="Z16" s="266"/>
      <c r="AA16" s="266"/>
      <c r="AB16" s="266"/>
      <c r="AC16" s="266"/>
      <c r="AD16" s="266"/>
      <c r="AE16" s="266"/>
      <c r="AF16" s="266"/>
      <c r="AG16" s="266"/>
      <c r="AH16" s="266"/>
      <c r="AI16" s="266"/>
      <c r="AJ16" s="266"/>
      <c r="AK16" s="266"/>
      <c r="AL16" s="266"/>
      <c r="AM16" s="266"/>
      <c r="AN16" s="266"/>
      <c r="AO16" s="266"/>
    </row>
    <row r="17" spans="3:40" outlineLevel="1">
      <c r="C17" s="18" t="s">
        <v>376</v>
      </c>
      <c r="E17" s="266"/>
      <c r="F17" s="266"/>
      <c r="G17" s="266"/>
      <c r="H17" s="266"/>
      <c r="I17" s="266"/>
      <c r="J17" s="266"/>
      <c r="K17" s="266"/>
      <c r="L17" s="266"/>
      <c r="M17" s="266"/>
      <c r="N17" s="266"/>
      <c r="O17" s="266"/>
      <c r="P17" s="266"/>
      <c r="Q17" s="266"/>
      <c r="R17" s="266"/>
      <c r="S17" s="266"/>
      <c r="T17" s="266"/>
      <c r="U17" s="266"/>
      <c r="V17" s="266"/>
      <c r="W17" s="266"/>
      <c r="X17" s="266"/>
      <c r="Y17" s="266"/>
      <c r="Z17" s="266"/>
      <c r="AA17" s="266"/>
      <c r="AB17" s="266"/>
      <c r="AC17" s="266"/>
      <c r="AD17" s="266"/>
      <c r="AE17" s="266"/>
      <c r="AF17" s="266"/>
      <c r="AG17" s="266"/>
      <c r="AH17" s="266"/>
      <c r="AI17" s="266"/>
      <c r="AJ17" s="266"/>
      <c r="AK17" s="266"/>
      <c r="AL17" s="266"/>
      <c r="AM17" s="266"/>
      <c r="AN17" s="266"/>
    </row>
    <row r="18" spans="3:40" outlineLevel="2">
      <c r="C18" s="266" t="s">
        <v>377</v>
      </c>
      <c r="E18" s="266"/>
      <c r="F18" s="266"/>
      <c r="G18" s="266"/>
      <c r="H18" s="266"/>
      <c r="I18" s="266"/>
      <c r="J18" s="266"/>
      <c r="K18" s="266"/>
      <c r="L18" s="266"/>
      <c r="M18" s="266"/>
      <c r="N18" s="266"/>
      <c r="O18" s="266"/>
      <c r="P18" s="266"/>
      <c r="Q18" s="266"/>
      <c r="R18" s="266"/>
      <c r="S18" s="266"/>
      <c r="T18" s="266"/>
      <c r="U18" s="266"/>
      <c r="V18" s="266"/>
      <c r="W18" s="266"/>
      <c r="X18" s="266"/>
      <c r="Y18" s="266"/>
      <c r="Z18" s="266"/>
      <c r="AA18" s="266"/>
      <c r="AB18" s="266"/>
      <c r="AC18" s="266"/>
      <c r="AD18" s="266"/>
      <c r="AE18" s="266"/>
      <c r="AF18" s="266"/>
      <c r="AG18" s="266"/>
      <c r="AH18" s="266"/>
      <c r="AI18" s="266"/>
      <c r="AJ18" s="266"/>
      <c r="AK18" s="266"/>
      <c r="AL18" s="266"/>
      <c r="AM18" s="266"/>
      <c r="AN18" s="266"/>
    </row>
    <row r="19" spans="3:40" outlineLevel="2">
      <c r="C19" s="266" t="str">
        <f>Inputs!C337</f>
        <v>None</v>
      </c>
      <c r="D19" s="266"/>
      <c r="E19" s="4" t="s">
        <v>377</v>
      </c>
      <c r="F19" s="266"/>
      <c r="G19" s="473">
        <f>LOOKUP(G$13,Inputs!$G$336:$K$336,Inputs!$G337:$K337)</f>
        <v>0</v>
      </c>
      <c r="H19" s="473">
        <f>LOOKUP(H$13,Inputs!$G$336:$K$336,Inputs!$G337:$K337)</f>
        <v>0</v>
      </c>
      <c r="I19" s="473">
        <f>LOOKUP(I$13,Inputs!$G$336:$K$336,Inputs!$G337:$K337)</f>
        <v>0</v>
      </c>
      <c r="J19" s="473">
        <f>LOOKUP(J$13,Inputs!$G$336:$K$336,Inputs!$G337:$K337)</f>
        <v>0</v>
      </c>
      <c r="K19" s="473">
        <f>LOOKUP(K$13,Inputs!$G$336:$K$336,Inputs!$G337:$K337)</f>
        <v>0</v>
      </c>
      <c r="L19" s="473">
        <f>LOOKUP(L$13,Inputs!$G$336:$K$336,Inputs!$G337:$K337)</f>
        <v>0</v>
      </c>
      <c r="M19" s="473">
        <f>LOOKUP(M$13,Inputs!$G$336:$K$336,Inputs!$G337:$K337)</f>
        <v>0</v>
      </c>
      <c r="N19" s="473">
        <f>LOOKUP(N$13,Inputs!$G$336:$K$336,Inputs!$G337:$K337)</f>
        <v>0</v>
      </c>
      <c r="O19" s="473">
        <f>LOOKUP(O$13,Inputs!$G$336:$K$336,Inputs!$G337:$K337)</f>
        <v>0</v>
      </c>
      <c r="P19" s="473">
        <f>LOOKUP(P$13,Inputs!$G$336:$K$336,Inputs!$G337:$K337)</f>
        <v>0</v>
      </c>
      <c r="Q19" s="473">
        <f>LOOKUP(Q$13,Inputs!$G$336:$K$336,Inputs!$G337:$K337)</f>
        <v>0</v>
      </c>
      <c r="R19" s="473">
        <f>LOOKUP(R$13,Inputs!$G$336:$K$336,Inputs!$G337:$K337)</f>
        <v>0</v>
      </c>
      <c r="S19" s="473">
        <f>LOOKUP(S$13,Inputs!$G$336:$K$336,Inputs!$G337:$K337)</f>
        <v>0</v>
      </c>
      <c r="T19" s="473">
        <f>LOOKUP(T$13,Inputs!$G$336:$K$336,Inputs!$G337:$K337)</f>
        <v>0</v>
      </c>
      <c r="U19" s="473">
        <f>LOOKUP(U$13,Inputs!$G$336:$K$336,Inputs!$G337:$K337)</f>
        <v>0</v>
      </c>
      <c r="V19" s="473">
        <f>LOOKUP(V$13,Inputs!$G$336:$K$336,Inputs!$G337:$K337)</f>
        <v>0</v>
      </c>
      <c r="W19" s="473">
        <f>LOOKUP(W$13,Inputs!$G$336:$K$336,Inputs!$G337:$K337)</f>
        <v>0</v>
      </c>
      <c r="X19" s="473">
        <f>LOOKUP(X$13,Inputs!$G$336:$K$336,Inputs!$G337:$K337)</f>
        <v>0</v>
      </c>
      <c r="Y19" s="473">
        <f>LOOKUP(Y$13,Inputs!$G$336:$K$336,Inputs!$G337:$K337)</f>
        <v>0</v>
      </c>
      <c r="Z19" s="473">
        <f>LOOKUP(Z$13,Inputs!$G$336:$K$336,Inputs!$G337:$K337)</f>
        <v>0</v>
      </c>
      <c r="AA19" s="473">
        <f>LOOKUP(AA$13,Inputs!$G$336:$K$336,Inputs!$G337:$K337)</f>
        <v>0</v>
      </c>
      <c r="AB19" s="473">
        <f>LOOKUP(AB$13,Inputs!$G$336:$K$336,Inputs!$G337:$K337)</f>
        <v>0</v>
      </c>
      <c r="AC19" s="473">
        <f>LOOKUP(AC$13,Inputs!$G$336:$K$336,Inputs!$G337:$K337)</f>
        <v>0</v>
      </c>
      <c r="AD19" s="473">
        <f>LOOKUP(AD$13,Inputs!$G$336:$K$336,Inputs!$G337:$K337)</f>
        <v>0</v>
      </c>
      <c r="AE19" s="473">
        <f>LOOKUP(AE$13,Inputs!$G$336:$K$336,Inputs!$G337:$K337)</f>
        <v>0</v>
      </c>
      <c r="AF19" s="473">
        <f>LOOKUP(AF$13,Inputs!$G$336:$K$336,Inputs!$G337:$K337)</f>
        <v>0</v>
      </c>
      <c r="AG19" s="473">
        <f>LOOKUP(AG$13,Inputs!$G$336:$K$336,Inputs!$G337:$K337)</f>
        <v>0</v>
      </c>
      <c r="AH19" s="473">
        <f>LOOKUP(AH$13,Inputs!$G$336:$K$336,Inputs!$G337:$K337)</f>
        <v>0</v>
      </c>
      <c r="AI19" s="473">
        <f>LOOKUP(AI$13,Inputs!$G$336:$K$336,Inputs!$G337:$K337)</f>
        <v>0</v>
      </c>
      <c r="AJ19" s="473">
        <f>LOOKUP(AJ$13,Inputs!$G$336:$K$336,Inputs!$G337:$K337)</f>
        <v>0</v>
      </c>
      <c r="AK19" s="473">
        <f>LOOKUP(AK$13,Inputs!$G$336:$K$336,Inputs!$G337:$K337)</f>
        <v>0</v>
      </c>
      <c r="AL19" s="473">
        <f>LOOKUP(AL$13,Inputs!$G$336:$K$336,Inputs!$G337:$K337)</f>
        <v>0</v>
      </c>
      <c r="AM19" s="473">
        <f>LOOKUP(AM$13,Inputs!$G$336:$K$336,Inputs!$G337:$K337)</f>
        <v>0</v>
      </c>
      <c r="AN19" s="473">
        <f>LOOKUP(AN$13,Inputs!$G$336:$K$336,Inputs!$G337:$K337)</f>
        <v>0</v>
      </c>
    </row>
    <row r="20" spans="3:40" outlineLevel="2">
      <c r="C20" s="266" t="str">
        <f>Inputs!C338</f>
        <v>IPG-M</v>
      </c>
      <c r="D20" s="266"/>
      <c r="E20" s="4" t="s">
        <v>377</v>
      </c>
      <c r="F20" s="266"/>
      <c r="G20" s="473">
        <f>LOOKUP(G$13,Inputs!$G$336:$K$336,Inputs!$G338:$K338)</f>
        <v>3.7999999999999999E-2</v>
      </c>
      <c r="H20" s="473">
        <f>LOOKUP(H$13,Inputs!$G$336:$K$336,Inputs!$G338:$K338)</f>
        <v>3.7999999999999999E-2</v>
      </c>
      <c r="I20" s="473">
        <f>LOOKUP(I$13,Inputs!$G$336:$K$336,Inputs!$G338:$K338)</f>
        <v>3.7999999999999999E-2</v>
      </c>
      <c r="J20" s="473">
        <f>LOOKUP(J$13,Inputs!$G$336:$K$336,Inputs!$G338:$K338)</f>
        <v>3.7999999999999999E-2</v>
      </c>
      <c r="K20" s="473">
        <f>LOOKUP(K$13,Inputs!$G$336:$K$336,Inputs!$G338:$K338)</f>
        <v>3.7999999999999999E-2</v>
      </c>
      <c r="L20" s="473">
        <f>LOOKUP(L$13,Inputs!$G$336:$K$336,Inputs!$G338:$K338)</f>
        <v>3.7999999999999999E-2</v>
      </c>
      <c r="M20" s="473">
        <f>LOOKUP(M$13,Inputs!$G$336:$K$336,Inputs!$G338:$K338)</f>
        <v>3.7999999999999999E-2</v>
      </c>
      <c r="N20" s="473">
        <f>LOOKUP(N$13,Inputs!$G$336:$K$336,Inputs!$G338:$K338)</f>
        <v>3.7999999999999999E-2</v>
      </c>
      <c r="O20" s="473">
        <f>LOOKUP(O$13,Inputs!$G$336:$K$336,Inputs!$G338:$K338)</f>
        <v>3.7999999999999999E-2</v>
      </c>
      <c r="P20" s="473">
        <f>LOOKUP(P$13,Inputs!$G$336:$K$336,Inputs!$G338:$K338)</f>
        <v>3.7999999999999999E-2</v>
      </c>
      <c r="Q20" s="473">
        <f>LOOKUP(Q$13,Inputs!$G$336:$K$336,Inputs!$G338:$K338)</f>
        <v>3.7999999999999999E-2</v>
      </c>
      <c r="R20" s="473">
        <f>LOOKUP(R$13,Inputs!$G$336:$K$336,Inputs!$G338:$K338)</f>
        <v>3.7999999999999999E-2</v>
      </c>
      <c r="S20" s="473">
        <f>LOOKUP(S$13,Inputs!$G$336:$K$336,Inputs!$G338:$K338)</f>
        <v>3.7999999999999999E-2</v>
      </c>
      <c r="T20" s="473">
        <f>LOOKUP(T$13,Inputs!$G$336:$K$336,Inputs!$G338:$K338)</f>
        <v>3.7999999999999999E-2</v>
      </c>
      <c r="U20" s="473">
        <f>LOOKUP(U$13,Inputs!$G$336:$K$336,Inputs!$G338:$K338)</f>
        <v>3.7999999999999999E-2</v>
      </c>
      <c r="V20" s="473">
        <f>LOOKUP(V$13,Inputs!$G$336:$K$336,Inputs!$G338:$K338)</f>
        <v>3.7999999999999999E-2</v>
      </c>
      <c r="W20" s="473">
        <f>LOOKUP(W$13,Inputs!$G$336:$K$336,Inputs!$G338:$K338)</f>
        <v>3.7999999999999999E-2</v>
      </c>
      <c r="X20" s="473">
        <f>LOOKUP(X$13,Inputs!$G$336:$K$336,Inputs!$G338:$K338)</f>
        <v>3.7999999999999999E-2</v>
      </c>
      <c r="Y20" s="473">
        <f>LOOKUP(Y$13,Inputs!$G$336:$K$336,Inputs!$G338:$K338)</f>
        <v>3.7999999999999999E-2</v>
      </c>
      <c r="Z20" s="473">
        <f>LOOKUP(Z$13,Inputs!$G$336:$K$336,Inputs!$G338:$K338)</f>
        <v>3.7999999999999999E-2</v>
      </c>
      <c r="AA20" s="473">
        <f>LOOKUP(AA$13,Inputs!$G$336:$K$336,Inputs!$G338:$K338)</f>
        <v>3.7999999999999999E-2</v>
      </c>
      <c r="AB20" s="473">
        <f>LOOKUP(AB$13,Inputs!$G$336:$K$336,Inputs!$G338:$K338)</f>
        <v>3.7999999999999999E-2</v>
      </c>
      <c r="AC20" s="473">
        <f>LOOKUP(AC$13,Inputs!$G$336:$K$336,Inputs!$G338:$K338)</f>
        <v>3.7999999999999999E-2</v>
      </c>
      <c r="AD20" s="473">
        <f>LOOKUP(AD$13,Inputs!$G$336:$K$336,Inputs!$G338:$K338)</f>
        <v>3.7999999999999999E-2</v>
      </c>
      <c r="AE20" s="473">
        <f>LOOKUP(AE$13,Inputs!$G$336:$K$336,Inputs!$G338:$K338)</f>
        <v>3.7999999999999999E-2</v>
      </c>
      <c r="AF20" s="473">
        <f>LOOKUP(AF$13,Inputs!$G$336:$K$336,Inputs!$G338:$K338)</f>
        <v>3.7999999999999999E-2</v>
      </c>
      <c r="AG20" s="473">
        <f>LOOKUP(AG$13,Inputs!$G$336:$K$336,Inputs!$G338:$K338)</f>
        <v>3.7999999999999999E-2</v>
      </c>
      <c r="AH20" s="473">
        <f>LOOKUP(AH$13,Inputs!$G$336:$K$336,Inputs!$G338:$K338)</f>
        <v>3.7999999999999999E-2</v>
      </c>
      <c r="AI20" s="473">
        <f>LOOKUP(AI$13,Inputs!$G$336:$K$336,Inputs!$G338:$K338)</f>
        <v>3.7999999999999999E-2</v>
      </c>
      <c r="AJ20" s="473">
        <f>LOOKUP(AJ$13,Inputs!$G$336:$K$336,Inputs!$G338:$K338)</f>
        <v>3.7999999999999999E-2</v>
      </c>
      <c r="AK20" s="473">
        <f>LOOKUP(AK$13,Inputs!$G$336:$K$336,Inputs!$G338:$K338)</f>
        <v>3.7999999999999999E-2</v>
      </c>
      <c r="AL20" s="473">
        <f>LOOKUP(AL$13,Inputs!$G$336:$K$336,Inputs!$G338:$K338)</f>
        <v>3.7999999999999999E-2</v>
      </c>
      <c r="AM20" s="473">
        <f>LOOKUP(AM$13,Inputs!$G$336:$K$336,Inputs!$G338:$K338)</f>
        <v>3.7999999999999999E-2</v>
      </c>
      <c r="AN20" s="473">
        <f>LOOKUP(AN$13,Inputs!$G$336:$K$336,Inputs!$G338:$K338)</f>
        <v>3.7999999999999999E-2</v>
      </c>
    </row>
    <row r="21" spans="3:40" outlineLevel="2">
      <c r="C21" s="299" t="str">
        <f>Inputs!C339</f>
        <v>PIB</v>
      </c>
      <c r="D21" s="266"/>
      <c r="E21" s="4" t="s">
        <v>377</v>
      </c>
      <c r="F21" s="266"/>
      <c r="G21" s="473">
        <f>LOOKUP(G$13,Inputs!$G$336:$K$336,Inputs!$G339:$K339)</f>
        <v>0.02</v>
      </c>
      <c r="H21" s="473">
        <f>LOOKUP(H$13,Inputs!$G$336:$K$336,Inputs!$G339:$K339)</f>
        <v>0.02</v>
      </c>
      <c r="I21" s="473">
        <f>LOOKUP(I$13,Inputs!$G$336:$K$336,Inputs!$G339:$K339)</f>
        <v>0.02</v>
      </c>
      <c r="J21" s="473">
        <f>LOOKUP(J$13,Inputs!$G$336:$K$336,Inputs!$G339:$K339)</f>
        <v>0.02</v>
      </c>
      <c r="K21" s="473">
        <f>LOOKUP(K$13,Inputs!$G$336:$K$336,Inputs!$G339:$K339)</f>
        <v>0.02</v>
      </c>
      <c r="L21" s="473">
        <f>LOOKUP(L$13,Inputs!$G$336:$K$336,Inputs!$G339:$K339)</f>
        <v>0.02</v>
      </c>
      <c r="M21" s="473">
        <f>LOOKUP(M$13,Inputs!$G$336:$K$336,Inputs!$G339:$K339)</f>
        <v>0.02</v>
      </c>
      <c r="N21" s="473">
        <f>LOOKUP(N$13,Inputs!$G$336:$K$336,Inputs!$G339:$K339)</f>
        <v>0.02</v>
      </c>
      <c r="O21" s="473">
        <f>LOOKUP(O$13,Inputs!$G$336:$K$336,Inputs!$G339:$K339)</f>
        <v>0.02</v>
      </c>
      <c r="P21" s="473">
        <f>LOOKUP(P$13,Inputs!$G$336:$K$336,Inputs!$G339:$K339)</f>
        <v>0.02</v>
      </c>
      <c r="Q21" s="473">
        <f>LOOKUP(Q$13,Inputs!$G$336:$K$336,Inputs!$G339:$K339)</f>
        <v>0.02</v>
      </c>
      <c r="R21" s="473">
        <f>LOOKUP(R$13,Inputs!$G$336:$K$336,Inputs!$G339:$K339)</f>
        <v>0.02</v>
      </c>
      <c r="S21" s="473">
        <f>LOOKUP(S$13,Inputs!$G$336:$K$336,Inputs!$G339:$K339)</f>
        <v>0.02</v>
      </c>
      <c r="T21" s="473">
        <f>LOOKUP(T$13,Inputs!$G$336:$K$336,Inputs!$G339:$K339)</f>
        <v>0.02</v>
      </c>
      <c r="U21" s="473">
        <f>LOOKUP(U$13,Inputs!$G$336:$K$336,Inputs!$G339:$K339)</f>
        <v>0.02</v>
      </c>
      <c r="V21" s="473">
        <f>LOOKUP(V$13,Inputs!$G$336:$K$336,Inputs!$G339:$K339)</f>
        <v>0.02</v>
      </c>
      <c r="W21" s="473">
        <f>LOOKUP(W$13,Inputs!$G$336:$K$336,Inputs!$G339:$K339)</f>
        <v>0.02</v>
      </c>
      <c r="X21" s="473">
        <f>LOOKUP(X$13,Inputs!$G$336:$K$336,Inputs!$G339:$K339)</f>
        <v>0.02</v>
      </c>
      <c r="Y21" s="473">
        <f>LOOKUP(Y$13,Inputs!$G$336:$K$336,Inputs!$G339:$K339)</f>
        <v>0.02</v>
      </c>
      <c r="Z21" s="473">
        <f>LOOKUP(Z$13,Inputs!$G$336:$K$336,Inputs!$G339:$K339)</f>
        <v>0.02</v>
      </c>
      <c r="AA21" s="473">
        <f>LOOKUP(AA$13,Inputs!$G$336:$K$336,Inputs!$G339:$K339)</f>
        <v>0.02</v>
      </c>
      <c r="AB21" s="473">
        <f>LOOKUP(AB$13,Inputs!$G$336:$K$336,Inputs!$G339:$K339)</f>
        <v>0.02</v>
      </c>
      <c r="AC21" s="473">
        <f>LOOKUP(AC$13,Inputs!$G$336:$K$336,Inputs!$G339:$K339)</f>
        <v>0.02</v>
      </c>
      <c r="AD21" s="473">
        <f>LOOKUP(AD$13,Inputs!$G$336:$K$336,Inputs!$G339:$K339)</f>
        <v>0.02</v>
      </c>
      <c r="AE21" s="473">
        <f>LOOKUP(AE$13,Inputs!$G$336:$K$336,Inputs!$G339:$K339)</f>
        <v>0.02</v>
      </c>
      <c r="AF21" s="473">
        <f>LOOKUP(AF$13,Inputs!$G$336:$K$336,Inputs!$G339:$K339)</f>
        <v>0.02</v>
      </c>
      <c r="AG21" s="473">
        <f>LOOKUP(AG$13,Inputs!$G$336:$K$336,Inputs!$G339:$K339)</f>
        <v>0.02</v>
      </c>
      <c r="AH21" s="473">
        <f>LOOKUP(AH$13,Inputs!$G$336:$K$336,Inputs!$G339:$K339)</f>
        <v>0.02</v>
      </c>
      <c r="AI21" s="473">
        <f>LOOKUP(AI$13,Inputs!$G$336:$K$336,Inputs!$G339:$K339)</f>
        <v>0.02</v>
      </c>
      <c r="AJ21" s="473">
        <f>LOOKUP(AJ$13,Inputs!$G$336:$K$336,Inputs!$G339:$K339)</f>
        <v>0.02</v>
      </c>
      <c r="AK21" s="473">
        <f>LOOKUP(AK$13,Inputs!$G$336:$K$336,Inputs!$G339:$K339)</f>
        <v>0.02</v>
      </c>
      <c r="AL21" s="473">
        <f>LOOKUP(AL$13,Inputs!$G$336:$K$336,Inputs!$G339:$K339)</f>
        <v>0.02</v>
      </c>
      <c r="AM21" s="473">
        <f>LOOKUP(AM$13,Inputs!$G$336:$K$336,Inputs!$G339:$K339)</f>
        <v>0.02</v>
      </c>
      <c r="AN21" s="473">
        <f>LOOKUP(AN$13,Inputs!$G$336:$K$336,Inputs!$G339:$K339)</f>
        <v>0.02</v>
      </c>
    </row>
    <row r="22" spans="3:40" outlineLevel="2">
      <c r="C22" s="299" t="str">
        <f>Inputs!C340</f>
        <v>PIB Serviços</v>
      </c>
      <c r="D22" s="266"/>
      <c r="E22" s="4" t="s">
        <v>377</v>
      </c>
      <c r="F22" s="266"/>
      <c r="G22" s="473">
        <f>LOOKUP(G$13,Inputs!$G$336:$K$336,Inputs!$G340:$K340)</f>
        <v>2.5000000000000001E-2</v>
      </c>
      <c r="H22" s="473">
        <f>LOOKUP(H$13,Inputs!$G$336:$K$336,Inputs!$G340:$K340)</f>
        <v>2.5000000000000001E-2</v>
      </c>
      <c r="I22" s="473">
        <f>LOOKUP(I$13,Inputs!$G$336:$K$336,Inputs!$G340:$K340)</f>
        <v>2.5000000000000001E-2</v>
      </c>
      <c r="J22" s="473">
        <f>LOOKUP(J$13,Inputs!$G$336:$K$336,Inputs!$G340:$K340)</f>
        <v>2.5000000000000001E-2</v>
      </c>
      <c r="K22" s="473">
        <f>LOOKUP(K$13,Inputs!$G$336:$K$336,Inputs!$G340:$K340)</f>
        <v>2.5000000000000001E-2</v>
      </c>
      <c r="L22" s="473">
        <f>LOOKUP(L$13,Inputs!$G$336:$K$336,Inputs!$G340:$K340)</f>
        <v>2.5000000000000001E-2</v>
      </c>
      <c r="M22" s="473">
        <f>LOOKUP(M$13,Inputs!$G$336:$K$336,Inputs!$G340:$K340)</f>
        <v>2.5000000000000001E-2</v>
      </c>
      <c r="N22" s="473">
        <f>LOOKUP(N$13,Inputs!$G$336:$K$336,Inputs!$G340:$K340)</f>
        <v>2.5000000000000001E-2</v>
      </c>
      <c r="O22" s="473">
        <f>LOOKUP(O$13,Inputs!$G$336:$K$336,Inputs!$G340:$K340)</f>
        <v>2.5000000000000001E-2</v>
      </c>
      <c r="P22" s="473">
        <f>LOOKUP(P$13,Inputs!$G$336:$K$336,Inputs!$G340:$K340)</f>
        <v>2.5000000000000001E-2</v>
      </c>
      <c r="Q22" s="473">
        <f>LOOKUP(Q$13,Inputs!$G$336:$K$336,Inputs!$G340:$K340)</f>
        <v>2.5000000000000001E-2</v>
      </c>
      <c r="R22" s="473">
        <f>LOOKUP(R$13,Inputs!$G$336:$K$336,Inputs!$G340:$K340)</f>
        <v>2.5000000000000001E-2</v>
      </c>
      <c r="S22" s="473">
        <f>LOOKUP(S$13,Inputs!$G$336:$K$336,Inputs!$G340:$K340)</f>
        <v>2.5000000000000001E-2</v>
      </c>
      <c r="T22" s="473">
        <f>LOOKUP(T$13,Inputs!$G$336:$K$336,Inputs!$G340:$K340)</f>
        <v>2.5000000000000001E-2</v>
      </c>
      <c r="U22" s="473">
        <f>LOOKUP(U$13,Inputs!$G$336:$K$336,Inputs!$G340:$K340)</f>
        <v>2.5000000000000001E-2</v>
      </c>
      <c r="V22" s="473">
        <f>LOOKUP(V$13,Inputs!$G$336:$K$336,Inputs!$G340:$K340)</f>
        <v>2.5000000000000001E-2</v>
      </c>
      <c r="W22" s="473">
        <f>LOOKUP(W$13,Inputs!$G$336:$K$336,Inputs!$G340:$K340)</f>
        <v>2.5000000000000001E-2</v>
      </c>
      <c r="X22" s="473">
        <f>LOOKUP(X$13,Inputs!$G$336:$K$336,Inputs!$G340:$K340)</f>
        <v>2.5000000000000001E-2</v>
      </c>
      <c r="Y22" s="473">
        <f>LOOKUP(Y$13,Inputs!$G$336:$K$336,Inputs!$G340:$K340)</f>
        <v>2.5000000000000001E-2</v>
      </c>
      <c r="Z22" s="473">
        <f>LOOKUP(Z$13,Inputs!$G$336:$K$336,Inputs!$G340:$K340)</f>
        <v>2.5000000000000001E-2</v>
      </c>
      <c r="AA22" s="473">
        <f>LOOKUP(AA$13,Inputs!$G$336:$K$336,Inputs!$G340:$K340)</f>
        <v>2.5000000000000001E-2</v>
      </c>
      <c r="AB22" s="473">
        <f>LOOKUP(AB$13,Inputs!$G$336:$K$336,Inputs!$G340:$K340)</f>
        <v>2.5000000000000001E-2</v>
      </c>
      <c r="AC22" s="473">
        <f>LOOKUP(AC$13,Inputs!$G$336:$K$336,Inputs!$G340:$K340)</f>
        <v>2.5000000000000001E-2</v>
      </c>
      <c r="AD22" s="473">
        <f>LOOKUP(AD$13,Inputs!$G$336:$K$336,Inputs!$G340:$K340)</f>
        <v>2.5000000000000001E-2</v>
      </c>
      <c r="AE22" s="473">
        <f>LOOKUP(AE$13,Inputs!$G$336:$K$336,Inputs!$G340:$K340)</f>
        <v>2.5000000000000001E-2</v>
      </c>
      <c r="AF22" s="473">
        <f>LOOKUP(AF$13,Inputs!$G$336:$K$336,Inputs!$G340:$K340)</f>
        <v>2.5000000000000001E-2</v>
      </c>
      <c r="AG22" s="473">
        <f>LOOKUP(AG$13,Inputs!$G$336:$K$336,Inputs!$G340:$K340)</f>
        <v>2.5000000000000001E-2</v>
      </c>
      <c r="AH22" s="473">
        <f>LOOKUP(AH$13,Inputs!$G$336:$K$336,Inputs!$G340:$K340)</f>
        <v>2.5000000000000001E-2</v>
      </c>
      <c r="AI22" s="473">
        <f>LOOKUP(AI$13,Inputs!$G$336:$K$336,Inputs!$G340:$K340)</f>
        <v>2.5000000000000001E-2</v>
      </c>
      <c r="AJ22" s="473">
        <f>LOOKUP(AJ$13,Inputs!$G$336:$K$336,Inputs!$G340:$K340)</f>
        <v>2.5000000000000001E-2</v>
      </c>
      <c r="AK22" s="473">
        <f>LOOKUP(AK$13,Inputs!$G$336:$K$336,Inputs!$G340:$K340)</f>
        <v>2.5000000000000001E-2</v>
      </c>
      <c r="AL22" s="473">
        <f>LOOKUP(AL$13,Inputs!$G$336:$K$336,Inputs!$G340:$K340)</f>
        <v>2.5000000000000001E-2</v>
      </c>
      <c r="AM22" s="473">
        <f>LOOKUP(AM$13,Inputs!$G$336:$K$336,Inputs!$G340:$K340)</f>
        <v>2.5000000000000001E-2</v>
      </c>
      <c r="AN22" s="473">
        <f>LOOKUP(AN$13,Inputs!$G$336:$K$336,Inputs!$G340:$K340)</f>
        <v>2.5000000000000001E-2</v>
      </c>
    </row>
    <row r="23" spans="3:40" outlineLevel="2">
      <c r="C23" s="299" t="str">
        <f>Inputs!C341</f>
        <v>CPI US</v>
      </c>
      <c r="D23" s="266"/>
      <c r="E23" s="4" t="s">
        <v>377</v>
      </c>
      <c r="F23" s="266"/>
      <c r="G23" s="473">
        <f>LOOKUP(G$13,Inputs!$G$336:$K$336,Inputs!$G341:$K341)</f>
        <v>3.1E-2</v>
      </c>
      <c r="H23" s="473">
        <f>LOOKUP(H$13,Inputs!$G$336:$K$336,Inputs!$G341:$K341)</f>
        <v>3.1E-2</v>
      </c>
      <c r="I23" s="473">
        <f>LOOKUP(I$13,Inputs!$G$336:$K$336,Inputs!$G341:$K341)</f>
        <v>3.1E-2</v>
      </c>
      <c r="J23" s="473">
        <f>LOOKUP(J$13,Inputs!$G$336:$K$336,Inputs!$G341:$K341)</f>
        <v>3.1E-2</v>
      </c>
      <c r="K23" s="473">
        <f>LOOKUP(K$13,Inputs!$G$336:$K$336,Inputs!$G341:$K341)</f>
        <v>3.1E-2</v>
      </c>
      <c r="L23" s="473">
        <f>LOOKUP(L$13,Inputs!$G$336:$K$336,Inputs!$G341:$K341)</f>
        <v>3.1E-2</v>
      </c>
      <c r="M23" s="473">
        <f>LOOKUP(M$13,Inputs!$G$336:$K$336,Inputs!$G341:$K341)</f>
        <v>3.1E-2</v>
      </c>
      <c r="N23" s="473">
        <f>LOOKUP(N$13,Inputs!$G$336:$K$336,Inputs!$G341:$K341)</f>
        <v>3.1E-2</v>
      </c>
      <c r="O23" s="473">
        <f>LOOKUP(O$13,Inputs!$G$336:$K$336,Inputs!$G341:$K341)</f>
        <v>3.1E-2</v>
      </c>
      <c r="P23" s="473">
        <f>LOOKUP(P$13,Inputs!$G$336:$K$336,Inputs!$G341:$K341)</f>
        <v>3.1E-2</v>
      </c>
      <c r="Q23" s="473">
        <f>LOOKUP(Q$13,Inputs!$G$336:$K$336,Inputs!$G341:$K341)</f>
        <v>3.1E-2</v>
      </c>
      <c r="R23" s="473">
        <f>LOOKUP(R$13,Inputs!$G$336:$K$336,Inputs!$G341:$K341)</f>
        <v>3.1E-2</v>
      </c>
      <c r="S23" s="473">
        <f>LOOKUP(S$13,Inputs!$G$336:$K$336,Inputs!$G341:$K341)</f>
        <v>3.1E-2</v>
      </c>
      <c r="T23" s="473">
        <f>LOOKUP(T$13,Inputs!$G$336:$K$336,Inputs!$G341:$K341)</f>
        <v>3.1E-2</v>
      </c>
      <c r="U23" s="473">
        <f>LOOKUP(U$13,Inputs!$G$336:$K$336,Inputs!$G341:$K341)</f>
        <v>3.1E-2</v>
      </c>
      <c r="V23" s="473">
        <f>LOOKUP(V$13,Inputs!$G$336:$K$336,Inputs!$G341:$K341)</f>
        <v>3.1E-2</v>
      </c>
      <c r="W23" s="473">
        <f>LOOKUP(W$13,Inputs!$G$336:$K$336,Inputs!$G341:$K341)</f>
        <v>3.1E-2</v>
      </c>
      <c r="X23" s="473">
        <f>LOOKUP(X$13,Inputs!$G$336:$K$336,Inputs!$G341:$K341)</f>
        <v>3.1E-2</v>
      </c>
      <c r="Y23" s="473">
        <f>LOOKUP(Y$13,Inputs!$G$336:$K$336,Inputs!$G341:$K341)</f>
        <v>3.1E-2</v>
      </c>
      <c r="Z23" s="473">
        <f>LOOKUP(Z$13,Inputs!$G$336:$K$336,Inputs!$G341:$K341)</f>
        <v>3.1E-2</v>
      </c>
      <c r="AA23" s="473">
        <f>LOOKUP(AA$13,Inputs!$G$336:$K$336,Inputs!$G341:$K341)</f>
        <v>3.1E-2</v>
      </c>
      <c r="AB23" s="473">
        <f>LOOKUP(AB$13,Inputs!$G$336:$K$336,Inputs!$G341:$K341)</f>
        <v>3.1E-2</v>
      </c>
      <c r="AC23" s="473">
        <f>LOOKUP(AC$13,Inputs!$G$336:$K$336,Inputs!$G341:$K341)</f>
        <v>3.1E-2</v>
      </c>
      <c r="AD23" s="473">
        <f>LOOKUP(AD$13,Inputs!$G$336:$K$336,Inputs!$G341:$K341)</f>
        <v>3.1E-2</v>
      </c>
      <c r="AE23" s="473">
        <f>LOOKUP(AE$13,Inputs!$G$336:$K$336,Inputs!$G341:$K341)</f>
        <v>3.1E-2</v>
      </c>
      <c r="AF23" s="473">
        <f>LOOKUP(AF$13,Inputs!$G$336:$K$336,Inputs!$G341:$K341)</f>
        <v>3.1E-2</v>
      </c>
      <c r="AG23" s="473">
        <f>LOOKUP(AG$13,Inputs!$G$336:$K$336,Inputs!$G341:$K341)</f>
        <v>3.1E-2</v>
      </c>
      <c r="AH23" s="473">
        <f>LOOKUP(AH$13,Inputs!$G$336:$K$336,Inputs!$G341:$K341)</f>
        <v>3.1E-2</v>
      </c>
      <c r="AI23" s="473">
        <f>LOOKUP(AI$13,Inputs!$G$336:$K$336,Inputs!$G341:$K341)</f>
        <v>3.1E-2</v>
      </c>
      <c r="AJ23" s="473">
        <f>LOOKUP(AJ$13,Inputs!$G$336:$K$336,Inputs!$G341:$K341)</f>
        <v>3.1E-2</v>
      </c>
      <c r="AK23" s="473">
        <f>LOOKUP(AK$13,Inputs!$G$336:$K$336,Inputs!$G341:$K341)</f>
        <v>3.1E-2</v>
      </c>
      <c r="AL23" s="473">
        <f>LOOKUP(AL$13,Inputs!$G$336:$K$336,Inputs!$G341:$K341)</f>
        <v>3.1E-2</v>
      </c>
      <c r="AM23" s="473">
        <f>LOOKUP(AM$13,Inputs!$G$336:$K$336,Inputs!$G341:$K341)</f>
        <v>3.1E-2</v>
      </c>
      <c r="AN23" s="473">
        <f>LOOKUP(AN$13,Inputs!$G$336:$K$336,Inputs!$G341:$K341)</f>
        <v>3.1E-2</v>
      </c>
    </row>
    <row r="24" spans="3:40" outlineLevel="2">
      <c r="C24" s="299" t="str">
        <f>Inputs!C342</f>
        <v>SELIC</v>
      </c>
      <c r="D24" s="266"/>
      <c r="E24" s="4" t="s">
        <v>377</v>
      </c>
      <c r="F24" s="266"/>
      <c r="G24" s="473">
        <f>LOOKUP(G$13,Inputs!$G$336:$K$336,Inputs!$G342:$K342)</f>
        <v>8.5000000000000006E-2</v>
      </c>
      <c r="H24" s="473">
        <f>LOOKUP(H$13,Inputs!$G$336:$K$336,Inputs!$G342:$K342)</f>
        <v>8.5000000000000006E-2</v>
      </c>
      <c r="I24" s="473">
        <f>LOOKUP(I$13,Inputs!$G$336:$K$336,Inputs!$G342:$K342)</f>
        <v>8.5000000000000006E-2</v>
      </c>
      <c r="J24" s="473">
        <f>LOOKUP(J$13,Inputs!$G$336:$K$336,Inputs!$G342:$K342)</f>
        <v>8.5000000000000006E-2</v>
      </c>
      <c r="K24" s="473">
        <f>LOOKUP(K$13,Inputs!$G$336:$K$336,Inputs!$G342:$K342)</f>
        <v>8.5000000000000006E-2</v>
      </c>
      <c r="L24" s="473">
        <f>LOOKUP(L$13,Inputs!$G$336:$K$336,Inputs!$G342:$K342)</f>
        <v>8.5000000000000006E-2</v>
      </c>
      <c r="M24" s="473">
        <f>LOOKUP(M$13,Inputs!$G$336:$K$336,Inputs!$G342:$K342)</f>
        <v>8.5000000000000006E-2</v>
      </c>
      <c r="N24" s="473">
        <f>LOOKUP(N$13,Inputs!$G$336:$K$336,Inputs!$G342:$K342)</f>
        <v>8.5000000000000006E-2</v>
      </c>
      <c r="O24" s="473">
        <f>LOOKUP(O$13,Inputs!$G$336:$K$336,Inputs!$G342:$K342)</f>
        <v>8.5000000000000006E-2</v>
      </c>
      <c r="P24" s="473">
        <f>LOOKUP(P$13,Inputs!$G$336:$K$336,Inputs!$G342:$K342)</f>
        <v>8.5000000000000006E-2</v>
      </c>
      <c r="Q24" s="473">
        <f>LOOKUP(Q$13,Inputs!$G$336:$K$336,Inputs!$G342:$K342)</f>
        <v>8.5000000000000006E-2</v>
      </c>
      <c r="R24" s="473">
        <f>LOOKUP(R$13,Inputs!$G$336:$K$336,Inputs!$G342:$K342)</f>
        <v>8.5000000000000006E-2</v>
      </c>
      <c r="S24" s="473">
        <f>LOOKUP(S$13,Inputs!$G$336:$K$336,Inputs!$G342:$K342)</f>
        <v>8.5000000000000006E-2</v>
      </c>
      <c r="T24" s="473">
        <f>LOOKUP(T$13,Inputs!$G$336:$K$336,Inputs!$G342:$K342)</f>
        <v>8.5000000000000006E-2</v>
      </c>
      <c r="U24" s="473">
        <f>LOOKUP(U$13,Inputs!$G$336:$K$336,Inputs!$G342:$K342)</f>
        <v>8.5000000000000006E-2</v>
      </c>
      <c r="V24" s="473">
        <f>LOOKUP(V$13,Inputs!$G$336:$K$336,Inputs!$G342:$K342)</f>
        <v>8.5000000000000006E-2</v>
      </c>
      <c r="W24" s="473">
        <f>LOOKUP(W$13,Inputs!$G$336:$K$336,Inputs!$G342:$K342)</f>
        <v>8.5000000000000006E-2</v>
      </c>
      <c r="X24" s="473">
        <f>LOOKUP(X$13,Inputs!$G$336:$K$336,Inputs!$G342:$K342)</f>
        <v>8.5000000000000006E-2</v>
      </c>
      <c r="Y24" s="473">
        <f>LOOKUP(Y$13,Inputs!$G$336:$K$336,Inputs!$G342:$K342)</f>
        <v>8.5000000000000006E-2</v>
      </c>
      <c r="Z24" s="473">
        <f>LOOKUP(Z$13,Inputs!$G$336:$K$336,Inputs!$G342:$K342)</f>
        <v>8.5000000000000006E-2</v>
      </c>
      <c r="AA24" s="473">
        <f>LOOKUP(AA$13,Inputs!$G$336:$K$336,Inputs!$G342:$K342)</f>
        <v>8.5000000000000006E-2</v>
      </c>
      <c r="AB24" s="473">
        <f>LOOKUP(AB$13,Inputs!$G$336:$K$336,Inputs!$G342:$K342)</f>
        <v>8.5000000000000006E-2</v>
      </c>
      <c r="AC24" s="473">
        <f>LOOKUP(AC$13,Inputs!$G$336:$K$336,Inputs!$G342:$K342)</f>
        <v>8.5000000000000006E-2</v>
      </c>
      <c r="AD24" s="473">
        <f>LOOKUP(AD$13,Inputs!$G$336:$K$336,Inputs!$G342:$K342)</f>
        <v>8.5000000000000006E-2</v>
      </c>
      <c r="AE24" s="473">
        <f>LOOKUP(AE$13,Inputs!$G$336:$K$336,Inputs!$G342:$K342)</f>
        <v>8.5000000000000006E-2</v>
      </c>
      <c r="AF24" s="473">
        <f>LOOKUP(AF$13,Inputs!$G$336:$K$336,Inputs!$G342:$K342)</f>
        <v>8.5000000000000006E-2</v>
      </c>
      <c r="AG24" s="473">
        <f>LOOKUP(AG$13,Inputs!$G$336:$K$336,Inputs!$G342:$K342)</f>
        <v>8.5000000000000006E-2</v>
      </c>
      <c r="AH24" s="473">
        <f>LOOKUP(AH$13,Inputs!$G$336:$K$336,Inputs!$G342:$K342)</f>
        <v>8.5000000000000006E-2</v>
      </c>
      <c r="AI24" s="473">
        <f>LOOKUP(AI$13,Inputs!$G$336:$K$336,Inputs!$G342:$K342)</f>
        <v>8.5000000000000006E-2</v>
      </c>
      <c r="AJ24" s="473">
        <f>LOOKUP(AJ$13,Inputs!$G$336:$K$336,Inputs!$G342:$K342)</f>
        <v>8.5000000000000006E-2</v>
      </c>
      <c r="AK24" s="473">
        <f>LOOKUP(AK$13,Inputs!$G$336:$K$336,Inputs!$G342:$K342)</f>
        <v>8.5000000000000006E-2</v>
      </c>
      <c r="AL24" s="473">
        <f>LOOKUP(AL$13,Inputs!$G$336:$K$336,Inputs!$G342:$K342)</f>
        <v>8.5000000000000006E-2</v>
      </c>
      <c r="AM24" s="473">
        <f>LOOKUP(AM$13,Inputs!$G$336:$K$336,Inputs!$G342:$K342)</f>
        <v>8.5000000000000006E-2</v>
      </c>
      <c r="AN24" s="473">
        <f>LOOKUP(AN$13,Inputs!$G$336:$K$336,Inputs!$G342:$K342)</f>
        <v>8.5000000000000006E-2</v>
      </c>
    </row>
    <row r="25" spans="3:40" outlineLevel="2">
      <c r="C25" s="299" t="str">
        <f>Inputs!C343</f>
        <v>CDI</v>
      </c>
      <c r="D25" s="266"/>
      <c r="E25" s="4" t="s">
        <v>377</v>
      </c>
      <c r="F25" s="266"/>
      <c r="G25" s="473">
        <f>LOOKUP(G$13,Inputs!$G$336:$K$336,Inputs!$G343:$K343)</f>
        <v>8.5000000000000006E-2</v>
      </c>
      <c r="H25" s="473">
        <f>LOOKUP(H$13,Inputs!$G$336:$K$336,Inputs!$G343:$K343)</f>
        <v>8.5000000000000006E-2</v>
      </c>
      <c r="I25" s="473">
        <f>LOOKUP(I$13,Inputs!$G$336:$K$336,Inputs!$G343:$K343)</f>
        <v>8.5000000000000006E-2</v>
      </c>
      <c r="J25" s="473">
        <f>LOOKUP(J$13,Inputs!$G$336:$K$336,Inputs!$G343:$K343)</f>
        <v>8.5000000000000006E-2</v>
      </c>
      <c r="K25" s="473">
        <f>LOOKUP(K$13,Inputs!$G$336:$K$336,Inputs!$G343:$K343)</f>
        <v>8.5000000000000006E-2</v>
      </c>
      <c r="L25" s="473">
        <f>LOOKUP(L$13,Inputs!$G$336:$K$336,Inputs!$G343:$K343)</f>
        <v>8.5000000000000006E-2</v>
      </c>
      <c r="M25" s="473">
        <f>LOOKUP(M$13,Inputs!$G$336:$K$336,Inputs!$G343:$K343)</f>
        <v>8.5000000000000006E-2</v>
      </c>
      <c r="N25" s="473">
        <f>LOOKUP(N$13,Inputs!$G$336:$K$336,Inputs!$G343:$K343)</f>
        <v>8.5000000000000006E-2</v>
      </c>
      <c r="O25" s="473">
        <f>LOOKUP(O$13,Inputs!$G$336:$K$336,Inputs!$G343:$K343)</f>
        <v>8.5000000000000006E-2</v>
      </c>
      <c r="P25" s="473">
        <f>LOOKUP(P$13,Inputs!$G$336:$K$336,Inputs!$G343:$K343)</f>
        <v>8.5000000000000006E-2</v>
      </c>
      <c r="Q25" s="473">
        <f>LOOKUP(Q$13,Inputs!$G$336:$K$336,Inputs!$G343:$K343)</f>
        <v>8.5000000000000006E-2</v>
      </c>
      <c r="R25" s="473">
        <f>LOOKUP(R$13,Inputs!$G$336:$K$336,Inputs!$G343:$K343)</f>
        <v>8.5000000000000006E-2</v>
      </c>
      <c r="S25" s="473">
        <f>LOOKUP(S$13,Inputs!$G$336:$K$336,Inputs!$G343:$K343)</f>
        <v>8.5000000000000006E-2</v>
      </c>
      <c r="T25" s="473">
        <f>LOOKUP(T$13,Inputs!$G$336:$K$336,Inputs!$G343:$K343)</f>
        <v>8.5000000000000006E-2</v>
      </c>
      <c r="U25" s="473">
        <f>LOOKUP(U$13,Inputs!$G$336:$K$336,Inputs!$G343:$K343)</f>
        <v>8.5000000000000006E-2</v>
      </c>
      <c r="V25" s="473">
        <f>LOOKUP(V$13,Inputs!$G$336:$K$336,Inputs!$G343:$K343)</f>
        <v>8.5000000000000006E-2</v>
      </c>
      <c r="W25" s="473">
        <f>LOOKUP(W$13,Inputs!$G$336:$K$336,Inputs!$G343:$K343)</f>
        <v>8.5000000000000006E-2</v>
      </c>
      <c r="X25" s="473">
        <f>LOOKUP(X$13,Inputs!$G$336:$K$336,Inputs!$G343:$K343)</f>
        <v>8.5000000000000006E-2</v>
      </c>
      <c r="Y25" s="473">
        <f>LOOKUP(Y$13,Inputs!$G$336:$K$336,Inputs!$G343:$K343)</f>
        <v>8.5000000000000006E-2</v>
      </c>
      <c r="Z25" s="473">
        <f>LOOKUP(Z$13,Inputs!$G$336:$K$336,Inputs!$G343:$K343)</f>
        <v>8.5000000000000006E-2</v>
      </c>
      <c r="AA25" s="473">
        <f>LOOKUP(AA$13,Inputs!$G$336:$K$336,Inputs!$G343:$K343)</f>
        <v>8.5000000000000006E-2</v>
      </c>
      <c r="AB25" s="473">
        <f>LOOKUP(AB$13,Inputs!$G$336:$K$336,Inputs!$G343:$K343)</f>
        <v>8.5000000000000006E-2</v>
      </c>
      <c r="AC25" s="473">
        <f>LOOKUP(AC$13,Inputs!$G$336:$K$336,Inputs!$G343:$K343)</f>
        <v>8.5000000000000006E-2</v>
      </c>
      <c r="AD25" s="473">
        <f>LOOKUP(AD$13,Inputs!$G$336:$K$336,Inputs!$G343:$K343)</f>
        <v>8.5000000000000006E-2</v>
      </c>
      <c r="AE25" s="473">
        <f>LOOKUP(AE$13,Inputs!$G$336:$K$336,Inputs!$G343:$K343)</f>
        <v>8.5000000000000006E-2</v>
      </c>
      <c r="AF25" s="473">
        <f>LOOKUP(AF$13,Inputs!$G$336:$K$336,Inputs!$G343:$K343)</f>
        <v>8.5000000000000006E-2</v>
      </c>
      <c r="AG25" s="473">
        <f>LOOKUP(AG$13,Inputs!$G$336:$K$336,Inputs!$G343:$K343)</f>
        <v>8.5000000000000006E-2</v>
      </c>
      <c r="AH25" s="473">
        <f>LOOKUP(AH$13,Inputs!$G$336:$K$336,Inputs!$G343:$K343)</f>
        <v>8.5000000000000006E-2</v>
      </c>
      <c r="AI25" s="473">
        <f>LOOKUP(AI$13,Inputs!$G$336:$K$336,Inputs!$G343:$K343)</f>
        <v>8.5000000000000006E-2</v>
      </c>
      <c r="AJ25" s="473">
        <f>LOOKUP(AJ$13,Inputs!$G$336:$K$336,Inputs!$G343:$K343)</f>
        <v>8.5000000000000006E-2</v>
      </c>
      <c r="AK25" s="473">
        <f>LOOKUP(AK$13,Inputs!$G$336:$K$336,Inputs!$G343:$K343)</f>
        <v>8.5000000000000006E-2</v>
      </c>
      <c r="AL25" s="473">
        <f>LOOKUP(AL$13,Inputs!$G$336:$K$336,Inputs!$G343:$K343)</f>
        <v>8.5000000000000006E-2</v>
      </c>
      <c r="AM25" s="473">
        <f>LOOKUP(AM$13,Inputs!$G$336:$K$336,Inputs!$G343:$K343)</f>
        <v>8.5000000000000006E-2</v>
      </c>
      <c r="AN25" s="473">
        <f>LOOKUP(AN$13,Inputs!$G$336:$K$336,Inputs!$G343:$K343)</f>
        <v>8.5000000000000006E-2</v>
      </c>
    </row>
    <row r="26" spans="3:40" outlineLevel="2">
      <c r="C26" s="299" t="str">
        <f>Inputs!C344</f>
        <v>TLP</v>
      </c>
      <c r="D26" s="266"/>
      <c r="E26" s="4" t="s">
        <v>377</v>
      </c>
      <c r="F26" s="266"/>
      <c r="G26" s="473">
        <f>LOOKUP(G$13,Inputs!$G$336:$K$336,Inputs!$G344:$K344)</f>
        <v>8.9800000000000005E-2</v>
      </c>
      <c r="H26" s="473">
        <f>LOOKUP(H$13,Inputs!$G$336:$K$336,Inputs!$G344:$K344)</f>
        <v>8.9800000000000005E-2</v>
      </c>
      <c r="I26" s="473">
        <f>LOOKUP(I$13,Inputs!$G$336:$K$336,Inputs!$G344:$K344)</f>
        <v>8.9800000000000005E-2</v>
      </c>
      <c r="J26" s="473">
        <f>LOOKUP(J$13,Inputs!$G$336:$K$336,Inputs!$G344:$K344)</f>
        <v>8.9800000000000005E-2</v>
      </c>
      <c r="K26" s="473">
        <f>LOOKUP(K$13,Inputs!$G$336:$K$336,Inputs!$G344:$K344)</f>
        <v>8.9800000000000005E-2</v>
      </c>
      <c r="L26" s="473">
        <f>LOOKUP(L$13,Inputs!$G$336:$K$336,Inputs!$G344:$K344)</f>
        <v>8.9800000000000005E-2</v>
      </c>
      <c r="M26" s="473">
        <f>LOOKUP(M$13,Inputs!$G$336:$K$336,Inputs!$G344:$K344)</f>
        <v>8.9800000000000005E-2</v>
      </c>
      <c r="N26" s="473">
        <f>LOOKUP(N$13,Inputs!$G$336:$K$336,Inputs!$G344:$K344)</f>
        <v>8.9800000000000005E-2</v>
      </c>
      <c r="O26" s="473">
        <f>LOOKUP(O$13,Inputs!$G$336:$K$336,Inputs!$G344:$K344)</f>
        <v>8.9800000000000005E-2</v>
      </c>
      <c r="P26" s="473">
        <f>LOOKUP(P$13,Inputs!$G$336:$K$336,Inputs!$G344:$K344)</f>
        <v>8.9800000000000005E-2</v>
      </c>
      <c r="Q26" s="473">
        <f>LOOKUP(Q$13,Inputs!$G$336:$K$336,Inputs!$G344:$K344)</f>
        <v>8.9800000000000005E-2</v>
      </c>
      <c r="R26" s="473">
        <f>LOOKUP(R$13,Inputs!$G$336:$K$336,Inputs!$G344:$K344)</f>
        <v>8.9800000000000005E-2</v>
      </c>
      <c r="S26" s="473">
        <f>LOOKUP(S$13,Inputs!$G$336:$K$336,Inputs!$G344:$K344)</f>
        <v>8.9800000000000005E-2</v>
      </c>
      <c r="T26" s="473">
        <f>LOOKUP(T$13,Inputs!$G$336:$K$336,Inputs!$G344:$K344)</f>
        <v>8.9800000000000005E-2</v>
      </c>
      <c r="U26" s="473">
        <f>LOOKUP(U$13,Inputs!$G$336:$K$336,Inputs!$G344:$K344)</f>
        <v>8.9800000000000005E-2</v>
      </c>
      <c r="V26" s="473">
        <f>LOOKUP(V$13,Inputs!$G$336:$K$336,Inputs!$G344:$K344)</f>
        <v>8.9800000000000005E-2</v>
      </c>
      <c r="W26" s="473">
        <f>LOOKUP(W$13,Inputs!$G$336:$K$336,Inputs!$G344:$K344)</f>
        <v>8.9800000000000005E-2</v>
      </c>
      <c r="X26" s="473">
        <f>LOOKUP(X$13,Inputs!$G$336:$K$336,Inputs!$G344:$K344)</f>
        <v>8.9800000000000005E-2</v>
      </c>
      <c r="Y26" s="473">
        <f>LOOKUP(Y$13,Inputs!$G$336:$K$336,Inputs!$G344:$K344)</f>
        <v>8.9800000000000005E-2</v>
      </c>
      <c r="Z26" s="473">
        <f>LOOKUP(Z$13,Inputs!$G$336:$K$336,Inputs!$G344:$K344)</f>
        <v>8.9800000000000005E-2</v>
      </c>
      <c r="AA26" s="473">
        <f>LOOKUP(AA$13,Inputs!$G$336:$K$336,Inputs!$G344:$K344)</f>
        <v>8.9800000000000005E-2</v>
      </c>
      <c r="AB26" s="473">
        <f>LOOKUP(AB$13,Inputs!$G$336:$K$336,Inputs!$G344:$K344)</f>
        <v>8.9800000000000005E-2</v>
      </c>
      <c r="AC26" s="473">
        <f>LOOKUP(AC$13,Inputs!$G$336:$K$336,Inputs!$G344:$K344)</f>
        <v>8.9800000000000005E-2</v>
      </c>
      <c r="AD26" s="473">
        <f>LOOKUP(AD$13,Inputs!$G$336:$K$336,Inputs!$G344:$K344)</f>
        <v>8.9800000000000005E-2</v>
      </c>
      <c r="AE26" s="473">
        <f>LOOKUP(AE$13,Inputs!$G$336:$K$336,Inputs!$G344:$K344)</f>
        <v>8.9800000000000005E-2</v>
      </c>
      <c r="AF26" s="473">
        <f>LOOKUP(AF$13,Inputs!$G$336:$K$336,Inputs!$G344:$K344)</f>
        <v>8.9800000000000005E-2</v>
      </c>
      <c r="AG26" s="473">
        <f>LOOKUP(AG$13,Inputs!$G$336:$K$336,Inputs!$G344:$K344)</f>
        <v>8.9800000000000005E-2</v>
      </c>
      <c r="AH26" s="473">
        <f>LOOKUP(AH$13,Inputs!$G$336:$K$336,Inputs!$G344:$K344)</f>
        <v>8.9800000000000005E-2</v>
      </c>
      <c r="AI26" s="473">
        <f>LOOKUP(AI$13,Inputs!$G$336:$K$336,Inputs!$G344:$K344)</f>
        <v>8.9800000000000005E-2</v>
      </c>
      <c r="AJ26" s="473">
        <f>LOOKUP(AJ$13,Inputs!$G$336:$K$336,Inputs!$G344:$K344)</f>
        <v>8.9800000000000005E-2</v>
      </c>
      <c r="AK26" s="473">
        <f>LOOKUP(AK$13,Inputs!$G$336:$K$336,Inputs!$G344:$K344)</f>
        <v>8.9800000000000005E-2</v>
      </c>
      <c r="AL26" s="473">
        <f>LOOKUP(AL$13,Inputs!$G$336:$K$336,Inputs!$G344:$K344)</f>
        <v>8.9800000000000005E-2</v>
      </c>
      <c r="AM26" s="473">
        <f>LOOKUP(AM$13,Inputs!$G$336:$K$336,Inputs!$G344:$K344)</f>
        <v>8.9800000000000005E-2</v>
      </c>
      <c r="AN26" s="473">
        <f>LOOKUP(AN$13,Inputs!$G$336:$K$336,Inputs!$G344:$K344)</f>
        <v>8.9800000000000005E-2</v>
      </c>
    </row>
    <row r="27" spans="3:40" outlineLevel="2">
      <c r="C27" s="299" t="str">
        <f>Inputs!C345</f>
        <v>IPCA</v>
      </c>
      <c r="D27" s="266"/>
      <c r="E27" s="4" t="s">
        <v>377</v>
      </c>
      <c r="F27" s="266"/>
      <c r="G27" s="473">
        <f>LOOKUP(G$13,Inputs!$G$336:$K$336,Inputs!$G345:$K345)</f>
        <v>3.5000000000000003E-2</v>
      </c>
      <c r="H27" s="473">
        <f>LOOKUP(H$13,Inputs!$G$336:$K$336,Inputs!$G345:$K345)</f>
        <v>3.5000000000000003E-2</v>
      </c>
      <c r="I27" s="473">
        <f>LOOKUP(I$13,Inputs!$G$336:$K$336,Inputs!$G345:$K345)</f>
        <v>3.5000000000000003E-2</v>
      </c>
      <c r="J27" s="473">
        <f>LOOKUP(J$13,Inputs!$G$336:$K$336,Inputs!$G345:$K345)</f>
        <v>3.5000000000000003E-2</v>
      </c>
      <c r="K27" s="473">
        <f>LOOKUP(K$13,Inputs!$G$336:$K$336,Inputs!$G345:$K345)</f>
        <v>3.5000000000000003E-2</v>
      </c>
      <c r="L27" s="473">
        <f>LOOKUP(L$13,Inputs!$G$336:$K$336,Inputs!$G345:$K345)</f>
        <v>3.5000000000000003E-2</v>
      </c>
      <c r="M27" s="473">
        <f>LOOKUP(M$13,Inputs!$G$336:$K$336,Inputs!$G345:$K345)</f>
        <v>3.5000000000000003E-2</v>
      </c>
      <c r="N27" s="473">
        <f>LOOKUP(N$13,Inputs!$G$336:$K$336,Inputs!$G345:$K345)</f>
        <v>3.5000000000000003E-2</v>
      </c>
      <c r="O27" s="473">
        <f>LOOKUP(O$13,Inputs!$G$336:$K$336,Inputs!$G345:$K345)</f>
        <v>3.5000000000000003E-2</v>
      </c>
      <c r="P27" s="473">
        <f>LOOKUP(P$13,Inputs!$G$336:$K$336,Inputs!$G345:$K345)</f>
        <v>3.5000000000000003E-2</v>
      </c>
      <c r="Q27" s="473">
        <f>LOOKUP(Q$13,Inputs!$G$336:$K$336,Inputs!$G345:$K345)</f>
        <v>3.5000000000000003E-2</v>
      </c>
      <c r="R27" s="473">
        <f>LOOKUP(R$13,Inputs!$G$336:$K$336,Inputs!$G345:$K345)</f>
        <v>3.5000000000000003E-2</v>
      </c>
      <c r="S27" s="473">
        <f>LOOKUP(S$13,Inputs!$G$336:$K$336,Inputs!$G345:$K345)</f>
        <v>3.5000000000000003E-2</v>
      </c>
      <c r="T27" s="473">
        <f>LOOKUP(T$13,Inputs!$G$336:$K$336,Inputs!$G345:$K345)</f>
        <v>3.5000000000000003E-2</v>
      </c>
      <c r="U27" s="473">
        <f>LOOKUP(U$13,Inputs!$G$336:$K$336,Inputs!$G345:$K345)</f>
        <v>3.5000000000000003E-2</v>
      </c>
      <c r="V27" s="473">
        <f>LOOKUP(V$13,Inputs!$G$336:$K$336,Inputs!$G345:$K345)</f>
        <v>3.5000000000000003E-2</v>
      </c>
      <c r="W27" s="473">
        <f>LOOKUP(W$13,Inputs!$G$336:$K$336,Inputs!$G345:$K345)</f>
        <v>3.5000000000000003E-2</v>
      </c>
      <c r="X27" s="473">
        <f>LOOKUP(X$13,Inputs!$G$336:$K$336,Inputs!$G345:$K345)</f>
        <v>3.5000000000000003E-2</v>
      </c>
      <c r="Y27" s="473">
        <f>LOOKUP(Y$13,Inputs!$G$336:$K$336,Inputs!$G345:$K345)</f>
        <v>3.5000000000000003E-2</v>
      </c>
      <c r="Z27" s="473">
        <f>LOOKUP(Z$13,Inputs!$G$336:$K$336,Inputs!$G345:$K345)</f>
        <v>3.5000000000000003E-2</v>
      </c>
      <c r="AA27" s="473">
        <f>LOOKUP(AA$13,Inputs!$G$336:$K$336,Inputs!$G345:$K345)</f>
        <v>3.5000000000000003E-2</v>
      </c>
      <c r="AB27" s="473">
        <f>LOOKUP(AB$13,Inputs!$G$336:$K$336,Inputs!$G345:$K345)</f>
        <v>3.5000000000000003E-2</v>
      </c>
      <c r="AC27" s="473">
        <f>LOOKUP(AC$13,Inputs!$G$336:$K$336,Inputs!$G345:$K345)</f>
        <v>3.5000000000000003E-2</v>
      </c>
      <c r="AD27" s="473">
        <f>LOOKUP(AD$13,Inputs!$G$336:$K$336,Inputs!$G345:$K345)</f>
        <v>3.5000000000000003E-2</v>
      </c>
      <c r="AE27" s="473">
        <f>LOOKUP(AE$13,Inputs!$G$336:$K$336,Inputs!$G345:$K345)</f>
        <v>3.5000000000000003E-2</v>
      </c>
      <c r="AF27" s="473">
        <f>LOOKUP(AF$13,Inputs!$G$336:$K$336,Inputs!$G345:$K345)</f>
        <v>3.5000000000000003E-2</v>
      </c>
      <c r="AG27" s="473">
        <f>LOOKUP(AG$13,Inputs!$G$336:$K$336,Inputs!$G345:$K345)</f>
        <v>3.5000000000000003E-2</v>
      </c>
      <c r="AH27" s="473">
        <f>LOOKUP(AH$13,Inputs!$G$336:$K$336,Inputs!$G345:$K345)</f>
        <v>3.5000000000000003E-2</v>
      </c>
      <c r="AI27" s="473">
        <f>LOOKUP(AI$13,Inputs!$G$336:$K$336,Inputs!$G345:$K345)</f>
        <v>3.5000000000000003E-2</v>
      </c>
      <c r="AJ27" s="473">
        <f>LOOKUP(AJ$13,Inputs!$G$336:$K$336,Inputs!$G345:$K345)</f>
        <v>3.5000000000000003E-2</v>
      </c>
      <c r="AK27" s="473">
        <f>LOOKUP(AK$13,Inputs!$G$336:$K$336,Inputs!$G345:$K345)</f>
        <v>3.5000000000000003E-2</v>
      </c>
      <c r="AL27" s="473">
        <f>LOOKUP(AL$13,Inputs!$G$336:$K$336,Inputs!$G345:$K345)</f>
        <v>3.5000000000000003E-2</v>
      </c>
      <c r="AM27" s="473">
        <f>LOOKUP(AM$13,Inputs!$G$336:$K$336,Inputs!$G345:$K345)</f>
        <v>3.5000000000000003E-2</v>
      </c>
      <c r="AN27" s="473">
        <f>LOOKUP(AN$13,Inputs!$G$336:$K$336,Inputs!$G345:$K345)</f>
        <v>3.5000000000000003E-2</v>
      </c>
    </row>
    <row r="28" spans="3:40" outlineLevel="1">
      <c r="C28" s="266"/>
      <c r="E28" s="266"/>
      <c r="F28" s="266"/>
      <c r="G28" s="266"/>
      <c r="H28" s="266"/>
      <c r="I28" s="266"/>
      <c r="J28" s="266"/>
      <c r="K28" s="266"/>
      <c r="L28" s="266"/>
      <c r="M28" s="266"/>
      <c r="N28" s="266"/>
      <c r="O28" s="266"/>
      <c r="P28" s="266"/>
      <c r="Q28" s="266"/>
      <c r="R28" s="266"/>
      <c r="S28" s="266"/>
      <c r="T28" s="266"/>
      <c r="U28" s="266"/>
      <c r="V28" s="266"/>
      <c r="W28" s="266"/>
      <c r="X28" s="266"/>
      <c r="Y28" s="266"/>
      <c r="Z28" s="266"/>
      <c r="AA28" s="266"/>
      <c r="AB28" s="266"/>
      <c r="AC28" s="266"/>
      <c r="AD28" s="266"/>
      <c r="AE28" s="266"/>
      <c r="AF28" s="266"/>
      <c r="AG28" s="266"/>
      <c r="AH28" s="266"/>
      <c r="AI28" s="266"/>
      <c r="AJ28" s="266"/>
      <c r="AK28" s="266"/>
      <c r="AL28" s="266"/>
      <c r="AM28" s="266"/>
      <c r="AN28" s="266"/>
    </row>
    <row r="29" spans="3:40" outlineLevel="1">
      <c r="C29" s="11" t="s">
        <v>378</v>
      </c>
      <c r="E29" s="266"/>
      <c r="F29" s="266"/>
      <c r="G29" s="266"/>
      <c r="H29" s="304"/>
      <c r="I29" s="286"/>
      <c r="J29" s="312"/>
      <c r="K29" s="286"/>
      <c r="L29" s="286"/>
      <c r="M29" s="286"/>
      <c r="N29" s="266"/>
      <c r="O29" s="266"/>
      <c r="P29" s="266"/>
      <c r="Q29" s="266"/>
      <c r="R29" s="266"/>
      <c r="S29" s="266"/>
      <c r="T29" s="266"/>
      <c r="U29" s="266"/>
      <c r="V29" s="266"/>
      <c r="W29" s="266"/>
      <c r="X29" s="266"/>
      <c r="Y29" s="266"/>
      <c r="Z29" s="266"/>
      <c r="AA29" s="266"/>
      <c r="AB29" s="266"/>
      <c r="AC29" s="266"/>
      <c r="AD29" s="266"/>
      <c r="AE29" s="266"/>
      <c r="AF29" s="266"/>
      <c r="AG29" s="266"/>
      <c r="AH29" s="266"/>
      <c r="AI29" s="266"/>
      <c r="AJ29" s="266"/>
      <c r="AK29" s="266"/>
      <c r="AL29" s="266"/>
      <c r="AM29" s="266"/>
      <c r="AN29" s="266"/>
    </row>
    <row r="30" spans="3:40" outlineLevel="2">
      <c r="C30" s="266" t="str">
        <f t="shared" ref="C30:C38" si="4">C19</f>
        <v>None</v>
      </c>
      <c r="E30" s="17"/>
      <c r="F30" s="313">
        <f>Inputs!E337</f>
        <v>1</v>
      </c>
      <c r="G30" s="313">
        <f t="shared" ref="G30:V38" si="5">IFERROR(F30*(1+G19)^(G$14/G$15),1)</f>
        <v>1</v>
      </c>
      <c r="H30" s="313">
        <f t="shared" si="5"/>
        <v>1</v>
      </c>
      <c r="I30" s="313">
        <f t="shared" si="5"/>
        <v>1</v>
      </c>
      <c r="J30" s="313">
        <f t="shared" si="5"/>
        <v>1</v>
      </c>
      <c r="K30" s="313">
        <f t="shared" si="5"/>
        <v>1</v>
      </c>
      <c r="L30" s="313">
        <f t="shared" si="5"/>
        <v>1</v>
      </c>
      <c r="M30" s="313">
        <f t="shared" si="5"/>
        <v>1</v>
      </c>
      <c r="N30" s="313">
        <f t="shared" si="5"/>
        <v>1</v>
      </c>
      <c r="O30" s="313">
        <f t="shared" si="5"/>
        <v>1</v>
      </c>
      <c r="P30" s="313">
        <f t="shared" si="5"/>
        <v>1</v>
      </c>
      <c r="Q30" s="313">
        <f t="shared" si="5"/>
        <v>1</v>
      </c>
      <c r="R30" s="313">
        <f t="shared" si="5"/>
        <v>1</v>
      </c>
      <c r="S30" s="313">
        <f t="shared" si="5"/>
        <v>1</v>
      </c>
      <c r="T30" s="313">
        <f t="shared" si="5"/>
        <v>1</v>
      </c>
      <c r="U30" s="313">
        <f t="shared" si="5"/>
        <v>1</v>
      </c>
      <c r="V30" s="313">
        <f t="shared" si="5"/>
        <v>1</v>
      </c>
      <c r="W30" s="313">
        <f t="shared" ref="H30:AK38" si="6">IFERROR(V30*(1+W19)^(W$14/W$15),1)</f>
        <v>1</v>
      </c>
      <c r="X30" s="313">
        <f t="shared" si="6"/>
        <v>1</v>
      </c>
      <c r="Y30" s="313">
        <f t="shared" si="6"/>
        <v>1</v>
      </c>
      <c r="Z30" s="313">
        <f t="shared" si="6"/>
        <v>1</v>
      </c>
      <c r="AA30" s="313">
        <f t="shared" si="6"/>
        <v>1</v>
      </c>
      <c r="AB30" s="313">
        <f t="shared" si="6"/>
        <v>1</v>
      </c>
      <c r="AC30" s="313">
        <f t="shared" si="6"/>
        <v>1</v>
      </c>
      <c r="AD30" s="313">
        <f t="shared" si="6"/>
        <v>1</v>
      </c>
      <c r="AE30" s="313">
        <f t="shared" si="6"/>
        <v>1</v>
      </c>
      <c r="AF30" s="313">
        <f t="shared" si="6"/>
        <v>1</v>
      </c>
      <c r="AG30" s="313">
        <f t="shared" si="6"/>
        <v>1</v>
      </c>
      <c r="AH30" s="313">
        <f t="shared" si="6"/>
        <v>1</v>
      </c>
      <c r="AI30" s="313">
        <f t="shared" si="6"/>
        <v>1</v>
      </c>
      <c r="AJ30" s="313">
        <f t="shared" si="6"/>
        <v>1</v>
      </c>
      <c r="AK30" s="313">
        <f t="shared" si="6"/>
        <v>1</v>
      </c>
      <c r="AL30" s="313">
        <f t="shared" ref="AL30:AN38" si="7">IFERROR(AK30*(1+AL19)^(AL$14/AL$15),1)</f>
        <v>1</v>
      </c>
      <c r="AM30" s="313">
        <f t="shared" si="7"/>
        <v>1</v>
      </c>
      <c r="AN30" s="313">
        <f t="shared" si="7"/>
        <v>1</v>
      </c>
    </row>
    <row r="31" spans="3:40" outlineLevel="2">
      <c r="C31" s="266" t="str">
        <f t="shared" si="4"/>
        <v>IPG-M</v>
      </c>
      <c r="E31" s="17"/>
      <c r="F31" s="313">
        <f>Inputs!E338</f>
        <v>1</v>
      </c>
      <c r="G31" s="313">
        <f t="shared" si="5"/>
        <v>1.038</v>
      </c>
      <c r="H31" s="313">
        <f t="shared" si="6"/>
        <v>1.0774440000000001</v>
      </c>
      <c r="I31" s="313">
        <f t="shared" si="6"/>
        <v>1.1183868720000001</v>
      </c>
      <c r="J31" s="313">
        <f t="shared" si="6"/>
        <v>1.1608855731360002</v>
      </c>
      <c r="K31" s="313">
        <f t="shared" si="6"/>
        <v>1.2049992249151682</v>
      </c>
      <c r="L31" s="313">
        <f t="shared" si="6"/>
        <v>1.2507891954619446</v>
      </c>
      <c r="M31" s="313">
        <f t="shared" si="6"/>
        <v>1.2983191848894986</v>
      </c>
      <c r="N31" s="313">
        <f t="shared" si="6"/>
        <v>1.3476553139152996</v>
      </c>
      <c r="O31" s="313">
        <f t="shared" si="6"/>
        <v>1.398866215844081</v>
      </c>
      <c r="P31" s="313">
        <f t="shared" si="6"/>
        <v>1.4520231320461561</v>
      </c>
      <c r="Q31" s="313">
        <f t="shared" si="6"/>
        <v>1.5072000110639101</v>
      </c>
      <c r="R31" s="313">
        <f t="shared" si="6"/>
        <v>1.5644736114843387</v>
      </c>
      <c r="S31" s="313">
        <f t="shared" si="6"/>
        <v>1.6239236087207436</v>
      </c>
      <c r="T31" s="313">
        <f t="shared" si="6"/>
        <v>1.6856327058521319</v>
      </c>
      <c r="U31" s="313">
        <f t="shared" si="6"/>
        <v>1.7496867486745129</v>
      </c>
      <c r="V31" s="313">
        <f t="shared" si="6"/>
        <v>1.8161748451241444</v>
      </c>
      <c r="W31" s="313">
        <f t="shared" si="6"/>
        <v>1.8851894892388619</v>
      </c>
      <c r="X31" s="313">
        <f t="shared" si="6"/>
        <v>1.9568266898299387</v>
      </c>
      <c r="Y31" s="313">
        <f t="shared" si="6"/>
        <v>2.0311861040434764</v>
      </c>
      <c r="Z31" s="313">
        <f t="shared" si="6"/>
        <v>2.1083711759971284</v>
      </c>
      <c r="AA31" s="313">
        <f t="shared" si="6"/>
        <v>2.1884892806850194</v>
      </c>
      <c r="AB31" s="313">
        <f t="shared" si="6"/>
        <v>2.27165187335105</v>
      </c>
      <c r="AC31" s="313">
        <f t="shared" si="6"/>
        <v>2.3579746445383898</v>
      </c>
      <c r="AD31" s="313">
        <f t="shared" si="6"/>
        <v>2.4475776810308485</v>
      </c>
      <c r="AE31" s="313">
        <f t="shared" si="6"/>
        <v>2.5405856329100209</v>
      </c>
      <c r="AF31" s="313">
        <f t="shared" si="6"/>
        <v>2.6371278869606019</v>
      </c>
      <c r="AG31" s="313">
        <f t="shared" si="6"/>
        <v>2.7373387466651047</v>
      </c>
      <c r="AH31" s="313">
        <f t="shared" si="6"/>
        <v>2.8413576190383787</v>
      </c>
      <c r="AI31" s="313">
        <f t="shared" si="6"/>
        <v>2.9493292085618372</v>
      </c>
      <c r="AJ31" s="313">
        <f t="shared" si="6"/>
        <v>3.061403718487187</v>
      </c>
      <c r="AK31" s="313">
        <f t="shared" si="6"/>
        <v>3.1777370597897003</v>
      </c>
      <c r="AL31" s="313">
        <f t="shared" si="7"/>
        <v>3.298491068061709</v>
      </c>
      <c r="AM31" s="313">
        <f t="shared" si="7"/>
        <v>3.423833728648054</v>
      </c>
      <c r="AN31" s="313">
        <f t="shared" si="7"/>
        <v>1</v>
      </c>
    </row>
    <row r="32" spans="3:40" outlineLevel="2">
      <c r="C32" s="266" t="str">
        <f t="shared" si="4"/>
        <v>PIB</v>
      </c>
      <c r="E32" s="17"/>
      <c r="F32" s="313">
        <f>Inputs!E339</f>
        <v>1</v>
      </c>
      <c r="G32" s="313">
        <f t="shared" si="5"/>
        <v>1.02</v>
      </c>
      <c r="H32" s="313">
        <f t="shared" si="6"/>
        <v>1.0404</v>
      </c>
      <c r="I32" s="313">
        <f t="shared" si="6"/>
        <v>1.0612079999999999</v>
      </c>
      <c r="J32" s="313">
        <f t="shared" si="6"/>
        <v>1.08243216</v>
      </c>
      <c r="K32" s="313">
        <f t="shared" si="6"/>
        <v>1.1040808032</v>
      </c>
      <c r="L32" s="313">
        <f t="shared" si="6"/>
        <v>1.1261624192640001</v>
      </c>
      <c r="M32" s="313">
        <f t="shared" si="6"/>
        <v>1.14868566764928</v>
      </c>
      <c r="N32" s="313">
        <f t="shared" si="6"/>
        <v>1.1716593810022657</v>
      </c>
      <c r="O32" s="313">
        <f t="shared" si="6"/>
        <v>1.1950925686223111</v>
      </c>
      <c r="P32" s="313">
        <f t="shared" si="6"/>
        <v>1.2189944199947573</v>
      </c>
      <c r="Q32" s="313">
        <f t="shared" si="6"/>
        <v>1.2433743083946525</v>
      </c>
      <c r="R32" s="313">
        <f t="shared" si="6"/>
        <v>1.2682417945625455</v>
      </c>
      <c r="S32" s="313">
        <f t="shared" si="6"/>
        <v>1.2936066304537963</v>
      </c>
      <c r="T32" s="313">
        <f t="shared" si="6"/>
        <v>1.3194787630628724</v>
      </c>
      <c r="U32" s="313">
        <f t="shared" si="6"/>
        <v>1.3458683383241299</v>
      </c>
      <c r="V32" s="313">
        <f t="shared" si="6"/>
        <v>1.3727857050906125</v>
      </c>
      <c r="W32" s="313">
        <f t="shared" si="6"/>
        <v>1.4002414191924248</v>
      </c>
      <c r="X32" s="313">
        <f t="shared" si="6"/>
        <v>1.4282462475762734</v>
      </c>
      <c r="Y32" s="313">
        <f t="shared" si="6"/>
        <v>1.4568111725277988</v>
      </c>
      <c r="Z32" s="313">
        <f t="shared" si="6"/>
        <v>1.4859473959783549</v>
      </c>
      <c r="AA32" s="313">
        <f t="shared" si="6"/>
        <v>1.5156663438979221</v>
      </c>
      <c r="AB32" s="313">
        <f t="shared" si="6"/>
        <v>1.5459796707758806</v>
      </c>
      <c r="AC32" s="313">
        <f t="shared" si="6"/>
        <v>1.5768992641913981</v>
      </c>
      <c r="AD32" s="313">
        <f t="shared" si="6"/>
        <v>1.6084372494752261</v>
      </c>
      <c r="AE32" s="313">
        <f t="shared" si="6"/>
        <v>1.6406059944647307</v>
      </c>
      <c r="AF32" s="313">
        <f t="shared" si="6"/>
        <v>1.6734181143540252</v>
      </c>
      <c r="AG32" s="313">
        <f t="shared" si="6"/>
        <v>1.7068864766411058</v>
      </c>
      <c r="AH32" s="313">
        <f t="shared" si="6"/>
        <v>1.7410242061739281</v>
      </c>
      <c r="AI32" s="313">
        <f t="shared" si="6"/>
        <v>1.7758446902974065</v>
      </c>
      <c r="AJ32" s="313">
        <f t="shared" si="6"/>
        <v>1.8113615841033548</v>
      </c>
      <c r="AK32" s="313">
        <f t="shared" si="6"/>
        <v>1.8475888157854219</v>
      </c>
      <c r="AL32" s="313">
        <f t="shared" si="7"/>
        <v>1.8845405921011305</v>
      </c>
      <c r="AM32" s="313">
        <f t="shared" si="7"/>
        <v>1.9222314039431532</v>
      </c>
      <c r="AN32" s="313">
        <f t="shared" si="7"/>
        <v>1</v>
      </c>
    </row>
    <row r="33" spans="3:40" outlineLevel="2">
      <c r="C33" s="266" t="str">
        <f t="shared" si="4"/>
        <v>PIB Serviços</v>
      </c>
      <c r="E33" s="17"/>
      <c r="F33" s="313">
        <f>Inputs!E340</f>
        <v>1</v>
      </c>
      <c r="G33" s="313">
        <f t="shared" si="5"/>
        <v>1.0249999999999999</v>
      </c>
      <c r="H33" s="313">
        <f t="shared" si="6"/>
        <v>1.0506249999999999</v>
      </c>
      <c r="I33" s="313">
        <f t="shared" si="6"/>
        <v>1.0768906249999999</v>
      </c>
      <c r="J33" s="313">
        <f t="shared" si="6"/>
        <v>1.1038128906249998</v>
      </c>
      <c r="K33" s="313">
        <f t="shared" si="6"/>
        <v>1.1314082128906247</v>
      </c>
      <c r="L33" s="313">
        <f t="shared" si="6"/>
        <v>1.1596934182128902</v>
      </c>
      <c r="M33" s="313">
        <f t="shared" si="6"/>
        <v>1.1886857536682123</v>
      </c>
      <c r="N33" s="313">
        <f t="shared" si="6"/>
        <v>1.2184028975099175</v>
      </c>
      <c r="O33" s="313">
        <f t="shared" si="6"/>
        <v>1.2488629699476652</v>
      </c>
      <c r="P33" s="313">
        <f t="shared" si="6"/>
        <v>1.2800845441963566</v>
      </c>
      <c r="Q33" s="313">
        <f t="shared" si="6"/>
        <v>1.3120866578012655</v>
      </c>
      <c r="R33" s="313">
        <f t="shared" si="6"/>
        <v>1.3448888242462971</v>
      </c>
      <c r="S33" s="313">
        <f t="shared" si="6"/>
        <v>1.3785110448524545</v>
      </c>
      <c r="T33" s="313">
        <f t="shared" si="6"/>
        <v>1.4129738209737657</v>
      </c>
      <c r="U33" s="313">
        <f t="shared" si="6"/>
        <v>1.4482981664981096</v>
      </c>
      <c r="V33" s="313">
        <f t="shared" si="6"/>
        <v>1.4845056206605622</v>
      </c>
      <c r="W33" s="313">
        <f t="shared" si="6"/>
        <v>1.5216182611770761</v>
      </c>
      <c r="X33" s="313">
        <f t="shared" si="6"/>
        <v>1.5596587177065029</v>
      </c>
      <c r="Y33" s="313">
        <f t="shared" si="6"/>
        <v>1.5986501856491653</v>
      </c>
      <c r="Z33" s="313">
        <f t="shared" si="6"/>
        <v>1.6386164402903942</v>
      </c>
      <c r="AA33" s="313">
        <f t="shared" si="6"/>
        <v>1.6795818512976539</v>
      </c>
      <c r="AB33" s="313">
        <f t="shared" si="6"/>
        <v>1.721571397580095</v>
      </c>
      <c r="AC33" s="313">
        <f t="shared" si="6"/>
        <v>1.7646106825195973</v>
      </c>
      <c r="AD33" s="313">
        <f t="shared" si="6"/>
        <v>1.8087259495825871</v>
      </c>
      <c r="AE33" s="313">
        <f t="shared" si="6"/>
        <v>1.8539440983221516</v>
      </c>
      <c r="AF33" s="313">
        <f t="shared" si="6"/>
        <v>1.9002927007802053</v>
      </c>
      <c r="AG33" s="313">
        <f t="shared" si="6"/>
        <v>1.9478000182997102</v>
      </c>
      <c r="AH33" s="313">
        <f t="shared" si="6"/>
        <v>1.9964950187572028</v>
      </c>
      <c r="AI33" s="313">
        <f t="shared" si="6"/>
        <v>2.0464073942261325</v>
      </c>
      <c r="AJ33" s="313">
        <f t="shared" si="6"/>
        <v>2.0975675790817858</v>
      </c>
      <c r="AK33" s="313">
        <f t="shared" si="6"/>
        <v>2.1500067685588302</v>
      </c>
      <c r="AL33" s="313">
        <f t="shared" si="7"/>
        <v>2.2037569377728006</v>
      </c>
      <c r="AM33" s="313">
        <f t="shared" si="7"/>
        <v>2.2588508612171205</v>
      </c>
      <c r="AN33" s="313">
        <f t="shared" si="7"/>
        <v>1</v>
      </c>
    </row>
    <row r="34" spans="3:40" outlineLevel="2">
      <c r="C34" s="266" t="str">
        <f t="shared" si="4"/>
        <v>CPI US</v>
      </c>
      <c r="E34" s="17"/>
      <c r="F34" s="313">
        <f>Inputs!E341</f>
        <v>1</v>
      </c>
      <c r="G34" s="313">
        <f t="shared" si="5"/>
        <v>1.0309999999999999</v>
      </c>
      <c r="H34" s="313">
        <f t="shared" si="6"/>
        <v>1.0629609999999998</v>
      </c>
      <c r="I34" s="313">
        <f t="shared" si="6"/>
        <v>1.0959127909999997</v>
      </c>
      <c r="J34" s="313">
        <f t="shared" si="6"/>
        <v>1.1298860875209997</v>
      </c>
      <c r="K34" s="313">
        <f t="shared" si="6"/>
        <v>1.1649125562341507</v>
      </c>
      <c r="L34" s="313">
        <f t="shared" si="6"/>
        <v>1.2010248454774093</v>
      </c>
      <c r="M34" s="313">
        <f t="shared" si="6"/>
        <v>1.2382566156872088</v>
      </c>
      <c r="N34" s="313">
        <f t="shared" si="6"/>
        <v>1.2766425707735121</v>
      </c>
      <c r="O34" s="313">
        <f t="shared" si="6"/>
        <v>1.3162184904674907</v>
      </c>
      <c r="P34" s="313">
        <f t="shared" si="6"/>
        <v>1.3570212636719827</v>
      </c>
      <c r="Q34" s="313">
        <f t="shared" si="6"/>
        <v>1.3990889228458141</v>
      </c>
      <c r="R34" s="313">
        <f t="shared" si="6"/>
        <v>1.4424606794540342</v>
      </c>
      <c r="S34" s="313">
        <f t="shared" si="6"/>
        <v>1.4871769605171092</v>
      </c>
      <c r="T34" s="313">
        <f t="shared" si="6"/>
        <v>1.5332794462931394</v>
      </c>
      <c r="U34" s="313">
        <f t="shared" si="6"/>
        <v>1.5808111091282266</v>
      </c>
      <c r="V34" s="313">
        <f t="shared" si="6"/>
        <v>1.6298162535112015</v>
      </c>
      <c r="W34" s="313">
        <f t="shared" si="6"/>
        <v>1.6803405573700487</v>
      </c>
      <c r="X34" s="313">
        <f t="shared" si="6"/>
        <v>1.7324311146485201</v>
      </c>
      <c r="Y34" s="313">
        <f t="shared" si="6"/>
        <v>1.786136479202624</v>
      </c>
      <c r="Z34" s="313">
        <f t="shared" si="6"/>
        <v>1.8415067100579052</v>
      </c>
      <c r="AA34" s="313">
        <f t="shared" si="6"/>
        <v>1.8985934180697002</v>
      </c>
      <c r="AB34" s="313">
        <f t="shared" si="6"/>
        <v>1.9574498140298606</v>
      </c>
      <c r="AC34" s="313">
        <f t="shared" si="6"/>
        <v>2.0181307582647863</v>
      </c>
      <c r="AD34" s="313">
        <f t="shared" si="6"/>
        <v>2.0806928117709944</v>
      </c>
      <c r="AE34" s="313">
        <f t="shared" si="6"/>
        <v>2.1451942889358953</v>
      </c>
      <c r="AF34" s="313">
        <f t="shared" si="6"/>
        <v>2.2116953118929077</v>
      </c>
      <c r="AG34" s="313">
        <f t="shared" si="6"/>
        <v>2.2802578665615876</v>
      </c>
      <c r="AH34" s="313">
        <f t="shared" si="6"/>
        <v>2.3509458604249964</v>
      </c>
      <c r="AI34" s="313">
        <f t="shared" si="6"/>
        <v>2.4238251820981711</v>
      </c>
      <c r="AJ34" s="313">
        <f t="shared" si="6"/>
        <v>2.4989637627432142</v>
      </c>
      <c r="AK34" s="313">
        <f t="shared" si="6"/>
        <v>2.5764316393882538</v>
      </c>
      <c r="AL34" s="313">
        <f t="shared" si="7"/>
        <v>2.6563010202092894</v>
      </c>
      <c r="AM34" s="313">
        <f t="shared" si="7"/>
        <v>2.7386463518357771</v>
      </c>
      <c r="AN34" s="313">
        <f t="shared" si="7"/>
        <v>1</v>
      </c>
    </row>
    <row r="35" spans="3:40" outlineLevel="2">
      <c r="C35" s="266" t="str">
        <f t="shared" si="4"/>
        <v>SELIC</v>
      </c>
      <c r="E35" s="17"/>
      <c r="F35" s="313">
        <f>Inputs!E342</f>
        <v>1</v>
      </c>
      <c r="G35" s="313">
        <f t="shared" si="5"/>
        <v>1.085</v>
      </c>
      <c r="H35" s="313">
        <f t="shared" si="6"/>
        <v>1.177225</v>
      </c>
      <c r="I35" s="313">
        <f t="shared" si="6"/>
        <v>1.277289125</v>
      </c>
      <c r="J35" s="313">
        <f t="shared" si="6"/>
        <v>1.3858587006250001</v>
      </c>
      <c r="K35" s="313">
        <f t="shared" si="6"/>
        <v>1.503656690178125</v>
      </c>
      <c r="L35" s="313">
        <f t="shared" si="6"/>
        <v>1.6314675088432655</v>
      </c>
      <c r="M35" s="313">
        <f t="shared" si="6"/>
        <v>1.7701422470949431</v>
      </c>
      <c r="N35" s="313">
        <f t="shared" si="6"/>
        <v>1.9206043380980131</v>
      </c>
      <c r="O35" s="313">
        <f t="shared" si="6"/>
        <v>2.0838557068363444</v>
      </c>
      <c r="P35" s="313">
        <f t="shared" si="6"/>
        <v>2.2609834419174337</v>
      </c>
      <c r="Q35" s="313">
        <f t="shared" si="6"/>
        <v>2.4531670344804155</v>
      </c>
      <c r="R35" s="313">
        <f t="shared" si="6"/>
        <v>2.6616862324112507</v>
      </c>
      <c r="S35" s="313">
        <f t="shared" si="6"/>
        <v>2.8879295621662071</v>
      </c>
      <c r="T35" s="313">
        <f t="shared" si="6"/>
        <v>3.1334035749503344</v>
      </c>
      <c r="U35" s="313">
        <f t="shared" si="6"/>
        <v>3.3997428788211126</v>
      </c>
      <c r="V35" s="313">
        <f t="shared" si="6"/>
        <v>3.6887210235209071</v>
      </c>
      <c r="W35" s="313">
        <f t="shared" si="6"/>
        <v>4.0022623105201838</v>
      </c>
      <c r="X35" s="313">
        <f t="shared" si="6"/>
        <v>4.3424546069143997</v>
      </c>
      <c r="Y35" s="313">
        <f t="shared" si="6"/>
        <v>4.7115632485021237</v>
      </c>
      <c r="Z35" s="313">
        <f t="shared" si="6"/>
        <v>5.1120461246248041</v>
      </c>
      <c r="AA35" s="313">
        <f t="shared" si="6"/>
        <v>5.5465700452179121</v>
      </c>
      <c r="AB35" s="313">
        <f t="shared" si="6"/>
        <v>6.0180284990614341</v>
      </c>
      <c r="AC35" s="313">
        <f t="shared" si="6"/>
        <v>6.5295609214816555</v>
      </c>
      <c r="AD35" s="313">
        <f t="shared" si="6"/>
        <v>7.0845735998075963</v>
      </c>
      <c r="AE35" s="313">
        <f t="shared" si="6"/>
        <v>7.6867623557912417</v>
      </c>
      <c r="AF35" s="313">
        <f t="shared" si="6"/>
        <v>8.3401371560334976</v>
      </c>
      <c r="AG35" s="313">
        <f t="shared" si="6"/>
        <v>9.049048814296345</v>
      </c>
      <c r="AH35" s="313">
        <f t="shared" si="6"/>
        <v>9.8182179635115343</v>
      </c>
      <c r="AI35" s="313">
        <f t="shared" si="6"/>
        <v>10.652766490410015</v>
      </c>
      <c r="AJ35" s="313">
        <f t="shared" si="6"/>
        <v>11.558251642094865</v>
      </c>
      <c r="AK35" s="313">
        <f t="shared" si="6"/>
        <v>12.540703031672928</v>
      </c>
      <c r="AL35" s="313">
        <f t="shared" si="7"/>
        <v>13.606662789365126</v>
      </c>
      <c r="AM35" s="313">
        <f t="shared" si="7"/>
        <v>14.763229126461161</v>
      </c>
      <c r="AN35" s="313">
        <f t="shared" si="7"/>
        <v>1</v>
      </c>
    </row>
    <row r="36" spans="3:40" outlineLevel="2">
      <c r="C36" s="266" t="str">
        <f t="shared" si="4"/>
        <v>CDI</v>
      </c>
      <c r="E36" s="17"/>
      <c r="F36" s="313">
        <f>Inputs!E343</f>
        <v>1</v>
      </c>
      <c r="G36" s="313">
        <f t="shared" si="5"/>
        <v>1.085</v>
      </c>
      <c r="H36" s="313">
        <f t="shared" si="6"/>
        <v>1.177225</v>
      </c>
      <c r="I36" s="313">
        <f t="shared" si="6"/>
        <v>1.277289125</v>
      </c>
      <c r="J36" s="313">
        <f t="shared" si="6"/>
        <v>1.3858587006250001</v>
      </c>
      <c r="K36" s="313">
        <f t="shared" si="6"/>
        <v>1.503656690178125</v>
      </c>
      <c r="L36" s="313">
        <f t="shared" si="6"/>
        <v>1.6314675088432655</v>
      </c>
      <c r="M36" s="313">
        <f t="shared" si="6"/>
        <v>1.7701422470949431</v>
      </c>
      <c r="N36" s="313">
        <f t="shared" si="6"/>
        <v>1.9206043380980131</v>
      </c>
      <c r="O36" s="313">
        <f t="shared" si="6"/>
        <v>2.0838557068363444</v>
      </c>
      <c r="P36" s="313">
        <f t="shared" si="6"/>
        <v>2.2609834419174337</v>
      </c>
      <c r="Q36" s="313">
        <f t="shared" si="6"/>
        <v>2.4531670344804155</v>
      </c>
      <c r="R36" s="313">
        <f t="shared" si="6"/>
        <v>2.6616862324112507</v>
      </c>
      <c r="S36" s="313">
        <f t="shared" si="6"/>
        <v>2.8879295621662071</v>
      </c>
      <c r="T36" s="313">
        <f t="shared" si="6"/>
        <v>3.1334035749503344</v>
      </c>
      <c r="U36" s="313">
        <f t="shared" si="6"/>
        <v>3.3997428788211126</v>
      </c>
      <c r="V36" s="313">
        <f t="shared" si="6"/>
        <v>3.6887210235209071</v>
      </c>
      <c r="W36" s="313">
        <f t="shared" si="6"/>
        <v>4.0022623105201838</v>
      </c>
      <c r="X36" s="313">
        <f t="shared" si="6"/>
        <v>4.3424546069143997</v>
      </c>
      <c r="Y36" s="313">
        <f t="shared" si="6"/>
        <v>4.7115632485021237</v>
      </c>
      <c r="Z36" s="313">
        <f t="shared" si="6"/>
        <v>5.1120461246248041</v>
      </c>
      <c r="AA36" s="313">
        <f t="shared" si="6"/>
        <v>5.5465700452179121</v>
      </c>
      <c r="AB36" s="313">
        <f t="shared" si="6"/>
        <v>6.0180284990614341</v>
      </c>
      <c r="AC36" s="313">
        <f t="shared" si="6"/>
        <v>6.5295609214816555</v>
      </c>
      <c r="AD36" s="313">
        <f t="shared" si="6"/>
        <v>7.0845735998075963</v>
      </c>
      <c r="AE36" s="313">
        <f t="shared" si="6"/>
        <v>7.6867623557912417</v>
      </c>
      <c r="AF36" s="313">
        <f t="shared" si="6"/>
        <v>8.3401371560334976</v>
      </c>
      <c r="AG36" s="313">
        <f t="shared" si="6"/>
        <v>9.049048814296345</v>
      </c>
      <c r="AH36" s="313">
        <f t="shared" si="6"/>
        <v>9.8182179635115343</v>
      </c>
      <c r="AI36" s="313">
        <f t="shared" si="6"/>
        <v>10.652766490410015</v>
      </c>
      <c r="AJ36" s="313">
        <f t="shared" si="6"/>
        <v>11.558251642094865</v>
      </c>
      <c r="AK36" s="313">
        <f t="shared" si="6"/>
        <v>12.540703031672928</v>
      </c>
      <c r="AL36" s="313">
        <f t="shared" si="7"/>
        <v>13.606662789365126</v>
      </c>
      <c r="AM36" s="313">
        <f t="shared" si="7"/>
        <v>14.763229126461161</v>
      </c>
      <c r="AN36" s="313">
        <f t="shared" si="7"/>
        <v>1</v>
      </c>
    </row>
    <row r="37" spans="3:40" outlineLevel="2">
      <c r="C37" s="266" t="str">
        <f t="shared" si="4"/>
        <v>TLP</v>
      </c>
      <c r="E37" s="17"/>
      <c r="F37" s="313">
        <f>Inputs!E344</f>
        <v>1</v>
      </c>
      <c r="G37" s="313">
        <f t="shared" si="5"/>
        <v>1.0898000000000001</v>
      </c>
      <c r="H37" s="313">
        <f t="shared" si="6"/>
        <v>1.1876640400000003</v>
      </c>
      <c r="I37" s="313">
        <f t="shared" si="6"/>
        <v>1.2943162707920004</v>
      </c>
      <c r="J37" s="313">
        <f t="shared" si="6"/>
        <v>1.4105458719091222</v>
      </c>
      <c r="K37" s="313">
        <f t="shared" si="6"/>
        <v>1.5372128912065615</v>
      </c>
      <c r="L37" s="313">
        <f t="shared" si="6"/>
        <v>1.6752546088369109</v>
      </c>
      <c r="M37" s="313">
        <f t="shared" si="6"/>
        <v>1.8256924727104658</v>
      </c>
      <c r="N37" s="313">
        <f t="shared" si="6"/>
        <v>1.9896396567598658</v>
      </c>
      <c r="O37" s="313">
        <f t="shared" si="6"/>
        <v>2.1683092979369021</v>
      </c>
      <c r="P37" s="313">
        <f t="shared" si="6"/>
        <v>2.3630234728916362</v>
      </c>
      <c r="Q37" s="313">
        <f t="shared" si="6"/>
        <v>2.5752229807573053</v>
      </c>
      <c r="R37" s="313">
        <f t="shared" si="6"/>
        <v>2.8064780044293114</v>
      </c>
      <c r="S37" s="313">
        <f t="shared" si="6"/>
        <v>3.0584997292270639</v>
      </c>
      <c r="T37" s="313">
        <f t="shared" si="6"/>
        <v>3.3331530049116544</v>
      </c>
      <c r="U37" s="313">
        <f t="shared" si="6"/>
        <v>3.6324701447527215</v>
      </c>
      <c r="V37" s="313">
        <f t="shared" si="6"/>
        <v>3.9586659637515162</v>
      </c>
      <c r="W37" s="313">
        <f t="shared" si="6"/>
        <v>4.3141541672964028</v>
      </c>
      <c r="X37" s="313">
        <f t="shared" si="6"/>
        <v>4.70156521151962</v>
      </c>
      <c r="Y37" s="313">
        <f t="shared" si="6"/>
        <v>5.1237657675140822</v>
      </c>
      <c r="Z37" s="313">
        <f t="shared" si="6"/>
        <v>5.5838799334368474</v>
      </c>
      <c r="AA37" s="313">
        <f t="shared" si="6"/>
        <v>6.0853123514594767</v>
      </c>
      <c r="AB37" s="313">
        <f t="shared" si="6"/>
        <v>6.6317734006205384</v>
      </c>
      <c r="AC37" s="313">
        <f t="shared" si="6"/>
        <v>7.2273066519962637</v>
      </c>
      <c r="AD37" s="313">
        <f t="shared" si="6"/>
        <v>7.8763187893455289</v>
      </c>
      <c r="AE37" s="313">
        <f t="shared" si="6"/>
        <v>8.5836122166287581</v>
      </c>
      <c r="AF37" s="313">
        <f t="shared" si="6"/>
        <v>9.3544205936820219</v>
      </c>
      <c r="AG37" s="313">
        <f t="shared" si="6"/>
        <v>10.194447562994668</v>
      </c>
      <c r="AH37" s="313">
        <f t="shared" si="6"/>
        <v>11.109908954151591</v>
      </c>
      <c r="AI37" s="313">
        <f t="shared" si="6"/>
        <v>12.107578778234405</v>
      </c>
      <c r="AJ37" s="313">
        <f t="shared" si="6"/>
        <v>13.194839352519855</v>
      </c>
      <c r="AK37" s="313">
        <f t="shared" si="6"/>
        <v>14.379735926376139</v>
      </c>
      <c r="AL37" s="313">
        <f t="shared" si="7"/>
        <v>15.671036212564717</v>
      </c>
      <c r="AM37" s="313">
        <f t="shared" si="7"/>
        <v>17.078295264453029</v>
      </c>
      <c r="AN37" s="313">
        <f t="shared" si="7"/>
        <v>1</v>
      </c>
    </row>
    <row r="38" spans="3:40" outlineLevel="2">
      <c r="C38" s="266" t="str">
        <f t="shared" si="4"/>
        <v>IPCA</v>
      </c>
      <c r="E38" s="17"/>
      <c r="F38" s="313">
        <f>Inputs!E345</f>
        <v>1</v>
      </c>
      <c r="G38" s="313">
        <f t="shared" si="5"/>
        <v>1.0349999999999999</v>
      </c>
      <c r="H38" s="313">
        <f t="shared" si="6"/>
        <v>1.0712249999999999</v>
      </c>
      <c r="I38" s="313">
        <f t="shared" si="6"/>
        <v>1.1087178749999997</v>
      </c>
      <c r="J38" s="313">
        <f t="shared" si="6"/>
        <v>1.1475230006249997</v>
      </c>
      <c r="K38" s="313">
        <f t="shared" si="6"/>
        <v>1.1876863056468745</v>
      </c>
      <c r="L38" s="313">
        <f t="shared" si="6"/>
        <v>1.229255326344515</v>
      </c>
      <c r="M38" s="313">
        <f t="shared" si="6"/>
        <v>1.2722792627665729</v>
      </c>
      <c r="N38" s="313">
        <f t="shared" ref="N38:AK38" si="8">IFERROR(M38*(1+N27)^(N$14/N$15),1)</f>
        <v>1.3168090369634029</v>
      </c>
      <c r="O38" s="313">
        <f t="shared" si="8"/>
        <v>1.3628973532571218</v>
      </c>
      <c r="P38" s="313">
        <f t="shared" si="8"/>
        <v>1.410598760621121</v>
      </c>
      <c r="Q38" s="313">
        <f t="shared" si="8"/>
        <v>1.4599697172428601</v>
      </c>
      <c r="R38" s="313">
        <f t="shared" si="8"/>
        <v>1.5110686573463601</v>
      </c>
      <c r="S38" s="313">
        <f t="shared" si="8"/>
        <v>1.5639560603534826</v>
      </c>
      <c r="T38" s="313">
        <f t="shared" si="8"/>
        <v>1.6186945224658542</v>
      </c>
      <c r="U38" s="313">
        <f t="shared" si="8"/>
        <v>1.6753488307521589</v>
      </c>
      <c r="V38" s="313">
        <f t="shared" si="8"/>
        <v>1.7339860398284843</v>
      </c>
      <c r="W38" s="313">
        <f t="shared" si="8"/>
        <v>1.7946755512224812</v>
      </c>
      <c r="X38" s="313">
        <f t="shared" si="8"/>
        <v>1.8574891955152679</v>
      </c>
      <c r="Y38" s="313">
        <f t="shared" si="8"/>
        <v>1.9225013173583021</v>
      </c>
      <c r="Z38" s="313">
        <f t="shared" si="8"/>
        <v>1.9897888634658425</v>
      </c>
      <c r="AA38" s="313">
        <f t="shared" si="8"/>
        <v>2.0594314736871469</v>
      </c>
      <c r="AB38" s="313">
        <f t="shared" si="8"/>
        <v>2.1315115752661966</v>
      </c>
      <c r="AC38" s="313">
        <f t="shared" si="8"/>
        <v>2.2061144804005135</v>
      </c>
      <c r="AD38" s="313">
        <f t="shared" si="8"/>
        <v>2.2833284872145314</v>
      </c>
      <c r="AE38" s="313">
        <f t="shared" si="8"/>
        <v>2.3632449842670398</v>
      </c>
      <c r="AF38" s="313">
        <f t="shared" si="8"/>
        <v>2.4459585587163861</v>
      </c>
      <c r="AG38" s="313">
        <f t="shared" si="8"/>
        <v>2.5315671082714593</v>
      </c>
      <c r="AH38" s="313">
        <f t="shared" si="8"/>
        <v>2.6201719570609603</v>
      </c>
      <c r="AI38" s="313">
        <f t="shared" si="8"/>
        <v>2.7118779755580937</v>
      </c>
      <c r="AJ38" s="313">
        <f t="shared" si="8"/>
        <v>2.8067937047026268</v>
      </c>
      <c r="AK38" s="313">
        <f t="shared" si="8"/>
        <v>2.9050314843672185</v>
      </c>
      <c r="AL38" s="313">
        <f t="shared" si="7"/>
        <v>3.0067075863200707</v>
      </c>
      <c r="AM38" s="313">
        <f t="shared" si="7"/>
        <v>3.111942351841273</v>
      </c>
      <c r="AN38" s="313">
        <f t="shared" si="7"/>
        <v>1</v>
      </c>
    </row>
    <row r="39" spans="3:40" outlineLevel="1">
      <c r="C39" s="266"/>
      <c r="E39" s="17"/>
      <c r="F39" s="313"/>
      <c r="G39" s="313"/>
      <c r="H39" s="313"/>
      <c r="I39" s="313"/>
      <c r="J39" s="313"/>
      <c r="K39" s="313"/>
      <c r="L39" s="313"/>
      <c r="M39" s="313"/>
      <c r="N39" s="313"/>
      <c r="O39" s="313"/>
      <c r="P39" s="313"/>
      <c r="Q39" s="313"/>
      <c r="R39" s="313"/>
      <c r="S39" s="313"/>
      <c r="T39" s="313"/>
      <c r="U39" s="313"/>
      <c r="V39" s="313"/>
      <c r="W39" s="313"/>
      <c r="X39" s="313"/>
      <c r="Y39" s="313"/>
      <c r="Z39" s="313"/>
      <c r="AA39" s="313"/>
      <c r="AB39" s="313"/>
      <c r="AC39" s="313"/>
      <c r="AD39" s="313"/>
      <c r="AE39" s="313"/>
      <c r="AF39" s="313"/>
      <c r="AG39" s="313"/>
      <c r="AH39" s="313"/>
      <c r="AI39" s="313"/>
      <c r="AJ39" s="313"/>
      <c r="AK39" s="313"/>
      <c r="AL39" s="313"/>
      <c r="AM39" s="313"/>
      <c r="AN39" s="313"/>
    </row>
    <row r="40" spans="3:40" outlineLevel="3">
      <c r="C40" s="266"/>
      <c r="E40" s="17"/>
      <c r="F40" s="313"/>
      <c r="G40" s="313"/>
      <c r="H40" s="313"/>
      <c r="I40" s="313"/>
      <c r="J40" s="313"/>
      <c r="K40" s="313"/>
      <c r="L40" s="313"/>
      <c r="M40" s="313"/>
      <c r="N40" s="313"/>
      <c r="O40" s="313"/>
      <c r="P40" s="313"/>
      <c r="Q40" s="313"/>
      <c r="R40" s="313"/>
      <c r="S40" s="313"/>
      <c r="T40" s="313"/>
      <c r="U40" s="313"/>
      <c r="V40" s="313"/>
      <c r="W40" s="313"/>
      <c r="X40" s="313"/>
      <c r="Y40" s="313"/>
      <c r="Z40" s="313"/>
      <c r="AA40" s="313"/>
      <c r="AB40" s="313"/>
      <c r="AC40" s="313"/>
      <c r="AD40" s="313"/>
      <c r="AE40" s="313"/>
      <c r="AF40" s="313"/>
      <c r="AG40" s="313"/>
      <c r="AH40" s="313"/>
      <c r="AI40" s="313"/>
      <c r="AJ40" s="313"/>
      <c r="AK40" s="313"/>
      <c r="AL40" s="313"/>
      <c r="AM40" s="313"/>
      <c r="AN40" s="313"/>
    </row>
    <row r="41" spans="3:40">
      <c r="C41" s="266"/>
      <c r="D41" s="19"/>
      <c r="E41" s="75"/>
      <c r="F41" s="20"/>
      <c r="G41" s="266"/>
      <c r="H41" s="266"/>
      <c r="I41" s="286"/>
      <c r="J41" s="286"/>
      <c r="K41" s="286"/>
      <c r="L41" s="286"/>
      <c r="M41" s="286"/>
      <c r="N41" s="266"/>
      <c r="O41" s="266"/>
      <c r="P41" s="266"/>
      <c r="Q41" s="266"/>
      <c r="R41" s="266"/>
      <c r="S41" s="266"/>
      <c r="T41" s="266"/>
      <c r="U41" s="266"/>
      <c r="V41" s="266"/>
      <c r="W41" s="266"/>
      <c r="X41" s="266"/>
      <c r="Y41" s="266"/>
      <c r="Z41" s="266"/>
      <c r="AA41" s="266"/>
      <c r="AB41" s="266"/>
      <c r="AC41" s="266"/>
      <c r="AD41" s="266"/>
      <c r="AE41" s="266"/>
      <c r="AF41" s="266"/>
      <c r="AG41" s="266"/>
      <c r="AH41" s="266"/>
      <c r="AI41" s="266"/>
      <c r="AJ41" s="266"/>
      <c r="AK41" s="266"/>
      <c r="AL41" s="266"/>
      <c r="AM41" s="266"/>
      <c r="AN41" s="266"/>
    </row>
    <row r="42" spans="3:40" s="266" customFormat="1" ht="16.2" thickBot="1">
      <c r="C42" s="394" t="s">
        <v>109</v>
      </c>
      <c r="D42" s="395"/>
      <c r="E42" s="396"/>
      <c r="F42" s="395"/>
      <c r="G42" s="395"/>
      <c r="H42" s="395"/>
      <c r="I42" s="395"/>
      <c r="J42" s="395"/>
      <c r="K42" s="395"/>
      <c r="L42" s="395"/>
      <c r="M42" s="395"/>
      <c r="N42" s="395"/>
      <c r="O42" s="395"/>
      <c r="P42" s="395"/>
      <c r="Q42" s="395"/>
      <c r="R42" s="395"/>
      <c r="S42" s="395"/>
      <c r="T42" s="395"/>
      <c r="U42" s="395"/>
      <c r="V42" s="395"/>
      <c r="W42" s="395"/>
      <c r="X42" s="395"/>
      <c r="Y42" s="395"/>
      <c r="Z42" s="395"/>
      <c r="AA42" s="395"/>
      <c r="AB42" s="395"/>
      <c r="AC42" s="395"/>
      <c r="AD42" s="395"/>
      <c r="AE42" s="395"/>
      <c r="AF42" s="395"/>
      <c r="AG42" s="395"/>
      <c r="AH42" s="395"/>
      <c r="AI42" s="395"/>
      <c r="AJ42" s="395"/>
      <c r="AK42" s="8"/>
      <c r="AL42" s="8"/>
      <c r="AM42" s="8"/>
      <c r="AN42" s="8"/>
    </row>
    <row r="43" spans="3:40" outlineLevel="1">
      <c r="C43" s="266"/>
      <c r="D43" s="266"/>
      <c r="E43" s="266"/>
      <c r="F43" s="266"/>
      <c r="G43" s="266"/>
      <c r="H43" s="266"/>
      <c r="I43" s="266"/>
      <c r="J43" s="266"/>
      <c r="K43" s="266"/>
      <c r="L43" s="266"/>
      <c r="M43" s="266"/>
      <c r="N43" s="266"/>
      <c r="O43" s="266"/>
      <c r="P43" s="266"/>
      <c r="Q43" s="266"/>
      <c r="R43" s="266"/>
      <c r="S43" s="266"/>
      <c r="T43" s="266"/>
      <c r="U43" s="266"/>
      <c r="V43" s="266"/>
      <c r="W43" s="266"/>
      <c r="X43" s="266"/>
      <c r="Y43" s="266"/>
      <c r="Z43" s="266"/>
      <c r="AA43" s="266"/>
      <c r="AB43" s="266"/>
      <c r="AC43" s="266"/>
      <c r="AD43" s="266"/>
      <c r="AE43" s="266"/>
      <c r="AF43" s="266"/>
      <c r="AG43" s="266"/>
      <c r="AH43" s="266"/>
      <c r="AI43" s="266"/>
      <c r="AJ43" s="266"/>
      <c r="AK43" s="266"/>
      <c r="AL43" s="266"/>
      <c r="AM43" s="266"/>
      <c r="AN43" s="266"/>
    </row>
    <row r="44" spans="3:40" outlineLevel="1">
      <c r="C44" s="11" t="s">
        <v>109</v>
      </c>
      <c r="E44" s="266"/>
      <c r="F44" s="266"/>
      <c r="G44" s="266"/>
      <c r="H44" s="266"/>
      <c r="I44" s="266"/>
      <c r="J44" s="266"/>
      <c r="K44" s="266"/>
      <c r="L44" s="266"/>
      <c r="M44" s="266"/>
      <c r="N44" s="266"/>
      <c r="O44" s="266"/>
      <c r="P44" s="266"/>
      <c r="Q44" s="266"/>
      <c r="R44" s="266"/>
      <c r="S44" s="266"/>
      <c r="T44" s="266"/>
      <c r="U44" s="266"/>
      <c r="V44" s="266"/>
      <c r="W44" s="266"/>
      <c r="X44" s="266"/>
      <c r="Y44" s="266"/>
      <c r="Z44" s="266"/>
      <c r="AA44" s="266"/>
      <c r="AB44" s="266"/>
      <c r="AC44" s="266"/>
      <c r="AD44" s="266"/>
      <c r="AE44" s="266"/>
      <c r="AF44" s="266"/>
      <c r="AG44" s="266"/>
      <c r="AH44" s="266"/>
      <c r="AI44" s="266"/>
      <c r="AJ44" s="266"/>
      <c r="AK44" s="266"/>
      <c r="AL44" s="266"/>
      <c r="AM44" s="266"/>
      <c r="AN44" s="266"/>
    </row>
    <row r="45" spans="3:40" outlineLevel="2">
      <c r="C45" s="11"/>
      <c r="E45" s="266"/>
      <c r="F45" s="266"/>
      <c r="G45" s="266"/>
      <c r="H45" s="266"/>
      <c r="I45" s="266"/>
      <c r="J45" s="266"/>
      <c r="K45" s="266"/>
      <c r="L45" s="266"/>
      <c r="M45" s="266"/>
      <c r="N45" s="266"/>
      <c r="O45" s="266"/>
      <c r="P45" s="266"/>
      <c r="Q45" s="266"/>
      <c r="R45" s="266"/>
      <c r="S45" s="266"/>
      <c r="T45" s="266"/>
      <c r="U45" s="266"/>
      <c r="V45" s="266"/>
      <c r="W45" s="266"/>
      <c r="X45" s="266"/>
      <c r="Y45" s="266"/>
      <c r="Z45" s="266"/>
      <c r="AA45" s="266"/>
      <c r="AB45" s="266"/>
      <c r="AC45" s="266"/>
      <c r="AD45" s="266"/>
      <c r="AE45" s="266"/>
      <c r="AF45" s="266"/>
      <c r="AG45" s="266"/>
      <c r="AH45" s="266"/>
      <c r="AI45" s="266"/>
      <c r="AJ45" s="266"/>
      <c r="AK45" s="266"/>
      <c r="AL45" s="266"/>
      <c r="AM45" s="266"/>
      <c r="AN45" s="266"/>
    </row>
    <row r="46" spans="3:40" outlineLevel="2">
      <c r="C46" t="s">
        <v>458</v>
      </c>
      <c r="E46" s="21" t="str">
        <f>Ops!E413</f>
        <v>$ 000s</v>
      </c>
      <c r="F46" s="23">
        <f>Ops!F414</f>
        <v>76776.486292563059</v>
      </c>
      <c r="G46" s="272">
        <f>Ops!G414</f>
        <v>10775.031120895999</v>
      </c>
      <c r="H46" s="272">
        <f>Ops!H414</f>
        <v>1472.4358093250448</v>
      </c>
      <c r="I46" s="272">
        <f>Ops!I414</f>
        <v>1743.4786958342002</v>
      </c>
      <c r="J46" s="272">
        <f>Ops!J414</f>
        <v>397.26424167419998</v>
      </c>
      <c r="K46" s="272">
        <f>Ops!K414</f>
        <v>763.15204167420006</v>
      </c>
      <c r="L46" s="272">
        <f>Ops!L414</f>
        <v>12305.51313337047</v>
      </c>
      <c r="M46" s="272">
        <f>Ops!M414</f>
        <v>241.59493295294399</v>
      </c>
      <c r="N46" s="272">
        <f>Ops!N414</f>
        <v>8189.1826116742004</v>
      </c>
      <c r="O46" s="272">
        <f>Ops!O414</f>
        <v>43.404541674200004</v>
      </c>
      <c r="P46" s="272">
        <f>Ops!P414</f>
        <v>845.77904167420013</v>
      </c>
      <c r="Q46" s="272">
        <f>Ops!Q414</f>
        <v>1452.9584045185595</v>
      </c>
      <c r="R46" s="272">
        <f>Ops!R414</f>
        <v>1099.803583204369</v>
      </c>
      <c r="S46" s="272">
        <f>Ops!S414</f>
        <v>797.93392010620016</v>
      </c>
      <c r="T46" s="272">
        <f>Ops!T414</f>
        <v>178.80952295294401</v>
      </c>
      <c r="U46" s="272">
        <f>Ops!U414</f>
        <v>8180.5448516742008</v>
      </c>
      <c r="V46" s="272">
        <f>Ops!V414</f>
        <v>2648.0324560422537</v>
      </c>
      <c r="W46" s="272">
        <f>Ops!W414</f>
        <v>783.53025167420014</v>
      </c>
      <c r="X46" s="272">
        <f>Ops!X414</f>
        <v>351.64980167419998</v>
      </c>
      <c r="Y46" s="272">
        <f>Ops!Y414</f>
        <v>825.99884167420009</v>
      </c>
      <c r="Z46" s="272">
        <f>Ops!Z414</f>
        <v>49.327041674200004</v>
      </c>
      <c r="AA46" s="272">
        <f>Ops!AA414</f>
        <v>1270.9883857973036</v>
      </c>
      <c r="AB46" s="272">
        <f>Ops!AB414</f>
        <v>8611.8881932043696</v>
      </c>
      <c r="AC46" s="272">
        <f>Ops!AC414</f>
        <v>735.3069201062001</v>
      </c>
      <c r="AD46" s="272">
        <f>Ops!AD414</f>
        <v>757.22954167420005</v>
      </c>
      <c r="AE46" s="272">
        <f>Ops!AE414</f>
        <v>397.92364167419998</v>
      </c>
      <c r="AF46" s="272">
        <f>Ops!AF414</f>
        <v>3319.4787361862541</v>
      </c>
      <c r="AG46" s="272">
        <f>Ops!AG414</f>
        <v>63.7827516742</v>
      </c>
      <c r="AH46" s="272">
        <f>Ops!AH414</f>
        <v>1997.3976029529438</v>
      </c>
      <c r="AI46" s="272">
        <f>Ops!AI414</f>
        <v>6413.6611316742001</v>
      </c>
      <c r="AJ46" s="272">
        <f>Ops!AJ414</f>
        <v>63.404541674200004</v>
      </c>
      <c r="AK46" s="272">
        <f>Ops!AK414</f>
        <v>0</v>
      </c>
      <c r="AL46" s="272">
        <f>Ops!AL414</f>
        <v>0</v>
      </c>
      <c r="AM46" s="272">
        <f>Ops!AM414</f>
        <v>0</v>
      </c>
      <c r="AN46" s="272">
        <f>Ops!AN414</f>
        <v>0</v>
      </c>
    </row>
    <row r="47" spans="3:40" outlineLevel="2">
      <c r="C47"/>
      <c r="E47" s="21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</row>
    <row r="48" spans="3:40" outlineLevel="2">
      <c r="C48" t="str">
        <f>Inputs!C237</f>
        <v>Alavancagem Indivisíveis</v>
      </c>
      <c r="D48">
        <f>Inputs!E237</f>
        <v>0.5</v>
      </c>
      <c r="E48" s="21"/>
      <c r="F48" s="217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</row>
    <row r="49" spans="3:40" outlineLevel="2">
      <c r="C49"/>
      <c r="E49" s="21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</row>
    <row r="50" spans="3:40" outlineLevel="2">
      <c r="C50" s="266" t="str">
        <f>Flags!C72</f>
        <v>Cons + Ops Flag</v>
      </c>
      <c r="D50" s="266"/>
      <c r="E50" s="4" t="str">
        <f>Flags!E72</f>
        <v>Flag</v>
      </c>
      <c r="F50" s="23">
        <f>Flags!F72</f>
        <v>30</v>
      </c>
      <c r="G50" s="25">
        <f>Flags!G72</f>
        <v>1</v>
      </c>
      <c r="H50" s="25">
        <f>Flags!H72</f>
        <v>1</v>
      </c>
      <c r="I50" s="25">
        <f>Flags!I72</f>
        <v>1</v>
      </c>
      <c r="J50" s="25">
        <f>Flags!J72</f>
        <v>1</v>
      </c>
      <c r="K50" s="25">
        <f>Flags!K72</f>
        <v>1</v>
      </c>
      <c r="L50" s="25">
        <f>Flags!L72</f>
        <v>1</v>
      </c>
      <c r="M50" s="25">
        <f>Flags!M72</f>
        <v>1</v>
      </c>
      <c r="N50" s="25">
        <f>Flags!N72</f>
        <v>1</v>
      </c>
      <c r="O50" s="25">
        <f>Flags!O72</f>
        <v>1</v>
      </c>
      <c r="P50" s="25">
        <f>Flags!P72</f>
        <v>1</v>
      </c>
      <c r="Q50" s="25">
        <f>Flags!Q72</f>
        <v>1</v>
      </c>
      <c r="R50" s="25">
        <f>Flags!R72</f>
        <v>1</v>
      </c>
      <c r="S50" s="25">
        <f>Flags!S72</f>
        <v>1</v>
      </c>
      <c r="T50" s="25">
        <f>Flags!T72</f>
        <v>1</v>
      </c>
      <c r="U50" s="25">
        <f>Flags!U72</f>
        <v>1</v>
      </c>
      <c r="V50" s="25">
        <f>Flags!V72</f>
        <v>1</v>
      </c>
      <c r="W50" s="25">
        <f>Flags!W72</f>
        <v>1</v>
      </c>
      <c r="X50" s="25">
        <f>Flags!X72</f>
        <v>1</v>
      </c>
      <c r="Y50" s="25">
        <f>Flags!Y72</f>
        <v>1</v>
      </c>
      <c r="Z50" s="25">
        <f>Flags!Z72</f>
        <v>1</v>
      </c>
      <c r="AA50" s="25">
        <f>Flags!AA72</f>
        <v>1</v>
      </c>
      <c r="AB50" s="25">
        <f>Flags!AB72</f>
        <v>1</v>
      </c>
      <c r="AC50" s="25">
        <f>Flags!AC72</f>
        <v>1</v>
      </c>
      <c r="AD50" s="25">
        <f>Flags!AD72</f>
        <v>1</v>
      </c>
      <c r="AE50" s="25">
        <f>Flags!AE72</f>
        <v>1</v>
      </c>
      <c r="AF50" s="25">
        <f>Flags!AF72</f>
        <v>1</v>
      </c>
      <c r="AG50" s="25">
        <f>Flags!AG72</f>
        <v>1</v>
      </c>
      <c r="AH50" s="25">
        <f>Flags!AH72</f>
        <v>1</v>
      </c>
      <c r="AI50" s="25">
        <f>Flags!AI72</f>
        <v>1</v>
      </c>
      <c r="AJ50" s="25">
        <f>Flags!AJ72</f>
        <v>1</v>
      </c>
      <c r="AK50" s="25">
        <f>Flags!AK72</f>
        <v>0</v>
      </c>
      <c r="AL50" s="25">
        <f>Flags!AL72</f>
        <v>0</v>
      </c>
      <c r="AM50" s="25">
        <f>Flags!AM72</f>
        <v>0</v>
      </c>
      <c r="AN50" s="25">
        <f>Flags!AN72</f>
        <v>0</v>
      </c>
    </row>
    <row r="51" spans="3:40" outlineLevel="2">
      <c r="C51" s="266" t="str">
        <f>Flags!C15</f>
        <v>Counter Concessão</v>
      </c>
      <c r="D51" s="266"/>
      <c r="E51" s="4" t="str">
        <f>Flags!E15</f>
        <v>Ano</v>
      </c>
      <c r="F51"/>
      <c r="G51">
        <f>Flags!G15</f>
        <v>1</v>
      </c>
      <c r="H51">
        <f>Flags!H15</f>
        <v>2</v>
      </c>
      <c r="I51">
        <f>Flags!I15</f>
        <v>3</v>
      </c>
      <c r="J51">
        <f>Flags!J15</f>
        <v>4</v>
      </c>
      <c r="K51">
        <f>Flags!K15</f>
        <v>5</v>
      </c>
      <c r="L51">
        <f>Flags!L15</f>
        <v>6</v>
      </c>
      <c r="M51">
        <f>Flags!M15</f>
        <v>7</v>
      </c>
      <c r="N51">
        <f>Flags!N15</f>
        <v>8</v>
      </c>
      <c r="O51">
        <f>Flags!O15</f>
        <v>9</v>
      </c>
      <c r="P51">
        <f>Flags!P15</f>
        <v>10</v>
      </c>
      <c r="Q51">
        <f>Flags!Q15</f>
        <v>11</v>
      </c>
      <c r="R51">
        <f>Flags!R15</f>
        <v>12</v>
      </c>
      <c r="S51">
        <f>Flags!S15</f>
        <v>13</v>
      </c>
      <c r="T51">
        <f>Flags!T15</f>
        <v>14</v>
      </c>
      <c r="U51">
        <f>Flags!U15</f>
        <v>15</v>
      </c>
      <c r="V51">
        <f>Flags!V15</f>
        <v>16</v>
      </c>
      <c r="W51">
        <f>Flags!W15</f>
        <v>17</v>
      </c>
      <c r="X51">
        <f>Flags!X15</f>
        <v>18</v>
      </c>
      <c r="Y51">
        <f>Flags!Y15</f>
        <v>19</v>
      </c>
      <c r="Z51">
        <f>Flags!Z15</f>
        <v>20</v>
      </c>
      <c r="AA51">
        <f>Flags!AA15</f>
        <v>21</v>
      </c>
      <c r="AB51">
        <f>Flags!AB15</f>
        <v>22</v>
      </c>
      <c r="AC51">
        <f>Flags!AC15</f>
        <v>23</v>
      </c>
      <c r="AD51">
        <f>Flags!AD15</f>
        <v>24</v>
      </c>
      <c r="AE51">
        <f>Flags!AE15</f>
        <v>25</v>
      </c>
      <c r="AF51">
        <f>Flags!AF15</f>
        <v>26</v>
      </c>
      <c r="AG51">
        <f>Flags!AG15</f>
        <v>27</v>
      </c>
      <c r="AH51">
        <f>Flags!AH15</f>
        <v>28</v>
      </c>
      <c r="AI51">
        <f>Flags!AI15</f>
        <v>29</v>
      </c>
      <c r="AJ51">
        <f>Flags!AJ15</f>
        <v>30</v>
      </c>
      <c r="AK51">
        <f>Flags!AK15</f>
        <v>31</v>
      </c>
      <c r="AL51">
        <f>Flags!AL15</f>
        <v>32</v>
      </c>
      <c r="AM51">
        <f>Flags!AM15</f>
        <v>33</v>
      </c>
      <c r="AN51">
        <f>Flags!AN15</f>
        <v>34</v>
      </c>
    </row>
    <row r="52" spans="3:40" outlineLevel="2">
      <c r="C52" s="266"/>
      <c r="D52" s="266"/>
      <c r="E52" s="4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</row>
    <row r="53" spans="3:40" outlineLevel="2">
      <c r="C53" s="234" t="s">
        <v>561</v>
      </c>
      <c r="D53">
        <v>15</v>
      </c>
      <c r="E53" s="4" t="s">
        <v>24</v>
      </c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</row>
    <row r="54" spans="3:40" outlineLevel="2">
      <c r="C54" s="266"/>
      <c r="D54" s="266"/>
      <c r="E54" s="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</row>
    <row r="55" spans="3:40" outlineLevel="2">
      <c r="C55" s="266" t="s">
        <v>562</v>
      </c>
      <c r="D55" s="266"/>
      <c r="E55" s="4" t="s">
        <v>399</v>
      </c>
      <c r="F55" s="23">
        <f>Flags!F76</f>
        <v>0</v>
      </c>
      <c r="G55" s="25">
        <f t="shared" ref="G55:AN55" si="9">IF(MOD(G51,$D$53)=1,1,0)*G50</f>
        <v>1</v>
      </c>
      <c r="H55" s="25">
        <f t="shared" si="9"/>
        <v>0</v>
      </c>
      <c r="I55" s="25">
        <f t="shared" si="9"/>
        <v>0</v>
      </c>
      <c r="J55" s="25">
        <f t="shared" si="9"/>
        <v>0</v>
      </c>
      <c r="K55" s="25">
        <f t="shared" si="9"/>
        <v>0</v>
      </c>
      <c r="L55" s="25">
        <f t="shared" si="9"/>
        <v>0</v>
      </c>
      <c r="M55" s="25">
        <f t="shared" si="9"/>
        <v>0</v>
      </c>
      <c r="N55" s="25">
        <f t="shared" si="9"/>
        <v>0</v>
      </c>
      <c r="O55" s="25">
        <f t="shared" si="9"/>
        <v>0</v>
      </c>
      <c r="P55" s="25">
        <f t="shared" si="9"/>
        <v>0</v>
      </c>
      <c r="Q55" s="25">
        <f t="shared" si="9"/>
        <v>0</v>
      </c>
      <c r="R55" s="25">
        <f t="shared" si="9"/>
        <v>0</v>
      </c>
      <c r="S55" s="25">
        <f t="shared" si="9"/>
        <v>0</v>
      </c>
      <c r="T55" s="25">
        <f t="shared" si="9"/>
        <v>0</v>
      </c>
      <c r="U55" s="25">
        <f t="shared" si="9"/>
        <v>0</v>
      </c>
      <c r="V55" s="25">
        <f t="shared" si="9"/>
        <v>1</v>
      </c>
      <c r="W55" s="25">
        <f t="shared" si="9"/>
        <v>0</v>
      </c>
      <c r="X55" s="25">
        <f t="shared" si="9"/>
        <v>0</v>
      </c>
      <c r="Y55" s="25">
        <f t="shared" si="9"/>
        <v>0</v>
      </c>
      <c r="Z55" s="25">
        <f t="shared" si="9"/>
        <v>0</v>
      </c>
      <c r="AA55" s="25">
        <f t="shared" si="9"/>
        <v>0</v>
      </c>
      <c r="AB55" s="25">
        <f t="shared" si="9"/>
        <v>0</v>
      </c>
      <c r="AC55" s="25">
        <f t="shared" si="9"/>
        <v>0</v>
      </c>
      <c r="AD55" s="25">
        <f t="shared" si="9"/>
        <v>0</v>
      </c>
      <c r="AE55" s="25">
        <f t="shared" si="9"/>
        <v>0</v>
      </c>
      <c r="AF55" s="25">
        <f t="shared" si="9"/>
        <v>0</v>
      </c>
      <c r="AG55" s="25">
        <f t="shared" si="9"/>
        <v>0</v>
      </c>
      <c r="AH55" s="25">
        <f t="shared" si="9"/>
        <v>0</v>
      </c>
      <c r="AI55" s="25">
        <f t="shared" si="9"/>
        <v>0</v>
      </c>
      <c r="AJ55" s="25">
        <f t="shared" si="9"/>
        <v>0</v>
      </c>
      <c r="AK55" s="25">
        <f t="shared" si="9"/>
        <v>0</v>
      </c>
      <c r="AL55" s="25">
        <f t="shared" si="9"/>
        <v>0</v>
      </c>
      <c r="AM55" s="25">
        <f t="shared" si="9"/>
        <v>0</v>
      </c>
      <c r="AN55" s="25">
        <f t="shared" si="9"/>
        <v>0</v>
      </c>
    </row>
    <row r="56" spans="3:40" outlineLevel="2">
      <c r="C56" s="266" t="s">
        <v>563</v>
      </c>
      <c r="D56" s="266"/>
      <c r="E56" s="4" t="s">
        <v>564</v>
      </c>
      <c r="F56"/>
      <c r="G56">
        <f t="shared" ref="G56:AN56" si="10">(G55+F56)*G50</f>
        <v>1</v>
      </c>
      <c r="H56">
        <f t="shared" si="10"/>
        <v>1</v>
      </c>
      <c r="I56">
        <f t="shared" si="10"/>
        <v>1</v>
      </c>
      <c r="J56">
        <f t="shared" si="10"/>
        <v>1</v>
      </c>
      <c r="K56">
        <f t="shared" si="10"/>
        <v>1</v>
      </c>
      <c r="L56">
        <f t="shared" si="10"/>
        <v>1</v>
      </c>
      <c r="M56">
        <f t="shared" si="10"/>
        <v>1</v>
      </c>
      <c r="N56">
        <f t="shared" si="10"/>
        <v>1</v>
      </c>
      <c r="O56">
        <f t="shared" si="10"/>
        <v>1</v>
      </c>
      <c r="P56">
        <f t="shared" si="10"/>
        <v>1</v>
      </c>
      <c r="Q56">
        <f t="shared" si="10"/>
        <v>1</v>
      </c>
      <c r="R56">
        <f t="shared" si="10"/>
        <v>1</v>
      </c>
      <c r="S56">
        <f t="shared" si="10"/>
        <v>1</v>
      </c>
      <c r="T56">
        <f t="shared" si="10"/>
        <v>1</v>
      </c>
      <c r="U56">
        <f t="shared" si="10"/>
        <v>1</v>
      </c>
      <c r="V56">
        <f t="shared" si="10"/>
        <v>2</v>
      </c>
      <c r="W56">
        <f t="shared" si="10"/>
        <v>2</v>
      </c>
      <c r="X56">
        <f t="shared" si="10"/>
        <v>2</v>
      </c>
      <c r="Y56">
        <f t="shared" si="10"/>
        <v>2</v>
      </c>
      <c r="Z56">
        <f t="shared" si="10"/>
        <v>2</v>
      </c>
      <c r="AA56">
        <f t="shared" si="10"/>
        <v>2</v>
      </c>
      <c r="AB56">
        <f t="shared" si="10"/>
        <v>2</v>
      </c>
      <c r="AC56">
        <f t="shared" si="10"/>
        <v>2</v>
      </c>
      <c r="AD56">
        <f t="shared" si="10"/>
        <v>2</v>
      </c>
      <c r="AE56">
        <f t="shared" si="10"/>
        <v>2</v>
      </c>
      <c r="AF56">
        <f t="shared" si="10"/>
        <v>2</v>
      </c>
      <c r="AG56">
        <f t="shared" si="10"/>
        <v>2</v>
      </c>
      <c r="AH56">
        <f t="shared" si="10"/>
        <v>2</v>
      </c>
      <c r="AI56">
        <f t="shared" si="10"/>
        <v>2</v>
      </c>
      <c r="AJ56">
        <f t="shared" si="10"/>
        <v>2</v>
      </c>
      <c r="AK56">
        <f t="shared" si="10"/>
        <v>0</v>
      </c>
      <c r="AL56">
        <f t="shared" si="10"/>
        <v>0</v>
      </c>
      <c r="AM56">
        <f t="shared" si="10"/>
        <v>0</v>
      </c>
      <c r="AN56">
        <f t="shared" si="10"/>
        <v>0</v>
      </c>
    </row>
    <row r="57" spans="3:40" outlineLevel="2">
      <c r="C57" s="266"/>
      <c r="D57" s="266"/>
      <c r="E57" s="4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</row>
    <row r="58" spans="3:40" outlineLevel="2">
      <c r="C58" s="303" t="str">
        <f>Flags!C15</f>
        <v>Counter Concessão</v>
      </c>
      <c r="D58" s="266"/>
      <c r="E58" s="4" t="str">
        <f>Flags!E15</f>
        <v>Ano</v>
      </c>
      <c r="F58" s="266"/>
      <c r="G58" s="326">
        <f>Flags!G15*G50</f>
        <v>1</v>
      </c>
      <c r="H58" s="326">
        <f>Flags!H15*H50</f>
        <v>2</v>
      </c>
      <c r="I58" s="326">
        <f>Flags!I15*I50</f>
        <v>3</v>
      </c>
      <c r="J58" s="326">
        <f>Flags!J15*J50</f>
        <v>4</v>
      </c>
      <c r="K58" s="326">
        <f>Flags!K15*K50</f>
        <v>5</v>
      </c>
      <c r="L58" s="326">
        <f>Flags!L15*L50</f>
        <v>6</v>
      </c>
      <c r="M58" s="326">
        <f>Flags!M15*M50</f>
        <v>7</v>
      </c>
      <c r="N58" s="326">
        <f>Flags!N15*N50</f>
        <v>8</v>
      </c>
      <c r="O58" s="326">
        <f>Flags!O15*O50</f>
        <v>9</v>
      </c>
      <c r="P58" s="326">
        <f>Flags!P15*P50</f>
        <v>10</v>
      </c>
      <c r="Q58" s="326">
        <f>Flags!Q15*Q50</f>
        <v>11</v>
      </c>
      <c r="R58" s="326">
        <f>Flags!R15*R50</f>
        <v>12</v>
      </c>
      <c r="S58" s="326">
        <f>Flags!S15*S50</f>
        <v>13</v>
      </c>
      <c r="T58" s="326">
        <f>Flags!T15*T50</f>
        <v>14</v>
      </c>
      <c r="U58" s="326">
        <f>Flags!U15*U50</f>
        <v>15</v>
      </c>
      <c r="V58" s="326">
        <f>Flags!V15*V50</f>
        <v>16</v>
      </c>
      <c r="W58" s="326">
        <f>Flags!W15*W50</f>
        <v>17</v>
      </c>
      <c r="X58" s="326">
        <f>Flags!X15*X50</f>
        <v>18</v>
      </c>
      <c r="Y58" s="326">
        <f>Flags!Y15*Y50</f>
        <v>19</v>
      </c>
      <c r="Z58" s="326">
        <f>Flags!Z15*Z50</f>
        <v>20</v>
      </c>
      <c r="AA58" s="326">
        <f>Flags!AA15*AA50</f>
        <v>21</v>
      </c>
      <c r="AB58" s="326">
        <f>Flags!AB15*AB50</f>
        <v>22</v>
      </c>
      <c r="AC58" s="326">
        <f>Flags!AC15*AC50</f>
        <v>23</v>
      </c>
      <c r="AD58" s="326">
        <f>Flags!AD15*AD50</f>
        <v>24</v>
      </c>
      <c r="AE58" s="326">
        <f>Flags!AE15*AE50</f>
        <v>25</v>
      </c>
      <c r="AF58" s="326">
        <f>Flags!AF15*AF50</f>
        <v>26</v>
      </c>
      <c r="AG58" s="326">
        <f>Flags!AG15*AG50</f>
        <v>27</v>
      </c>
      <c r="AH58" s="326">
        <f>Flags!AH15*AH50</f>
        <v>28</v>
      </c>
      <c r="AI58" s="326">
        <f>Flags!AI15*AI50</f>
        <v>29</v>
      </c>
      <c r="AJ58" s="326">
        <f>Flags!AJ15*AJ50</f>
        <v>30</v>
      </c>
      <c r="AK58" s="326">
        <f>Flags!AK15*AK50</f>
        <v>0</v>
      </c>
      <c r="AL58" s="326">
        <f>Flags!AL15*AL50</f>
        <v>0</v>
      </c>
      <c r="AM58" s="326">
        <f>Flags!AM15*AM50</f>
        <v>0</v>
      </c>
      <c r="AN58" s="326">
        <f>Flags!AN15*AN50</f>
        <v>0</v>
      </c>
    </row>
    <row r="59" spans="3:40" outlineLevel="2">
      <c r="C59" s="266"/>
      <c r="D59" s="266"/>
      <c r="E59" s="4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</row>
    <row r="60" spans="3:40" outlineLevel="2">
      <c r="C60" s="266" t="s">
        <v>565</v>
      </c>
      <c r="D60" s="266"/>
      <c r="E60" s="4"/>
      <c r="F60" s="99"/>
      <c r="G60" s="272">
        <f ca="1">IF(G55=1,SUM(OFFSET(IF(G55=1,G46,0),0,0,1,$D$53)),F60)</f>
        <v>48486.886453205938</v>
      </c>
      <c r="H60" s="272">
        <f t="shared" ref="H60" ca="1" si="11">IF(H55=1,SUM(OFFSET(IF(H55=1,H46,0),0,0,1,$D$53)),G60)</f>
        <v>48486.886453205938</v>
      </c>
      <c r="I60" s="272">
        <f t="shared" ref="I60:AN60" ca="1" si="12">IF(I55=1,SUM(OFFSET(IF(I55=1,I46,0),0,0,1,$D$53)),H60)</f>
        <v>48486.886453205938</v>
      </c>
      <c r="J60" s="272">
        <f t="shared" ca="1" si="12"/>
        <v>48486.886453205938</v>
      </c>
      <c r="K60" s="272">
        <f t="shared" ca="1" si="12"/>
        <v>48486.886453205938</v>
      </c>
      <c r="L60" s="272">
        <f t="shared" ca="1" si="12"/>
        <v>48486.886453205938</v>
      </c>
      <c r="M60" s="272">
        <f t="shared" ca="1" si="12"/>
        <v>48486.886453205938</v>
      </c>
      <c r="N60" s="272">
        <f t="shared" ca="1" si="12"/>
        <v>48486.886453205938</v>
      </c>
      <c r="O60" s="272">
        <f t="shared" ca="1" si="12"/>
        <v>48486.886453205938</v>
      </c>
      <c r="P60" s="272">
        <f t="shared" ca="1" si="12"/>
        <v>48486.886453205938</v>
      </c>
      <c r="Q60" s="272">
        <f t="shared" ca="1" si="12"/>
        <v>48486.886453205938</v>
      </c>
      <c r="R60" s="272">
        <f t="shared" ca="1" si="12"/>
        <v>48486.886453205938</v>
      </c>
      <c r="S60" s="272">
        <f t="shared" ca="1" si="12"/>
        <v>48486.886453205938</v>
      </c>
      <c r="T60" s="272">
        <f t="shared" ca="1" si="12"/>
        <v>48486.886453205938</v>
      </c>
      <c r="U60" s="272">
        <f t="shared" ca="1" si="12"/>
        <v>48486.886453205938</v>
      </c>
      <c r="V60" s="272">
        <f t="shared" ca="1" si="12"/>
        <v>28289.599839357128</v>
      </c>
      <c r="W60" s="272">
        <f t="shared" ca="1" si="12"/>
        <v>28289.599839357128</v>
      </c>
      <c r="X60" s="272">
        <f t="shared" ca="1" si="12"/>
        <v>28289.599839357128</v>
      </c>
      <c r="Y60" s="272">
        <f t="shared" ca="1" si="12"/>
        <v>28289.599839357128</v>
      </c>
      <c r="Z60" s="272">
        <f t="shared" ca="1" si="12"/>
        <v>28289.599839357128</v>
      </c>
      <c r="AA60" s="272">
        <f t="shared" ca="1" si="12"/>
        <v>28289.599839357128</v>
      </c>
      <c r="AB60" s="272">
        <f t="shared" ca="1" si="12"/>
        <v>28289.599839357128</v>
      </c>
      <c r="AC60" s="272">
        <f t="shared" ca="1" si="12"/>
        <v>28289.599839357128</v>
      </c>
      <c r="AD60" s="272">
        <f t="shared" ca="1" si="12"/>
        <v>28289.599839357128</v>
      </c>
      <c r="AE60" s="272">
        <f t="shared" ca="1" si="12"/>
        <v>28289.599839357128</v>
      </c>
      <c r="AF60" s="272">
        <f t="shared" ca="1" si="12"/>
        <v>28289.599839357128</v>
      </c>
      <c r="AG60" s="272">
        <f t="shared" ca="1" si="12"/>
        <v>28289.599839357128</v>
      </c>
      <c r="AH60" s="272">
        <f t="shared" ca="1" si="12"/>
        <v>28289.599839357128</v>
      </c>
      <c r="AI60" s="272">
        <f t="shared" ca="1" si="12"/>
        <v>28289.599839357128</v>
      </c>
      <c r="AJ60" s="272">
        <f t="shared" ca="1" si="12"/>
        <v>28289.599839357128</v>
      </c>
      <c r="AK60" s="272">
        <f t="shared" ca="1" si="12"/>
        <v>28289.599839357128</v>
      </c>
      <c r="AL60" s="272">
        <f t="shared" ca="1" si="12"/>
        <v>28289.599839357128</v>
      </c>
      <c r="AM60" s="272">
        <f t="shared" ca="1" si="12"/>
        <v>28289.599839357128</v>
      </c>
      <c r="AN60" s="272">
        <f t="shared" ca="1" si="12"/>
        <v>28289.599839357128</v>
      </c>
    </row>
    <row r="61" spans="3:40" outlineLevel="2">
      <c r="C61" s="266"/>
      <c r="D61" s="266"/>
      <c r="E61" s="4"/>
      <c r="F61"/>
      <c r="G61" s="493"/>
      <c r="H61" s="493"/>
      <c r="I61" s="493"/>
      <c r="J61" s="493"/>
      <c r="K61" s="493"/>
      <c r="L61" s="493"/>
      <c r="M61" s="493"/>
      <c r="N61" s="493"/>
      <c r="O61" s="493"/>
      <c r="P61" s="493"/>
      <c r="Q61" s="493"/>
      <c r="R61" s="493"/>
      <c r="S61" s="493"/>
      <c r="T61" s="493"/>
      <c r="U61" s="493"/>
      <c r="V61" s="493"/>
      <c r="W61" s="493"/>
      <c r="X61" s="493"/>
      <c r="Y61" s="493"/>
      <c r="Z61" s="493"/>
      <c r="AA61" s="493"/>
      <c r="AB61" s="493"/>
      <c r="AC61" s="493"/>
      <c r="AD61" s="493"/>
      <c r="AE61" s="493"/>
      <c r="AF61" s="493"/>
      <c r="AG61" s="493"/>
      <c r="AH61" s="493"/>
      <c r="AI61" s="493"/>
      <c r="AJ61" s="493"/>
      <c r="AK61" s="493"/>
      <c r="AL61" s="493"/>
      <c r="AM61" s="493"/>
      <c r="AN61" s="493"/>
    </row>
    <row r="62" spans="3:40" outlineLevel="2">
      <c r="C62" s="266" t="s">
        <v>566</v>
      </c>
      <c r="D62" s="266"/>
      <c r="E62" s="4" t="s">
        <v>23</v>
      </c>
      <c r="F62" s="23">
        <f t="shared" ref="F62:F63" si="13">SUM(G62:AN62)</f>
        <v>1</v>
      </c>
      <c r="G62" s="504">
        <f>Inputs!H288</f>
        <v>0.22222567603500051</v>
      </c>
      <c r="H62" s="504">
        <f>Inputs!I288</f>
        <v>3.0367712118328605E-2</v>
      </c>
      <c r="I62" s="504">
        <f>Inputs!J288</f>
        <v>3.5957736686532946E-2</v>
      </c>
      <c r="J62" s="504">
        <f>Inputs!K288</f>
        <v>8.1932305976708704E-3</v>
      </c>
      <c r="K62" s="504">
        <f>Inputs!L288</f>
        <v>1.5739349285929263E-2</v>
      </c>
      <c r="L62" s="504">
        <f>Inputs!M288</f>
        <v>0.25379054077325347</v>
      </c>
      <c r="M62" s="504">
        <f>Inputs!N288</f>
        <v>4.9826860544263689E-3</v>
      </c>
      <c r="N62" s="504">
        <f>Inputs!O288</f>
        <v>0.16889479219453438</v>
      </c>
      <c r="O62" s="504">
        <f>Inputs!P288</f>
        <v>8.9518104479835317E-4</v>
      </c>
      <c r="P62" s="504">
        <f>Inputs!Q288</f>
        <v>1.7443459531897364E-2</v>
      </c>
      <c r="Q62" s="504">
        <f>Inputs!R288</f>
        <v>2.9966007529082968E-2</v>
      </c>
      <c r="R62" s="504">
        <f>Inputs!S288</f>
        <v>2.2682495488048616E-2</v>
      </c>
      <c r="S62" s="504">
        <f>Inputs!T288</f>
        <v>1.6456695376311201E-2</v>
      </c>
      <c r="T62" s="504">
        <f>Inputs!U288</f>
        <v>3.6877914016093974E-3</v>
      </c>
      <c r="U62" s="504">
        <f>Inputs!V288</f>
        <v>0.16871664588257568</v>
      </c>
      <c r="V62" s="504">
        <f>Inputs!W288</f>
        <v>0</v>
      </c>
      <c r="W62" s="504">
        <f>Inputs!X288</f>
        <v>0</v>
      </c>
      <c r="X62" s="504">
        <f>Inputs!Y288</f>
        <v>0</v>
      </c>
      <c r="Y62" s="504">
        <f>Inputs!Z288</f>
        <v>0</v>
      </c>
      <c r="Z62" s="504">
        <f>Inputs!AA288</f>
        <v>0</v>
      </c>
      <c r="AA62" s="504">
        <f>Inputs!AB288</f>
        <v>0</v>
      </c>
      <c r="AB62" s="504">
        <f>Inputs!AC288</f>
        <v>0</v>
      </c>
      <c r="AC62" s="504">
        <f>Inputs!AD288</f>
        <v>0</v>
      </c>
      <c r="AD62" s="504">
        <f>Inputs!AE288</f>
        <v>0</v>
      </c>
      <c r="AE62" s="504">
        <f>Inputs!AF288</f>
        <v>0</v>
      </c>
      <c r="AF62" s="504">
        <f>Inputs!AG288</f>
        <v>0</v>
      </c>
      <c r="AG62" s="504">
        <f>Inputs!AH288</f>
        <v>0</v>
      </c>
      <c r="AH62" s="504">
        <f>Inputs!AI288</f>
        <v>0</v>
      </c>
      <c r="AI62" s="504">
        <f>Inputs!AJ288</f>
        <v>0</v>
      </c>
      <c r="AJ62" s="504">
        <f>Inputs!AK288</f>
        <v>0</v>
      </c>
      <c r="AK62" s="504">
        <f>Inputs!AL288</f>
        <v>0</v>
      </c>
      <c r="AL62" s="504">
        <f>Inputs!AM288</f>
        <v>0</v>
      </c>
      <c r="AM62" s="504">
        <f>Inputs!AN288</f>
        <v>0</v>
      </c>
      <c r="AN62" s="504">
        <f>Inputs!AO288</f>
        <v>0</v>
      </c>
    </row>
    <row r="63" spans="3:40" outlineLevel="2">
      <c r="C63" s="266" t="s">
        <v>567</v>
      </c>
      <c r="D63" s="266"/>
      <c r="E63" s="4" t="s">
        <v>23</v>
      </c>
      <c r="F63" s="23">
        <f t="shared" si="13"/>
        <v>1</v>
      </c>
      <c r="G63" s="504">
        <f>Inputs!H289</f>
        <v>0</v>
      </c>
      <c r="H63" s="504">
        <f>Inputs!I289</f>
        <v>0</v>
      </c>
      <c r="I63" s="504">
        <f>Inputs!J289</f>
        <v>0</v>
      </c>
      <c r="J63" s="504">
        <f>Inputs!K289</f>
        <v>0</v>
      </c>
      <c r="K63" s="504">
        <f>Inputs!L289</f>
        <v>0</v>
      </c>
      <c r="L63" s="504">
        <f>Inputs!M289</f>
        <v>0</v>
      </c>
      <c r="M63" s="504">
        <f>Inputs!N289</f>
        <v>0</v>
      </c>
      <c r="N63" s="504">
        <f>Inputs!O289</f>
        <v>0</v>
      </c>
      <c r="O63" s="504">
        <f>Inputs!P289</f>
        <v>0</v>
      </c>
      <c r="P63" s="504">
        <f>Inputs!Q289</f>
        <v>0</v>
      </c>
      <c r="Q63" s="504">
        <f>Inputs!R289</f>
        <v>0</v>
      </c>
      <c r="R63" s="504">
        <f>Inputs!S289</f>
        <v>0</v>
      </c>
      <c r="S63" s="504">
        <f>Inputs!T289</f>
        <v>0</v>
      </c>
      <c r="T63" s="504">
        <f>Inputs!U289</f>
        <v>0</v>
      </c>
      <c r="U63" s="504">
        <f>Inputs!V289</f>
        <v>0</v>
      </c>
      <c r="V63" s="504">
        <f>Inputs!W289</f>
        <v>9.3604450790366125E-2</v>
      </c>
      <c r="W63" s="504">
        <f>Inputs!X289</f>
        <v>2.7696759803019031E-2</v>
      </c>
      <c r="X63" s="504">
        <f>Inputs!Y289</f>
        <v>1.243035616166535E-2</v>
      </c>
      <c r="Y63" s="504">
        <f>Inputs!Z289</f>
        <v>2.9197968382891435E-2</v>
      </c>
      <c r="Z63" s="504">
        <f>Inputs!AA289</f>
        <v>1.7436457904779238E-3</v>
      </c>
      <c r="AA63" s="504">
        <f>Inputs!AB289</f>
        <v>4.4927761191908978E-2</v>
      </c>
      <c r="AB63" s="504">
        <f>Inputs!AC289</f>
        <v>0.30441887626926833</v>
      </c>
      <c r="AC63" s="504">
        <f>Inputs!AD289</f>
        <v>2.5992128707427828E-2</v>
      </c>
      <c r="AD63" s="504">
        <f>Inputs!AE289</f>
        <v>2.6767064432658579E-2</v>
      </c>
      <c r="AE63" s="504">
        <f>Inputs!AF289</f>
        <v>1.4066075304486976E-2</v>
      </c>
      <c r="AF63" s="504">
        <f>Inputs!AG289</f>
        <v>0.11733919019837531</v>
      </c>
      <c r="AG63" s="504">
        <f>Inputs!AH289</f>
        <v>2.2546360512835533E-3</v>
      </c>
      <c r="AH63" s="504">
        <f>Inputs!AI289</f>
        <v>7.0605367848792233E-2</v>
      </c>
      <c r="AI63" s="504">
        <f>Inputs!AJ289</f>
        <v>0.22671445224019643</v>
      </c>
      <c r="AJ63" s="504">
        <f>Inputs!AK289</f>
        <v>2.2412668271818456E-3</v>
      </c>
      <c r="AK63" s="504">
        <f>Inputs!AL289</f>
        <v>0</v>
      </c>
      <c r="AL63" s="504">
        <f>Inputs!AM289</f>
        <v>0</v>
      </c>
      <c r="AM63" s="504">
        <f>Inputs!AN289</f>
        <v>0</v>
      </c>
      <c r="AN63" s="504">
        <f>Inputs!AO289</f>
        <v>0</v>
      </c>
    </row>
    <row r="64" spans="3:40" outlineLevel="2">
      <c r="C64" s="234"/>
      <c r="D64" s="234"/>
      <c r="E64" s="237"/>
      <c r="F64"/>
      <c r="G64" s="493"/>
      <c r="H64" s="493"/>
      <c r="I64" s="493"/>
      <c r="J64" s="493"/>
      <c r="K64" s="493"/>
      <c r="L64" s="493"/>
      <c r="M64" s="493"/>
      <c r="N64" s="493"/>
      <c r="O64" s="493"/>
      <c r="P64" s="493"/>
      <c r="Q64" s="493"/>
      <c r="R64" s="493"/>
      <c r="S64" s="493"/>
      <c r="T64" s="493"/>
      <c r="U64" s="493"/>
      <c r="V64" s="493"/>
      <c r="W64" s="493"/>
      <c r="X64" s="493"/>
      <c r="Y64" s="493"/>
      <c r="Z64" s="493"/>
      <c r="AA64" s="493"/>
      <c r="AB64" s="493"/>
      <c r="AC64" s="493"/>
      <c r="AD64" s="493"/>
      <c r="AE64" s="493"/>
      <c r="AF64" s="493"/>
      <c r="AG64" s="493"/>
      <c r="AH64" s="493"/>
      <c r="AI64" s="493"/>
      <c r="AJ64" s="493"/>
      <c r="AK64" s="493"/>
      <c r="AL64" s="493"/>
      <c r="AM64" s="493"/>
      <c r="AN64" s="493"/>
    </row>
    <row r="65" spans="3:40" outlineLevel="2">
      <c r="C65" s="234" t="s">
        <v>568</v>
      </c>
      <c r="D65"/>
      <c r="E65" s="235"/>
      <c r="F65" s="23">
        <f ca="1">SUM(G65:AN65)</f>
        <v>76776.486292563059</v>
      </c>
      <c r="G65" s="272">
        <f ca="1">G60*SUM(G62:G63)</f>
        <v>10775.031120895997</v>
      </c>
      <c r="H65" s="272">
        <f t="shared" ref="H65:AN65" ca="1" si="14">H60*SUM(H62:H63)</f>
        <v>1472.4358093250451</v>
      </c>
      <c r="I65" s="272">
        <f ca="1">I60*SUM(I62:I63)</f>
        <v>1743.4786958342004</v>
      </c>
      <c r="J65" s="272">
        <f t="shared" ca="1" si="14"/>
        <v>397.26424167420009</v>
      </c>
      <c r="K65" s="272">
        <f ca="1">K60*SUM(K62:K63)</f>
        <v>763.15204167420006</v>
      </c>
      <c r="L65" s="272">
        <f t="shared" ca="1" si="14"/>
        <v>12305.513133370472</v>
      </c>
      <c r="M65" s="272">
        <f ca="1">M60*SUM(M62:M63)</f>
        <v>241.59493295294405</v>
      </c>
      <c r="N65" s="272">
        <f t="shared" ca="1" si="14"/>
        <v>8189.1826116742004</v>
      </c>
      <c r="O65" s="272">
        <f ca="1">O60*SUM(O62:O63)</f>
        <v>43.404541674200011</v>
      </c>
      <c r="P65" s="272">
        <f t="shared" ca="1" si="14"/>
        <v>845.77904167420036</v>
      </c>
      <c r="Q65" s="272">
        <f ca="1">Q60*SUM(Q62:Q63)</f>
        <v>1452.9584045185602</v>
      </c>
      <c r="R65" s="272">
        <f t="shared" ca="1" si="14"/>
        <v>1099.8035832043693</v>
      </c>
      <c r="S65" s="272">
        <f ca="1">S60*SUM(S62:S63)</f>
        <v>797.93392010620039</v>
      </c>
      <c r="T65" s="272">
        <f t="shared" ca="1" si="14"/>
        <v>178.80952295294404</v>
      </c>
      <c r="U65" s="272">
        <f t="shared" ca="1" si="14"/>
        <v>8180.5448516742017</v>
      </c>
      <c r="V65" s="272">
        <f ca="1">V60*SUM(V62:V63)</f>
        <v>2648.0324560422537</v>
      </c>
      <c r="W65" s="272">
        <f t="shared" ca="1" si="14"/>
        <v>783.53025167420014</v>
      </c>
      <c r="X65" s="272">
        <f ca="1">X60*SUM(X62:X63)</f>
        <v>351.64980167419998</v>
      </c>
      <c r="Y65" s="272">
        <f t="shared" ca="1" si="14"/>
        <v>825.99884167420009</v>
      </c>
      <c r="Z65" s="272">
        <f ca="1">Z60*SUM(Z62:Z63)</f>
        <v>49.327041674200004</v>
      </c>
      <c r="AA65" s="272">
        <f t="shared" ca="1" si="14"/>
        <v>1270.9883857973036</v>
      </c>
      <c r="AB65" s="272">
        <f ca="1">AB60*SUM(AB62:AB63)</f>
        <v>8611.8881932043714</v>
      </c>
      <c r="AC65" s="272">
        <f t="shared" ca="1" si="14"/>
        <v>735.3069201062001</v>
      </c>
      <c r="AD65" s="272">
        <f t="shared" ca="1" si="14"/>
        <v>757.22954167420005</v>
      </c>
      <c r="AE65" s="272">
        <f t="shared" ca="1" si="14"/>
        <v>397.92364167420004</v>
      </c>
      <c r="AF65" s="272">
        <f t="shared" ca="1" si="14"/>
        <v>3319.4787361862536</v>
      </c>
      <c r="AG65" s="272">
        <f t="shared" ca="1" si="14"/>
        <v>63.7827516742</v>
      </c>
      <c r="AH65" s="272">
        <f t="shared" ca="1" si="14"/>
        <v>1997.3976029529438</v>
      </c>
      <c r="AI65" s="272">
        <f t="shared" ca="1" si="14"/>
        <v>6413.6611316742001</v>
      </c>
      <c r="AJ65" s="272">
        <f t="shared" ca="1" si="14"/>
        <v>63.404541674199997</v>
      </c>
      <c r="AK65" s="272">
        <f t="shared" ca="1" si="14"/>
        <v>0</v>
      </c>
      <c r="AL65" s="272">
        <f t="shared" ca="1" si="14"/>
        <v>0</v>
      </c>
      <c r="AM65" s="272">
        <f t="shared" ca="1" si="14"/>
        <v>0</v>
      </c>
      <c r="AN65" s="272">
        <f t="shared" ca="1" si="14"/>
        <v>0</v>
      </c>
    </row>
    <row r="66" spans="3:40" outlineLevel="2">
      <c r="C66" s="266"/>
      <c r="D66" s="234"/>
      <c r="E66" s="235"/>
      <c r="F66" s="236"/>
      <c r="G66" s="493"/>
      <c r="H66" s="493"/>
      <c r="I66" s="493"/>
      <c r="J66" s="493"/>
      <c r="K66" s="493"/>
      <c r="L66" s="493"/>
      <c r="M66" s="493"/>
      <c r="N66" s="493"/>
      <c r="O66" s="493"/>
      <c r="P66" s="493"/>
      <c r="Q66" s="493"/>
      <c r="R66" s="493"/>
      <c r="S66" s="493"/>
      <c r="T66" s="493"/>
      <c r="U66" s="493"/>
      <c r="V66" s="493"/>
      <c r="W66" s="493"/>
      <c r="X66" s="493"/>
      <c r="Y66" s="493"/>
      <c r="Z66" s="493"/>
      <c r="AA66" s="493"/>
      <c r="AB66" s="493"/>
      <c r="AC66" s="493"/>
      <c r="AD66" s="493"/>
      <c r="AE66" s="493"/>
      <c r="AF66" s="493"/>
      <c r="AG66" s="493"/>
      <c r="AH66" s="493"/>
      <c r="AI66" s="493"/>
      <c r="AJ66" s="493"/>
      <c r="AK66" s="493"/>
      <c r="AL66" s="493"/>
      <c r="AM66" s="493"/>
      <c r="AN66" s="493"/>
    </row>
    <row r="67" spans="3:40" s="221" customFormat="1" outlineLevel="2">
      <c r="C67" s="234" t="s">
        <v>316</v>
      </c>
      <c r="D67" s="235"/>
      <c r="E67" s="234"/>
      <c r="F67" s="23">
        <f ca="1">SUM(G67:AN67)</f>
        <v>38388.243146281529</v>
      </c>
      <c r="G67" s="272">
        <f t="shared" ref="G67:AN67" ca="1" si="15">G65*$D48</f>
        <v>5387.5155604479987</v>
      </c>
      <c r="H67" s="272">
        <f t="shared" ca="1" si="15"/>
        <v>736.21790466252253</v>
      </c>
      <c r="I67" s="272">
        <f t="shared" ca="1" si="15"/>
        <v>871.73934791710019</v>
      </c>
      <c r="J67" s="272">
        <f t="shared" ca="1" si="15"/>
        <v>198.63212083710005</v>
      </c>
      <c r="K67" s="272">
        <f t="shared" ca="1" si="15"/>
        <v>381.57602083710003</v>
      </c>
      <c r="L67" s="272">
        <f t="shared" ca="1" si="15"/>
        <v>6152.7565666852361</v>
      </c>
      <c r="M67" s="272">
        <f t="shared" ca="1" si="15"/>
        <v>120.79746647647202</v>
      </c>
      <c r="N67" s="272">
        <f t="shared" ca="1" si="15"/>
        <v>4094.5913058371002</v>
      </c>
      <c r="O67" s="272">
        <f t="shared" ca="1" si="15"/>
        <v>21.702270837100006</v>
      </c>
      <c r="P67" s="272">
        <f t="shared" ca="1" si="15"/>
        <v>422.88952083710018</v>
      </c>
      <c r="Q67" s="272">
        <f t="shared" ca="1" si="15"/>
        <v>726.4792022592801</v>
      </c>
      <c r="R67" s="272">
        <f t="shared" ca="1" si="15"/>
        <v>549.90179160218463</v>
      </c>
      <c r="S67" s="272">
        <f t="shared" ca="1" si="15"/>
        <v>398.96696005310019</v>
      </c>
      <c r="T67" s="272">
        <f t="shared" ca="1" si="15"/>
        <v>89.404761476472018</v>
      </c>
      <c r="U67" s="272">
        <f t="shared" ca="1" si="15"/>
        <v>4090.2724258371009</v>
      </c>
      <c r="V67" s="272">
        <f t="shared" ca="1" si="15"/>
        <v>1324.0162280211268</v>
      </c>
      <c r="W67" s="272">
        <f t="shared" ca="1" si="15"/>
        <v>391.76512583710007</v>
      </c>
      <c r="X67" s="272">
        <f t="shared" ca="1" si="15"/>
        <v>175.82490083709999</v>
      </c>
      <c r="Y67" s="272">
        <f t="shared" ca="1" si="15"/>
        <v>412.99942083710005</v>
      </c>
      <c r="Z67" s="272">
        <f t="shared" ca="1" si="15"/>
        <v>24.663520837100002</v>
      </c>
      <c r="AA67" s="272">
        <f t="shared" ca="1" si="15"/>
        <v>635.49419289865182</v>
      </c>
      <c r="AB67" s="272">
        <f t="shared" ca="1" si="15"/>
        <v>4305.9440966021857</v>
      </c>
      <c r="AC67" s="272">
        <f t="shared" ca="1" si="15"/>
        <v>367.65346005310005</v>
      </c>
      <c r="AD67" s="272">
        <f t="shared" ca="1" si="15"/>
        <v>378.61477083710002</v>
      </c>
      <c r="AE67" s="272">
        <f t="shared" ca="1" si="15"/>
        <v>198.96182083710002</v>
      </c>
      <c r="AF67" s="272">
        <f t="shared" ca="1" si="15"/>
        <v>1659.7393680931268</v>
      </c>
      <c r="AG67" s="272">
        <f t="shared" ca="1" si="15"/>
        <v>31.8913758371</v>
      </c>
      <c r="AH67" s="272">
        <f t="shared" ca="1" si="15"/>
        <v>998.69880147647189</v>
      </c>
      <c r="AI67" s="272">
        <f t="shared" ca="1" si="15"/>
        <v>3206.8305658371</v>
      </c>
      <c r="AJ67" s="272">
        <f t="shared" ca="1" si="15"/>
        <v>31.702270837099999</v>
      </c>
      <c r="AK67" s="272">
        <f t="shared" ca="1" si="15"/>
        <v>0</v>
      </c>
      <c r="AL67" s="272">
        <f t="shared" ca="1" si="15"/>
        <v>0</v>
      </c>
      <c r="AM67" s="272">
        <f t="shared" ca="1" si="15"/>
        <v>0</v>
      </c>
      <c r="AN67" s="272">
        <f t="shared" ca="1" si="15"/>
        <v>0</v>
      </c>
    </row>
    <row r="68" spans="3:40" s="221" customFormat="1" outlineLevel="2">
      <c r="C68" s="234" t="s">
        <v>127</v>
      </c>
      <c r="D68" s="235"/>
      <c r="E68" s="234"/>
      <c r="F68" s="23">
        <f ca="1">SUM(G68:AN68)</f>
        <v>38388.243146281529</v>
      </c>
      <c r="G68" s="272">
        <f t="shared" ref="G68:AN68" ca="1" si="16">G65-G67</f>
        <v>5387.5155604479987</v>
      </c>
      <c r="H68" s="272">
        <f t="shared" ca="1" si="16"/>
        <v>736.21790466252253</v>
      </c>
      <c r="I68" s="272">
        <f t="shared" ca="1" si="16"/>
        <v>871.73934791710019</v>
      </c>
      <c r="J68" s="272">
        <f t="shared" ca="1" si="16"/>
        <v>198.63212083710005</v>
      </c>
      <c r="K68" s="272">
        <f ca="1">K65-K67</f>
        <v>381.57602083710003</v>
      </c>
      <c r="L68" s="272">
        <f ca="1">L65-L67</f>
        <v>6152.7565666852361</v>
      </c>
      <c r="M68" s="272">
        <f t="shared" ca="1" si="16"/>
        <v>120.79746647647202</v>
      </c>
      <c r="N68" s="272">
        <f t="shared" ca="1" si="16"/>
        <v>4094.5913058371002</v>
      </c>
      <c r="O68" s="272">
        <f t="shared" ca="1" si="16"/>
        <v>21.702270837100006</v>
      </c>
      <c r="P68" s="272">
        <f t="shared" ca="1" si="16"/>
        <v>422.88952083710018</v>
      </c>
      <c r="Q68" s="272">
        <f t="shared" ca="1" si="16"/>
        <v>726.4792022592801</v>
      </c>
      <c r="R68" s="272">
        <f t="shared" ca="1" si="16"/>
        <v>549.90179160218463</v>
      </c>
      <c r="S68" s="272">
        <f t="shared" ca="1" si="16"/>
        <v>398.96696005310019</v>
      </c>
      <c r="T68" s="272">
        <f t="shared" ca="1" si="16"/>
        <v>89.404761476472018</v>
      </c>
      <c r="U68" s="272">
        <f t="shared" ca="1" si="16"/>
        <v>4090.2724258371009</v>
      </c>
      <c r="V68" s="272">
        <f t="shared" ca="1" si="16"/>
        <v>1324.0162280211268</v>
      </c>
      <c r="W68" s="272">
        <f t="shared" ca="1" si="16"/>
        <v>391.76512583710007</v>
      </c>
      <c r="X68" s="272">
        <f t="shared" ca="1" si="16"/>
        <v>175.82490083709999</v>
      </c>
      <c r="Y68" s="272">
        <f t="shared" ca="1" si="16"/>
        <v>412.99942083710005</v>
      </c>
      <c r="Z68" s="272">
        <f t="shared" ca="1" si="16"/>
        <v>24.663520837100002</v>
      </c>
      <c r="AA68" s="272">
        <f t="shared" ca="1" si="16"/>
        <v>635.49419289865182</v>
      </c>
      <c r="AB68" s="272">
        <f t="shared" ca="1" si="16"/>
        <v>4305.9440966021857</v>
      </c>
      <c r="AC68" s="272">
        <f t="shared" ca="1" si="16"/>
        <v>367.65346005310005</v>
      </c>
      <c r="AD68" s="272">
        <f t="shared" ca="1" si="16"/>
        <v>378.61477083710002</v>
      </c>
      <c r="AE68" s="272">
        <f t="shared" ca="1" si="16"/>
        <v>198.96182083710002</v>
      </c>
      <c r="AF68" s="272">
        <f t="shared" ca="1" si="16"/>
        <v>1659.7393680931268</v>
      </c>
      <c r="AG68" s="272">
        <f t="shared" ca="1" si="16"/>
        <v>31.8913758371</v>
      </c>
      <c r="AH68" s="272">
        <f t="shared" ca="1" si="16"/>
        <v>998.69880147647189</v>
      </c>
      <c r="AI68" s="272">
        <f t="shared" ca="1" si="16"/>
        <v>3206.8305658371</v>
      </c>
      <c r="AJ68" s="272">
        <f t="shared" ca="1" si="16"/>
        <v>31.702270837099999</v>
      </c>
      <c r="AK68" s="272">
        <f t="shared" ca="1" si="16"/>
        <v>0</v>
      </c>
      <c r="AL68" s="272">
        <f t="shared" ca="1" si="16"/>
        <v>0</v>
      </c>
      <c r="AM68" s="272">
        <f t="shared" ca="1" si="16"/>
        <v>0</v>
      </c>
      <c r="AN68" s="272">
        <f t="shared" ca="1" si="16"/>
        <v>0</v>
      </c>
    </row>
    <row r="69" spans="3:40" s="221" customFormat="1" outlineLevel="2">
      <c r="C69" s="238" t="s">
        <v>116</v>
      </c>
      <c r="D69" s="235"/>
      <c r="E69" s="234"/>
      <c r="F69" s="222">
        <f ca="1">SUM(F67:F68)-F46</f>
        <v>0</v>
      </c>
    </row>
    <row r="70" spans="3:40" outlineLevel="2">
      <c r="C70" s="11"/>
      <c r="E70" s="266"/>
      <c r="F70" s="266"/>
      <c r="G70" s="266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6"/>
      <c r="S70" s="266"/>
      <c r="T70" s="266"/>
      <c r="U70" s="266"/>
      <c r="V70" s="266"/>
      <c r="W70" s="266"/>
      <c r="X70" s="266"/>
      <c r="Y70" s="266"/>
      <c r="Z70" s="266"/>
      <c r="AA70" s="266"/>
      <c r="AB70" s="266"/>
      <c r="AC70" s="266"/>
      <c r="AD70" s="266"/>
      <c r="AE70" s="266"/>
      <c r="AF70" s="266"/>
      <c r="AG70" s="266"/>
      <c r="AH70" s="266"/>
      <c r="AI70" s="266"/>
      <c r="AJ70" s="266"/>
      <c r="AK70" s="266"/>
      <c r="AL70" s="266"/>
      <c r="AM70" s="266"/>
      <c r="AN70" s="266"/>
    </row>
    <row r="71" spans="3:40" outlineLevel="2">
      <c r="C71" s="266" t="s">
        <v>569</v>
      </c>
      <c r="D71">
        <f>Inputs!$E$242</f>
        <v>5.0000000000000001E-3</v>
      </c>
      <c r="E71" s="32" t="s">
        <v>13</v>
      </c>
      <c r="F71" s="23">
        <f ca="1">SUM(G71:AN71)</f>
        <v>191.94121573140768</v>
      </c>
      <c r="G71" s="272">
        <f ca="1">G67*$D71</f>
        <v>26.937577802239993</v>
      </c>
      <c r="H71" s="272">
        <f t="shared" ref="H71:AN71" ca="1" si="17">H67*$D71</f>
        <v>3.6810895233126129</v>
      </c>
      <c r="I71" s="272">
        <f t="shared" ca="1" si="17"/>
        <v>4.3586967395855014</v>
      </c>
      <c r="J71" s="272">
        <f t="shared" ca="1" si="17"/>
        <v>0.99316060418550023</v>
      </c>
      <c r="K71" s="272">
        <f t="shared" ca="1" si="17"/>
        <v>1.9078801041855002</v>
      </c>
      <c r="L71" s="272">
        <f t="shared" ca="1" si="17"/>
        <v>30.76378283342618</v>
      </c>
      <c r="M71" s="272">
        <f t="shared" ca="1" si="17"/>
        <v>0.60398733238236013</v>
      </c>
      <c r="N71" s="272">
        <f t="shared" ca="1" si="17"/>
        <v>20.472956529185502</v>
      </c>
      <c r="O71" s="272">
        <f t="shared" ca="1" si="17"/>
        <v>0.10851135418550004</v>
      </c>
      <c r="P71" s="272">
        <f t="shared" ca="1" si="17"/>
        <v>2.1144476041855009</v>
      </c>
      <c r="Q71" s="272">
        <f t="shared" ca="1" si="17"/>
        <v>3.6323960112964007</v>
      </c>
      <c r="R71" s="272">
        <f t="shared" ca="1" si="17"/>
        <v>2.7495089580109231</v>
      </c>
      <c r="S71" s="272">
        <f t="shared" ca="1" si="17"/>
        <v>1.994834800265501</v>
      </c>
      <c r="T71" s="272">
        <f t="shared" ca="1" si="17"/>
        <v>0.44702380738236008</v>
      </c>
      <c r="U71" s="272">
        <f t="shared" ca="1" si="17"/>
        <v>20.451362129185505</v>
      </c>
      <c r="V71" s="272">
        <f t="shared" ca="1" si="17"/>
        <v>6.6200811401056345</v>
      </c>
      <c r="W71" s="272">
        <f t="shared" ca="1" si="17"/>
        <v>1.9588256291855004</v>
      </c>
      <c r="X71" s="272">
        <f t="shared" ca="1" si="17"/>
        <v>0.87912450418549992</v>
      </c>
      <c r="Y71" s="272">
        <f t="shared" ca="1" si="17"/>
        <v>2.0649971041855002</v>
      </c>
      <c r="Z71" s="272">
        <f t="shared" ca="1" si="17"/>
        <v>0.12331760418550002</v>
      </c>
      <c r="AA71" s="272">
        <f t="shared" ca="1" si="17"/>
        <v>3.1774709644932591</v>
      </c>
      <c r="AB71" s="272">
        <f t="shared" ca="1" si="17"/>
        <v>21.52972048301093</v>
      </c>
      <c r="AC71" s="272">
        <f t="shared" ca="1" si="17"/>
        <v>1.8382673002655003</v>
      </c>
      <c r="AD71" s="272">
        <f t="shared" ca="1" si="17"/>
        <v>1.8930738541855001</v>
      </c>
      <c r="AE71" s="272">
        <f t="shared" ca="1" si="17"/>
        <v>0.99480910418550017</v>
      </c>
      <c r="AF71" s="272">
        <f t="shared" ca="1" si="17"/>
        <v>8.2986968404656345</v>
      </c>
      <c r="AG71" s="272">
        <f t="shared" ca="1" si="17"/>
        <v>0.1594568791855</v>
      </c>
      <c r="AH71" s="272">
        <f t="shared" ca="1" si="17"/>
        <v>4.9934940073823597</v>
      </c>
      <c r="AI71" s="272">
        <f t="shared" ca="1" si="17"/>
        <v>16.034152829185501</v>
      </c>
      <c r="AJ71" s="272">
        <f t="shared" ca="1" si="17"/>
        <v>0.1585113541855</v>
      </c>
      <c r="AK71" s="272">
        <f t="shared" ca="1" si="17"/>
        <v>0</v>
      </c>
      <c r="AL71" s="272">
        <f t="shared" ca="1" si="17"/>
        <v>0</v>
      </c>
      <c r="AM71" s="272">
        <f t="shared" ca="1" si="17"/>
        <v>0</v>
      </c>
      <c r="AN71" s="272">
        <f t="shared" ca="1" si="17"/>
        <v>0</v>
      </c>
    </row>
    <row r="72" spans="3:40" outlineLevel="2">
      <c r="C72" s="11"/>
      <c r="E72" s="266"/>
      <c r="F72" s="266"/>
      <c r="G72" s="266"/>
      <c r="H72" s="266"/>
      <c r="I72" s="266"/>
      <c r="J72" s="266"/>
      <c r="K72" s="266"/>
      <c r="L72" s="266"/>
      <c r="M72" s="266"/>
      <c r="N72" s="266"/>
      <c r="O72" s="266"/>
      <c r="P72" s="266"/>
      <c r="Q72" s="266"/>
      <c r="R72" s="266"/>
      <c r="S72" s="266"/>
      <c r="T72" s="266"/>
      <c r="U72" s="266"/>
      <c r="V72" s="266"/>
      <c r="W72" s="266"/>
      <c r="X72" s="266"/>
      <c r="Y72" s="266"/>
      <c r="Z72" s="266"/>
      <c r="AA72" s="266"/>
      <c r="AB72" s="266"/>
      <c r="AC72" s="266"/>
      <c r="AD72" s="266"/>
      <c r="AE72" s="266"/>
      <c r="AF72" s="266"/>
      <c r="AG72" s="266"/>
      <c r="AH72" s="266"/>
      <c r="AI72" s="266"/>
      <c r="AJ72" s="266"/>
      <c r="AK72" s="266"/>
      <c r="AL72" s="266"/>
      <c r="AM72" s="266"/>
      <c r="AN72" s="266"/>
    </row>
    <row r="73" spans="3:40" outlineLevel="1">
      <c r="C73" s="11"/>
      <c r="E73" s="266"/>
      <c r="F73" s="266"/>
      <c r="G73" s="278"/>
      <c r="H73" s="266"/>
      <c r="I73" s="266"/>
      <c r="J73" s="266"/>
      <c r="K73" s="266"/>
      <c r="L73" s="266"/>
      <c r="M73" s="266"/>
      <c r="N73" s="266"/>
      <c r="O73" s="266"/>
      <c r="P73" s="266"/>
      <c r="Q73" s="266"/>
      <c r="R73" s="266"/>
      <c r="S73" s="266"/>
      <c r="T73" s="266"/>
      <c r="U73" s="266"/>
      <c r="V73" s="266"/>
      <c r="W73" s="266"/>
      <c r="X73" s="266"/>
      <c r="Y73" s="266"/>
      <c r="Z73" s="266"/>
      <c r="AA73" s="266"/>
      <c r="AB73" s="266"/>
      <c r="AC73" s="266"/>
      <c r="AD73" s="266"/>
      <c r="AE73" s="266"/>
      <c r="AF73" s="266"/>
      <c r="AG73" s="266"/>
      <c r="AH73" s="266"/>
      <c r="AI73" s="266"/>
      <c r="AJ73" s="266"/>
      <c r="AK73" s="266"/>
      <c r="AL73" s="266"/>
      <c r="AM73" s="266"/>
      <c r="AN73" s="266"/>
    </row>
    <row r="74" spans="3:40" outlineLevel="1">
      <c r="C74" s="11" t="s">
        <v>570</v>
      </c>
      <c r="E74" s="266"/>
      <c r="F74" s="266"/>
      <c r="G74" s="266"/>
      <c r="H74" s="266"/>
      <c r="I74" s="266"/>
      <c r="J74" s="266"/>
      <c r="K74" s="266"/>
      <c r="L74" s="266"/>
      <c r="M74" s="266"/>
      <c r="N74" s="266"/>
      <c r="O74" s="266"/>
      <c r="P74" s="266"/>
      <c r="Q74" s="266"/>
      <c r="R74" s="266"/>
      <c r="S74" s="266"/>
      <c r="T74" s="266"/>
      <c r="U74" s="266"/>
      <c r="V74" s="266"/>
      <c r="W74" s="266"/>
      <c r="X74" s="266"/>
      <c r="Y74" s="266"/>
      <c r="Z74" s="266"/>
      <c r="AA74" s="266"/>
      <c r="AB74" s="266"/>
      <c r="AC74" s="266"/>
      <c r="AD74" s="266"/>
      <c r="AE74" s="266"/>
      <c r="AF74" s="266"/>
      <c r="AG74" s="266"/>
      <c r="AH74" s="266"/>
      <c r="AI74" s="266"/>
      <c r="AJ74" s="266"/>
      <c r="AK74" s="266"/>
      <c r="AL74" s="266"/>
      <c r="AM74" s="266"/>
      <c r="AN74" s="266"/>
    </row>
    <row r="75" spans="3:40" outlineLevel="2">
      <c r="C75" s="270" t="s">
        <v>571</v>
      </c>
      <c r="D75" s="270"/>
      <c r="E75" s="72" t="s">
        <v>13</v>
      </c>
      <c r="F75" s="327"/>
      <c r="G75" s="327">
        <f t="shared" ref="G75" si="18">F78</f>
        <v>0</v>
      </c>
      <c r="H75" s="327">
        <f t="shared" ref="H75" ca="1" si="19">G78</f>
        <v>5387.5155604479987</v>
      </c>
      <c r="I75" s="327">
        <f t="shared" ref="I75" ca="1" si="20">H78</f>
        <v>6123.7334651105211</v>
      </c>
      <c r="J75" s="327">
        <f t="shared" ref="J75" ca="1" si="21">I78</f>
        <v>6495.7961835256483</v>
      </c>
      <c r="K75" s="327">
        <f t="shared" ref="K75" ca="1" si="22">J78</f>
        <v>6179.4722809502291</v>
      </c>
      <c r="L75" s="327">
        <f t="shared" ref="L75" ca="1" si="23">K78</f>
        <v>6014.2942766383849</v>
      </c>
      <c r="M75" s="327">
        <f t="shared" ref="M75" ca="1" si="24">L78</f>
        <v>11060.955312112383</v>
      </c>
      <c r="N75" s="327">
        <f t="shared" ref="N75" ca="1" si="25">M78</f>
        <v>10063.577500729969</v>
      </c>
      <c r="O75" s="327">
        <f t="shared" ref="O75" ca="1" si="26">N78</f>
        <v>12585.038939170729</v>
      </c>
      <c r="P75" s="327">
        <f t="shared" ref="P75" ca="1" si="27">O78</f>
        <v>11030.89855875685</v>
      </c>
      <c r="Q75" s="327">
        <f t="shared" ref="Q75" ca="1" si="28">P78</f>
        <v>9817.5326396519558</v>
      </c>
      <c r="R75" s="327">
        <f t="shared" ref="R75" ca="1" si="29">Q78</f>
        <v>8786.6765349260313</v>
      </c>
      <c r="S75" s="327">
        <f t="shared" ref="S75" ca="1" si="30">R78</f>
        <v>7469.2626612225722</v>
      </c>
      <c r="T75" s="327">
        <f t="shared" ref="T75" ca="1" si="31">S78</f>
        <v>5901.1722159567544</v>
      </c>
      <c r="U75" s="327">
        <f t="shared" ref="U75" ca="1" si="32">T78</f>
        <v>3993.7179849554841</v>
      </c>
      <c r="V75" s="327">
        <f t="shared" ref="V75" ca="1" si="33">U78</f>
        <v>4041.9952053962925</v>
      </c>
      <c r="W75" s="327">
        <f t="shared" ref="W75" ca="1" si="34">V78</f>
        <v>1324.0162280211271</v>
      </c>
      <c r="X75" s="327">
        <f t="shared" ref="X75" ca="1" si="35">W78</f>
        <v>1593.2255428683538</v>
      </c>
      <c r="Y75" s="327">
        <f t="shared" ref="Y75" ca="1" si="36">X78</f>
        <v>1632.9696403434957</v>
      </c>
      <c r="Z75" s="327">
        <f t="shared" ref="Z75" ca="1" si="37">Y78</f>
        <v>1875.4716394155462</v>
      </c>
      <c r="AA75" s="327">
        <f t="shared" ref="AA75" ca="1" si="38">Z78</f>
        <v>1727.3956002296782</v>
      </c>
      <c r="AB75" s="327">
        <f t="shared" ref="AB75" ca="1" si="39">AA78</f>
        <v>2126.6008138154971</v>
      </c>
      <c r="AC75" s="327">
        <f t="shared" ref="AC75" ca="1" si="40">AB78</f>
        <v>5717.8176981490506</v>
      </c>
      <c r="AD75" s="327">
        <f t="shared" ref="AD75" ca="1" si="41">AC78</f>
        <v>5324.7872634268824</v>
      </c>
      <c r="AE75" s="327">
        <f t="shared" ref="AE75" ca="1" si="42">AD78</f>
        <v>4888.6303150834137</v>
      </c>
      <c r="AF75" s="327">
        <f t="shared" ref="AF75" ca="1" si="43">AE78</f>
        <v>4239.6601132670949</v>
      </c>
      <c r="AG75" s="327">
        <f t="shared" ref="AG75" ca="1" si="44">AF78</f>
        <v>4719.5195850881773</v>
      </c>
      <c r="AH75" s="327">
        <f t="shared" ref="AH75" ca="1" si="45">AG78</f>
        <v>3563.558220693958</v>
      </c>
      <c r="AI75" s="327">
        <f t="shared" ref="AI75" ca="1" si="46">AH78</f>
        <v>3041.5046814469533</v>
      </c>
      <c r="AJ75" s="327">
        <f t="shared" ref="AJ75" ca="1" si="47">AI78</f>
        <v>3124.1676236420267</v>
      </c>
      <c r="AK75" s="327">
        <f t="shared" ref="AK75" ca="1" si="48">AJ78</f>
        <v>0</v>
      </c>
      <c r="AL75" s="327">
        <f ca="1">AK78</f>
        <v>0</v>
      </c>
      <c r="AM75" s="327">
        <f ca="1">AL78</f>
        <v>0</v>
      </c>
      <c r="AN75" s="327">
        <f ca="1">AM78</f>
        <v>0</v>
      </c>
    </row>
    <row r="76" spans="3:40" outlineLevel="2">
      <c r="C76" s="341" t="s">
        <v>572</v>
      </c>
      <c r="D76" s="266"/>
      <c r="E76" s="73" t="s">
        <v>13</v>
      </c>
      <c r="F76" s="70">
        <f ca="1">SUM(G76:AN76)</f>
        <v>38388.243146281529</v>
      </c>
      <c r="G76" s="273">
        <f t="shared" ref="G76:AN76" ca="1" si="49">G67</f>
        <v>5387.5155604479987</v>
      </c>
      <c r="H76" s="273">
        <f t="shared" ca="1" si="49"/>
        <v>736.21790466252253</v>
      </c>
      <c r="I76" s="273">
        <f t="shared" ca="1" si="49"/>
        <v>871.73934791710019</v>
      </c>
      <c r="J76" s="273">
        <f t="shared" ca="1" si="49"/>
        <v>198.63212083710005</v>
      </c>
      <c r="K76" s="273">
        <f t="shared" ca="1" si="49"/>
        <v>381.57602083710003</v>
      </c>
      <c r="L76" s="273">
        <f t="shared" ca="1" si="49"/>
        <v>6152.7565666852361</v>
      </c>
      <c r="M76" s="273">
        <f t="shared" ca="1" si="49"/>
        <v>120.79746647647202</v>
      </c>
      <c r="N76" s="273">
        <f t="shared" ca="1" si="49"/>
        <v>4094.5913058371002</v>
      </c>
      <c r="O76" s="273">
        <f t="shared" ca="1" si="49"/>
        <v>21.702270837100006</v>
      </c>
      <c r="P76" s="273">
        <f t="shared" ca="1" si="49"/>
        <v>422.88952083710018</v>
      </c>
      <c r="Q76" s="273">
        <f t="shared" ca="1" si="49"/>
        <v>726.4792022592801</v>
      </c>
      <c r="R76" s="273">
        <f t="shared" ca="1" si="49"/>
        <v>549.90179160218463</v>
      </c>
      <c r="S76" s="273">
        <f t="shared" ca="1" si="49"/>
        <v>398.96696005310019</v>
      </c>
      <c r="T76" s="273">
        <f t="shared" ca="1" si="49"/>
        <v>89.404761476472018</v>
      </c>
      <c r="U76" s="273">
        <f t="shared" ca="1" si="49"/>
        <v>4090.2724258371009</v>
      </c>
      <c r="V76" s="273">
        <f t="shared" ca="1" si="49"/>
        <v>1324.0162280211268</v>
      </c>
      <c r="W76" s="273">
        <f t="shared" ca="1" si="49"/>
        <v>391.76512583710007</v>
      </c>
      <c r="X76" s="273">
        <f t="shared" ca="1" si="49"/>
        <v>175.82490083709999</v>
      </c>
      <c r="Y76" s="273">
        <f t="shared" ca="1" si="49"/>
        <v>412.99942083710005</v>
      </c>
      <c r="Z76" s="273">
        <f t="shared" ca="1" si="49"/>
        <v>24.663520837100002</v>
      </c>
      <c r="AA76" s="273">
        <f t="shared" ca="1" si="49"/>
        <v>635.49419289865182</v>
      </c>
      <c r="AB76" s="273">
        <f t="shared" ca="1" si="49"/>
        <v>4305.9440966021857</v>
      </c>
      <c r="AC76" s="273">
        <f t="shared" ca="1" si="49"/>
        <v>367.65346005310005</v>
      </c>
      <c r="AD76" s="273">
        <f t="shared" ca="1" si="49"/>
        <v>378.61477083710002</v>
      </c>
      <c r="AE76" s="273">
        <f t="shared" ca="1" si="49"/>
        <v>198.96182083710002</v>
      </c>
      <c r="AF76" s="273">
        <f t="shared" ca="1" si="49"/>
        <v>1659.7393680931268</v>
      </c>
      <c r="AG76" s="273">
        <f t="shared" ca="1" si="49"/>
        <v>31.8913758371</v>
      </c>
      <c r="AH76" s="273">
        <f t="shared" ca="1" si="49"/>
        <v>998.69880147647189</v>
      </c>
      <c r="AI76" s="273">
        <f t="shared" ca="1" si="49"/>
        <v>3206.8305658371</v>
      </c>
      <c r="AJ76" s="273">
        <f t="shared" ca="1" si="49"/>
        <v>31.702270837099999</v>
      </c>
      <c r="AK76" s="273">
        <f t="shared" ca="1" si="49"/>
        <v>0</v>
      </c>
      <c r="AL76" s="273">
        <f t="shared" ca="1" si="49"/>
        <v>0</v>
      </c>
      <c r="AM76" s="273">
        <f t="shared" ca="1" si="49"/>
        <v>0</v>
      </c>
      <c r="AN76" s="273">
        <f t="shared" ca="1" si="49"/>
        <v>0</v>
      </c>
    </row>
    <row r="77" spans="3:40" outlineLevel="2">
      <c r="C77" s="341" t="s">
        <v>573</v>
      </c>
      <c r="D77" s="266"/>
      <c r="E77" s="73" t="s">
        <v>13</v>
      </c>
      <c r="F77" s="47">
        <f ca="1">SUM(G77:AN77)</f>
        <v>-38388.243146281522</v>
      </c>
      <c r="G77" s="273">
        <f t="shared" ref="G77:AN77" si="50">-G277</f>
        <v>0</v>
      </c>
      <c r="H77" s="273">
        <f t="shared" si="50"/>
        <v>0</v>
      </c>
      <c r="I77" s="273">
        <f t="shared" ca="1" si="50"/>
        <v>-499.67662950197297</v>
      </c>
      <c r="J77" s="273">
        <f t="shared" ca="1" si="50"/>
        <v>-514.95602341251913</v>
      </c>
      <c r="K77" s="273">
        <f t="shared" ca="1" si="50"/>
        <v>-546.75402514894415</v>
      </c>
      <c r="L77" s="273">
        <f t="shared" ca="1" si="50"/>
        <v>-1106.0955312112383</v>
      </c>
      <c r="M77" s="273">
        <f t="shared" ca="1" si="50"/>
        <v>-1118.1752778588855</v>
      </c>
      <c r="N77" s="273">
        <f t="shared" ca="1" si="50"/>
        <v>-1573.1298673963411</v>
      </c>
      <c r="O77" s="273">
        <f t="shared" ca="1" si="50"/>
        <v>-1575.8426512509786</v>
      </c>
      <c r="P77" s="273">
        <f t="shared" ca="1" si="50"/>
        <v>-1636.2554399419928</v>
      </c>
      <c r="Q77" s="273">
        <f t="shared" ca="1" si="50"/>
        <v>-1757.3353069852062</v>
      </c>
      <c r="R77" s="273">
        <f t="shared" ca="1" si="50"/>
        <v>-1867.3156653056431</v>
      </c>
      <c r="S77" s="273">
        <f t="shared" ca="1" si="50"/>
        <v>-1967.0574053189182</v>
      </c>
      <c r="T77" s="273">
        <f t="shared" ca="1" si="50"/>
        <v>-1996.8589924777423</v>
      </c>
      <c r="U77" s="273">
        <f t="shared" ca="1" si="50"/>
        <v>-4041.9952053962925</v>
      </c>
      <c r="V77" s="273">
        <f t="shared" ca="1" si="50"/>
        <v>-4041.9952053962925</v>
      </c>
      <c r="W77" s="273">
        <f t="shared" ca="1" si="50"/>
        <v>-122.55581098987334</v>
      </c>
      <c r="X77" s="273">
        <f t="shared" ca="1" si="50"/>
        <v>-136.08080336195795</v>
      </c>
      <c r="Y77" s="273">
        <f t="shared" ca="1" si="50"/>
        <v>-170.49742176504961</v>
      </c>
      <c r="Z77" s="273">
        <f t="shared" ca="1" si="50"/>
        <v>-172.73956002296779</v>
      </c>
      <c r="AA77" s="273">
        <f t="shared" ca="1" si="50"/>
        <v>-236.28897931283296</v>
      </c>
      <c r="AB77" s="273">
        <f t="shared" ca="1" si="50"/>
        <v>-714.72721226863132</v>
      </c>
      <c r="AC77" s="273">
        <f t="shared" ca="1" si="50"/>
        <v>-760.68389477526887</v>
      </c>
      <c r="AD77" s="273">
        <f t="shared" ca="1" si="50"/>
        <v>-814.77171918056888</v>
      </c>
      <c r="AE77" s="273">
        <f t="shared" ca="1" si="50"/>
        <v>-847.93202265341904</v>
      </c>
      <c r="AF77" s="273">
        <f t="shared" ca="1" si="50"/>
        <v>-1179.8798962720443</v>
      </c>
      <c r="AG77" s="273">
        <f t="shared" ca="1" si="50"/>
        <v>-1187.8527402313193</v>
      </c>
      <c r="AH77" s="273">
        <f t="shared" ca="1" si="50"/>
        <v>-1520.7523407234767</v>
      </c>
      <c r="AI77" s="273">
        <f t="shared" ca="1" si="50"/>
        <v>-3124.1676236420267</v>
      </c>
      <c r="AJ77" s="273">
        <f t="shared" ca="1" si="50"/>
        <v>-3155.8698944791267</v>
      </c>
      <c r="AK77" s="273">
        <f t="shared" si="50"/>
        <v>0</v>
      </c>
      <c r="AL77" s="273">
        <f t="shared" si="50"/>
        <v>0</v>
      </c>
      <c r="AM77" s="273">
        <f t="shared" si="50"/>
        <v>0</v>
      </c>
      <c r="AN77" s="273">
        <f t="shared" si="50"/>
        <v>0</v>
      </c>
    </row>
    <row r="78" spans="3:40" ht="16.2" outlineLevel="2" thickBot="1">
      <c r="C78" s="275" t="s">
        <v>574</v>
      </c>
      <c r="D78" s="275"/>
      <c r="E78" s="74" t="s">
        <v>13</v>
      </c>
      <c r="F78" s="71"/>
      <c r="G78" s="325">
        <f t="shared" ref="G78:AN78" ca="1" si="51">SUM(G75:G77)</f>
        <v>5387.5155604479987</v>
      </c>
      <c r="H78" s="325">
        <f t="shared" ca="1" si="51"/>
        <v>6123.7334651105211</v>
      </c>
      <c r="I78" s="325">
        <f t="shared" ca="1" si="51"/>
        <v>6495.7961835256483</v>
      </c>
      <c r="J78" s="325">
        <f t="shared" ca="1" si="51"/>
        <v>6179.4722809502291</v>
      </c>
      <c r="K78" s="325">
        <f t="shared" ca="1" si="51"/>
        <v>6014.2942766383849</v>
      </c>
      <c r="L78" s="325">
        <f t="shared" ca="1" si="51"/>
        <v>11060.955312112383</v>
      </c>
      <c r="M78" s="325">
        <f t="shared" ca="1" si="51"/>
        <v>10063.577500729969</v>
      </c>
      <c r="N78" s="325">
        <f t="shared" ca="1" si="51"/>
        <v>12585.038939170729</v>
      </c>
      <c r="O78" s="325">
        <f t="shared" ca="1" si="51"/>
        <v>11030.89855875685</v>
      </c>
      <c r="P78" s="325">
        <f t="shared" ca="1" si="51"/>
        <v>9817.5326396519558</v>
      </c>
      <c r="Q78" s="325">
        <f t="shared" ca="1" si="51"/>
        <v>8786.6765349260313</v>
      </c>
      <c r="R78" s="325">
        <f t="shared" ca="1" si="51"/>
        <v>7469.2626612225722</v>
      </c>
      <c r="S78" s="325">
        <f t="shared" ca="1" si="51"/>
        <v>5901.1722159567544</v>
      </c>
      <c r="T78" s="325">
        <f t="shared" ca="1" si="51"/>
        <v>3993.7179849554841</v>
      </c>
      <c r="U78" s="325">
        <f t="shared" ca="1" si="51"/>
        <v>4041.9952053962925</v>
      </c>
      <c r="V78" s="325">
        <f t="shared" ca="1" si="51"/>
        <v>1324.0162280211271</v>
      </c>
      <c r="W78" s="325">
        <f t="shared" ca="1" si="51"/>
        <v>1593.2255428683538</v>
      </c>
      <c r="X78" s="325">
        <f t="shared" ca="1" si="51"/>
        <v>1632.9696403434957</v>
      </c>
      <c r="Y78" s="325">
        <f t="shared" ca="1" si="51"/>
        <v>1875.4716394155462</v>
      </c>
      <c r="Z78" s="325">
        <f t="shared" ca="1" si="51"/>
        <v>1727.3956002296782</v>
      </c>
      <c r="AA78" s="325">
        <f t="shared" ca="1" si="51"/>
        <v>2126.6008138154971</v>
      </c>
      <c r="AB78" s="325">
        <f t="shared" ca="1" si="51"/>
        <v>5717.8176981490506</v>
      </c>
      <c r="AC78" s="325">
        <f t="shared" ca="1" si="51"/>
        <v>5324.7872634268824</v>
      </c>
      <c r="AD78" s="325">
        <f t="shared" ca="1" si="51"/>
        <v>4888.6303150834137</v>
      </c>
      <c r="AE78" s="325">
        <f t="shared" ca="1" si="51"/>
        <v>4239.6601132670949</v>
      </c>
      <c r="AF78" s="325">
        <f t="shared" ca="1" si="51"/>
        <v>4719.5195850881773</v>
      </c>
      <c r="AG78" s="325">
        <f t="shared" ca="1" si="51"/>
        <v>3563.558220693958</v>
      </c>
      <c r="AH78" s="325">
        <f t="shared" ca="1" si="51"/>
        <v>3041.5046814469533</v>
      </c>
      <c r="AI78" s="325">
        <f t="shared" ca="1" si="51"/>
        <v>3124.1676236420267</v>
      </c>
      <c r="AJ78" s="325">
        <f t="shared" ca="1" si="51"/>
        <v>0</v>
      </c>
      <c r="AK78" s="325">
        <f t="shared" ca="1" si="51"/>
        <v>0</v>
      </c>
      <c r="AL78" s="325">
        <f t="shared" ca="1" si="51"/>
        <v>0</v>
      </c>
      <c r="AM78" s="325">
        <f t="shared" ca="1" si="51"/>
        <v>0</v>
      </c>
      <c r="AN78" s="325">
        <f t="shared" ca="1" si="51"/>
        <v>0</v>
      </c>
    </row>
    <row r="79" spans="3:40" ht="16.2" outlineLevel="1" thickTop="1">
      <c r="C79" s="266"/>
      <c r="D79" s="266"/>
      <c r="E79" s="266"/>
      <c r="F79" s="266"/>
      <c r="G79" s="266"/>
      <c r="H79" s="266"/>
      <c r="I79" s="266"/>
      <c r="J79" s="266"/>
      <c r="K79" s="266"/>
      <c r="L79" s="266"/>
      <c r="M79" s="266"/>
      <c r="N79" s="266"/>
      <c r="O79" s="266"/>
      <c r="P79" s="266"/>
      <c r="Q79" s="266"/>
      <c r="R79" s="266"/>
      <c r="S79" s="266"/>
      <c r="T79" s="266"/>
      <c r="U79" s="266"/>
      <c r="V79" s="266"/>
      <c r="W79" s="266"/>
      <c r="X79" s="266"/>
      <c r="Y79" s="266"/>
      <c r="Z79" s="266"/>
      <c r="AA79" s="266"/>
      <c r="AB79" s="266"/>
      <c r="AC79" s="266"/>
      <c r="AD79" s="266"/>
      <c r="AE79" s="266"/>
      <c r="AF79" s="266"/>
      <c r="AG79" s="266"/>
      <c r="AH79" s="266"/>
      <c r="AI79" s="266"/>
      <c r="AJ79" s="266"/>
      <c r="AK79" s="266"/>
      <c r="AL79" s="266"/>
      <c r="AM79" s="266"/>
      <c r="AN79" s="266"/>
    </row>
    <row r="80" spans="3:40" outlineLevel="1">
      <c r="C80" t="s">
        <v>575</v>
      </c>
      <c r="D80"/>
      <c r="E80" s="76"/>
      <c r="F80" s="266"/>
      <c r="G80" s="266"/>
      <c r="H80" s="266"/>
      <c r="I80" s="266"/>
      <c r="J80" s="266"/>
      <c r="K80" s="266"/>
      <c r="L80" s="266"/>
      <c r="M80" s="266"/>
      <c r="N80" s="266"/>
      <c r="O80" s="266"/>
      <c r="P80" s="266"/>
      <c r="Q80" s="266"/>
      <c r="R80" s="266"/>
      <c r="S80" s="266"/>
      <c r="T80" s="266"/>
      <c r="U80" s="266"/>
      <c r="V80" s="266"/>
      <c r="W80" s="266"/>
      <c r="X80" s="266"/>
      <c r="Y80" s="266"/>
      <c r="Z80" s="266"/>
      <c r="AA80" s="266"/>
      <c r="AB80" s="266"/>
      <c r="AC80" s="266"/>
      <c r="AD80" s="266"/>
      <c r="AE80" s="266"/>
      <c r="AF80" s="266"/>
      <c r="AG80" s="266"/>
      <c r="AH80" s="266"/>
      <c r="AI80" s="266"/>
      <c r="AJ80" s="266"/>
      <c r="AK80" s="266"/>
      <c r="AL80" s="266"/>
      <c r="AM80" s="266"/>
      <c r="AN80" s="266"/>
    </row>
    <row r="81" spans="3:40" outlineLevel="2">
      <c r="C81" t="s">
        <v>576</v>
      </c>
      <c r="D81" s="35">
        <f>Model_Start</f>
        <v>46388</v>
      </c>
      <c r="E81" s="32" t="s">
        <v>133</v>
      </c>
      <c r="F81" s="266"/>
      <c r="G81" s="266"/>
      <c r="H81" s="266"/>
      <c r="I81" s="266"/>
      <c r="J81" s="266"/>
      <c r="K81" s="266"/>
      <c r="L81" s="266"/>
      <c r="M81" s="266"/>
      <c r="N81" s="266"/>
      <c r="O81" s="266"/>
      <c r="P81" s="266"/>
      <c r="Q81" s="266"/>
      <c r="R81" s="266"/>
      <c r="S81" s="266"/>
      <c r="T81" s="266"/>
      <c r="U81" s="266"/>
      <c r="V81" s="266"/>
      <c r="W81" s="266"/>
      <c r="X81" s="266"/>
      <c r="Y81" s="266"/>
      <c r="Z81" s="266"/>
      <c r="AA81" s="266"/>
      <c r="AB81" s="266"/>
      <c r="AC81" s="266"/>
      <c r="AD81" s="266"/>
      <c r="AE81" s="266"/>
      <c r="AF81" s="266"/>
      <c r="AG81" s="266"/>
      <c r="AH81" s="266"/>
      <c r="AI81" s="266"/>
      <c r="AJ81" s="266"/>
      <c r="AK81" s="266"/>
      <c r="AL81" s="266"/>
      <c r="AM81" s="266"/>
      <c r="AN81" s="266"/>
    </row>
    <row r="82" spans="3:40" outlineLevel="2">
      <c r="C82" t="s">
        <v>577</v>
      </c>
      <c r="D82" s="77">
        <f>Inputs!D295</f>
        <v>2</v>
      </c>
      <c r="E82" s="41" t="s">
        <v>24</v>
      </c>
      <c r="F82" s="266"/>
      <c r="G82" s="266"/>
      <c r="H82" s="266"/>
      <c r="I82" s="266"/>
      <c r="J82" s="266"/>
      <c r="K82" s="266"/>
      <c r="L82" s="266"/>
      <c r="M82" s="266"/>
      <c r="N82" s="266"/>
      <c r="O82" s="266"/>
      <c r="P82" s="266"/>
      <c r="Q82" s="266"/>
      <c r="R82" s="266"/>
      <c r="S82" s="266"/>
      <c r="T82" s="266"/>
      <c r="U82" s="266"/>
      <c r="V82" s="266"/>
      <c r="W82" s="266"/>
      <c r="X82" s="266"/>
      <c r="Y82" s="266"/>
      <c r="Z82" s="266"/>
      <c r="AA82" s="266"/>
      <c r="AB82" s="266"/>
      <c r="AC82" s="266"/>
      <c r="AD82" s="266"/>
      <c r="AE82" s="266"/>
      <c r="AF82" s="266"/>
      <c r="AG82" s="266"/>
      <c r="AH82" s="266"/>
      <c r="AI82" s="266"/>
      <c r="AJ82" s="266"/>
      <c r="AK82" s="266"/>
      <c r="AL82" s="266"/>
      <c r="AM82" s="266"/>
      <c r="AN82" s="266"/>
    </row>
    <row r="83" spans="3:40" outlineLevel="2">
      <c r="C83" t="s">
        <v>134</v>
      </c>
      <c r="D83" s="38">
        <f>Months_yr</f>
        <v>12</v>
      </c>
      <c r="E83" s="32" t="s">
        <v>332</v>
      </c>
      <c r="F83" s="266"/>
      <c r="G83" s="266"/>
      <c r="H83" s="266"/>
      <c r="I83" s="266"/>
      <c r="J83" s="266"/>
      <c r="K83" s="266"/>
      <c r="L83" s="266"/>
      <c r="M83" s="266"/>
      <c r="N83" s="266"/>
      <c r="O83" s="266"/>
      <c r="P83" s="266"/>
      <c r="Q83" s="266"/>
      <c r="R83" s="266"/>
      <c r="S83" s="266"/>
      <c r="T83" s="266"/>
      <c r="U83" s="266"/>
      <c r="V83" s="266"/>
      <c r="W83" s="266"/>
      <c r="X83" s="266"/>
      <c r="Y83" s="266"/>
      <c r="Z83" s="266"/>
      <c r="AA83" s="266"/>
      <c r="AB83" s="266"/>
      <c r="AC83" s="266"/>
      <c r="AD83" s="266"/>
      <c r="AE83" s="266"/>
      <c r="AF83" s="266"/>
      <c r="AG83" s="266"/>
      <c r="AH83" s="266"/>
      <c r="AI83" s="266"/>
      <c r="AJ83" s="266"/>
      <c r="AK83" s="266"/>
      <c r="AL83" s="266"/>
      <c r="AM83" s="266"/>
      <c r="AN83" s="266"/>
    </row>
    <row r="84" spans="3:40" outlineLevel="2">
      <c r="C84" t="s">
        <v>578</v>
      </c>
      <c r="D84" s="35">
        <f>EOMONTH(D81,D82*D83-1)</f>
        <v>47118</v>
      </c>
      <c r="E84" s="32" t="s">
        <v>133</v>
      </c>
      <c r="F84" s="266"/>
      <c r="G84" s="266"/>
      <c r="H84" s="266"/>
      <c r="I84" s="266"/>
      <c r="J84" s="266"/>
      <c r="K84" s="266"/>
      <c r="L84" s="266"/>
      <c r="M84" s="266"/>
      <c r="N84" s="266"/>
      <c r="O84" s="266"/>
      <c r="P84" s="266"/>
      <c r="Q84" s="266"/>
      <c r="R84" s="266"/>
      <c r="S84" s="266"/>
      <c r="T84" s="266"/>
      <c r="U84" s="266"/>
      <c r="V84" s="266"/>
      <c r="W84" s="266"/>
      <c r="X84" s="266"/>
      <c r="Y84" s="266"/>
      <c r="Z84" s="266"/>
      <c r="AA84" s="266"/>
      <c r="AB84" s="266"/>
      <c r="AC84" s="266"/>
      <c r="AD84" s="266"/>
      <c r="AE84" s="266"/>
      <c r="AF84" s="266"/>
      <c r="AG84" s="266"/>
      <c r="AH84" s="266"/>
      <c r="AI84" s="266"/>
      <c r="AJ84" s="266"/>
      <c r="AK84" s="266"/>
      <c r="AL84" s="266"/>
      <c r="AM84" s="266"/>
      <c r="AN84" s="266"/>
    </row>
    <row r="85" spans="3:40" outlineLevel="2">
      <c r="C85" t="s">
        <v>579</v>
      </c>
      <c r="D85" s="35">
        <f>D84+1</f>
        <v>47119</v>
      </c>
      <c r="E85" s="32" t="s">
        <v>133</v>
      </c>
      <c r="F85" s="266"/>
      <c r="G85" s="266"/>
      <c r="H85" s="266"/>
      <c r="I85" s="266"/>
      <c r="J85" s="266"/>
      <c r="K85" s="266"/>
      <c r="L85" s="266"/>
      <c r="M85" s="266"/>
      <c r="N85" s="266"/>
      <c r="O85" s="266"/>
      <c r="P85" s="266"/>
      <c r="Q85" s="266"/>
      <c r="R85" s="266"/>
      <c r="S85" s="266"/>
      <c r="T85" s="266"/>
      <c r="U85" s="266"/>
      <c r="V85" s="266"/>
      <c r="W85" s="266"/>
      <c r="X85" s="266"/>
      <c r="Y85" s="266"/>
      <c r="Z85" s="266"/>
      <c r="AA85" s="266"/>
      <c r="AB85" s="266"/>
      <c r="AC85" s="266"/>
      <c r="AD85" s="266"/>
      <c r="AE85" s="266"/>
      <c r="AF85" s="266"/>
      <c r="AG85" s="266"/>
      <c r="AH85" s="266"/>
      <c r="AI85" s="266"/>
      <c r="AJ85" s="266"/>
      <c r="AK85" s="266"/>
      <c r="AL85" s="266"/>
      <c r="AM85" s="266"/>
      <c r="AN85" s="266"/>
    </row>
    <row r="86" spans="3:40" outlineLevel="2">
      <c r="C86"/>
      <c r="D86"/>
      <c r="F86" s="266"/>
      <c r="G86" s="266"/>
      <c r="H86" s="266"/>
      <c r="I86" s="266"/>
      <c r="J86" s="266"/>
      <c r="K86" s="266"/>
      <c r="L86" s="266"/>
      <c r="M86" s="266"/>
      <c r="N86" s="266"/>
      <c r="O86" s="266"/>
      <c r="P86" s="266"/>
      <c r="Q86" s="266"/>
      <c r="R86" s="266"/>
      <c r="S86" s="266"/>
      <c r="T86" s="266"/>
      <c r="U86" s="266"/>
      <c r="V86" s="266"/>
      <c r="W86" s="266"/>
      <c r="X86" s="266"/>
      <c r="Y86" s="266"/>
      <c r="Z86" s="266"/>
      <c r="AA86" s="266"/>
      <c r="AB86" s="266"/>
      <c r="AC86" s="266"/>
      <c r="AD86" s="266"/>
      <c r="AE86" s="266"/>
      <c r="AF86" s="266"/>
      <c r="AG86" s="266"/>
      <c r="AH86" s="266"/>
      <c r="AI86" s="266"/>
      <c r="AJ86" s="266"/>
      <c r="AK86" s="266"/>
      <c r="AL86" s="266"/>
      <c r="AM86" s="266"/>
      <c r="AN86" s="266"/>
    </row>
    <row r="87" spans="3:40" outlineLevel="2">
      <c r="C87" t="str">
        <f>C85</f>
        <v>Início pagamento dívida longo prazo</v>
      </c>
      <c r="D87" s="35">
        <f>D85</f>
        <v>47119</v>
      </c>
      <c r="E87" s="32" t="s">
        <v>133</v>
      </c>
      <c r="F87" s="266"/>
      <c r="G87" s="266"/>
      <c r="H87" s="266"/>
      <c r="I87" s="266"/>
      <c r="J87" s="266"/>
      <c r="K87" s="266"/>
      <c r="L87" s="266"/>
      <c r="M87" s="266"/>
      <c r="N87" s="266"/>
      <c r="O87" s="266"/>
      <c r="P87" s="266"/>
      <c r="Q87" s="266"/>
      <c r="R87" s="266"/>
      <c r="S87" s="266"/>
      <c r="T87" s="266"/>
      <c r="U87" s="266"/>
      <c r="V87" s="266"/>
      <c r="W87" s="266"/>
      <c r="X87" s="266"/>
      <c r="Y87" s="266"/>
      <c r="Z87" s="266"/>
      <c r="AA87" s="266"/>
      <c r="AB87" s="266"/>
      <c r="AC87" s="266"/>
      <c r="AD87" s="266"/>
      <c r="AE87" s="266"/>
      <c r="AF87" s="266"/>
      <c r="AG87" s="266"/>
      <c r="AH87" s="266"/>
      <c r="AI87" s="266"/>
      <c r="AJ87" s="266"/>
      <c r="AK87" s="266"/>
      <c r="AL87" s="266"/>
      <c r="AM87" s="266"/>
      <c r="AN87" s="266"/>
    </row>
    <row r="88" spans="3:40" outlineLevel="2">
      <c r="C88" t="s">
        <v>580</v>
      </c>
      <c r="D88" s="35">
        <f>EOMONTH(D87,(Inputs!D294+Inputs!D295)*Months_yr)</f>
        <v>52262</v>
      </c>
      <c r="E88" s="32" t="s">
        <v>133</v>
      </c>
      <c r="F88" s="266"/>
      <c r="G88" s="266"/>
      <c r="H88" s="266"/>
      <c r="I88" s="266"/>
      <c r="J88" s="266"/>
      <c r="K88" s="266"/>
      <c r="L88" s="266"/>
      <c r="M88" s="266"/>
      <c r="N88" s="266"/>
      <c r="O88" s="266"/>
      <c r="P88" s="266"/>
      <c r="Q88" s="266"/>
      <c r="R88" s="266"/>
      <c r="S88" s="266"/>
      <c r="T88" s="266"/>
      <c r="U88" s="266"/>
      <c r="V88" s="266"/>
      <c r="W88" s="266"/>
      <c r="X88" s="266"/>
      <c r="Y88" s="266"/>
      <c r="Z88" s="266"/>
      <c r="AA88" s="266"/>
      <c r="AB88" s="266"/>
      <c r="AC88" s="266"/>
      <c r="AD88" s="266"/>
      <c r="AE88" s="266"/>
      <c r="AF88" s="266"/>
      <c r="AG88" s="266"/>
      <c r="AH88" s="266"/>
      <c r="AI88" s="266"/>
      <c r="AJ88" s="266"/>
      <c r="AK88" s="266"/>
      <c r="AL88" s="266"/>
      <c r="AM88" s="266"/>
      <c r="AN88" s="266"/>
    </row>
    <row r="89" spans="3:40" outlineLevel="2">
      <c r="C89" s="301"/>
      <c r="E89" s="32" t="s">
        <v>133</v>
      </c>
      <c r="F89" s="23">
        <f>SUM(G90:AN90)</f>
        <v>14</v>
      </c>
      <c r="G89" s="281">
        <f>Flags!G$49</f>
        <v>46752</v>
      </c>
      <c r="H89" s="281">
        <f>Flags!H$49</f>
        <v>47118</v>
      </c>
      <c r="I89" s="281">
        <f>Flags!I$49</f>
        <v>47483</v>
      </c>
      <c r="J89" s="281">
        <f>Flags!J$49</f>
        <v>47848</v>
      </c>
      <c r="K89" s="281">
        <f>Flags!K$49</f>
        <v>48213</v>
      </c>
      <c r="L89" s="281">
        <f>Flags!L$49</f>
        <v>48579</v>
      </c>
      <c r="M89" s="281">
        <f>Flags!M$49</f>
        <v>48944</v>
      </c>
      <c r="N89" s="281">
        <f>Flags!N$49</f>
        <v>49309</v>
      </c>
      <c r="O89" s="281">
        <f>Flags!O$49</f>
        <v>49674</v>
      </c>
      <c r="P89" s="281">
        <f>Flags!P$49</f>
        <v>50040</v>
      </c>
      <c r="Q89" s="281">
        <f>Flags!Q$49</f>
        <v>50405</v>
      </c>
      <c r="R89" s="281">
        <f>Flags!R$49</f>
        <v>50770</v>
      </c>
      <c r="S89" s="281">
        <f>Flags!S$49</f>
        <v>51135</v>
      </c>
      <c r="T89" s="281">
        <f>Flags!T$49</f>
        <v>51501</v>
      </c>
      <c r="U89" s="281">
        <f>Flags!U$49</f>
        <v>51866</v>
      </c>
      <c r="V89" s="281">
        <f>Flags!V$49</f>
        <v>52231</v>
      </c>
      <c r="W89" s="281">
        <f>Flags!W$49</f>
        <v>52596</v>
      </c>
      <c r="X89" s="281">
        <f>Flags!X$49</f>
        <v>52962</v>
      </c>
      <c r="Y89" s="281">
        <f>Flags!Y$49</f>
        <v>53327</v>
      </c>
      <c r="Z89" s="281">
        <f>Flags!Z$49</f>
        <v>53692</v>
      </c>
      <c r="AA89" s="281">
        <f>Flags!AA$49</f>
        <v>54057</v>
      </c>
      <c r="AB89" s="281">
        <f>Flags!AB$49</f>
        <v>54423</v>
      </c>
      <c r="AC89" s="281">
        <f>Flags!AC$49</f>
        <v>54788</v>
      </c>
      <c r="AD89" s="281">
        <f>Flags!AD$49</f>
        <v>55153</v>
      </c>
      <c r="AE89" s="281">
        <f>Flags!AE$49</f>
        <v>55518</v>
      </c>
      <c r="AF89" s="281">
        <f>Flags!AF$49</f>
        <v>55884</v>
      </c>
      <c r="AG89" s="281">
        <f>Flags!AG$49</f>
        <v>56249</v>
      </c>
      <c r="AH89" s="281">
        <f>Flags!AH$49</f>
        <v>56614</v>
      </c>
      <c r="AI89" s="281">
        <f>Flags!AI$49</f>
        <v>56979</v>
      </c>
      <c r="AJ89" s="281">
        <f>Flags!AJ$49</f>
        <v>57345</v>
      </c>
      <c r="AK89" s="281">
        <f>Flags!AK$49</f>
        <v>57710</v>
      </c>
      <c r="AL89" s="281">
        <f>Flags!AL$49</f>
        <v>58075</v>
      </c>
      <c r="AM89" s="281">
        <f>Flags!AM$49</f>
        <v>58440</v>
      </c>
      <c r="AN89" s="281">
        <f>Flags!AN$49</f>
        <v>58806</v>
      </c>
    </row>
    <row r="90" spans="3:40" outlineLevel="2">
      <c r="C90" t="s">
        <v>581</v>
      </c>
      <c r="D90"/>
      <c r="E90" s="32" t="s">
        <v>399</v>
      </c>
      <c r="F90" s="266"/>
      <c r="G90" s="25">
        <f t="shared" ref="G90" si="52">IF(AND(G89&gt;=$D87,G89&lt;=$D88),1,0)</f>
        <v>0</v>
      </c>
      <c r="H90" s="25">
        <f t="shared" ref="H90" si="53">IF(AND(H89&gt;=$D87,H89&lt;=$D88),1,0)</f>
        <v>0</v>
      </c>
      <c r="I90" s="25">
        <f t="shared" ref="I90" si="54">IF(AND(I89&gt;=$D87,I89&lt;=$D88),1,0)</f>
        <v>1</v>
      </c>
      <c r="J90" s="25">
        <f t="shared" ref="J90" si="55">IF(AND(J89&gt;=$D87,J89&lt;=$D88),1,0)</f>
        <v>1</v>
      </c>
      <c r="K90" s="25">
        <f t="shared" ref="K90" si="56">IF(AND(K89&gt;=$D87,K89&lt;=$D88),1,0)</f>
        <v>1</v>
      </c>
      <c r="L90" s="25">
        <f t="shared" ref="L90" si="57">IF(AND(L89&gt;=$D87,L89&lt;=$D88),1,0)</f>
        <v>1</v>
      </c>
      <c r="M90" s="25">
        <f t="shared" ref="M90" si="58">IF(AND(M89&gt;=$D87,M89&lt;=$D88),1,0)</f>
        <v>1</v>
      </c>
      <c r="N90" s="25">
        <f t="shared" ref="N90" si="59">IF(AND(N89&gt;=$D87,N89&lt;=$D88),1,0)</f>
        <v>1</v>
      </c>
      <c r="O90" s="25">
        <f t="shared" ref="O90" si="60">IF(AND(O89&gt;=$D87,O89&lt;=$D88),1,0)</f>
        <v>1</v>
      </c>
      <c r="P90" s="25">
        <f t="shared" ref="P90" si="61">IF(AND(P89&gt;=$D87,P89&lt;=$D88),1,0)</f>
        <v>1</v>
      </c>
      <c r="Q90" s="25">
        <f t="shared" ref="Q90" si="62">IF(AND(Q89&gt;=$D87,Q89&lt;=$D88),1,0)</f>
        <v>1</v>
      </c>
      <c r="R90" s="25">
        <f t="shared" ref="R90" si="63">IF(AND(R89&gt;=$D87,R89&lt;=$D88),1,0)</f>
        <v>1</v>
      </c>
      <c r="S90" s="25">
        <f t="shared" ref="S90" si="64">IF(AND(S89&gt;=$D87,S89&lt;=$D88),1,0)</f>
        <v>1</v>
      </c>
      <c r="T90" s="25">
        <f t="shared" ref="T90" si="65">IF(AND(T89&gt;=$D87,T89&lt;=$D88),1,0)</f>
        <v>1</v>
      </c>
      <c r="U90" s="25">
        <f t="shared" ref="U90" si="66">IF(AND(U89&gt;=$D87,U89&lt;=$D88),1,0)</f>
        <v>1</v>
      </c>
      <c r="V90" s="25">
        <f t="shared" ref="V90" si="67">IF(AND(V89&gt;=$D87,V89&lt;=$D88),1,0)</f>
        <v>1</v>
      </c>
      <c r="W90" s="25">
        <f t="shared" ref="W90" si="68">IF(AND(W89&gt;=$D87,W89&lt;=$D88),1,0)</f>
        <v>0</v>
      </c>
      <c r="X90" s="25">
        <f t="shared" ref="X90" si="69">IF(AND(X89&gt;=$D87,X89&lt;=$D88),1,0)</f>
        <v>0</v>
      </c>
      <c r="Y90" s="25">
        <f t="shared" ref="Y90" si="70">IF(AND(Y89&gt;=$D87,Y89&lt;=$D88),1,0)</f>
        <v>0</v>
      </c>
      <c r="Z90" s="25">
        <f t="shared" ref="Z90" si="71">IF(AND(Z89&gt;=$D87,Z89&lt;=$D88),1,0)</f>
        <v>0</v>
      </c>
      <c r="AA90" s="25">
        <f t="shared" ref="AA90" si="72">IF(AND(AA89&gt;=$D87,AA89&lt;=$D88),1,0)</f>
        <v>0</v>
      </c>
      <c r="AB90" s="25">
        <f t="shared" ref="AB90" si="73">IF(AND(AB89&gt;=$D87,AB89&lt;=$D88),1,0)</f>
        <v>0</v>
      </c>
      <c r="AC90" s="25">
        <f t="shared" ref="AC90" si="74">IF(AND(AC89&gt;=$D87,AC89&lt;=$D88),1,0)</f>
        <v>0</v>
      </c>
      <c r="AD90" s="25">
        <f t="shared" ref="AD90" si="75">IF(AND(AD89&gt;=$D87,AD89&lt;=$D88),1,0)</f>
        <v>0</v>
      </c>
      <c r="AE90" s="25">
        <f t="shared" ref="AE90" si="76">IF(AND(AE89&gt;=$D87,AE89&lt;=$D88),1,0)</f>
        <v>0</v>
      </c>
      <c r="AF90" s="25">
        <f t="shared" ref="AF90" si="77">IF(AND(AF89&gt;=$D87,AF89&lt;=$D88),1,0)</f>
        <v>0</v>
      </c>
      <c r="AG90" s="25">
        <f t="shared" ref="AG90" si="78">IF(AND(AG89&gt;=$D87,AG89&lt;=$D88),1,0)</f>
        <v>0</v>
      </c>
      <c r="AH90" s="25">
        <f t="shared" ref="AH90" si="79">IF(AND(AH89&gt;=$D87,AH89&lt;=$D88),1,0)</f>
        <v>0</v>
      </c>
      <c r="AI90" s="25">
        <f t="shared" ref="AI90" si="80">IF(AND(AI89&gt;=$D87,AI89&lt;=$D88),1,0)</f>
        <v>0</v>
      </c>
      <c r="AJ90" s="25">
        <f t="shared" ref="AJ90" si="81">IF(AND(AJ89&gt;=$D87,AJ89&lt;=$D88),1,0)</f>
        <v>0</v>
      </c>
      <c r="AK90" s="25">
        <f t="shared" ref="AK90" si="82">IF(AND(AK89&gt;=$D87,AK89&lt;=$D88),1,0)</f>
        <v>0</v>
      </c>
      <c r="AL90" s="25">
        <f t="shared" ref="AL90" si="83">IF(AND(AL89&gt;=$D87,AL89&lt;=$D88),1,0)</f>
        <v>0</v>
      </c>
      <c r="AM90" s="25">
        <f t="shared" ref="AM90" si="84">IF(AND(AM89&gt;=$D87,AM89&lt;=$D88),1,0)</f>
        <v>0</v>
      </c>
      <c r="AN90" s="25">
        <f t="shared" ref="AN90" si="85">IF(AND(AN89&gt;=$D87,AN89&lt;=$D88),1,0)</f>
        <v>0</v>
      </c>
    </row>
    <row r="91" spans="3:40" outlineLevel="2">
      <c r="C91" t="s">
        <v>582</v>
      </c>
      <c r="D91"/>
      <c r="E91" s="32" t="s">
        <v>564</v>
      </c>
      <c r="F91" s="23"/>
      <c r="G91" s="78">
        <f>$F89-SUM($F90:F90)</f>
        <v>14</v>
      </c>
      <c r="H91" s="78">
        <f>$F89-SUM($F90:G90)</f>
        <v>14</v>
      </c>
      <c r="I91" s="78">
        <f>$F89-SUM($F90:H90)</f>
        <v>14</v>
      </c>
      <c r="J91" s="78">
        <f>$F89-SUM($F90:I90)</f>
        <v>13</v>
      </c>
      <c r="K91" s="78">
        <f>$F89-SUM($F90:J90)</f>
        <v>12</v>
      </c>
      <c r="L91" s="78">
        <f>$F89-SUM($F90:K90)</f>
        <v>11</v>
      </c>
      <c r="M91" s="78">
        <f>$F89-SUM($F90:L90)</f>
        <v>10</v>
      </c>
      <c r="N91" s="78">
        <f>$F89-SUM($F90:M90)</f>
        <v>9</v>
      </c>
      <c r="O91" s="78">
        <f>$F89-SUM($F90:N90)</f>
        <v>8</v>
      </c>
      <c r="P91" s="78">
        <f>$F89-SUM($F90:O90)</f>
        <v>7</v>
      </c>
      <c r="Q91" s="78">
        <f>$F89-SUM($F90:P90)</f>
        <v>6</v>
      </c>
      <c r="R91" s="78">
        <f>$F89-SUM($F90:Q90)</f>
        <v>5</v>
      </c>
      <c r="S91" s="78">
        <f>$F89-SUM($F90:R90)</f>
        <v>4</v>
      </c>
      <c r="T91" s="78">
        <f>$F89-SUM($F90:S90)</f>
        <v>3</v>
      </c>
      <c r="U91" s="78">
        <f>$F89-SUM($F90:T90)</f>
        <v>2</v>
      </c>
      <c r="V91" s="78">
        <f>$F89-SUM($F90:U90)</f>
        <v>1</v>
      </c>
      <c r="W91" s="78">
        <f>$F89-SUM($F90:V90)</f>
        <v>0</v>
      </c>
      <c r="X91" s="78">
        <f>$F89-SUM($F90:W90)</f>
        <v>0</v>
      </c>
      <c r="Y91" s="78">
        <f>$F89-SUM($F90:X90)</f>
        <v>0</v>
      </c>
      <c r="Z91" s="78">
        <f>$F89-SUM($F90:Y90)</f>
        <v>0</v>
      </c>
      <c r="AA91" s="78">
        <f>$F89-SUM($F90:Z90)</f>
        <v>0</v>
      </c>
      <c r="AB91" s="78">
        <f>$F89-SUM($F90:AA90)</f>
        <v>0</v>
      </c>
      <c r="AC91" s="78">
        <f>$F89-SUM($F90:AB90)</f>
        <v>0</v>
      </c>
      <c r="AD91" s="78">
        <f>$F89-SUM($F90:AC90)</f>
        <v>0</v>
      </c>
      <c r="AE91" s="78">
        <f>$F89-SUM($F90:AD90)</f>
        <v>0</v>
      </c>
      <c r="AF91" s="78">
        <f>$F89-SUM($F90:AE90)</f>
        <v>0</v>
      </c>
      <c r="AG91" s="78">
        <f>$F89-SUM($F90:AF90)</f>
        <v>0</v>
      </c>
      <c r="AH91" s="78">
        <f>$F89-SUM($F90:AG90)</f>
        <v>0</v>
      </c>
      <c r="AI91" s="78">
        <f>$F89-SUM($F90:AH90)</f>
        <v>0</v>
      </c>
      <c r="AJ91" s="78">
        <f>$F89-SUM($F90:AI90)</f>
        <v>0</v>
      </c>
      <c r="AK91" s="78">
        <f>$F89-SUM($F90:AJ90)</f>
        <v>0</v>
      </c>
      <c r="AL91" s="78">
        <f>$F89-SUM($F90:AK90)</f>
        <v>0</v>
      </c>
      <c r="AM91" s="78">
        <f>$F89-SUM($F90:AL90)</f>
        <v>0</v>
      </c>
      <c r="AN91" s="78">
        <f>$F89-SUM($F90:AM90)</f>
        <v>0</v>
      </c>
    </row>
    <row r="92" spans="3:40" outlineLevel="1">
      <c r="C92" s="266"/>
      <c r="D92" s="266"/>
      <c r="E92" s="266"/>
      <c r="F92" s="266"/>
      <c r="G92" s="266"/>
      <c r="H92" s="266"/>
      <c r="I92" s="266"/>
      <c r="J92" s="266"/>
      <c r="K92" s="266"/>
      <c r="L92" s="266"/>
      <c r="M92" s="266"/>
      <c r="N92" s="266"/>
      <c r="O92" s="266"/>
      <c r="P92" s="266"/>
      <c r="Q92" s="266"/>
      <c r="R92" s="266"/>
      <c r="S92" s="266"/>
      <c r="T92" s="266"/>
      <c r="U92" s="266"/>
      <c r="V92" s="266"/>
      <c r="W92" s="266"/>
      <c r="X92" s="266"/>
      <c r="Y92" s="266"/>
      <c r="Z92" s="266"/>
      <c r="AA92" s="266"/>
      <c r="AB92" s="266"/>
      <c r="AC92" s="266"/>
      <c r="AD92" s="266"/>
      <c r="AE92" s="266"/>
      <c r="AF92" s="266"/>
      <c r="AG92" s="266"/>
      <c r="AH92" s="266"/>
      <c r="AI92" s="266"/>
      <c r="AJ92" s="266"/>
      <c r="AK92" s="266"/>
      <c r="AL92" s="266"/>
      <c r="AM92" s="266"/>
      <c r="AN92" s="266"/>
    </row>
    <row r="93" spans="3:40" outlineLevel="1">
      <c r="C93" t="s">
        <v>583</v>
      </c>
      <c r="D93"/>
      <c r="E93" s="76"/>
      <c r="F93" s="266"/>
      <c r="G93" s="266"/>
      <c r="H93" s="266"/>
      <c r="I93" s="266"/>
      <c r="J93" s="266"/>
      <c r="K93" s="266"/>
      <c r="L93" s="266"/>
      <c r="M93" s="266"/>
      <c r="N93" s="266"/>
      <c r="O93" s="266"/>
      <c r="P93" s="266"/>
      <c r="Q93" s="266"/>
      <c r="R93" s="266"/>
      <c r="S93" s="266"/>
      <c r="T93" s="266"/>
      <c r="U93" s="266"/>
      <c r="V93" s="266"/>
      <c r="W93" s="266"/>
      <c r="X93" s="266"/>
      <c r="Y93" s="266"/>
      <c r="Z93" s="266"/>
      <c r="AA93" s="266"/>
      <c r="AB93" s="266"/>
      <c r="AC93" s="266"/>
      <c r="AD93" s="266"/>
      <c r="AE93" s="266"/>
      <c r="AF93" s="266"/>
      <c r="AG93" s="266"/>
      <c r="AH93" s="266"/>
      <c r="AI93" s="266"/>
      <c r="AJ93" s="266"/>
      <c r="AK93" s="266"/>
      <c r="AL93" s="266"/>
      <c r="AM93" s="266"/>
      <c r="AN93" s="266"/>
    </row>
    <row r="94" spans="3:40" outlineLevel="2">
      <c r="C94" t="s">
        <v>576</v>
      </c>
      <c r="D94" s="35">
        <f>D88</f>
        <v>52262</v>
      </c>
      <c r="E94" s="32" t="s">
        <v>133</v>
      </c>
      <c r="F94" s="266"/>
      <c r="G94" s="266"/>
      <c r="H94" s="266"/>
      <c r="I94" s="266"/>
      <c r="J94" s="266"/>
      <c r="K94" s="266"/>
      <c r="L94" s="266"/>
      <c r="M94" s="266"/>
      <c r="N94" s="266"/>
      <c r="O94" s="266"/>
      <c r="P94" s="266"/>
      <c r="Q94" s="266"/>
      <c r="R94" s="266"/>
      <c r="S94" s="266"/>
      <c r="T94" s="266"/>
      <c r="U94" s="266"/>
      <c r="V94" s="266"/>
      <c r="W94" s="266"/>
      <c r="X94" s="266"/>
      <c r="Y94" s="266"/>
      <c r="Z94" s="266"/>
      <c r="AA94" s="266"/>
      <c r="AB94" s="266"/>
      <c r="AC94" s="266"/>
      <c r="AD94" s="266"/>
      <c r="AE94" s="266"/>
      <c r="AF94" s="266"/>
      <c r="AG94" s="266"/>
      <c r="AH94" s="266"/>
      <c r="AI94" s="266"/>
      <c r="AJ94" s="266"/>
      <c r="AK94" s="266"/>
      <c r="AL94" s="266"/>
      <c r="AM94" s="266"/>
      <c r="AN94" s="266"/>
    </row>
    <row r="95" spans="3:40" outlineLevel="2">
      <c r="C95" t="str">
        <f t="shared" ref="C95:C101" si="86">C82</f>
        <v>Carencia</v>
      </c>
      <c r="D95">
        <f>Inputs!D308</f>
        <v>0</v>
      </c>
      <c r="E95" s="41" t="s">
        <v>24</v>
      </c>
      <c r="F95" s="266"/>
      <c r="G95" s="266"/>
      <c r="H95" s="266"/>
      <c r="I95" s="266"/>
      <c r="J95" s="266"/>
      <c r="K95" s="266"/>
      <c r="L95" s="266"/>
      <c r="M95" s="266"/>
      <c r="N95" s="266"/>
      <c r="O95" s="266"/>
      <c r="P95" s="266"/>
      <c r="Q95" s="266"/>
      <c r="R95" s="266"/>
      <c r="S95" s="266"/>
      <c r="T95" s="266"/>
      <c r="U95" s="266"/>
      <c r="V95" s="266"/>
      <c r="W95" s="266"/>
      <c r="X95" s="266"/>
      <c r="Y95" s="266"/>
      <c r="Z95" s="266"/>
      <c r="AA95" s="266"/>
      <c r="AB95" s="266"/>
      <c r="AC95" s="266"/>
      <c r="AD95" s="266"/>
      <c r="AE95" s="266"/>
      <c r="AF95" s="266"/>
      <c r="AG95" s="266"/>
      <c r="AH95" s="266"/>
      <c r="AI95" s="266"/>
      <c r="AJ95" s="266"/>
      <c r="AK95" s="266"/>
      <c r="AL95" s="266"/>
      <c r="AM95" s="266"/>
      <c r="AN95" s="266"/>
    </row>
    <row r="96" spans="3:40" outlineLevel="2">
      <c r="C96" t="str">
        <f t="shared" si="86"/>
        <v>Meses no ano</v>
      </c>
      <c r="D96" s="38">
        <f>Months_yr</f>
        <v>12</v>
      </c>
      <c r="E96" s="32" t="s">
        <v>332</v>
      </c>
      <c r="F96" s="266"/>
      <c r="G96" s="266"/>
      <c r="H96" s="266"/>
      <c r="I96" s="266"/>
      <c r="J96" s="266"/>
      <c r="K96" s="266"/>
      <c r="L96" s="266"/>
      <c r="M96" s="266"/>
      <c r="N96" s="266"/>
      <c r="O96" s="266"/>
      <c r="P96" s="266"/>
      <c r="Q96" s="266"/>
      <c r="R96" s="266"/>
      <c r="S96" s="266"/>
      <c r="T96" s="266"/>
      <c r="U96" s="266"/>
      <c r="V96" s="266"/>
      <c r="W96" s="266"/>
      <c r="X96" s="266"/>
      <c r="Y96" s="266"/>
      <c r="Z96" s="266"/>
      <c r="AA96" s="266"/>
      <c r="AB96" s="266"/>
      <c r="AC96" s="266"/>
      <c r="AD96" s="266"/>
      <c r="AE96" s="266"/>
      <c r="AF96" s="266"/>
      <c r="AG96" s="266"/>
      <c r="AH96" s="266"/>
      <c r="AI96" s="266"/>
      <c r="AJ96" s="266"/>
      <c r="AK96" s="266"/>
      <c r="AL96" s="266"/>
      <c r="AM96" s="266"/>
      <c r="AN96" s="266"/>
    </row>
    <row r="97" spans="3:40" outlineLevel="2">
      <c r="C97" t="str">
        <f t="shared" si="86"/>
        <v>Fim da carência</v>
      </c>
      <c r="D97" s="35">
        <f>EOMONTH(D94,D95*D96-1)</f>
        <v>52231</v>
      </c>
      <c r="E97" s="32" t="s">
        <v>133</v>
      </c>
      <c r="F97" s="266"/>
      <c r="G97" s="266"/>
      <c r="H97" s="266"/>
      <c r="I97" s="266"/>
      <c r="J97" s="266"/>
      <c r="K97" s="266"/>
      <c r="L97" s="266"/>
      <c r="M97" s="266"/>
      <c r="N97" s="266"/>
      <c r="O97" s="266"/>
      <c r="P97" s="266"/>
      <c r="Q97" s="266"/>
      <c r="R97" s="266"/>
      <c r="S97" s="266"/>
      <c r="T97" s="266"/>
      <c r="U97" s="266"/>
      <c r="V97" s="266"/>
      <c r="W97" s="266"/>
      <c r="X97" s="266"/>
      <c r="Y97" s="266"/>
      <c r="Z97" s="266"/>
      <c r="AA97" s="266"/>
      <c r="AB97" s="266"/>
      <c r="AC97" s="266"/>
      <c r="AD97" s="266"/>
      <c r="AE97" s="266"/>
      <c r="AF97" s="266"/>
      <c r="AG97" s="266"/>
      <c r="AH97" s="266"/>
      <c r="AI97" s="266"/>
      <c r="AJ97" s="266"/>
      <c r="AK97" s="266"/>
      <c r="AL97" s="266"/>
      <c r="AM97" s="266"/>
      <c r="AN97" s="266"/>
    </row>
    <row r="98" spans="3:40" outlineLevel="2">
      <c r="C98" t="str">
        <f t="shared" si="86"/>
        <v>Início pagamento dívida longo prazo</v>
      </c>
      <c r="D98" s="35">
        <f>D97+1</f>
        <v>52232</v>
      </c>
      <c r="E98" s="32" t="s">
        <v>133</v>
      </c>
      <c r="F98" s="266"/>
      <c r="G98" s="266"/>
      <c r="H98" s="266"/>
      <c r="I98" s="266"/>
      <c r="J98" s="266"/>
      <c r="K98" s="266"/>
      <c r="L98" s="266"/>
      <c r="M98" s="266"/>
      <c r="N98" s="266"/>
      <c r="O98" s="266"/>
      <c r="P98" s="266"/>
      <c r="Q98" s="266"/>
      <c r="R98" s="266"/>
      <c r="S98" s="266"/>
      <c r="T98" s="266"/>
      <c r="U98" s="266"/>
      <c r="V98" s="266"/>
      <c r="W98" s="266"/>
      <c r="X98" s="266"/>
      <c r="Y98" s="266"/>
      <c r="Z98" s="266"/>
      <c r="AA98" s="266"/>
      <c r="AB98" s="266"/>
      <c r="AC98" s="266"/>
      <c r="AD98" s="266"/>
      <c r="AE98" s="266"/>
      <c r="AF98" s="266"/>
      <c r="AG98" s="266"/>
      <c r="AH98" s="266"/>
      <c r="AI98" s="266"/>
      <c r="AJ98" s="266"/>
      <c r="AK98" s="266"/>
      <c r="AL98" s="266"/>
      <c r="AM98" s="266"/>
      <c r="AN98" s="266"/>
    </row>
    <row r="99" spans="3:40" outlineLevel="2">
      <c r="C99"/>
      <c r="D99"/>
      <c r="F99" s="266"/>
      <c r="G99" s="266"/>
      <c r="H99" s="266"/>
      <c r="I99" s="266"/>
      <c r="J99" s="266"/>
      <c r="K99" s="266"/>
      <c r="L99" s="266"/>
      <c r="M99" s="266"/>
      <c r="N99" s="266"/>
      <c r="O99" s="266"/>
      <c r="P99" s="266"/>
      <c r="Q99" s="266"/>
      <c r="R99" s="266"/>
      <c r="S99" s="266"/>
      <c r="T99" s="266"/>
      <c r="U99" s="266"/>
      <c r="V99" s="266"/>
      <c r="W99" s="266"/>
      <c r="X99" s="266"/>
      <c r="Y99" s="266"/>
      <c r="Z99" s="266"/>
      <c r="AA99" s="266"/>
      <c r="AB99" s="266"/>
      <c r="AC99" s="266"/>
      <c r="AD99" s="266"/>
      <c r="AE99" s="266"/>
      <c r="AF99" s="266"/>
      <c r="AG99" s="266"/>
      <c r="AH99" s="266"/>
      <c r="AI99" s="266"/>
      <c r="AJ99" s="266"/>
      <c r="AK99" s="266"/>
      <c r="AL99" s="266"/>
      <c r="AM99" s="266"/>
      <c r="AN99" s="266"/>
    </row>
    <row r="100" spans="3:40" outlineLevel="2">
      <c r="C100" t="str">
        <f t="shared" si="86"/>
        <v>Início pagamento dívida longo prazo</v>
      </c>
      <c r="D100" s="35">
        <f>D98</f>
        <v>52232</v>
      </c>
      <c r="E100" s="32" t="s">
        <v>133</v>
      </c>
      <c r="F100" s="266"/>
      <c r="G100" s="266"/>
      <c r="H100" s="266"/>
      <c r="I100" s="266"/>
      <c r="J100" s="266"/>
      <c r="K100" s="266"/>
      <c r="L100" s="266"/>
      <c r="M100" s="266"/>
      <c r="N100" s="266"/>
      <c r="O100" s="266"/>
      <c r="P100" s="266"/>
      <c r="Q100" s="266"/>
      <c r="R100" s="266"/>
      <c r="S100" s="266"/>
      <c r="T100" s="266"/>
      <c r="U100" s="266"/>
      <c r="V100" s="266"/>
      <c r="W100" s="266"/>
      <c r="X100" s="266"/>
      <c r="Y100" s="266"/>
      <c r="Z100" s="266"/>
      <c r="AA100" s="266"/>
      <c r="AB100" s="266"/>
      <c r="AC100" s="266"/>
      <c r="AD100" s="266"/>
      <c r="AE100" s="266"/>
      <c r="AF100" s="266"/>
      <c r="AG100" s="266"/>
      <c r="AH100" s="266"/>
      <c r="AI100" s="266"/>
      <c r="AJ100" s="266"/>
      <c r="AK100" s="266"/>
      <c r="AL100" s="266"/>
      <c r="AM100" s="266"/>
      <c r="AN100" s="266"/>
    </row>
    <row r="101" spans="3:40" outlineLevel="2">
      <c r="C101" t="str">
        <f t="shared" si="86"/>
        <v>Term loan repayment period end</v>
      </c>
      <c r="D101" s="35">
        <f>EOMONTH(D100,(Inputs!D294+Inputs!D295)*Months_yr)</f>
        <v>57376</v>
      </c>
      <c r="E101" s="32" t="s">
        <v>133</v>
      </c>
      <c r="F101" s="266"/>
      <c r="G101" s="266"/>
      <c r="H101" s="266"/>
      <c r="I101" s="266"/>
      <c r="J101" s="266"/>
      <c r="K101" s="266"/>
      <c r="L101" s="266"/>
      <c r="M101" s="266"/>
      <c r="N101" s="266"/>
      <c r="O101" s="266"/>
      <c r="P101" s="266"/>
      <c r="Q101" s="266"/>
      <c r="R101" s="266"/>
      <c r="S101" s="266"/>
      <c r="T101" s="266"/>
      <c r="U101" s="266"/>
      <c r="V101" s="266"/>
      <c r="W101" s="266"/>
      <c r="X101" s="266"/>
      <c r="Y101" s="266"/>
      <c r="Z101" s="266"/>
      <c r="AA101" s="266"/>
      <c r="AB101" s="266"/>
      <c r="AC101" s="266"/>
      <c r="AD101" s="266"/>
      <c r="AE101" s="266"/>
      <c r="AF101" s="266"/>
      <c r="AG101" s="266"/>
      <c r="AH101" s="266"/>
      <c r="AI101" s="266"/>
      <c r="AJ101" s="266"/>
      <c r="AK101" s="266"/>
      <c r="AL101" s="266"/>
      <c r="AM101" s="266"/>
      <c r="AN101" s="266"/>
    </row>
    <row r="102" spans="3:40" outlineLevel="2">
      <c r="C102" s="301"/>
      <c r="E102" s="32" t="s">
        <v>133</v>
      </c>
      <c r="F102" s="23">
        <f>SUM(G103:AN103)</f>
        <v>14</v>
      </c>
      <c r="G102" s="281">
        <f>Flags!G$49</f>
        <v>46752</v>
      </c>
      <c r="H102" s="281">
        <f>Flags!H$49</f>
        <v>47118</v>
      </c>
      <c r="I102" s="281">
        <f>Flags!I$49</f>
        <v>47483</v>
      </c>
      <c r="J102" s="281">
        <f>Flags!J$49</f>
        <v>47848</v>
      </c>
      <c r="K102" s="281">
        <f>Flags!K$49</f>
        <v>48213</v>
      </c>
      <c r="L102" s="281">
        <f>Flags!L$49</f>
        <v>48579</v>
      </c>
      <c r="M102" s="281">
        <f>Flags!M$49</f>
        <v>48944</v>
      </c>
      <c r="N102" s="281">
        <f>Flags!N$49</f>
        <v>49309</v>
      </c>
      <c r="O102" s="281">
        <f>Flags!O$49</f>
        <v>49674</v>
      </c>
      <c r="P102" s="281">
        <f>Flags!P$49</f>
        <v>50040</v>
      </c>
      <c r="Q102" s="281">
        <f>Flags!Q$49</f>
        <v>50405</v>
      </c>
      <c r="R102" s="281">
        <f>Flags!R$49</f>
        <v>50770</v>
      </c>
      <c r="S102" s="281">
        <f>Flags!S$49</f>
        <v>51135</v>
      </c>
      <c r="T102" s="281">
        <f>Flags!T$49</f>
        <v>51501</v>
      </c>
      <c r="U102" s="281">
        <f>Flags!U$49</f>
        <v>51866</v>
      </c>
      <c r="V102" s="281">
        <f>Flags!V$49</f>
        <v>52231</v>
      </c>
      <c r="W102" s="281">
        <f>Flags!W$49</f>
        <v>52596</v>
      </c>
      <c r="X102" s="281">
        <f>Flags!X$49</f>
        <v>52962</v>
      </c>
      <c r="Y102" s="281">
        <f>Flags!Y$49</f>
        <v>53327</v>
      </c>
      <c r="Z102" s="281">
        <f>Flags!Z$49</f>
        <v>53692</v>
      </c>
      <c r="AA102" s="281">
        <f>Flags!AA$49</f>
        <v>54057</v>
      </c>
      <c r="AB102" s="281">
        <f>Flags!AB$49</f>
        <v>54423</v>
      </c>
      <c r="AC102" s="281">
        <f>Flags!AC$49</f>
        <v>54788</v>
      </c>
      <c r="AD102" s="281">
        <f>Flags!AD$49</f>
        <v>55153</v>
      </c>
      <c r="AE102" s="281">
        <f>Flags!AE$49</f>
        <v>55518</v>
      </c>
      <c r="AF102" s="281">
        <f>Flags!AF$49</f>
        <v>55884</v>
      </c>
      <c r="AG102" s="281">
        <f>Flags!AG$49</f>
        <v>56249</v>
      </c>
      <c r="AH102" s="281">
        <f>Flags!AH$49</f>
        <v>56614</v>
      </c>
      <c r="AI102" s="281">
        <f>Flags!AI$49</f>
        <v>56979</v>
      </c>
      <c r="AJ102" s="281">
        <f>Flags!AJ$49</f>
        <v>57345</v>
      </c>
      <c r="AK102" s="281">
        <f>Flags!AK$49</f>
        <v>57710</v>
      </c>
      <c r="AL102" s="281">
        <f>Flags!AL$49</f>
        <v>58075</v>
      </c>
      <c r="AM102" s="281">
        <f>Flags!AM$49</f>
        <v>58440</v>
      </c>
      <c r="AN102" s="281">
        <f>Flags!AN$49</f>
        <v>58806</v>
      </c>
    </row>
    <row r="103" spans="3:40" outlineLevel="2">
      <c r="C103" t="s">
        <v>581</v>
      </c>
      <c r="D103"/>
      <c r="E103" s="32" t="s">
        <v>399</v>
      </c>
      <c r="F103" s="266"/>
      <c r="G103" s="25">
        <f t="shared" ref="G103:AN103" si="87">IF(AND(G102&gt;=$D100,G102&lt;=$D101),1,0)</f>
        <v>0</v>
      </c>
      <c r="H103" s="25">
        <f t="shared" si="87"/>
        <v>0</v>
      </c>
      <c r="I103" s="25">
        <f t="shared" si="87"/>
        <v>0</v>
      </c>
      <c r="J103" s="25">
        <f t="shared" si="87"/>
        <v>0</v>
      </c>
      <c r="K103" s="25">
        <f t="shared" si="87"/>
        <v>0</v>
      </c>
      <c r="L103" s="25">
        <f t="shared" si="87"/>
        <v>0</v>
      </c>
      <c r="M103" s="25">
        <f t="shared" si="87"/>
        <v>0</v>
      </c>
      <c r="N103" s="25">
        <f t="shared" si="87"/>
        <v>0</v>
      </c>
      <c r="O103" s="25">
        <f t="shared" si="87"/>
        <v>0</v>
      </c>
      <c r="P103" s="25">
        <f t="shared" si="87"/>
        <v>0</v>
      </c>
      <c r="Q103" s="25">
        <f t="shared" si="87"/>
        <v>0</v>
      </c>
      <c r="R103" s="25">
        <f t="shared" si="87"/>
        <v>0</v>
      </c>
      <c r="S103" s="25">
        <f t="shared" si="87"/>
        <v>0</v>
      </c>
      <c r="T103" s="25">
        <f t="shared" si="87"/>
        <v>0</v>
      </c>
      <c r="U103" s="25">
        <f t="shared" si="87"/>
        <v>0</v>
      </c>
      <c r="V103" s="25">
        <f t="shared" si="87"/>
        <v>0</v>
      </c>
      <c r="W103" s="25">
        <f>IF(AND(W102&gt;=$D100,W102&lt;=$D101),1,0)</f>
        <v>1</v>
      </c>
      <c r="X103" s="25">
        <f t="shared" si="87"/>
        <v>1</v>
      </c>
      <c r="Y103" s="25">
        <f t="shared" si="87"/>
        <v>1</v>
      </c>
      <c r="Z103" s="25">
        <f t="shared" si="87"/>
        <v>1</v>
      </c>
      <c r="AA103" s="25">
        <f t="shared" si="87"/>
        <v>1</v>
      </c>
      <c r="AB103" s="25">
        <f t="shared" si="87"/>
        <v>1</v>
      </c>
      <c r="AC103" s="25">
        <f t="shared" si="87"/>
        <v>1</v>
      </c>
      <c r="AD103" s="25">
        <f t="shared" si="87"/>
        <v>1</v>
      </c>
      <c r="AE103" s="25">
        <f t="shared" si="87"/>
        <v>1</v>
      </c>
      <c r="AF103" s="25">
        <f t="shared" si="87"/>
        <v>1</v>
      </c>
      <c r="AG103" s="25">
        <f t="shared" si="87"/>
        <v>1</v>
      </c>
      <c r="AH103" s="25">
        <f t="shared" si="87"/>
        <v>1</v>
      </c>
      <c r="AI103" s="25">
        <f t="shared" si="87"/>
        <v>1</v>
      </c>
      <c r="AJ103" s="25">
        <f t="shared" si="87"/>
        <v>1</v>
      </c>
      <c r="AK103" s="25">
        <f t="shared" si="87"/>
        <v>0</v>
      </c>
      <c r="AL103" s="25">
        <f t="shared" si="87"/>
        <v>0</v>
      </c>
      <c r="AM103" s="25">
        <f t="shared" si="87"/>
        <v>0</v>
      </c>
      <c r="AN103" s="25">
        <f t="shared" si="87"/>
        <v>0</v>
      </c>
    </row>
    <row r="104" spans="3:40" outlineLevel="2">
      <c r="C104" t="s">
        <v>582</v>
      </c>
      <c r="D104"/>
      <c r="E104" s="32" t="s">
        <v>564</v>
      </c>
      <c r="F104" s="23"/>
      <c r="G104" s="78">
        <f>$F102-SUM($F103:F103)</f>
        <v>14</v>
      </c>
      <c r="H104" s="78">
        <f>$F102-SUM($F103:G103)</f>
        <v>14</v>
      </c>
      <c r="I104" s="78">
        <f>$F102-SUM($F103:H103)</f>
        <v>14</v>
      </c>
      <c r="J104" s="78">
        <f>$F102-SUM($F103:I103)</f>
        <v>14</v>
      </c>
      <c r="K104" s="78">
        <f>$F102-SUM($F103:J103)</f>
        <v>14</v>
      </c>
      <c r="L104" s="78">
        <f>$F102-SUM($F103:K103)</f>
        <v>14</v>
      </c>
      <c r="M104" s="78">
        <f>$F102-SUM($F103:L103)</f>
        <v>14</v>
      </c>
      <c r="N104" s="78">
        <f>$F102-SUM($F103:M103)</f>
        <v>14</v>
      </c>
      <c r="O104" s="78">
        <f>$F102-SUM($F103:N103)</f>
        <v>14</v>
      </c>
      <c r="P104" s="78">
        <f>$F102-SUM($F103:O103)</f>
        <v>14</v>
      </c>
      <c r="Q104" s="78">
        <f>$F102-SUM($F103:P103)</f>
        <v>14</v>
      </c>
      <c r="R104" s="78">
        <f>$F102-SUM($F103:Q103)</f>
        <v>14</v>
      </c>
      <c r="S104" s="78">
        <f>$F102-SUM($F103:R103)</f>
        <v>14</v>
      </c>
      <c r="T104" s="78">
        <f>$F102-SUM($F103:S103)</f>
        <v>14</v>
      </c>
      <c r="U104" s="78">
        <f>$F102-SUM($F103:T103)</f>
        <v>14</v>
      </c>
      <c r="V104" s="78">
        <f>$F102-SUM($F103:U103)</f>
        <v>14</v>
      </c>
      <c r="W104" s="78">
        <f>$F102-SUM($F103:V103)</f>
        <v>14</v>
      </c>
      <c r="X104" s="78">
        <f>$F102-SUM($F103:W103)</f>
        <v>13</v>
      </c>
      <c r="Y104" s="78">
        <f>$F102-SUM($F103:X103)</f>
        <v>12</v>
      </c>
      <c r="Z104" s="78">
        <f>$F102-SUM($F103:Y103)</f>
        <v>11</v>
      </c>
      <c r="AA104" s="78">
        <f>$F102-SUM($F103:Z103)</f>
        <v>10</v>
      </c>
      <c r="AB104" s="78">
        <f>$F102-SUM($F103:AA103)</f>
        <v>9</v>
      </c>
      <c r="AC104" s="78">
        <f>$F102-SUM($F103:AB103)</f>
        <v>8</v>
      </c>
      <c r="AD104" s="78">
        <f>$F102-SUM($F103:AC103)</f>
        <v>7</v>
      </c>
      <c r="AE104" s="78">
        <f>$F102-SUM($F103:AD103)</f>
        <v>6</v>
      </c>
      <c r="AF104" s="78">
        <f>$F102-SUM($F103:AE103)</f>
        <v>5</v>
      </c>
      <c r="AG104" s="78">
        <f>$F102-SUM($F103:AF103)</f>
        <v>4</v>
      </c>
      <c r="AH104" s="78">
        <f>$F102-SUM($F103:AG103)</f>
        <v>3</v>
      </c>
      <c r="AI104" s="78">
        <f>$F102-SUM($F103:AH103)</f>
        <v>2</v>
      </c>
      <c r="AJ104" s="78">
        <f>$F102-SUM($F103:AI103)</f>
        <v>1</v>
      </c>
      <c r="AK104" s="78">
        <f>$F102-SUM($F103:AJ103)</f>
        <v>0</v>
      </c>
      <c r="AL104" s="78">
        <f>$F102-SUM($F103:AK103)</f>
        <v>0</v>
      </c>
      <c r="AM104" s="78">
        <f>$F102-SUM($F103:AL103)</f>
        <v>0</v>
      </c>
      <c r="AN104" s="78">
        <f>$F102-SUM($F103:AM103)</f>
        <v>0</v>
      </c>
    </row>
    <row r="105" spans="3:40" outlineLevel="1">
      <c r="C105" s="266"/>
      <c r="D105" s="266"/>
      <c r="E105" s="266"/>
      <c r="F105" s="266"/>
      <c r="G105" s="266"/>
      <c r="H105" s="266"/>
      <c r="I105" s="266"/>
      <c r="J105" s="266"/>
      <c r="K105" s="266"/>
      <c r="L105" s="266"/>
      <c r="M105" s="266"/>
      <c r="N105" s="266"/>
      <c r="O105" s="266"/>
      <c r="P105" s="266"/>
      <c r="Q105" s="266"/>
      <c r="R105" s="266"/>
      <c r="S105" s="266"/>
      <c r="T105" s="266"/>
      <c r="U105" s="266"/>
      <c r="V105" s="266"/>
      <c r="W105" s="266"/>
      <c r="X105" s="266"/>
      <c r="Y105" s="266"/>
      <c r="Z105" s="266"/>
      <c r="AA105" s="266"/>
      <c r="AB105" s="266"/>
      <c r="AC105" s="266"/>
      <c r="AD105" s="266"/>
      <c r="AE105" s="266"/>
      <c r="AF105" s="266"/>
      <c r="AG105" s="266"/>
      <c r="AH105" s="266"/>
      <c r="AI105" s="266"/>
      <c r="AJ105" s="266"/>
      <c r="AK105" s="266"/>
      <c r="AL105" s="266"/>
      <c r="AM105" s="266"/>
      <c r="AN105" s="266"/>
    </row>
    <row r="106" spans="3:40" outlineLevel="1">
      <c r="C106" s="11" t="s">
        <v>69</v>
      </c>
      <c r="D106" s="266"/>
      <c r="E106" s="266"/>
      <c r="F106" s="266"/>
      <c r="G106" s="266"/>
      <c r="H106" s="266"/>
      <c r="I106" s="266"/>
      <c r="J106" s="266"/>
      <c r="K106" s="266"/>
      <c r="L106" s="266"/>
      <c r="M106" s="266"/>
      <c r="N106" s="266"/>
      <c r="O106" s="266"/>
      <c r="P106" s="266"/>
      <c r="Q106" s="266"/>
      <c r="R106" s="266"/>
      <c r="S106" s="266"/>
      <c r="T106" s="266"/>
      <c r="U106" s="266"/>
      <c r="V106" s="266"/>
      <c r="W106" s="266"/>
      <c r="X106" s="266"/>
      <c r="Y106" s="266"/>
      <c r="Z106" s="266"/>
      <c r="AA106" s="266"/>
      <c r="AB106" s="266"/>
      <c r="AC106" s="266"/>
      <c r="AD106" s="266"/>
      <c r="AE106" s="266"/>
      <c r="AF106" s="266"/>
      <c r="AG106" s="266"/>
      <c r="AH106" s="266"/>
      <c r="AI106" s="266"/>
      <c r="AJ106" s="266"/>
      <c r="AK106" s="266"/>
      <c r="AL106" s="266"/>
      <c r="AM106" s="266"/>
      <c r="AN106" s="266"/>
    </row>
    <row r="107" spans="3:40" outlineLevel="2">
      <c r="C107" s="314" t="s">
        <v>584</v>
      </c>
      <c r="D107">
        <f>Inputs!D299</f>
        <v>0.02</v>
      </c>
      <c r="E107" s="98" t="s">
        <v>377</v>
      </c>
      <c r="F107" s="266"/>
      <c r="G107" s="266"/>
      <c r="H107" s="266"/>
      <c r="I107" s="266"/>
      <c r="J107" s="266"/>
      <c r="K107" s="266"/>
      <c r="L107" s="266"/>
      <c r="M107" s="266"/>
      <c r="N107" s="266"/>
      <c r="O107" s="266"/>
      <c r="P107" s="266"/>
      <c r="Q107" s="266"/>
      <c r="R107" s="266"/>
      <c r="S107" s="266"/>
      <c r="T107" s="266"/>
      <c r="U107" s="266"/>
      <c r="V107" s="266"/>
      <c r="W107" s="266"/>
      <c r="X107" s="266"/>
      <c r="Y107" s="266"/>
      <c r="Z107" s="266"/>
      <c r="AA107" s="266"/>
      <c r="AB107" s="266"/>
      <c r="AC107" s="266"/>
      <c r="AD107" s="266"/>
      <c r="AE107" s="266"/>
      <c r="AF107" s="266"/>
      <c r="AG107" s="266"/>
      <c r="AH107" s="266"/>
      <c r="AI107" s="266"/>
      <c r="AJ107" s="266"/>
      <c r="AK107" s="266"/>
      <c r="AL107" s="266"/>
      <c r="AM107" s="266"/>
      <c r="AN107" s="266"/>
    </row>
    <row r="108" spans="3:40" outlineLevel="2">
      <c r="C108" s="314"/>
      <c r="D108" s="266"/>
      <c r="E108" s="98"/>
      <c r="F108" s="266"/>
      <c r="G108" s="266"/>
      <c r="H108" s="266"/>
      <c r="I108" s="266"/>
      <c r="J108" s="266"/>
      <c r="K108" s="266"/>
      <c r="L108" s="266"/>
      <c r="M108" s="266"/>
      <c r="N108" s="266"/>
      <c r="O108" s="266"/>
      <c r="P108" s="266"/>
      <c r="Q108" s="266"/>
      <c r="R108" s="266"/>
      <c r="S108" s="266"/>
      <c r="T108" s="266"/>
      <c r="U108" s="266"/>
      <c r="V108" s="266"/>
      <c r="W108" s="266"/>
      <c r="X108" s="266"/>
      <c r="Y108" s="266"/>
      <c r="Z108" s="266"/>
      <c r="AA108" s="266"/>
      <c r="AB108" s="266"/>
      <c r="AC108" s="266"/>
      <c r="AD108" s="266"/>
      <c r="AE108" s="266"/>
      <c r="AF108" s="266"/>
      <c r="AG108" s="266"/>
      <c r="AH108" s="266"/>
      <c r="AI108" s="266"/>
      <c r="AJ108" s="266"/>
      <c r="AK108" s="266"/>
      <c r="AL108" s="266"/>
      <c r="AM108" s="266"/>
      <c r="AN108" s="266"/>
    </row>
    <row r="109" spans="3:40" outlineLevel="2">
      <c r="C109" s="314" t="str">
        <f>DFs!C184</f>
        <v>Dívida Senior - Comercial</v>
      </c>
      <c r="D109" s="314"/>
      <c r="E109" s="98" t="str">
        <f>DFs!E184</f>
        <v>$ 000s</v>
      </c>
      <c r="F109" s="314"/>
      <c r="G109" s="342">
        <f ca="1">DFs!G184</f>
        <v>5387.5155604479987</v>
      </c>
      <c r="H109" s="342">
        <f ca="1">DFs!H184</f>
        <v>6123.7334651105211</v>
      </c>
      <c r="I109" s="342">
        <f ca="1">DFs!I184</f>
        <v>6495.7961835256483</v>
      </c>
      <c r="J109" s="342">
        <f ca="1">DFs!J184</f>
        <v>6179.4722809502291</v>
      </c>
      <c r="K109" s="342">
        <f ca="1">DFs!K184</f>
        <v>6014.2942766383849</v>
      </c>
      <c r="L109" s="342">
        <f ca="1">DFs!L184</f>
        <v>11060.955312112383</v>
      </c>
      <c r="M109" s="342">
        <f ca="1">DFs!M184</f>
        <v>10063.577500729969</v>
      </c>
      <c r="N109" s="342">
        <f ca="1">DFs!N184</f>
        <v>12585.038939170729</v>
      </c>
      <c r="O109" s="342">
        <f ca="1">DFs!O184</f>
        <v>11030.89855875685</v>
      </c>
      <c r="P109" s="342">
        <f ca="1">DFs!P184</f>
        <v>9817.5326396519558</v>
      </c>
      <c r="Q109" s="342">
        <f ca="1">DFs!Q184</f>
        <v>8786.6765349260313</v>
      </c>
      <c r="R109" s="342">
        <f ca="1">DFs!R184</f>
        <v>7469.2626612225722</v>
      </c>
      <c r="S109" s="342">
        <f ca="1">DFs!S184</f>
        <v>5901.1722159567544</v>
      </c>
      <c r="T109" s="342">
        <f ca="1">DFs!T184</f>
        <v>3993.7179849554841</v>
      </c>
      <c r="U109" s="342">
        <f ca="1">DFs!U184</f>
        <v>4041.9952053962925</v>
      </c>
      <c r="V109" s="342">
        <f ca="1">DFs!V184</f>
        <v>1324.0162280211271</v>
      </c>
      <c r="W109" s="342">
        <f ca="1">DFs!W184</f>
        <v>1593.2255428683538</v>
      </c>
      <c r="X109" s="342">
        <f ca="1">DFs!X184</f>
        <v>1632.9696403434957</v>
      </c>
      <c r="Y109" s="342">
        <f ca="1">DFs!Y184</f>
        <v>1875.4716394155462</v>
      </c>
      <c r="Z109" s="342">
        <f ca="1">DFs!Z184</f>
        <v>1727.3956002296782</v>
      </c>
      <c r="AA109" s="342">
        <f ca="1">DFs!AA184</f>
        <v>2126.6008138154971</v>
      </c>
      <c r="AB109" s="342">
        <f ca="1">DFs!AB184</f>
        <v>5717.8176981490506</v>
      </c>
      <c r="AC109" s="342">
        <f ca="1">DFs!AC184</f>
        <v>5324.7872634268824</v>
      </c>
      <c r="AD109" s="342">
        <f ca="1">DFs!AD184</f>
        <v>4888.6303150834137</v>
      </c>
      <c r="AE109" s="342">
        <f ca="1">DFs!AE184</f>
        <v>4239.6601132670949</v>
      </c>
      <c r="AF109" s="342">
        <f ca="1">DFs!AF184</f>
        <v>4719.5195850881773</v>
      </c>
      <c r="AG109" s="342">
        <f ca="1">DFs!AG184</f>
        <v>3563.558220693958</v>
      </c>
      <c r="AH109" s="342">
        <f ca="1">DFs!AH184</f>
        <v>3041.5046814469533</v>
      </c>
      <c r="AI109" s="342">
        <f ca="1">DFs!AI184</f>
        <v>3124.1676236420267</v>
      </c>
      <c r="AJ109" s="342">
        <f ca="1">DFs!AJ184</f>
        <v>0</v>
      </c>
      <c r="AK109" s="342">
        <f>DFs!AK184</f>
        <v>0</v>
      </c>
      <c r="AL109" s="342">
        <f>DFs!AL184</f>
        <v>0</v>
      </c>
      <c r="AM109" s="342">
        <f>DFs!AM184</f>
        <v>0</v>
      </c>
      <c r="AN109" s="342">
        <f>DFs!AN184</f>
        <v>0</v>
      </c>
    </row>
    <row r="110" spans="3:40" outlineLevel="2">
      <c r="C110" s="343" t="s">
        <v>585</v>
      </c>
      <c r="D110" s="275"/>
      <c r="E110" s="74" t="s">
        <v>13</v>
      </c>
      <c r="F110" s="275"/>
      <c r="G110" s="317">
        <f t="shared" ref="G110:AN110" ca="1" si="88">SUM(G109:G109)</f>
        <v>5387.5155604479987</v>
      </c>
      <c r="H110" s="317">
        <f t="shared" ca="1" si="88"/>
        <v>6123.7334651105211</v>
      </c>
      <c r="I110" s="317">
        <f t="shared" ca="1" si="88"/>
        <v>6495.7961835256483</v>
      </c>
      <c r="J110" s="317">
        <f t="shared" ca="1" si="88"/>
        <v>6179.4722809502291</v>
      </c>
      <c r="K110" s="317">
        <f t="shared" ca="1" si="88"/>
        <v>6014.2942766383849</v>
      </c>
      <c r="L110" s="317">
        <f t="shared" ca="1" si="88"/>
        <v>11060.955312112383</v>
      </c>
      <c r="M110" s="317">
        <f t="shared" ca="1" si="88"/>
        <v>10063.577500729969</v>
      </c>
      <c r="N110" s="317">
        <f t="shared" ca="1" si="88"/>
        <v>12585.038939170729</v>
      </c>
      <c r="O110" s="317">
        <f t="shared" ca="1" si="88"/>
        <v>11030.89855875685</v>
      </c>
      <c r="P110" s="317">
        <f t="shared" ca="1" si="88"/>
        <v>9817.5326396519558</v>
      </c>
      <c r="Q110" s="317">
        <f t="shared" ca="1" si="88"/>
        <v>8786.6765349260313</v>
      </c>
      <c r="R110" s="317">
        <f t="shared" ca="1" si="88"/>
        <v>7469.2626612225722</v>
      </c>
      <c r="S110" s="317">
        <f t="shared" ca="1" si="88"/>
        <v>5901.1722159567544</v>
      </c>
      <c r="T110" s="317">
        <f t="shared" ca="1" si="88"/>
        <v>3993.7179849554841</v>
      </c>
      <c r="U110" s="317">
        <f t="shared" ca="1" si="88"/>
        <v>4041.9952053962925</v>
      </c>
      <c r="V110" s="317">
        <f t="shared" ca="1" si="88"/>
        <v>1324.0162280211271</v>
      </c>
      <c r="W110" s="317">
        <f t="shared" ca="1" si="88"/>
        <v>1593.2255428683538</v>
      </c>
      <c r="X110" s="317">
        <f t="shared" ca="1" si="88"/>
        <v>1632.9696403434957</v>
      </c>
      <c r="Y110" s="317">
        <f t="shared" ca="1" si="88"/>
        <v>1875.4716394155462</v>
      </c>
      <c r="Z110" s="317">
        <f t="shared" ca="1" si="88"/>
        <v>1727.3956002296782</v>
      </c>
      <c r="AA110" s="317">
        <f t="shared" ca="1" si="88"/>
        <v>2126.6008138154971</v>
      </c>
      <c r="AB110" s="317">
        <f t="shared" ca="1" si="88"/>
        <v>5717.8176981490506</v>
      </c>
      <c r="AC110" s="317">
        <f t="shared" ca="1" si="88"/>
        <v>5324.7872634268824</v>
      </c>
      <c r="AD110" s="317">
        <f t="shared" ca="1" si="88"/>
        <v>4888.6303150834137</v>
      </c>
      <c r="AE110" s="317">
        <f t="shared" ca="1" si="88"/>
        <v>4239.6601132670949</v>
      </c>
      <c r="AF110" s="317">
        <f t="shared" ca="1" si="88"/>
        <v>4719.5195850881773</v>
      </c>
      <c r="AG110" s="317">
        <f t="shared" ca="1" si="88"/>
        <v>3563.558220693958</v>
      </c>
      <c r="AH110" s="317">
        <f t="shared" ca="1" si="88"/>
        <v>3041.5046814469533</v>
      </c>
      <c r="AI110" s="317">
        <f t="shared" ca="1" si="88"/>
        <v>3124.1676236420267</v>
      </c>
      <c r="AJ110" s="317">
        <f t="shared" ca="1" si="88"/>
        <v>0</v>
      </c>
      <c r="AK110" s="317">
        <f t="shared" si="88"/>
        <v>0</v>
      </c>
      <c r="AL110" s="317">
        <f t="shared" si="88"/>
        <v>0</v>
      </c>
      <c r="AM110" s="317">
        <f t="shared" si="88"/>
        <v>0</v>
      </c>
      <c r="AN110" s="317">
        <f t="shared" si="88"/>
        <v>0</v>
      </c>
    </row>
    <row r="111" spans="3:40" outlineLevel="2">
      <c r="C111" s="314"/>
      <c r="D111" s="266"/>
      <c r="E111" s="98"/>
      <c r="F111" s="266"/>
      <c r="G111" s="266"/>
      <c r="H111" s="266"/>
      <c r="I111" s="266"/>
      <c r="J111" s="266"/>
      <c r="K111" s="266"/>
      <c r="L111" s="266"/>
      <c r="M111" s="266"/>
      <c r="N111" s="266"/>
      <c r="O111" s="266"/>
      <c r="P111" s="266"/>
      <c r="Q111" s="266"/>
      <c r="R111" s="266"/>
      <c r="S111" s="266"/>
      <c r="T111" s="266"/>
      <c r="U111" s="266"/>
      <c r="V111" s="266"/>
      <c r="W111" s="266"/>
      <c r="X111" s="266"/>
      <c r="Y111" s="266"/>
      <c r="Z111" s="266"/>
      <c r="AA111" s="266"/>
      <c r="AB111" s="266"/>
      <c r="AC111" s="266"/>
      <c r="AD111" s="266"/>
      <c r="AE111" s="266"/>
      <c r="AF111" s="266"/>
      <c r="AG111" s="266"/>
      <c r="AH111" s="266"/>
      <c r="AI111" s="266"/>
      <c r="AJ111" s="266"/>
      <c r="AK111" s="266"/>
      <c r="AL111" s="266"/>
      <c r="AM111" s="266"/>
      <c r="AN111" s="266"/>
    </row>
    <row r="112" spans="3:40" outlineLevel="2">
      <c r="C112" s="314"/>
      <c r="D112" s="266"/>
      <c r="E112" s="98"/>
      <c r="F112" s="266"/>
      <c r="G112" s="266"/>
      <c r="H112" s="266"/>
      <c r="I112" s="266"/>
      <c r="J112" s="266"/>
      <c r="K112" s="266"/>
      <c r="L112" s="266"/>
      <c r="M112" s="266"/>
      <c r="N112" s="266"/>
      <c r="O112" s="266"/>
      <c r="P112" s="266"/>
      <c r="Q112" s="266"/>
      <c r="R112" s="266"/>
      <c r="S112" s="266"/>
      <c r="T112" s="266"/>
      <c r="U112" s="266"/>
      <c r="V112" s="266"/>
      <c r="W112" s="266"/>
      <c r="X112" s="266"/>
      <c r="Y112" s="266"/>
      <c r="Z112" s="266"/>
      <c r="AA112" s="266"/>
      <c r="AB112" s="266"/>
      <c r="AC112" s="266"/>
      <c r="AD112" s="266"/>
      <c r="AE112" s="266"/>
      <c r="AF112" s="266"/>
      <c r="AG112" s="266"/>
      <c r="AH112" s="266"/>
      <c r="AI112" s="266"/>
      <c r="AJ112" s="266"/>
      <c r="AK112" s="266"/>
      <c r="AL112" s="266"/>
      <c r="AM112" s="266"/>
      <c r="AN112" s="266"/>
    </row>
    <row r="113" spans="3:40" outlineLevel="2">
      <c r="C113" s="314" t="str">
        <f>Flags!C$15</f>
        <v>Counter Concessão</v>
      </c>
      <c r="D113" s="266"/>
      <c r="E113" s="98" t="str">
        <f>Flags!E$15</f>
        <v>Ano</v>
      </c>
      <c r="F113" s="266"/>
      <c r="G113" s="321">
        <f>Flags!G$15</f>
        <v>1</v>
      </c>
      <c r="H113" s="321">
        <f>Flags!H$15</f>
        <v>2</v>
      </c>
      <c r="I113" s="321">
        <f>Flags!I$15</f>
        <v>3</v>
      </c>
      <c r="J113" s="321">
        <f>Flags!J$15</f>
        <v>4</v>
      </c>
      <c r="K113" s="321">
        <f>Flags!K$15</f>
        <v>5</v>
      </c>
      <c r="L113" s="321">
        <f>Flags!L$15</f>
        <v>6</v>
      </c>
      <c r="M113" s="321">
        <f>Flags!M$15</f>
        <v>7</v>
      </c>
      <c r="N113" s="321">
        <f>Flags!N$15</f>
        <v>8</v>
      </c>
      <c r="O113" s="321">
        <f>Flags!O$15</f>
        <v>9</v>
      </c>
      <c r="P113" s="321">
        <f>Flags!P$15</f>
        <v>10</v>
      </c>
      <c r="Q113" s="321">
        <f>Flags!Q$15</f>
        <v>11</v>
      </c>
      <c r="R113" s="321">
        <f>Flags!R$15</f>
        <v>12</v>
      </c>
      <c r="S113" s="321">
        <f>Flags!S$15</f>
        <v>13</v>
      </c>
      <c r="T113" s="321">
        <f>Flags!T$15</f>
        <v>14</v>
      </c>
      <c r="U113" s="321">
        <f>Flags!U$15</f>
        <v>15</v>
      </c>
      <c r="V113" s="321">
        <f>Flags!V$15</f>
        <v>16</v>
      </c>
      <c r="W113" s="321">
        <f>Flags!W$15</f>
        <v>17</v>
      </c>
      <c r="X113" s="321">
        <f>Flags!X$15</f>
        <v>18</v>
      </c>
      <c r="Y113" s="321">
        <f>Flags!Y$15</f>
        <v>19</v>
      </c>
      <c r="Z113" s="321">
        <f>Flags!Z$15</f>
        <v>20</v>
      </c>
      <c r="AA113" s="321">
        <f>Flags!AA$15</f>
        <v>21</v>
      </c>
      <c r="AB113" s="321">
        <f>Flags!AB$15</f>
        <v>22</v>
      </c>
      <c r="AC113" s="321">
        <f>Flags!AC$15</f>
        <v>23</v>
      </c>
      <c r="AD113" s="321">
        <f>Flags!AD$15</f>
        <v>24</v>
      </c>
      <c r="AE113" s="321">
        <f>Flags!AE$15</f>
        <v>25</v>
      </c>
      <c r="AF113" s="321">
        <f>Flags!AF$15</f>
        <v>26</v>
      </c>
      <c r="AG113" s="321">
        <f>Flags!AG$15</f>
        <v>27</v>
      </c>
      <c r="AH113" s="321">
        <f>Flags!AH$15</f>
        <v>28</v>
      </c>
      <c r="AI113" s="321">
        <f>Flags!AI$15</f>
        <v>29</v>
      </c>
      <c r="AJ113" s="321">
        <f>Flags!AJ$15</f>
        <v>30</v>
      </c>
      <c r="AK113" s="321">
        <f>Flags!AK$15</f>
        <v>31</v>
      </c>
      <c r="AL113" s="321">
        <f>Flags!AL$15</f>
        <v>32</v>
      </c>
      <c r="AM113" s="321">
        <f>Flags!AM$15</f>
        <v>33</v>
      </c>
      <c r="AN113" s="321">
        <f>Flags!AN$15</f>
        <v>34</v>
      </c>
    </row>
    <row r="114" spans="3:40" outlineLevel="2">
      <c r="C114" s="314" t="s">
        <v>586</v>
      </c>
      <c r="D114">
        <f>Inputs!D300</f>
        <v>10</v>
      </c>
      <c r="E114" s="98" t="s">
        <v>587</v>
      </c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</row>
    <row r="115" spans="3:40" outlineLevel="2">
      <c r="C115" s="314" t="s">
        <v>588</v>
      </c>
      <c r="E115" s="32" t="s">
        <v>399</v>
      </c>
      <c r="F115" s="23">
        <f>SUM(G115:AN115)</f>
        <v>10</v>
      </c>
      <c r="G115" s="25">
        <f t="shared" ref="G115:AN115" si="89">IF(G113&lt;=$D114,1,0)</f>
        <v>1</v>
      </c>
      <c r="H115" s="25">
        <f t="shared" si="89"/>
        <v>1</v>
      </c>
      <c r="I115" s="25">
        <f t="shared" si="89"/>
        <v>1</v>
      </c>
      <c r="J115" s="25">
        <f t="shared" si="89"/>
        <v>1</v>
      </c>
      <c r="K115" s="25">
        <f t="shared" si="89"/>
        <v>1</v>
      </c>
      <c r="L115" s="25">
        <f t="shared" si="89"/>
        <v>1</v>
      </c>
      <c r="M115" s="25">
        <f t="shared" si="89"/>
        <v>1</v>
      </c>
      <c r="N115" s="25">
        <f t="shared" si="89"/>
        <v>1</v>
      </c>
      <c r="O115" s="25">
        <f t="shared" si="89"/>
        <v>1</v>
      </c>
      <c r="P115" s="25">
        <f t="shared" si="89"/>
        <v>1</v>
      </c>
      <c r="Q115" s="25">
        <f t="shared" si="89"/>
        <v>0</v>
      </c>
      <c r="R115" s="25">
        <f t="shared" si="89"/>
        <v>0</v>
      </c>
      <c r="S115" s="25">
        <f t="shared" si="89"/>
        <v>0</v>
      </c>
      <c r="T115" s="25">
        <f t="shared" si="89"/>
        <v>0</v>
      </c>
      <c r="U115" s="25">
        <f t="shared" si="89"/>
        <v>0</v>
      </c>
      <c r="V115" s="25">
        <f t="shared" si="89"/>
        <v>0</v>
      </c>
      <c r="W115" s="25">
        <f t="shared" si="89"/>
        <v>0</v>
      </c>
      <c r="X115" s="25">
        <f t="shared" si="89"/>
        <v>0</v>
      </c>
      <c r="Y115" s="25">
        <f t="shared" si="89"/>
        <v>0</v>
      </c>
      <c r="Z115" s="25">
        <f t="shared" si="89"/>
        <v>0</v>
      </c>
      <c r="AA115" s="25">
        <f t="shared" si="89"/>
        <v>0</v>
      </c>
      <c r="AB115" s="25">
        <f t="shared" si="89"/>
        <v>0</v>
      </c>
      <c r="AC115" s="25">
        <f t="shared" si="89"/>
        <v>0</v>
      </c>
      <c r="AD115" s="25">
        <f t="shared" si="89"/>
        <v>0</v>
      </c>
      <c r="AE115" s="25">
        <f t="shared" si="89"/>
        <v>0</v>
      </c>
      <c r="AF115" s="25">
        <f t="shared" si="89"/>
        <v>0</v>
      </c>
      <c r="AG115" s="25">
        <f t="shared" si="89"/>
        <v>0</v>
      </c>
      <c r="AH115" s="25">
        <f t="shared" si="89"/>
        <v>0</v>
      </c>
      <c r="AI115" s="25">
        <f t="shared" si="89"/>
        <v>0</v>
      </c>
      <c r="AJ115" s="25">
        <f t="shared" si="89"/>
        <v>0</v>
      </c>
      <c r="AK115" s="25">
        <f t="shared" si="89"/>
        <v>0</v>
      </c>
      <c r="AL115" s="25">
        <f t="shared" si="89"/>
        <v>0</v>
      </c>
      <c r="AM115" s="25">
        <f t="shared" si="89"/>
        <v>0</v>
      </c>
      <c r="AN115" s="25">
        <f t="shared" si="89"/>
        <v>0</v>
      </c>
    </row>
    <row r="116" spans="3:40" outlineLevel="2">
      <c r="C116" s="314"/>
      <c r="F116" s="266"/>
      <c r="G116" s="273"/>
      <c r="H116" s="273"/>
      <c r="I116" s="273"/>
      <c r="J116" s="273"/>
      <c r="K116" s="273"/>
      <c r="L116" s="273"/>
      <c r="M116" s="273"/>
      <c r="N116" s="273"/>
      <c r="O116" s="273"/>
      <c r="P116" s="273"/>
      <c r="Q116" s="273"/>
      <c r="R116" s="273"/>
      <c r="S116" s="273"/>
      <c r="T116" s="273"/>
      <c r="U116" s="273"/>
      <c r="V116" s="273"/>
      <c r="W116" s="273"/>
      <c r="X116" s="273"/>
      <c r="Y116" s="273"/>
      <c r="Z116" s="273"/>
      <c r="AA116" s="273"/>
      <c r="AB116" s="273"/>
      <c r="AC116" s="273"/>
      <c r="AD116" s="273"/>
      <c r="AE116" s="273"/>
      <c r="AF116" s="273"/>
      <c r="AG116" s="273"/>
      <c r="AH116" s="273"/>
      <c r="AI116" s="273"/>
      <c r="AJ116" s="273"/>
      <c r="AK116" s="273"/>
      <c r="AL116" s="273"/>
      <c r="AM116" s="273"/>
      <c r="AN116" s="273"/>
    </row>
    <row r="117" spans="3:40" outlineLevel="2">
      <c r="C117" s="301"/>
      <c r="E117" s="41"/>
      <c r="F117" s="266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</row>
    <row r="118" spans="3:40" outlineLevel="2">
      <c r="C118" s="301" t="s">
        <v>69</v>
      </c>
      <c r="E118" s="41" t="s">
        <v>13</v>
      </c>
      <c r="F118" s="23">
        <f ca="1">SUM(G118:AN118)</f>
        <v>1695.1762943418933</v>
      </c>
      <c r="G118" s="273">
        <f t="shared" ref="G118:AN118" ca="1" si="90">IF(G115=1,G110*$D107,0)</f>
        <v>107.75031120895997</v>
      </c>
      <c r="H118" s="273">
        <f t="shared" ca="1" si="90"/>
        <v>122.47466930221043</v>
      </c>
      <c r="I118" s="273">
        <f t="shared" ca="1" si="90"/>
        <v>129.91592367051297</v>
      </c>
      <c r="J118" s="273">
        <f t="shared" ca="1" si="90"/>
        <v>123.58944561900458</v>
      </c>
      <c r="K118" s="273">
        <f t="shared" ca="1" si="90"/>
        <v>120.28588553276769</v>
      </c>
      <c r="L118" s="273">
        <f t="shared" ca="1" si="90"/>
        <v>221.21910624224765</v>
      </c>
      <c r="M118" s="273">
        <f t="shared" ca="1" si="90"/>
        <v>201.27155001459937</v>
      </c>
      <c r="N118" s="273">
        <f t="shared" ca="1" si="90"/>
        <v>251.70077878341456</v>
      </c>
      <c r="O118" s="273">
        <f t="shared" ca="1" si="90"/>
        <v>220.617971175137</v>
      </c>
      <c r="P118" s="273">
        <f t="shared" ca="1" si="90"/>
        <v>196.35065279303913</v>
      </c>
      <c r="Q118" s="273">
        <f t="shared" si="90"/>
        <v>0</v>
      </c>
      <c r="R118" s="273">
        <f t="shared" si="90"/>
        <v>0</v>
      </c>
      <c r="S118" s="273">
        <f t="shared" si="90"/>
        <v>0</v>
      </c>
      <c r="T118" s="273">
        <f t="shared" si="90"/>
        <v>0</v>
      </c>
      <c r="U118" s="273">
        <f t="shared" si="90"/>
        <v>0</v>
      </c>
      <c r="V118" s="273">
        <f t="shared" si="90"/>
        <v>0</v>
      </c>
      <c r="W118" s="273">
        <f t="shared" si="90"/>
        <v>0</v>
      </c>
      <c r="X118" s="273">
        <f t="shared" si="90"/>
        <v>0</v>
      </c>
      <c r="Y118" s="273">
        <f t="shared" si="90"/>
        <v>0</v>
      </c>
      <c r="Z118" s="273">
        <f t="shared" si="90"/>
        <v>0</v>
      </c>
      <c r="AA118" s="273">
        <f t="shared" si="90"/>
        <v>0</v>
      </c>
      <c r="AB118" s="273">
        <f t="shared" si="90"/>
        <v>0</v>
      </c>
      <c r="AC118" s="273">
        <f t="shared" si="90"/>
        <v>0</v>
      </c>
      <c r="AD118" s="273">
        <f t="shared" si="90"/>
        <v>0</v>
      </c>
      <c r="AE118" s="273">
        <f t="shared" si="90"/>
        <v>0</v>
      </c>
      <c r="AF118" s="273">
        <f t="shared" si="90"/>
        <v>0</v>
      </c>
      <c r="AG118" s="273">
        <f t="shared" si="90"/>
        <v>0</v>
      </c>
      <c r="AH118" s="273">
        <f t="shared" si="90"/>
        <v>0</v>
      </c>
      <c r="AI118" s="273">
        <f t="shared" si="90"/>
        <v>0</v>
      </c>
      <c r="AJ118" s="273">
        <f t="shared" si="90"/>
        <v>0</v>
      </c>
      <c r="AK118" s="273">
        <f t="shared" si="90"/>
        <v>0</v>
      </c>
      <c r="AL118" s="273">
        <f t="shared" si="90"/>
        <v>0</v>
      </c>
      <c r="AM118" s="273">
        <f t="shared" si="90"/>
        <v>0</v>
      </c>
      <c r="AN118" s="273">
        <f t="shared" si="90"/>
        <v>0</v>
      </c>
    </row>
    <row r="119" spans="3:40" outlineLevel="1">
      <c r="C119" s="301"/>
      <c r="E119" s="41"/>
      <c r="F119" s="266"/>
      <c r="G119"/>
      <c r="H119"/>
      <c r="I119"/>
      <c r="J119"/>
      <c r="K119"/>
      <c r="L119"/>
      <c r="M119"/>
      <c r="N119"/>
      <c r="O119"/>
      <c r="P119"/>
      <c r="Q119"/>
      <c r="R119"/>
      <c r="S119" s="273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</row>
    <row r="120" spans="3:40" outlineLevel="1">
      <c r="C120" s="11" t="s">
        <v>589</v>
      </c>
      <c r="D120" s="266"/>
      <c r="E120" s="266"/>
      <c r="F120" s="266"/>
      <c r="G120" s="266"/>
      <c r="H120" s="266"/>
      <c r="I120" s="266"/>
      <c r="J120" s="266"/>
      <c r="K120" s="266"/>
      <c r="L120" s="266"/>
      <c r="M120" s="266"/>
      <c r="N120" s="266"/>
      <c r="O120" s="266"/>
      <c r="P120" s="266"/>
      <c r="Q120" s="266"/>
      <c r="R120" s="266"/>
      <c r="S120" s="266"/>
      <c r="T120" s="266"/>
      <c r="U120" s="266"/>
      <c r="V120" s="266"/>
      <c r="W120" s="266"/>
      <c r="X120" s="266"/>
      <c r="Y120" s="266"/>
      <c r="Z120" s="266"/>
      <c r="AA120" s="266"/>
      <c r="AB120" s="266"/>
      <c r="AC120" s="266"/>
      <c r="AD120" s="266"/>
      <c r="AE120" s="266"/>
      <c r="AF120" s="266"/>
      <c r="AG120" s="266"/>
      <c r="AH120" s="266"/>
      <c r="AI120" s="266"/>
      <c r="AJ120" s="266"/>
      <c r="AK120" s="266"/>
      <c r="AL120" s="266"/>
      <c r="AM120" s="266"/>
      <c r="AN120" s="266"/>
    </row>
    <row r="121" spans="3:40" outlineLevel="2">
      <c r="C121" s="11"/>
      <c r="D121" s="266"/>
      <c r="E121" s="266"/>
      <c r="F121" s="266"/>
      <c r="G121" s="266"/>
      <c r="H121" s="266"/>
      <c r="I121" s="266"/>
      <c r="J121" s="266"/>
      <c r="K121" s="266"/>
      <c r="L121" s="266"/>
      <c r="M121" s="266"/>
      <c r="N121" s="266"/>
      <c r="O121" s="266"/>
      <c r="P121" s="266"/>
      <c r="Q121" s="266"/>
      <c r="R121" s="266"/>
      <c r="S121" s="266"/>
      <c r="T121" s="266"/>
      <c r="U121" s="266"/>
      <c r="V121" s="266"/>
      <c r="W121" s="266"/>
      <c r="X121" s="266"/>
      <c r="Y121" s="266"/>
      <c r="Z121" s="266"/>
      <c r="AA121" s="266"/>
      <c r="AB121" s="266"/>
      <c r="AC121" s="266"/>
      <c r="AD121" s="266"/>
      <c r="AE121" s="266"/>
      <c r="AF121" s="266"/>
      <c r="AG121" s="266"/>
      <c r="AH121" s="266"/>
      <c r="AI121" s="266"/>
      <c r="AJ121" s="266"/>
      <c r="AK121" s="266"/>
      <c r="AL121" s="266"/>
      <c r="AM121" s="266"/>
      <c r="AN121" s="266"/>
    </row>
    <row r="122" spans="3:40" outlineLevel="2">
      <c r="C122" s="11" t="s">
        <v>590</v>
      </c>
      <c r="F122" s="266"/>
      <c r="G122" s="266"/>
      <c r="H122" s="266"/>
      <c r="I122" s="266"/>
      <c r="J122" s="266"/>
      <c r="K122" s="266"/>
      <c r="L122" s="266"/>
      <c r="M122" s="266"/>
      <c r="N122" s="266"/>
      <c r="O122" s="266"/>
      <c r="P122" s="266"/>
      <c r="Q122" s="266"/>
      <c r="R122" s="266"/>
      <c r="S122" s="266"/>
      <c r="T122" s="266"/>
      <c r="U122" s="266"/>
      <c r="V122" s="266"/>
      <c r="W122" s="266"/>
      <c r="X122" s="266"/>
      <c r="Y122" s="266"/>
      <c r="Z122" s="266"/>
      <c r="AA122" s="266"/>
      <c r="AB122" s="266"/>
      <c r="AC122" s="266"/>
      <c r="AD122" s="266"/>
      <c r="AE122" s="266"/>
      <c r="AF122" s="266"/>
      <c r="AG122" s="266"/>
      <c r="AH122" s="266"/>
      <c r="AI122" s="266"/>
      <c r="AJ122" s="266"/>
      <c r="AK122" s="266"/>
      <c r="AL122" s="266"/>
      <c r="AM122" s="266"/>
      <c r="AN122" s="266"/>
    </row>
    <row r="123" spans="3:40" outlineLevel="3">
      <c r="C123" s="429" t="s">
        <v>317</v>
      </c>
      <c r="D123" s="429"/>
      <c r="F123" s="266"/>
      <c r="G123" s="266"/>
      <c r="H123" s="266"/>
      <c r="I123" s="266"/>
      <c r="J123" s="266"/>
      <c r="K123" s="266"/>
      <c r="L123" s="266"/>
      <c r="M123" s="266"/>
      <c r="N123" s="266"/>
      <c r="O123" s="266"/>
      <c r="P123" s="266"/>
      <c r="Q123" s="266"/>
      <c r="R123" s="266"/>
      <c r="S123" s="266"/>
      <c r="T123" s="266"/>
      <c r="U123" s="266"/>
      <c r="V123" s="266"/>
      <c r="W123" s="266"/>
      <c r="X123" s="266"/>
      <c r="Y123" s="266"/>
      <c r="Z123" s="266"/>
      <c r="AA123" s="266"/>
      <c r="AB123" s="266"/>
      <c r="AC123" s="266"/>
      <c r="AD123" s="266"/>
      <c r="AE123" s="266"/>
      <c r="AF123" s="266"/>
      <c r="AG123" s="266"/>
      <c r="AH123" s="266"/>
      <c r="AI123" s="266"/>
      <c r="AJ123" s="266"/>
      <c r="AK123" s="266"/>
      <c r="AL123" s="266"/>
      <c r="AM123" s="266"/>
      <c r="AN123" s="266"/>
    </row>
    <row r="124" spans="3:40" outlineLevel="3">
      <c r="C124" s="344" t="str">
        <f>Inputs!$C$285</f>
        <v>Base</v>
      </c>
      <c r="D124" t="str">
        <f>Inputs!$D$285</f>
        <v>CDI</v>
      </c>
      <c r="E124" s="32" t="s">
        <v>591</v>
      </c>
      <c r="F124" s="266"/>
      <c r="G124" s="266"/>
      <c r="H124" s="266"/>
      <c r="I124" s="266"/>
      <c r="J124" s="266"/>
      <c r="K124" s="266"/>
      <c r="L124" s="266"/>
      <c r="M124" s="266"/>
      <c r="N124" s="266"/>
      <c r="O124" s="266"/>
      <c r="P124" s="266"/>
      <c r="Q124" s="266"/>
      <c r="R124" s="266"/>
      <c r="S124" s="266"/>
      <c r="T124" s="266"/>
      <c r="U124" s="266"/>
      <c r="V124" s="266"/>
      <c r="W124" s="266"/>
      <c r="X124" s="266"/>
      <c r="Y124" s="266"/>
      <c r="Z124" s="266"/>
      <c r="AA124" s="266"/>
      <c r="AB124" s="266"/>
      <c r="AC124" s="266"/>
      <c r="AD124" s="266"/>
      <c r="AE124" s="266"/>
      <c r="AF124" s="266"/>
      <c r="AG124" s="266"/>
      <c r="AH124" s="266"/>
      <c r="AI124" s="266"/>
      <c r="AJ124" s="266"/>
      <c r="AK124" s="266"/>
      <c r="AL124" s="266"/>
      <c r="AM124" s="266"/>
      <c r="AN124" s="266"/>
    </row>
    <row r="125" spans="3:40" outlineLevel="3">
      <c r="C125" s="344" t="str">
        <f>Inputs!$C$286</f>
        <v>Indexador</v>
      </c>
      <c r="D125" t="str">
        <f>Inputs!$D$286</f>
        <v>None</v>
      </c>
      <c r="E125" s="32" t="s">
        <v>591</v>
      </c>
      <c r="F125" s="266"/>
      <c r="G125" s="266"/>
      <c r="H125" s="266"/>
      <c r="I125" s="266"/>
      <c r="J125" s="266"/>
      <c r="K125" s="266"/>
      <c r="L125" s="266"/>
      <c r="M125" s="266"/>
      <c r="N125" s="266"/>
      <c r="O125" s="266"/>
      <c r="P125" s="266"/>
      <c r="Q125" s="266"/>
      <c r="R125" s="266"/>
      <c r="S125" s="266"/>
      <c r="T125" s="266"/>
      <c r="U125" s="266"/>
      <c r="V125" s="266"/>
      <c r="W125" s="266"/>
      <c r="X125" s="266"/>
      <c r="Y125" s="266"/>
      <c r="Z125" s="266"/>
      <c r="AA125" s="266"/>
      <c r="AB125" s="266"/>
      <c r="AC125" s="266"/>
      <c r="AD125" s="266"/>
      <c r="AE125" s="266"/>
      <c r="AF125" s="266"/>
      <c r="AG125" s="266"/>
      <c r="AH125" s="266"/>
      <c r="AI125" s="266"/>
      <c r="AJ125" s="266"/>
      <c r="AK125" s="266"/>
      <c r="AL125" s="266"/>
      <c r="AM125" s="266"/>
      <c r="AN125" s="266"/>
    </row>
    <row r="126" spans="3:40" outlineLevel="3">
      <c r="C126" s="266"/>
      <c r="F126" s="266"/>
      <c r="G126" s="266"/>
      <c r="H126" s="266"/>
      <c r="I126" s="266"/>
      <c r="J126" s="266"/>
      <c r="K126" s="266"/>
      <c r="L126" s="266"/>
      <c r="M126" s="266"/>
      <c r="N126" s="266"/>
      <c r="O126" s="266"/>
      <c r="P126" s="266"/>
      <c r="Q126" s="266"/>
      <c r="R126" s="266"/>
      <c r="S126" s="266"/>
      <c r="T126" s="266"/>
      <c r="U126" s="266"/>
      <c r="V126" s="266"/>
      <c r="W126" s="266"/>
      <c r="X126" s="266"/>
      <c r="Y126" s="266"/>
      <c r="Z126" s="266"/>
      <c r="AA126" s="266"/>
      <c r="AB126" s="266"/>
      <c r="AC126" s="266"/>
      <c r="AD126" s="266"/>
      <c r="AE126" s="266"/>
      <c r="AF126" s="266"/>
      <c r="AG126" s="266"/>
      <c r="AH126" s="266"/>
      <c r="AI126" s="266"/>
      <c r="AJ126" s="266"/>
      <c r="AK126" s="266"/>
      <c r="AL126" s="266"/>
      <c r="AM126" s="266"/>
      <c r="AN126" s="266"/>
    </row>
    <row r="127" spans="3:40" outlineLevel="3">
      <c r="C127" t="str">
        <f>Flags!C$47</f>
        <v xml:space="preserve"> Financial close date  </v>
      </c>
      <c r="D127" s="37">
        <f>Cons_start</f>
        <v>46388</v>
      </c>
      <c r="E127" s="32" t="s">
        <v>399</v>
      </c>
      <c r="F127" s="266"/>
      <c r="G127" s="266"/>
      <c r="H127" s="266"/>
      <c r="I127" s="266"/>
      <c r="J127" s="266"/>
      <c r="K127" s="266"/>
      <c r="L127" s="266"/>
      <c r="M127" s="266"/>
      <c r="N127" s="266"/>
      <c r="O127" s="266"/>
      <c r="P127" s="266"/>
      <c r="Q127" s="266"/>
      <c r="R127" s="266"/>
      <c r="S127" s="266"/>
      <c r="T127" s="266"/>
      <c r="U127" s="266"/>
      <c r="V127" s="266"/>
      <c r="W127" s="266"/>
      <c r="X127" s="266"/>
      <c r="Y127" s="266"/>
      <c r="Z127" s="266"/>
      <c r="AA127" s="266"/>
      <c r="AB127" s="266"/>
      <c r="AC127" s="266"/>
      <c r="AD127" s="266"/>
      <c r="AE127" s="266"/>
      <c r="AF127" s="266"/>
      <c r="AG127" s="266"/>
      <c r="AH127" s="266"/>
      <c r="AI127" s="266"/>
      <c r="AJ127" s="266"/>
      <c r="AK127" s="266"/>
      <c r="AL127" s="266"/>
      <c r="AM127" s="266"/>
      <c r="AN127" s="266"/>
    </row>
    <row r="128" spans="3:40" outlineLevel="3">
      <c r="C128" t="str">
        <f>C88</f>
        <v>Term loan repayment period end</v>
      </c>
      <c r="D128" s="37">
        <f>$D$88</f>
        <v>52262</v>
      </c>
      <c r="E128" s="41" t="str">
        <f>E88</f>
        <v>Data</v>
      </c>
      <c r="F128" s="266"/>
      <c r="G128" s="266"/>
      <c r="H128" s="266"/>
      <c r="I128" s="266"/>
      <c r="J128" s="266"/>
      <c r="K128" s="266"/>
      <c r="L128" s="266"/>
      <c r="M128" s="266"/>
      <c r="N128" s="266"/>
      <c r="O128" s="266"/>
      <c r="P128" s="266"/>
      <c r="Q128" s="266"/>
      <c r="R128" s="266"/>
      <c r="S128" s="266"/>
      <c r="T128" s="266"/>
      <c r="U128" s="266"/>
      <c r="V128" s="266"/>
      <c r="W128" s="266"/>
      <c r="X128" s="266"/>
      <c r="Y128" s="266"/>
      <c r="Z128" s="266"/>
      <c r="AA128" s="266"/>
      <c r="AB128" s="266"/>
      <c r="AC128" s="266"/>
      <c r="AD128" s="266"/>
      <c r="AE128" s="266"/>
      <c r="AF128" s="266"/>
      <c r="AG128" s="266"/>
      <c r="AH128" s="266"/>
      <c r="AI128" s="266"/>
      <c r="AJ128" s="266"/>
      <c r="AK128" s="266"/>
      <c r="AL128" s="266"/>
      <c r="AM128" s="266"/>
      <c r="AN128" s="266"/>
    </row>
    <row r="129" spans="3:40" outlineLevel="3">
      <c r="C129" t="str">
        <f>Flags!C$50&amp;"+ Prazo"</f>
        <v>Flag de operação+ Prazo</v>
      </c>
      <c r="D129"/>
      <c r="E129" s="32" t="s">
        <v>399</v>
      </c>
      <c r="F129" s="23">
        <f>SUM(G129:AN129)</f>
        <v>16</v>
      </c>
      <c r="G129" s="25">
        <f t="shared" ref="G129:AN129" si="91">IF(AND(G130&gt;=$D127,G130&lt;=$D128),1,0)</f>
        <v>1</v>
      </c>
      <c r="H129" s="25">
        <f t="shared" si="91"/>
        <v>1</v>
      </c>
      <c r="I129" s="25">
        <f t="shared" si="91"/>
        <v>1</v>
      </c>
      <c r="J129" s="25">
        <f t="shared" si="91"/>
        <v>1</v>
      </c>
      <c r="K129" s="25">
        <f t="shared" si="91"/>
        <v>1</v>
      </c>
      <c r="L129" s="25">
        <f t="shared" si="91"/>
        <v>1</v>
      </c>
      <c r="M129" s="25">
        <f t="shared" si="91"/>
        <v>1</v>
      </c>
      <c r="N129" s="25">
        <f t="shared" si="91"/>
        <v>1</v>
      </c>
      <c r="O129" s="25">
        <f t="shared" si="91"/>
        <v>1</v>
      </c>
      <c r="P129" s="25">
        <f t="shared" si="91"/>
        <v>1</v>
      </c>
      <c r="Q129" s="25">
        <f t="shared" si="91"/>
        <v>1</v>
      </c>
      <c r="R129" s="25">
        <f t="shared" si="91"/>
        <v>1</v>
      </c>
      <c r="S129" s="25">
        <f t="shared" si="91"/>
        <v>1</v>
      </c>
      <c r="T129" s="25">
        <f t="shared" si="91"/>
        <v>1</v>
      </c>
      <c r="U129" s="25">
        <f t="shared" si="91"/>
        <v>1</v>
      </c>
      <c r="V129" s="25">
        <f t="shared" si="91"/>
        <v>1</v>
      </c>
      <c r="W129" s="25">
        <f t="shared" si="91"/>
        <v>0</v>
      </c>
      <c r="X129" s="25">
        <f t="shared" si="91"/>
        <v>0</v>
      </c>
      <c r="Y129" s="25">
        <f t="shared" si="91"/>
        <v>0</v>
      </c>
      <c r="Z129" s="25">
        <f t="shared" si="91"/>
        <v>0</v>
      </c>
      <c r="AA129" s="25">
        <f t="shared" si="91"/>
        <v>0</v>
      </c>
      <c r="AB129" s="25">
        <f t="shared" si="91"/>
        <v>0</v>
      </c>
      <c r="AC129" s="25">
        <f t="shared" si="91"/>
        <v>0</v>
      </c>
      <c r="AD129" s="25">
        <f t="shared" si="91"/>
        <v>0</v>
      </c>
      <c r="AE129" s="25">
        <f t="shared" si="91"/>
        <v>0</v>
      </c>
      <c r="AF129" s="25">
        <f t="shared" si="91"/>
        <v>0</v>
      </c>
      <c r="AG129" s="25">
        <f t="shared" si="91"/>
        <v>0</v>
      </c>
      <c r="AH129" s="25">
        <f t="shared" si="91"/>
        <v>0</v>
      </c>
      <c r="AI129" s="25">
        <f t="shared" si="91"/>
        <v>0</v>
      </c>
      <c r="AJ129" s="25">
        <f t="shared" si="91"/>
        <v>0</v>
      </c>
      <c r="AK129" s="25">
        <f t="shared" si="91"/>
        <v>0</v>
      </c>
      <c r="AL129" s="25">
        <f t="shared" si="91"/>
        <v>0</v>
      </c>
      <c r="AM129" s="25">
        <f t="shared" si="91"/>
        <v>0</v>
      </c>
      <c r="AN129" s="25">
        <f t="shared" si="91"/>
        <v>0</v>
      </c>
    </row>
    <row r="130" spans="3:40" outlineLevel="3">
      <c r="C130" s="301" t="str">
        <f>Flags!C$49</f>
        <v>Fim período</v>
      </c>
      <c r="E130" s="32" t="str">
        <f>Flags!E$49</f>
        <v>Meses</v>
      </c>
      <c r="F130" s="266"/>
      <c r="G130" s="281">
        <f>Flags!G$49</f>
        <v>46752</v>
      </c>
      <c r="H130" s="281">
        <f>Flags!H$49</f>
        <v>47118</v>
      </c>
      <c r="I130" s="281">
        <f>Flags!I$49</f>
        <v>47483</v>
      </c>
      <c r="J130" s="281">
        <f>Flags!J$49</f>
        <v>47848</v>
      </c>
      <c r="K130" s="281">
        <f>Flags!K$49</f>
        <v>48213</v>
      </c>
      <c r="L130" s="281">
        <f>Flags!L$49</f>
        <v>48579</v>
      </c>
      <c r="M130" s="281">
        <f>Flags!M$49</f>
        <v>48944</v>
      </c>
      <c r="N130" s="281">
        <f>Flags!N$49</f>
        <v>49309</v>
      </c>
      <c r="O130" s="281">
        <f>Flags!O$49</f>
        <v>49674</v>
      </c>
      <c r="P130" s="281">
        <f>Flags!P$49</f>
        <v>50040</v>
      </c>
      <c r="Q130" s="281">
        <f>Flags!Q$49</f>
        <v>50405</v>
      </c>
      <c r="R130" s="281">
        <f>Flags!R$49</f>
        <v>50770</v>
      </c>
      <c r="S130" s="281">
        <f>Flags!S$49</f>
        <v>51135</v>
      </c>
      <c r="T130" s="281">
        <f>Flags!T$49</f>
        <v>51501</v>
      </c>
      <c r="U130" s="281">
        <f>Flags!U$49</f>
        <v>51866</v>
      </c>
      <c r="V130" s="281">
        <f>Flags!V$49</f>
        <v>52231</v>
      </c>
      <c r="W130" s="281">
        <f>Flags!W$49</f>
        <v>52596</v>
      </c>
      <c r="X130" s="281">
        <f>Flags!X$49</f>
        <v>52962</v>
      </c>
      <c r="Y130" s="281">
        <f>Flags!Y$49</f>
        <v>53327</v>
      </c>
      <c r="Z130" s="281">
        <f>Flags!Z$49</f>
        <v>53692</v>
      </c>
      <c r="AA130" s="281">
        <f>Flags!AA$49</f>
        <v>54057</v>
      </c>
      <c r="AB130" s="281">
        <f>Flags!AB$49</f>
        <v>54423</v>
      </c>
      <c r="AC130" s="281">
        <f>Flags!AC$49</f>
        <v>54788</v>
      </c>
      <c r="AD130" s="281">
        <f>Flags!AD$49</f>
        <v>55153</v>
      </c>
      <c r="AE130" s="281">
        <f>Flags!AE$49</f>
        <v>55518</v>
      </c>
      <c r="AF130" s="281">
        <f>Flags!AF$49</f>
        <v>55884</v>
      </c>
      <c r="AG130" s="281">
        <f>Flags!AG$49</f>
        <v>56249</v>
      </c>
      <c r="AH130" s="281">
        <f>Flags!AH$49</f>
        <v>56614</v>
      </c>
      <c r="AI130" s="281">
        <f>Flags!AI$49</f>
        <v>56979</v>
      </c>
      <c r="AJ130" s="281">
        <f>Flags!AJ$49</f>
        <v>57345</v>
      </c>
      <c r="AK130" s="281">
        <f>Flags!AK$49</f>
        <v>57710</v>
      </c>
      <c r="AL130" s="281">
        <f>Flags!AL$49</f>
        <v>58075</v>
      </c>
      <c r="AM130" s="281">
        <f>Flags!AM$49</f>
        <v>58440</v>
      </c>
      <c r="AN130" s="281">
        <f>Flags!AN$49</f>
        <v>58806</v>
      </c>
    </row>
    <row r="131" spans="3:40" outlineLevel="3">
      <c r="C131" s="301" t="str">
        <f>C124</f>
        <v>Base</v>
      </c>
      <c r="E131" s="32" t="s">
        <v>23</v>
      </c>
      <c r="F131" s="266"/>
      <c r="G131" s="504">
        <f t="shared" ref="G131:AN131" si="92">IF(G$129=1,INDEX(G$19:G$27,MATCH($D124,$C$19:$C$27,0)),0)</f>
        <v>8.5000000000000006E-2</v>
      </c>
      <c r="H131" s="504">
        <f t="shared" si="92"/>
        <v>8.5000000000000006E-2</v>
      </c>
      <c r="I131" s="504">
        <f t="shared" si="92"/>
        <v>8.5000000000000006E-2</v>
      </c>
      <c r="J131" s="504">
        <f t="shared" si="92"/>
        <v>8.5000000000000006E-2</v>
      </c>
      <c r="K131" s="504">
        <f t="shared" si="92"/>
        <v>8.5000000000000006E-2</v>
      </c>
      <c r="L131" s="504">
        <f t="shared" si="92"/>
        <v>8.5000000000000006E-2</v>
      </c>
      <c r="M131" s="504">
        <f t="shared" si="92"/>
        <v>8.5000000000000006E-2</v>
      </c>
      <c r="N131" s="504">
        <f t="shared" si="92"/>
        <v>8.5000000000000006E-2</v>
      </c>
      <c r="O131" s="504">
        <f t="shared" si="92"/>
        <v>8.5000000000000006E-2</v>
      </c>
      <c r="P131" s="504">
        <f t="shared" si="92"/>
        <v>8.5000000000000006E-2</v>
      </c>
      <c r="Q131" s="504">
        <f t="shared" si="92"/>
        <v>8.5000000000000006E-2</v>
      </c>
      <c r="R131" s="504">
        <f t="shared" si="92"/>
        <v>8.5000000000000006E-2</v>
      </c>
      <c r="S131" s="504">
        <f t="shared" si="92"/>
        <v>8.5000000000000006E-2</v>
      </c>
      <c r="T131" s="504">
        <f t="shared" si="92"/>
        <v>8.5000000000000006E-2</v>
      </c>
      <c r="U131" s="504">
        <f t="shared" si="92"/>
        <v>8.5000000000000006E-2</v>
      </c>
      <c r="V131" s="504">
        <f t="shared" si="92"/>
        <v>8.5000000000000006E-2</v>
      </c>
      <c r="W131" s="504">
        <f t="shared" si="92"/>
        <v>0</v>
      </c>
      <c r="X131" s="504">
        <f t="shared" si="92"/>
        <v>0</v>
      </c>
      <c r="Y131" s="504">
        <f t="shared" si="92"/>
        <v>0</v>
      </c>
      <c r="Z131" s="504">
        <f t="shared" si="92"/>
        <v>0</v>
      </c>
      <c r="AA131" s="504">
        <f t="shared" si="92"/>
        <v>0</v>
      </c>
      <c r="AB131" s="504">
        <f t="shared" si="92"/>
        <v>0</v>
      </c>
      <c r="AC131" s="504">
        <f t="shared" si="92"/>
        <v>0</v>
      </c>
      <c r="AD131" s="504">
        <f t="shared" si="92"/>
        <v>0</v>
      </c>
      <c r="AE131" s="504">
        <f t="shared" si="92"/>
        <v>0</v>
      </c>
      <c r="AF131" s="504">
        <f t="shared" si="92"/>
        <v>0</v>
      </c>
      <c r="AG131" s="504">
        <f t="shared" si="92"/>
        <v>0</v>
      </c>
      <c r="AH131" s="504">
        <f t="shared" si="92"/>
        <v>0</v>
      </c>
      <c r="AI131" s="504">
        <f t="shared" si="92"/>
        <v>0</v>
      </c>
      <c r="AJ131" s="504">
        <f t="shared" si="92"/>
        <v>0</v>
      </c>
      <c r="AK131" s="504">
        <f t="shared" si="92"/>
        <v>0</v>
      </c>
      <c r="AL131" s="504">
        <f t="shared" si="92"/>
        <v>0</v>
      </c>
      <c r="AM131" s="504">
        <f t="shared" si="92"/>
        <v>0</v>
      </c>
      <c r="AN131" s="504">
        <f t="shared" si="92"/>
        <v>0</v>
      </c>
    </row>
    <row r="132" spans="3:40" outlineLevel="3">
      <c r="C132" s="301" t="str">
        <f>C125</f>
        <v>Indexador</v>
      </c>
      <c r="E132" s="32" t="s">
        <v>23</v>
      </c>
      <c r="F132" s="266"/>
      <c r="G132" s="473">
        <f t="shared" ref="G132:AN132" si="93">IF(G129=1,INDEX(G$19:G$27,MATCH($D125,$C$19:$C$27,0)),0)</f>
        <v>0</v>
      </c>
      <c r="H132" s="473">
        <f t="shared" si="93"/>
        <v>0</v>
      </c>
      <c r="I132" s="473">
        <f t="shared" si="93"/>
        <v>0</v>
      </c>
      <c r="J132" s="473">
        <f t="shared" si="93"/>
        <v>0</v>
      </c>
      <c r="K132" s="473">
        <f t="shared" si="93"/>
        <v>0</v>
      </c>
      <c r="L132" s="473">
        <f t="shared" si="93"/>
        <v>0</v>
      </c>
      <c r="M132" s="473">
        <f t="shared" si="93"/>
        <v>0</v>
      </c>
      <c r="N132" s="473">
        <f t="shared" si="93"/>
        <v>0</v>
      </c>
      <c r="O132" s="473">
        <f t="shared" si="93"/>
        <v>0</v>
      </c>
      <c r="P132" s="473">
        <f t="shared" si="93"/>
        <v>0</v>
      </c>
      <c r="Q132" s="473">
        <f t="shared" si="93"/>
        <v>0</v>
      </c>
      <c r="R132" s="473">
        <f t="shared" si="93"/>
        <v>0</v>
      </c>
      <c r="S132" s="473">
        <f t="shared" si="93"/>
        <v>0</v>
      </c>
      <c r="T132" s="473">
        <f t="shared" si="93"/>
        <v>0</v>
      </c>
      <c r="U132" s="473">
        <f t="shared" si="93"/>
        <v>0</v>
      </c>
      <c r="V132" s="473">
        <f t="shared" si="93"/>
        <v>0</v>
      </c>
      <c r="W132" s="473">
        <f t="shared" si="93"/>
        <v>0</v>
      </c>
      <c r="X132" s="473">
        <f t="shared" si="93"/>
        <v>0</v>
      </c>
      <c r="Y132" s="473">
        <f t="shared" si="93"/>
        <v>0</v>
      </c>
      <c r="Z132" s="473">
        <f t="shared" si="93"/>
        <v>0</v>
      </c>
      <c r="AA132" s="473">
        <f t="shared" si="93"/>
        <v>0</v>
      </c>
      <c r="AB132" s="473">
        <f t="shared" si="93"/>
        <v>0</v>
      </c>
      <c r="AC132" s="473">
        <f t="shared" si="93"/>
        <v>0</v>
      </c>
      <c r="AD132" s="473">
        <f t="shared" si="93"/>
        <v>0</v>
      </c>
      <c r="AE132" s="473">
        <f t="shared" si="93"/>
        <v>0</v>
      </c>
      <c r="AF132" s="473">
        <f t="shared" si="93"/>
        <v>0</v>
      </c>
      <c r="AG132" s="473">
        <f t="shared" si="93"/>
        <v>0</v>
      </c>
      <c r="AH132" s="473">
        <f t="shared" si="93"/>
        <v>0</v>
      </c>
      <c r="AI132" s="473">
        <f t="shared" si="93"/>
        <v>0</v>
      </c>
      <c r="AJ132" s="473">
        <f t="shared" si="93"/>
        <v>0</v>
      </c>
      <c r="AK132" s="473">
        <f t="shared" si="93"/>
        <v>0</v>
      </c>
      <c r="AL132" s="473">
        <f t="shared" si="93"/>
        <v>0</v>
      </c>
      <c r="AM132" s="473">
        <f t="shared" si="93"/>
        <v>0</v>
      </c>
      <c r="AN132" s="473">
        <f t="shared" si="93"/>
        <v>0</v>
      </c>
    </row>
    <row r="133" spans="3:40" outlineLevel="3">
      <c r="C133" s="301"/>
      <c r="F133" s="266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</row>
    <row r="134" spans="3:40" outlineLevel="3">
      <c r="C134" s="301" t="s">
        <v>592</v>
      </c>
      <c r="D134">
        <f>Inputs!$D$288</f>
        <v>2.5000000000000001E-2</v>
      </c>
      <c r="E134" s="32" t="s">
        <v>23</v>
      </c>
      <c r="F134" s="266"/>
      <c r="G134" s="286"/>
      <c r="H134" s="266"/>
      <c r="I134" s="266"/>
      <c r="J134" s="266"/>
      <c r="K134" s="266"/>
      <c r="L134" s="266"/>
      <c r="M134" s="266"/>
      <c r="N134" s="266"/>
      <c r="O134" s="266"/>
      <c r="P134" s="266"/>
      <c r="Q134" s="266"/>
      <c r="R134" s="266"/>
      <c r="S134" s="266"/>
      <c r="T134" s="266"/>
      <c r="U134" s="266"/>
      <c r="V134" s="266"/>
      <c r="W134" s="266"/>
      <c r="X134" s="266"/>
      <c r="Y134" s="266"/>
      <c r="Z134" s="266"/>
      <c r="AA134" s="266"/>
      <c r="AB134" s="266"/>
      <c r="AC134" s="266"/>
      <c r="AD134" s="266"/>
      <c r="AE134" s="266"/>
      <c r="AF134" s="266"/>
      <c r="AG134" s="266"/>
      <c r="AH134" s="266"/>
      <c r="AI134" s="266"/>
      <c r="AJ134" s="266"/>
      <c r="AK134" s="266"/>
      <c r="AL134" s="266"/>
      <c r="AM134" s="266"/>
      <c r="AN134" s="266"/>
    </row>
    <row r="135" spans="3:40" outlineLevel="3">
      <c r="C135" s="301" t="s">
        <v>593</v>
      </c>
      <c r="E135" s="32" t="s">
        <v>23</v>
      </c>
      <c r="F135" s="266"/>
      <c r="G135" s="272">
        <f t="shared" ref="G135:AN135" si="94">IF(G129=1,$D$134+G131+G132,0)</f>
        <v>0.11000000000000001</v>
      </c>
      <c r="H135" s="272">
        <f t="shared" si="94"/>
        <v>0.11000000000000001</v>
      </c>
      <c r="I135" s="272">
        <f t="shared" si="94"/>
        <v>0.11000000000000001</v>
      </c>
      <c r="J135" s="272">
        <f t="shared" si="94"/>
        <v>0.11000000000000001</v>
      </c>
      <c r="K135" s="272">
        <f t="shared" si="94"/>
        <v>0.11000000000000001</v>
      </c>
      <c r="L135" s="272">
        <f t="shared" si="94"/>
        <v>0.11000000000000001</v>
      </c>
      <c r="M135" s="272">
        <f t="shared" si="94"/>
        <v>0.11000000000000001</v>
      </c>
      <c r="N135" s="272">
        <f t="shared" si="94"/>
        <v>0.11000000000000001</v>
      </c>
      <c r="O135" s="272">
        <f t="shared" si="94"/>
        <v>0.11000000000000001</v>
      </c>
      <c r="P135" s="272">
        <f t="shared" si="94"/>
        <v>0.11000000000000001</v>
      </c>
      <c r="Q135" s="272">
        <f t="shared" si="94"/>
        <v>0.11000000000000001</v>
      </c>
      <c r="R135" s="272">
        <f t="shared" si="94"/>
        <v>0.11000000000000001</v>
      </c>
      <c r="S135" s="272">
        <f t="shared" si="94"/>
        <v>0.11000000000000001</v>
      </c>
      <c r="T135" s="272">
        <f t="shared" si="94"/>
        <v>0.11000000000000001</v>
      </c>
      <c r="U135" s="272">
        <f t="shared" si="94"/>
        <v>0.11000000000000001</v>
      </c>
      <c r="V135" s="272">
        <f t="shared" si="94"/>
        <v>0.11000000000000001</v>
      </c>
      <c r="W135" s="272">
        <f t="shared" si="94"/>
        <v>0</v>
      </c>
      <c r="X135" s="272">
        <f t="shared" si="94"/>
        <v>0</v>
      </c>
      <c r="Y135" s="272">
        <f t="shared" si="94"/>
        <v>0</v>
      </c>
      <c r="Z135" s="272">
        <f t="shared" si="94"/>
        <v>0</v>
      </c>
      <c r="AA135" s="272">
        <f t="shared" si="94"/>
        <v>0</v>
      </c>
      <c r="AB135" s="272">
        <f t="shared" si="94"/>
        <v>0</v>
      </c>
      <c r="AC135" s="272">
        <f t="shared" si="94"/>
        <v>0</v>
      </c>
      <c r="AD135" s="272">
        <f t="shared" si="94"/>
        <v>0</v>
      </c>
      <c r="AE135" s="272">
        <f t="shared" si="94"/>
        <v>0</v>
      </c>
      <c r="AF135" s="272">
        <f t="shared" si="94"/>
        <v>0</v>
      </c>
      <c r="AG135" s="272">
        <f t="shared" si="94"/>
        <v>0</v>
      </c>
      <c r="AH135" s="272">
        <f t="shared" si="94"/>
        <v>0</v>
      </c>
      <c r="AI135" s="272">
        <f t="shared" si="94"/>
        <v>0</v>
      </c>
      <c r="AJ135" s="272">
        <f t="shared" si="94"/>
        <v>0</v>
      </c>
      <c r="AK135" s="272">
        <f t="shared" si="94"/>
        <v>0</v>
      </c>
      <c r="AL135" s="272">
        <f t="shared" si="94"/>
        <v>0</v>
      </c>
      <c r="AM135" s="272">
        <f t="shared" si="94"/>
        <v>0</v>
      </c>
      <c r="AN135" s="272">
        <f t="shared" si="94"/>
        <v>0</v>
      </c>
    </row>
    <row r="136" spans="3:40" outlineLevel="3">
      <c r="C136" s="266"/>
      <c r="D136" s="266"/>
      <c r="E136" s="266"/>
      <c r="F136" s="266"/>
      <c r="G136" s="266"/>
      <c r="H136" s="266"/>
      <c r="I136" s="266"/>
      <c r="J136" s="266"/>
      <c r="K136" s="266"/>
      <c r="L136" s="266"/>
      <c r="M136" s="266"/>
      <c r="N136" s="266"/>
      <c r="O136" s="266"/>
      <c r="P136" s="266"/>
      <c r="Q136" s="266"/>
      <c r="R136" s="266"/>
      <c r="S136" s="266"/>
      <c r="T136" s="266"/>
      <c r="U136" s="266"/>
      <c r="V136" s="266"/>
      <c r="W136" s="266"/>
      <c r="X136" s="266"/>
      <c r="Y136" s="266"/>
      <c r="Z136" s="266"/>
      <c r="AA136" s="266"/>
      <c r="AB136" s="266"/>
      <c r="AC136" s="266"/>
      <c r="AD136" s="266"/>
      <c r="AE136" s="266"/>
      <c r="AF136" s="266"/>
      <c r="AG136" s="266"/>
      <c r="AH136" s="266"/>
      <c r="AI136" s="266"/>
      <c r="AJ136" s="266"/>
      <c r="AK136" s="266"/>
      <c r="AL136" s="266"/>
      <c r="AM136" s="266"/>
      <c r="AN136" s="266"/>
    </row>
    <row r="137" spans="3:40" outlineLevel="3">
      <c r="C137" s="301" t="s">
        <v>594</v>
      </c>
      <c r="D137" s="266"/>
      <c r="E137" s="41" t="s">
        <v>13</v>
      </c>
      <c r="F137" s="79">
        <f ca="1">SUM(G137:AN137)</f>
        <v>17886.06173007247</v>
      </c>
      <c r="G137" s="272">
        <f t="shared" ref="G137:AN137" ca="1" si="95">G135*SUM(G140:G141)</f>
        <v>592.62671164927997</v>
      </c>
      <c r="H137" s="272">
        <f t="shared" ca="1" si="95"/>
        <v>673.61068116215745</v>
      </c>
      <c r="I137" s="272">
        <f t="shared" ca="1" si="95"/>
        <v>769.50200943303844</v>
      </c>
      <c r="J137" s="272">
        <f t="shared" ca="1" si="95"/>
        <v>765.78237489019</v>
      </c>
      <c r="K137" s="272">
        <f t="shared" ca="1" si="95"/>
        <v>778.54037950367376</v>
      </c>
      <c r="L137" s="272">
        <f t="shared" ca="1" si="95"/>
        <v>1421.066581572793</v>
      </c>
      <c r="M137" s="272">
        <f t="shared" ca="1" si="95"/>
        <v>1361.7079480337991</v>
      </c>
      <c r="N137" s="272">
        <f t="shared" ca="1" si="95"/>
        <v>1730.6809130934641</v>
      </c>
      <c r="O137" s="272">
        <f t="shared" ca="1" si="95"/>
        <v>1610.8792099406439</v>
      </c>
      <c r="P137" s="272">
        <f t="shared" ca="1" si="95"/>
        <v>1521.5660240447526</v>
      </c>
      <c r="Q137" s="272">
        <f t="shared" ca="1" si="95"/>
        <v>1445.951455159425</v>
      </c>
      <c r="R137" s="272">
        <f t="shared" ca="1" si="95"/>
        <v>1323.706276216046</v>
      </c>
      <c r="S137" s="272">
        <f t="shared" ca="1" si="95"/>
        <v>1155.0447153432801</v>
      </c>
      <c r="T137" s="272">
        <f t="shared" ca="1" si="95"/>
        <v>919.63280882267156</v>
      </c>
      <c r="U137" s="272">
        <f t="shared" ca="1" si="95"/>
        <v>1094.3966200073303</v>
      </c>
      <c r="V137" s="272">
        <f t="shared" ca="1" si="95"/>
        <v>721.36702119992469</v>
      </c>
      <c r="W137" s="272">
        <f t="shared" ca="1" si="95"/>
        <v>0</v>
      </c>
      <c r="X137" s="272">
        <f t="shared" ca="1" si="95"/>
        <v>0</v>
      </c>
      <c r="Y137" s="272">
        <f t="shared" ca="1" si="95"/>
        <v>0</v>
      </c>
      <c r="Z137" s="272">
        <f t="shared" ca="1" si="95"/>
        <v>0</v>
      </c>
      <c r="AA137" s="272">
        <f t="shared" ca="1" si="95"/>
        <v>0</v>
      </c>
      <c r="AB137" s="272">
        <f t="shared" ca="1" si="95"/>
        <v>0</v>
      </c>
      <c r="AC137" s="272">
        <f t="shared" ca="1" si="95"/>
        <v>0</v>
      </c>
      <c r="AD137" s="272">
        <f t="shared" ca="1" si="95"/>
        <v>0</v>
      </c>
      <c r="AE137" s="272">
        <f t="shared" ca="1" si="95"/>
        <v>0</v>
      </c>
      <c r="AF137" s="272">
        <f t="shared" ca="1" si="95"/>
        <v>0</v>
      </c>
      <c r="AG137" s="272">
        <f t="shared" ca="1" si="95"/>
        <v>0</v>
      </c>
      <c r="AH137" s="272">
        <f t="shared" ca="1" si="95"/>
        <v>0</v>
      </c>
      <c r="AI137" s="272">
        <f t="shared" ca="1" si="95"/>
        <v>0</v>
      </c>
      <c r="AJ137" s="272">
        <f t="shared" ca="1" si="95"/>
        <v>0</v>
      </c>
      <c r="AK137" s="272">
        <f t="shared" ca="1" si="95"/>
        <v>0</v>
      </c>
      <c r="AL137" s="272">
        <f t="shared" ca="1" si="95"/>
        <v>0</v>
      </c>
      <c r="AM137" s="272">
        <f t="shared" ca="1" si="95"/>
        <v>0</v>
      </c>
      <c r="AN137" s="272">
        <f t="shared" ca="1" si="95"/>
        <v>0</v>
      </c>
    </row>
    <row r="138" spans="3:40" outlineLevel="2">
      <c r="C138" s="266"/>
      <c r="D138" s="266"/>
      <c r="E138" s="266"/>
      <c r="F138" s="266"/>
      <c r="G138" s="266"/>
      <c r="H138" s="266"/>
      <c r="I138" s="266"/>
      <c r="J138" s="266"/>
      <c r="K138" s="266"/>
      <c r="L138" s="266"/>
      <c r="M138" s="266"/>
      <c r="N138" s="266"/>
      <c r="O138" s="266"/>
      <c r="P138" s="266"/>
      <c r="Q138" s="266"/>
      <c r="R138" s="266"/>
      <c r="S138" s="266"/>
      <c r="T138" s="266"/>
      <c r="U138" s="266"/>
      <c r="V138" s="266"/>
      <c r="W138" s="266"/>
      <c r="X138" s="266"/>
      <c r="Y138" s="266"/>
      <c r="Z138" s="266"/>
      <c r="AA138" s="266"/>
      <c r="AB138" s="266"/>
      <c r="AC138" s="266"/>
      <c r="AD138" s="266"/>
      <c r="AE138" s="266"/>
      <c r="AF138" s="266"/>
      <c r="AG138" s="266"/>
      <c r="AH138" s="266"/>
      <c r="AI138" s="266"/>
      <c r="AJ138" s="266"/>
      <c r="AK138" s="266"/>
      <c r="AL138" s="266"/>
      <c r="AM138" s="266"/>
      <c r="AN138" s="266"/>
    </row>
    <row r="139" spans="3:40" outlineLevel="2">
      <c r="C139" s="11" t="s">
        <v>595</v>
      </c>
      <c r="E139" s="266"/>
      <c r="F139" s="266"/>
      <c r="G139" s="266"/>
      <c r="H139" s="266"/>
      <c r="I139" s="266"/>
      <c r="J139" s="266"/>
      <c r="K139" s="266"/>
      <c r="L139" s="266"/>
      <c r="M139" s="266"/>
      <c r="N139" s="266"/>
      <c r="O139" s="266"/>
      <c r="P139" s="266"/>
      <c r="Q139" s="266"/>
      <c r="R139" s="266"/>
      <c r="S139" s="266"/>
      <c r="T139" s="266"/>
      <c r="U139" s="266"/>
      <c r="V139" s="266"/>
      <c r="W139" s="266"/>
      <c r="X139" s="266"/>
      <c r="Y139" s="266"/>
      <c r="Z139" s="266"/>
      <c r="AA139" s="266"/>
      <c r="AB139" s="266"/>
      <c r="AC139" s="266"/>
      <c r="AD139" s="266"/>
      <c r="AE139" s="266"/>
      <c r="AF139" s="266"/>
      <c r="AG139" s="266"/>
      <c r="AH139" s="266"/>
      <c r="AI139" s="266"/>
      <c r="AJ139" s="266"/>
      <c r="AK139" s="266"/>
      <c r="AL139" s="266"/>
      <c r="AM139" s="266"/>
      <c r="AN139" s="266"/>
    </row>
    <row r="140" spans="3:40" outlineLevel="3">
      <c r="C140" s="270" t="s">
        <v>596</v>
      </c>
      <c r="D140" s="270"/>
      <c r="E140" s="72" t="s">
        <v>13</v>
      </c>
      <c r="F140" s="327"/>
      <c r="G140" s="327">
        <f t="shared" ref="G140" si="96">F143</f>
        <v>0</v>
      </c>
      <c r="H140" s="327">
        <f t="shared" ref="H140" ca="1" si="97">G143</f>
        <v>5387.5155604479987</v>
      </c>
      <c r="I140" s="327">
        <f t="shared" ref="I140" ca="1" si="98">H143</f>
        <v>6123.7334651105211</v>
      </c>
      <c r="J140" s="327">
        <f t="shared" ref="J140" ca="1" si="99">I143</f>
        <v>6763.025832710081</v>
      </c>
      <c r="K140" s="327">
        <f t="shared" ref="K140" ca="1" si="100">J143</f>
        <v>6696.0637928326605</v>
      </c>
      <c r="L140" s="327">
        <f t="shared" ref="L140" ca="1" si="101">K143</f>
        <v>6766.0305385219726</v>
      </c>
      <c r="M140" s="327">
        <f t="shared" ref="M140" ca="1" si="102">L143</f>
        <v>12258.365697467156</v>
      </c>
      <c r="N140" s="327">
        <f t="shared" ref="N140" ca="1" si="103">M143</f>
        <v>11638.871540467117</v>
      </c>
      <c r="O140" s="327">
        <f t="shared" ref="O140" ca="1" si="104">N143</f>
        <v>14622.654183168752</v>
      </c>
      <c r="P140" s="327">
        <f t="shared" ref="P140" ca="1" si="105">O143</f>
        <v>13409.52887956974</v>
      </c>
      <c r="Q140" s="327">
        <f t="shared" ref="Q140" ca="1" si="106">P143</f>
        <v>12418.534026462765</v>
      </c>
      <c r="R140" s="327">
        <f t="shared" ref="R140" ca="1" si="107">Q143</f>
        <v>11483.791628543688</v>
      </c>
      <c r="S140" s="327">
        <f t="shared" ref="S140" ca="1" si="108">R143</f>
        <v>10101.439543067627</v>
      </c>
      <c r="T140" s="327">
        <f t="shared" ref="T140" ca="1" si="109">S143</f>
        <v>8270.8935005478143</v>
      </c>
      <c r="U140" s="327">
        <f t="shared" ref="U140" ca="1" si="110">T143</f>
        <v>5858.7877560477191</v>
      </c>
      <c r="V140" s="327">
        <f t="shared" ref="V140" ca="1" si="111">U143</f>
        <v>5233.8657828872783</v>
      </c>
      <c r="W140" s="327">
        <f t="shared" ref="W140" ca="1" si="112">V143</f>
        <v>0</v>
      </c>
      <c r="X140" s="327">
        <f t="shared" ref="X140" ca="1" si="113">W143</f>
        <v>391.76512583710007</v>
      </c>
      <c r="Y140" s="327">
        <f t="shared" ref="Y140" ca="1" si="114">X143</f>
        <v>567.59002667420009</v>
      </c>
      <c r="Z140" s="327">
        <f t="shared" ref="Z140" ca="1" si="115">Y143</f>
        <v>980.58944751130014</v>
      </c>
      <c r="AA140" s="327">
        <f t="shared" ref="AA140" ca="1" si="116">Z143</f>
        <v>1005.2529683484001</v>
      </c>
      <c r="AB140" s="327">
        <f t="shared" ref="AB140" ca="1" si="117">AA143</f>
        <v>1640.747161247052</v>
      </c>
      <c r="AC140" s="327">
        <f t="shared" ref="AC140" ca="1" si="118">AB143</f>
        <v>5946.6912578492374</v>
      </c>
      <c r="AD140" s="327">
        <f t="shared" ref="AD140" ca="1" si="119">AC143</f>
        <v>6314.3447179023378</v>
      </c>
      <c r="AE140" s="327">
        <f t="shared" ref="AE140" ca="1" si="120">AD143</f>
        <v>6692.9594887394378</v>
      </c>
      <c r="AF140" s="327">
        <f t="shared" ref="AF140" ca="1" si="121">AE143</f>
        <v>6891.9213095765381</v>
      </c>
      <c r="AG140" s="327">
        <f t="shared" ref="AG140" ca="1" si="122">AF143</f>
        <v>8551.6606776696644</v>
      </c>
      <c r="AH140" s="327">
        <f t="shared" ref="AH140" ca="1" si="123">AG143</f>
        <v>8583.5520535067644</v>
      </c>
      <c r="AI140" s="327">
        <f t="shared" ref="AI140" ca="1" si="124">AH143</f>
        <v>9582.2508549832364</v>
      </c>
      <c r="AJ140" s="327">
        <f t="shared" ref="AJ140" ca="1" si="125">AI143</f>
        <v>12789.081420820337</v>
      </c>
      <c r="AK140" s="327">
        <f t="shared" ref="AK140" ca="1" si="126">AJ143</f>
        <v>12820.783691657438</v>
      </c>
      <c r="AL140" s="327">
        <f ca="1">AK143</f>
        <v>12820.783691657438</v>
      </c>
      <c r="AM140" s="327">
        <f ca="1">AL143</f>
        <v>12820.783691657438</v>
      </c>
      <c r="AN140" s="327">
        <f ca="1">AM143</f>
        <v>12820.783691657438</v>
      </c>
    </row>
    <row r="141" spans="3:40" outlineLevel="3">
      <c r="C141" s="341" t="s">
        <v>572</v>
      </c>
      <c r="D141" s="266"/>
      <c r="E141" s="73" t="s">
        <v>13</v>
      </c>
      <c r="F141" s="70">
        <f ca="1">SUM(G141:AN141)</f>
        <v>38388.243146281529</v>
      </c>
      <c r="G141" s="273">
        <f t="shared" ref="G141:AN141" ca="1" si="127">G$76</f>
        <v>5387.5155604479987</v>
      </c>
      <c r="H141" s="273">
        <f ca="1">H$76</f>
        <v>736.21790466252253</v>
      </c>
      <c r="I141" s="273">
        <f t="shared" ca="1" si="127"/>
        <v>871.73934791710019</v>
      </c>
      <c r="J141" s="273">
        <f t="shared" ca="1" si="127"/>
        <v>198.63212083710005</v>
      </c>
      <c r="K141" s="273">
        <f t="shared" ca="1" si="127"/>
        <v>381.57602083710003</v>
      </c>
      <c r="L141" s="273">
        <f t="shared" ca="1" si="127"/>
        <v>6152.7565666852361</v>
      </c>
      <c r="M141" s="273">
        <f t="shared" ca="1" si="127"/>
        <v>120.79746647647202</v>
      </c>
      <c r="N141" s="273">
        <f t="shared" ca="1" si="127"/>
        <v>4094.5913058371002</v>
      </c>
      <c r="O141" s="273">
        <f t="shared" ca="1" si="127"/>
        <v>21.702270837100006</v>
      </c>
      <c r="P141" s="273">
        <f t="shared" ca="1" si="127"/>
        <v>422.88952083710018</v>
      </c>
      <c r="Q141" s="273">
        <f t="shared" ca="1" si="127"/>
        <v>726.4792022592801</v>
      </c>
      <c r="R141" s="273">
        <f t="shared" ca="1" si="127"/>
        <v>549.90179160218463</v>
      </c>
      <c r="S141" s="273">
        <f t="shared" ca="1" si="127"/>
        <v>398.96696005310019</v>
      </c>
      <c r="T141" s="273">
        <f t="shared" ca="1" si="127"/>
        <v>89.404761476472018</v>
      </c>
      <c r="U141" s="273">
        <f t="shared" ca="1" si="127"/>
        <v>4090.2724258371009</v>
      </c>
      <c r="V141" s="273">
        <f t="shared" ca="1" si="127"/>
        <v>1324.0162280211268</v>
      </c>
      <c r="W141" s="273">
        <f t="shared" ca="1" si="127"/>
        <v>391.76512583710007</v>
      </c>
      <c r="X141" s="273">
        <f t="shared" ca="1" si="127"/>
        <v>175.82490083709999</v>
      </c>
      <c r="Y141" s="273">
        <f t="shared" ca="1" si="127"/>
        <v>412.99942083710005</v>
      </c>
      <c r="Z141" s="273">
        <f t="shared" ca="1" si="127"/>
        <v>24.663520837100002</v>
      </c>
      <c r="AA141" s="273">
        <f t="shared" ca="1" si="127"/>
        <v>635.49419289865182</v>
      </c>
      <c r="AB141" s="273">
        <f t="shared" ca="1" si="127"/>
        <v>4305.9440966021857</v>
      </c>
      <c r="AC141" s="273">
        <f t="shared" ca="1" si="127"/>
        <v>367.65346005310005</v>
      </c>
      <c r="AD141" s="273">
        <f t="shared" ca="1" si="127"/>
        <v>378.61477083710002</v>
      </c>
      <c r="AE141" s="273">
        <f t="shared" ca="1" si="127"/>
        <v>198.96182083710002</v>
      </c>
      <c r="AF141" s="273">
        <f t="shared" ca="1" si="127"/>
        <v>1659.7393680931268</v>
      </c>
      <c r="AG141" s="273">
        <f t="shared" ca="1" si="127"/>
        <v>31.8913758371</v>
      </c>
      <c r="AH141" s="273">
        <f t="shared" ca="1" si="127"/>
        <v>998.69880147647189</v>
      </c>
      <c r="AI141" s="273">
        <f t="shared" ca="1" si="127"/>
        <v>3206.8305658371</v>
      </c>
      <c r="AJ141" s="273">
        <f t="shared" ca="1" si="127"/>
        <v>31.702270837099999</v>
      </c>
      <c r="AK141" s="273">
        <f t="shared" ca="1" si="127"/>
        <v>0</v>
      </c>
      <c r="AL141" s="273">
        <f t="shared" ca="1" si="127"/>
        <v>0</v>
      </c>
      <c r="AM141" s="273">
        <f t="shared" ca="1" si="127"/>
        <v>0</v>
      </c>
      <c r="AN141" s="273">
        <f t="shared" ca="1" si="127"/>
        <v>0</v>
      </c>
    </row>
    <row r="142" spans="3:40" outlineLevel="3">
      <c r="C142" s="341" t="s">
        <v>573</v>
      </c>
      <c r="D142" s="266"/>
      <c r="E142" s="73" t="s">
        <v>13</v>
      </c>
      <c r="F142" s="47">
        <f ca="1">SUM(G142:AN142)</f>
        <v>-25567.459454624084</v>
      </c>
      <c r="G142" s="273">
        <f t="shared" ref="G142:AN142" si="128">-G$152</f>
        <v>0</v>
      </c>
      <c r="H142" s="273">
        <f t="shared" si="128"/>
        <v>0</v>
      </c>
      <c r="I142" s="273">
        <f t="shared" ca="1" si="128"/>
        <v>-232.44698031754103</v>
      </c>
      <c r="J142" s="273">
        <f t="shared" ca="1" si="128"/>
        <v>-265.5941607145204</v>
      </c>
      <c r="K142" s="273">
        <f t="shared" ca="1" si="128"/>
        <v>-311.60927514778848</v>
      </c>
      <c r="L142" s="273">
        <f t="shared" ca="1" si="128"/>
        <v>-660.42140774005156</v>
      </c>
      <c r="M142" s="273">
        <f t="shared" ca="1" si="128"/>
        <v>-740.2916234765114</v>
      </c>
      <c r="N142" s="273">
        <f t="shared" ca="1" si="128"/>
        <v>-1110.8086631354661</v>
      </c>
      <c r="O142" s="273">
        <f t="shared" ca="1" si="128"/>
        <v>-1234.8275744361133</v>
      </c>
      <c r="P142" s="273">
        <f t="shared" ca="1" si="128"/>
        <v>-1413.8843739440738</v>
      </c>
      <c r="Q142" s="273">
        <f t="shared" ca="1" si="128"/>
        <v>-1661.2216001783565</v>
      </c>
      <c r="R142" s="273">
        <f t="shared" ca="1" si="128"/>
        <v>-1932.2538770782451</v>
      </c>
      <c r="S142" s="273">
        <f t="shared" ca="1" si="128"/>
        <v>-2229.5130025729118</v>
      </c>
      <c r="T142" s="273">
        <f t="shared" ca="1" si="128"/>
        <v>-2501.510505976566</v>
      </c>
      <c r="U142" s="273">
        <f t="shared" ca="1" si="128"/>
        <v>-4715.1943989975407</v>
      </c>
      <c r="V142" s="273">
        <f t="shared" ca="1" si="128"/>
        <v>-6557.882010908399</v>
      </c>
      <c r="W142" s="273">
        <f t="shared" si="128"/>
        <v>0</v>
      </c>
      <c r="X142" s="273">
        <f t="shared" si="128"/>
        <v>0</v>
      </c>
      <c r="Y142" s="273">
        <f t="shared" si="128"/>
        <v>0</v>
      </c>
      <c r="Z142" s="273">
        <f t="shared" si="128"/>
        <v>0</v>
      </c>
      <c r="AA142" s="273">
        <f t="shared" si="128"/>
        <v>0</v>
      </c>
      <c r="AB142" s="273">
        <f t="shared" si="128"/>
        <v>0</v>
      </c>
      <c r="AC142" s="273">
        <f t="shared" si="128"/>
        <v>0</v>
      </c>
      <c r="AD142" s="273">
        <f t="shared" si="128"/>
        <v>0</v>
      </c>
      <c r="AE142" s="273">
        <f t="shared" si="128"/>
        <v>0</v>
      </c>
      <c r="AF142" s="273">
        <f t="shared" si="128"/>
        <v>0</v>
      </c>
      <c r="AG142" s="273">
        <f t="shared" si="128"/>
        <v>0</v>
      </c>
      <c r="AH142" s="273">
        <f t="shared" si="128"/>
        <v>0</v>
      </c>
      <c r="AI142" s="273">
        <f t="shared" si="128"/>
        <v>0</v>
      </c>
      <c r="AJ142" s="273">
        <f t="shared" si="128"/>
        <v>0</v>
      </c>
      <c r="AK142" s="273">
        <f t="shared" si="128"/>
        <v>0</v>
      </c>
      <c r="AL142" s="273">
        <f t="shared" si="128"/>
        <v>0</v>
      </c>
      <c r="AM142" s="273">
        <f t="shared" si="128"/>
        <v>0</v>
      </c>
      <c r="AN142" s="273">
        <f t="shared" si="128"/>
        <v>0</v>
      </c>
    </row>
    <row r="143" spans="3:40" ht="16.2" outlineLevel="3" thickBot="1">
      <c r="C143" s="275" t="s">
        <v>597</v>
      </c>
      <c r="D143" s="275"/>
      <c r="E143" s="74" t="s">
        <v>13</v>
      </c>
      <c r="F143" s="71"/>
      <c r="G143" s="325">
        <f t="shared" ref="G143:AN143" ca="1" si="129">SUM(G140:G142)</f>
        <v>5387.5155604479987</v>
      </c>
      <c r="H143" s="325">
        <f t="shared" ca="1" si="129"/>
        <v>6123.7334651105211</v>
      </c>
      <c r="I143" s="325">
        <f t="shared" ca="1" si="129"/>
        <v>6763.025832710081</v>
      </c>
      <c r="J143" s="325">
        <f t="shared" ca="1" si="129"/>
        <v>6696.0637928326605</v>
      </c>
      <c r="K143" s="325">
        <f t="shared" ca="1" si="129"/>
        <v>6766.0305385219726</v>
      </c>
      <c r="L143" s="325">
        <f t="shared" ca="1" si="129"/>
        <v>12258.365697467156</v>
      </c>
      <c r="M143" s="325">
        <f t="shared" ca="1" si="129"/>
        <v>11638.871540467117</v>
      </c>
      <c r="N143" s="325">
        <f t="shared" ca="1" si="129"/>
        <v>14622.654183168752</v>
      </c>
      <c r="O143" s="325">
        <f t="shared" ca="1" si="129"/>
        <v>13409.52887956974</v>
      </c>
      <c r="P143" s="325">
        <f t="shared" ca="1" si="129"/>
        <v>12418.534026462765</v>
      </c>
      <c r="Q143" s="325">
        <f t="shared" ca="1" si="129"/>
        <v>11483.791628543688</v>
      </c>
      <c r="R143" s="325">
        <f t="shared" ca="1" si="129"/>
        <v>10101.439543067627</v>
      </c>
      <c r="S143" s="325">
        <f t="shared" ca="1" si="129"/>
        <v>8270.8935005478143</v>
      </c>
      <c r="T143" s="325">
        <f t="shared" ca="1" si="129"/>
        <v>5858.7877560477191</v>
      </c>
      <c r="U143" s="325">
        <f t="shared" ca="1" si="129"/>
        <v>5233.8657828872783</v>
      </c>
      <c r="V143" s="325">
        <f t="shared" ca="1" si="129"/>
        <v>0</v>
      </c>
      <c r="W143" s="325">
        <f t="shared" ca="1" si="129"/>
        <v>391.76512583710007</v>
      </c>
      <c r="X143" s="325">
        <f t="shared" ca="1" si="129"/>
        <v>567.59002667420009</v>
      </c>
      <c r="Y143" s="325">
        <f t="shared" ca="1" si="129"/>
        <v>980.58944751130014</v>
      </c>
      <c r="Z143" s="325">
        <f t="shared" ca="1" si="129"/>
        <v>1005.2529683484001</v>
      </c>
      <c r="AA143" s="325">
        <f t="shared" ca="1" si="129"/>
        <v>1640.747161247052</v>
      </c>
      <c r="AB143" s="325">
        <f t="shared" ca="1" si="129"/>
        <v>5946.6912578492374</v>
      </c>
      <c r="AC143" s="325">
        <f t="shared" ca="1" si="129"/>
        <v>6314.3447179023378</v>
      </c>
      <c r="AD143" s="325">
        <f t="shared" ca="1" si="129"/>
        <v>6692.9594887394378</v>
      </c>
      <c r="AE143" s="325">
        <f t="shared" ca="1" si="129"/>
        <v>6891.9213095765381</v>
      </c>
      <c r="AF143" s="325">
        <f t="shared" ca="1" si="129"/>
        <v>8551.6606776696644</v>
      </c>
      <c r="AG143" s="325">
        <f t="shared" ca="1" si="129"/>
        <v>8583.5520535067644</v>
      </c>
      <c r="AH143" s="325">
        <f t="shared" ca="1" si="129"/>
        <v>9582.2508549832364</v>
      </c>
      <c r="AI143" s="325">
        <f t="shared" ca="1" si="129"/>
        <v>12789.081420820337</v>
      </c>
      <c r="AJ143" s="325">
        <f t="shared" ca="1" si="129"/>
        <v>12820.783691657438</v>
      </c>
      <c r="AK143" s="325">
        <f t="shared" ca="1" si="129"/>
        <v>12820.783691657438</v>
      </c>
      <c r="AL143" s="325">
        <f t="shared" ca="1" si="129"/>
        <v>12820.783691657438</v>
      </c>
      <c r="AM143" s="325">
        <f t="shared" ca="1" si="129"/>
        <v>12820.783691657438</v>
      </c>
      <c r="AN143" s="325">
        <f t="shared" ca="1" si="129"/>
        <v>12820.783691657438</v>
      </c>
    </row>
    <row r="144" spans="3:40" ht="16.2" outlineLevel="3" thickTop="1">
      <c r="C144" s="266"/>
      <c r="D144" s="266"/>
      <c r="E144" s="266"/>
      <c r="F144" s="266"/>
      <c r="G144" s="266"/>
      <c r="H144" s="266"/>
      <c r="I144" s="266"/>
      <c r="J144" s="266"/>
      <c r="K144" s="266"/>
      <c r="L144" s="266"/>
      <c r="M144" s="266"/>
      <c r="N144" s="266"/>
      <c r="O144" s="266"/>
      <c r="P144" s="266"/>
      <c r="Q144" s="266"/>
      <c r="R144" s="266"/>
      <c r="S144" s="266"/>
      <c r="T144" s="266"/>
      <c r="U144" s="266"/>
      <c r="V144" s="266"/>
      <c r="W144" s="266"/>
      <c r="X144" s="266"/>
      <c r="Y144" s="266"/>
      <c r="Z144" s="266"/>
      <c r="AA144" s="266"/>
      <c r="AB144" s="266"/>
      <c r="AC144" s="266"/>
      <c r="AD144" s="266"/>
      <c r="AE144" s="266"/>
      <c r="AF144" s="266"/>
      <c r="AG144" s="266"/>
      <c r="AH144" s="266"/>
      <c r="AI144" s="266"/>
      <c r="AJ144" s="266"/>
      <c r="AK144" s="266"/>
      <c r="AL144" s="266"/>
      <c r="AM144" s="266"/>
      <c r="AN144" s="266"/>
    </row>
    <row r="145" spans="3:40" outlineLevel="3">
      <c r="C145" s="281" t="str">
        <f>Flags!C$49</f>
        <v>Fim período</v>
      </c>
      <c r="D145" s="49"/>
      <c r="E145" s="41" t="str">
        <f>E89</f>
        <v>Data</v>
      </c>
      <c r="F145" s="319"/>
      <c r="G145" s="281">
        <f>Flags!G$49</f>
        <v>46752</v>
      </c>
      <c r="H145" s="281">
        <f>Flags!H$49</f>
        <v>47118</v>
      </c>
      <c r="I145" s="281">
        <f>Flags!I$49</f>
        <v>47483</v>
      </c>
      <c r="J145" s="281">
        <f>Flags!J$49</f>
        <v>47848</v>
      </c>
      <c r="K145" s="281">
        <f>Flags!K$49</f>
        <v>48213</v>
      </c>
      <c r="L145" s="281">
        <f>Flags!L$49</f>
        <v>48579</v>
      </c>
      <c r="M145" s="281">
        <f>Flags!M$49</f>
        <v>48944</v>
      </c>
      <c r="N145" s="281">
        <f>Flags!N$49</f>
        <v>49309</v>
      </c>
      <c r="O145" s="281">
        <f>Flags!O$49</f>
        <v>49674</v>
      </c>
      <c r="P145" s="281">
        <f>Flags!P$49</f>
        <v>50040</v>
      </c>
      <c r="Q145" s="281">
        <f>Flags!Q$49</f>
        <v>50405</v>
      </c>
      <c r="R145" s="281">
        <f>Flags!R$49</f>
        <v>50770</v>
      </c>
      <c r="S145" s="281">
        <f>Flags!S$49</f>
        <v>51135</v>
      </c>
      <c r="T145" s="281">
        <f>Flags!T$49</f>
        <v>51501</v>
      </c>
      <c r="U145" s="281">
        <f>Flags!U$49</f>
        <v>51866</v>
      </c>
      <c r="V145" s="281">
        <f>Flags!V$49</f>
        <v>52231</v>
      </c>
      <c r="W145" s="281">
        <f>Flags!W$49</f>
        <v>52596</v>
      </c>
      <c r="X145" s="281">
        <f>Flags!X$49</f>
        <v>52962</v>
      </c>
      <c r="Y145" s="281">
        <f>Flags!Y$49</f>
        <v>53327</v>
      </c>
      <c r="Z145" s="281">
        <f>Flags!Z$49</f>
        <v>53692</v>
      </c>
      <c r="AA145" s="281">
        <f>Flags!AA$49</f>
        <v>54057</v>
      </c>
      <c r="AB145" s="281">
        <f>Flags!AB$49</f>
        <v>54423</v>
      </c>
      <c r="AC145" s="281">
        <f>Flags!AC$49</f>
        <v>54788</v>
      </c>
      <c r="AD145" s="281">
        <f>Flags!AD$49</f>
        <v>55153</v>
      </c>
      <c r="AE145" s="281">
        <f>Flags!AE$49</f>
        <v>55518</v>
      </c>
      <c r="AF145" s="281">
        <f>Flags!AF$49</f>
        <v>55884</v>
      </c>
      <c r="AG145" s="281">
        <f>Flags!AG$49</f>
        <v>56249</v>
      </c>
      <c r="AH145" s="281">
        <f>Flags!AH$49</f>
        <v>56614</v>
      </c>
      <c r="AI145" s="281">
        <f>Flags!AI$49</f>
        <v>56979</v>
      </c>
      <c r="AJ145" s="281">
        <f>Flags!AJ$49</f>
        <v>57345</v>
      </c>
      <c r="AK145" s="281">
        <f>Flags!AK$49</f>
        <v>57710</v>
      </c>
      <c r="AL145" s="281">
        <f>Flags!AL$49</f>
        <v>58075</v>
      </c>
      <c r="AM145" s="281">
        <f>Flags!AM$49</f>
        <v>58440</v>
      </c>
      <c r="AN145" s="281">
        <f>Flags!AN$49</f>
        <v>58806</v>
      </c>
    </row>
    <row r="146" spans="3:40" outlineLevel="3">
      <c r="C146" t="str">
        <f t="shared" ref="C146:AN146" si="130">C$90</f>
        <v>Flag de repagamento dívida</v>
      </c>
      <c r="D146"/>
      <c r="E146" s="41" t="str">
        <f t="shared" si="130"/>
        <v>Flag</v>
      </c>
      <c r="F146" s="23">
        <f t="shared" si="130"/>
        <v>0</v>
      </c>
      <c r="G146" s="25">
        <f t="shared" si="130"/>
        <v>0</v>
      </c>
      <c r="H146" s="25">
        <f t="shared" si="130"/>
        <v>0</v>
      </c>
      <c r="I146" s="25">
        <f t="shared" si="130"/>
        <v>1</v>
      </c>
      <c r="J146" s="25">
        <f t="shared" si="130"/>
        <v>1</v>
      </c>
      <c r="K146" s="25">
        <f t="shared" si="130"/>
        <v>1</v>
      </c>
      <c r="L146" s="25">
        <f t="shared" si="130"/>
        <v>1</v>
      </c>
      <c r="M146" s="25">
        <f t="shared" si="130"/>
        <v>1</v>
      </c>
      <c r="N146" s="25">
        <f t="shared" si="130"/>
        <v>1</v>
      </c>
      <c r="O146" s="25">
        <f t="shared" si="130"/>
        <v>1</v>
      </c>
      <c r="P146" s="25">
        <f t="shared" si="130"/>
        <v>1</v>
      </c>
      <c r="Q146" s="25">
        <f t="shared" si="130"/>
        <v>1</v>
      </c>
      <c r="R146" s="25">
        <f t="shared" si="130"/>
        <v>1</v>
      </c>
      <c r="S146" s="25">
        <f t="shared" si="130"/>
        <v>1</v>
      </c>
      <c r="T146" s="25">
        <f t="shared" si="130"/>
        <v>1</v>
      </c>
      <c r="U146" s="25">
        <f t="shared" si="130"/>
        <v>1</v>
      </c>
      <c r="V146" s="25">
        <f t="shared" si="130"/>
        <v>1</v>
      </c>
      <c r="W146" s="25">
        <f t="shared" si="130"/>
        <v>0</v>
      </c>
      <c r="X146" s="25">
        <f t="shared" si="130"/>
        <v>0</v>
      </c>
      <c r="Y146" s="25">
        <f t="shared" si="130"/>
        <v>0</v>
      </c>
      <c r="Z146" s="25">
        <f t="shared" si="130"/>
        <v>0</v>
      </c>
      <c r="AA146" s="25">
        <f t="shared" si="130"/>
        <v>0</v>
      </c>
      <c r="AB146" s="25">
        <f t="shared" si="130"/>
        <v>0</v>
      </c>
      <c r="AC146" s="25">
        <f t="shared" si="130"/>
        <v>0</v>
      </c>
      <c r="AD146" s="25">
        <f t="shared" si="130"/>
        <v>0</v>
      </c>
      <c r="AE146" s="25">
        <f t="shared" si="130"/>
        <v>0</v>
      </c>
      <c r="AF146" s="25">
        <f t="shared" si="130"/>
        <v>0</v>
      </c>
      <c r="AG146" s="25">
        <f t="shared" si="130"/>
        <v>0</v>
      </c>
      <c r="AH146" s="25">
        <f t="shared" si="130"/>
        <v>0</v>
      </c>
      <c r="AI146" s="25">
        <f t="shared" si="130"/>
        <v>0</v>
      </c>
      <c r="AJ146" s="25">
        <f t="shared" si="130"/>
        <v>0</v>
      </c>
      <c r="AK146" s="25">
        <f t="shared" si="130"/>
        <v>0</v>
      </c>
      <c r="AL146" s="25">
        <f t="shared" si="130"/>
        <v>0</v>
      </c>
      <c r="AM146" s="25">
        <f t="shared" si="130"/>
        <v>0</v>
      </c>
      <c r="AN146" s="25">
        <f t="shared" si="130"/>
        <v>0</v>
      </c>
    </row>
    <row r="147" spans="3:40" outlineLevel="3">
      <c r="C147" t="str">
        <f t="shared" ref="C147:AN147" si="131">C$91</f>
        <v>Counter de periodo dívida</v>
      </c>
      <c r="D147"/>
      <c r="E147" s="41" t="str">
        <f t="shared" si="131"/>
        <v>Counter</v>
      </c>
      <c r="F147" s="23">
        <f t="shared" si="131"/>
        <v>0</v>
      </c>
      <c r="G147" s="78">
        <f t="shared" si="131"/>
        <v>14</v>
      </c>
      <c r="H147" s="78">
        <f t="shared" si="131"/>
        <v>14</v>
      </c>
      <c r="I147" s="78">
        <f t="shared" si="131"/>
        <v>14</v>
      </c>
      <c r="J147" s="78">
        <f t="shared" si="131"/>
        <v>13</v>
      </c>
      <c r="K147" s="78">
        <f t="shared" si="131"/>
        <v>12</v>
      </c>
      <c r="L147" s="78">
        <f t="shared" si="131"/>
        <v>11</v>
      </c>
      <c r="M147" s="78">
        <f t="shared" si="131"/>
        <v>10</v>
      </c>
      <c r="N147" s="78">
        <f t="shared" si="131"/>
        <v>9</v>
      </c>
      <c r="O147" s="78">
        <f t="shared" si="131"/>
        <v>8</v>
      </c>
      <c r="P147" s="78">
        <f t="shared" si="131"/>
        <v>7</v>
      </c>
      <c r="Q147" s="78">
        <f t="shared" si="131"/>
        <v>6</v>
      </c>
      <c r="R147" s="78">
        <f t="shared" si="131"/>
        <v>5</v>
      </c>
      <c r="S147" s="78">
        <f t="shared" si="131"/>
        <v>4</v>
      </c>
      <c r="T147" s="78">
        <f t="shared" si="131"/>
        <v>3</v>
      </c>
      <c r="U147" s="78">
        <f t="shared" si="131"/>
        <v>2</v>
      </c>
      <c r="V147" s="78">
        <f t="shared" si="131"/>
        <v>1</v>
      </c>
      <c r="W147" s="78">
        <f t="shared" si="131"/>
        <v>0</v>
      </c>
      <c r="X147" s="78">
        <f t="shared" si="131"/>
        <v>0</v>
      </c>
      <c r="Y147" s="78">
        <f t="shared" si="131"/>
        <v>0</v>
      </c>
      <c r="Z147" s="78">
        <f t="shared" si="131"/>
        <v>0</v>
      </c>
      <c r="AA147" s="78">
        <f t="shared" si="131"/>
        <v>0</v>
      </c>
      <c r="AB147" s="78">
        <f t="shared" si="131"/>
        <v>0</v>
      </c>
      <c r="AC147" s="78">
        <f t="shared" si="131"/>
        <v>0</v>
      </c>
      <c r="AD147" s="78">
        <f t="shared" si="131"/>
        <v>0</v>
      </c>
      <c r="AE147" s="78">
        <f t="shared" si="131"/>
        <v>0</v>
      </c>
      <c r="AF147" s="78">
        <f t="shared" si="131"/>
        <v>0</v>
      </c>
      <c r="AG147" s="78">
        <f t="shared" si="131"/>
        <v>0</v>
      </c>
      <c r="AH147" s="78">
        <f t="shared" si="131"/>
        <v>0</v>
      </c>
      <c r="AI147" s="78">
        <f t="shared" si="131"/>
        <v>0</v>
      </c>
      <c r="AJ147" s="78">
        <f t="shared" si="131"/>
        <v>0</v>
      </c>
      <c r="AK147" s="78">
        <f t="shared" si="131"/>
        <v>0</v>
      </c>
      <c r="AL147" s="78">
        <f t="shared" si="131"/>
        <v>0</v>
      </c>
      <c r="AM147" s="78">
        <f t="shared" si="131"/>
        <v>0</v>
      </c>
      <c r="AN147" s="78">
        <f t="shared" si="131"/>
        <v>0</v>
      </c>
    </row>
    <row r="148" spans="3:40" outlineLevel="2">
      <c r="C148"/>
      <c r="D148"/>
      <c r="F148" s="266"/>
      <c r="G148" s="80"/>
      <c r="H148" s="80"/>
      <c r="I148" s="80"/>
      <c r="J148" s="80"/>
      <c r="K148" s="80"/>
      <c r="L148" s="80"/>
      <c r="M148" s="80"/>
      <c r="N148" s="80"/>
      <c r="O148" s="80"/>
      <c r="P148" s="80"/>
      <c r="Q148" s="80"/>
      <c r="R148" s="80"/>
      <c r="S148" s="80"/>
      <c r="T148" s="80"/>
      <c r="U148" s="80"/>
      <c r="V148" s="80"/>
      <c r="W148" s="80"/>
      <c r="X148" s="80"/>
      <c r="Y148" s="80"/>
      <c r="Z148" s="80"/>
      <c r="AA148" s="80"/>
      <c r="AB148" s="80"/>
      <c r="AC148" s="80"/>
      <c r="AD148" s="80"/>
      <c r="AE148" s="80"/>
      <c r="AF148" s="80"/>
      <c r="AG148" s="80"/>
      <c r="AH148" s="80"/>
      <c r="AI148" s="80"/>
      <c r="AJ148" s="80"/>
      <c r="AK148" s="80"/>
      <c r="AL148" s="80"/>
      <c r="AM148" s="80"/>
      <c r="AN148" s="80"/>
    </row>
    <row r="149" spans="3:40" outlineLevel="2">
      <c r="C149" s="14" t="s">
        <v>598</v>
      </c>
      <c r="D149" s="266"/>
      <c r="E149" s="266"/>
      <c r="F149" s="266"/>
      <c r="G149" s="266"/>
      <c r="H149" s="266"/>
      <c r="I149" s="266"/>
      <c r="J149" s="266"/>
      <c r="K149" s="266"/>
      <c r="L149" s="266"/>
      <c r="M149" s="266"/>
      <c r="N149" s="266"/>
      <c r="O149" s="266"/>
      <c r="P149" s="266"/>
      <c r="Q149" s="266"/>
      <c r="R149" s="266"/>
      <c r="S149" s="266"/>
      <c r="T149" s="266"/>
      <c r="U149" s="266"/>
      <c r="V149" s="266"/>
      <c r="W149" s="266"/>
      <c r="X149" s="266"/>
      <c r="Y149" s="266"/>
      <c r="Z149" s="266"/>
      <c r="AA149" s="266"/>
      <c r="AB149" s="266"/>
      <c r="AC149" s="266"/>
      <c r="AD149" s="266"/>
      <c r="AE149" s="266"/>
      <c r="AF149" s="266"/>
      <c r="AG149" s="266"/>
      <c r="AH149" s="266"/>
      <c r="AI149" s="266"/>
      <c r="AJ149" s="266"/>
      <c r="AK149" s="266"/>
      <c r="AL149" s="266"/>
      <c r="AM149" s="266"/>
      <c r="AN149" s="266"/>
    </row>
    <row r="150" spans="3:40" outlineLevel="3">
      <c r="C150" s="301" t="s">
        <v>599</v>
      </c>
      <c r="D150" s="266"/>
      <c r="E150" s="41" t="s">
        <v>13</v>
      </c>
      <c r="F150" s="23">
        <f ca="1">SUM(G150:AN150)</f>
        <v>42187.283791885122</v>
      </c>
      <c r="G150" s="346">
        <f t="shared" ref="G150:AN150" si="132">IF(G146=0,0,G137/(1-(1+G135)^-G147))</f>
        <v>0</v>
      </c>
      <c r="H150" s="346">
        <f t="shared" si="132"/>
        <v>0</v>
      </c>
      <c r="I150" s="346">
        <f t="shared" ca="1" si="132"/>
        <v>1001.9489897505795</v>
      </c>
      <c r="J150" s="346">
        <f t="shared" ca="1" si="132"/>
        <v>1031.3765356047104</v>
      </c>
      <c r="K150" s="346">
        <f t="shared" ca="1" si="132"/>
        <v>1090.1496546514622</v>
      </c>
      <c r="L150" s="346">
        <f t="shared" ca="1" si="132"/>
        <v>2081.4879893128445</v>
      </c>
      <c r="M150" s="346">
        <f t="shared" ca="1" si="132"/>
        <v>2101.9995715103105</v>
      </c>
      <c r="N150" s="346">
        <f t="shared" ca="1" si="132"/>
        <v>2841.4895762289302</v>
      </c>
      <c r="O150" s="346">
        <f t="shared" ca="1" si="132"/>
        <v>2845.7067843767572</v>
      </c>
      <c r="P150" s="346">
        <f t="shared" ca="1" si="132"/>
        <v>2935.4503979888264</v>
      </c>
      <c r="Q150" s="346">
        <f t="shared" ca="1" si="132"/>
        <v>3107.1730553377815</v>
      </c>
      <c r="R150" s="346">
        <f t="shared" ca="1" si="132"/>
        <v>3255.9601532942911</v>
      </c>
      <c r="S150" s="346">
        <f t="shared" ca="1" si="132"/>
        <v>3384.5577179161919</v>
      </c>
      <c r="T150" s="346">
        <f t="shared" ca="1" si="132"/>
        <v>3421.1433147992375</v>
      </c>
      <c r="U150" s="346">
        <f t="shared" ca="1" si="132"/>
        <v>5809.5910190048708</v>
      </c>
      <c r="V150" s="346">
        <f t="shared" ca="1" si="132"/>
        <v>7279.2490321083242</v>
      </c>
      <c r="W150" s="346">
        <f t="shared" si="132"/>
        <v>0</v>
      </c>
      <c r="X150" s="346">
        <f t="shared" si="132"/>
        <v>0</v>
      </c>
      <c r="Y150" s="346">
        <f t="shared" si="132"/>
        <v>0</v>
      </c>
      <c r="Z150" s="346">
        <f t="shared" si="132"/>
        <v>0</v>
      </c>
      <c r="AA150" s="346">
        <f t="shared" si="132"/>
        <v>0</v>
      </c>
      <c r="AB150" s="346">
        <f t="shared" si="132"/>
        <v>0</v>
      </c>
      <c r="AC150" s="346">
        <f t="shared" si="132"/>
        <v>0</v>
      </c>
      <c r="AD150" s="346">
        <f t="shared" si="132"/>
        <v>0</v>
      </c>
      <c r="AE150" s="346">
        <f t="shared" si="132"/>
        <v>0</v>
      </c>
      <c r="AF150" s="346">
        <f t="shared" si="132"/>
        <v>0</v>
      </c>
      <c r="AG150" s="346">
        <f t="shared" si="132"/>
        <v>0</v>
      </c>
      <c r="AH150" s="346">
        <f t="shared" si="132"/>
        <v>0</v>
      </c>
      <c r="AI150" s="346">
        <f t="shared" si="132"/>
        <v>0</v>
      </c>
      <c r="AJ150" s="346">
        <f t="shared" si="132"/>
        <v>0</v>
      </c>
      <c r="AK150" s="346">
        <f t="shared" si="132"/>
        <v>0</v>
      </c>
      <c r="AL150" s="346">
        <f t="shared" si="132"/>
        <v>0</v>
      </c>
      <c r="AM150" s="346">
        <f t="shared" si="132"/>
        <v>0</v>
      </c>
      <c r="AN150" s="346">
        <f t="shared" si="132"/>
        <v>0</v>
      </c>
    </row>
    <row r="151" spans="3:40" outlineLevel="3">
      <c r="C151" s="301" t="s">
        <v>600</v>
      </c>
      <c r="D151" s="266"/>
      <c r="E151" s="41" t="s">
        <v>13</v>
      </c>
      <c r="F151" s="23">
        <f ca="1">SUM(G151:AN151)</f>
        <v>-17886.06173007247</v>
      </c>
      <c r="G151" s="278">
        <f t="shared" ref="G151:AN151" ca="1" si="133">-G137</f>
        <v>-592.62671164927997</v>
      </c>
      <c r="H151" s="278">
        <f t="shared" ca="1" si="133"/>
        <v>-673.61068116215745</v>
      </c>
      <c r="I151" s="278">
        <f t="shared" ca="1" si="133"/>
        <v>-769.50200943303844</v>
      </c>
      <c r="J151" s="278">
        <f t="shared" ca="1" si="133"/>
        <v>-765.78237489019</v>
      </c>
      <c r="K151" s="278">
        <f t="shared" ca="1" si="133"/>
        <v>-778.54037950367376</v>
      </c>
      <c r="L151" s="278">
        <f t="shared" ca="1" si="133"/>
        <v>-1421.066581572793</v>
      </c>
      <c r="M151" s="278">
        <f t="shared" ca="1" si="133"/>
        <v>-1361.7079480337991</v>
      </c>
      <c r="N151" s="278">
        <f t="shared" ca="1" si="133"/>
        <v>-1730.6809130934641</v>
      </c>
      <c r="O151" s="278">
        <f t="shared" ca="1" si="133"/>
        <v>-1610.8792099406439</v>
      </c>
      <c r="P151" s="278">
        <f t="shared" ca="1" si="133"/>
        <v>-1521.5660240447526</v>
      </c>
      <c r="Q151" s="278">
        <f t="shared" ca="1" si="133"/>
        <v>-1445.951455159425</v>
      </c>
      <c r="R151" s="278">
        <f t="shared" ca="1" si="133"/>
        <v>-1323.706276216046</v>
      </c>
      <c r="S151" s="278">
        <f t="shared" ca="1" si="133"/>
        <v>-1155.0447153432801</v>
      </c>
      <c r="T151" s="278">
        <f t="shared" ca="1" si="133"/>
        <v>-919.63280882267156</v>
      </c>
      <c r="U151" s="278">
        <f t="shared" ca="1" si="133"/>
        <v>-1094.3966200073303</v>
      </c>
      <c r="V151" s="278">
        <f t="shared" ca="1" si="133"/>
        <v>-721.36702119992469</v>
      </c>
      <c r="W151" s="278">
        <f t="shared" ca="1" si="133"/>
        <v>0</v>
      </c>
      <c r="X151" s="278">
        <f t="shared" ca="1" si="133"/>
        <v>0</v>
      </c>
      <c r="Y151" s="278">
        <f t="shared" ca="1" si="133"/>
        <v>0</v>
      </c>
      <c r="Z151" s="278">
        <f t="shared" ca="1" si="133"/>
        <v>0</v>
      </c>
      <c r="AA151" s="278">
        <f t="shared" ca="1" si="133"/>
        <v>0</v>
      </c>
      <c r="AB151" s="278">
        <f t="shared" ca="1" si="133"/>
        <v>0</v>
      </c>
      <c r="AC151" s="278">
        <f t="shared" ca="1" si="133"/>
        <v>0</v>
      </c>
      <c r="AD151" s="278">
        <f t="shared" ca="1" si="133"/>
        <v>0</v>
      </c>
      <c r="AE151" s="278">
        <f t="shared" ca="1" si="133"/>
        <v>0</v>
      </c>
      <c r="AF151" s="278">
        <f t="shared" ca="1" si="133"/>
        <v>0</v>
      </c>
      <c r="AG151" s="278">
        <f t="shared" ca="1" si="133"/>
        <v>0</v>
      </c>
      <c r="AH151" s="278">
        <f t="shared" ca="1" si="133"/>
        <v>0</v>
      </c>
      <c r="AI151" s="278">
        <f t="shared" ca="1" si="133"/>
        <v>0</v>
      </c>
      <c r="AJ151" s="278">
        <f t="shared" ca="1" si="133"/>
        <v>0</v>
      </c>
      <c r="AK151" s="278">
        <f t="shared" ca="1" si="133"/>
        <v>0</v>
      </c>
      <c r="AL151" s="278">
        <f t="shared" ca="1" si="133"/>
        <v>0</v>
      </c>
      <c r="AM151" s="278">
        <f t="shared" ca="1" si="133"/>
        <v>0</v>
      </c>
      <c r="AN151" s="278">
        <f t="shared" ca="1" si="133"/>
        <v>0</v>
      </c>
    </row>
    <row r="152" spans="3:40" outlineLevel="3">
      <c r="C152" s="301" t="s">
        <v>601</v>
      </c>
      <c r="D152" s="266"/>
      <c r="E152" s="41" t="s">
        <v>13</v>
      </c>
      <c r="F152" s="23">
        <f ca="1">SUM(G152:AN152)</f>
        <v>25567.459454624084</v>
      </c>
      <c r="G152" s="278">
        <f t="shared" ref="G152:AL152" si="134">IF(G146=1,SUM(G150:G151),0)</f>
        <v>0</v>
      </c>
      <c r="H152" s="278">
        <f t="shared" si="134"/>
        <v>0</v>
      </c>
      <c r="I152" s="278">
        <f t="shared" ca="1" si="134"/>
        <v>232.44698031754103</v>
      </c>
      <c r="J152" s="278">
        <f t="shared" ca="1" si="134"/>
        <v>265.5941607145204</v>
      </c>
      <c r="K152" s="278">
        <f t="shared" ca="1" si="134"/>
        <v>311.60927514778848</v>
      </c>
      <c r="L152" s="278">
        <f t="shared" ca="1" si="134"/>
        <v>660.42140774005156</v>
      </c>
      <c r="M152" s="278">
        <f t="shared" ca="1" si="134"/>
        <v>740.2916234765114</v>
      </c>
      <c r="N152" s="278">
        <f t="shared" ca="1" si="134"/>
        <v>1110.8086631354661</v>
      </c>
      <c r="O152" s="278">
        <f t="shared" ca="1" si="134"/>
        <v>1234.8275744361133</v>
      </c>
      <c r="P152" s="278">
        <f t="shared" ca="1" si="134"/>
        <v>1413.8843739440738</v>
      </c>
      <c r="Q152" s="278">
        <f t="shared" ca="1" si="134"/>
        <v>1661.2216001783565</v>
      </c>
      <c r="R152" s="278">
        <f t="shared" ca="1" si="134"/>
        <v>1932.2538770782451</v>
      </c>
      <c r="S152" s="278">
        <f t="shared" ca="1" si="134"/>
        <v>2229.5130025729118</v>
      </c>
      <c r="T152" s="278">
        <f t="shared" ca="1" si="134"/>
        <v>2501.510505976566</v>
      </c>
      <c r="U152" s="278">
        <f t="shared" ca="1" si="134"/>
        <v>4715.1943989975407</v>
      </c>
      <c r="V152" s="278">
        <f t="shared" ca="1" si="134"/>
        <v>6557.882010908399</v>
      </c>
      <c r="W152" s="278">
        <f t="shared" si="134"/>
        <v>0</v>
      </c>
      <c r="X152" s="278">
        <f t="shared" si="134"/>
        <v>0</v>
      </c>
      <c r="Y152" s="278">
        <f t="shared" si="134"/>
        <v>0</v>
      </c>
      <c r="Z152" s="278">
        <f t="shared" si="134"/>
        <v>0</v>
      </c>
      <c r="AA152" s="278">
        <f t="shared" si="134"/>
        <v>0</v>
      </c>
      <c r="AB152" s="278">
        <f t="shared" si="134"/>
        <v>0</v>
      </c>
      <c r="AC152" s="278">
        <f t="shared" si="134"/>
        <v>0</v>
      </c>
      <c r="AD152" s="278">
        <f t="shared" si="134"/>
        <v>0</v>
      </c>
      <c r="AE152" s="278">
        <f t="shared" si="134"/>
        <v>0</v>
      </c>
      <c r="AF152" s="278">
        <f t="shared" si="134"/>
        <v>0</v>
      </c>
      <c r="AG152" s="278">
        <f t="shared" si="134"/>
        <v>0</v>
      </c>
      <c r="AH152" s="278">
        <f t="shared" si="134"/>
        <v>0</v>
      </c>
      <c r="AI152" s="278">
        <f t="shared" si="134"/>
        <v>0</v>
      </c>
      <c r="AJ152" s="278">
        <f t="shared" si="134"/>
        <v>0</v>
      </c>
      <c r="AK152" s="278">
        <f t="shared" si="134"/>
        <v>0</v>
      </c>
      <c r="AL152" s="278">
        <f t="shared" si="134"/>
        <v>0</v>
      </c>
      <c r="AM152" s="278">
        <f t="shared" ref="AM152:AN152" si="135">IF(AM146=1,SUM(AM150:AM151),0)</f>
        <v>0</v>
      </c>
      <c r="AN152" s="278">
        <f t="shared" si="135"/>
        <v>0</v>
      </c>
    </row>
    <row r="153" spans="3:40" outlineLevel="2">
      <c r="C153" s="266"/>
      <c r="D153" s="266"/>
      <c r="E153" s="41"/>
      <c r="F153" s="266"/>
      <c r="G153" s="266"/>
      <c r="H153" s="266"/>
      <c r="I153" s="266"/>
      <c r="J153" s="266"/>
      <c r="K153" s="266"/>
      <c r="L153" s="266"/>
      <c r="M153" s="266"/>
      <c r="N153" s="266"/>
      <c r="O153" s="266"/>
      <c r="P153" s="266"/>
      <c r="Q153" s="266"/>
      <c r="R153" s="266"/>
      <c r="S153" s="266"/>
      <c r="T153" s="266"/>
      <c r="U153" s="266"/>
      <c r="V153" s="266"/>
      <c r="W153" s="266"/>
      <c r="X153" s="266"/>
      <c r="Y153" s="266"/>
      <c r="Z153" s="266"/>
      <c r="AA153" s="266"/>
      <c r="AB153" s="266"/>
      <c r="AC153" s="266"/>
      <c r="AD153" s="266"/>
      <c r="AE153" s="266"/>
      <c r="AF153" s="266"/>
      <c r="AG153" s="266"/>
      <c r="AH153" s="266"/>
      <c r="AI153" s="266"/>
      <c r="AJ153" s="266"/>
      <c r="AK153" s="266"/>
      <c r="AL153" s="266"/>
      <c r="AM153" s="266"/>
      <c r="AN153" s="266"/>
    </row>
    <row r="154" spans="3:40" outlineLevel="1">
      <c r="C154" s="266"/>
      <c r="D154" s="266"/>
      <c r="E154" s="41"/>
      <c r="F154" s="266"/>
      <c r="G154" s="266"/>
      <c r="H154" s="266"/>
      <c r="I154" s="266"/>
      <c r="J154" s="266"/>
      <c r="K154" s="266"/>
      <c r="L154" s="266"/>
      <c r="M154" s="266"/>
      <c r="N154" s="266"/>
      <c r="O154" s="266"/>
      <c r="P154" s="266"/>
      <c r="Q154" s="266"/>
      <c r="R154" s="266"/>
      <c r="S154" s="266"/>
      <c r="T154" s="266"/>
      <c r="U154" s="266"/>
      <c r="V154" s="266"/>
      <c r="W154" s="266"/>
      <c r="X154" s="266"/>
      <c r="Y154" s="266"/>
      <c r="Z154" s="266"/>
      <c r="AA154" s="266"/>
      <c r="AB154" s="266"/>
      <c r="AC154" s="266"/>
      <c r="AD154" s="266"/>
      <c r="AE154" s="266"/>
      <c r="AF154" s="266"/>
      <c r="AG154" s="266"/>
      <c r="AH154" s="266"/>
      <c r="AI154" s="266"/>
      <c r="AJ154" s="266"/>
      <c r="AK154" s="266"/>
      <c r="AL154" s="266"/>
      <c r="AM154" s="266"/>
      <c r="AN154" s="266"/>
    </row>
    <row r="155" spans="3:40" outlineLevel="1">
      <c r="C155" s="11" t="s">
        <v>602</v>
      </c>
      <c r="D155" s="266"/>
      <c r="E155" s="266"/>
      <c r="F155" s="266"/>
      <c r="G155" s="266"/>
      <c r="H155" s="266"/>
      <c r="I155" s="266"/>
      <c r="J155" s="266"/>
      <c r="K155" s="266"/>
      <c r="L155" s="266"/>
      <c r="M155" s="266"/>
      <c r="N155" s="266"/>
      <c r="O155" s="266"/>
      <c r="P155" s="266"/>
      <c r="Q155" s="266"/>
      <c r="R155" s="266"/>
      <c r="S155" s="266"/>
      <c r="T155" s="266"/>
      <c r="U155" s="266"/>
      <c r="V155" s="266"/>
      <c r="W155" s="266"/>
      <c r="X155" s="266"/>
      <c r="Y155" s="266"/>
      <c r="Z155" s="266"/>
      <c r="AA155" s="266"/>
      <c r="AB155" s="266"/>
      <c r="AC155" s="266"/>
      <c r="AD155" s="266"/>
      <c r="AE155" s="266"/>
      <c r="AF155" s="266"/>
      <c r="AG155" s="266"/>
      <c r="AH155" s="266"/>
      <c r="AI155" s="266"/>
      <c r="AJ155" s="266"/>
      <c r="AK155" s="266"/>
      <c r="AL155" s="266"/>
      <c r="AM155" s="266"/>
      <c r="AN155" s="266"/>
    </row>
    <row r="156" spans="3:40" outlineLevel="2">
      <c r="C156" s="11"/>
      <c r="D156" s="266"/>
      <c r="E156" s="266"/>
      <c r="F156" s="266"/>
      <c r="G156" s="266"/>
      <c r="H156" s="266"/>
      <c r="I156" s="266"/>
      <c r="J156" s="266"/>
      <c r="K156" s="266"/>
      <c r="L156" s="266"/>
      <c r="M156" s="266"/>
      <c r="N156" s="266"/>
      <c r="O156" s="266"/>
      <c r="P156" s="266"/>
      <c r="Q156" s="266"/>
      <c r="R156" s="266"/>
      <c r="S156" s="266"/>
      <c r="T156" s="266"/>
      <c r="U156" s="266"/>
      <c r="V156" s="266"/>
      <c r="W156" s="266"/>
      <c r="X156" s="266"/>
      <c r="Y156" s="266"/>
      <c r="Z156" s="266"/>
      <c r="AA156" s="266"/>
      <c r="AB156" s="266"/>
      <c r="AC156" s="266"/>
      <c r="AD156" s="266"/>
      <c r="AE156" s="266"/>
      <c r="AF156" s="266"/>
      <c r="AG156" s="266"/>
      <c r="AH156" s="266"/>
      <c r="AI156" s="266"/>
      <c r="AJ156" s="266"/>
      <c r="AK156" s="266"/>
      <c r="AL156" s="266"/>
      <c r="AM156" s="266"/>
      <c r="AN156" s="266"/>
    </row>
    <row r="157" spans="3:40" outlineLevel="2">
      <c r="C157" s="11" t="s">
        <v>603</v>
      </c>
      <c r="F157" s="266"/>
      <c r="G157" s="266"/>
      <c r="H157" s="266"/>
      <c r="I157" s="266"/>
      <c r="J157" s="266"/>
      <c r="K157" s="266"/>
      <c r="L157" s="266"/>
      <c r="M157" s="266"/>
      <c r="N157" s="266"/>
      <c r="O157" s="266"/>
      <c r="P157" s="266"/>
      <c r="Q157" s="266"/>
      <c r="R157" s="266"/>
      <c r="S157" s="266"/>
      <c r="T157" s="266"/>
      <c r="U157" s="266"/>
      <c r="V157" s="266"/>
      <c r="W157" s="266"/>
      <c r="X157" s="266"/>
      <c r="Y157" s="266"/>
      <c r="Z157" s="266"/>
      <c r="AA157" s="266"/>
      <c r="AB157" s="266"/>
      <c r="AC157" s="266"/>
      <c r="AD157" s="266"/>
      <c r="AE157" s="266"/>
      <c r="AF157" s="266"/>
      <c r="AG157" s="266"/>
      <c r="AH157" s="266"/>
      <c r="AI157" s="266"/>
      <c r="AJ157" s="266"/>
      <c r="AK157" s="266"/>
      <c r="AL157" s="266"/>
      <c r="AM157" s="266"/>
      <c r="AN157" s="266"/>
    </row>
    <row r="158" spans="3:40" outlineLevel="3">
      <c r="C158" s="429" t="s">
        <v>317</v>
      </c>
      <c r="D158" s="429"/>
      <c r="F158" s="266"/>
      <c r="G158" s="266"/>
      <c r="H158" s="266"/>
      <c r="I158" s="266"/>
      <c r="J158" s="266"/>
      <c r="K158" s="266"/>
      <c r="L158" s="266"/>
      <c r="M158" s="266"/>
      <c r="N158" s="266"/>
      <c r="O158" s="266"/>
      <c r="P158" s="266"/>
      <c r="Q158" s="266"/>
      <c r="R158" s="266"/>
      <c r="S158" s="266"/>
      <c r="T158" s="266"/>
      <c r="U158" s="266"/>
      <c r="V158" s="266"/>
      <c r="W158" s="266"/>
      <c r="X158" s="266"/>
      <c r="Y158" s="266"/>
      <c r="Z158" s="266"/>
      <c r="AA158" s="266"/>
      <c r="AB158" s="266"/>
      <c r="AC158" s="266"/>
      <c r="AD158" s="266"/>
      <c r="AE158" s="266"/>
      <c r="AF158" s="266"/>
      <c r="AG158" s="266"/>
      <c r="AH158" s="266"/>
      <c r="AI158" s="266"/>
      <c r="AJ158" s="266"/>
      <c r="AK158" s="266"/>
      <c r="AL158" s="266"/>
      <c r="AM158" s="266"/>
      <c r="AN158" s="266"/>
    </row>
    <row r="159" spans="3:40" outlineLevel="3">
      <c r="C159" s="344" t="str">
        <f>Inputs!$C$285</f>
        <v>Base</v>
      </c>
      <c r="D159" t="str">
        <f>Inputs!$D$285</f>
        <v>CDI</v>
      </c>
      <c r="E159" s="32" t="s">
        <v>591</v>
      </c>
      <c r="F159" s="266"/>
      <c r="G159" s="266"/>
      <c r="H159" s="266"/>
      <c r="I159" s="266"/>
      <c r="J159" s="266"/>
      <c r="K159" s="266"/>
      <c r="L159" s="266"/>
      <c r="M159" s="266"/>
      <c r="N159" s="266"/>
      <c r="O159" s="266"/>
      <c r="P159" s="266"/>
      <c r="Q159" s="266"/>
      <c r="R159" s="266"/>
      <c r="S159" s="266"/>
      <c r="T159" s="266"/>
      <c r="U159" s="266"/>
      <c r="V159" s="266"/>
      <c r="W159" s="266"/>
      <c r="X159" s="266"/>
      <c r="Y159" s="266"/>
      <c r="Z159" s="266"/>
      <c r="AA159" s="266"/>
      <c r="AB159" s="266"/>
      <c r="AC159" s="266"/>
      <c r="AD159" s="266"/>
      <c r="AE159" s="266"/>
      <c r="AF159" s="266"/>
      <c r="AG159" s="266"/>
      <c r="AH159" s="266"/>
      <c r="AI159" s="266"/>
      <c r="AJ159" s="266"/>
      <c r="AK159" s="266"/>
      <c r="AL159" s="266"/>
      <c r="AM159" s="266"/>
      <c r="AN159" s="266"/>
    </row>
    <row r="160" spans="3:40" outlineLevel="3">
      <c r="C160" s="344" t="str">
        <f>Inputs!$C$286</f>
        <v>Indexador</v>
      </c>
      <c r="D160" t="str">
        <f>Inputs!$D$286</f>
        <v>None</v>
      </c>
      <c r="E160" s="32" t="s">
        <v>591</v>
      </c>
      <c r="F160" s="266"/>
      <c r="G160" s="266"/>
      <c r="H160" s="266"/>
      <c r="I160" s="266"/>
      <c r="J160" s="266"/>
      <c r="K160" s="266"/>
      <c r="L160" s="266"/>
      <c r="M160" s="266"/>
      <c r="N160" s="266"/>
      <c r="O160" s="266"/>
      <c r="P160" s="266"/>
      <c r="Q160" s="266"/>
      <c r="R160" s="266"/>
      <c r="S160" s="266"/>
      <c r="T160" s="266"/>
      <c r="U160" s="266"/>
      <c r="V160" s="266"/>
      <c r="W160" s="266"/>
      <c r="X160" s="266"/>
      <c r="Y160" s="266"/>
      <c r="Z160" s="266"/>
      <c r="AA160" s="266"/>
      <c r="AB160" s="266"/>
      <c r="AC160" s="266"/>
      <c r="AD160" s="266"/>
      <c r="AE160" s="266"/>
      <c r="AF160" s="266"/>
      <c r="AG160" s="266"/>
      <c r="AH160" s="266"/>
      <c r="AI160" s="266"/>
      <c r="AJ160" s="266"/>
      <c r="AK160" s="266"/>
      <c r="AL160" s="266"/>
      <c r="AM160" s="266"/>
      <c r="AN160" s="266"/>
    </row>
    <row r="161" spans="3:40" outlineLevel="3">
      <c r="C161" s="266"/>
      <c r="F161" s="266"/>
      <c r="G161" s="266"/>
      <c r="H161" s="266"/>
      <c r="I161" s="266"/>
      <c r="J161" s="266"/>
      <c r="K161" s="266"/>
      <c r="L161" s="266"/>
      <c r="M161" s="266"/>
      <c r="N161" s="266"/>
      <c r="O161" s="266"/>
      <c r="P161" s="266"/>
      <c r="Q161" s="266"/>
      <c r="R161" s="266"/>
      <c r="S161" s="266"/>
      <c r="T161" s="266"/>
      <c r="U161" s="266"/>
      <c r="V161" s="266"/>
      <c r="W161" s="266"/>
      <c r="X161" s="266"/>
      <c r="Y161" s="266"/>
      <c r="Z161" s="266"/>
      <c r="AA161" s="266"/>
      <c r="AB161" s="266"/>
      <c r="AC161" s="266"/>
      <c r="AD161" s="266"/>
      <c r="AE161" s="266"/>
      <c r="AF161" s="266"/>
      <c r="AG161" s="266"/>
      <c r="AH161" s="266"/>
      <c r="AI161" s="266"/>
      <c r="AJ161" s="266"/>
      <c r="AK161" s="266"/>
      <c r="AL161" s="266"/>
      <c r="AM161" s="266"/>
      <c r="AN161" s="266"/>
    </row>
    <row r="162" spans="3:40" outlineLevel="3">
      <c r="C162" t="str">
        <f>Flags!C$47</f>
        <v xml:space="preserve"> Financial close date  </v>
      </c>
      <c r="D162" s="37">
        <f>Cons_start</f>
        <v>46388</v>
      </c>
      <c r="E162" s="32" t="s">
        <v>399</v>
      </c>
      <c r="F162" s="266"/>
      <c r="G162" s="266"/>
      <c r="H162" s="266"/>
      <c r="I162" s="266"/>
      <c r="J162" s="266"/>
      <c r="K162" s="266"/>
      <c r="L162" s="266"/>
      <c r="M162" s="266"/>
      <c r="N162" s="266"/>
      <c r="O162" s="266"/>
      <c r="P162" s="266"/>
      <c r="Q162" s="266"/>
      <c r="R162" s="266"/>
      <c r="S162" s="266"/>
      <c r="T162" s="266"/>
      <c r="U162" s="266"/>
      <c r="V162" s="266"/>
      <c r="W162" s="266"/>
      <c r="X162" s="266"/>
      <c r="Y162" s="266"/>
      <c r="Z162" s="266"/>
      <c r="AA162" s="266"/>
      <c r="AB162" s="266"/>
      <c r="AC162" s="266"/>
      <c r="AD162" s="266"/>
      <c r="AE162" s="266"/>
      <c r="AF162" s="266"/>
      <c r="AG162" s="266"/>
      <c r="AH162" s="266"/>
      <c r="AI162" s="266"/>
      <c r="AJ162" s="266"/>
      <c r="AK162" s="266"/>
      <c r="AL162" s="266"/>
      <c r="AM162" s="266"/>
      <c r="AN162" s="266"/>
    </row>
    <row r="163" spans="3:40" outlineLevel="3">
      <c r="C163" t="str">
        <f>C135</f>
        <v>All-in  p.a.</v>
      </c>
      <c r="D163" s="37">
        <f>$D$88</f>
        <v>52262</v>
      </c>
      <c r="E163" s="41" t="str">
        <f>E135</f>
        <v>%</v>
      </c>
      <c r="F163" s="266"/>
      <c r="G163" s="266"/>
      <c r="H163" s="266"/>
      <c r="I163" s="266"/>
      <c r="J163" s="266"/>
      <c r="K163" s="266"/>
      <c r="L163" s="266"/>
      <c r="M163" s="266"/>
      <c r="N163" s="266"/>
      <c r="O163" s="266"/>
      <c r="P163" s="266"/>
      <c r="Q163" s="266"/>
      <c r="R163" s="266"/>
      <c r="S163" s="266"/>
      <c r="T163" s="266"/>
      <c r="U163" s="266"/>
      <c r="V163" s="266"/>
      <c r="W163" s="266"/>
      <c r="X163" s="266"/>
      <c r="Y163" s="266"/>
      <c r="Z163" s="266"/>
      <c r="AA163" s="266"/>
      <c r="AB163" s="266"/>
      <c r="AC163" s="266"/>
      <c r="AD163" s="266"/>
      <c r="AE163" s="266"/>
      <c r="AF163" s="266"/>
      <c r="AG163" s="266"/>
      <c r="AH163" s="266"/>
      <c r="AI163" s="266"/>
      <c r="AJ163" s="266"/>
      <c r="AK163" s="266"/>
      <c r="AL163" s="266"/>
      <c r="AM163" s="266"/>
      <c r="AN163" s="266"/>
    </row>
    <row r="164" spans="3:40" outlineLevel="3">
      <c r="C164" t="str">
        <f>Flags!C$50&amp;"+ Prazo"</f>
        <v>Flag de operação+ Prazo</v>
      </c>
      <c r="D164"/>
      <c r="E164" s="32" t="s">
        <v>399</v>
      </c>
      <c r="F164" s="23">
        <f>SUM(G164:AN164)</f>
        <v>16</v>
      </c>
      <c r="G164" s="25">
        <f t="shared" ref="G164:AN164" si="136">IF(AND(G165&gt;=$D162,G165&lt;=$D163),1,0)</f>
        <v>1</v>
      </c>
      <c r="H164" s="25">
        <f t="shared" si="136"/>
        <v>1</v>
      </c>
      <c r="I164" s="25">
        <f t="shared" si="136"/>
        <v>1</v>
      </c>
      <c r="J164" s="25">
        <f t="shared" si="136"/>
        <v>1</v>
      </c>
      <c r="K164" s="25">
        <f t="shared" si="136"/>
        <v>1</v>
      </c>
      <c r="L164" s="25">
        <f t="shared" si="136"/>
        <v>1</v>
      </c>
      <c r="M164" s="25">
        <f t="shared" si="136"/>
        <v>1</v>
      </c>
      <c r="N164" s="25">
        <f t="shared" si="136"/>
        <v>1</v>
      </c>
      <c r="O164" s="25">
        <f t="shared" si="136"/>
        <v>1</v>
      </c>
      <c r="P164" s="25">
        <f t="shared" si="136"/>
        <v>1</v>
      </c>
      <c r="Q164" s="25">
        <f t="shared" si="136"/>
        <v>1</v>
      </c>
      <c r="R164" s="25">
        <f t="shared" si="136"/>
        <v>1</v>
      </c>
      <c r="S164" s="25">
        <f t="shared" si="136"/>
        <v>1</v>
      </c>
      <c r="T164" s="25">
        <f t="shared" si="136"/>
        <v>1</v>
      </c>
      <c r="U164" s="25">
        <f t="shared" si="136"/>
        <v>1</v>
      </c>
      <c r="V164" s="25">
        <f t="shared" si="136"/>
        <v>1</v>
      </c>
      <c r="W164" s="25">
        <f t="shared" si="136"/>
        <v>0</v>
      </c>
      <c r="X164" s="25">
        <f t="shared" si="136"/>
        <v>0</v>
      </c>
      <c r="Y164" s="25">
        <f t="shared" si="136"/>
        <v>0</v>
      </c>
      <c r="Z164" s="25">
        <f t="shared" si="136"/>
        <v>0</v>
      </c>
      <c r="AA164" s="25">
        <f t="shared" si="136"/>
        <v>0</v>
      </c>
      <c r="AB164" s="25">
        <f t="shared" si="136"/>
        <v>0</v>
      </c>
      <c r="AC164" s="25">
        <f t="shared" si="136"/>
        <v>0</v>
      </c>
      <c r="AD164" s="25">
        <f t="shared" si="136"/>
        <v>0</v>
      </c>
      <c r="AE164" s="25">
        <f t="shared" si="136"/>
        <v>0</v>
      </c>
      <c r="AF164" s="25">
        <f t="shared" si="136"/>
        <v>0</v>
      </c>
      <c r="AG164" s="25">
        <f t="shared" si="136"/>
        <v>0</v>
      </c>
      <c r="AH164" s="25">
        <f t="shared" si="136"/>
        <v>0</v>
      </c>
      <c r="AI164" s="25">
        <f t="shared" si="136"/>
        <v>0</v>
      </c>
      <c r="AJ164" s="25">
        <f t="shared" si="136"/>
        <v>0</v>
      </c>
      <c r="AK164" s="25">
        <f t="shared" si="136"/>
        <v>0</v>
      </c>
      <c r="AL164" s="25">
        <f t="shared" si="136"/>
        <v>0</v>
      </c>
      <c r="AM164" s="25">
        <f t="shared" si="136"/>
        <v>0</v>
      </c>
      <c r="AN164" s="25">
        <f t="shared" si="136"/>
        <v>0</v>
      </c>
    </row>
    <row r="165" spans="3:40" outlineLevel="3">
      <c r="C165" s="301" t="str">
        <f>Flags!C$49</f>
        <v>Fim período</v>
      </c>
      <c r="E165" s="32" t="str">
        <f>Flags!E$49</f>
        <v>Meses</v>
      </c>
      <c r="F165" s="266"/>
      <c r="G165" s="281">
        <f>Flags!G$49</f>
        <v>46752</v>
      </c>
      <c r="H165" s="281">
        <f>Flags!H$49</f>
        <v>47118</v>
      </c>
      <c r="I165" s="281">
        <f>Flags!I$49</f>
        <v>47483</v>
      </c>
      <c r="J165" s="281">
        <f>Flags!J$49</f>
        <v>47848</v>
      </c>
      <c r="K165" s="281">
        <f>Flags!K$49</f>
        <v>48213</v>
      </c>
      <c r="L165" s="281">
        <f>Flags!L$49</f>
        <v>48579</v>
      </c>
      <c r="M165" s="281">
        <f>Flags!M$49</f>
        <v>48944</v>
      </c>
      <c r="N165" s="281">
        <f>Flags!N$49</f>
        <v>49309</v>
      </c>
      <c r="O165" s="281">
        <f>Flags!O$49</f>
        <v>49674</v>
      </c>
      <c r="P165" s="281">
        <f>Flags!P$49</f>
        <v>50040</v>
      </c>
      <c r="Q165" s="281">
        <f>Flags!Q$49</f>
        <v>50405</v>
      </c>
      <c r="R165" s="281">
        <f>Flags!R$49</f>
        <v>50770</v>
      </c>
      <c r="S165" s="281">
        <f>Flags!S$49</f>
        <v>51135</v>
      </c>
      <c r="T165" s="281">
        <f>Flags!T$49</f>
        <v>51501</v>
      </c>
      <c r="U165" s="281">
        <f>Flags!U$49</f>
        <v>51866</v>
      </c>
      <c r="V165" s="281">
        <f>Flags!V$49</f>
        <v>52231</v>
      </c>
      <c r="W165" s="281">
        <f>Flags!W$49</f>
        <v>52596</v>
      </c>
      <c r="X165" s="281">
        <f>Flags!X$49</f>
        <v>52962</v>
      </c>
      <c r="Y165" s="281">
        <f>Flags!Y$49</f>
        <v>53327</v>
      </c>
      <c r="Z165" s="281">
        <f>Flags!Z$49</f>
        <v>53692</v>
      </c>
      <c r="AA165" s="281">
        <f>Flags!AA$49</f>
        <v>54057</v>
      </c>
      <c r="AB165" s="281">
        <f>Flags!AB$49</f>
        <v>54423</v>
      </c>
      <c r="AC165" s="281">
        <f>Flags!AC$49</f>
        <v>54788</v>
      </c>
      <c r="AD165" s="281">
        <f>Flags!AD$49</f>
        <v>55153</v>
      </c>
      <c r="AE165" s="281">
        <f>Flags!AE$49</f>
        <v>55518</v>
      </c>
      <c r="AF165" s="281">
        <f>Flags!AF$49</f>
        <v>55884</v>
      </c>
      <c r="AG165" s="281">
        <f>Flags!AG$49</f>
        <v>56249</v>
      </c>
      <c r="AH165" s="281">
        <f>Flags!AH$49</f>
        <v>56614</v>
      </c>
      <c r="AI165" s="281">
        <f>Flags!AI$49</f>
        <v>56979</v>
      </c>
      <c r="AJ165" s="281">
        <f>Flags!AJ$49</f>
        <v>57345</v>
      </c>
      <c r="AK165" s="281">
        <f>Flags!AK$49</f>
        <v>57710</v>
      </c>
      <c r="AL165" s="281">
        <f>Flags!AL$49</f>
        <v>58075</v>
      </c>
      <c r="AM165" s="281">
        <f>Flags!AM$49</f>
        <v>58440</v>
      </c>
      <c r="AN165" s="281">
        <f>Flags!AN$49</f>
        <v>58806</v>
      </c>
    </row>
    <row r="166" spans="3:40" outlineLevel="3">
      <c r="C166" s="301" t="str">
        <f>C159</f>
        <v>Base</v>
      </c>
      <c r="E166" s="32" t="s">
        <v>23</v>
      </c>
      <c r="F166" s="266"/>
      <c r="G166">
        <f t="shared" ref="G166:AN166" si="137">IF(G164=1,INDEX(G$19:G$27,MATCH($D159,$C$19:$C$27,0)),0)</f>
        <v>8.5000000000000006E-2</v>
      </c>
      <c r="H166">
        <f t="shared" si="137"/>
        <v>8.5000000000000006E-2</v>
      </c>
      <c r="I166">
        <f t="shared" si="137"/>
        <v>8.5000000000000006E-2</v>
      </c>
      <c r="J166">
        <f t="shared" si="137"/>
        <v>8.5000000000000006E-2</v>
      </c>
      <c r="K166">
        <f t="shared" si="137"/>
        <v>8.5000000000000006E-2</v>
      </c>
      <c r="L166">
        <f t="shared" si="137"/>
        <v>8.5000000000000006E-2</v>
      </c>
      <c r="M166">
        <f t="shared" si="137"/>
        <v>8.5000000000000006E-2</v>
      </c>
      <c r="N166">
        <f t="shared" si="137"/>
        <v>8.5000000000000006E-2</v>
      </c>
      <c r="O166">
        <f t="shared" si="137"/>
        <v>8.5000000000000006E-2</v>
      </c>
      <c r="P166">
        <f t="shared" si="137"/>
        <v>8.5000000000000006E-2</v>
      </c>
      <c r="Q166">
        <f t="shared" si="137"/>
        <v>8.5000000000000006E-2</v>
      </c>
      <c r="R166">
        <f t="shared" si="137"/>
        <v>8.5000000000000006E-2</v>
      </c>
      <c r="S166">
        <f t="shared" si="137"/>
        <v>8.5000000000000006E-2</v>
      </c>
      <c r="T166">
        <f t="shared" si="137"/>
        <v>8.5000000000000006E-2</v>
      </c>
      <c r="U166">
        <f t="shared" si="137"/>
        <v>8.5000000000000006E-2</v>
      </c>
      <c r="V166">
        <f t="shared" si="137"/>
        <v>8.5000000000000006E-2</v>
      </c>
      <c r="W166">
        <f t="shared" si="137"/>
        <v>0</v>
      </c>
      <c r="X166">
        <f t="shared" si="137"/>
        <v>0</v>
      </c>
      <c r="Y166">
        <f t="shared" si="137"/>
        <v>0</v>
      </c>
      <c r="Z166">
        <f t="shared" si="137"/>
        <v>0</v>
      </c>
      <c r="AA166">
        <f t="shared" si="137"/>
        <v>0</v>
      </c>
      <c r="AB166">
        <f t="shared" si="137"/>
        <v>0</v>
      </c>
      <c r="AC166">
        <f t="shared" si="137"/>
        <v>0</v>
      </c>
      <c r="AD166">
        <f t="shared" si="137"/>
        <v>0</v>
      </c>
      <c r="AE166">
        <f t="shared" si="137"/>
        <v>0</v>
      </c>
      <c r="AF166">
        <f t="shared" si="137"/>
        <v>0</v>
      </c>
      <c r="AG166">
        <f t="shared" si="137"/>
        <v>0</v>
      </c>
      <c r="AH166">
        <f t="shared" si="137"/>
        <v>0</v>
      </c>
      <c r="AI166">
        <f t="shared" si="137"/>
        <v>0</v>
      </c>
      <c r="AJ166">
        <f t="shared" si="137"/>
        <v>0</v>
      </c>
      <c r="AK166">
        <f t="shared" si="137"/>
        <v>0</v>
      </c>
      <c r="AL166">
        <f t="shared" si="137"/>
        <v>0</v>
      </c>
      <c r="AM166">
        <f t="shared" si="137"/>
        <v>0</v>
      </c>
      <c r="AN166">
        <f t="shared" si="137"/>
        <v>0</v>
      </c>
    </row>
    <row r="167" spans="3:40" outlineLevel="3">
      <c r="C167" s="301" t="str">
        <f>C160</f>
        <v>Indexador</v>
      </c>
      <c r="E167" s="32" t="s">
        <v>23</v>
      </c>
      <c r="F167" s="266"/>
      <c r="G167">
        <f t="shared" ref="G167:AN167" si="138">IF(G164=1,INDEX(G$19:G$27,MATCH($D160,$C$19:$C$27,0)),0)</f>
        <v>0</v>
      </c>
      <c r="H167">
        <f t="shared" si="138"/>
        <v>0</v>
      </c>
      <c r="I167">
        <f t="shared" si="138"/>
        <v>0</v>
      </c>
      <c r="J167">
        <f t="shared" si="138"/>
        <v>0</v>
      </c>
      <c r="K167">
        <f t="shared" si="138"/>
        <v>0</v>
      </c>
      <c r="L167">
        <f t="shared" si="138"/>
        <v>0</v>
      </c>
      <c r="M167">
        <f t="shared" si="138"/>
        <v>0</v>
      </c>
      <c r="N167">
        <f t="shared" si="138"/>
        <v>0</v>
      </c>
      <c r="O167">
        <f t="shared" si="138"/>
        <v>0</v>
      </c>
      <c r="P167">
        <f t="shared" si="138"/>
        <v>0</v>
      </c>
      <c r="Q167">
        <f t="shared" si="138"/>
        <v>0</v>
      </c>
      <c r="R167">
        <f t="shared" si="138"/>
        <v>0</v>
      </c>
      <c r="S167">
        <f t="shared" si="138"/>
        <v>0</v>
      </c>
      <c r="T167">
        <f t="shared" si="138"/>
        <v>0</v>
      </c>
      <c r="U167">
        <f t="shared" si="138"/>
        <v>0</v>
      </c>
      <c r="V167">
        <f t="shared" si="138"/>
        <v>0</v>
      </c>
      <c r="W167">
        <f t="shared" si="138"/>
        <v>0</v>
      </c>
      <c r="X167">
        <f t="shared" si="138"/>
        <v>0</v>
      </c>
      <c r="Y167">
        <f t="shared" si="138"/>
        <v>0</v>
      </c>
      <c r="Z167">
        <f t="shared" si="138"/>
        <v>0</v>
      </c>
      <c r="AA167">
        <f t="shared" si="138"/>
        <v>0</v>
      </c>
      <c r="AB167">
        <f t="shared" si="138"/>
        <v>0</v>
      </c>
      <c r="AC167">
        <f t="shared" si="138"/>
        <v>0</v>
      </c>
      <c r="AD167">
        <f t="shared" si="138"/>
        <v>0</v>
      </c>
      <c r="AE167">
        <f t="shared" si="138"/>
        <v>0</v>
      </c>
      <c r="AF167">
        <f t="shared" si="138"/>
        <v>0</v>
      </c>
      <c r="AG167">
        <f t="shared" si="138"/>
        <v>0</v>
      </c>
      <c r="AH167">
        <f t="shared" si="138"/>
        <v>0</v>
      </c>
      <c r="AI167">
        <f t="shared" si="138"/>
        <v>0</v>
      </c>
      <c r="AJ167">
        <f t="shared" si="138"/>
        <v>0</v>
      </c>
      <c r="AK167">
        <f t="shared" si="138"/>
        <v>0</v>
      </c>
      <c r="AL167">
        <f t="shared" si="138"/>
        <v>0</v>
      </c>
      <c r="AM167">
        <f t="shared" si="138"/>
        <v>0</v>
      </c>
      <c r="AN167">
        <f t="shared" si="138"/>
        <v>0</v>
      </c>
    </row>
    <row r="168" spans="3:40" outlineLevel="3">
      <c r="C168" s="301"/>
      <c r="F168" s="266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</row>
    <row r="169" spans="3:40" outlineLevel="3">
      <c r="C169" s="301" t="s">
        <v>592</v>
      </c>
      <c r="D169">
        <f>Inputs!$D$288</f>
        <v>2.5000000000000001E-2</v>
      </c>
      <c r="E169" s="32" t="s">
        <v>23</v>
      </c>
      <c r="F169" s="266"/>
      <c r="G169" s="286"/>
      <c r="H169" s="266"/>
      <c r="I169" s="266"/>
      <c r="J169" s="266"/>
      <c r="K169" s="266"/>
      <c r="L169" s="266"/>
      <c r="M169" s="266"/>
      <c r="N169" s="266"/>
      <c r="O169" s="266"/>
      <c r="P169" s="266"/>
      <c r="Q169" s="266"/>
      <c r="R169" s="266"/>
      <c r="S169" s="266"/>
      <c r="T169" s="266"/>
      <c r="U169" s="266"/>
      <c r="V169" s="266"/>
      <c r="W169" s="266"/>
      <c r="X169" s="266"/>
      <c r="Y169" s="266"/>
      <c r="Z169" s="266"/>
      <c r="AA169" s="266"/>
      <c r="AB169" s="266"/>
      <c r="AC169" s="266"/>
      <c r="AD169" s="266"/>
      <c r="AE169" s="266"/>
      <c r="AF169" s="266"/>
      <c r="AG169" s="266"/>
      <c r="AH169" s="266"/>
      <c r="AI169" s="266"/>
      <c r="AJ169" s="266"/>
      <c r="AK169" s="266"/>
      <c r="AL169" s="266"/>
      <c r="AM169" s="266"/>
      <c r="AN169" s="266"/>
    </row>
    <row r="170" spans="3:40" outlineLevel="3">
      <c r="C170" s="301" t="s">
        <v>593</v>
      </c>
      <c r="E170" s="32" t="s">
        <v>23</v>
      </c>
      <c r="F170" s="266"/>
      <c r="G170">
        <f t="shared" ref="G170:AN170" si="139">IF(G164=1,$D$134+G166+G167,0)</f>
        <v>0.11000000000000001</v>
      </c>
      <c r="H170">
        <f t="shared" si="139"/>
        <v>0.11000000000000001</v>
      </c>
      <c r="I170">
        <f t="shared" si="139"/>
        <v>0.11000000000000001</v>
      </c>
      <c r="J170">
        <f t="shared" si="139"/>
        <v>0.11000000000000001</v>
      </c>
      <c r="K170">
        <f t="shared" si="139"/>
        <v>0.11000000000000001</v>
      </c>
      <c r="L170">
        <f t="shared" si="139"/>
        <v>0.11000000000000001</v>
      </c>
      <c r="M170">
        <f t="shared" si="139"/>
        <v>0.11000000000000001</v>
      </c>
      <c r="N170">
        <f t="shared" si="139"/>
        <v>0.11000000000000001</v>
      </c>
      <c r="O170">
        <f t="shared" si="139"/>
        <v>0.11000000000000001</v>
      </c>
      <c r="P170">
        <f t="shared" si="139"/>
        <v>0.11000000000000001</v>
      </c>
      <c r="Q170">
        <f t="shared" si="139"/>
        <v>0.11000000000000001</v>
      </c>
      <c r="R170">
        <f t="shared" si="139"/>
        <v>0.11000000000000001</v>
      </c>
      <c r="S170">
        <f t="shared" si="139"/>
        <v>0.11000000000000001</v>
      </c>
      <c r="T170">
        <f t="shared" si="139"/>
        <v>0.11000000000000001</v>
      </c>
      <c r="U170">
        <f t="shared" si="139"/>
        <v>0.11000000000000001</v>
      </c>
      <c r="V170">
        <f t="shared" si="139"/>
        <v>0.11000000000000001</v>
      </c>
      <c r="W170">
        <f t="shared" si="139"/>
        <v>0</v>
      </c>
      <c r="X170">
        <f t="shared" si="139"/>
        <v>0</v>
      </c>
      <c r="Y170">
        <f t="shared" si="139"/>
        <v>0</v>
      </c>
      <c r="Z170">
        <f t="shared" si="139"/>
        <v>0</v>
      </c>
      <c r="AA170">
        <f t="shared" si="139"/>
        <v>0</v>
      </c>
      <c r="AB170">
        <f t="shared" si="139"/>
        <v>0</v>
      </c>
      <c r="AC170">
        <f t="shared" si="139"/>
        <v>0</v>
      </c>
      <c r="AD170">
        <f t="shared" si="139"/>
        <v>0</v>
      </c>
      <c r="AE170">
        <f t="shared" si="139"/>
        <v>0</v>
      </c>
      <c r="AF170">
        <f t="shared" si="139"/>
        <v>0</v>
      </c>
      <c r="AG170">
        <f t="shared" si="139"/>
        <v>0</v>
      </c>
      <c r="AH170">
        <f t="shared" si="139"/>
        <v>0</v>
      </c>
      <c r="AI170">
        <f t="shared" si="139"/>
        <v>0</v>
      </c>
      <c r="AJ170">
        <f t="shared" si="139"/>
        <v>0</v>
      </c>
      <c r="AK170">
        <f t="shared" si="139"/>
        <v>0</v>
      </c>
      <c r="AL170">
        <f t="shared" si="139"/>
        <v>0</v>
      </c>
      <c r="AM170">
        <f t="shared" si="139"/>
        <v>0</v>
      </c>
      <c r="AN170">
        <f t="shared" si="139"/>
        <v>0</v>
      </c>
    </row>
    <row r="171" spans="3:40" outlineLevel="3">
      <c r="C171" s="266"/>
      <c r="D171" s="266"/>
      <c r="E171" s="266"/>
      <c r="F171" s="266"/>
      <c r="G171" s="266"/>
      <c r="H171" s="266"/>
      <c r="I171" s="266"/>
      <c r="J171" s="266"/>
      <c r="K171" s="266"/>
      <c r="L171" s="266"/>
      <c r="M171" s="266"/>
      <c r="N171" s="266"/>
      <c r="O171" s="266"/>
      <c r="P171" s="266"/>
      <c r="Q171" s="266"/>
      <c r="R171" s="266"/>
      <c r="S171" s="266"/>
      <c r="T171" s="266"/>
      <c r="U171" s="266"/>
      <c r="V171" s="266"/>
      <c r="W171" s="266"/>
      <c r="X171" s="266"/>
      <c r="Y171" s="266"/>
      <c r="Z171" s="266"/>
      <c r="AA171" s="266"/>
      <c r="AB171" s="266"/>
      <c r="AC171" s="266"/>
      <c r="AD171" s="266"/>
      <c r="AE171" s="266"/>
      <c r="AF171" s="266"/>
      <c r="AG171" s="266"/>
      <c r="AH171" s="266"/>
      <c r="AI171" s="266"/>
      <c r="AJ171" s="266"/>
      <c r="AK171" s="266"/>
      <c r="AL171" s="266"/>
      <c r="AM171" s="266"/>
      <c r="AN171" s="266"/>
    </row>
    <row r="172" spans="3:40" outlineLevel="3">
      <c r="C172" s="301" t="s">
        <v>594</v>
      </c>
      <c r="D172" s="266"/>
      <c r="E172" s="41" t="s">
        <v>13</v>
      </c>
      <c r="F172" s="79">
        <f ca="1">SUM(G172:AN172)</f>
        <v>15311.459080077029</v>
      </c>
      <c r="G172" s="345">
        <f t="shared" ref="G172:AN172" ca="1" si="140">G170*SUM(G175:G176)</f>
        <v>592.62671164927997</v>
      </c>
      <c r="H172" s="345">
        <f t="shared" ca="1" si="140"/>
        <v>673.61068116215745</v>
      </c>
      <c r="I172" s="345">
        <f t="shared" ca="1" si="140"/>
        <v>769.50200943303844</v>
      </c>
      <c r="J172" s="345">
        <f t="shared" ca="1" si="140"/>
        <v>736.38711347990238</v>
      </c>
      <c r="K172" s="345">
        <f t="shared" ca="1" si="140"/>
        <v>721.7153131966063</v>
      </c>
      <c r="L172" s="345">
        <f t="shared" ca="1" si="140"/>
        <v>1338.3755927655984</v>
      </c>
      <c r="M172" s="345">
        <f t="shared" ca="1" si="140"/>
        <v>1229.9928056447741</v>
      </c>
      <c r="N172" s="345">
        <f t="shared" ca="1" si="140"/>
        <v>1557.3985687223778</v>
      </c>
      <c r="O172" s="345">
        <f t="shared" ca="1" si="140"/>
        <v>1386.7415331008615</v>
      </c>
      <c r="P172" s="345">
        <f t="shared" ca="1" si="140"/>
        <v>1259.9166887553345</v>
      </c>
      <c r="Q172" s="345">
        <f t="shared" ca="1" si="140"/>
        <v>1159.8413026102362</v>
      </c>
      <c r="R172" s="345">
        <f t="shared" ca="1" si="140"/>
        <v>1027.0236159181038</v>
      </c>
      <c r="S172" s="345">
        <f t="shared" ca="1" si="140"/>
        <v>865.50525834032408</v>
      </c>
      <c r="T172" s="345">
        <f t="shared" ca="1" si="140"/>
        <v>658.96346751765498</v>
      </c>
      <c r="U172" s="345">
        <f t="shared" ca="1" si="140"/>
        <v>889.23894518718441</v>
      </c>
      <c r="V172" s="345">
        <f t="shared" ca="1" si="140"/>
        <v>444.61947259359221</v>
      </c>
      <c r="W172" s="345">
        <f t="shared" ca="1" si="140"/>
        <v>0</v>
      </c>
      <c r="X172" s="345">
        <f t="shared" ca="1" si="140"/>
        <v>0</v>
      </c>
      <c r="Y172" s="345">
        <f t="shared" ca="1" si="140"/>
        <v>0</v>
      </c>
      <c r="Z172" s="345">
        <f t="shared" ca="1" si="140"/>
        <v>0</v>
      </c>
      <c r="AA172" s="345">
        <f t="shared" ca="1" si="140"/>
        <v>0</v>
      </c>
      <c r="AB172" s="345">
        <f t="shared" ca="1" si="140"/>
        <v>0</v>
      </c>
      <c r="AC172" s="345">
        <f t="shared" ca="1" si="140"/>
        <v>0</v>
      </c>
      <c r="AD172" s="345">
        <f t="shared" ca="1" si="140"/>
        <v>0</v>
      </c>
      <c r="AE172" s="345">
        <f t="shared" ca="1" si="140"/>
        <v>0</v>
      </c>
      <c r="AF172" s="345">
        <f t="shared" ca="1" si="140"/>
        <v>0</v>
      </c>
      <c r="AG172" s="345">
        <f t="shared" ca="1" si="140"/>
        <v>0</v>
      </c>
      <c r="AH172" s="345">
        <f t="shared" ca="1" si="140"/>
        <v>0</v>
      </c>
      <c r="AI172" s="345">
        <f t="shared" ca="1" si="140"/>
        <v>0</v>
      </c>
      <c r="AJ172" s="345">
        <f t="shared" ca="1" si="140"/>
        <v>0</v>
      </c>
      <c r="AK172" s="345">
        <f t="shared" ca="1" si="140"/>
        <v>0</v>
      </c>
      <c r="AL172" s="345">
        <f t="shared" ca="1" si="140"/>
        <v>0</v>
      </c>
      <c r="AM172" s="345">
        <f t="shared" ca="1" si="140"/>
        <v>0</v>
      </c>
      <c r="AN172" s="345">
        <f t="shared" ca="1" si="140"/>
        <v>0</v>
      </c>
    </row>
    <row r="173" spans="3:40" outlineLevel="2">
      <c r="C173" s="266"/>
      <c r="D173" s="266"/>
      <c r="E173" s="266"/>
      <c r="F173" s="266"/>
      <c r="G173" s="266"/>
      <c r="H173" s="266"/>
      <c r="I173" s="266"/>
      <c r="J173" s="266"/>
      <c r="K173" s="266"/>
      <c r="L173" s="266"/>
      <c r="M173" s="266"/>
      <c r="N173" s="266"/>
      <c r="O173" s="266"/>
      <c r="P173" s="266"/>
      <c r="Q173" s="266"/>
      <c r="R173" s="266"/>
      <c r="S173" s="266"/>
      <c r="T173" s="266"/>
      <c r="U173" s="266"/>
      <c r="V173" s="266"/>
      <c r="W173" s="266"/>
      <c r="X173" s="266"/>
      <c r="Y173" s="266"/>
      <c r="Z173" s="266"/>
      <c r="AA173" s="266"/>
      <c r="AB173" s="266"/>
      <c r="AC173" s="266"/>
      <c r="AD173" s="266"/>
      <c r="AE173" s="266"/>
      <c r="AF173" s="266"/>
      <c r="AG173" s="266"/>
      <c r="AH173" s="266"/>
      <c r="AI173" s="266"/>
      <c r="AJ173" s="266"/>
      <c r="AK173" s="266"/>
      <c r="AL173" s="266"/>
      <c r="AM173" s="266"/>
      <c r="AN173" s="266"/>
    </row>
    <row r="174" spans="3:40" outlineLevel="2">
      <c r="C174" s="11" t="s">
        <v>604</v>
      </c>
      <c r="E174" s="266"/>
      <c r="F174" s="266"/>
      <c r="G174" s="266"/>
      <c r="H174" s="266"/>
      <c r="I174" s="266"/>
      <c r="J174" s="266"/>
      <c r="K174" s="266"/>
      <c r="L174" s="266"/>
      <c r="M174" s="266"/>
      <c r="N174" s="266"/>
      <c r="O174" s="266"/>
      <c r="P174" s="266"/>
      <c r="Q174" s="266"/>
      <c r="R174" s="266"/>
      <c r="S174" s="266"/>
      <c r="T174" s="266"/>
      <c r="U174" s="266"/>
      <c r="V174" s="266"/>
      <c r="W174" s="266"/>
      <c r="X174" s="266"/>
      <c r="Y174" s="266"/>
      <c r="Z174" s="266"/>
      <c r="AA174" s="266"/>
      <c r="AB174" s="266"/>
      <c r="AC174" s="266"/>
      <c r="AD174" s="266"/>
      <c r="AE174" s="266"/>
      <c r="AF174" s="266"/>
      <c r="AG174" s="266"/>
      <c r="AH174" s="266"/>
      <c r="AI174" s="266"/>
      <c r="AJ174" s="266"/>
      <c r="AK174" s="266"/>
      <c r="AL174" s="266"/>
      <c r="AM174" s="266"/>
      <c r="AN174" s="266"/>
    </row>
    <row r="175" spans="3:40" outlineLevel="3">
      <c r="C175" s="270" t="s">
        <v>596</v>
      </c>
      <c r="D175" s="270"/>
      <c r="E175" s="72" t="s">
        <v>13</v>
      </c>
      <c r="F175" s="327"/>
      <c r="G175" s="327">
        <f t="shared" ref="G175" si="141">F178</f>
        <v>0</v>
      </c>
      <c r="H175" s="327">
        <f t="shared" ref="H175" ca="1" si="142">G178</f>
        <v>5387.5155604479987</v>
      </c>
      <c r="I175" s="327">
        <f t="shared" ref="I175" ca="1" si="143">H178</f>
        <v>6123.7334651105211</v>
      </c>
      <c r="J175" s="327">
        <f t="shared" ref="J175" ca="1" si="144">I178</f>
        <v>6495.7961835256483</v>
      </c>
      <c r="K175" s="327">
        <f t="shared" ref="K175" ca="1" si="145">J178</f>
        <v>6179.4722809502291</v>
      </c>
      <c r="L175" s="327">
        <f t="shared" ref="L175" ca="1" si="146">K178</f>
        <v>6014.2942766383849</v>
      </c>
      <c r="M175" s="327">
        <f t="shared" ref="M175" ca="1" si="147">L178</f>
        <v>11060.955312112383</v>
      </c>
      <c r="N175" s="327">
        <f t="shared" ref="N175" ca="1" si="148">M178</f>
        <v>10063.577500729969</v>
      </c>
      <c r="O175" s="327">
        <f t="shared" ref="O175" ca="1" si="149">N178</f>
        <v>12585.038939170729</v>
      </c>
      <c r="P175" s="327">
        <f t="shared" ref="P175" ca="1" si="150">O178</f>
        <v>11030.89855875685</v>
      </c>
      <c r="Q175" s="327">
        <f t="shared" ref="Q175" ca="1" si="151">P178</f>
        <v>9817.5326396519558</v>
      </c>
      <c r="R175" s="327">
        <f t="shared" ref="R175" ca="1" si="152">Q178</f>
        <v>8786.6765349260313</v>
      </c>
      <c r="S175" s="327">
        <f t="shared" ref="S175" ca="1" si="153">R178</f>
        <v>7469.2626612225722</v>
      </c>
      <c r="T175" s="327">
        <f t="shared" ref="T175" ca="1" si="154">S178</f>
        <v>5901.1722159567544</v>
      </c>
      <c r="U175" s="327">
        <f t="shared" ref="U175" ca="1" si="155">T178</f>
        <v>3993.7179849554841</v>
      </c>
      <c r="V175" s="327">
        <f t="shared" ref="V175" ca="1" si="156">U178</f>
        <v>4041.9952053962925</v>
      </c>
      <c r="W175" s="327">
        <f t="shared" ref="W175" ca="1" si="157">V178</f>
        <v>0</v>
      </c>
      <c r="X175" s="327">
        <f t="shared" ref="X175" ca="1" si="158">W178</f>
        <v>0</v>
      </c>
      <c r="Y175" s="327">
        <f t="shared" ref="Y175" ca="1" si="159">X178</f>
        <v>0</v>
      </c>
      <c r="Z175" s="327">
        <f t="shared" ref="Z175" ca="1" si="160">Y178</f>
        <v>0</v>
      </c>
      <c r="AA175" s="327">
        <f t="shared" ref="AA175" ca="1" si="161">Z178</f>
        <v>0</v>
      </c>
      <c r="AB175" s="327">
        <f t="shared" ref="AB175" ca="1" si="162">AA178</f>
        <v>0</v>
      </c>
      <c r="AC175" s="327">
        <f t="shared" ref="AC175" ca="1" si="163">AB178</f>
        <v>0</v>
      </c>
      <c r="AD175" s="327">
        <f t="shared" ref="AD175" ca="1" si="164">AC178</f>
        <v>0</v>
      </c>
      <c r="AE175" s="327">
        <f t="shared" ref="AE175" ca="1" si="165">AD178</f>
        <v>0</v>
      </c>
      <c r="AF175" s="327">
        <f t="shared" ref="AF175" ca="1" si="166">AE178</f>
        <v>0</v>
      </c>
      <c r="AG175" s="327">
        <f t="shared" ref="AG175" ca="1" si="167">AF178</f>
        <v>0</v>
      </c>
      <c r="AH175" s="327">
        <f t="shared" ref="AH175" ca="1" si="168">AG178</f>
        <v>0</v>
      </c>
      <c r="AI175" s="327">
        <f t="shared" ref="AI175" ca="1" si="169">AH178</f>
        <v>0</v>
      </c>
      <c r="AJ175" s="327">
        <f t="shared" ref="AJ175" ca="1" si="170">AI178</f>
        <v>0</v>
      </c>
      <c r="AK175" s="327">
        <f t="shared" ref="AK175" ca="1" si="171">AJ178</f>
        <v>0</v>
      </c>
      <c r="AL175" s="327">
        <f ca="1">AK178</f>
        <v>0</v>
      </c>
      <c r="AM175" s="327">
        <f ca="1">AL178</f>
        <v>0</v>
      </c>
      <c r="AN175" s="327">
        <f ca="1">AM178</f>
        <v>0</v>
      </c>
    </row>
    <row r="176" spans="3:40" outlineLevel="3">
      <c r="C176" s="341" t="s">
        <v>572</v>
      </c>
      <c r="D176" s="266"/>
      <c r="E176" s="73" t="s">
        <v>13</v>
      </c>
      <c r="F176" s="70">
        <f ca="1">SUM(G176:AN176)</f>
        <v>24243.443226602969</v>
      </c>
      <c r="G176" s="273">
        <f t="shared" ref="G176:AN176" ca="1" si="172">IF(G56&lt;=1,G$76,0)</f>
        <v>5387.5155604479987</v>
      </c>
      <c r="H176" s="273">
        <f t="shared" ca="1" si="172"/>
        <v>736.21790466252253</v>
      </c>
      <c r="I176" s="273">
        <f t="shared" ca="1" si="172"/>
        <v>871.73934791710019</v>
      </c>
      <c r="J176" s="273">
        <f t="shared" ca="1" si="172"/>
        <v>198.63212083710005</v>
      </c>
      <c r="K176" s="273">
        <f t="shared" ca="1" si="172"/>
        <v>381.57602083710003</v>
      </c>
      <c r="L176" s="273">
        <f t="shared" ca="1" si="172"/>
        <v>6152.7565666852361</v>
      </c>
      <c r="M176" s="273">
        <f t="shared" ca="1" si="172"/>
        <v>120.79746647647202</v>
      </c>
      <c r="N176" s="273">
        <f t="shared" ca="1" si="172"/>
        <v>4094.5913058371002</v>
      </c>
      <c r="O176" s="273">
        <f t="shared" ca="1" si="172"/>
        <v>21.702270837100006</v>
      </c>
      <c r="P176" s="273">
        <f t="shared" ca="1" si="172"/>
        <v>422.88952083710018</v>
      </c>
      <c r="Q176" s="273">
        <f t="shared" ca="1" si="172"/>
        <v>726.4792022592801</v>
      </c>
      <c r="R176" s="273">
        <f t="shared" ca="1" si="172"/>
        <v>549.90179160218463</v>
      </c>
      <c r="S176" s="273">
        <f t="shared" ca="1" si="172"/>
        <v>398.96696005310019</v>
      </c>
      <c r="T176" s="273">
        <f t="shared" ca="1" si="172"/>
        <v>89.404761476472018</v>
      </c>
      <c r="U176" s="273">
        <f t="shared" ca="1" si="172"/>
        <v>4090.2724258371009</v>
      </c>
      <c r="V176" s="273">
        <f t="shared" si="172"/>
        <v>0</v>
      </c>
      <c r="W176" s="273">
        <f t="shared" si="172"/>
        <v>0</v>
      </c>
      <c r="X176" s="273">
        <f t="shared" si="172"/>
        <v>0</v>
      </c>
      <c r="Y176" s="273">
        <f t="shared" si="172"/>
        <v>0</v>
      </c>
      <c r="Z176" s="273">
        <f t="shared" si="172"/>
        <v>0</v>
      </c>
      <c r="AA176" s="273">
        <f t="shared" si="172"/>
        <v>0</v>
      </c>
      <c r="AB176" s="273">
        <f t="shared" si="172"/>
        <v>0</v>
      </c>
      <c r="AC176" s="273">
        <f t="shared" si="172"/>
        <v>0</v>
      </c>
      <c r="AD176" s="273">
        <f t="shared" si="172"/>
        <v>0</v>
      </c>
      <c r="AE176" s="273">
        <f t="shared" si="172"/>
        <v>0</v>
      </c>
      <c r="AF176" s="273">
        <f t="shared" si="172"/>
        <v>0</v>
      </c>
      <c r="AG176" s="273">
        <f t="shared" si="172"/>
        <v>0</v>
      </c>
      <c r="AH176" s="273">
        <f t="shared" si="172"/>
        <v>0</v>
      </c>
      <c r="AI176" s="273">
        <f t="shared" si="172"/>
        <v>0</v>
      </c>
      <c r="AJ176" s="273">
        <f t="shared" si="172"/>
        <v>0</v>
      </c>
      <c r="AK176" s="273">
        <f t="shared" ca="1" si="172"/>
        <v>0</v>
      </c>
      <c r="AL176" s="273">
        <f t="shared" ca="1" si="172"/>
        <v>0</v>
      </c>
      <c r="AM176" s="273">
        <f t="shared" ca="1" si="172"/>
        <v>0</v>
      </c>
      <c r="AN176" s="273">
        <f t="shared" ca="1" si="172"/>
        <v>0</v>
      </c>
    </row>
    <row r="177" spans="3:40" outlineLevel="3">
      <c r="C177" s="341" t="s">
        <v>573</v>
      </c>
      <c r="D177" s="266"/>
      <c r="E177" s="73" t="s">
        <v>13</v>
      </c>
      <c r="F177" s="47">
        <f ca="1">SUM(G177:AN177)</f>
        <v>-24243.443226602965</v>
      </c>
      <c r="G177" s="273">
        <f t="shared" ref="G177:I177" si="173">G186</f>
        <v>0</v>
      </c>
      <c r="H177" s="273">
        <f t="shared" si="173"/>
        <v>0</v>
      </c>
      <c r="I177" s="273">
        <f t="shared" ca="1" si="173"/>
        <v>-499.67662950197297</v>
      </c>
      <c r="J177" s="273">
        <f t="shared" ref="J177:AN177" ca="1" si="174">J186</f>
        <v>-514.95602341251913</v>
      </c>
      <c r="K177" s="273">
        <f t="shared" ca="1" si="174"/>
        <v>-546.75402514894415</v>
      </c>
      <c r="L177" s="273">
        <f t="shared" ca="1" si="174"/>
        <v>-1106.0955312112383</v>
      </c>
      <c r="M177" s="273">
        <f t="shared" ca="1" si="174"/>
        <v>-1118.1752778588855</v>
      </c>
      <c r="N177" s="273">
        <f t="shared" ca="1" si="174"/>
        <v>-1573.1298673963411</v>
      </c>
      <c r="O177" s="273">
        <f t="shared" ca="1" si="174"/>
        <v>-1575.8426512509786</v>
      </c>
      <c r="P177" s="273">
        <f t="shared" ca="1" si="174"/>
        <v>-1636.2554399419928</v>
      </c>
      <c r="Q177" s="273">
        <f t="shared" ca="1" si="174"/>
        <v>-1757.3353069852062</v>
      </c>
      <c r="R177" s="273">
        <f t="shared" ca="1" si="174"/>
        <v>-1867.3156653056431</v>
      </c>
      <c r="S177" s="273">
        <f t="shared" ca="1" si="174"/>
        <v>-1967.0574053189182</v>
      </c>
      <c r="T177" s="273">
        <f t="shared" ca="1" si="174"/>
        <v>-1996.8589924777423</v>
      </c>
      <c r="U177" s="273">
        <f t="shared" ca="1" si="174"/>
        <v>-4041.9952053962925</v>
      </c>
      <c r="V177" s="273">
        <f t="shared" ca="1" si="174"/>
        <v>-4041.9952053962925</v>
      </c>
      <c r="W177" s="273">
        <f t="shared" si="174"/>
        <v>0</v>
      </c>
      <c r="X177" s="273">
        <f t="shared" si="174"/>
        <v>0</v>
      </c>
      <c r="Y177" s="273">
        <f t="shared" si="174"/>
        <v>0</v>
      </c>
      <c r="Z177" s="273">
        <f t="shared" si="174"/>
        <v>0</v>
      </c>
      <c r="AA177" s="273">
        <f t="shared" si="174"/>
        <v>0</v>
      </c>
      <c r="AB177" s="273">
        <f t="shared" si="174"/>
        <v>0</v>
      </c>
      <c r="AC177" s="273">
        <f t="shared" si="174"/>
        <v>0</v>
      </c>
      <c r="AD177" s="273">
        <f t="shared" si="174"/>
        <v>0</v>
      </c>
      <c r="AE177" s="273">
        <f t="shared" si="174"/>
        <v>0</v>
      </c>
      <c r="AF177" s="273">
        <f t="shared" si="174"/>
        <v>0</v>
      </c>
      <c r="AG177" s="273">
        <f t="shared" si="174"/>
        <v>0</v>
      </c>
      <c r="AH177" s="273">
        <f t="shared" si="174"/>
        <v>0</v>
      </c>
      <c r="AI177" s="273">
        <f t="shared" si="174"/>
        <v>0</v>
      </c>
      <c r="AJ177" s="273">
        <f t="shared" si="174"/>
        <v>0</v>
      </c>
      <c r="AK177" s="273">
        <f t="shared" si="174"/>
        <v>0</v>
      </c>
      <c r="AL177" s="273">
        <f t="shared" si="174"/>
        <v>0</v>
      </c>
      <c r="AM177" s="273">
        <f t="shared" si="174"/>
        <v>0</v>
      </c>
      <c r="AN177" s="273">
        <f t="shared" si="174"/>
        <v>0</v>
      </c>
    </row>
    <row r="178" spans="3:40" ht="16.2" outlineLevel="3" thickBot="1">
      <c r="C178" s="275" t="s">
        <v>597</v>
      </c>
      <c r="D178" s="275"/>
      <c r="E178" s="74" t="s">
        <v>13</v>
      </c>
      <c r="F178" s="71"/>
      <c r="G178" s="325">
        <f t="shared" ref="G178:AN178" ca="1" si="175">SUM(G175:G177)</f>
        <v>5387.5155604479987</v>
      </c>
      <c r="H178" s="325">
        <f t="shared" ca="1" si="175"/>
        <v>6123.7334651105211</v>
      </c>
      <c r="I178" s="325">
        <f t="shared" ca="1" si="175"/>
        <v>6495.7961835256483</v>
      </c>
      <c r="J178" s="325">
        <f t="shared" ca="1" si="175"/>
        <v>6179.4722809502291</v>
      </c>
      <c r="K178" s="325">
        <f t="shared" ca="1" si="175"/>
        <v>6014.2942766383849</v>
      </c>
      <c r="L178" s="325">
        <f t="shared" ca="1" si="175"/>
        <v>11060.955312112383</v>
      </c>
      <c r="M178" s="325">
        <f t="shared" ca="1" si="175"/>
        <v>10063.577500729969</v>
      </c>
      <c r="N178" s="325">
        <f t="shared" ca="1" si="175"/>
        <v>12585.038939170729</v>
      </c>
      <c r="O178" s="325">
        <f t="shared" ca="1" si="175"/>
        <v>11030.89855875685</v>
      </c>
      <c r="P178" s="325">
        <f t="shared" ca="1" si="175"/>
        <v>9817.5326396519558</v>
      </c>
      <c r="Q178" s="325">
        <f t="shared" ca="1" si="175"/>
        <v>8786.6765349260313</v>
      </c>
      <c r="R178" s="325">
        <f t="shared" ca="1" si="175"/>
        <v>7469.2626612225722</v>
      </c>
      <c r="S178" s="325">
        <f t="shared" ca="1" si="175"/>
        <v>5901.1722159567544</v>
      </c>
      <c r="T178" s="325">
        <f t="shared" ca="1" si="175"/>
        <v>3993.7179849554841</v>
      </c>
      <c r="U178" s="325">
        <f t="shared" ca="1" si="175"/>
        <v>4041.9952053962925</v>
      </c>
      <c r="V178" s="325">
        <f t="shared" ca="1" si="175"/>
        <v>0</v>
      </c>
      <c r="W178" s="325">
        <f t="shared" ca="1" si="175"/>
        <v>0</v>
      </c>
      <c r="X178" s="325">
        <f t="shared" ca="1" si="175"/>
        <v>0</v>
      </c>
      <c r="Y178" s="325">
        <f t="shared" ca="1" si="175"/>
        <v>0</v>
      </c>
      <c r="Z178" s="325">
        <f t="shared" ca="1" si="175"/>
        <v>0</v>
      </c>
      <c r="AA178" s="325">
        <f t="shared" ca="1" si="175"/>
        <v>0</v>
      </c>
      <c r="AB178" s="325">
        <f t="shared" ca="1" si="175"/>
        <v>0</v>
      </c>
      <c r="AC178" s="325">
        <f t="shared" ca="1" si="175"/>
        <v>0</v>
      </c>
      <c r="AD178" s="325">
        <f t="shared" ca="1" si="175"/>
        <v>0</v>
      </c>
      <c r="AE178" s="325">
        <f t="shared" ca="1" si="175"/>
        <v>0</v>
      </c>
      <c r="AF178" s="325">
        <f t="shared" ca="1" si="175"/>
        <v>0</v>
      </c>
      <c r="AG178" s="325">
        <f t="shared" ca="1" si="175"/>
        <v>0</v>
      </c>
      <c r="AH178" s="325">
        <f t="shared" ca="1" si="175"/>
        <v>0</v>
      </c>
      <c r="AI178" s="325">
        <f t="shared" ca="1" si="175"/>
        <v>0</v>
      </c>
      <c r="AJ178" s="325">
        <f t="shared" ca="1" si="175"/>
        <v>0</v>
      </c>
      <c r="AK178" s="325">
        <f t="shared" ca="1" si="175"/>
        <v>0</v>
      </c>
      <c r="AL178" s="325">
        <f t="shared" ca="1" si="175"/>
        <v>0</v>
      </c>
      <c r="AM178" s="325">
        <f t="shared" ca="1" si="175"/>
        <v>0</v>
      </c>
      <c r="AN178" s="325">
        <f t="shared" ca="1" si="175"/>
        <v>0</v>
      </c>
    </row>
    <row r="179" spans="3:40" ht="16.2" outlineLevel="3" thickTop="1">
      <c r="C179" s="266"/>
      <c r="D179" s="266"/>
      <c r="E179" s="266"/>
      <c r="F179" s="266"/>
      <c r="G179" s="266"/>
      <c r="H179" s="266"/>
      <c r="I179" s="266"/>
      <c r="J179" s="266"/>
      <c r="K179" s="266"/>
      <c r="L179" s="266"/>
      <c r="M179" s="266"/>
      <c r="N179" s="266"/>
      <c r="O179" s="266"/>
      <c r="P179" s="266"/>
      <c r="Q179" s="266"/>
      <c r="R179" s="266"/>
      <c r="S179" s="266"/>
      <c r="T179" s="266"/>
      <c r="U179" s="266"/>
      <c r="V179" s="266"/>
      <c r="W179" s="266"/>
      <c r="X179" s="266"/>
      <c r="Y179" s="266"/>
      <c r="Z179" s="266"/>
      <c r="AA179" s="266"/>
      <c r="AB179" s="266"/>
      <c r="AC179" s="266"/>
      <c r="AD179" s="266"/>
      <c r="AE179" s="266"/>
      <c r="AF179" s="266"/>
      <c r="AG179" s="266"/>
      <c r="AH179" s="266"/>
      <c r="AI179" s="266"/>
      <c r="AJ179" s="266"/>
      <c r="AK179" s="266"/>
      <c r="AL179" s="266"/>
      <c r="AM179" s="266"/>
      <c r="AN179" s="266"/>
    </row>
    <row r="180" spans="3:40" outlineLevel="3">
      <c r="C180" s="281" t="str">
        <f>Flags!C$49</f>
        <v>Fim período</v>
      </c>
      <c r="D180" s="49"/>
      <c r="E180" s="41">
        <f>E136</f>
        <v>0</v>
      </c>
      <c r="F180" s="319"/>
      <c r="G180" s="281">
        <f>Flags!G$49</f>
        <v>46752</v>
      </c>
      <c r="H180" s="281">
        <f>Flags!H$49</f>
        <v>47118</v>
      </c>
      <c r="I180" s="281">
        <f>Flags!I$49</f>
        <v>47483</v>
      </c>
      <c r="J180" s="281">
        <f>Flags!J$49</f>
        <v>47848</v>
      </c>
      <c r="K180" s="281">
        <f>Flags!K$49</f>
        <v>48213</v>
      </c>
      <c r="L180" s="281">
        <f>Flags!L$49</f>
        <v>48579</v>
      </c>
      <c r="M180" s="281">
        <f>Flags!M$49</f>
        <v>48944</v>
      </c>
      <c r="N180" s="281">
        <f>Flags!N$49</f>
        <v>49309</v>
      </c>
      <c r="O180" s="281">
        <f>Flags!O$49</f>
        <v>49674</v>
      </c>
      <c r="P180" s="281">
        <f>Flags!P$49</f>
        <v>50040</v>
      </c>
      <c r="Q180" s="281">
        <f>Flags!Q$49</f>
        <v>50405</v>
      </c>
      <c r="R180" s="281">
        <f>Flags!R$49</f>
        <v>50770</v>
      </c>
      <c r="S180" s="281">
        <f>Flags!S$49</f>
        <v>51135</v>
      </c>
      <c r="T180" s="281">
        <f>Flags!T$49</f>
        <v>51501</v>
      </c>
      <c r="U180" s="281">
        <f>Flags!U$49</f>
        <v>51866</v>
      </c>
      <c r="V180" s="281">
        <f>Flags!V$49</f>
        <v>52231</v>
      </c>
      <c r="W180" s="281">
        <f>Flags!W$49</f>
        <v>52596</v>
      </c>
      <c r="X180" s="281">
        <f>Flags!X$49</f>
        <v>52962</v>
      </c>
      <c r="Y180" s="281">
        <f>Flags!Y$49</f>
        <v>53327</v>
      </c>
      <c r="Z180" s="281">
        <f>Flags!Z$49</f>
        <v>53692</v>
      </c>
      <c r="AA180" s="281">
        <f>Flags!AA$49</f>
        <v>54057</v>
      </c>
      <c r="AB180" s="281">
        <f>Flags!AB$49</f>
        <v>54423</v>
      </c>
      <c r="AC180" s="281">
        <f>Flags!AC$49</f>
        <v>54788</v>
      </c>
      <c r="AD180" s="281">
        <f>Flags!AD$49</f>
        <v>55153</v>
      </c>
      <c r="AE180" s="281">
        <f>Flags!AE$49</f>
        <v>55518</v>
      </c>
      <c r="AF180" s="281">
        <f>Flags!AF$49</f>
        <v>55884</v>
      </c>
      <c r="AG180" s="281">
        <f>Flags!AG$49</f>
        <v>56249</v>
      </c>
      <c r="AH180" s="281">
        <f>Flags!AH$49</f>
        <v>56614</v>
      </c>
      <c r="AI180" s="281">
        <f>Flags!AI$49</f>
        <v>56979</v>
      </c>
      <c r="AJ180" s="281">
        <f>Flags!AJ$49</f>
        <v>57345</v>
      </c>
      <c r="AK180" s="281">
        <f>Flags!AK$49</f>
        <v>57710</v>
      </c>
      <c r="AL180" s="281">
        <f>Flags!AL$49</f>
        <v>58075</v>
      </c>
      <c r="AM180" s="281">
        <f>Flags!AM$49</f>
        <v>58440</v>
      </c>
      <c r="AN180" s="281">
        <f>Flags!AN$49</f>
        <v>58806</v>
      </c>
    </row>
    <row r="181" spans="3:40" outlineLevel="3">
      <c r="C181" t="str">
        <f t="shared" ref="C181:AN181" si="176">C$90</f>
        <v>Flag de repagamento dívida</v>
      </c>
      <c r="D181"/>
      <c r="E181" s="41" t="str">
        <f t="shared" si="176"/>
        <v>Flag</v>
      </c>
      <c r="F181" s="23">
        <f t="shared" si="176"/>
        <v>0</v>
      </c>
      <c r="G181" s="25">
        <f t="shared" si="176"/>
        <v>0</v>
      </c>
      <c r="H181" s="25">
        <f t="shared" si="176"/>
        <v>0</v>
      </c>
      <c r="I181" s="25">
        <f t="shared" si="176"/>
        <v>1</v>
      </c>
      <c r="J181" s="25">
        <f t="shared" si="176"/>
        <v>1</v>
      </c>
      <c r="K181" s="25">
        <f t="shared" si="176"/>
        <v>1</v>
      </c>
      <c r="L181" s="25">
        <f t="shared" si="176"/>
        <v>1</v>
      </c>
      <c r="M181" s="25">
        <f t="shared" si="176"/>
        <v>1</v>
      </c>
      <c r="N181" s="25">
        <f t="shared" si="176"/>
        <v>1</v>
      </c>
      <c r="O181" s="25">
        <f t="shared" si="176"/>
        <v>1</v>
      </c>
      <c r="P181" s="25">
        <f t="shared" si="176"/>
        <v>1</v>
      </c>
      <c r="Q181" s="25">
        <f t="shared" si="176"/>
        <v>1</v>
      </c>
      <c r="R181" s="25">
        <f t="shared" si="176"/>
        <v>1</v>
      </c>
      <c r="S181" s="25">
        <f t="shared" si="176"/>
        <v>1</v>
      </c>
      <c r="T181" s="25">
        <f t="shared" si="176"/>
        <v>1</v>
      </c>
      <c r="U181" s="25">
        <f t="shared" si="176"/>
        <v>1</v>
      </c>
      <c r="V181" s="25">
        <f t="shared" si="176"/>
        <v>1</v>
      </c>
      <c r="W181" s="25">
        <f t="shared" si="176"/>
        <v>0</v>
      </c>
      <c r="X181" s="25">
        <f t="shared" si="176"/>
        <v>0</v>
      </c>
      <c r="Y181" s="25">
        <f t="shared" si="176"/>
        <v>0</v>
      </c>
      <c r="Z181" s="25">
        <f t="shared" si="176"/>
        <v>0</v>
      </c>
      <c r="AA181" s="25">
        <f t="shared" si="176"/>
        <v>0</v>
      </c>
      <c r="AB181" s="25">
        <f t="shared" si="176"/>
        <v>0</v>
      </c>
      <c r="AC181" s="25">
        <f t="shared" si="176"/>
        <v>0</v>
      </c>
      <c r="AD181" s="25">
        <f t="shared" si="176"/>
        <v>0</v>
      </c>
      <c r="AE181" s="25">
        <f t="shared" si="176"/>
        <v>0</v>
      </c>
      <c r="AF181" s="25">
        <f t="shared" si="176"/>
        <v>0</v>
      </c>
      <c r="AG181" s="25">
        <f t="shared" si="176"/>
        <v>0</v>
      </c>
      <c r="AH181" s="25">
        <f t="shared" si="176"/>
        <v>0</v>
      </c>
      <c r="AI181" s="25">
        <f t="shared" si="176"/>
        <v>0</v>
      </c>
      <c r="AJ181" s="25">
        <f t="shared" si="176"/>
        <v>0</v>
      </c>
      <c r="AK181" s="25">
        <f t="shared" si="176"/>
        <v>0</v>
      </c>
      <c r="AL181" s="25">
        <f t="shared" si="176"/>
        <v>0</v>
      </c>
      <c r="AM181" s="25">
        <f t="shared" si="176"/>
        <v>0</v>
      </c>
      <c r="AN181" s="25">
        <f t="shared" si="176"/>
        <v>0</v>
      </c>
    </row>
    <row r="182" spans="3:40" outlineLevel="3">
      <c r="C182" t="str">
        <f t="shared" ref="C182:AN182" si="177">C$91</f>
        <v>Counter de periodo dívida</v>
      </c>
      <c r="D182"/>
      <c r="E182" s="41" t="str">
        <f t="shared" si="177"/>
        <v>Counter</v>
      </c>
      <c r="F182" s="23">
        <f t="shared" si="177"/>
        <v>0</v>
      </c>
      <c r="G182" s="78">
        <f t="shared" si="177"/>
        <v>14</v>
      </c>
      <c r="H182" s="78">
        <f t="shared" si="177"/>
        <v>14</v>
      </c>
      <c r="I182" s="78">
        <f t="shared" si="177"/>
        <v>14</v>
      </c>
      <c r="J182" s="78">
        <f t="shared" si="177"/>
        <v>13</v>
      </c>
      <c r="K182" s="78">
        <f t="shared" si="177"/>
        <v>12</v>
      </c>
      <c r="L182" s="78">
        <f t="shared" si="177"/>
        <v>11</v>
      </c>
      <c r="M182" s="78">
        <f t="shared" si="177"/>
        <v>10</v>
      </c>
      <c r="N182" s="78">
        <f t="shared" si="177"/>
        <v>9</v>
      </c>
      <c r="O182" s="78">
        <f t="shared" si="177"/>
        <v>8</v>
      </c>
      <c r="P182" s="78">
        <f t="shared" si="177"/>
        <v>7</v>
      </c>
      <c r="Q182" s="78">
        <f t="shared" si="177"/>
        <v>6</v>
      </c>
      <c r="R182" s="78">
        <f t="shared" si="177"/>
        <v>5</v>
      </c>
      <c r="S182" s="78">
        <f t="shared" si="177"/>
        <v>4</v>
      </c>
      <c r="T182" s="78">
        <f t="shared" si="177"/>
        <v>3</v>
      </c>
      <c r="U182" s="78">
        <f t="shared" si="177"/>
        <v>2</v>
      </c>
      <c r="V182" s="78">
        <f t="shared" si="177"/>
        <v>1</v>
      </c>
      <c r="W182" s="78">
        <f t="shared" si="177"/>
        <v>0</v>
      </c>
      <c r="X182" s="78">
        <f t="shared" si="177"/>
        <v>0</v>
      </c>
      <c r="Y182" s="78">
        <f t="shared" si="177"/>
        <v>0</v>
      </c>
      <c r="Z182" s="78">
        <f t="shared" si="177"/>
        <v>0</v>
      </c>
      <c r="AA182" s="78">
        <f t="shared" si="177"/>
        <v>0</v>
      </c>
      <c r="AB182" s="78">
        <f t="shared" si="177"/>
        <v>0</v>
      </c>
      <c r="AC182" s="78">
        <f t="shared" si="177"/>
        <v>0</v>
      </c>
      <c r="AD182" s="78">
        <f t="shared" si="177"/>
        <v>0</v>
      </c>
      <c r="AE182" s="78">
        <f t="shared" si="177"/>
        <v>0</v>
      </c>
      <c r="AF182" s="78">
        <f t="shared" si="177"/>
        <v>0</v>
      </c>
      <c r="AG182" s="78">
        <f t="shared" si="177"/>
        <v>0</v>
      </c>
      <c r="AH182" s="78">
        <f t="shared" si="177"/>
        <v>0</v>
      </c>
      <c r="AI182" s="78">
        <f t="shared" si="177"/>
        <v>0</v>
      </c>
      <c r="AJ182" s="78">
        <f t="shared" si="177"/>
        <v>0</v>
      </c>
      <c r="AK182" s="78">
        <f t="shared" si="177"/>
        <v>0</v>
      </c>
      <c r="AL182" s="78">
        <f t="shared" si="177"/>
        <v>0</v>
      </c>
      <c r="AM182" s="78">
        <f t="shared" si="177"/>
        <v>0</v>
      </c>
      <c r="AN182" s="78">
        <f t="shared" si="177"/>
        <v>0</v>
      </c>
    </row>
    <row r="183" spans="3:40" outlineLevel="2">
      <c r="C183"/>
      <c r="D183"/>
      <c r="F183" s="266"/>
      <c r="G183" s="80"/>
      <c r="H183" s="80"/>
      <c r="I183" s="80"/>
      <c r="J183" s="80"/>
      <c r="K183" s="80"/>
      <c r="L183" s="80"/>
      <c r="M183" s="80"/>
      <c r="N183" s="80"/>
      <c r="O183" s="80"/>
      <c r="P183" s="80"/>
      <c r="Q183" s="80"/>
      <c r="R183" s="80"/>
      <c r="S183" s="80"/>
      <c r="T183" s="80"/>
      <c r="U183" s="80"/>
      <c r="V183" s="80"/>
      <c r="W183" s="80"/>
      <c r="X183" s="80"/>
      <c r="Y183" s="80"/>
      <c r="Z183" s="80"/>
      <c r="AA183" s="80"/>
      <c r="AB183" s="80"/>
      <c r="AC183" s="80"/>
      <c r="AD183" s="80"/>
      <c r="AE183" s="80"/>
      <c r="AF183" s="80"/>
      <c r="AG183" s="80"/>
      <c r="AH183" s="80"/>
      <c r="AI183" s="80"/>
      <c r="AJ183" s="80"/>
      <c r="AK183" s="80"/>
      <c r="AL183" s="80"/>
      <c r="AM183" s="80"/>
      <c r="AN183" s="80"/>
    </row>
    <row r="184" spans="3:40" outlineLevel="2">
      <c r="C184" s="14" t="s">
        <v>605</v>
      </c>
      <c r="D184" s="266"/>
      <c r="E184" s="266"/>
      <c r="F184" s="266"/>
      <c r="G184" s="266"/>
      <c r="H184" s="266"/>
      <c r="I184" s="266"/>
      <c r="J184" s="266"/>
      <c r="K184" s="266"/>
      <c r="L184" s="266"/>
      <c r="M184" s="266"/>
      <c r="N184" s="266"/>
      <c r="O184" s="266"/>
      <c r="P184" s="266"/>
      <c r="Q184" s="266"/>
      <c r="R184" s="266"/>
      <c r="S184" s="266"/>
      <c r="T184" s="266"/>
      <c r="U184" s="266"/>
      <c r="V184" s="266"/>
      <c r="W184" s="266"/>
      <c r="X184" s="266"/>
      <c r="Y184" s="266"/>
      <c r="Z184" s="266"/>
      <c r="AA184" s="266"/>
      <c r="AB184" s="266"/>
      <c r="AC184" s="266"/>
      <c r="AD184" s="266"/>
      <c r="AE184" s="266"/>
      <c r="AF184" s="266"/>
      <c r="AG184" s="266"/>
      <c r="AH184" s="266"/>
      <c r="AI184" s="266"/>
      <c r="AJ184" s="266"/>
      <c r="AK184" s="266"/>
      <c r="AL184" s="266"/>
      <c r="AM184" s="266"/>
      <c r="AN184" s="266"/>
    </row>
    <row r="185" spans="3:40" outlineLevel="3">
      <c r="C185" s="301" t="s">
        <v>600</v>
      </c>
      <c r="D185" s="266"/>
      <c r="E185" s="41" t="s">
        <v>13</v>
      </c>
      <c r="F185" s="23">
        <f ca="1">SUM(G185:AN185)</f>
        <v>-15311.459080077029</v>
      </c>
      <c r="G185" s="278">
        <f t="shared" ref="G185:AN185" ca="1" si="178">-G172</f>
        <v>-592.62671164927997</v>
      </c>
      <c r="H185" s="278">
        <f t="shared" ca="1" si="178"/>
        <v>-673.61068116215745</v>
      </c>
      <c r="I185" s="278">
        <f t="shared" ca="1" si="178"/>
        <v>-769.50200943303844</v>
      </c>
      <c r="J185" s="278">
        <f t="shared" ca="1" si="178"/>
        <v>-736.38711347990238</v>
      </c>
      <c r="K185" s="278">
        <f t="shared" ca="1" si="178"/>
        <v>-721.7153131966063</v>
      </c>
      <c r="L185" s="278">
        <f t="shared" ca="1" si="178"/>
        <v>-1338.3755927655984</v>
      </c>
      <c r="M185" s="278">
        <f t="shared" ca="1" si="178"/>
        <v>-1229.9928056447741</v>
      </c>
      <c r="N185" s="278">
        <f t="shared" ca="1" si="178"/>
        <v>-1557.3985687223778</v>
      </c>
      <c r="O185" s="278">
        <f t="shared" ca="1" si="178"/>
        <v>-1386.7415331008615</v>
      </c>
      <c r="P185" s="278">
        <f t="shared" ca="1" si="178"/>
        <v>-1259.9166887553345</v>
      </c>
      <c r="Q185" s="278">
        <f t="shared" ca="1" si="178"/>
        <v>-1159.8413026102362</v>
      </c>
      <c r="R185" s="278">
        <f t="shared" ca="1" si="178"/>
        <v>-1027.0236159181038</v>
      </c>
      <c r="S185" s="278">
        <f t="shared" ca="1" si="178"/>
        <v>-865.50525834032408</v>
      </c>
      <c r="T185" s="278">
        <f t="shared" ca="1" si="178"/>
        <v>-658.96346751765498</v>
      </c>
      <c r="U185" s="278">
        <f t="shared" ca="1" si="178"/>
        <v>-889.23894518718441</v>
      </c>
      <c r="V185" s="278">
        <f t="shared" ca="1" si="178"/>
        <v>-444.61947259359221</v>
      </c>
      <c r="W185" s="278">
        <f t="shared" ca="1" si="178"/>
        <v>0</v>
      </c>
      <c r="X185" s="278">
        <f t="shared" ca="1" si="178"/>
        <v>0</v>
      </c>
      <c r="Y185" s="278">
        <f t="shared" ca="1" si="178"/>
        <v>0</v>
      </c>
      <c r="Z185" s="278">
        <f t="shared" ca="1" si="178"/>
        <v>0</v>
      </c>
      <c r="AA185" s="278">
        <f t="shared" ca="1" si="178"/>
        <v>0</v>
      </c>
      <c r="AB185" s="278">
        <f t="shared" ca="1" si="178"/>
        <v>0</v>
      </c>
      <c r="AC185" s="278">
        <f t="shared" ca="1" si="178"/>
        <v>0</v>
      </c>
      <c r="AD185" s="278">
        <f t="shared" ca="1" si="178"/>
        <v>0</v>
      </c>
      <c r="AE185" s="278">
        <f t="shared" ca="1" si="178"/>
        <v>0</v>
      </c>
      <c r="AF185" s="278">
        <f t="shared" ca="1" si="178"/>
        <v>0</v>
      </c>
      <c r="AG185" s="278">
        <f t="shared" ca="1" si="178"/>
        <v>0</v>
      </c>
      <c r="AH185" s="278">
        <f t="shared" ca="1" si="178"/>
        <v>0</v>
      </c>
      <c r="AI185" s="278">
        <f t="shared" ca="1" si="178"/>
        <v>0</v>
      </c>
      <c r="AJ185" s="278">
        <f t="shared" ca="1" si="178"/>
        <v>0</v>
      </c>
      <c r="AK185" s="278">
        <f t="shared" ca="1" si="178"/>
        <v>0</v>
      </c>
      <c r="AL185" s="278">
        <f t="shared" ca="1" si="178"/>
        <v>0</v>
      </c>
      <c r="AM185" s="278">
        <f t="shared" ca="1" si="178"/>
        <v>0</v>
      </c>
      <c r="AN185" s="278">
        <f t="shared" ca="1" si="178"/>
        <v>0</v>
      </c>
    </row>
    <row r="186" spans="3:40" outlineLevel="3">
      <c r="C186" s="301" t="s">
        <v>601</v>
      </c>
      <c r="D186" s="266"/>
      <c r="E186" s="41" t="s">
        <v>13</v>
      </c>
      <c r="F186" s="23">
        <f ca="1">SUM(G186:AN186)</f>
        <v>-24243.443226602965</v>
      </c>
      <c r="G186" s="278">
        <f>IF(G181=1,-(G175+G176)/G182,0)</f>
        <v>0</v>
      </c>
      <c r="H186" s="278">
        <f t="shared" ref="H186:AN186" si="179">IF(H181=1,-(H175+H176)/H182,0)</f>
        <v>0</v>
      </c>
      <c r="I186" s="278">
        <f t="shared" ca="1" si="179"/>
        <v>-499.67662950197297</v>
      </c>
      <c r="J186" s="278">
        <f t="shared" ca="1" si="179"/>
        <v>-514.95602341251913</v>
      </c>
      <c r="K186" s="278">
        <f t="shared" ca="1" si="179"/>
        <v>-546.75402514894415</v>
      </c>
      <c r="L186" s="278">
        <f t="shared" ca="1" si="179"/>
        <v>-1106.0955312112383</v>
      </c>
      <c r="M186" s="278">
        <f t="shared" ca="1" si="179"/>
        <v>-1118.1752778588855</v>
      </c>
      <c r="N186" s="278">
        <f t="shared" ca="1" si="179"/>
        <v>-1573.1298673963411</v>
      </c>
      <c r="O186" s="278">
        <f t="shared" ca="1" si="179"/>
        <v>-1575.8426512509786</v>
      </c>
      <c r="P186" s="278">
        <f t="shared" ca="1" si="179"/>
        <v>-1636.2554399419928</v>
      </c>
      <c r="Q186" s="278">
        <f t="shared" ca="1" si="179"/>
        <v>-1757.3353069852062</v>
      </c>
      <c r="R186" s="278">
        <f t="shared" ca="1" si="179"/>
        <v>-1867.3156653056431</v>
      </c>
      <c r="S186" s="278">
        <f t="shared" ca="1" si="179"/>
        <v>-1967.0574053189182</v>
      </c>
      <c r="T186" s="278">
        <f t="shared" ca="1" si="179"/>
        <v>-1996.8589924777423</v>
      </c>
      <c r="U186" s="278">
        <f t="shared" ca="1" si="179"/>
        <v>-4041.9952053962925</v>
      </c>
      <c r="V186" s="278">
        <f t="shared" ca="1" si="179"/>
        <v>-4041.9952053962925</v>
      </c>
      <c r="W186" s="278">
        <f t="shared" si="179"/>
        <v>0</v>
      </c>
      <c r="X186" s="278">
        <f t="shared" si="179"/>
        <v>0</v>
      </c>
      <c r="Y186" s="278">
        <f t="shared" si="179"/>
        <v>0</v>
      </c>
      <c r="Z186" s="278">
        <f t="shared" si="179"/>
        <v>0</v>
      </c>
      <c r="AA186" s="278">
        <f t="shared" si="179"/>
        <v>0</v>
      </c>
      <c r="AB186" s="278">
        <f t="shared" si="179"/>
        <v>0</v>
      </c>
      <c r="AC186" s="278">
        <f t="shared" si="179"/>
        <v>0</v>
      </c>
      <c r="AD186" s="278">
        <f t="shared" si="179"/>
        <v>0</v>
      </c>
      <c r="AE186" s="278">
        <f t="shared" si="179"/>
        <v>0</v>
      </c>
      <c r="AF186" s="278">
        <f t="shared" si="179"/>
        <v>0</v>
      </c>
      <c r="AG186" s="278">
        <f t="shared" si="179"/>
        <v>0</v>
      </c>
      <c r="AH186" s="278">
        <f t="shared" si="179"/>
        <v>0</v>
      </c>
      <c r="AI186" s="278">
        <f t="shared" si="179"/>
        <v>0</v>
      </c>
      <c r="AJ186" s="278">
        <f t="shared" si="179"/>
        <v>0</v>
      </c>
      <c r="AK186" s="278">
        <f t="shared" si="179"/>
        <v>0</v>
      </c>
      <c r="AL186" s="278">
        <f t="shared" si="179"/>
        <v>0</v>
      </c>
      <c r="AM186" s="278">
        <f t="shared" si="179"/>
        <v>0</v>
      </c>
      <c r="AN186" s="278">
        <f t="shared" si="179"/>
        <v>0</v>
      </c>
    </row>
    <row r="187" spans="3:40" outlineLevel="2">
      <c r="C187" s="266"/>
      <c r="D187" s="266"/>
      <c r="E187" s="41"/>
      <c r="F187" s="266"/>
      <c r="G187" s="266"/>
      <c r="H187" s="266"/>
      <c r="I187" s="278"/>
      <c r="J187" s="278"/>
      <c r="K187" s="278"/>
      <c r="L187" s="278"/>
      <c r="M187" s="278"/>
      <c r="N187" s="278"/>
      <c r="O187" s="278"/>
      <c r="P187" s="278"/>
      <c r="Q187" s="278"/>
      <c r="R187" s="278"/>
      <c r="S187" s="278"/>
      <c r="T187" s="278"/>
      <c r="U187" s="278"/>
      <c r="V187" s="278"/>
      <c r="W187" s="278"/>
      <c r="X187" s="278"/>
      <c r="Y187" s="278"/>
      <c r="Z187" s="278"/>
      <c r="AA187" s="266"/>
      <c r="AB187" s="266"/>
      <c r="AC187" s="266"/>
      <c r="AD187" s="266"/>
      <c r="AE187" s="266"/>
      <c r="AF187" s="266"/>
      <c r="AG187" s="266"/>
      <c r="AH187" s="266"/>
      <c r="AI187" s="266"/>
      <c r="AJ187" s="266"/>
      <c r="AK187" s="266"/>
      <c r="AL187" s="266"/>
      <c r="AM187" s="266"/>
      <c r="AN187" s="266"/>
    </row>
    <row r="188" spans="3:40" outlineLevel="1">
      <c r="C188" s="266"/>
      <c r="D188" s="266"/>
      <c r="E188" s="41"/>
      <c r="F188" s="266"/>
      <c r="G188" s="266"/>
      <c r="H188" s="266"/>
      <c r="I188" s="266"/>
      <c r="J188" s="266"/>
      <c r="K188" s="266"/>
      <c r="L188" s="266"/>
      <c r="M188" s="266"/>
      <c r="N188" s="266"/>
      <c r="O188" s="266"/>
      <c r="P188" s="266"/>
      <c r="Q188" s="266"/>
      <c r="R188" s="266"/>
      <c r="S188" s="266"/>
      <c r="T188" s="266"/>
      <c r="U188" s="266"/>
      <c r="V188" s="266"/>
      <c r="W188" s="266"/>
      <c r="X188" s="266"/>
      <c r="Y188" s="266"/>
      <c r="Z188" s="266"/>
      <c r="AA188" s="266"/>
      <c r="AB188" s="266"/>
      <c r="AC188" s="266"/>
      <c r="AD188" s="266"/>
      <c r="AE188" s="266"/>
      <c r="AF188" s="266"/>
      <c r="AG188" s="266"/>
      <c r="AH188" s="266"/>
      <c r="AI188" s="266"/>
      <c r="AJ188" s="266"/>
      <c r="AK188" s="266"/>
      <c r="AL188" s="266"/>
      <c r="AM188" s="266"/>
      <c r="AN188" s="266"/>
    </row>
    <row r="189" spans="3:40" outlineLevel="1">
      <c r="C189" s="11" t="s">
        <v>606</v>
      </c>
      <c r="D189" s="266"/>
      <c r="E189" s="266"/>
      <c r="F189" s="266"/>
      <c r="G189" s="266"/>
      <c r="H189" s="266"/>
      <c r="I189" s="266"/>
      <c r="J189" s="266"/>
      <c r="K189" s="266"/>
      <c r="L189" s="266"/>
      <c r="M189" s="266"/>
      <c r="N189" s="266"/>
      <c r="O189" s="266"/>
      <c r="P189" s="266"/>
      <c r="Q189" s="266"/>
      <c r="R189" s="266"/>
      <c r="S189" s="266"/>
      <c r="T189" s="266"/>
      <c r="U189" s="266"/>
      <c r="V189" s="266"/>
      <c r="W189" s="266"/>
      <c r="X189" s="266"/>
      <c r="Y189" s="266"/>
      <c r="Z189" s="266"/>
      <c r="AA189" s="266"/>
      <c r="AB189" s="266"/>
      <c r="AC189" s="266"/>
      <c r="AD189" s="266"/>
      <c r="AE189" s="266"/>
      <c r="AF189" s="266"/>
      <c r="AG189" s="266"/>
      <c r="AH189" s="266"/>
      <c r="AI189" s="266"/>
      <c r="AJ189" s="266"/>
      <c r="AK189" s="266"/>
      <c r="AL189" s="266"/>
      <c r="AM189" s="266"/>
      <c r="AN189" s="266"/>
    </row>
    <row r="190" spans="3:40" outlineLevel="2">
      <c r="C190" s="11"/>
      <c r="D190" s="266"/>
      <c r="E190" s="266"/>
      <c r="F190" s="266"/>
      <c r="G190" s="266"/>
      <c r="H190" s="266"/>
      <c r="I190" s="266"/>
      <c r="J190" s="266"/>
      <c r="K190" s="266"/>
      <c r="L190" s="266"/>
      <c r="M190" s="266"/>
      <c r="N190" s="266"/>
      <c r="O190" s="266"/>
      <c r="P190" s="266"/>
      <c r="Q190" s="266"/>
      <c r="R190" s="266"/>
      <c r="S190" s="266"/>
      <c r="T190" s="266"/>
      <c r="U190" s="266"/>
      <c r="V190" s="266"/>
      <c r="W190" s="266"/>
      <c r="X190" s="266"/>
      <c r="Y190" s="266"/>
      <c r="Z190" s="266"/>
      <c r="AA190" s="266"/>
      <c r="AB190" s="266"/>
      <c r="AC190" s="266"/>
      <c r="AD190" s="266"/>
      <c r="AE190" s="266"/>
      <c r="AF190" s="266"/>
      <c r="AG190" s="266"/>
      <c r="AH190" s="266"/>
      <c r="AI190" s="266"/>
      <c r="AJ190" s="266"/>
      <c r="AK190" s="266"/>
      <c r="AL190" s="266"/>
      <c r="AM190" s="266"/>
      <c r="AN190" s="266"/>
    </row>
    <row r="191" spans="3:40" outlineLevel="2">
      <c r="C191" s="11" t="s">
        <v>603</v>
      </c>
      <c r="F191" s="266"/>
      <c r="G191" s="266"/>
      <c r="H191" s="266"/>
      <c r="I191" s="266"/>
      <c r="J191" s="266"/>
      <c r="K191" s="266"/>
      <c r="L191" s="266"/>
      <c r="M191" s="266"/>
      <c r="N191" s="266"/>
      <c r="O191" s="266"/>
      <c r="P191" s="266"/>
      <c r="Q191" s="266"/>
      <c r="R191" s="266"/>
      <c r="S191" s="266"/>
      <c r="T191" s="266"/>
      <c r="U191" s="266"/>
      <c r="V191" s="266"/>
      <c r="W191" s="266"/>
      <c r="X191" s="266"/>
      <c r="Y191" s="266"/>
      <c r="Z191" s="266"/>
      <c r="AA191" s="266"/>
      <c r="AB191" s="266"/>
      <c r="AC191" s="266"/>
      <c r="AD191" s="266"/>
      <c r="AE191" s="266"/>
      <c r="AF191" s="266"/>
      <c r="AG191" s="266"/>
      <c r="AH191" s="266"/>
      <c r="AI191" s="266"/>
      <c r="AJ191" s="266"/>
      <c r="AK191" s="266"/>
      <c r="AL191" s="266"/>
      <c r="AM191" s="266"/>
      <c r="AN191" s="266"/>
    </row>
    <row r="192" spans="3:40" outlineLevel="3">
      <c r="C192" s="429" t="s">
        <v>317</v>
      </c>
      <c r="D192" s="429"/>
      <c r="F192" s="266"/>
      <c r="G192" s="266"/>
      <c r="H192" s="266"/>
      <c r="I192" s="266"/>
      <c r="J192" s="266"/>
      <c r="K192" s="266"/>
      <c r="L192" s="266"/>
      <c r="M192" s="266"/>
      <c r="N192" s="266"/>
      <c r="O192" s="266"/>
      <c r="P192" s="266"/>
      <c r="Q192" s="266"/>
      <c r="R192" s="266"/>
      <c r="S192" s="266"/>
      <c r="T192" s="266"/>
      <c r="U192" s="266"/>
      <c r="V192" s="266"/>
      <c r="W192" s="266"/>
      <c r="X192" s="266"/>
      <c r="Y192" s="266"/>
      <c r="Z192" s="266"/>
      <c r="AA192" s="266"/>
      <c r="AB192" s="266"/>
      <c r="AC192" s="266"/>
      <c r="AD192" s="266"/>
      <c r="AE192" s="266"/>
      <c r="AF192" s="266"/>
      <c r="AG192" s="266"/>
      <c r="AH192" s="266"/>
      <c r="AI192" s="266"/>
      <c r="AJ192" s="266"/>
      <c r="AK192" s="266"/>
      <c r="AL192" s="266"/>
      <c r="AM192" s="266"/>
      <c r="AN192" s="266"/>
    </row>
    <row r="193" spans="3:40" outlineLevel="3">
      <c r="C193" s="344" t="str">
        <f>Inputs!$C$285</f>
        <v>Base</v>
      </c>
      <c r="D193" t="str">
        <f>Inputs!$D$285</f>
        <v>CDI</v>
      </c>
      <c r="E193" s="32" t="s">
        <v>591</v>
      </c>
      <c r="F193" s="266"/>
      <c r="G193" s="266"/>
      <c r="H193" s="266"/>
      <c r="I193" s="266"/>
      <c r="J193" s="266"/>
      <c r="K193" s="266"/>
      <c r="L193" s="266"/>
      <c r="M193" s="266"/>
      <c r="N193" s="266"/>
      <c r="O193" s="266"/>
      <c r="P193" s="266"/>
      <c r="Q193" s="266"/>
      <c r="R193" s="266"/>
      <c r="S193" s="266"/>
      <c r="T193" s="266"/>
      <c r="U193" s="266"/>
      <c r="V193" s="266"/>
      <c r="W193" s="266"/>
      <c r="X193" s="266"/>
      <c r="Y193" s="266"/>
      <c r="Z193" s="266"/>
      <c r="AA193" s="266"/>
      <c r="AB193" s="266"/>
      <c r="AC193" s="266"/>
      <c r="AD193" s="266"/>
      <c r="AE193" s="266"/>
      <c r="AF193" s="266"/>
      <c r="AG193" s="266"/>
      <c r="AH193" s="266"/>
      <c r="AI193" s="266"/>
      <c r="AJ193" s="266"/>
      <c r="AK193" s="266"/>
      <c r="AL193" s="266"/>
      <c r="AM193" s="266"/>
      <c r="AN193" s="266"/>
    </row>
    <row r="194" spans="3:40" outlineLevel="3">
      <c r="C194" s="344" t="str">
        <f>Inputs!$C$286</f>
        <v>Indexador</v>
      </c>
      <c r="D194" t="str">
        <f>Inputs!$D$286</f>
        <v>None</v>
      </c>
      <c r="E194" s="32" t="s">
        <v>591</v>
      </c>
      <c r="F194" s="266"/>
      <c r="G194" s="266"/>
      <c r="H194" s="266"/>
      <c r="I194" s="266"/>
      <c r="J194" s="266"/>
      <c r="K194" s="266"/>
      <c r="L194" s="266"/>
      <c r="M194" s="266"/>
      <c r="N194" s="266"/>
      <c r="O194" s="266"/>
      <c r="P194" s="266"/>
      <c r="Q194" s="266"/>
      <c r="R194" s="266"/>
      <c r="S194" s="266"/>
      <c r="T194" s="266"/>
      <c r="U194" s="266"/>
      <c r="V194" s="266"/>
      <c r="W194" s="266"/>
      <c r="X194" s="266"/>
      <c r="Y194" s="266"/>
      <c r="Z194" s="266"/>
      <c r="AA194" s="266"/>
      <c r="AB194" s="266"/>
      <c r="AC194" s="266"/>
      <c r="AD194" s="266"/>
      <c r="AE194" s="266"/>
      <c r="AF194" s="266"/>
      <c r="AG194" s="266"/>
      <c r="AH194" s="266"/>
      <c r="AI194" s="266"/>
      <c r="AJ194" s="266"/>
      <c r="AK194" s="266"/>
      <c r="AL194" s="266"/>
      <c r="AM194" s="266"/>
      <c r="AN194" s="266"/>
    </row>
    <row r="195" spans="3:40" outlineLevel="3">
      <c r="C195" s="266"/>
      <c r="F195" s="266"/>
      <c r="G195" s="266"/>
      <c r="H195" s="266"/>
      <c r="I195" s="266"/>
      <c r="J195" s="266"/>
      <c r="K195" s="266"/>
      <c r="L195" s="266"/>
      <c r="M195" s="266"/>
      <c r="N195" s="266"/>
      <c r="O195" s="266"/>
      <c r="P195" s="266"/>
      <c r="Q195" s="266"/>
      <c r="R195" s="266"/>
      <c r="S195" s="266"/>
      <c r="T195" s="266"/>
      <c r="U195" s="266"/>
      <c r="V195" s="266"/>
      <c r="W195" s="266"/>
      <c r="X195" s="266"/>
      <c r="Y195" s="266"/>
      <c r="Z195" s="266"/>
      <c r="AA195" s="266"/>
      <c r="AB195" s="266"/>
      <c r="AC195" s="266"/>
      <c r="AD195" s="266"/>
      <c r="AE195" s="266"/>
      <c r="AF195" s="266"/>
      <c r="AG195" s="266"/>
      <c r="AH195" s="266"/>
      <c r="AI195" s="266"/>
      <c r="AJ195" s="266"/>
      <c r="AK195" s="266"/>
      <c r="AL195" s="266"/>
      <c r="AM195" s="266"/>
      <c r="AN195" s="266"/>
    </row>
    <row r="196" spans="3:40" outlineLevel="3">
      <c r="C196" t="str">
        <f>Flags!C$47</f>
        <v xml:space="preserve"> Financial close date  </v>
      </c>
      <c r="D196" s="37">
        <f>D94</f>
        <v>52262</v>
      </c>
      <c r="E196" s="32" t="s">
        <v>399</v>
      </c>
      <c r="F196" s="266"/>
      <c r="G196" s="266"/>
      <c r="H196" s="266"/>
      <c r="I196" s="266"/>
      <c r="J196" s="266"/>
      <c r="K196" s="266"/>
      <c r="L196" s="266"/>
      <c r="M196" s="266"/>
      <c r="N196" s="266"/>
      <c r="O196" s="266"/>
      <c r="P196" s="266"/>
      <c r="Q196" s="266"/>
      <c r="R196" s="266"/>
      <c r="S196" s="266"/>
      <c r="T196" s="266"/>
      <c r="U196" s="266"/>
      <c r="V196" s="266"/>
      <c r="W196" s="266"/>
      <c r="X196" s="266"/>
      <c r="Y196" s="266"/>
      <c r="Z196" s="266"/>
      <c r="AA196" s="266"/>
      <c r="AB196" s="266"/>
      <c r="AC196" s="266"/>
      <c r="AD196" s="266"/>
      <c r="AE196" s="266"/>
      <c r="AF196" s="266"/>
      <c r="AG196" s="266"/>
      <c r="AH196" s="266"/>
      <c r="AI196" s="266"/>
      <c r="AJ196" s="266"/>
      <c r="AK196" s="266"/>
      <c r="AL196" s="266"/>
      <c r="AM196" s="266"/>
      <c r="AN196" s="266"/>
    </row>
    <row r="197" spans="3:40" outlineLevel="3">
      <c r="C197" t="str">
        <f>C169</f>
        <v>Spread dívida senior</v>
      </c>
      <c r="D197" s="37">
        <f>D101</f>
        <v>57376</v>
      </c>
      <c r="E197" s="41" t="str">
        <f>E169</f>
        <v>%</v>
      </c>
      <c r="F197" s="266"/>
      <c r="G197" s="266"/>
      <c r="H197" s="266"/>
      <c r="I197" s="266"/>
      <c r="J197" s="266"/>
      <c r="K197" s="266"/>
      <c r="L197" s="266"/>
      <c r="M197" s="266"/>
      <c r="N197" s="266"/>
      <c r="O197" s="266"/>
      <c r="P197" s="266"/>
      <c r="Q197" s="266"/>
      <c r="R197" s="266"/>
      <c r="S197" s="266"/>
      <c r="T197" s="266"/>
      <c r="U197" s="266"/>
      <c r="V197" s="266"/>
      <c r="W197" s="266"/>
      <c r="X197" s="266"/>
      <c r="Y197" s="266"/>
      <c r="Z197" s="266"/>
      <c r="AA197" s="266"/>
      <c r="AB197" s="266"/>
      <c r="AC197" s="266"/>
      <c r="AD197" s="266"/>
      <c r="AE197" s="266"/>
      <c r="AF197" s="266"/>
      <c r="AG197" s="266"/>
      <c r="AH197" s="266"/>
      <c r="AI197" s="266"/>
      <c r="AJ197" s="266"/>
      <c r="AK197" s="266"/>
      <c r="AL197" s="266"/>
      <c r="AM197" s="266"/>
      <c r="AN197" s="266"/>
    </row>
    <row r="198" spans="3:40" outlineLevel="3">
      <c r="C198" t="str">
        <f>Flags!C$50&amp;"+ Prazo"</f>
        <v>Flag de operação+ Prazo</v>
      </c>
      <c r="D198"/>
      <c r="E198" s="32" t="s">
        <v>399</v>
      </c>
      <c r="F198" s="23">
        <f>SUM(G198:AN198)</f>
        <v>14</v>
      </c>
      <c r="G198" s="25">
        <f t="shared" ref="G198:AN198" si="180">G103</f>
        <v>0</v>
      </c>
      <c r="H198" s="25">
        <f t="shared" si="180"/>
        <v>0</v>
      </c>
      <c r="I198" s="25">
        <f t="shared" si="180"/>
        <v>0</v>
      </c>
      <c r="J198" s="25">
        <f t="shared" si="180"/>
        <v>0</v>
      </c>
      <c r="K198" s="25">
        <f t="shared" si="180"/>
        <v>0</v>
      </c>
      <c r="L198" s="25">
        <f t="shared" si="180"/>
        <v>0</v>
      </c>
      <c r="M198" s="25">
        <f t="shared" si="180"/>
        <v>0</v>
      </c>
      <c r="N198" s="25">
        <f t="shared" si="180"/>
        <v>0</v>
      </c>
      <c r="O198" s="25">
        <f t="shared" si="180"/>
        <v>0</v>
      </c>
      <c r="P198" s="25">
        <f t="shared" si="180"/>
        <v>0</v>
      </c>
      <c r="Q198" s="25">
        <f t="shared" si="180"/>
        <v>0</v>
      </c>
      <c r="R198" s="25">
        <f t="shared" si="180"/>
        <v>0</v>
      </c>
      <c r="S198" s="25">
        <f t="shared" si="180"/>
        <v>0</v>
      </c>
      <c r="T198" s="25">
        <f t="shared" si="180"/>
        <v>0</v>
      </c>
      <c r="U198" s="25">
        <f t="shared" si="180"/>
        <v>0</v>
      </c>
      <c r="V198" s="25">
        <f t="shared" si="180"/>
        <v>0</v>
      </c>
      <c r="W198" s="25">
        <f t="shared" si="180"/>
        <v>1</v>
      </c>
      <c r="X198" s="25">
        <f t="shared" si="180"/>
        <v>1</v>
      </c>
      <c r="Y198" s="25">
        <f t="shared" si="180"/>
        <v>1</v>
      </c>
      <c r="Z198" s="25">
        <f t="shared" si="180"/>
        <v>1</v>
      </c>
      <c r="AA198" s="25">
        <f t="shared" si="180"/>
        <v>1</v>
      </c>
      <c r="AB198" s="25">
        <f t="shared" si="180"/>
        <v>1</v>
      </c>
      <c r="AC198" s="25">
        <f t="shared" si="180"/>
        <v>1</v>
      </c>
      <c r="AD198" s="25">
        <f t="shared" si="180"/>
        <v>1</v>
      </c>
      <c r="AE198" s="25">
        <f t="shared" si="180"/>
        <v>1</v>
      </c>
      <c r="AF198" s="25">
        <f t="shared" si="180"/>
        <v>1</v>
      </c>
      <c r="AG198" s="25">
        <f t="shared" si="180"/>
        <v>1</v>
      </c>
      <c r="AH198" s="25">
        <f t="shared" si="180"/>
        <v>1</v>
      </c>
      <c r="AI198" s="25">
        <f t="shared" si="180"/>
        <v>1</v>
      </c>
      <c r="AJ198" s="25">
        <f t="shared" si="180"/>
        <v>1</v>
      </c>
      <c r="AK198" s="25">
        <f t="shared" si="180"/>
        <v>0</v>
      </c>
      <c r="AL198" s="25">
        <f t="shared" si="180"/>
        <v>0</v>
      </c>
      <c r="AM198" s="25">
        <f t="shared" si="180"/>
        <v>0</v>
      </c>
      <c r="AN198" s="25">
        <f t="shared" si="180"/>
        <v>0</v>
      </c>
    </row>
    <row r="199" spans="3:40" outlineLevel="3">
      <c r="C199" s="301" t="str">
        <f>Flags!C$49</f>
        <v>Fim período</v>
      </c>
      <c r="E199" s="32" t="str">
        <f>Flags!E$49</f>
        <v>Meses</v>
      </c>
      <c r="F199" s="266"/>
      <c r="G199" s="281">
        <f>Flags!G$49</f>
        <v>46752</v>
      </c>
      <c r="H199" s="281">
        <f>Flags!H$49</f>
        <v>47118</v>
      </c>
      <c r="I199" s="281">
        <f>Flags!I$49</f>
        <v>47483</v>
      </c>
      <c r="J199" s="281">
        <f>Flags!J$49</f>
        <v>47848</v>
      </c>
      <c r="K199" s="281">
        <f>Flags!K$49</f>
        <v>48213</v>
      </c>
      <c r="L199" s="281">
        <f>Flags!L$49</f>
        <v>48579</v>
      </c>
      <c r="M199" s="281">
        <f>Flags!M$49</f>
        <v>48944</v>
      </c>
      <c r="N199" s="281">
        <f>Flags!N$49</f>
        <v>49309</v>
      </c>
      <c r="O199" s="281">
        <f>Flags!O$49</f>
        <v>49674</v>
      </c>
      <c r="P199" s="281">
        <f>Flags!P$49</f>
        <v>50040</v>
      </c>
      <c r="Q199" s="281">
        <f>Flags!Q$49</f>
        <v>50405</v>
      </c>
      <c r="R199" s="281">
        <f>Flags!R$49</f>
        <v>50770</v>
      </c>
      <c r="S199" s="281">
        <f>Flags!S$49</f>
        <v>51135</v>
      </c>
      <c r="T199" s="281">
        <f>Flags!T$49</f>
        <v>51501</v>
      </c>
      <c r="U199" s="281">
        <f>Flags!U$49</f>
        <v>51866</v>
      </c>
      <c r="V199" s="281">
        <f>Flags!V$49</f>
        <v>52231</v>
      </c>
      <c r="W199" s="281">
        <f>Flags!W$49</f>
        <v>52596</v>
      </c>
      <c r="X199" s="281">
        <f>Flags!X$49</f>
        <v>52962</v>
      </c>
      <c r="Y199" s="281">
        <f>Flags!Y$49</f>
        <v>53327</v>
      </c>
      <c r="Z199" s="281">
        <f>Flags!Z$49</f>
        <v>53692</v>
      </c>
      <c r="AA199" s="281">
        <f>Flags!AA$49</f>
        <v>54057</v>
      </c>
      <c r="AB199" s="281">
        <f>Flags!AB$49</f>
        <v>54423</v>
      </c>
      <c r="AC199" s="281">
        <f>Flags!AC$49</f>
        <v>54788</v>
      </c>
      <c r="AD199" s="281">
        <f>Flags!AD$49</f>
        <v>55153</v>
      </c>
      <c r="AE199" s="281">
        <f>Flags!AE$49</f>
        <v>55518</v>
      </c>
      <c r="AF199" s="281">
        <f>Flags!AF$49</f>
        <v>55884</v>
      </c>
      <c r="AG199" s="281">
        <f>Flags!AG$49</f>
        <v>56249</v>
      </c>
      <c r="AH199" s="281">
        <f>Flags!AH$49</f>
        <v>56614</v>
      </c>
      <c r="AI199" s="281">
        <f>Flags!AI$49</f>
        <v>56979</v>
      </c>
      <c r="AJ199" s="281">
        <f>Flags!AJ$49</f>
        <v>57345</v>
      </c>
      <c r="AK199" s="281">
        <f>Flags!AK$49</f>
        <v>57710</v>
      </c>
      <c r="AL199" s="281">
        <f>Flags!AL$49</f>
        <v>58075</v>
      </c>
      <c r="AM199" s="281">
        <f>Flags!AM$49</f>
        <v>58440</v>
      </c>
      <c r="AN199" s="281">
        <f>Flags!AN$49</f>
        <v>58806</v>
      </c>
    </row>
    <row r="200" spans="3:40" outlineLevel="3">
      <c r="C200" s="301" t="str">
        <f>C193</f>
        <v>Base</v>
      </c>
      <c r="E200" s="32" t="s">
        <v>23</v>
      </c>
      <c r="F200" s="266"/>
      <c r="G200">
        <f t="shared" ref="G200:AN200" si="181">IF(G$198=1,INDEX(G$19:G$27,MATCH($D193,$C$19:$C$27,0)),0)</f>
        <v>0</v>
      </c>
      <c r="H200">
        <f t="shared" si="181"/>
        <v>0</v>
      </c>
      <c r="I200">
        <f t="shared" si="181"/>
        <v>0</v>
      </c>
      <c r="J200">
        <f t="shared" si="181"/>
        <v>0</v>
      </c>
      <c r="K200">
        <f t="shared" si="181"/>
        <v>0</v>
      </c>
      <c r="L200">
        <f t="shared" si="181"/>
        <v>0</v>
      </c>
      <c r="M200">
        <f t="shared" si="181"/>
        <v>0</v>
      </c>
      <c r="N200">
        <f t="shared" si="181"/>
        <v>0</v>
      </c>
      <c r="O200">
        <f t="shared" si="181"/>
        <v>0</v>
      </c>
      <c r="P200">
        <f t="shared" si="181"/>
        <v>0</v>
      </c>
      <c r="Q200">
        <f t="shared" si="181"/>
        <v>0</v>
      </c>
      <c r="R200">
        <f t="shared" si="181"/>
        <v>0</v>
      </c>
      <c r="S200">
        <f t="shared" si="181"/>
        <v>0</v>
      </c>
      <c r="T200">
        <f t="shared" si="181"/>
        <v>0</v>
      </c>
      <c r="U200">
        <f t="shared" si="181"/>
        <v>0</v>
      </c>
      <c r="V200">
        <f t="shared" si="181"/>
        <v>0</v>
      </c>
      <c r="W200">
        <f t="shared" si="181"/>
        <v>8.5000000000000006E-2</v>
      </c>
      <c r="X200">
        <f t="shared" si="181"/>
        <v>8.5000000000000006E-2</v>
      </c>
      <c r="Y200">
        <f t="shared" si="181"/>
        <v>8.5000000000000006E-2</v>
      </c>
      <c r="Z200">
        <f t="shared" si="181"/>
        <v>8.5000000000000006E-2</v>
      </c>
      <c r="AA200">
        <f t="shared" si="181"/>
        <v>8.5000000000000006E-2</v>
      </c>
      <c r="AB200">
        <f t="shared" si="181"/>
        <v>8.5000000000000006E-2</v>
      </c>
      <c r="AC200">
        <f t="shared" si="181"/>
        <v>8.5000000000000006E-2</v>
      </c>
      <c r="AD200">
        <f t="shared" si="181"/>
        <v>8.5000000000000006E-2</v>
      </c>
      <c r="AE200">
        <f t="shared" si="181"/>
        <v>8.5000000000000006E-2</v>
      </c>
      <c r="AF200">
        <f t="shared" si="181"/>
        <v>8.5000000000000006E-2</v>
      </c>
      <c r="AG200">
        <f t="shared" si="181"/>
        <v>8.5000000000000006E-2</v>
      </c>
      <c r="AH200">
        <f t="shared" si="181"/>
        <v>8.5000000000000006E-2</v>
      </c>
      <c r="AI200">
        <f t="shared" si="181"/>
        <v>8.5000000000000006E-2</v>
      </c>
      <c r="AJ200">
        <f t="shared" si="181"/>
        <v>8.5000000000000006E-2</v>
      </c>
      <c r="AK200">
        <f t="shared" si="181"/>
        <v>0</v>
      </c>
      <c r="AL200">
        <f t="shared" si="181"/>
        <v>0</v>
      </c>
      <c r="AM200">
        <f t="shared" si="181"/>
        <v>0</v>
      </c>
      <c r="AN200">
        <f t="shared" si="181"/>
        <v>0</v>
      </c>
    </row>
    <row r="201" spans="3:40" outlineLevel="3">
      <c r="C201" s="301" t="str">
        <f>C194</f>
        <v>Indexador</v>
      </c>
      <c r="E201" s="32" t="s">
        <v>23</v>
      </c>
      <c r="F201" s="266"/>
      <c r="G201">
        <f t="shared" ref="G201:AN201" si="182">IF(G198=1,INDEX(G$19:G$27,MATCH($D194,$C$19:$C$27,0)),0)</f>
        <v>0</v>
      </c>
      <c r="H201">
        <f t="shared" si="182"/>
        <v>0</v>
      </c>
      <c r="I201">
        <f t="shared" si="182"/>
        <v>0</v>
      </c>
      <c r="J201">
        <f t="shared" si="182"/>
        <v>0</v>
      </c>
      <c r="K201">
        <f t="shared" si="182"/>
        <v>0</v>
      </c>
      <c r="L201">
        <f t="shared" si="182"/>
        <v>0</v>
      </c>
      <c r="M201">
        <f t="shared" si="182"/>
        <v>0</v>
      </c>
      <c r="N201">
        <f t="shared" si="182"/>
        <v>0</v>
      </c>
      <c r="O201">
        <f t="shared" si="182"/>
        <v>0</v>
      </c>
      <c r="P201">
        <f t="shared" si="182"/>
        <v>0</v>
      </c>
      <c r="Q201">
        <f t="shared" si="182"/>
        <v>0</v>
      </c>
      <c r="R201">
        <f t="shared" si="182"/>
        <v>0</v>
      </c>
      <c r="S201">
        <f t="shared" si="182"/>
        <v>0</v>
      </c>
      <c r="T201">
        <f t="shared" si="182"/>
        <v>0</v>
      </c>
      <c r="U201">
        <f t="shared" si="182"/>
        <v>0</v>
      </c>
      <c r="V201">
        <f t="shared" si="182"/>
        <v>0</v>
      </c>
      <c r="W201">
        <f t="shared" si="182"/>
        <v>0</v>
      </c>
      <c r="X201">
        <f t="shared" si="182"/>
        <v>0</v>
      </c>
      <c r="Y201">
        <f t="shared" si="182"/>
        <v>0</v>
      </c>
      <c r="Z201">
        <f t="shared" si="182"/>
        <v>0</v>
      </c>
      <c r="AA201">
        <f t="shared" si="182"/>
        <v>0</v>
      </c>
      <c r="AB201">
        <f t="shared" si="182"/>
        <v>0</v>
      </c>
      <c r="AC201">
        <f t="shared" si="182"/>
        <v>0</v>
      </c>
      <c r="AD201">
        <f t="shared" si="182"/>
        <v>0</v>
      </c>
      <c r="AE201">
        <f t="shared" si="182"/>
        <v>0</v>
      </c>
      <c r="AF201">
        <f t="shared" si="182"/>
        <v>0</v>
      </c>
      <c r="AG201">
        <f t="shared" si="182"/>
        <v>0</v>
      </c>
      <c r="AH201">
        <f t="shared" si="182"/>
        <v>0</v>
      </c>
      <c r="AI201">
        <f t="shared" si="182"/>
        <v>0</v>
      </c>
      <c r="AJ201">
        <f t="shared" si="182"/>
        <v>0</v>
      </c>
      <c r="AK201">
        <f t="shared" si="182"/>
        <v>0</v>
      </c>
      <c r="AL201">
        <f t="shared" si="182"/>
        <v>0</v>
      </c>
      <c r="AM201">
        <f t="shared" si="182"/>
        <v>0</v>
      </c>
      <c r="AN201">
        <f t="shared" si="182"/>
        <v>0</v>
      </c>
    </row>
    <row r="202" spans="3:40" outlineLevel="3">
      <c r="C202" s="301"/>
      <c r="F202" s="266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</row>
    <row r="203" spans="3:40" outlineLevel="3">
      <c r="C203" s="301" t="s">
        <v>592</v>
      </c>
      <c r="D203">
        <f>Inputs!D289</f>
        <v>2.5000000000000001E-2</v>
      </c>
      <c r="E203" s="32" t="s">
        <v>23</v>
      </c>
      <c r="F203" s="266"/>
      <c r="G203" s="286"/>
      <c r="H203" s="266"/>
      <c r="I203" s="266"/>
      <c r="J203" s="266"/>
      <c r="K203" s="266"/>
      <c r="L203" s="266"/>
      <c r="M203" s="266"/>
      <c r="N203" s="266"/>
      <c r="O203" s="266"/>
      <c r="P203" s="266"/>
      <c r="Q203" s="266"/>
      <c r="R203" s="266"/>
      <c r="S203" s="266"/>
      <c r="T203" s="266"/>
      <c r="U203" s="266"/>
      <c r="V203" s="266"/>
      <c r="W203" s="266"/>
      <c r="X203" s="266"/>
      <c r="Y203" s="266"/>
      <c r="Z203" s="266"/>
      <c r="AA203" s="266"/>
      <c r="AB203" s="266"/>
      <c r="AC203" s="266"/>
      <c r="AD203" s="266"/>
      <c r="AE203" s="266"/>
      <c r="AF203" s="266"/>
      <c r="AG203" s="266"/>
      <c r="AH203" s="266"/>
      <c r="AI203" s="266"/>
      <c r="AJ203" s="266"/>
      <c r="AK203" s="266"/>
      <c r="AL203" s="266"/>
      <c r="AM203" s="266"/>
      <c r="AN203" s="266"/>
    </row>
    <row r="204" spans="3:40" outlineLevel="3">
      <c r="C204" s="301" t="s">
        <v>593</v>
      </c>
      <c r="E204" s="32" t="s">
        <v>23</v>
      </c>
      <c r="F204" s="266"/>
      <c r="G204">
        <f t="shared" ref="G204:W204" si="183">IF(G198=1,$D$203+G200+G201,0)</f>
        <v>0</v>
      </c>
      <c r="H204">
        <f t="shared" si="183"/>
        <v>0</v>
      </c>
      <c r="I204">
        <f t="shared" si="183"/>
        <v>0</v>
      </c>
      <c r="J204">
        <f t="shared" si="183"/>
        <v>0</v>
      </c>
      <c r="K204">
        <f t="shared" si="183"/>
        <v>0</v>
      </c>
      <c r="L204">
        <f t="shared" si="183"/>
        <v>0</v>
      </c>
      <c r="M204">
        <f t="shared" si="183"/>
        <v>0</v>
      </c>
      <c r="N204">
        <f t="shared" si="183"/>
        <v>0</v>
      </c>
      <c r="O204">
        <f t="shared" si="183"/>
        <v>0</v>
      </c>
      <c r="P204">
        <f t="shared" si="183"/>
        <v>0</v>
      </c>
      <c r="Q204">
        <f t="shared" si="183"/>
        <v>0</v>
      </c>
      <c r="R204">
        <f t="shared" si="183"/>
        <v>0</v>
      </c>
      <c r="S204">
        <f t="shared" si="183"/>
        <v>0</v>
      </c>
      <c r="T204">
        <f t="shared" si="183"/>
        <v>0</v>
      </c>
      <c r="U204">
        <f t="shared" si="183"/>
        <v>0</v>
      </c>
      <c r="V204">
        <f t="shared" si="183"/>
        <v>0</v>
      </c>
      <c r="W204">
        <f t="shared" si="183"/>
        <v>0.11000000000000001</v>
      </c>
      <c r="X204">
        <f t="shared" ref="X204:AN204" si="184">IF(X198=1,$D$203+X200+X201,0)</f>
        <v>0.11000000000000001</v>
      </c>
      <c r="Y204">
        <f t="shared" si="184"/>
        <v>0.11000000000000001</v>
      </c>
      <c r="Z204">
        <f t="shared" si="184"/>
        <v>0.11000000000000001</v>
      </c>
      <c r="AA204">
        <f t="shared" si="184"/>
        <v>0.11000000000000001</v>
      </c>
      <c r="AB204">
        <f t="shared" si="184"/>
        <v>0.11000000000000001</v>
      </c>
      <c r="AC204">
        <f t="shared" si="184"/>
        <v>0.11000000000000001</v>
      </c>
      <c r="AD204">
        <f t="shared" si="184"/>
        <v>0.11000000000000001</v>
      </c>
      <c r="AE204">
        <f t="shared" si="184"/>
        <v>0.11000000000000001</v>
      </c>
      <c r="AF204">
        <f t="shared" si="184"/>
        <v>0.11000000000000001</v>
      </c>
      <c r="AG204">
        <f t="shared" si="184"/>
        <v>0.11000000000000001</v>
      </c>
      <c r="AH204">
        <f t="shared" si="184"/>
        <v>0.11000000000000001</v>
      </c>
      <c r="AI204">
        <f t="shared" si="184"/>
        <v>0.11000000000000001</v>
      </c>
      <c r="AJ204">
        <f t="shared" si="184"/>
        <v>0.11000000000000001</v>
      </c>
      <c r="AK204">
        <f t="shared" si="184"/>
        <v>0</v>
      </c>
      <c r="AL204">
        <f t="shared" si="184"/>
        <v>0</v>
      </c>
      <c r="AM204">
        <f t="shared" si="184"/>
        <v>0</v>
      </c>
      <c r="AN204">
        <f t="shared" si="184"/>
        <v>0</v>
      </c>
    </row>
    <row r="205" spans="3:40" outlineLevel="3">
      <c r="C205" s="266"/>
      <c r="D205" s="266"/>
      <c r="E205" s="266"/>
      <c r="F205" s="266"/>
      <c r="G205" s="266"/>
      <c r="H205" s="266"/>
      <c r="I205" s="266"/>
      <c r="J205" s="266"/>
      <c r="K205" s="266"/>
      <c r="L205" s="266"/>
      <c r="M205" s="266"/>
      <c r="N205" s="266"/>
      <c r="O205" s="266"/>
      <c r="P205" s="266"/>
      <c r="Q205" s="266"/>
      <c r="R205" s="266"/>
      <c r="S205" s="266"/>
      <c r="T205" s="266"/>
      <c r="U205" s="266"/>
      <c r="V205" s="266"/>
      <c r="W205" s="266"/>
      <c r="X205" s="266"/>
      <c r="Y205" s="266"/>
      <c r="Z205" s="266"/>
      <c r="AA205" s="266"/>
      <c r="AB205" s="266"/>
      <c r="AC205" s="266"/>
      <c r="AD205" s="266"/>
      <c r="AE205" s="266"/>
      <c r="AF205" s="266"/>
      <c r="AG205" s="266"/>
      <c r="AH205" s="266"/>
      <c r="AI205" s="266"/>
      <c r="AJ205" s="266"/>
      <c r="AK205" s="266"/>
      <c r="AL205" s="266"/>
      <c r="AM205" s="266"/>
      <c r="AN205" s="266"/>
    </row>
    <row r="206" spans="3:40" outlineLevel="3">
      <c r="C206" s="301" t="s">
        <v>594</v>
      </c>
      <c r="D206" s="266"/>
      <c r="E206" s="41" t="s">
        <v>13</v>
      </c>
      <c r="F206" s="79">
        <f ca="1">SUM(G206:AN206)</f>
        <v>6349.2119522863568</v>
      </c>
      <c r="G206" s="345">
        <f t="shared" ref="G206:AN206" si="185">G204*SUM(G209:G210)</f>
        <v>0</v>
      </c>
      <c r="H206" s="345">
        <f t="shared" si="185"/>
        <v>0</v>
      </c>
      <c r="I206" s="345">
        <f t="shared" si="185"/>
        <v>0</v>
      </c>
      <c r="J206" s="345">
        <f t="shared" si="185"/>
        <v>0</v>
      </c>
      <c r="K206" s="345">
        <f t="shared" si="185"/>
        <v>0</v>
      </c>
      <c r="L206" s="345">
        <f t="shared" si="185"/>
        <v>0</v>
      </c>
      <c r="M206" s="345">
        <f t="shared" si="185"/>
        <v>0</v>
      </c>
      <c r="N206" s="345">
        <f t="shared" si="185"/>
        <v>0</v>
      </c>
      <c r="O206" s="345">
        <f t="shared" si="185"/>
        <v>0</v>
      </c>
      <c r="P206" s="345">
        <f t="shared" si="185"/>
        <v>0</v>
      </c>
      <c r="Q206" s="345">
        <f t="shared" si="185"/>
        <v>0</v>
      </c>
      <c r="R206" s="345">
        <f t="shared" si="185"/>
        <v>0</v>
      </c>
      <c r="S206" s="345">
        <f t="shared" si="185"/>
        <v>0</v>
      </c>
      <c r="T206" s="345">
        <f t="shared" si="185"/>
        <v>0</v>
      </c>
      <c r="U206" s="345">
        <f t="shared" si="185"/>
        <v>0</v>
      </c>
      <c r="V206" s="345">
        <f t="shared" ca="1" si="185"/>
        <v>0</v>
      </c>
      <c r="W206" s="345">
        <f t="shared" ca="1" si="185"/>
        <v>188.73594892440497</v>
      </c>
      <c r="X206" s="345">
        <f t="shared" ca="1" si="185"/>
        <v>194.5955488075999</v>
      </c>
      <c r="Y206" s="345">
        <f t="shared" ca="1" si="185"/>
        <v>225.05659672986553</v>
      </c>
      <c r="Z206" s="345">
        <f t="shared" ca="1" si="185"/>
        <v>209.01486762779103</v>
      </c>
      <c r="AA206" s="345">
        <f t="shared" ca="1" si="185"/>
        <v>259.91787724411626</v>
      </c>
      <c r="AB206" s="345">
        <f t="shared" ca="1" si="185"/>
        <v>707.5799401459451</v>
      </c>
      <c r="AC206" s="345">
        <f t="shared" ca="1" si="185"/>
        <v>669.40182740223668</v>
      </c>
      <c r="AD206" s="345">
        <f t="shared" ca="1" si="185"/>
        <v>627.37422376903817</v>
      </c>
      <c r="AE206" s="345">
        <f t="shared" ca="1" si="185"/>
        <v>559.63513495125665</v>
      </c>
      <c r="AF206" s="345">
        <f t="shared" ca="1" si="185"/>
        <v>648.93394294962457</v>
      </c>
      <c r="AG206" s="345">
        <f t="shared" ca="1" si="185"/>
        <v>522.65520570178057</v>
      </c>
      <c r="AH206" s="345">
        <f t="shared" ca="1" si="185"/>
        <v>501.84827243874736</v>
      </c>
      <c r="AI206" s="345">
        <f t="shared" ca="1" si="185"/>
        <v>687.31687720124592</v>
      </c>
      <c r="AJ206" s="345">
        <f t="shared" ca="1" si="185"/>
        <v>347.14568839270396</v>
      </c>
      <c r="AK206" s="345">
        <f t="shared" ca="1" si="185"/>
        <v>0</v>
      </c>
      <c r="AL206" s="345">
        <f t="shared" ca="1" si="185"/>
        <v>0</v>
      </c>
      <c r="AM206" s="345">
        <f t="shared" ca="1" si="185"/>
        <v>0</v>
      </c>
      <c r="AN206" s="345">
        <f t="shared" ca="1" si="185"/>
        <v>0</v>
      </c>
    </row>
    <row r="207" spans="3:40" outlineLevel="2">
      <c r="C207" s="266"/>
      <c r="D207" s="266"/>
      <c r="E207" s="266"/>
      <c r="F207" s="266"/>
      <c r="G207" s="266"/>
      <c r="H207" s="266"/>
      <c r="I207" s="266"/>
      <c r="J207" s="266"/>
      <c r="K207" s="266"/>
      <c r="L207" s="266"/>
      <c r="M207" s="266"/>
      <c r="N207" s="266"/>
      <c r="O207" s="266"/>
      <c r="P207" s="266"/>
      <c r="Q207" s="266"/>
      <c r="R207" s="266"/>
      <c r="S207" s="266"/>
      <c r="T207" s="266"/>
      <c r="U207" s="266"/>
      <c r="V207" s="266"/>
      <c r="W207" s="266"/>
      <c r="X207" s="266"/>
      <c r="Y207" s="266"/>
      <c r="Z207" s="266"/>
      <c r="AA207" s="266"/>
      <c r="AB207" s="266"/>
      <c r="AC207" s="266"/>
      <c r="AD207" s="266"/>
      <c r="AE207" s="266"/>
      <c r="AF207" s="266"/>
      <c r="AG207" s="266"/>
      <c r="AH207" s="266"/>
      <c r="AI207" s="266"/>
      <c r="AJ207" s="266"/>
      <c r="AK207" s="266"/>
      <c r="AL207" s="266"/>
      <c r="AM207" s="266"/>
      <c r="AN207" s="266"/>
    </row>
    <row r="208" spans="3:40" outlineLevel="2">
      <c r="C208" s="11" t="s">
        <v>604</v>
      </c>
      <c r="E208" s="266"/>
      <c r="F208" s="266"/>
      <c r="G208" s="266"/>
      <c r="H208" s="266"/>
      <c r="I208" s="266"/>
      <c r="J208" s="266"/>
      <c r="K208" s="266"/>
      <c r="L208" s="266"/>
      <c r="M208" s="266"/>
      <c r="N208" s="266"/>
      <c r="O208" s="266"/>
      <c r="P208" s="266"/>
      <c r="Q208" s="266"/>
      <c r="R208" s="266"/>
      <c r="S208" s="266"/>
      <c r="T208" s="266"/>
      <c r="U208" s="266"/>
      <c r="V208" s="266"/>
      <c r="W208" s="266"/>
      <c r="X208" s="266"/>
      <c r="Y208" s="266"/>
      <c r="Z208" s="266"/>
      <c r="AA208" s="266"/>
      <c r="AB208" s="266"/>
      <c r="AC208" s="266"/>
      <c r="AD208" s="266"/>
      <c r="AE208" s="266"/>
      <c r="AF208" s="266"/>
      <c r="AG208" s="266"/>
      <c r="AH208" s="266"/>
      <c r="AI208" s="266"/>
      <c r="AJ208" s="266"/>
      <c r="AK208" s="266"/>
      <c r="AL208" s="266"/>
      <c r="AM208" s="266"/>
      <c r="AN208" s="266"/>
    </row>
    <row r="209" spans="3:40" outlineLevel="3">
      <c r="C209" s="270" t="s">
        <v>596</v>
      </c>
      <c r="D209" s="270"/>
      <c r="E209" s="72" t="s">
        <v>13</v>
      </c>
      <c r="F209" s="327"/>
      <c r="G209" s="327">
        <f t="shared" ref="G209" si="186">F212</f>
        <v>0</v>
      </c>
      <c r="H209" s="327">
        <f t="shared" ref="H209" si="187">G212</f>
        <v>0</v>
      </c>
      <c r="I209" s="327">
        <f t="shared" ref="I209" si="188">H212</f>
        <v>0</v>
      </c>
      <c r="J209" s="327">
        <f t="shared" ref="J209" si="189">I212</f>
        <v>0</v>
      </c>
      <c r="K209" s="327">
        <f t="shared" ref="K209" si="190">J212</f>
        <v>0</v>
      </c>
      <c r="L209" s="327">
        <f t="shared" ref="L209" si="191">K212</f>
        <v>0</v>
      </c>
      <c r="M209" s="327">
        <f t="shared" ref="M209" si="192">L212</f>
        <v>0</v>
      </c>
      <c r="N209" s="327">
        <f t="shared" ref="N209" si="193">M212</f>
        <v>0</v>
      </c>
      <c r="O209" s="327">
        <f t="shared" ref="O209" si="194">N212</f>
        <v>0</v>
      </c>
      <c r="P209" s="327">
        <f t="shared" ref="P209" si="195">O212</f>
        <v>0</v>
      </c>
      <c r="Q209" s="327">
        <f t="shared" ref="Q209" si="196">P212</f>
        <v>0</v>
      </c>
      <c r="R209" s="327">
        <f t="shared" ref="R209" si="197">Q212</f>
        <v>0</v>
      </c>
      <c r="S209" s="327">
        <f t="shared" ref="S209" si="198">R212</f>
        <v>0</v>
      </c>
      <c r="T209" s="327">
        <f t="shared" ref="T209" si="199">S212</f>
        <v>0</v>
      </c>
      <c r="U209" s="327">
        <f t="shared" ref="U209" si="200">T212</f>
        <v>0</v>
      </c>
      <c r="V209" s="327">
        <f t="shared" ref="V209" si="201">U212</f>
        <v>0</v>
      </c>
      <c r="W209" s="327">
        <f t="shared" ref="W209" ca="1" si="202">V212</f>
        <v>1324.0162280211268</v>
      </c>
      <c r="X209" s="327">
        <f t="shared" ref="X209" ca="1" si="203">W212</f>
        <v>1593.2255428683534</v>
      </c>
      <c r="Y209" s="327">
        <f t="shared" ref="Y209" ca="1" si="204">X212</f>
        <v>1632.9696403434953</v>
      </c>
      <c r="Z209" s="327">
        <f t="shared" ref="Z209" ca="1" si="205">Y212</f>
        <v>1875.4716394155457</v>
      </c>
      <c r="AA209" s="327">
        <f t="shared" ref="AA209" ca="1" si="206">Z212</f>
        <v>1727.3956002296777</v>
      </c>
      <c r="AB209" s="327">
        <f t="shared" ref="AB209" ca="1" si="207">AA212</f>
        <v>2126.6008138154966</v>
      </c>
      <c r="AC209" s="327">
        <f t="shared" ref="AC209" ca="1" si="208">AB212</f>
        <v>5717.8176981490506</v>
      </c>
      <c r="AD209" s="327">
        <f t="shared" ref="AD209" ca="1" si="209">AC212</f>
        <v>5324.7872634268824</v>
      </c>
      <c r="AE209" s="327">
        <f t="shared" ref="AE209" ca="1" si="210">AD212</f>
        <v>4888.6303150834137</v>
      </c>
      <c r="AF209" s="327">
        <f t="shared" ref="AF209" ca="1" si="211">AE212</f>
        <v>4239.6601132670949</v>
      </c>
      <c r="AG209" s="327">
        <f t="shared" ref="AG209" ca="1" si="212">AF212</f>
        <v>4719.5195850881773</v>
      </c>
      <c r="AH209" s="327">
        <f t="shared" ref="AH209" ca="1" si="213">AG212</f>
        <v>3563.558220693958</v>
      </c>
      <c r="AI209" s="327">
        <f t="shared" ref="AI209" ca="1" si="214">AH212</f>
        <v>3041.5046814469533</v>
      </c>
      <c r="AJ209" s="327">
        <f t="shared" ref="AJ209" ca="1" si="215">AI212</f>
        <v>3124.1676236420267</v>
      </c>
      <c r="AK209" s="327">
        <f t="shared" ref="AK209" ca="1" si="216">AJ212</f>
        <v>0</v>
      </c>
      <c r="AL209" s="327">
        <f ca="1">AK212</f>
        <v>0</v>
      </c>
      <c r="AM209" s="327">
        <f ca="1">AL212</f>
        <v>0</v>
      </c>
      <c r="AN209" s="327">
        <f ca="1">AM212</f>
        <v>0</v>
      </c>
    </row>
    <row r="210" spans="3:40" outlineLevel="3">
      <c r="C210" s="341" t="s">
        <v>572</v>
      </c>
      <c r="D210" s="266"/>
      <c r="E210" s="73" t="s">
        <v>13</v>
      </c>
      <c r="F210" s="70">
        <f ca="1">SUM(G210:AN210)</f>
        <v>14144.799919678564</v>
      </c>
      <c r="G210" s="273">
        <f t="shared" ref="G210:AN210" si="217">IF(G56&gt;=2,G67,0)</f>
        <v>0</v>
      </c>
      <c r="H210" s="273">
        <f t="shared" si="217"/>
        <v>0</v>
      </c>
      <c r="I210" s="273">
        <f t="shared" si="217"/>
        <v>0</v>
      </c>
      <c r="J210" s="273">
        <f t="shared" si="217"/>
        <v>0</v>
      </c>
      <c r="K210" s="273">
        <f t="shared" si="217"/>
        <v>0</v>
      </c>
      <c r="L210" s="273">
        <f t="shared" si="217"/>
        <v>0</v>
      </c>
      <c r="M210" s="273">
        <f t="shared" si="217"/>
        <v>0</v>
      </c>
      <c r="N210" s="273">
        <f t="shared" si="217"/>
        <v>0</v>
      </c>
      <c r="O210" s="273">
        <f t="shared" si="217"/>
        <v>0</v>
      </c>
      <c r="P210" s="273">
        <f t="shared" si="217"/>
        <v>0</v>
      </c>
      <c r="Q210" s="273">
        <f t="shared" si="217"/>
        <v>0</v>
      </c>
      <c r="R210" s="273">
        <f t="shared" si="217"/>
        <v>0</v>
      </c>
      <c r="S210" s="273">
        <f t="shared" si="217"/>
        <v>0</v>
      </c>
      <c r="T210" s="273">
        <f t="shared" si="217"/>
        <v>0</v>
      </c>
      <c r="U210" s="273">
        <f t="shared" si="217"/>
        <v>0</v>
      </c>
      <c r="V210" s="273">
        <f t="shared" ca="1" si="217"/>
        <v>1324.0162280211268</v>
      </c>
      <c r="W210" s="273">
        <f t="shared" ca="1" si="217"/>
        <v>391.76512583710007</v>
      </c>
      <c r="X210" s="273">
        <f t="shared" ca="1" si="217"/>
        <v>175.82490083709999</v>
      </c>
      <c r="Y210" s="273">
        <f t="shared" ca="1" si="217"/>
        <v>412.99942083710005</v>
      </c>
      <c r="Z210" s="273">
        <f t="shared" ca="1" si="217"/>
        <v>24.663520837100002</v>
      </c>
      <c r="AA210" s="273">
        <f t="shared" ca="1" si="217"/>
        <v>635.49419289865182</v>
      </c>
      <c r="AB210" s="273">
        <f t="shared" ca="1" si="217"/>
        <v>4305.9440966021857</v>
      </c>
      <c r="AC210" s="273">
        <f t="shared" ca="1" si="217"/>
        <v>367.65346005310005</v>
      </c>
      <c r="AD210" s="273">
        <f t="shared" ca="1" si="217"/>
        <v>378.61477083710002</v>
      </c>
      <c r="AE210" s="273">
        <f t="shared" ca="1" si="217"/>
        <v>198.96182083710002</v>
      </c>
      <c r="AF210" s="273">
        <f t="shared" ca="1" si="217"/>
        <v>1659.7393680931268</v>
      </c>
      <c r="AG210" s="273">
        <f t="shared" ca="1" si="217"/>
        <v>31.8913758371</v>
      </c>
      <c r="AH210" s="273">
        <f t="shared" ca="1" si="217"/>
        <v>998.69880147647189</v>
      </c>
      <c r="AI210" s="273">
        <f t="shared" ca="1" si="217"/>
        <v>3206.8305658371</v>
      </c>
      <c r="AJ210" s="273">
        <f t="shared" ca="1" si="217"/>
        <v>31.702270837099999</v>
      </c>
      <c r="AK210" s="273">
        <f t="shared" si="217"/>
        <v>0</v>
      </c>
      <c r="AL210" s="273">
        <f t="shared" si="217"/>
        <v>0</v>
      </c>
      <c r="AM210" s="273">
        <f t="shared" si="217"/>
        <v>0</v>
      </c>
      <c r="AN210" s="273">
        <f t="shared" si="217"/>
        <v>0</v>
      </c>
    </row>
    <row r="211" spans="3:40" outlineLevel="3">
      <c r="C211" s="341" t="s">
        <v>573</v>
      </c>
      <c r="D211" s="266"/>
      <c r="E211" s="73" t="s">
        <v>13</v>
      </c>
      <c r="F211" s="47">
        <f ca="1">SUM(G211:AN211)</f>
        <v>-14144.799919678564</v>
      </c>
      <c r="G211" s="273">
        <f t="shared" ref="G211:AN211" si="218">G220</f>
        <v>0</v>
      </c>
      <c r="H211" s="273">
        <f t="shared" si="218"/>
        <v>0</v>
      </c>
      <c r="I211" s="273">
        <f t="shared" si="218"/>
        <v>0</v>
      </c>
      <c r="J211" s="273">
        <f t="shared" si="218"/>
        <v>0</v>
      </c>
      <c r="K211" s="273">
        <f t="shared" si="218"/>
        <v>0</v>
      </c>
      <c r="L211" s="273">
        <f t="shared" si="218"/>
        <v>0</v>
      </c>
      <c r="M211" s="273">
        <f t="shared" si="218"/>
        <v>0</v>
      </c>
      <c r="N211" s="273">
        <f t="shared" si="218"/>
        <v>0</v>
      </c>
      <c r="O211" s="273">
        <f t="shared" si="218"/>
        <v>0</v>
      </c>
      <c r="P211" s="273">
        <f t="shared" si="218"/>
        <v>0</v>
      </c>
      <c r="Q211" s="273">
        <f t="shared" si="218"/>
        <v>0</v>
      </c>
      <c r="R211" s="273">
        <f t="shared" si="218"/>
        <v>0</v>
      </c>
      <c r="S211" s="273">
        <f t="shared" si="218"/>
        <v>0</v>
      </c>
      <c r="T211" s="273">
        <f t="shared" si="218"/>
        <v>0</v>
      </c>
      <c r="U211" s="273">
        <f t="shared" si="218"/>
        <v>0</v>
      </c>
      <c r="V211" s="273">
        <f t="shared" si="218"/>
        <v>0</v>
      </c>
      <c r="W211" s="273">
        <f t="shared" ca="1" si="218"/>
        <v>-122.55581098987334</v>
      </c>
      <c r="X211" s="273">
        <f t="shared" ca="1" si="218"/>
        <v>-136.08080336195795</v>
      </c>
      <c r="Y211" s="273">
        <f t="shared" ca="1" si="218"/>
        <v>-170.49742176504961</v>
      </c>
      <c r="Z211" s="273">
        <f t="shared" ca="1" si="218"/>
        <v>-172.73956002296779</v>
      </c>
      <c r="AA211" s="273">
        <f t="shared" ca="1" si="218"/>
        <v>-236.28897931283296</v>
      </c>
      <c r="AB211" s="273">
        <f t="shared" ca="1" si="218"/>
        <v>-714.72721226863132</v>
      </c>
      <c r="AC211" s="273">
        <f t="shared" ca="1" si="218"/>
        <v>-760.68389477526887</v>
      </c>
      <c r="AD211" s="273">
        <f t="shared" ca="1" si="218"/>
        <v>-814.77171918056888</v>
      </c>
      <c r="AE211" s="273">
        <f t="shared" ca="1" si="218"/>
        <v>-847.93202265341904</v>
      </c>
      <c r="AF211" s="273">
        <f t="shared" ca="1" si="218"/>
        <v>-1179.8798962720443</v>
      </c>
      <c r="AG211" s="273">
        <f t="shared" ca="1" si="218"/>
        <v>-1187.8527402313193</v>
      </c>
      <c r="AH211" s="273">
        <f t="shared" ca="1" si="218"/>
        <v>-1520.7523407234767</v>
      </c>
      <c r="AI211" s="273">
        <f t="shared" ca="1" si="218"/>
        <v>-3124.1676236420267</v>
      </c>
      <c r="AJ211" s="273">
        <f t="shared" ca="1" si="218"/>
        <v>-3155.8698944791267</v>
      </c>
      <c r="AK211" s="273">
        <f t="shared" si="218"/>
        <v>0</v>
      </c>
      <c r="AL211" s="273">
        <f t="shared" si="218"/>
        <v>0</v>
      </c>
      <c r="AM211" s="273">
        <f t="shared" si="218"/>
        <v>0</v>
      </c>
      <c r="AN211" s="273">
        <f t="shared" si="218"/>
        <v>0</v>
      </c>
    </row>
    <row r="212" spans="3:40" ht="16.2" outlineLevel="3" thickBot="1">
      <c r="C212" s="275" t="s">
        <v>597</v>
      </c>
      <c r="D212" s="275"/>
      <c r="E212" s="74" t="s">
        <v>13</v>
      </c>
      <c r="F212" s="71"/>
      <c r="G212" s="325">
        <f t="shared" ref="G212:AN212" si="219">SUM(G209:G211)</f>
        <v>0</v>
      </c>
      <c r="H212" s="325">
        <f t="shared" si="219"/>
        <v>0</v>
      </c>
      <c r="I212" s="325">
        <f t="shared" si="219"/>
        <v>0</v>
      </c>
      <c r="J212" s="325">
        <f t="shared" si="219"/>
        <v>0</v>
      </c>
      <c r="K212" s="325">
        <f t="shared" si="219"/>
        <v>0</v>
      </c>
      <c r="L212" s="325">
        <f t="shared" si="219"/>
        <v>0</v>
      </c>
      <c r="M212" s="325">
        <f t="shared" si="219"/>
        <v>0</v>
      </c>
      <c r="N212" s="325">
        <f t="shared" si="219"/>
        <v>0</v>
      </c>
      <c r="O212" s="325">
        <f t="shared" si="219"/>
        <v>0</v>
      </c>
      <c r="P212" s="325">
        <f t="shared" si="219"/>
        <v>0</v>
      </c>
      <c r="Q212" s="325">
        <f t="shared" si="219"/>
        <v>0</v>
      </c>
      <c r="R212" s="325">
        <f t="shared" si="219"/>
        <v>0</v>
      </c>
      <c r="S212" s="325">
        <f t="shared" si="219"/>
        <v>0</v>
      </c>
      <c r="T212" s="325">
        <f t="shared" si="219"/>
        <v>0</v>
      </c>
      <c r="U212" s="325">
        <f t="shared" si="219"/>
        <v>0</v>
      </c>
      <c r="V212" s="325">
        <f t="shared" ca="1" si="219"/>
        <v>1324.0162280211268</v>
      </c>
      <c r="W212" s="325">
        <f t="shared" ca="1" si="219"/>
        <v>1593.2255428683534</v>
      </c>
      <c r="X212" s="325">
        <f t="shared" ca="1" si="219"/>
        <v>1632.9696403434953</v>
      </c>
      <c r="Y212" s="325">
        <f t="shared" ca="1" si="219"/>
        <v>1875.4716394155457</v>
      </c>
      <c r="Z212" s="325">
        <f t="shared" ca="1" si="219"/>
        <v>1727.3956002296777</v>
      </c>
      <c r="AA212" s="325">
        <f t="shared" ca="1" si="219"/>
        <v>2126.6008138154966</v>
      </c>
      <c r="AB212" s="325">
        <f t="shared" ca="1" si="219"/>
        <v>5717.8176981490506</v>
      </c>
      <c r="AC212" s="325">
        <f t="shared" ca="1" si="219"/>
        <v>5324.7872634268824</v>
      </c>
      <c r="AD212" s="325">
        <f t="shared" ca="1" si="219"/>
        <v>4888.6303150834137</v>
      </c>
      <c r="AE212" s="325">
        <f t="shared" ca="1" si="219"/>
        <v>4239.6601132670949</v>
      </c>
      <c r="AF212" s="325">
        <f t="shared" ca="1" si="219"/>
        <v>4719.5195850881773</v>
      </c>
      <c r="AG212" s="325">
        <f t="shared" ca="1" si="219"/>
        <v>3563.558220693958</v>
      </c>
      <c r="AH212" s="325">
        <f t="shared" ca="1" si="219"/>
        <v>3041.5046814469533</v>
      </c>
      <c r="AI212" s="325">
        <f t="shared" ca="1" si="219"/>
        <v>3124.1676236420267</v>
      </c>
      <c r="AJ212" s="325">
        <f t="shared" ca="1" si="219"/>
        <v>0</v>
      </c>
      <c r="AK212" s="325">
        <f t="shared" ca="1" si="219"/>
        <v>0</v>
      </c>
      <c r="AL212" s="325">
        <f t="shared" ca="1" si="219"/>
        <v>0</v>
      </c>
      <c r="AM212" s="325">
        <f t="shared" ca="1" si="219"/>
        <v>0</v>
      </c>
      <c r="AN212" s="325">
        <f t="shared" ca="1" si="219"/>
        <v>0</v>
      </c>
    </row>
    <row r="213" spans="3:40" ht="16.2" outlineLevel="3" thickTop="1">
      <c r="C213" s="266"/>
      <c r="D213" s="266"/>
      <c r="E213" s="266"/>
      <c r="F213" s="266"/>
      <c r="G213" s="266"/>
      <c r="H213" s="266"/>
      <c r="I213" s="266"/>
      <c r="J213" s="266"/>
      <c r="K213" s="266"/>
      <c r="L213" s="266"/>
      <c r="M213" s="266"/>
      <c r="N213" s="266"/>
      <c r="O213" s="266"/>
      <c r="P213" s="266"/>
      <c r="Q213" s="266"/>
      <c r="R213" s="266"/>
      <c r="S213" s="266"/>
      <c r="T213" s="266"/>
      <c r="U213" s="266"/>
      <c r="V213" s="266"/>
      <c r="W213" s="266"/>
      <c r="X213" s="266"/>
      <c r="Y213" s="266"/>
      <c r="Z213" s="266"/>
      <c r="AA213" s="266"/>
      <c r="AB213" s="266"/>
      <c r="AC213" s="266"/>
      <c r="AD213" s="266"/>
      <c r="AE213" s="266"/>
      <c r="AF213" s="266"/>
      <c r="AG213" s="266"/>
      <c r="AH213" s="266"/>
      <c r="AI213" s="266"/>
      <c r="AJ213" s="266"/>
      <c r="AK213" s="266"/>
      <c r="AL213" s="266"/>
      <c r="AM213" s="266"/>
      <c r="AN213" s="266"/>
    </row>
    <row r="214" spans="3:40" outlineLevel="3">
      <c r="C214" s="281" t="str">
        <f>Flags!C$49</f>
        <v>Fim período</v>
      </c>
      <c r="D214" s="49"/>
      <c r="E214" s="41" t="str">
        <f>E170</f>
        <v>%</v>
      </c>
      <c r="F214" s="319"/>
      <c r="G214" s="281">
        <f>Flags!G$49</f>
        <v>46752</v>
      </c>
      <c r="H214" s="281">
        <f>Flags!H$49</f>
        <v>47118</v>
      </c>
      <c r="I214" s="281">
        <f>Flags!I$49</f>
        <v>47483</v>
      </c>
      <c r="J214" s="281">
        <f>Flags!J$49</f>
        <v>47848</v>
      </c>
      <c r="K214" s="281">
        <f>Flags!K$49</f>
        <v>48213</v>
      </c>
      <c r="L214" s="281">
        <f>Flags!L$49</f>
        <v>48579</v>
      </c>
      <c r="M214" s="281">
        <f>Flags!M$49</f>
        <v>48944</v>
      </c>
      <c r="N214" s="281">
        <f>Flags!N$49</f>
        <v>49309</v>
      </c>
      <c r="O214" s="281">
        <f>Flags!O$49</f>
        <v>49674</v>
      </c>
      <c r="P214" s="281">
        <f>Flags!P$49</f>
        <v>50040</v>
      </c>
      <c r="Q214" s="281">
        <f>Flags!Q$49</f>
        <v>50405</v>
      </c>
      <c r="R214" s="281">
        <f>Flags!R$49</f>
        <v>50770</v>
      </c>
      <c r="S214" s="281">
        <f>Flags!S$49</f>
        <v>51135</v>
      </c>
      <c r="T214" s="281">
        <f>Flags!T$49</f>
        <v>51501</v>
      </c>
      <c r="U214" s="281">
        <f>Flags!U$49</f>
        <v>51866</v>
      </c>
      <c r="V214" s="281">
        <f>Flags!V$49</f>
        <v>52231</v>
      </c>
      <c r="W214" s="281">
        <f>Flags!W$49</f>
        <v>52596</v>
      </c>
      <c r="X214" s="281">
        <f>Flags!X$49</f>
        <v>52962</v>
      </c>
      <c r="Y214" s="281">
        <f>Flags!Y$49</f>
        <v>53327</v>
      </c>
      <c r="Z214" s="281">
        <f>Flags!Z$49</f>
        <v>53692</v>
      </c>
      <c r="AA214" s="281">
        <f>Flags!AA$49</f>
        <v>54057</v>
      </c>
      <c r="AB214" s="281">
        <f>Flags!AB$49</f>
        <v>54423</v>
      </c>
      <c r="AC214" s="281">
        <f>Flags!AC$49</f>
        <v>54788</v>
      </c>
      <c r="AD214" s="281">
        <f>Flags!AD$49</f>
        <v>55153</v>
      </c>
      <c r="AE214" s="281">
        <f>Flags!AE$49</f>
        <v>55518</v>
      </c>
      <c r="AF214" s="281">
        <f>Flags!AF$49</f>
        <v>55884</v>
      </c>
      <c r="AG214" s="281">
        <f>Flags!AG$49</f>
        <v>56249</v>
      </c>
      <c r="AH214" s="281">
        <f>Flags!AH$49</f>
        <v>56614</v>
      </c>
      <c r="AI214" s="281">
        <f>Flags!AI$49</f>
        <v>56979</v>
      </c>
      <c r="AJ214" s="281">
        <f>Flags!AJ$49</f>
        <v>57345</v>
      </c>
      <c r="AK214" s="281">
        <f>Flags!AK$49</f>
        <v>57710</v>
      </c>
      <c r="AL214" s="281">
        <f>Flags!AL$49</f>
        <v>58075</v>
      </c>
      <c r="AM214" s="281">
        <f>Flags!AM$49</f>
        <v>58440</v>
      </c>
      <c r="AN214" s="281">
        <f>Flags!AN$49</f>
        <v>58806</v>
      </c>
    </row>
    <row r="215" spans="3:40" outlineLevel="3">
      <c r="C215" t="str">
        <f t="shared" ref="C215:F215" si="220">C$90</f>
        <v>Flag de repagamento dívida</v>
      </c>
      <c r="D215"/>
      <c r="E215" s="41" t="str">
        <f t="shared" si="220"/>
        <v>Flag</v>
      </c>
      <c r="F215" s="23">
        <f t="shared" si="220"/>
        <v>0</v>
      </c>
      <c r="G215" s="25">
        <f t="shared" ref="G215:AN215" si="221">G103</f>
        <v>0</v>
      </c>
      <c r="H215" s="25">
        <f t="shared" si="221"/>
        <v>0</v>
      </c>
      <c r="I215" s="25">
        <f t="shared" si="221"/>
        <v>0</v>
      </c>
      <c r="J215" s="25">
        <f t="shared" si="221"/>
        <v>0</v>
      </c>
      <c r="K215" s="25">
        <f t="shared" si="221"/>
        <v>0</v>
      </c>
      <c r="L215" s="25">
        <f t="shared" si="221"/>
        <v>0</v>
      </c>
      <c r="M215" s="25">
        <f t="shared" si="221"/>
        <v>0</v>
      </c>
      <c r="N215" s="25">
        <f t="shared" si="221"/>
        <v>0</v>
      </c>
      <c r="O215" s="25">
        <f t="shared" si="221"/>
        <v>0</v>
      </c>
      <c r="P215" s="25">
        <f t="shared" si="221"/>
        <v>0</v>
      </c>
      <c r="Q215" s="25">
        <f t="shared" si="221"/>
        <v>0</v>
      </c>
      <c r="R215" s="25">
        <f t="shared" si="221"/>
        <v>0</v>
      </c>
      <c r="S215" s="25">
        <f t="shared" si="221"/>
        <v>0</v>
      </c>
      <c r="T215" s="25">
        <f t="shared" si="221"/>
        <v>0</v>
      </c>
      <c r="U215" s="25">
        <f t="shared" si="221"/>
        <v>0</v>
      </c>
      <c r="V215" s="25">
        <f t="shared" si="221"/>
        <v>0</v>
      </c>
      <c r="W215" s="25">
        <f t="shared" si="221"/>
        <v>1</v>
      </c>
      <c r="X215" s="25">
        <f t="shared" si="221"/>
        <v>1</v>
      </c>
      <c r="Y215" s="25">
        <f t="shared" si="221"/>
        <v>1</v>
      </c>
      <c r="Z215" s="25">
        <f t="shared" si="221"/>
        <v>1</v>
      </c>
      <c r="AA215" s="25">
        <f t="shared" si="221"/>
        <v>1</v>
      </c>
      <c r="AB215" s="25">
        <f t="shared" si="221"/>
        <v>1</v>
      </c>
      <c r="AC215" s="25">
        <f t="shared" si="221"/>
        <v>1</v>
      </c>
      <c r="AD215" s="25">
        <f t="shared" si="221"/>
        <v>1</v>
      </c>
      <c r="AE215" s="25">
        <f t="shared" si="221"/>
        <v>1</v>
      </c>
      <c r="AF215" s="25">
        <f t="shared" si="221"/>
        <v>1</v>
      </c>
      <c r="AG215" s="25">
        <f t="shared" si="221"/>
        <v>1</v>
      </c>
      <c r="AH215" s="25">
        <f t="shared" si="221"/>
        <v>1</v>
      </c>
      <c r="AI215" s="25">
        <f t="shared" si="221"/>
        <v>1</v>
      </c>
      <c r="AJ215" s="25">
        <f t="shared" si="221"/>
        <v>1</v>
      </c>
      <c r="AK215" s="25">
        <f t="shared" si="221"/>
        <v>0</v>
      </c>
      <c r="AL215" s="25">
        <f t="shared" si="221"/>
        <v>0</v>
      </c>
      <c r="AM215" s="25">
        <f t="shared" si="221"/>
        <v>0</v>
      </c>
      <c r="AN215" s="25">
        <f t="shared" si="221"/>
        <v>0</v>
      </c>
    </row>
    <row r="216" spans="3:40" outlineLevel="3">
      <c r="C216" t="str">
        <f t="shared" ref="C216:F216" si="222">C$91</f>
        <v>Counter de periodo dívida</v>
      </c>
      <c r="D216"/>
      <c r="E216" s="41" t="str">
        <f t="shared" si="222"/>
        <v>Counter</v>
      </c>
      <c r="F216" s="23">
        <f t="shared" si="222"/>
        <v>0</v>
      </c>
      <c r="G216" s="78">
        <f t="shared" ref="G216:AN216" si="223">G104</f>
        <v>14</v>
      </c>
      <c r="H216" s="78">
        <f t="shared" si="223"/>
        <v>14</v>
      </c>
      <c r="I216" s="78">
        <f t="shared" si="223"/>
        <v>14</v>
      </c>
      <c r="J216" s="78">
        <f t="shared" si="223"/>
        <v>14</v>
      </c>
      <c r="K216" s="78">
        <f t="shared" si="223"/>
        <v>14</v>
      </c>
      <c r="L216" s="78">
        <f t="shared" si="223"/>
        <v>14</v>
      </c>
      <c r="M216" s="78">
        <f t="shared" si="223"/>
        <v>14</v>
      </c>
      <c r="N216" s="78">
        <f t="shared" si="223"/>
        <v>14</v>
      </c>
      <c r="O216" s="78">
        <f t="shared" si="223"/>
        <v>14</v>
      </c>
      <c r="P216" s="78">
        <f t="shared" si="223"/>
        <v>14</v>
      </c>
      <c r="Q216" s="78">
        <f t="shared" si="223"/>
        <v>14</v>
      </c>
      <c r="R216" s="78">
        <f t="shared" si="223"/>
        <v>14</v>
      </c>
      <c r="S216" s="78">
        <f t="shared" si="223"/>
        <v>14</v>
      </c>
      <c r="T216" s="78">
        <f t="shared" si="223"/>
        <v>14</v>
      </c>
      <c r="U216" s="78">
        <f t="shared" si="223"/>
        <v>14</v>
      </c>
      <c r="V216" s="78">
        <f t="shared" si="223"/>
        <v>14</v>
      </c>
      <c r="W216" s="78">
        <f t="shared" si="223"/>
        <v>14</v>
      </c>
      <c r="X216" s="78">
        <f t="shared" si="223"/>
        <v>13</v>
      </c>
      <c r="Y216" s="78">
        <f t="shared" si="223"/>
        <v>12</v>
      </c>
      <c r="Z216" s="78">
        <f t="shared" si="223"/>
        <v>11</v>
      </c>
      <c r="AA216" s="78">
        <f t="shared" si="223"/>
        <v>10</v>
      </c>
      <c r="AB216" s="78">
        <f t="shared" si="223"/>
        <v>9</v>
      </c>
      <c r="AC216" s="78">
        <f t="shared" si="223"/>
        <v>8</v>
      </c>
      <c r="AD216" s="78">
        <f t="shared" si="223"/>
        <v>7</v>
      </c>
      <c r="AE216" s="78">
        <f t="shared" si="223"/>
        <v>6</v>
      </c>
      <c r="AF216" s="78">
        <f t="shared" si="223"/>
        <v>5</v>
      </c>
      <c r="AG216" s="78">
        <f t="shared" si="223"/>
        <v>4</v>
      </c>
      <c r="AH216" s="78">
        <f t="shared" si="223"/>
        <v>3</v>
      </c>
      <c r="AI216" s="78">
        <f t="shared" si="223"/>
        <v>2</v>
      </c>
      <c r="AJ216" s="78">
        <f t="shared" si="223"/>
        <v>1</v>
      </c>
      <c r="AK216" s="78">
        <f t="shared" si="223"/>
        <v>0</v>
      </c>
      <c r="AL216" s="78">
        <f t="shared" si="223"/>
        <v>0</v>
      </c>
      <c r="AM216" s="78">
        <f t="shared" si="223"/>
        <v>0</v>
      </c>
      <c r="AN216" s="78">
        <f t="shared" si="223"/>
        <v>0</v>
      </c>
    </row>
    <row r="217" spans="3:40" outlineLevel="2">
      <c r="C217"/>
      <c r="D217"/>
      <c r="F217" s="266"/>
      <c r="G217" s="80"/>
      <c r="H217" s="80"/>
      <c r="I217" s="80"/>
      <c r="J217" s="80"/>
      <c r="K217" s="80"/>
      <c r="L217" s="80"/>
      <c r="M217" s="80"/>
      <c r="N217" s="80"/>
      <c r="O217" s="80"/>
      <c r="P217" s="80"/>
      <c r="Q217" s="80"/>
      <c r="R217" s="80"/>
      <c r="S217" s="80"/>
      <c r="T217" s="80"/>
      <c r="U217" s="80"/>
      <c r="V217" s="80"/>
      <c r="W217" s="80"/>
      <c r="X217" s="80"/>
      <c r="Y217" s="80"/>
      <c r="Z217" s="80"/>
      <c r="AA217" s="80"/>
      <c r="AB217" s="80"/>
      <c r="AC217" s="80"/>
      <c r="AD217" s="80"/>
      <c r="AE217" s="80"/>
      <c r="AF217" s="80"/>
      <c r="AG217" s="80"/>
      <c r="AH217" s="80"/>
      <c r="AI217" s="80"/>
      <c r="AJ217" s="80"/>
      <c r="AK217" s="80"/>
      <c r="AL217" s="80"/>
      <c r="AM217" s="80"/>
      <c r="AN217" s="80"/>
    </row>
    <row r="218" spans="3:40" outlineLevel="2">
      <c r="C218" s="14" t="s">
        <v>605</v>
      </c>
      <c r="D218" s="266"/>
      <c r="E218" s="266"/>
      <c r="F218" s="266"/>
      <c r="G218" s="266"/>
      <c r="H218" s="266"/>
      <c r="I218" s="266"/>
      <c r="J218" s="266"/>
      <c r="K218" s="266"/>
      <c r="L218" s="266"/>
      <c r="M218" s="266"/>
      <c r="N218" s="266"/>
      <c r="O218" s="266"/>
      <c r="P218" s="266"/>
      <c r="Q218" s="266"/>
      <c r="R218" s="266"/>
      <c r="S218" s="266"/>
      <c r="T218" s="266"/>
      <c r="U218" s="266"/>
      <c r="V218" s="266"/>
      <c r="W218" s="266"/>
      <c r="X218" s="266"/>
      <c r="Y218" s="266"/>
      <c r="Z218" s="266"/>
      <c r="AA218" s="266"/>
      <c r="AB218" s="266"/>
      <c r="AC218" s="266"/>
      <c r="AD218" s="266"/>
      <c r="AE218" s="266"/>
      <c r="AF218" s="266"/>
      <c r="AG218" s="266"/>
      <c r="AH218" s="266"/>
      <c r="AI218" s="266"/>
      <c r="AJ218" s="266"/>
      <c r="AK218" s="266"/>
      <c r="AL218" s="266"/>
      <c r="AM218" s="266"/>
      <c r="AN218" s="266"/>
    </row>
    <row r="219" spans="3:40" outlineLevel="3">
      <c r="C219" s="301" t="s">
        <v>600</v>
      </c>
      <c r="D219" s="266"/>
      <c r="E219" s="41" t="s">
        <v>13</v>
      </c>
      <c r="F219" s="23">
        <f ca="1">SUM(G219:AN219)</f>
        <v>-6349.2119522863568</v>
      </c>
      <c r="G219" s="278">
        <f t="shared" ref="G219:AN219" si="224">-G206</f>
        <v>0</v>
      </c>
      <c r="H219" s="278">
        <f t="shared" si="224"/>
        <v>0</v>
      </c>
      <c r="I219" s="278">
        <f t="shared" si="224"/>
        <v>0</v>
      </c>
      <c r="J219" s="278">
        <f t="shared" si="224"/>
        <v>0</v>
      </c>
      <c r="K219" s="278">
        <f t="shared" si="224"/>
        <v>0</v>
      </c>
      <c r="L219" s="278">
        <f t="shared" si="224"/>
        <v>0</v>
      </c>
      <c r="M219" s="278">
        <f t="shared" si="224"/>
        <v>0</v>
      </c>
      <c r="N219" s="278">
        <f t="shared" si="224"/>
        <v>0</v>
      </c>
      <c r="O219" s="278">
        <f t="shared" si="224"/>
        <v>0</v>
      </c>
      <c r="P219" s="278">
        <f t="shared" si="224"/>
        <v>0</v>
      </c>
      <c r="Q219" s="278">
        <f t="shared" si="224"/>
        <v>0</v>
      </c>
      <c r="R219" s="278">
        <f t="shared" si="224"/>
        <v>0</v>
      </c>
      <c r="S219" s="278">
        <f t="shared" si="224"/>
        <v>0</v>
      </c>
      <c r="T219" s="278">
        <f t="shared" si="224"/>
        <v>0</v>
      </c>
      <c r="U219" s="278">
        <f t="shared" si="224"/>
        <v>0</v>
      </c>
      <c r="V219" s="278">
        <f t="shared" ca="1" si="224"/>
        <v>0</v>
      </c>
      <c r="W219" s="278">
        <f t="shared" ca="1" si="224"/>
        <v>-188.73594892440497</v>
      </c>
      <c r="X219" s="278">
        <f t="shared" ca="1" si="224"/>
        <v>-194.5955488075999</v>
      </c>
      <c r="Y219" s="278">
        <f t="shared" ca="1" si="224"/>
        <v>-225.05659672986553</v>
      </c>
      <c r="Z219" s="278">
        <f t="shared" ca="1" si="224"/>
        <v>-209.01486762779103</v>
      </c>
      <c r="AA219" s="278">
        <f t="shared" ca="1" si="224"/>
        <v>-259.91787724411626</v>
      </c>
      <c r="AB219" s="278">
        <f t="shared" ca="1" si="224"/>
        <v>-707.5799401459451</v>
      </c>
      <c r="AC219" s="278">
        <f t="shared" ca="1" si="224"/>
        <v>-669.40182740223668</v>
      </c>
      <c r="AD219" s="278">
        <f t="shared" ca="1" si="224"/>
        <v>-627.37422376903817</v>
      </c>
      <c r="AE219" s="278">
        <f t="shared" ca="1" si="224"/>
        <v>-559.63513495125665</v>
      </c>
      <c r="AF219" s="278">
        <f t="shared" ca="1" si="224"/>
        <v>-648.93394294962457</v>
      </c>
      <c r="AG219" s="278">
        <f t="shared" ca="1" si="224"/>
        <v>-522.65520570178057</v>
      </c>
      <c r="AH219" s="278">
        <f t="shared" ca="1" si="224"/>
        <v>-501.84827243874736</v>
      </c>
      <c r="AI219" s="278">
        <f t="shared" ca="1" si="224"/>
        <v>-687.31687720124592</v>
      </c>
      <c r="AJ219" s="278">
        <f t="shared" ca="1" si="224"/>
        <v>-347.14568839270396</v>
      </c>
      <c r="AK219" s="278">
        <f t="shared" ca="1" si="224"/>
        <v>0</v>
      </c>
      <c r="AL219" s="278">
        <f t="shared" ca="1" si="224"/>
        <v>0</v>
      </c>
      <c r="AM219" s="278">
        <f t="shared" ca="1" si="224"/>
        <v>0</v>
      </c>
      <c r="AN219" s="278">
        <f t="shared" ca="1" si="224"/>
        <v>0</v>
      </c>
    </row>
    <row r="220" spans="3:40" outlineLevel="3">
      <c r="C220" s="301" t="s">
        <v>601</v>
      </c>
      <c r="D220" s="266"/>
      <c r="E220" s="41" t="s">
        <v>13</v>
      </c>
      <c r="F220" s="23">
        <f ca="1">SUM(G220:AN220)</f>
        <v>-14144.799919678564</v>
      </c>
      <c r="G220" s="278">
        <f>IF(G215=1,-(G209+G210)/G216,0)</f>
        <v>0</v>
      </c>
      <c r="H220" s="278">
        <f t="shared" ref="H220:AN220" si="225">IF(H215=1,-(H209+H210)/H216,0)</f>
        <v>0</v>
      </c>
      <c r="I220" s="278">
        <f t="shared" si="225"/>
        <v>0</v>
      </c>
      <c r="J220" s="278">
        <f t="shared" si="225"/>
        <v>0</v>
      </c>
      <c r="K220" s="278">
        <f t="shared" si="225"/>
        <v>0</v>
      </c>
      <c r="L220" s="278">
        <f t="shared" si="225"/>
        <v>0</v>
      </c>
      <c r="M220" s="278">
        <f t="shared" si="225"/>
        <v>0</v>
      </c>
      <c r="N220" s="278">
        <f t="shared" si="225"/>
        <v>0</v>
      </c>
      <c r="O220" s="278">
        <f t="shared" si="225"/>
        <v>0</v>
      </c>
      <c r="P220" s="278">
        <f t="shared" si="225"/>
        <v>0</v>
      </c>
      <c r="Q220" s="278">
        <f t="shared" si="225"/>
        <v>0</v>
      </c>
      <c r="R220" s="278">
        <f t="shared" si="225"/>
        <v>0</v>
      </c>
      <c r="S220" s="278">
        <f t="shared" si="225"/>
        <v>0</v>
      </c>
      <c r="T220" s="278">
        <f t="shared" si="225"/>
        <v>0</v>
      </c>
      <c r="U220" s="278">
        <f t="shared" si="225"/>
        <v>0</v>
      </c>
      <c r="V220" s="278">
        <f t="shared" si="225"/>
        <v>0</v>
      </c>
      <c r="W220" s="278">
        <f t="shared" ca="1" si="225"/>
        <v>-122.55581098987334</v>
      </c>
      <c r="X220" s="278">
        <f t="shared" ca="1" si="225"/>
        <v>-136.08080336195795</v>
      </c>
      <c r="Y220" s="278">
        <f t="shared" ca="1" si="225"/>
        <v>-170.49742176504961</v>
      </c>
      <c r="Z220" s="278">
        <f t="shared" ca="1" si="225"/>
        <v>-172.73956002296779</v>
      </c>
      <c r="AA220" s="278">
        <f t="shared" ca="1" si="225"/>
        <v>-236.28897931283296</v>
      </c>
      <c r="AB220" s="278">
        <f t="shared" ca="1" si="225"/>
        <v>-714.72721226863132</v>
      </c>
      <c r="AC220" s="278">
        <f t="shared" ca="1" si="225"/>
        <v>-760.68389477526887</v>
      </c>
      <c r="AD220" s="278">
        <f t="shared" ca="1" si="225"/>
        <v>-814.77171918056888</v>
      </c>
      <c r="AE220" s="278">
        <f t="shared" ca="1" si="225"/>
        <v>-847.93202265341904</v>
      </c>
      <c r="AF220" s="278">
        <f t="shared" ca="1" si="225"/>
        <v>-1179.8798962720443</v>
      </c>
      <c r="AG220" s="278">
        <f t="shared" ca="1" si="225"/>
        <v>-1187.8527402313193</v>
      </c>
      <c r="AH220" s="278">
        <f t="shared" ca="1" si="225"/>
        <v>-1520.7523407234767</v>
      </c>
      <c r="AI220" s="278">
        <f t="shared" ca="1" si="225"/>
        <v>-3124.1676236420267</v>
      </c>
      <c r="AJ220" s="278">
        <f t="shared" ca="1" si="225"/>
        <v>-3155.8698944791267</v>
      </c>
      <c r="AK220" s="278">
        <f t="shared" si="225"/>
        <v>0</v>
      </c>
      <c r="AL220" s="278">
        <f t="shared" si="225"/>
        <v>0</v>
      </c>
      <c r="AM220" s="278">
        <f t="shared" si="225"/>
        <v>0</v>
      </c>
      <c r="AN220" s="278">
        <f t="shared" si="225"/>
        <v>0</v>
      </c>
    </row>
    <row r="221" spans="3:40" outlineLevel="2">
      <c r="C221" s="266"/>
      <c r="D221" s="266"/>
      <c r="E221" s="41"/>
      <c r="F221" s="266"/>
      <c r="G221" s="266"/>
      <c r="H221" s="266"/>
      <c r="I221" s="266"/>
      <c r="J221" s="266"/>
      <c r="K221" s="266"/>
      <c r="L221" s="266"/>
      <c r="M221" s="266"/>
      <c r="N221" s="266"/>
      <c r="O221" s="266"/>
      <c r="P221" s="266"/>
      <c r="Q221" s="266"/>
      <c r="R221" s="266"/>
      <c r="S221" s="266"/>
      <c r="T221" s="266"/>
      <c r="U221" s="266"/>
      <c r="V221" s="266"/>
      <c r="W221" s="266"/>
      <c r="X221" s="266"/>
      <c r="Y221" s="266"/>
      <c r="Z221" s="266"/>
      <c r="AA221" s="266"/>
      <c r="AB221" s="266"/>
      <c r="AC221" s="266"/>
      <c r="AD221" s="266"/>
      <c r="AE221" s="266"/>
      <c r="AF221" s="266"/>
      <c r="AG221" s="266"/>
      <c r="AH221" s="266"/>
      <c r="AI221" s="266"/>
      <c r="AJ221" s="266"/>
      <c r="AK221" s="266"/>
      <c r="AL221" s="266"/>
      <c r="AM221" s="266"/>
      <c r="AN221" s="266"/>
    </row>
    <row r="222" spans="3:40" outlineLevel="1">
      <c r="C222" s="266"/>
      <c r="D222" s="266"/>
      <c r="E222" s="41"/>
      <c r="F222" s="266"/>
      <c r="G222" s="266"/>
      <c r="H222" s="266"/>
      <c r="I222" s="266"/>
      <c r="J222" s="266"/>
      <c r="K222" s="266"/>
      <c r="L222" s="266"/>
      <c r="M222" s="266"/>
      <c r="N222" s="266"/>
      <c r="O222" s="266"/>
      <c r="P222" s="266"/>
      <c r="Q222" s="266"/>
      <c r="R222" s="266"/>
      <c r="S222" s="266"/>
      <c r="T222" s="266"/>
      <c r="U222" s="266"/>
      <c r="V222" s="266"/>
      <c r="W222" s="266"/>
      <c r="X222" s="266"/>
      <c r="Y222" s="266"/>
      <c r="Z222" s="266"/>
      <c r="AA222" s="266"/>
      <c r="AB222" s="266"/>
      <c r="AC222" s="266"/>
      <c r="AD222" s="266"/>
      <c r="AE222" s="266"/>
      <c r="AF222" s="266"/>
      <c r="AG222" s="266"/>
      <c r="AH222" s="266"/>
      <c r="AI222" s="266"/>
      <c r="AJ222" s="266"/>
      <c r="AK222" s="266"/>
      <c r="AL222" s="266"/>
      <c r="AM222" s="266"/>
      <c r="AN222" s="266"/>
    </row>
    <row r="223" spans="3:40" outlineLevel="1">
      <c r="C223" s="11" t="s">
        <v>607</v>
      </c>
      <c r="D223" s="266"/>
      <c r="E223" s="266"/>
      <c r="F223" s="266"/>
      <c r="G223" s="266"/>
      <c r="H223" s="266"/>
      <c r="I223" s="266"/>
      <c r="J223" s="266"/>
      <c r="K223" s="266"/>
      <c r="L223" s="266"/>
      <c r="M223" s="266"/>
      <c r="N223" s="266"/>
      <c r="O223" s="266"/>
      <c r="P223" s="266"/>
      <c r="Q223" s="266"/>
      <c r="R223" s="266"/>
      <c r="S223" s="266"/>
      <c r="T223" s="266"/>
      <c r="U223" s="266"/>
      <c r="V223" s="266"/>
      <c r="W223" s="266"/>
      <c r="X223" s="266"/>
      <c r="Y223" s="266"/>
      <c r="Z223" s="266"/>
      <c r="AA223" s="266"/>
      <c r="AB223" s="266"/>
      <c r="AC223" s="266"/>
      <c r="AD223" s="266"/>
      <c r="AE223" s="266"/>
      <c r="AF223" s="266"/>
      <c r="AG223" s="266"/>
      <c r="AH223" s="266"/>
      <c r="AI223" s="266"/>
      <c r="AJ223" s="266"/>
      <c r="AK223" s="266"/>
      <c r="AL223" s="266"/>
      <c r="AM223" s="266"/>
      <c r="AN223" s="266"/>
    </row>
    <row r="224" spans="3:40" outlineLevel="2">
      <c r="C224" s="11"/>
      <c r="D224" s="266"/>
      <c r="E224" s="266"/>
      <c r="F224" s="266"/>
      <c r="G224" s="266"/>
      <c r="H224" s="266"/>
      <c r="I224" s="266"/>
      <c r="J224" s="266"/>
      <c r="K224" s="266"/>
      <c r="L224" s="266"/>
      <c r="M224" s="266"/>
      <c r="N224" s="266"/>
      <c r="O224" s="266"/>
      <c r="P224" s="266"/>
      <c r="Q224" s="266"/>
      <c r="R224" s="266"/>
      <c r="S224" s="266"/>
      <c r="T224" s="266"/>
      <c r="U224" s="266"/>
      <c r="V224" s="266"/>
      <c r="W224" s="266"/>
      <c r="X224" s="266"/>
      <c r="Y224" s="266"/>
      <c r="Z224" s="266"/>
      <c r="AA224" s="266"/>
      <c r="AB224" s="266"/>
      <c r="AC224" s="266"/>
      <c r="AD224" s="266"/>
      <c r="AE224" s="266"/>
      <c r="AF224" s="266"/>
      <c r="AG224" s="266"/>
      <c r="AH224" s="266"/>
      <c r="AI224" s="266"/>
      <c r="AJ224" s="266"/>
      <c r="AK224" s="266"/>
      <c r="AL224" s="266"/>
      <c r="AM224" s="266"/>
      <c r="AN224" s="266"/>
    </row>
    <row r="225" spans="3:40" outlineLevel="2">
      <c r="C225" s="11" t="s">
        <v>603</v>
      </c>
      <c r="F225" s="266"/>
      <c r="G225" s="266"/>
      <c r="H225" s="266"/>
      <c r="I225" s="266"/>
      <c r="J225" s="266"/>
      <c r="K225" s="266"/>
      <c r="L225" s="266"/>
      <c r="M225" s="266"/>
      <c r="N225" s="266"/>
      <c r="O225" s="266"/>
      <c r="P225" s="266"/>
      <c r="Q225" s="266"/>
      <c r="R225" s="266"/>
      <c r="S225" s="266"/>
      <c r="T225" s="266"/>
      <c r="U225" s="266"/>
      <c r="V225" s="266"/>
      <c r="W225" s="266"/>
      <c r="X225" s="266"/>
      <c r="Y225" s="266"/>
      <c r="Z225" s="266"/>
      <c r="AA225" s="266"/>
      <c r="AB225" s="266"/>
      <c r="AC225" s="266"/>
      <c r="AD225" s="266"/>
      <c r="AE225" s="266"/>
      <c r="AF225" s="266"/>
      <c r="AG225" s="266"/>
      <c r="AH225" s="266"/>
      <c r="AI225" s="266"/>
      <c r="AJ225" s="266"/>
      <c r="AK225" s="266"/>
      <c r="AL225" s="266"/>
      <c r="AM225" s="266"/>
      <c r="AN225" s="266"/>
    </row>
    <row r="226" spans="3:40" outlineLevel="3">
      <c r="C226" s="429" t="s">
        <v>317</v>
      </c>
      <c r="D226" s="429"/>
      <c r="F226" s="266"/>
      <c r="G226" s="266"/>
      <c r="H226" s="266"/>
      <c r="I226" s="266"/>
      <c r="J226" s="266"/>
      <c r="K226" s="266"/>
      <c r="L226" s="266"/>
      <c r="M226" s="266"/>
      <c r="N226" s="266"/>
      <c r="O226" s="266"/>
      <c r="P226" s="266"/>
      <c r="Q226" s="266"/>
      <c r="R226" s="266"/>
      <c r="S226" s="266"/>
      <c r="T226" s="266"/>
      <c r="U226" s="266"/>
      <c r="V226" s="266"/>
      <c r="W226" s="266"/>
      <c r="X226" s="266"/>
      <c r="Y226" s="266"/>
      <c r="Z226" s="266"/>
      <c r="AA226" s="266"/>
      <c r="AB226" s="266"/>
      <c r="AC226" s="266"/>
      <c r="AD226" s="266"/>
      <c r="AE226" s="266"/>
      <c r="AF226" s="266"/>
      <c r="AG226" s="266"/>
      <c r="AH226" s="266"/>
      <c r="AI226" s="266"/>
      <c r="AJ226" s="266"/>
      <c r="AK226" s="266"/>
      <c r="AL226" s="266"/>
      <c r="AM226" s="266"/>
      <c r="AN226" s="266"/>
    </row>
    <row r="227" spans="3:40" outlineLevel="3">
      <c r="C227" s="344" t="str">
        <f>Inputs!$C$285</f>
        <v>Base</v>
      </c>
      <c r="D227" t="str">
        <f>Inputs!$D$285</f>
        <v>CDI</v>
      </c>
      <c r="E227" s="32" t="s">
        <v>591</v>
      </c>
      <c r="F227" s="266"/>
      <c r="G227" s="266"/>
      <c r="H227" s="266"/>
      <c r="I227" s="266"/>
      <c r="J227" s="266"/>
      <c r="K227" s="266"/>
      <c r="L227" s="266"/>
      <c r="M227" s="266"/>
      <c r="N227" s="266"/>
      <c r="O227" s="266"/>
      <c r="P227" s="266"/>
      <c r="Q227" s="266"/>
      <c r="R227" s="266"/>
      <c r="S227" s="266"/>
      <c r="T227" s="266"/>
      <c r="U227" s="266"/>
      <c r="V227" s="266"/>
      <c r="W227" s="266"/>
      <c r="X227" s="266"/>
      <c r="Y227" s="266"/>
      <c r="Z227" s="266"/>
      <c r="AA227" s="266"/>
      <c r="AB227" s="266"/>
      <c r="AC227" s="266"/>
      <c r="AD227" s="266"/>
      <c r="AE227" s="266"/>
      <c r="AF227" s="266"/>
      <c r="AG227" s="266"/>
      <c r="AH227" s="266"/>
      <c r="AI227" s="266"/>
      <c r="AJ227" s="266"/>
      <c r="AK227" s="266"/>
      <c r="AL227" s="266"/>
      <c r="AM227" s="266"/>
      <c r="AN227" s="266"/>
    </row>
    <row r="228" spans="3:40" outlineLevel="3">
      <c r="C228" s="344" t="str">
        <f>Inputs!$C$286</f>
        <v>Indexador</v>
      </c>
      <c r="D228" t="str">
        <f>Inputs!$D$286</f>
        <v>None</v>
      </c>
      <c r="E228" s="32" t="s">
        <v>591</v>
      </c>
      <c r="F228" s="266"/>
      <c r="G228" s="266"/>
      <c r="H228" s="266"/>
      <c r="I228" s="266"/>
      <c r="J228" s="266"/>
      <c r="K228" s="266"/>
      <c r="L228" s="266"/>
      <c r="M228" s="266"/>
      <c r="N228" s="266"/>
      <c r="O228" s="266"/>
      <c r="P228" s="266"/>
      <c r="Q228" s="266"/>
      <c r="R228" s="266"/>
      <c r="S228" s="266"/>
      <c r="T228" s="266"/>
      <c r="U228" s="266"/>
      <c r="V228" s="266"/>
      <c r="W228" s="266"/>
      <c r="X228" s="266"/>
      <c r="Y228" s="266"/>
      <c r="Z228" s="266"/>
      <c r="AA228" s="266"/>
      <c r="AB228" s="266"/>
      <c r="AC228" s="266"/>
      <c r="AD228" s="266"/>
      <c r="AE228" s="266"/>
      <c r="AF228" s="266"/>
      <c r="AG228" s="266"/>
      <c r="AH228" s="266"/>
      <c r="AI228" s="266"/>
      <c r="AJ228" s="266"/>
      <c r="AK228" s="266"/>
      <c r="AL228" s="266"/>
      <c r="AM228" s="266"/>
      <c r="AN228" s="266"/>
    </row>
    <row r="229" spans="3:40" outlineLevel="3">
      <c r="C229" s="266"/>
      <c r="F229" s="266"/>
      <c r="G229" s="266"/>
      <c r="H229" s="266"/>
      <c r="I229" s="266"/>
      <c r="J229" s="266"/>
      <c r="K229" s="266"/>
      <c r="L229" s="266"/>
      <c r="M229" s="266"/>
      <c r="N229" s="266"/>
      <c r="O229" s="266"/>
      <c r="P229" s="266"/>
      <c r="Q229" s="266"/>
      <c r="R229" s="266"/>
      <c r="S229" s="266"/>
      <c r="T229" s="266"/>
      <c r="U229" s="266"/>
      <c r="V229" s="266"/>
      <c r="W229" s="266"/>
      <c r="X229" s="266"/>
      <c r="Y229" s="266"/>
      <c r="Z229" s="266"/>
      <c r="AA229" s="266"/>
      <c r="AB229" s="266"/>
      <c r="AC229" s="266"/>
      <c r="AD229" s="266"/>
      <c r="AE229" s="266"/>
      <c r="AF229" s="266"/>
      <c r="AG229" s="266"/>
      <c r="AH229" s="266"/>
      <c r="AI229" s="266"/>
      <c r="AJ229" s="266"/>
      <c r="AK229" s="266"/>
      <c r="AL229" s="266"/>
      <c r="AM229" s="266"/>
      <c r="AN229" s="266"/>
    </row>
    <row r="230" spans="3:40" outlineLevel="3">
      <c r="C230" t="str">
        <f>Flags!C$47</f>
        <v xml:space="preserve"> Financial close date  </v>
      </c>
      <c r="D230" s="37">
        <f>Cons_start</f>
        <v>46388</v>
      </c>
      <c r="E230" s="32" t="s">
        <v>399</v>
      </c>
      <c r="F230" s="266"/>
      <c r="G230" s="266"/>
      <c r="H230" s="266"/>
      <c r="I230" s="266"/>
      <c r="J230" s="266"/>
      <c r="K230" s="266"/>
      <c r="L230" s="266"/>
      <c r="M230" s="266"/>
      <c r="N230" s="266"/>
      <c r="O230" s="266"/>
      <c r="P230" s="266"/>
      <c r="Q230" s="266"/>
      <c r="R230" s="266"/>
      <c r="S230" s="266"/>
      <c r="T230" s="266"/>
      <c r="U230" s="266"/>
      <c r="V230" s="266"/>
      <c r="W230" s="266"/>
      <c r="X230" s="266"/>
      <c r="Y230" s="266"/>
      <c r="Z230" s="266"/>
      <c r="AA230" s="266"/>
      <c r="AB230" s="266"/>
      <c r="AC230" s="266"/>
      <c r="AD230" s="266"/>
      <c r="AE230" s="266"/>
      <c r="AF230" s="266"/>
      <c r="AG230" s="266"/>
      <c r="AH230" s="266"/>
      <c r="AI230" s="266"/>
      <c r="AJ230" s="266"/>
      <c r="AK230" s="266"/>
      <c r="AL230" s="266"/>
      <c r="AM230" s="266"/>
      <c r="AN230" s="266"/>
    </row>
    <row r="231" spans="3:40" outlineLevel="3">
      <c r="C231" t="str">
        <f>C169</f>
        <v>Spread dívida senior</v>
      </c>
      <c r="D231" s="37">
        <f>$D$88</f>
        <v>52262</v>
      </c>
      <c r="E231" s="41" t="str">
        <f>E169</f>
        <v>%</v>
      </c>
      <c r="F231" s="266"/>
      <c r="G231" s="266"/>
      <c r="H231" s="266"/>
      <c r="I231" s="266"/>
      <c r="J231" s="266"/>
      <c r="K231" s="266"/>
      <c r="L231" s="266"/>
      <c r="M231" s="266"/>
      <c r="N231" s="266"/>
      <c r="O231" s="266"/>
      <c r="P231" s="266"/>
      <c r="Q231" s="266"/>
      <c r="R231" s="266"/>
      <c r="S231" s="266"/>
      <c r="T231" s="266"/>
      <c r="U231" s="266"/>
      <c r="V231" s="266"/>
      <c r="W231" s="266"/>
      <c r="X231" s="266"/>
      <c r="Y231" s="266"/>
      <c r="Z231" s="266"/>
      <c r="AA231" s="266"/>
      <c r="AB231" s="266"/>
      <c r="AC231" s="266"/>
      <c r="AD231" s="266"/>
      <c r="AE231" s="266"/>
      <c r="AF231" s="266"/>
      <c r="AG231" s="266"/>
      <c r="AH231" s="266"/>
      <c r="AI231" s="266"/>
      <c r="AJ231" s="266"/>
      <c r="AK231" s="266"/>
      <c r="AL231" s="266"/>
      <c r="AM231" s="266"/>
      <c r="AN231" s="266"/>
    </row>
    <row r="232" spans="3:40" outlineLevel="3">
      <c r="C232" t="str">
        <f>Flags!C$50&amp;"+ Prazo"</f>
        <v>Flag de operação+ Prazo</v>
      </c>
      <c r="D232"/>
      <c r="E232" s="32" t="s">
        <v>399</v>
      </c>
      <c r="F232" s="23">
        <f>SUM(G232:AN232)</f>
        <v>16</v>
      </c>
      <c r="G232" s="25">
        <f t="shared" ref="G232:AN232" si="226">IF(AND(G233&gt;=$D230,G233&lt;=$D231),1,0)</f>
        <v>1</v>
      </c>
      <c r="H232" s="25">
        <f t="shared" si="226"/>
        <v>1</v>
      </c>
      <c r="I232" s="25">
        <f t="shared" si="226"/>
        <v>1</v>
      </c>
      <c r="J232" s="25">
        <f t="shared" si="226"/>
        <v>1</v>
      </c>
      <c r="K232" s="25">
        <f t="shared" si="226"/>
        <v>1</v>
      </c>
      <c r="L232" s="25">
        <f t="shared" si="226"/>
        <v>1</v>
      </c>
      <c r="M232" s="25">
        <f t="shared" si="226"/>
        <v>1</v>
      </c>
      <c r="N232" s="25">
        <f t="shared" si="226"/>
        <v>1</v>
      </c>
      <c r="O232" s="25">
        <f t="shared" si="226"/>
        <v>1</v>
      </c>
      <c r="P232" s="25">
        <f t="shared" si="226"/>
        <v>1</v>
      </c>
      <c r="Q232" s="25">
        <f t="shared" si="226"/>
        <v>1</v>
      </c>
      <c r="R232" s="25">
        <f t="shared" si="226"/>
        <v>1</v>
      </c>
      <c r="S232" s="25">
        <f t="shared" si="226"/>
        <v>1</v>
      </c>
      <c r="T232" s="25">
        <f t="shared" si="226"/>
        <v>1</v>
      </c>
      <c r="U232" s="25">
        <f t="shared" si="226"/>
        <v>1</v>
      </c>
      <c r="V232" s="25">
        <f t="shared" si="226"/>
        <v>1</v>
      </c>
      <c r="W232" s="25">
        <f t="shared" si="226"/>
        <v>0</v>
      </c>
      <c r="X232" s="25">
        <f t="shared" si="226"/>
        <v>0</v>
      </c>
      <c r="Y232" s="25">
        <f t="shared" si="226"/>
        <v>0</v>
      </c>
      <c r="Z232" s="25">
        <f t="shared" si="226"/>
        <v>0</v>
      </c>
      <c r="AA232" s="25">
        <f t="shared" si="226"/>
        <v>0</v>
      </c>
      <c r="AB232" s="25">
        <f t="shared" si="226"/>
        <v>0</v>
      </c>
      <c r="AC232" s="25">
        <f t="shared" si="226"/>
        <v>0</v>
      </c>
      <c r="AD232" s="25">
        <f t="shared" si="226"/>
        <v>0</v>
      </c>
      <c r="AE232" s="25">
        <f t="shared" si="226"/>
        <v>0</v>
      </c>
      <c r="AF232" s="25">
        <f t="shared" si="226"/>
        <v>0</v>
      </c>
      <c r="AG232" s="25">
        <f t="shared" si="226"/>
        <v>0</v>
      </c>
      <c r="AH232" s="25">
        <f t="shared" si="226"/>
        <v>0</v>
      </c>
      <c r="AI232" s="25">
        <f t="shared" si="226"/>
        <v>0</v>
      </c>
      <c r="AJ232" s="25">
        <f t="shared" si="226"/>
        <v>0</v>
      </c>
      <c r="AK232" s="25">
        <f t="shared" si="226"/>
        <v>0</v>
      </c>
      <c r="AL232" s="25">
        <f t="shared" si="226"/>
        <v>0</v>
      </c>
      <c r="AM232" s="25">
        <f t="shared" si="226"/>
        <v>0</v>
      </c>
      <c r="AN232" s="25">
        <f t="shared" si="226"/>
        <v>0</v>
      </c>
    </row>
    <row r="233" spans="3:40" outlineLevel="3">
      <c r="C233" s="301" t="str">
        <f>Flags!C$49</f>
        <v>Fim período</v>
      </c>
      <c r="E233" s="32" t="str">
        <f>Flags!E$49</f>
        <v>Meses</v>
      </c>
      <c r="F233" s="266"/>
      <c r="G233" s="281">
        <f>Flags!G$49</f>
        <v>46752</v>
      </c>
      <c r="H233" s="281">
        <f>Flags!H$49</f>
        <v>47118</v>
      </c>
      <c r="I233" s="281">
        <f>Flags!I$49</f>
        <v>47483</v>
      </c>
      <c r="J233" s="281">
        <f>Flags!J$49</f>
        <v>47848</v>
      </c>
      <c r="K233" s="281">
        <f>Flags!K$49</f>
        <v>48213</v>
      </c>
      <c r="L233" s="281">
        <f>Flags!L$49</f>
        <v>48579</v>
      </c>
      <c r="M233" s="281">
        <f>Flags!M$49</f>
        <v>48944</v>
      </c>
      <c r="N233" s="281">
        <f>Flags!N$49</f>
        <v>49309</v>
      </c>
      <c r="O233" s="281">
        <f>Flags!O$49</f>
        <v>49674</v>
      </c>
      <c r="P233" s="281">
        <f>Flags!P$49</f>
        <v>50040</v>
      </c>
      <c r="Q233" s="281">
        <f>Flags!Q$49</f>
        <v>50405</v>
      </c>
      <c r="R233" s="281">
        <f>Flags!R$49</f>
        <v>50770</v>
      </c>
      <c r="S233" s="281">
        <f>Flags!S$49</f>
        <v>51135</v>
      </c>
      <c r="T233" s="281">
        <f>Flags!T$49</f>
        <v>51501</v>
      </c>
      <c r="U233" s="281">
        <f>Flags!U$49</f>
        <v>51866</v>
      </c>
      <c r="V233" s="281">
        <f>Flags!V$49</f>
        <v>52231</v>
      </c>
      <c r="W233" s="281">
        <f>Flags!W$49</f>
        <v>52596</v>
      </c>
      <c r="X233" s="281">
        <f>Flags!X$49</f>
        <v>52962</v>
      </c>
      <c r="Y233" s="281">
        <f>Flags!Y$49</f>
        <v>53327</v>
      </c>
      <c r="Z233" s="281">
        <f>Flags!Z$49</f>
        <v>53692</v>
      </c>
      <c r="AA233" s="281">
        <f>Flags!AA$49</f>
        <v>54057</v>
      </c>
      <c r="AB233" s="281">
        <f>Flags!AB$49</f>
        <v>54423</v>
      </c>
      <c r="AC233" s="281">
        <f>Flags!AC$49</f>
        <v>54788</v>
      </c>
      <c r="AD233" s="281">
        <f>Flags!AD$49</f>
        <v>55153</v>
      </c>
      <c r="AE233" s="281">
        <f>Flags!AE$49</f>
        <v>55518</v>
      </c>
      <c r="AF233" s="281">
        <f>Flags!AF$49</f>
        <v>55884</v>
      </c>
      <c r="AG233" s="281">
        <f>Flags!AG$49</f>
        <v>56249</v>
      </c>
      <c r="AH233" s="281">
        <f>Flags!AH$49</f>
        <v>56614</v>
      </c>
      <c r="AI233" s="281">
        <f>Flags!AI$49</f>
        <v>56979</v>
      </c>
      <c r="AJ233" s="281">
        <f>Flags!AJ$49</f>
        <v>57345</v>
      </c>
      <c r="AK233" s="281">
        <f>Flags!AK$49</f>
        <v>57710</v>
      </c>
      <c r="AL233" s="281">
        <f>Flags!AL$49</f>
        <v>58075</v>
      </c>
      <c r="AM233" s="281">
        <f>Flags!AM$49</f>
        <v>58440</v>
      </c>
      <c r="AN233" s="281">
        <f>Flags!AN$49</f>
        <v>58806</v>
      </c>
    </row>
    <row r="234" spans="3:40" outlineLevel="3">
      <c r="C234" s="301" t="str">
        <f>C227</f>
        <v>Base</v>
      </c>
      <c r="E234" s="32" t="s">
        <v>23</v>
      </c>
      <c r="F234" s="266"/>
      <c r="G234">
        <f t="shared" ref="G234:AN234" si="227">IF(G232=1,INDEX(G$19:G$27,MATCH($D227,$C$19:$C$27,0)),0)</f>
        <v>8.5000000000000006E-2</v>
      </c>
      <c r="H234">
        <f t="shared" si="227"/>
        <v>8.5000000000000006E-2</v>
      </c>
      <c r="I234">
        <f t="shared" si="227"/>
        <v>8.5000000000000006E-2</v>
      </c>
      <c r="J234">
        <f t="shared" si="227"/>
        <v>8.5000000000000006E-2</v>
      </c>
      <c r="K234">
        <f t="shared" si="227"/>
        <v>8.5000000000000006E-2</v>
      </c>
      <c r="L234">
        <f t="shared" si="227"/>
        <v>8.5000000000000006E-2</v>
      </c>
      <c r="M234">
        <f t="shared" si="227"/>
        <v>8.5000000000000006E-2</v>
      </c>
      <c r="N234">
        <f t="shared" si="227"/>
        <v>8.5000000000000006E-2</v>
      </c>
      <c r="O234">
        <f t="shared" si="227"/>
        <v>8.5000000000000006E-2</v>
      </c>
      <c r="P234">
        <f t="shared" si="227"/>
        <v>8.5000000000000006E-2</v>
      </c>
      <c r="Q234">
        <f t="shared" si="227"/>
        <v>8.5000000000000006E-2</v>
      </c>
      <c r="R234">
        <f t="shared" si="227"/>
        <v>8.5000000000000006E-2</v>
      </c>
      <c r="S234">
        <f t="shared" si="227"/>
        <v>8.5000000000000006E-2</v>
      </c>
      <c r="T234">
        <f t="shared" si="227"/>
        <v>8.5000000000000006E-2</v>
      </c>
      <c r="U234">
        <f t="shared" si="227"/>
        <v>8.5000000000000006E-2</v>
      </c>
      <c r="V234">
        <f t="shared" si="227"/>
        <v>8.5000000000000006E-2</v>
      </c>
      <c r="W234">
        <f t="shared" si="227"/>
        <v>0</v>
      </c>
      <c r="X234">
        <f t="shared" si="227"/>
        <v>0</v>
      </c>
      <c r="Y234">
        <f t="shared" si="227"/>
        <v>0</v>
      </c>
      <c r="Z234">
        <f t="shared" si="227"/>
        <v>0</v>
      </c>
      <c r="AA234">
        <f t="shared" si="227"/>
        <v>0</v>
      </c>
      <c r="AB234">
        <f t="shared" si="227"/>
        <v>0</v>
      </c>
      <c r="AC234">
        <f t="shared" si="227"/>
        <v>0</v>
      </c>
      <c r="AD234">
        <f t="shared" si="227"/>
        <v>0</v>
      </c>
      <c r="AE234">
        <f t="shared" si="227"/>
        <v>0</v>
      </c>
      <c r="AF234">
        <f t="shared" si="227"/>
        <v>0</v>
      </c>
      <c r="AG234">
        <f t="shared" si="227"/>
        <v>0</v>
      </c>
      <c r="AH234">
        <f t="shared" si="227"/>
        <v>0</v>
      </c>
      <c r="AI234">
        <f t="shared" si="227"/>
        <v>0</v>
      </c>
      <c r="AJ234">
        <f t="shared" si="227"/>
        <v>0</v>
      </c>
      <c r="AK234">
        <f t="shared" si="227"/>
        <v>0</v>
      </c>
      <c r="AL234">
        <f t="shared" si="227"/>
        <v>0</v>
      </c>
      <c r="AM234">
        <f t="shared" si="227"/>
        <v>0</v>
      </c>
      <c r="AN234">
        <f t="shared" si="227"/>
        <v>0</v>
      </c>
    </row>
    <row r="235" spans="3:40" outlineLevel="3">
      <c r="C235" s="301" t="str">
        <f>C228</f>
        <v>Indexador</v>
      </c>
      <c r="E235" s="32" t="s">
        <v>23</v>
      </c>
      <c r="F235" s="266"/>
      <c r="G235">
        <f t="shared" ref="G235:AN235" si="228">IF(G232=1,INDEX(G$19:G$27,MATCH($D228,$C$19:$C$27,0)),0)</f>
        <v>0</v>
      </c>
      <c r="H235">
        <f t="shared" si="228"/>
        <v>0</v>
      </c>
      <c r="I235">
        <f t="shared" si="228"/>
        <v>0</v>
      </c>
      <c r="J235">
        <f t="shared" si="228"/>
        <v>0</v>
      </c>
      <c r="K235">
        <f t="shared" si="228"/>
        <v>0</v>
      </c>
      <c r="L235">
        <f t="shared" si="228"/>
        <v>0</v>
      </c>
      <c r="M235">
        <f t="shared" si="228"/>
        <v>0</v>
      </c>
      <c r="N235">
        <f t="shared" si="228"/>
        <v>0</v>
      </c>
      <c r="O235">
        <f t="shared" si="228"/>
        <v>0</v>
      </c>
      <c r="P235">
        <f t="shared" si="228"/>
        <v>0</v>
      </c>
      <c r="Q235">
        <f t="shared" si="228"/>
        <v>0</v>
      </c>
      <c r="R235">
        <f t="shared" si="228"/>
        <v>0</v>
      </c>
      <c r="S235">
        <f t="shared" si="228"/>
        <v>0</v>
      </c>
      <c r="T235">
        <f t="shared" si="228"/>
        <v>0</v>
      </c>
      <c r="U235">
        <f t="shared" si="228"/>
        <v>0</v>
      </c>
      <c r="V235">
        <f t="shared" si="228"/>
        <v>0</v>
      </c>
      <c r="W235">
        <f t="shared" si="228"/>
        <v>0</v>
      </c>
      <c r="X235">
        <f t="shared" si="228"/>
        <v>0</v>
      </c>
      <c r="Y235">
        <f t="shared" si="228"/>
        <v>0</v>
      </c>
      <c r="Z235">
        <f t="shared" si="228"/>
        <v>0</v>
      </c>
      <c r="AA235">
        <f t="shared" si="228"/>
        <v>0</v>
      </c>
      <c r="AB235">
        <f t="shared" si="228"/>
        <v>0</v>
      </c>
      <c r="AC235">
        <f t="shared" si="228"/>
        <v>0</v>
      </c>
      <c r="AD235">
        <f t="shared" si="228"/>
        <v>0</v>
      </c>
      <c r="AE235">
        <f t="shared" si="228"/>
        <v>0</v>
      </c>
      <c r="AF235">
        <f t="shared" si="228"/>
        <v>0</v>
      </c>
      <c r="AG235">
        <f t="shared" si="228"/>
        <v>0</v>
      </c>
      <c r="AH235">
        <f t="shared" si="228"/>
        <v>0</v>
      </c>
      <c r="AI235">
        <f t="shared" si="228"/>
        <v>0</v>
      </c>
      <c r="AJ235">
        <f t="shared" si="228"/>
        <v>0</v>
      </c>
      <c r="AK235">
        <f t="shared" si="228"/>
        <v>0</v>
      </c>
      <c r="AL235">
        <f t="shared" si="228"/>
        <v>0</v>
      </c>
      <c r="AM235">
        <f t="shared" si="228"/>
        <v>0</v>
      </c>
      <c r="AN235">
        <f t="shared" si="228"/>
        <v>0</v>
      </c>
    </row>
    <row r="236" spans="3:40" outlineLevel="3">
      <c r="C236" s="301"/>
      <c r="F236" s="26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</row>
    <row r="237" spans="3:40" outlineLevel="3">
      <c r="C237" s="301" t="s">
        <v>592</v>
      </c>
      <c r="D237">
        <v>1.9E-2</v>
      </c>
      <c r="E237" s="32" t="s">
        <v>23</v>
      </c>
      <c r="F237" s="266"/>
      <c r="G237" s="286"/>
      <c r="H237" s="266"/>
      <c r="I237" s="266"/>
      <c r="J237" s="266"/>
      <c r="K237" s="266"/>
      <c r="L237" s="266"/>
      <c r="M237" s="266"/>
      <c r="N237" s="266"/>
      <c r="O237" s="266"/>
      <c r="P237" s="266"/>
      <c r="Q237" s="266"/>
      <c r="R237" s="266"/>
      <c r="S237" s="266"/>
      <c r="T237" s="266"/>
      <c r="U237" s="266"/>
      <c r="V237" s="266"/>
      <c r="W237" s="266"/>
      <c r="X237" s="266"/>
      <c r="Y237" s="266"/>
      <c r="Z237" s="266"/>
      <c r="AA237" s="266"/>
      <c r="AB237" s="266"/>
      <c r="AC237" s="266"/>
      <c r="AD237" s="266"/>
      <c r="AE237" s="266"/>
      <c r="AF237" s="266"/>
      <c r="AG237" s="266"/>
      <c r="AH237" s="266"/>
      <c r="AI237" s="266"/>
      <c r="AJ237" s="266"/>
      <c r="AK237" s="266"/>
      <c r="AL237" s="266"/>
      <c r="AM237" s="266"/>
      <c r="AN237" s="266"/>
    </row>
    <row r="238" spans="3:40" outlineLevel="3">
      <c r="C238" s="301" t="s">
        <v>593</v>
      </c>
      <c r="E238" s="32" t="s">
        <v>23</v>
      </c>
      <c r="F238" s="266"/>
      <c r="G238">
        <f t="shared" ref="G238:AN238" si="229">IF(G232=1,$D$134+G234+G235,0)</f>
        <v>0.11000000000000001</v>
      </c>
      <c r="H238">
        <f t="shared" si="229"/>
        <v>0.11000000000000001</v>
      </c>
      <c r="I238">
        <f t="shared" si="229"/>
        <v>0.11000000000000001</v>
      </c>
      <c r="J238">
        <f t="shared" si="229"/>
        <v>0.11000000000000001</v>
      </c>
      <c r="K238">
        <f t="shared" si="229"/>
        <v>0.11000000000000001</v>
      </c>
      <c r="L238">
        <f t="shared" si="229"/>
        <v>0.11000000000000001</v>
      </c>
      <c r="M238">
        <f t="shared" si="229"/>
        <v>0.11000000000000001</v>
      </c>
      <c r="N238">
        <f t="shared" si="229"/>
        <v>0.11000000000000001</v>
      </c>
      <c r="O238">
        <f t="shared" si="229"/>
        <v>0.11000000000000001</v>
      </c>
      <c r="P238">
        <f t="shared" si="229"/>
        <v>0.11000000000000001</v>
      </c>
      <c r="Q238">
        <f t="shared" si="229"/>
        <v>0.11000000000000001</v>
      </c>
      <c r="R238">
        <f t="shared" si="229"/>
        <v>0.11000000000000001</v>
      </c>
      <c r="S238">
        <f t="shared" si="229"/>
        <v>0.11000000000000001</v>
      </c>
      <c r="T238">
        <f t="shared" si="229"/>
        <v>0.11000000000000001</v>
      </c>
      <c r="U238">
        <f t="shared" si="229"/>
        <v>0.11000000000000001</v>
      </c>
      <c r="V238">
        <f t="shared" si="229"/>
        <v>0.11000000000000001</v>
      </c>
      <c r="W238">
        <f t="shared" si="229"/>
        <v>0</v>
      </c>
      <c r="X238">
        <f t="shared" si="229"/>
        <v>0</v>
      </c>
      <c r="Y238">
        <f t="shared" si="229"/>
        <v>0</v>
      </c>
      <c r="Z238">
        <f t="shared" si="229"/>
        <v>0</v>
      </c>
      <c r="AA238">
        <f t="shared" si="229"/>
        <v>0</v>
      </c>
      <c r="AB238">
        <f t="shared" si="229"/>
        <v>0</v>
      </c>
      <c r="AC238">
        <f t="shared" si="229"/>
        <v>0</v>
      </c>
      <c r="AD238">
        <f t="shared" si="229"/>
        <v>0</v>
      </c>
      <c r="AE238">
        <f t="shared" si="229"/>
        <v>0</v>
      </c>
      <c r="AF238">
        <f t="shared" si="229"/>
        <v>0</v>
      </c>
      <c r="AG238">
        <f t="shared" si="229"/>
        <v>0</v>
      </c>
      <c r="AH238">
        <f t="shared" si="229"/>
        <v>0</v>
      </c>
      <c r="AI238">
        <f t="shared" si="229"/>
        <v>0</v>
      </c>
      <c r="AJ238">
        <f t="shared" si="229"/>
        <v>0</v>
      </c>
      <c r="AK238">
        <f t="shared" si="229"/>
        <v>0</v>
      </c>
      <c r="AL238">
        <f t="shared" si="229"/>
        <v>0</v>
      </c>
      <c r="AM238">
        <f t="shared" si="229"/>
        <v>0</v>
      </c>
      <c r="AN238">
        <f t="shared" si="229"/>
        <v>0</v>
      </c>
    </row>
    <row r="239" spans="3:40" outlineLevel="3">
      <c r="C239" s="266"/>
      <c r="D239" s="266"/>
      <c r="E239" s="266"/>
      <c r="F239" s="266"/>
      <c r="G239" s="266"/>
      <c r="H239" s="266"/>
      <c r="I239" s="266"/>
      <c r="J239" s="266"/>
      <c r="K239" s="266"/>
      <c r="L239" s="266"/>
      <c r="M239" s="266"/>
      <c r="N239" s="266"/>
      <c r="O239" s="266"/>
      <c r="P239" s="266"/>
      <c r="Q239" s="266"/>
      <c r="R239" s="266"/>
      <c r="S239" s="266"/>
      <c r="T239" s="266"/>
      <c r="U239" s="266"/>
      <c r="V239" s="266"/>
      <c r="W239" s="266"/>
      <c r="X239" s="266"/>
      <c r="Y239" s="266"/>
      <c r="Z239" s="266"/>
      <c r="AA239" s="266"/>
      <c r="AB239" s="266"/>
      <c r="AC239" s="266"/>
      <c r="AD239" s="266"/>
      <c r="AE239" s="266"/>
      <c r="AF239" s="266"/>
      <c r="AG239" s="266"/>
      <c r="AH239" s="266"/>
      <c r="AI239" s="266"/>
      <c r="AJ239" s="266"/>
      <c r="AK239" s="266"/>
      <c r="AL239" s="266"/>
      <c r="AM239" s="266"/>
      <c r="AN239" s="266"/>
    </row>
    <row r="240" spans="3:40" outlineLevel="3">
      <c r="C240" s="301" t="s">
        <v>594</v>
      </c>
      <c r="D240" s="266"/>
      <c r="E240" s="41" t="s">
        <v>13</v>
      </c>
      <c r="F240" s="79">
        <f ca="1">SUM(G240:AN240)</f>
        <v>12776.276507133392</v>
      </c>
      <c r="G240" s="345">
        <f t="shared" ref="G240:AN240" ca="1" si="230">G238*SUM(G243:G244)</f>
        <v>592.62671164927997</v>
      </c>
      <c r="H240" s="345">
        <f t="shared" ca="1" si="230"/>
        <v>673.61068116215745</v>
      </c>
      <c r="I240" s="345">
        <f t="shared" ca="1" si="230"/>
        <v>769.50200943303844</v>
      </c>
      <c r="J240" s="345">
        <f t="shared" ca="1" si="230"/>
        <v>791.35154272511954</v>
      </c>
      <c r="K240" s="345">
        <f t="shared" ca="1" si="230"/>
        <v>680.87530479284624</v>
      </c>
      <c r="L240" s="345">
        <f t="shared" ca="1" si="230"/>
        <v>1195.9353800534102</v>
      </c>
      <c r="M240" s="345">
        <f t="shared" ca="1" si="230"/>
        <v>1209.2231013658222</v>
      </c>
      <c r="N240" s="345">
        <f t="shared" ca="1" si="230"/>
        <v>1443.1353482430745</v>
      </c>
      <c r="O240" s="345">
        <f t="shared" ca="1" si="230"/>
        <v>1445.5225980351556</v>
      </c>
      <c r="P240" s="345">
        <f t="shared" ca="1" si="230"/>
        <v>1119.4062049389659</v>
      </c>
      <c r="Q240" s="345">
        <f t="shared" ca="1" si="230"/>
        <v>870.52252492629657</v>
      </c>
      <c r="R240" s="345">
        <f t="shared" ca="1" si="230"/>
        <v>611.57682799748727</v>
      </c>
      <c r="S240" s="345">
        <f t="shared" ca="1" si="230"/>
        <v>254.09661615117534</v>
      </c>
      <c r="T240" s="345">
        <f t="shared" ca="1" si="230"/>
        <v>53.720889368252941</v>
      </c>
      <c r="U240" s="345">
        <f t="shared" ca="1" si="230"/>
        <v>459.76449060449312</v>
      </c>
      <c r="V240" s="345">
        <f t="shared" ca="1" si="230"/>
        <v>605.40627568681714</v>
      </c>
      <c r="W240" s="345">
        <f t="shared" ca="1" si="230"/>
        <v>0</v>
      </c>
      <c r="X240" s="345">
        <f t="shared" ca="1" si="230"/>
        <v>0</v>
      </c>
      <c r="Y240" s="345">
        <f t="shared" ca="1" si="230"/>
        <v>0</v>
      </c>
      <c r="Z240" s="345">
        <f t="shared" ca="1" si="230"/>
        <v>0</v>
      </c>
      <c r="AA240" s="345">
        <f t="shared" ca="1" si="230"/>
        <v>0</v>
      </c>
      <c r="AB240" s="345">
        <f t="shared" ca="1" si="230"/>
        <v>0</v>
      </c>
      <c r="AC240" s="345">
        <f t="shared" ca="1" si="230"/>
        <v>0</v>
      </c>
      <c r="AD240" s="345">
        <f t="shared" ca="1" si="230"/>
        <v>0</v>
      </c>
      <c r="AE240" s="345">
        <f t="shared" ca="1" si="230"/>
        <v>0</v>
      </c>
      <c r="AF240" s="345">
        <f t="shared" ca="1" si="230"/>
        <v>0</v>
      </c>
      <c r="AG240" s="345">
        <f t="shared" ca="1" si="230"/>
        <v>0</v>
      </c>
      <c r="AH240" s="345">
        <f t="shared" ca="1" si="230"/>
        <v>0</v>
      </c>
      <c r="AI240" s="345">
        <f t="shared" ca="1" si="230"/>
        <v>0</v>
      </c>
      <c r="AJ240" s="345">
        <f t="shared" ca="1" si="230"/>
        <v>0</v>
      </c>
      <c r="AK240" s="345">
        <f t="shared" ca="1" si="230"/>
        <v>0</v>
      </c>
      <c r="AL240" s="345">
        <f t="shared" ca="1" si="230"/>
        <v>0</v>
      </c>
      <c r="AM240" s="345">
        <f t="shared" ca="1" si="230"/>
        <v>0</v>
      </c>
      <c r="AN240" s="345">
        <f t="shared" ca="1" si="230"/>
        <v>0</v>
      </c>
    </row>
    <row r="241" spans="3:40" outlineLevel="2">
      <c r="C241" s="266"/>
      <c r="D241" s="266"/>
      <c r="E241" s="266"/>
      <c r="F241" s="266"/>
      <c r="G241" s="266"/>
      <c r="H241" s="266"/>
      <c r="I241" s="266"/>
      <c r="J241" s="266"/>
      <c r="K241" s="266"/>
      <c r="L241" s="266"/>
      <c r="M241" s="266"/>
      <c r="N241" s="266"/>
      <c r="O241" s="266"/>
      <c r="P241" s="266"/>
      <c r="Q241" s="266"/>
      <c r="R241" s="266"/>
      <c r="S241" s="266"/>
      <c r="T241" s="266"/>
      <c r="U241" s="266"/>
      <c r="V241" s="266"/>
      <c r="W241" s="266"/>
      <c r="X241" s="266"/>
      <c r="Y241" s="266"/>
      <c r="Z241" s="266"/>
      <c r="AA241" s="266"/>
      <c r="AB241" s="266"/>
      <c r="AC241" s="266"/>
      <c r="AD241" s="266"/>
      <c r="AE241" s="266"/>
      <c r="AF241" s="266"/>
      <c r="AG241" s="266"/>
      <c r="AH241" s="266"/>
      <c r="AI241" s="266"/>
      <c r="AJ241" s="266"/>
      <c r="AK241" s="266"/>
      <c r="AL241" s="266"/>
      <c r="AM241" s="266"/>
      <c r="AN241" s="266"/>
    </row>
    <row r="242" spans="3:40" outlineLevel="2">
      <c r="C242" s="11" t="s">
        <v>608</v>
      </c>
      <c r="E242" s="266"/>
      <c r="F242" s="266"/>
      <c r="G242" s="266"/>
      <c r="H242" s="266"/>
      <c r="I242" s="266"/>
      <c r="J242" s="266"/>
      <c r="K242" s="266"/>
      <c r="L242" s="266"/>
      <c r="M242" s="266"/>
      <c r="N242" s="266"/>
      <c r="O242" s="266"/>
      <c r="P242" s="266"/>
      <c r="Q242" s="266"/>
      <c r="R242" s="266"/>
      <c r="S242" s="266"/>
      <c r="T242" s="266"/>
      <c r="U242" s="266"/>
      <c r="V242" s="266"/>
      <c r="W242" s="266"/>
      <c r="X242" s="266"/>
      <c r="Y242" s="266"/>
      <c r="Z242" s="266"/>
      <c r="AA242" s="266"/>
      <c r="AB242" s="266"/>
      <c r="AC242" s="266"/>
      <c r="AD242" s="266"/>
      <c r="AE242" s="266"/>
      <c r="AF242" s="266"/>
      <c r="AG242" s="266"/>
      <c r="AH242" s="266"/>
      <c r="AI242" s="266"/>
      <c r="AJ242" s="266"/>
      <c r="AK242" s="266"/>
      <c r="AL242" s="266"/>
      <c r="AM242" s="266"/>
      <c r="AN242" s="266"/>
    </row>
    <row r="243" spans="3:40" outlineLevel="3">
      <c r="C243" s="270" t="s">
        <v>596</v>
      </c>
      <c r="D243" s="270"/>
      <c r="E243" s="72" t="s">
        <v>13</v>
      </c>
      <c r="F243" s="327"/>
      <c r="G243" s="327">
        <f t="shared" ref="G243" si="231">F246</f>
        <v>0</v>
      </c>
      <c r="H243" s="327">
        <f t="shared" ref="H243" ca="1" si="232">G246</f>
        <v>5387.5155604479987</v>
      </c>
      <c r="I243" s="327">
        <f t="shared" ref="I243" ca="1" si="233">H246</f>
        <v>6123.7334651105211</v>
      </c>
      <c r="J243" s="327">
        <f t="shared" ref="J243" ca="1" si="234">I246</f>
        <v>6995.4728130276217</v>
      </c>
      <c r="K243" s="327">
        <f t="shared" ref="K243" ca="1" si="235">J246</f>
        <v>5808.1994772796825</v>
      </c>
      <c r="L243" s="327">
        <f t="shared" ref="L243" ca="1" si="236">K246</f>
        <v>4719.3832519821281</v>
      </c>
      <c r="M243" s="327">
        <f t="shared" ref="M243" ca="1" si="237">L246</f>
        <v>10872.139818667365</v>
      </c>
      <c r="N243" s="327">
        <f t="shared" ref="N243" ca="1" si="238">M246</f>
        <v>9024.8209509181215</v>
      </c>
      <c r="O243" s="327">
        <f t="shared" ref="O243" ca="1" si="239">N246</f>
        <v>13119.412256755222</v>
      </c>
      <c r="P243" s="327">
        <f t="shared" ref="P243" ca="1" si="240">O246</f>
        <v>9753.5305240625894</v>
      </c>
      <c r="Q243" s="327">
        <f t="shared" ref="Q243" ca="1" si="241">P246</f>
        <v>7187.3619334343239</v>
      </c>
      <c r="R243" s="327">
        <f t="shared" ref="R243" ca="1" si="242">Q246</f>
        <v>5009.8875538295169</v>
      </c>
      <c r="S243" s="327">
        <f t="shared" ref="S243" ca="1" si="243">R246</f>
        <v>1911.0022776848573</v>
      </c>
      <c r="T243" s="327">
        <f t="shared" ref="T243" ca="1" si="244">S246</f>
        <v>398.96696005310014</v>
      </c>
      <c r="U243" s="327">
        <f t="shared" ref="U243" ca="1" si="245">T246</f>
        <v>89.404761476472004</v>
      </c>
      <c r="V243" s="327">
        <f t="shared" ref="V243" ca="1" si="246">U246</f>
        <v>4179.6771873135731</v>
      </c>
      <c r="W243" s="327">
        <f t="shared" ref="W243" ca="1" si="247">V246</f>
        <v>2365.5384556132612</v>
      </c>
      <c r="X243" s="327">
        <f t="shared" ref="X243" ca="1" si="248">W246</f>
        <v>391.76512583710019</v>
      </c>
      <c r="Y243" s="327">
        <f t="shared" ref="Y243" ca="1" si="249">X246</f>
        <v>175.82490083710002</v>
      </c>
      <c r="Z243" s="327">
        <f t="shared" ref="Z243" ca="1" si="250">Y246</f>
        <v>412.99942083710005</v>
      </c>
      <c r="AA243" s="327">
        <f t="shared" ref="AA243" ca="1" si="251">Z246</f>
        <v>24.663520837100009</v>
      </c>
      <c r="AB243" s="327">
        <f t="shared" ref="AB243" ca="1" si="252">AA246</f>
        <v>635.49419289865182</v>
      </c>
      <c r="AC243" s="327">
        <f t="shared" ref="AC243" ca="1" si="253">AB246</f>
        <v>4941.4382895008375</v>
      </c>
      <c r="AD243" s="327">
        <f t="shared" ref="AD243" ca="1" si="254">AC246</f>
        <v>367.65346005310039</v>
      </c>
      <c r="AE243" s="327">
        <f t="shared" ref="AE243" ca="1" si="255">AD246</f>
        <v>378.61477083709997</v>
      </c>
      <c r="AF243" s="327">
        <f t="shared" ref="AF243" ca="1" si="256">AE246</f>
        <v>198.96182083710005</v>
      </c>
      <c r="AG243" s="327">
        <f t="shared" ref="AG243" ca="1" si="257">AF246</f>
        <v>1659.7393680931268</v>
      </c>
      <c r="AH243" s="327">
        <f t="shared" ref="AH243" ca="1" si="258">AG246</f>
        <v>31.891375837099986</v>
      </c>
      <c r="AI243" s="327">
        <f t="shared" ref="AI243" ca="1" si="259">AH246</f>
        <v>998.698801476472</v>
      </c>
      <c r="AJ243" s="327">
        <f t="shared" ref="AJ243" ca="1" si="260">AI246</f>
        <v>3206.8305658371</v>
      </c>
      <c r="AK243" s="327">
        <f t="shared" ref="AK243" ca="1" si="261">AJ246</f>
        <v>31.702270837100059</v>
      </c>
      <c r="AL243" s="327">
        <f ca="1">AK246</f>
        <v>31.702270837100059</v>
      </c>
      <c r="AM243" s="327">
        <f ca="1">AL246</f>
        <v>31.702270837100059</v>
      </c>
      <c r="AN243" s="327">
        <f ca="1">AM246</f>
        <v>31.702270837100059</v>
      </c>
    </row>
    <row r="244" spans="3:40" outlineLevel="3">
      <c r="C244" s="341" t="s">
        <v>572</v>
      </c>
      <c r="D244" s="266"/>
      <c r="E244" s="73" t="s">
        <v>13</v>
      </c>
      <c r="F244" s="70">
        <f ca="1">SUM(G244:AN244)</f>
        <v>38388.243146281529</v>
      </c>
      <c r="G244" s="273">
        <f ca="1">G$76</f>
        <v>5387.5155604479987</v>
      </c>
      <c r="H244" s="273">
        <f t="shared" ref="H244:AN244" ca="1" si="262">H$76</f>
        <v>736.21790466252253</v>
      </c>
      <c r="I244" s="273">
        <f t="shared" ca="1" si="262"/>
        <v>871.73934791710019</v>
      </c>
      <c r="J244" s="273">
        <f t="shared" ca="1" si="262"/>
        <v>198.63212083710005</v>
      </c>
      <c r="K244" s="273">
        <f t="shared" ca="1" si="262"/>
        <v>381.57602083710003</v>
      </c>
      <c r="L244" s="273">
        <f t="shared" ca="1" si="262"/>
        <v>6152.7565666852361</v>
      </c>
      <c r="M244" s="273">
        <f t="shared" ca="1" si="262"/>
        <v>120.79746647647202</v>
      </c>
      <c r="N244" s="273">
        <f t="shared" ca="1" si="262"/>
        <v>4094.5913058371002</v>
      </c>
      <c r="O244" s="273">
        <f t="shared" ca="1" si="262"/>
        <v>21.702270837100006</v>
      </c>
      <c r="P244" s="273">
        <f t="shared" ca="1" si="262"/>
        <v>422.88952083710018</v>
      </c>
      <c r="Q244" s="273">
        <f t="shared" ca="1" si="262"/>
        <v>726.4792022592801</v>
      </c>
      <c r="R244" s="273">
        <f t="shared" ca="1" si="262"/>
        <v>549.90179160218463</v>
      </c>
      <c r="S244" s="273">
        <f t="shared" ca="1" si="262"/>
        <v>398.96696005310019</v>
      </c>
      <c r="T244" s="273">
        <f t="shared" ca="1" si="262"/>
        <v>89.404761476472018</v>
      </c>
      <c r="U244" s="273">
        <f t="shared" ca="1" si="262"/>
        <v>4090.2724258371009</v>
      </c>
      <c r="V244" s="273">
        <f t="shared" ca="1" si="262"/>
        <v>1324.0162280211268</v>
      </c>
      <c r="W244" s="273">
        <f t="shared" ca="1" si="262"/>
        <v>391.76512583710007</v>
      </c>
      <c r="X244" s="273">
        <f t="shared" ca="1" si="262"/>
        <v>175.82490083709999</v>
      </c>
      <c r="Y244" s="273">
        <f t="shared" ca="1" si="262"/>
        <v>412.99942083710005</v>
      </c>
      <c r="Z244" s="273">
        <f t="shared" ca="1" si="262"/>
        <v>24.663520837100002</v>
      </c>
      <c r="AA244" s="273">
        <f t="shared" ca="1" si="262"/>
        <v>635.49419289865182</v>
      </c>
      <c r="AB244" s="273">
        <f t="shared" ca="1" si="262"/>
        <v>4305.9440966021857</v>
      </c>
      <c r="AC244" s="273">
        <f t="shared" ca="1" si="262"/>
        <v>367.65346005310005</v>
      </c>
      <c r="AD244" s="273">
        <f t="shared" ca="1" si="262"/>
        <v>378.61477083710002</v>
      </c>
      <c r="AE244" s="273">
        <f t="shared" ca="1" si="262"/>
        <v>198.96182083710002</v>
      </c>
      <c r="AF244" s="273">
        <f t="shared" ca="1" si="262"/>
        <v>1659.7393680931268</v>
      </c>
      <c r="AG244" s="273">
        <f t="shared" ca="1" si="262"/>
        <v>31.8913758371</v>
      </c>
      <c r="AH244" s="273">
        <f t="shared" ca="1" si="262"/>
        <v>998.69880147647189</v>
      </c>
      <c r="AI244" s="273">
        <f t="shared" ca="1" si="262"/>
        <v>3206.8305658371</v>
      </c>
      <c r="AJ244" s="273">
        <f t="shared" ca="1" si="262"/>
        <v>31.702270837099999</v>
      </c>
      <c r="AK244" s="273">
        <f t="shared" ca="1" si="262"/>
        <v>0</v>
      </c>
      <c r="AL244" s="273">
        <f t="shared" ca="1" si="262"/>
        <v>0</v>
      </c>
      <c r="AM244" s="273">
        <f t="shared" ca="1" si="262"/>
        <v>0</v>
      </c>
      <c r="AN244" s="273">
        <f t="shared" ca="1" si="262"/>
        <v>0</v>
      </c>
    </row>
    <row r="245" spans="3:40" outlineLevel="3">
      <c r="C245" s="341" t="s">
        <v>573</v>
      </c>
      <c r="D245" s="266"/>
      <c r="E245" s="73" t="s">
        <v>13</v>
      </c>
      <c r="F245" s="47">
        <f ca="1">SUM(G245:AN245)</f>
        <v>-38356.540875444436</v>
      </c>
      <c r="G245" s="273">
        <f t="shared" ref="G245:AN245" ca="1" si="263">IF(-G260+G243&gt;0,-G260,-G243)</f>
        <v>0</v>
      </c>
      <c r="H245" s="273">
        <f t="shared" ca="1" si="263"/>
        <v>0</v>
      </c>
      <c r="I245" s="273">
        <f t="shared" ca="1" si="263"/>
        <v>0</v>
      </c>
      <c r="J245" s="273">
        <f t="shared" ca="1" si="263"/>
        <v>-1385.9054565850392</v>
      </c>
      <c r="K245" s="273">
        <f t="shared" ca="1" si="263"/>
        <v>-1470.3922461346542</v>
      </c>
      <c r="L245" s="273">
        <f t="shared" ca="1" si="263"/>
        <v>0</v>
      </c>
      <c r="M245" s="273">
        <f t="shared" ca="1" si="263"/>
        <v>-1968.1163342257153</v>
      </c>
      <c r="N245" s="273">
        <f t="shared" ca="1" si="263"/>
        <v>0</v>
      </c>
      <c r="O245" s="273">
        <f t="shared" ca="1" si="263"/>
        <v>-3387.5840035297329</v>
      </c>
      <c r="P245" s="273">
        <f t="shared" ca="1" si="263"/>
        <v>-2989.0581114653651</v>
      </c>
      <c r="Q245" s="273">
        <f t="shared" ca="1" si="263"/>
        <v>-2903.953581864087</v>
      </c>
      <c r="R245" s="273">
        <f t="shared" ca="1" si="263"/>
        <v>-3648.7870677468445</v>
      </c>
      <c r="S245" s="273">
        <f t="shared" ca="1" si="263"/>
        <v>-1911.0022776848573</v>
      </c>
      <c r="T245" s="273">
        <f t="shared" ca="1" si="263"/>
        <v>-398.96696005310014</v>
      </c>
      <c r="U245" s="273">
        <f t="shared" ca="1" si="263"/>
        <v>0</v>
      </c>
      <c r="V245" s="273">
        <f t="shared" ca="1" si="263"/>
        <v>-3138.1549597214389</v>
      </c>
      <c r="W245" s="273">
        <f t="shared" ca="1" si="263"/>
        <v>-2365.5384556132612</v>
      </c>
      <c r="X245" s="273">
        <f t="shared" ca="1" si="263"/>
        <v>-391.76512583710019</v>
      </c>
      <c r="Y245" s="273">
        <f t="shared" ca="1" si="263"/>
        <v>-175.82490083710002</v>
      </c>
      <c r="Z245" s="273">
        <f t="shared" ca="1" si="263"/>
        <v>-412.99942083710005</v>
      </c>
      <c r="AA245" s="273">
        <f t="shared" ca="1" si="263"/>
        <v>-24.663520837100009</v>
      </c>
      <c r="AB245" s="273">
        <f t="shared" ca="1" si="263"/>
        <v>0</v>
      </c>
      <c r="AC245" s="273">
        <f t="shared" ca="1" si="263"/>
        <v>-4941.4382895008375</v>
      </c>
      <c r="AD245" s="273">
        <f t="shared" ca="1" si="263"/>
        <v>-367.65346005310039</v>
      </c>
      <c r="AE245" s="273">
        <f t="shared" ca="1" si="263"/>
        <v>-378.61477083709997</v>
      </c>
      <c r="AF245" s="273">
        <f t="shared" ca="1" si="263"/>
        <v>-198.96182083710005</v>
      </c>
      <c r="AG245" s="273">
        <f t="shared" ca="1" si="263"/>
        <v>-1659.7393680931268</v>
      </c>
      <c r="AH245" s="273">
        <f t="shared" ca="1" si="263"/>
        <v>-31.891375837099986</v>
      </c>
      <c r="AI245" s="273">
        <f t="shared" ca="1" si="263"/>
        <v>-998.698801476472</v>
      </c>
      <c r="AJ245" s="273">
        <f t="shared" ca="1" si="263"/>
        <v>-3206.8305658371</v>
      </c>
      <c r="AK245" s="273">
        <f t="shared" ca="1" si="263"/>
        <v>0</v>
      </c>
      <c r="AL245" s="273">
        <f t="shared" ca="1" si="263"/>
        <v>0</v>
      </c>
      <c r="AM245" s="273">
        <f t="shared" ca="1" si="263"/>
        <v>0</v>
      </c>
      <c r="AN245" s="273">
        <f t="shared" ca="1" si="263"/>
        <v>0</v>
      </c>
    </row>
    <row r="246" spans="3:40" ht="16.2" outlineLevel="3" thickBot="1">
      <c r="C246" s="275" t="s">
        <v>597</v>
      </c>
      <c r="D246" s="275"/>
      <c r="E246" s="74" t="s">
        <v>13</v>
      </c>
      <c r="F246" s="71"/>
      <c r="G246" s="325">
        <f t="shared" ref="G246:AN246" ca="1" si="264">SUM(G243:G245)</f>
        <v>5387.5155604479987</v>
      </c>
      <c r="H246" s="325">
        <f t="shared" ca="1" si="264"/>
        <v>6123.7334651105211</v>
      </c>
      <c r="I246" s="325">
        <f t="shared" ca="1" si="264"/>
        <v>6995.4728130276217</v>
      </c>
      <c r="J246" s="325">
        <f t="shared" ca="1" si="264"/>
        <v>5808.1994772796825</v>
      </c>
      <c r="K246" s="325">
        <f t="shared" ca="1" si="264"/>
        <v>4719.3832519821281</v>
      </c>
      <c r="L246" s="325">
        <f t="shared" ca="1" si="264"/>
        <v>10872.139818667365</v>
      </c>
      <c r="M246" s="325">
        <f t="shared" ca="1" si="264"/>
        <v>9024.8209509181215</v>
      </c>
      <c r="N246" s="325">
        <f t="shared" ca="1" si="264"/>
        <v>13119.412256755222</v>
      </c>
      <c r="O246" s="325">
        <f t="shared" ca="1" si="264"/>
        <v>9753.5305240625894</v>
      </c>
      <c r="P246" s="325">
        <f t="shared" ca="1" si="264"/>
        <v>7187.3619334343239</v>
      </c>
      <c r="Q246" s="325">
        <f t="shared" ca="1" si="264"/>
        <v>5009.8875538295169</v>
      </c>
      <c r="R246" s="325">
        <f t="shared" ca="1" si="264"/>
        <v>1911.0022776848573</v>
      </c>
      <c r="S246" s="325">
        <f t="shared" ca="1" si="264"/>
        <v>398.96696005310014</v>
      </c>
      <c r="T246" s="325">
        <f t="shared" ca="1" si="264"/>
        <v>89.404761476472004</v>
      </c>
      <c r="U246" s="325">
        <f t="shared" ca="1" si="264"/>
        <v>4179.6771873135731</v>
      </c>
      <c r="V246" s="325">
        <f t="shared" ca="1" si="264"/>
        <v>2365.5384556132612</v>
      </c>
      <c r="W246" s="325">
        <f t="shared" ca="1" si="264"/>
        <v>391.76512583710019</v>
      </c>
      <c r="X246" s="325">
        <f t="shared" ca="1" si="264"/>
        <v>175.82490083710002</v>
      </c>
      <c r="Y246" s="325">
        <f t="shared" ca="1" si="264"/>
        <v>412.99942083710005</v>
      </c>
      <c r="Z246" s="325">
        <f t="shared" ca="1" si="264"/>
        <v>24.663520837100009</v>
      </c>
      <c r="AA246" s="325">
        <f t="shared" ca="1" si="264"/>
        <v>635.49419289865182</v>
      </c>
      <c r="AB246" s="325">
        <f t="shared" ca="1" si="264"/>
        <v>4941.4382895008375</v>
      </c>
      <c r="AC246" s="325">
        <f t="shared" ca="1" si="264"/>
        <v>367.65346005310039</v>
      </c>
      <c r="AD246" s="325">
        <f t="shared" ca="1" si="264"/>
        <v>378.61477083709997</v>
      </c>
      <c r="AE246" s="325">
        <f t="shared" ca="1" si="264"/>
        <v>198.96182083710005</v>
      </c>
      <c r="AF246" s="325">
        <f t="shared" ca="1" si="264"/>
        <v>1659.7393680931268</v>
      </c>
      <c r="AG246" s="325">
        <f t="shared" ca="1" si="264"/>
        <v>31.891375837099986</v>
      </c>
      <c r="AH246" s="325">
        <f t="shared" ca="1" si="264"/>
        <v>998.698801476472</v>
      </c>
      <c r="AI246" s="325">
        <f t="shared" ca="1" si="264"/>
        <v>3206.8305658371</v>
      </c>
      <c r="AJ246" s="325">
        <f t="shared" ca="1" si="264"/>
        <v>31.702270837100059</v>
      </c>
      <c r="AK246" s="325">
        <f t="shared" ca="1" si="264"/>
        <v>31.702270837100059</v>
      </c>
      <c r="AL246" s="325">
        <f t="shared" ca="1" si="264"/>
        <v>31.702270837100059</v>
      </c>
      <c r="AM246" s="325">
        <f t="shared" ca="1" si="264"/>
        <v>31.702270837100059</v>
      </c>
      <c r="AN246" s="325">
        <f t="shared" ca="1" si="264"/>
        <v>31.702270837100059</v>
      </c>
    </row>
    <row r="247" spans="3:40" ht="16.2" outlineLevel="3" thickTop="1">
      <c r="C247" s="266"/>
      <c r="D247" s="266"/>
      <c r="E247" s="266"/>
      <c r="F247" s="266"/>
      <c r="G247" s="266"/>
      <c r="H247" s="266"/>
      <c r="I247" s="266"/>
      <c r="J247" s="266"/>
      <c r="K247" s="266"/>
      <c r="L247" s="266"/>
      <c r="M247" s="266"/>
      <c r="N247" s="266"/>
      <c r="O247" s="266"/>
      <c r="P247" s="266"/>
      <c r="Q247" s="266"/>
      <c r="R247" s="266"/>
      <c r="S247" s="266"/>
      <c r="T247" s="266"/>
      <c r="U247" s="266"/>
      <c r="V247" s="266"/>
      <c r="W247" s="266"/>
      <c r="X247" s="266"/>
      <c r="Y247" s="266"/>
      <c r="Z247" s="266"/>
      <c r="AA247" s="266"/>
      <c r="AB247" s="266"/>
      <c r="AC247" s="266"/>
      <c r="AD247" s="266"/>
      <c r="AE247" s="266"/>
      <c r="AF247" s="266"/>
      <c r="AG247" s="266"/>
      <c r="AH247" s="266"/>
      <c r="AI247" s="266"/>
      <c r="AJ247" s="266"/>
      <c r="AK247" s="266"/>
      <c r="AL247" s="266"/>
      <c r="AM247" s="266"/>
      <c r="AN247" s="266"/>
    </row>
    <row r="248" spans="3:40" outlineLevel="3">
      <c r="C248" s="281" t="str">
        <f>Flags!C$49</f>
        <v>Fim período</v>
      </c>
      <c r="D248" s="49"/>
      <c r="E248" s="41" t="str">
        <f>E170</f>
        <v>%</v>
      </c>
      <c r="F248" s="319"/>
      <c r="G248" s="281">
        <f>Flags!G$49</f>
        <v>46752</v>
      </c>
      <c r="H248" s="281">
        <f>Flags!H$49</f>
        <v>47118</v>
      </c>
      <c r="I248" s="281">
        <f>Flags!I$49</f>
        <v>47483</v>
      </c>
      <c r="J248" s="281">
        <f>Flags!J$49</f>
        <v>47848</v>
      </c>
      <c r="K248" s="281">
        <f>Flags!K$49</f>
        <v>48213</v>
      </c>
      <c r="L248" s="281">
        <f>Flags!L$49</f>
        <v>48579</v>
      </c>
      <c r="M248" s="281">
        <f>Flags!M$49</f>
        <v>48944</v>
      </c>
      <c r="N248" s="281">
        <f>Flags!N$49</f>
        <v>49309</v>
      </c>
      <c r="O248" s="281">
        <f>Flags!O$49</f>
        <v>49674</v>
      </c>
      <c r="P248" s="281">
        <f>Flags!P$49</f>
        <v>50040</v>
      </c>
      <c r="Q248" s="281">
        <f>Flags!Q$49</f>
        <v>50405</v>
      </c>
      <c r="R248" s="281">
        <f>Flags!R$49</f>
        <v>50770</v>
      </c>
      <c r="S248" s="281">
        <f>Flags!S$49</f>
        <v>51135</v>
      </c>
      <c r="T248" s="281">
        <f>Flags!T$49</f>
        <v>51501</v>
      </c>
      <c r="U248" s="281">
        <f>Flags!U$49</f>
        <v>51866</v>
      </c>
      <c r="V248" s="281">
        <f>Flags!V$49</f>
        <v>52231</v>
      </c>
      <c r="W248" s="281">
        <f>Flags!W$49</f>
        <v>52596</v>
      </c>
      <c r="X248" s="281">
        <f>Flags!X$49</f>
        <v>52962</v>
      </c>
      <c r="Y248" s="281">
        <f>Flags!Y$49</f>
        <v>53327</v>
      </c>
      <c r="Z248" s="281">
        <f>Flags!Z$49</f>
        <v>53692</v>
      </c>
      <c r="AA248" s="281">
        <f>Flags!AA$49</f>
        <v>54057</v>
      </c>
      <c r="AB248" s="281">
        <f>Flags!AB$49</f>
        <v>54423</v>
      </c>
      <c r="AC248" s="281">
        <f>Flags!AC$49</f>
        <v>54788</v>
      </c>
      <c r="AD248" s="281">
        <f>Flags!AD$49</f>
        <v>55153</v>
      </c>
      <c r="AE248" s="281">
        <f>Flags!AE$49</f>
        <v>55518</v>
      </c>
      <c r="AF248" s="281">
        <f>Flags!AF$49</f>
        <v>55884</v>
      </c>
      <c r="AG248" s="281">
        <f>Flags!AG$49</f>
        <v>56249</v>
      </c>
      <c r="AH248" s="281">
        <f>Flags!AH$49</f>
        <v>56614</v>
      </c>
      <c r="AI248" s="281">
        <f>Flags!AI$49</f>
        <v>56979</v>
      </c>
      <c r="AJ248" s="281">
        <f>Flags!AJ$49</f>
        <v>57345</v>
      </c>
      <c r="AK248" s="281">
        <f>Flags!AK$49</f>
        <v>57710</v>
      </c>
      <c r="AL248" s="281">
        <f>Flags!AL$49</f>
        <v>58075</v>
      </c>
      <c r="AM248" s="281">
        <f>Flags!AM$49</f>
        <v>58440</v>
      </c>
      <c r="AN248" s="281">
        <f>Flags!AN$49</f>
        <v>58806</v>
      </c>
    </row>
    <row r="249" spans="3:40" outlineLevel="3">
      <c r="C249" t="str">
        <f t="shared" ref="C249:F249" si="265">C$90</f>
        <v>Flag de repagamento dívida</v>
      </c>
      <c r="D249"/>
      <c r="E249" s="41" t="str">
        <f t="shared" si="265"/>
        <v>Flag</v>
      </c>
      <c r="F249" s="23">
        <f t="shared" si="265"/>
        <v>0</v>
      </c>
      <c r="G249" s="25">
        <f t="shared" ref="G249:AN249" si="266">G$90+G103</f>
        <v>0</v>
      </c>
      <c r="H249" s="25">
        <f t="shared" si="266"/>
        <v>0</v>
      </c>
      <c r="I249" s="25">
        <f t="shared" si="266"/>
        <v>1</v>
      </c>
      <c r="J249" s="25">
        <f t="shared" si="266"/>
        <v>1</v>
      </c>
      <c r="K249" s="25">
        <f t="shared" si="266"/>
        <v>1</v>
      </c>
      <c r="L249" s="25">
        <f t="shared" si="266"/>
        <v>1</v>
      </c>
      <c r="M249" s="25">
        <f t="shared" si="266"/>
        <v>1</v>
      </c>
      <c r="N249" s="25">
        <f t="shared" si="266"/>
        <v>1</v>
      </c>
      <c r="O249" s="25">
        <f t="shared" si="266"/>
        <v>1</v>
      </c>
      <c r="P249" s="25">
        <f t="shared" si="266"/>
        <v>1</v>
      </c>
      <c r="Q249" s="25">
        <f t="shared" si="266"/>
        <v>1</v>
      </c>
      <c r="R249" s="25">
        <f t="shared" si="266"/>
        <v>1</v>
      </c>
      <c r="S249" s="25">
        <f t="shared" si="266"/>
        <v>1</v>
      </c>
      <c r="T249" s="25">
        <f t="shared" si="266"/>
        <v>1</v>
      </c>
      <c r="U249" s="25">
        <f t="shared" si="266"/>
        <v>1</v>
      </c>
      <c r="V249" s="25">
        <f t="shared" si="266"/>
        <v>1</v>
      </c>
      <c r="W249" s="25">
        <f t="shared" si="266"/>
        <v>1</v>
      </c>
      <c r="X249" s="25">
        <f t="shared" si="266"/>
        <v>1</v>
      </c>
      <c r="Y249" s="25">
        <f t="shared" si="266"/>
        <v>1</v>
      </c>
      <c r="Z249" s="25">
        <f t="shared" si="266"/>
        <v>1</v>
      </c>
      <c r="AA249" s="25">
        <f t="shared" si="266"/>
        <v>1</v>
      </c>
      <c r="AB249" s="25">
        <f t="shared" si="266"/>
        <v>1</v>
      </c>
      <c r="AC249" s="25">
        <f t="shared" si="266"/>
        <v>1</v>
      </c>
      <c r="AD249" s="25">
        <f t="shared" si="266"/>
        <v>1</v>
      </c>
      <c r="AE249" s="25">
        <f t="shared" si="266"/>
        <v>1</v>
      </c>
      <c r="AF249" s="25">
        <f t="shared" si="266"/>
        <v>1</v>
      </c>
      <c r="AG249" s="25">
        <f t="shared" si="266"/>
        <v>1</v>
      </c>
      <c r="AH249" s="25">
        <f t="shared" si="266"/>
        <v>1</v>
      </c>
      <c r="AI249" s="25">
        <f t="shared" si="266"/>
        <v>1</v>
      </c>
      <c r="AJ249" s="25">
        <f t="shared" si="266"/>
        <v>1</v>
      </c>
      <c r="AK249" s="25">
        <f t="shared" si="266"/>
        <v>0</v>
      </c>
      <c r="AL249" s="25">
        <f t="shared" si="266"/>
        <v>0</v>
      </c>
      <c r="AM249" s="25">
        <f t="shared" si="266"/>
        <v>0</v>
      </c>
      <c r="AN249" s="25">
        <f t="shared" si="266"/>
        <v>0</v>
      </c>
    </row>
    <row r="250" spans="3:40" outlineLevel="2">
      <c r="C250"/>
      <c r="D250"/>
      <c r="F250" s="266"/>
      <c r="G250" s="80"/>
      <c r="H250" s="80"/>
      <c r="I250" s="80"/>
      <c r="J250" s="80"/>
      <c r="K250" s="80"/>
      <c r="L250" s="80"/>
      <c r="M250" s="80"/>
      <c r="N250" s="80"/>
      <c r="O250" s="80"/>
      <c r="P250" s="80"/>
      <c r="Q250" s="80"/>
      <c r="R250" s="80"/>
      <c r="S250" s="80"/>
      <c r="T250" s="80"/>
      <c r="U250" s="80"/>
      <c r="V250" s="80"/>
      <c r="W250" s="80"/>
      <c r="X250" s="80"/>
      <c r="Y250" s="80"/>
      <c r="Z250" s="80"/>
      <c r="AA250" s="80"/>
      <c r="AB250" s="80"/>
      <c r="AC250" s="80"/>
      <c r="AD250" s="80"/>
      <c r="AE250" s="80"/>
      <c r="AF250" s="80"/>
      <c r="AG250" s="80"/>
      <c r="AH250" s="80"/>
      <c r="AI250" s="80"/>
      <c r="AJ250" s="80"/>
      <c r="AK250" s="80"/>
      <c r="AL250" s="80"/>
      <c r="AM250" s="80"/>
      <c r="AN250" s="80"/>
    </row>
    <row r="251" spans="3:40" outlineLevel="2">
      <c r="C251" s="11" t="s">
        <v>609</v>
      </c>
      <c r="D251" s="266"/>
      <c r="E251" s="266"/>
      <c r="F251" s="266"/>
      <c r="G251" s="266"/>
      <c r="H251" s="266"/>
      <c r="I251" s="266"/>
      <c r="J251" s="266"/>
      <c r="K251" s="266"/>
      <c r="L251" s="266"/>
      <c r="M251" s="266"/>
      <c r="N251" s="266"/>
      <c r="O251" s="266"/>
      <c r="P251" s="266"/>
      <c r="Q251" s="266"/>
      <c r="R251" s="266"/>
      <c r="S251" s="266"/>
      <c r="T251" s="266"/>
      <c r="U251" s="266"/>
      <c r="V251" s="266"/>
      <c r="W251" s="266"/>
      <c r="X251" s="266"/>
      <c r="Y251" s="266"/>
      <c r="Z251" s="266"/>
      <c r="AA251" s="266"/>
      <c r="AB251" s="266"/>
      <c r="AC251" s="266"/>
      <c r="AD251" s="266"/>
      <c r="AE251" s="266"/>
      <c r="AF251" s="266"/>
      <c r="AG251" s="266"/>
      <c r="AH251" s="266"/>
      <c r="AI251" s="266"/>
      <c r="AJ251" s="266"/>
      <c r="AK251" s="266"/>
      <c r="AL251" s="266"/>
      <c r="AM251" s="266"/>
      <c r="AN251" s="266"/>
    </row>
    <row r="252" spans="3:40" outlineLevel="3">
      <c r="C252" s="296" t="str">
        <f>DFs!C62</f>
        <v>Fluxo de Caixa para Serviços da Dívida</v>
      </c>
      <c r="D252" s="266"/>
      <c r="E252" s="41" t="str">
        <f>DFs!E62</f>
        <v>$ 000s</v>
      </c>
      <c r="F252" s="23">
        <f ca="1">DFs!F62</f>
        <v>156335.0564985963</v>
      </c>
      <c r="G252" s="346">
        <f ca="1">DFs!G44+DFs!G49</f>
        <v>-11327.281872625816</v>
      </c>
      <c r="H252" s="346">
        <f ca="1">DFs!H44+DFs!H49</f>
        <v>-2910.6702407923758</v>
      </c>
      <c r="I252" s="346">
        <f ca="1">DFs!I44+DFs!I49</f>
        <v>419.98496615569229</v>
      </c>
      <c r="J252" s="346">
        <f ca="1">DFs!J44+DFs!J49</f>
        <v>2394.9826992411749</v>
      </c>
      <c r="K252" s="346">
        <f ca="1">DFs!K44+DFs!K49</f>
        <v>2366.3943060202505</v>
      </c>
      <c r="L252" s="346">
        <f ca="1">DFs!L44+DFs!L49</f>
        <v>-7930.5790631974187</v>
      </c>
      <c r="M252" s="346">
        <f ca="1">DFs!M44+DFs!M49</f>
        <v>3495.0733791506914</v>
      </c>
      <c r="N252" s="346">
        <f ca="1">DFs!N44+DFs!N49</f>
        <v>-2605.7762633298853</v>
      </c>
      <c r="O252" s="346">
        <f ca="1">DFs!O44+DFs!O49</f>
        <v>5316.4172617213781</v>
      </c>
      <c r="P252" s="346">
        <f ca="1">DFs!P44+DFs!P49</f>
        <v>4519.3107480447643</v>
      </c>
      <c r="Q252" s="346">
        <f ca="1">DFs!Q44+DFs!Q49</f>
        <v>4151.9237174694226</v>
      </c>
      <c r="R252" s="346">
        <f ca="1">DFs!R44+DFs!R49</f>
        <v>4686.4002853187658</v>
      </c>
      <c r="S252" s="346">
        <f ca="1">DFs!S44+DFs!S49</f>
        <v>5164.6207095596665</v>
      </c>
      <c r="T252" s="346">
        <f ca="1">DFs!T44+DFs!T49</f>
        <v>5935.7580131070936</v>
      </c>
      <c r="U252" s="346">
        <f ca="1">DFs!U44+DFs!U49</f>
        <v>-1215.5620411412128</v>
      </c>
      <c r="V252" s="346">
        <f ca="1">DFs!V44+DFs!V49</f>
        <v>4117.917358949082</v>
      </c>
      <c r="W252" s="346">
        <f ca="1">DFs!W44+DFs!W49</f>
        <v>5995.6881251365185</v>
      </c>
      <c r="X252" s="346">
        <f ca="1">DFs!X44+DFs!X49</f>
        <v>6581.4290023570402</v>
      </c>
      <c r="Y252" s="346">
        <f ca="1">DFs!Y44+DFs!Y49</f>
        <v>6020.8637710469557</v>
      </c>
      <c r="Z252" s="346">
        <f ca="1">DFs!Z44+DFs!Z49</f>
        <v>6902.6502273275282</v>
      </c>
      <c r="AA252" s="346">
        <f ca="1">DFs!AA44+DFs!AA49</f>
        <v>5973.8277892363076</v>
      </c>
      <c r="AB252" s="346">
        <f ca="1">DFs!AB44+DFs!AB49</f>
        <v>-551.61377328290564</v>
      </c>
      <c r="AC252" s="346">
        <f ca="1">DFs!AC44+DFs!AC49</f>
        <v>6923.001812980584</v>
      </c>
      <c r="AD252" s="346">
        <f ca="1">DFs!AD44+DFs!AD49</f>
        <v>7043.7979645598116</v>
      </c>
      <c r="AE252" s="346">
        <f ca="1">DFs!AE44+DFs!AE49</f>
        <v>7570.3634943410825</v>
      </c>
      <c r="AF252" s="346">
        <f ca="1">DFs!AF44+DFs!AF49</f>
        <v>5078.2804818542372</v>
      </c>
      <c r="AG252" s="346">
        <f ca="1">DFs!AG44+DFs!AG49</f>
        <v>8227.6816137087881</v>
      </c>
      <c r="AH252" s="346">
        <f ca="1">DFs!AH44+DFs!AH49</f>
        <v>6627.8932345467001</v>
      </c>
      <c r="AI252" s="346">
        <f ca="1">DFs!AI44+DFs!AI49</f>
        <v>2785.5352626921522</v>
      </c>
      <c r="AJ252" s="346">
        <f ca="1">DFs!AJ44+DFs!AJ49</f>
        <v>10277.633761282641</v>
      </c>
      <c r="AK252" s="346">
        <f ca="1">DFs!AK44+DFs!AK49</f>
        <v>0</v>
      </c>
      <c r="AL252" s="346">
        <f ca="1">DFs!AL44+DFs!AL49</f>
        <v>0</v>
      </c>
      <c r="AM252" s="346">
        <f ca="1">DFs!AM44+DFs!AM49</f>
        <v>0</v>
      </c>
      <c r="AN252" s="346">
        <f>DFs!AN44+DFs!AN49</f>
        <v>0</v>
      </c>
    </row>
    <row r="253" spans="3:40" outlineLevel="3">
      <c r="C253" s="296" t="s">
        <v>610</v>
      </c>
      <c r="D253" s="266"/>
      <c r="E253" s="41" t="s">
        <v>13</v>
      </c>
      <c r="F253" s="23">
        <f ca="1">SUM(G253:AN253)</f>
        <v>128577.42998580835</v>
      </c>
      <c r="G253" s="346">
        <f t="shared" ref="G253:AN253" ca="1" si="267">MAX(G249*G252,0)</f>
        <v>0</v>
      </c>
      <c r="H253" s="346">
        <f t="shared" ca="1" si="267"/>
        <v>0</v>
      </c>
      <c r="I253" s="346">
        <f t="shared" ca="1" si="267"/>
        <v>419.98496615569229</v>
      </c>
      <c r="J253" s="346">
        <f t="shared" ca="1" si="267"/>
        <v>2394.9826992411749</v>
      </c>
      <c r="K253" s="346">
        <f t="shared" ca="1" si="267"/>
        <v>2366.3943060202505</v>
      </c>
      <c r="L253" s="346">
        <f t="shared" ca="1" si="267"/>
        <v>0</v>
      </c>
      <c r="M253" s="346">
        <f t="shared" ca="1" si="267"/>
        <v>3495.0733791506914</v>
      </c>
      <c r="N253" s="346">
        <f t="shared" ca="1" si="267"/>
        <v>0</v>
      </c>
      <c r="O253" s="346">
        <f t="shared" ca="1" si="267"/>
        <v>5316.4172617213781</v>
      </c>
      <c r="P253" s="346">
        <f t="shared" ca="1" si="267"/>
        <v>4519.3107480447643</v>
      </c>
      <c r="Q253" s="346">
        <f t="shared" ca="1" si="267"/>
        <v>4151.9237174694226</v>
      </c>
      <c r="R253" s="346">
        <f t="shared" ca="1" si="267"/>
        <v>4686.4002853187658</v>
      </c>
      <c r="S253" s="346">
        <f t="shared" ca="1" si="267"/>
        <v>5164.6207095596665</v>
      </c>
      <c r="T253" s="346">
        <f t="shared" ca="1" si="267"/>
        <v>5935.7580131070936</v>
      </c>
      <c r="U253" s="346">
        <f t="shared" ca="1" si="267"/>
        <v>0</v>
      </c>
      <c r="V253" s="346">
        <f t="shared" ca="1" si="267"/>
        <v>4117.917358949082</v>
      </c>
      <c r="W253" s="346">
        <f t="shared" ca="1" si="267"/>
        <v>5995.6881251365185</v>
      </c>
      <c r="X253" s="346">
        <f t="shared" ca="1" si="267"/>
        <v>6581.4290023570402</v>
      </c>
      <c r="Y253" s="346">
        <f t="shared" ca="1" si="267"/>
        <v>6020.8637710469557</v>
      </c>
      <c r="Z253" s="346">
        <f t="shared" ca="1" si="267"/>
        <v>6902.6502273275282</v>
      </c>
      <c r="AA253" s="346">
        <f t="shared" ca="1" si="267"/>
        <v>5973.8277892363076</v>
      </c>
      <c r="AB253" s="346">
        <f t="shared" ca="1" si="267"/>
        <v>0</v>
      </c>
      <c r="AC253" s="346">
        <f t="shared" ca="1" si="267"/>
        <v>6923.001812980584</v>
      </c>
      <c r="AD253" s="346">
        <f t="shared" ca="1" si="267"/>
        <v>7043.7979645598116</v>
      </c>
      <c r="AE253" s="346">
        <f t="shared" ca="1" si="267"/>
        <v>7570.3634943410825</v>
      </c>
      <c r="AF253" s="346">
        <f t="shared" ca="1" si="267"/>
        <v>5078.2804818542372</v>
      </c>
      <c r="AG253" s="346">
        <f t="shared" ca="1" si="267"/>
        <v>8227.6816137087881</v>
      </c>
      <c r="AH253" s="346">
        <f t="shared" ca="1" si="267"/>
        <v>6627.8932345467001</v>
      </c>
      <c r="AI253" s="346">
        <f t="shared" ca="1" si="267"/>
        <v>2785.5352626921522</v>
      </c>
      <c r="AJ253" s="346">
        <f t="shared" ca="1" si="267"/>
        <v>10277.633761282641</v>
      </c>
      <c r="AK253" s="346">
        <f t="shared" ca="1" si="267"/>
        <v>0</v>
      </c>
      <c r="AL253" s="346">
        <f t="shared" ca="1" si="267"/>
        <v>0</v>
      </c>
      <c r="AM253" s="346">
        <f t="shared" ca="1" si="267"/>
        <v>0</v>
      </c>
      <c r="AN253" s="346">
        <f t="shared" si="267"/>
        <v>0</v>
      </c>
    </row>
    <row r="254" spans="3:40" outlineLevel="3">
      <c r="C254" s="14"/>
      <c r="D254" s="266"/>
      <c r="E254" s="41"/>
      <c r="F254" s="266"/>
      <c r="G254" s="266"/>
      <c r="H254" s="266"/>
      <c r="I254" s="266"/>
      <c r="J254" s="266"/>
      <c r="K254" s="266"/>
      <c r="L254" s="266"/>
      <c r="M254" s="266"/>
      <c r="N254" s="266"/>
      <c r="O254" s="266"/>
      <c r="P254" s="266"/>
      <c r="Q254" s="266"/>
      <c r="R254" s="266"/>
      <c r="S254" s="266"/>
      <c r="T254" s="266"/>
      <c r="U254" s="266"/>
      <c r="V254" s="266"/>
      <c r="W254" s="266"/>
      <c r="X254" s="266"/>
      <c r="Y254" s="266"/>
      <c r="Z254" s="266"/>
      <c r="AA254" s="266"/>
      <c r="AB254" s="266"/>
      <c r="AC254" s="266"/>
      <c r="AD254" s="266"/>
      <c r="AE254" s="266"/>
      <c r="AF254" s="266"/>
      <c r="AG254" s="266"/>
      <c r="AH254" s="266"/>
      <c r="AI254" s="266"/>
      <c r="AJ254" s="266"/>
      <c r="AK254" s="266"/>
      <c r="AL254" s="266"/>
      <c r="AM254" s="266"/>
      <c r="AN254" s="266"/>
    </row>
    <row r="255" spans="3:40" outlineLevel="3">
      <c r="C255" s="296" t="str">
        <f>C243</f>
        <v>Dívida senior (b/f)</v>
      </c>
      <c r="D255" s="266"/>
      <c r="E255" s="41" t="str">
        <f>E243</f>
        <v>$ 000s</v>
      </c>
      <c r="F255" s="266"/>
      <c r="G255" s="346">
        <f t="shared" ref="G255:AN255" si="268">G243</f>
        <v>0</v>
      </c>
      <c r="H255" s="346">
        <f t="shared" ca="1" si="268"/>
        <v>5387.5155604479987</v>
      </c>
      <c r="I255" s="346">
        <f t="shared" ca="1" si="268"/>
        <v>6123.7334651105211</v>
      </c>
      <c r="J255" s="346">
        <f t="shared" ca="1" si="268"/>
        <v>6995.4728130276217</v>
      </c>
      <c r="K255" s="346">
        <f t="shared" ca="1" si="268"/>
        <v>5808.1994772796825</v>
      </c>
      <c r="L255" s="346">
        <f t="shared" ca="1" si="268"/>
        <v>4719.3832519821281</v>
      </c>
      <c r="M255" s="346">
        <f t="shared" ca="1" si="268"/>
        <v>10872.139818667365</v>
      </c>
      <c r="N255" s="346">
        <f t="shared" ca="1" si="268"/>
        <v>9024.8209509181215</v>
      </c>
      <c r="O255" s="346">
        <f t="shared" ca="1" si="268"/>
        <v>13119.412256755222</v>
      </c>
      <c r="P255" s="346">
        <f t="shared" ca="1" si="268"/>
        <v>9753.5305240625894</v>
      </c>
      <c r="Q255" s="346">
        <f t="shared" ca="1" si="268"/>
        <v>7187.3619334343239</v>
      </c>
      <c r="R255" s="346">
        <f t="shared" ca="1" si="268"/>
        <v>5009.8875538295169</v>
      </c>
      <c r="S255" s="346">
        <f t="shared" ca="1" si="268"/>
        <v>1911.0022776848573</v>
      </c>
      <c r="T255" s="346">
        <f t="shared" ca="1" si="268"/>
        <v>398.96696005310014</v>
      </c>
      <c r="U255" s="346">
        <f t="shared" ca="1" si="268"/>
        <v>89.404761476472004</v>
      </c>
      <c r="V255" s="346">
        <f t="shared" ca="1" si="268"/>
        <v>4179.6771873135731</v>
      </c>
      <c r="W255" s="346">
        <f t="shared" ca="1" si="268"/>
        <v>2365.5384556132612</v>
      </c>
      <c r="X255" s="346">
        <f t="shared" ca="1" si="268"/>
        <v>391.76512583710019</v>
      </c>
      <c r="Y255" s="346">
        <f t="shared" ca="1" si="268"/>
        <v>175.82490083710002</v>
      </c>
      <c r="Z255" s="346">
        <f t="shared" ca="1" si="268"/>
        <v>412.99942083710005</v>
      </c>
      <c r="AA255" s="346">
        <f t="shared" ca="1" si="268"/>
        <v>24.663520837100009</v>
      </c>
      <c r="AB255" s="346">
        <f t="shared" ca="1" si="268"/>
        <v>635.49419289865182</v>
      </c>
      <c r="AC255" s="346">
        <f t="shared" ca="1" si="268"/>
        <v>4941.4382895008375</v>
      </c>
      <c r="AD255" s="346">
        <f t="shared" ca="1" si="268"/>
        <v>367.65346005310039</v>
      </c>
      <c r="AE255" s="346">
        <f t="shared" ca="1" si="268"/>
        <v>378.61477083709997</v>
      </c>
      <c r="AF255" s="346">
        <f t="shared" ca="1" si="268"/>
        <v>198.96182083710005</v>
      </c>
      <c r="AG255" s="346">
        <f t="shared" ca="1" si="268"/>
        <v>1659.7393680931268</v>
      </c>
      <c r="AH255" s="346">
        <f t="shared" ca="1" si="268"/>
        <v>31.891375837099986</v>
      </c>
      <c r="AI255" s="346">
        <f t="shared" ca="1" si="268"/>
        <v>998.698801476472</v>
      </c>
      <c r="AJ255" s="346">
        <f t="shared" ca="1" si="268"/>
        <v>3206.8305658371</v>
      </c>
      <c r="AK255" s="346">
        <f t="shared" ca="1" si="268"/>
        <v>31.702270837100059</v>
      </c>
      <c r="AL255" s="346">
        <f t="shared" ca="1" si="268"/>
        <v>31.702270837100059</v>
      </c>
      <c r="AM255" s="346">
        <f t="shared" ca="1" si="268"/>
        <v>31.702270837100059</v>
      </c>
      <c r="AN255" s="346">
        <f t="shared" ca="1" si="268"/>
        <v>31.702270837100059</v>
      </c>
    </row>
    <row r="256" spans="3:40" outlineLevel="3">
      <c r="C256" s="14"/>
      <c r="D256" s="266"/>
      <c r="E256" s="41"/>
      <c r="F256" s="266"/>
      <c r="G256" s="266"/>
      <c r="H256" s="266"/>
      <c r="I256" s="266"/>
      <c r="J256" s="266"/>
      <c r="K256" s="266"/>
      <c r="L256" s="266"/>
      <c r="M256" s="266"/>
      <c r="N256" s="266"/>
      <c r="O256" s="266"/>
      <c r="P256" s="266"/>
      <c r="Q256" s="266"/>
      <c r="R256" s="266"/>
      <c r="S256" s="266"/>
      <c r="T256" s="266"/>
      <c r="U256" s="266"/>
      <c r="V256" s="266"/>
      <c r="W256" s="266"/>
      <c r="X256" s="266"/>
      <c r="Y256" s="266"/>
      <c r="Z256" s="266"/>
      <c r="AA256" s="266"/>
      <c r="AB256" s="266"/>
      <c r="AC256" s="266"/>
      <c r="AD256" s="266"/>
      <c r="AE256" s="266"/>
      <c r="AF256" s="266"/>
      <c r="AG256" s="266"/>
      <c r="AH256" s="266"/>
      <c r="AI256" s="266"/>
      <c r="AJ256" s="266"/>
      <c r="AK256" s="266"/>
      <c r="AL256" s="266"/>
      <c r="AM256" s="266"/>
      <c r="AN256" s="266"/>
    </row>
    <row r="257" spans="3:40" outlineLevel="3">
      <c r="C257" s="14"/>
      <c r="D257" s="266"/>
      <c r="E257" s="41"/>
      <c r="F257" s="266"/>
      <c r="G257" s="266"/>
      <c r="H257" s="266"/>
      <c r="I257" s="266"/>
      <c r="J257" s="266"/>
      <c r="K257" s="266"/>
      <c r="L257" s="266"/>
      <c r="M257" s="266"/>
      <c r="N257" s="266"/>
      <c r="O257" s="266"/>
      <c r="P257" s="266"/>
      <c r="Q257" s="266"/>
      <c r="R257" s="266"/>
      <c r="S257" s="266"/>
      <c r="T257" s="266"/>
      <c r="U257" s="266"/>
      <c r="V257" s="266"/>
      <c r="W257" s="266"/>
      <c r="X257" s="266"/>
      <c r="Y257" s="266"/>
      <c r="Z257" s="266"/>
      <c r="AA257" s="266"/>
      <c r="AB257" s="266"/>
      <c r="AC257" s="266"/>
      <c r="AD257" s="266"/>
      <c r="AE257" s="266"/>
      <c r="AF257" s="266"/>
      <c r="AG257" s="266"/>
      <c r="AH257" s="266"/>
      <c r="AI257" s="266"/>
      <c r="AJ257" s="266"/>
      <c r="AK257" s="266"/>
      <c r="AL257" s="266"/>
      <c r="AM257" s="266"/>
      <c r="AN257" s="266"/>
    </row>
    <row r="258" spans="3:40" outlineLevel="3">
      <c r="C258" s="296" t="s">
        <v>611</v>
      </c>
      <c r="D258" s="218">
        <v>1.1000000000000001</v>
      </c>
      <c r="E258" s="41" t="s">
        <v>13</v>
      </c>
      <c r="F258" s="23">
        <f ca="1">SUM(G258:AN258)</f>
        <v>116888.57271437121</v>
      </c>
      <c r="G258" s="278">
        <f t="shared" ref="G258:AN258" ca="1" si="269">G249*(G253/$D$258)</f>
        <v>0</v>
      </c>
      <c r="H258" s="278">
        <f t="shared" ca="1" si="269"/>
        <v>0</v>
      </c>
      <c r="I258" s="278">
        <f t="shared" ca="1" si="269"/>
        <v>381.80451468699295</v>
      </c>
      <c r="J258" s="278">
        <f t="shared" ca="1" si="269"/>
        <v>2177.2569993101588</v>
      </c>
      <c r="K258" s="278">
        <f t="shared" ca="1" si="269"/>
        <v>2151.2675509275005</v>
      </c>
      <c r="L258" s="278">
        <f t="shared" ca="1" si="269"/>
        <v>0</v>
      </c>
      <c r="M258" s="278">
        <f t="shared" ca="1" si="269"/>
        <v>3177.3394355915375</v>
      </c>
      <c r="N258" s="278">
        <f t="shared" ca="1" si="269"/>
        <v>0</v>
      </c>
      <c r="O258" s="278">
        <f t="shared" ca="1" si="269"/>
        <v>4833.1066015648885</v>
      </c>
      <c r="P258" s="278">
        <f t="shared" ca="1" si="269"/>
        <v>4108.4643164043309</v>
      </c>
      <c r="Q258" s="278">
        <f t="shared" ca="1" si="269"/>
        <v>3774.4761067903837</v>
      </c>
      <c r="R258" s="278">
        <f t="shared" ca="1" si="269"/>
        <v>4260.3638957443318</v>
      </c>
      <c r="S258" s="278">
        <f t="shared" ca="1" si="269"/>
        <v>4695.1097359633332</v>
      </c>
      <c r="T258" s="278">
        <f t="shared" ca="1" si="269"/>
        <v>5396.143648279176</v>
      </c>
      <c r="U258" s="278">
        <f t="shared" ca="1" si="269"/>
        <v>0</v>
      </c>
      <c r="V258" s="278">
        <f t="shared" ca="1" si="269"/>
        <v>3743.5612354082559</v>
      </c>
      <c r="W258" s="278">
        <f t="shared" ca="1" si="269"/>
        <v>5450.6255683059253</v>
      </c>
      <c r="X258" s="278">
        <f t="shared" ca="1" si="269"/>
        <v>5983.1172748700365</v>
      </c>
      <c r="Y258" s="278">
        <f t="shared" ca="1" si="269"/>
        <v>5473.5125191335956</v>
      </c>
      <c r="Z258" s="278">
        <f t="shared" ca="1" si="269"/>
        <v>6275.1365702977528</v>
      </c>
      <c r="AA258" s="278">
        <f t="shared" ca="1" si="269"/>
        <v>5430.7525356693704</v>
      </c>
      <c r="AB258" s="278">
        <f t="shared" ca="1" si="269"/>
        <v>0</v>
      </c>
      <c r="AC258" s="278">
        <f t="shared" ca="1" si="269"/>
        <v>6293.63801180053</v>
      </c>
      <c r="AD258" s="278">
        <f t="shared" ca="1" si="269"/>
        <v>6403.4526950543741</v>
      </c>
      <c r="AE258" s="278">
        <f t="shared" ca="1" si="269"/>
        <v>6882.1486312191655</v>
      </c>
      <c r="AF258" s="278">
        <f t="shared" ca="1" si="269"/>
        <v>4616.6186198674877</v>
      </c>
      <c r="AG258" s="278">
        <f t="shared" ca="1" si="269"/>
        <v>7479.7105579170793</v>
      </c>
      <c r="AH258" s="278">
        <f t="shared" ca="1" si="269"/>
        <v>6025.3574859515447</v>
      </c>
      <c r="AI258" s="278">
        <f t="shared" ca="1" si="269"/>
        <v>2532.3047842655928</v>
      </c>
      <c r="AJ258" s="278">
        <f t="shared" ca="1" si="269"/>
        <v>9343.3034193478543</v>
      </c>
      <c r="AK258" s="278">
        <f t="shared" ca="1" si="269"/>
        <v>0</v>
      </c>
      <c r="AL258" s="278">
        <f t="shared" ca="1" si="269"/>
        <v>0</v>
      </c>
      <c r="AM258" s="278">
        <f t="shared" ca="1" si="269"/>
        <v>0</v>
      </c>
      <c r="AN258" s="278">
        <f t="shared" si="269"/>
        <v>0</v>
      </c>
    </row>
    <row r="259" spans="3:40" outlineLevel="3">
      <c r="C259" s="301" t="s">
        <v>600</v>
      </c>
      <c r="D259" s="266"/>
      <c r="E259" s="41" t="s">
        <v>13</v>
      </c>
      <c r="F259" s="23">
        <f ca="1">SUM(G259:AN259)</f>
        <v>-12776.276507133392</v>
      </c>
      <c r="G259" s="278">
        <f t="shared" ref="G259:AN259" ca="1" si="270">-G240</f>
        <v>-592.62671164927997</v>
      </c>
      <c r="H259" s="278">
        <f t="shared" ca="1" si="270"/>
        <v>-673.61068116215745</v>
      </c>
      <c r="I259" s="278">
        <f t="shared" ca="1" si="270"/>
        <v>-769.50200943303844</v>
      </c>
      <c r="J259" s="278">
        <f t="shared" ca="1" si="270"/>
        <v>-791.35154272511954</v>
      </c>
      <c r="K259" s="278">
        <f t="shared" ca="1" si="270"/>
        <v>-680.87530479284624</v>
      </c>
      <c r="L259" s="278">
        <f t="shared" ca="1" si="270"/>
        <v>-1195.9353800534102</v>
      </c>
      <c r="M259" s="278">
        <f t="shared" ca="1" si="270"/>
        <v>-1209.2231013658222</v>
      </c>
      <c r="N259" s="278">
        <f t="shared" ca="1" si="270"/>
        <v>-1443.1353482430745</v>
      </c>
      <c r="O259" s="278">
        <f t="shared" ca="1" si="270"/>
        <v>-1445.5225980351556</v>
      </c>
      <c r="P259" s="278">
        <f t="shared" ca="1" si="270"/>
        <v>-1119.4062049389659</v>
      </c>
      <c r="Q259" s="278">
        <f t="shared" ca="1" si="270"/>
        <v>-870.52252492629657</v>
      </c>
      <c r="R259" s="278">
        <f t="shared" ca="1" si="270"/>
        <v>-611.57682799748727</v>
      </c>
      <c r="S259" s="278">
        <f t="shared" ca="1" si="270"/>
        <v>-254.09661615117534</v>
      </c>
      <c r="T259" s="278">
        <f t="shared" ca="1" si="270"/>
        <v>-53.720889368252941</v>
      </c>
      <c r="U259" s="278">
        <f t="shared" ca="1" si="270"/>
        <v>-459.76449060449312</v>
      </c>
      <c r="V259" s="278">
        <f t="shared" ca="1" si="270"/>
        <v>-605.40627568681714</v>
      </c>
      <c r="W259" s="278">
        <f t="shared" ca="1" si="270"/>
        <v>0</v>
      </c>
      <c r="X259" s="278">
        <f t="shared" ca="1" si="270"/>
        <v>0</v>
      </c>
      <c r="Y259" s="278">
        <f t="shared" ca="1" si="270"/>
        <v>0</v>
      </c>
      <c r="Z259" s="278">
        <f t="shared" ca="1" si="270"/>
        <v>0</v>
      </c>
      <c r="AA259" s="278">
        <f t="shared" ca="1" si="270"/>
        <v>0</v>
      </c>
      <c r="AB259" s="278">
        <f t="shared" ca="1" si="270"/>
        <v>0</v>
      </c>
      <c r="AC259" s="278">
        <f t="shared" ca="1" si="270"/>
        <v>0</v>
      </c>
      <c r="AD259" s="278">
        <f t="shared" ca="1" si="270"/>
        <v>0</v>
      </c>
      <c r="AE259" s="278">
        <f t="shared" ca="1" si="270"/>
        <v>0</v>
      </c>
      <c r="AF259" s="278">
        <f t="shared" ca="1" si="270"/>
        <v>0</v>
      </c>
      <c r="AG259" s="278">
        <f t="shared" ca="1" si="270"/>
        <v>0</v>
      </c>
      <c r="AH259" s="278">
        <f t="shared" ca="1" si="270"/>
        <v>0</v>
      </c>
      <c r="AI259" s="278">
        <f t="shared" ca="1" si="270"/>
        <v>0</v>
      </c>
      <c r="AJ259" s="278">
        <f t="shared" ca="1" si="270"/>
        <v>0</v>
      </c>
      <c r="AK259" s="278">
        <f t="shared" ca="1" si="270"/>
        <v>0</v>
      </c>
      <c r="AL259" s="278">
        <f t="shared" ca="1" si="270"/>
        <v>0</v>
      </c>
      <c r="AM259" s="278">
        <f t="shared" ca="1" si="270"/>
        <v>0</v>
      </c>
      <c r="AN259" s="278">
        <f t="shared" ca="1" si="270"/>
        <v>0</v>
      </c>
    </row>
    <row r="260" spans="3:40" outlineLevel="3">
      <c r="C260" s="301" t="s">
        <v>612</v>
      </c>
      <c r="D260" s="266"/>
      <c r="E260" s="41" t="s">
        <v>13</v>
      </c>
      <c r="F260" s="23">
        <f ca="1">SUM(G260:AN260)</f>
        <v>108865.06631369627</v>
      </c>
      <c r="G260" s="278">
        <f t="shared" ref="G260:AN260" ca="1" si="271">IF(SUM(G258:G259)&gt;0,SUM(G258:G259),0)</f>
        <v>0</v>
      </c>
      <c r="H260" s="278">
        <f t="shared" ca="1" si="271"/>
        <v>0</v>
      </c>
      <c r="I260" s="278">
        <f t="shared" ca="1" si="271"/>
        <v>0</v>
      </c>
      <c r="J260" s="278">
        <f t="shared" ca="1" si="271"/>
        <v>1385.9054565850392</v>
      </c>
      <c r="K260" s="278">
        <f t="shared" ca="1" si="271"/>
        <v>1470.3922461346542</v>
      </c>
      <c r="L260" s="278">
        <f t="shared" ca="1" si="271"/>
        <v>0</v>
      </c>
      <c r="M260" s="278">
        <f t="shared" ca="1" si="271"/>
        <v>1968.1163342257153</v>
      </c>
      <c r="N260" s="278">
        <f t="shared" ca="1" si="271"/>
        <v>0</v>
      </c>
      <c r="O260" s="278">
        <f t="shared" ca="1" si="271"/>
        <v>3387.5840035297329</v>
      </c>
      <c r="P260" s="278">
        <f t="shared" ca="1" si="271"/>
        <v>2989.0581114653651</v>
      </c>
      <c r="Q260" s="278">
        <f t="shared" ca="1" si="271"/>
        <v>2903.953581864087</v>
      </c>
      <c r="R260" s="278">
        <f t="shared" ca="1" si="271"/>
        <v>3648.7870677468445</v>
      </c>
      <c r="S260" s="278">
        <f t="shared" ca="1" si="271"/>
        <v>4441.013119812158</v>
      </c>
      <c r="T260" s="278">
        <f t="shared" ca="1" si="271"/>
        <v>5342.4227589109232</v>
      </c>
      <c r="U260" s="278">
        <f t="shared" ca="1" si="271"/>
        <v>0</v>
      </c>
      <c r="V260" s="278">
        <f t="shared" ca="1" si="271"/>
        <v>3138.1549597214389</v>
      </c>
      <c r="W260" s="278">
        <f t="shared" ca="1" si="271"/>
        <v>5450.6255683059253</v>
      </c>
      <c r="X260" s="278">
        <f t="shared" ca="1" si="271"/>
        <v>5983.1172748700365</v>
      </c>
      <c r="Y260" s="278">
        <f t="shared" ca="1" si="271"/>
        <v>5473.5125191335956</v>
      </c>
      <c r="Z260" s="278">
        <f t="shared" ca="1" si="271"/>
        <v>6275.1365702977528</v>
      </c>
      <c r="AA260" s="278">
        <f t="shared" ca="1" si="271"/>
        <v>5430.7525356693704</v>
      </c>
      <c r="AB260" s="278">
        <f t="shared" ca="1" si="271"/>
        <v>0</v>
      </c>
      <c r="AC260" s="278">
        <f t="shared" ca="1" si="271"/>
        <v>6293.63801180053</v>
      </c>
      <c r="AD260" s="278">
        <f t="shared" ca="1" si="271"/>
        <v>6403.4526950543741</v>
      </c>
      <c r="AE260" s="278">
        <f t="shared" ca="1" si="271"/>
        <v>6882.1486312191655</v>
      </c>
      <c r="AF260" s="278">
        <f t="shared" ca="1" si="271"/>
        <v>4616.6186198674877</v>
      </c>
      <c r="AG260" s="278">
        <f t="shared" ca="1" si="271"/>
        <v>7479.7105579170793</v>
      </c>
      <c r="AH260" s="278">
        <f t="shared" ca="1" si="271"/>
        <v>6025.3574859515447</v>
      </c>
      <c r="AI260" s="278">
        <f t="shared" ca="1" si="271"/>
        <v>2532.3047842655928</v>
      </c>
      <c r="AJ260" s="278">
        <f t="shared" ca="1" si="271"/>
        <v>9343.3034193478543</v>
      </c>
      <c r="AK260" s="278">
        <f t="shared" ca="1" si="271"/>
        <v>0</v>
      </c>
      <c r="AL260" s="278">
        <f t="shared" ca="1" si="271"/>
        <v>0</v>
      </c>
      <c r="AM260" s="278">
        <f t="shared" ca="1" si="271"/>
        <v>0</v>
      </c>
      <c r="AN260" s="278">
        <f t="shared" ca="1" si="271"/>
        <v>0</v>
      </c>
    </row>
    <row r="261" spans="3:40" outlineLevel="2">
      <c r="C261" s="14"/>
      <c r="D261" s="266"/>
      <c r="E261" s="266"/>
      <c r="F261" s="278"/>
      <c r="G261" s="266"/>
      <c r="H261" s="266"/>
      <c r="I261" s="266"/>
      <c r="J261" s="266"/>
      <c r="K261" s="266"/>
      <c r="L261" s="266"/>
      <c r="M261" s="266"/>
      <c r="N261" s="266"/>
      <c r="O261" s="266"/>
      <c r="P261" s="266"/>
      <c r="Q261" s="266"/>
      <c r="R261" s="266"/>
      <c r="S261" s="266"/>
      <c r="T261" s="266"/>
      <c r="U261" s="266"/>
      <c r="V261" s="266"/>
      <c r="W261" s="266"/>
      <c r="X261" s="266"/>
      <c r="Y261" s="266"/>
      <c r="Z261" s="266"/>
      <c r="AA261" s="266"/>
      <c r="AB261" s="266"/>
      <c r="AC261" s="266"/>
      <c r="AD261" s="266"/>
      <c r="AE261" s="266"/>
      <c r="AF261" s="266"/>
      <c r="AG261" s="266"/>
      <c r="AH261" s="266"/>
      <c r="AI261" s="266"/>
      <c r="AJ261" s="266"/>
      <c r="AK261" s="266"/>
      <c r="AL261" s="266"/>
      <c r="AM261" s="266"/>
      <c r="AN261" s="266"/>
    </row>
    <row r="262" spans="3:40" outlineLevel="1">
      <c r="C262" s="266"/>
      <c r="D262" s="266"/>
      <c r="E262" s="41"/>
      <c r="F262" s="266"/>
      <c r="G262" s="266"/>
      <c r="H262" s="266"/>
      <c r="I262" s="266"/>
      <c r="J262" s="266"/>
      <c r="K262" s="266"/>
      <c r="L262" s="266"/>
      <c r="M262" s="266"/>
      <c r="N262" s="266"/>
      <c r="O262" s="266"/>
      <c r="P262" s="266"/>
      <c r="Q262" s="266"/>
      <c r="R262" s="266"/>
      <c r="S262" s="266"/>
      <c r="T262" s="266"/>
      <c r="U262" s="266"/>
      <c r="V262" s="266"/>
      <c r="W262" s="266"/>
      <c r="X262" s="266"/>
      <c r="Y262" s="266"/>
      <c r="Z262" s="266"/>
      <c r="AA262" s="266"/>
      <c r="AB262" s="266"/>
      <c r="AC262" s="266"/>
      <c r="AD262" s="266"/>
      <c r="AE262" s="266"/>
      <c r="AF262" s="266"/>
      <c r="AG262" s="266"/>
      <c r="AH262" s="266"/>
      <c r="AI262" s="266"/>
      <c r="AJ262" s="266"/>
      <c r="AK262" s="266"/>
      <c r="AL262" s="266"/>
      <c r="AM262" s="266"/>
      <c r="AN262" s="266"/>
    </row>
    <row r="263" spans="3:40" outlineLevel="1">
      <c r="C263" s="11" t="s">
        <v>613</v>
      </c>
      <c r="D263" s="266"/>
      <c r="E263" s="41"/>
      <c r="F263" s="266"/>
      <c r="G263" s="266"/>
      <c r="H263" s="266"/>
      <c r="I263" s="266"/>
      <c r="J263" s="266"/>
      <c r="K263" s="266"/>
      <c r="L263" s="266"/>
      <c r="M263" s="266"/>
      <c r="N263" s="266"/>
      <c r="O263" s="266"/>
      <c r="P263" s="266"/>
      <c r="Q263" s="266"/>
      <c r="R263" s="266"/>
      <c r="S263" s="266"/>
      <c r="T263" s="266"/>
      <c r="U263" s="266"/>
      <c r="V263" s="266"/>
      <c r="W263" s="266"/>
      <c r="X263" s="266"/>
      <c r="Y263" s="266"/>
      <c r="Z263" s="266"/>
      <c r="AA263" s="266"/>
      <c r="AB263" s="266"/>
      <c r="AC263" s="266"/>
      <c r="AD263" s="266"/>
      <c r="AE263" s="266"/>
      <c r="AF263" s="266"/>
      <c r="AG263" s="266"/>
      <c r="AH263" s="266"/>
      <c r="AI263" s="266"/>
      <c r="AJ263" s="266"/>
      <c r="AK263" s="266"/>
      <c r="AL263" s="266"/>
      <c r="AM263" s="266"/>
      <c r="AN263" s="266"/>
    </row>
    <row r="264" spans="3:40" outlineLevel="2">
      <c r="C264" s="266"/>
      <c r="D264" s="266"/>
      <c r="E264" s="41"/>
      <c r="F264" s="266"/>
      <c r="G264" s="266"/>
      <c r="H264" s="266"/>
      <c r="I264" s="266"/>
      <c r="J264" s="266"/>
      <c r="K264" s="266"/>
      <c r="L264" s="266"/>
      <c r="M264" s="266"/>
      <c r="N264" s="266"/>
      <c r="O264" s="266"/>
      <c r="P264" s="266"/>
      <c r="Q264" s="266"/>
      <c r="R264" s="266"/>
      <c r="S264" s="266"/>
      <c r="T264" s="266"/>
      <c r="U264" s="266"/>
      <c r="V264" s="266"/>
      <c r="W264" s="266"/>
      <c r="X264" s="266"/>
      <c r="Y264" s="266"/>
      <c r="Z264" s="266"/>
      <c r="AA264" s="266"/>
      <c r="AB264" s="266"/>
      <c r="AC264" s="266"/>
      <c r="AD264" s="266"/>
      <c r="AE264" s="266"/>
      <c r="AF264" s="266"/>
      <c r="AG264" s="266"/>
      <c r="AH264" s="266"/>
      <c r="AI264" s="266"/>
      <c r="AJ264" s="266"/>
      <c r="AK264" s="266"/>
      <c r="AL264" s="266"/>
      <c r="AM264" s="266"/>
      <c r="AN264" s="266"/>
    </row>
    <row r="265" spans="3:40" outlineLevel="2">
      <c r="C265" s="266" t="s">
        <v>614</v>
      </c>
      <c r="D265" s="216" t="str">
        <f>Inputs!D293</f>
        <v>SAC</v>
      </c>
      <c r="E265" s="216">
        <f>INDEX(SETUP!$E$27:$E$29,MATCH(Debt!D265,SETUP!$C$27:$C$29,0))</f>
        <v>2</v>
      </c>
      <c r="F265" s="41" t="s">
        <v>615</v>
      </c>
      <c r="G265" s="266"/>
      <c r="H265" s="266"/>
      <c r="I265" s="266"/>
      <c r="J265" s="266"/>
      <c r="K265" s="266"/>
      <c r="L265" s="266"/>
      <c r="M265" s="266"/>
      <c r="N265" s="266"/>
      <c r="O265" s="266"/>
      <c r="P265" s="266"/>
      <c r="Q265" s="266"/>
      <c r="R265" s="266"/>
      <c r="S265" s="266"/>
      <c r="T265" s="266"/>
      <c r="U265" s="266"/>
      <c r="V265" s="266"/>
      <c r="W265" s="266"/>
      <c r="X265" s="266"/>
      <c r="Y265" s="266"/>
      <c r="Z265" s="266"/>
      <c r="AA265" s="266"/>
      <c r="AB265" s="266"/>
      <c r="AC265" s="266"/>
      <c r="AD265" s="266"/>
      <c r="AE265" s="266"/>
      <c r="AF265" s="266"/>
      <c r="AG265" s="266"/>
      <c r="AH265" s="266"/>
      <c r="AI265" s="266"/>
      <c r="AJ265" s="266"/>
      <c r="AK265" s="266"/>
      <c r="AL265" s="266"/>
      <c r="AM265" s="266"/>
      <c r="AN265" s="266"/>
    </row>
    <row r="266" spans="3:40" outlineLevel="2">
      <c r="C266" s="266"/>
      <c r="D266" s="266"/>
      <c r="E266" s="266"/>
      <c r="F266" s="266"/>
      <c r="G266" s="266"/>
      <c r="H266" s="266"/>
      <c r="I266" s="266"/>
      <c r="J266" s="266"/>
      <c r="K266" s="266"/>
      <c r="L266" s="266"/>
      <c r="M266" s="266"/>
      <c r="N266" s="266"/>
      <c r="O266" s="266"/>
      <c r="P266" s="266"/>
      <c r="Q266" s="266"/>
      <c r="R266" s="266"/>
      <c r="S266" s="266"/>
      <c r="T266" s="266"/>
      <c r="U266" s="266"/>
      <c r="V266" s="266"/>
      <c r="W266" s="266"/>
      <c r="X266" s="266"/>
      <c r="Y266" s="266"/>
      <c r="Z266" s="266"/>
      <c r="AA266" s="266"/>
      <c r="AB266" s="266"/>
      <c r="AC266" s="266"/>
      <c r="AD266" s="266"/>
      <c r="AE266" s="266"/>
      <c r="AF266" s="266"/>
      <c r="AG266" s="266"/>
      <c r="AH266" s="266"/>
      <c r="AI266" s="266"/>
      <c r="AJ266" s="266"/>
      <c r="AK266" s="266"/>
      <c r="AL266" s="266"/>
      <c r="AM266" s="266"/>
      <c r="AN266" s="266"/>
    </row>
    <row r="267" spans="3:40" outlineLevel="2">
      <c r="C267" s="347" t="s">
        <v>616</v>
      </c>
      <c r="D267" s="319"/>
      <c r="E267" s="41" t="s">
        <v>13</v>
      </c>
      <c r="F267" s="23">
        <f ca="1">SUM(G267:AN267)</f>
        <v>17886.06173007247</v>
      </c>
      <c r="G267" s="319">
        <f t="shared" ref="G267:AN267" ca="1" si="272">G137</f>
        <v>592.62671164927997</v>
      </c>
      <c r="H267" s="319">
        <f ca="1">H137</f>
        <v>673.61068116215745</v>
      </c>
      <c r="I267" s="319">
        <f t="shared" ca="1" si="272"/>
        <v>769.50200943303844</v>
      </c>
      <c r="J267" s="319">
        <f t="shared" ca="1" si="272"/>
        <v>765.78237489019</v>
      </c>
      <c r="K267" s="319">
        <f t="shared" ca="1" si="272"/>
        <v>778.54037950367376</v>
      </c>
      <c r="L267" s="319">
        <f t="shared" ca="1" si="272"/>
        <v>1421.066581572793</v>
      </c>
      <c r="M267" s="319">
        <f t="shared" ca="1" si="272"/>
        <v>1361.7079480337991</v>
      </c>
      <c r="N267" s="319">
        <f t="shared" ca="1" si="272"/>
        <v>1730.6809130934641</v>
      </c>
      <c r="O267" s="319">
        <f t="shared" ca="1" si="272"/>
        <v>1610.8792099406439</v>
      </c>
      <c r="P267" s="319">
        <f t="shared" ca="1" si="272"/>
        <v>1521.5660240447526</v>
      </c>
      <c r="Q267" s="319">
        <f t="shared" ca="1" si="272"/>
        <v>1445.951455159425</v>
      </c>
      <c r="R267" s="319">
        <f t="shared" ca="1" si="272"/>
        <v>1323.706276216046</v>
      </c>
      <c r="S267" s="319">
        <f t="shared" ca="1" si="272"/>
        <v>1155.0447153432801</v>
      </c>
      <c r="T267" s="319">
        <f t="shared" ca="1" si="272"/>
        <v>919.63280882267156</v>
      </c>
      <c r="U267" s="319">
        <f t="shared" ca="1" si="272"/>
        <v>1094.3966200073303</v>
      </c>
      <c r="V267" s="319">
        <f t="shared" ca="1" si="272"/>
        <v>721.36702119992469</v>
      </c>
      <c r="W267" s="319">
        <f t="shared" ca="1" si="272"/>
        <v>0</v>
      </c>
      <c r="X267" s="319">
        <f t="shared" ca="1" si="272"/>
        <v>0</v>
      </c>
      <c r="Y267" s="319">
        <f t="shared" ca="1" si="272"/>
        <v>0</v>
      </c>
      <c r="Z267" s="319">
        <f t="shared" ca="1" si="272"/>
        <v>0</v>
      </c>
      <c r="AA267" s="319">
        <f t="shared" ca="1" si="272"/>
        <v>0</v>
      </c>
      <c r="AB267" s="319">
        <f t="shared" ca="1" si="272"/>
        <v>0</v>
      </c>
      <c r="AC267" s="319">
        <f t="shared" ca="1" si="272"/>
        <v>0</v>
      </c>
      <c r="AD267" s="319">
        <f t="shared" ca="1" si="272"/>
        <v>0</v>
      </c>
      <c r="AE267" s="319">
        <f t="shared" ca="1" si="272"/>
        <v>0</v>
      </c>
      <c r="AF267" s="319">
        <f t="shared" ca="1" si="272"/>
        <v>0</v>
      </c>
      <c r="AG267" s="319">
        <f t="shared" ca="1" si="272"/>
        <v>0</v>
      </c>
      <c r="AH267" s="319">
        <f t="shared" ca="1" si="272"/>
        <v>0</v>
      </c>
      <c r="AI267" s="319">
        <f t="shared" ca="1" si="272"/>
        <v>0</v>
      </c>
      <c r="AJ267" s="319">
        <f t="shared" ca="1" si="272"/>
        <v>0</v>
      </c>
      <c r="AK267" s="319">
        <f t="shared" ca="1" si="272"/>
        <v>0</v>
      </c>
      <c r="AL267" s="319">
        <f t="shared" ca="1" si="272"/>
        <v>0</v>
      </c>
      <c r="AM267" s="319">
        <f t="shared" ca="1" si="272"/>
        <v>0</v>
      </c>
      <c r="AN267" s="319">
        <f t="shared" ca="1" si="272"/>
        <v>0</v>
      </c>
    </row>
    <row r="268" spans="3:40" outlineLevel="2">
      <c r="C268" s="347" t="s">
        <v>617</v>
      </c>
      <c r="D268" s="266"/>
      <c r="E268" s="41" t="s">
        <v>13</v>
      </c>
      <c r="F268" s="23">
        <f ca="1">SUM(G268:AN268)</f>
        <v>21660.671032363389</v>
      </c>
      <c r="G268" s="278">
        <f t="shared" ref="G268:AN268" ca="1" si="273">G172-G219</f>
        <v>592.62671164927997</v>
      </c>
      <c r="H268" s="278">
        <f t="shared" ca="1" si="273"/>
        <v>673.61068116215745</v>
      </c>
      <c r="I268" s="278">
        <f t="shared" ca="1" si="273"/>
        <v>769.50200943303844</v>
      </c>
      <c r="J268" s="278">
        <f t="shared" ca="1" si="273"/>
        <v>736.38711347990238</v>
      </c>
      <c r="K268" s="278">
        <f t="shared" ca="1" si="273"/>
        <v>721.7153131966063</v>
      </c>
      <c r="L268" s="278">
        <f t="shared" ca="1" si="273"/>
        <v>1338.3755927655984</v>
      </c>
      <c r="M268" s="278">
        <f t="shared" ca="1" si="273"/>
        <v>1229.9928056447741</v>
      </c>
      <c r="N268" s="278">
        <f t="shared" ca="1" si="273"/>
        <v>1557.3985687223778</v>
      </c>
      <c r="O268" s="278">
        <f t="shared" ca="1" si="273"/>
        <v>1386.7415331008615</v>
      </c>
      <c r="P268" s="278">
        <f t="shared" ca="1" si="273"/>
        <v>1259.9166887553345</v>
      </c>
      <c r="Q268" s="278">
        <f t="shared" ca="1" si="273"/>
        <v>1159.8413026102362</v>
      </c>
      <c r="R268" s="278">
        <f t="shared" ca="1" si="273"/>
        <v>1027.0236159181038</v>
      </c>
      <c r="S268" s="278">
        <f t="shared" ca="1" si="273"/>
        <v>865.50525834032408</v>
      </c>
      <c r="T268" s="278">
        <f t="shared" ca="1" si="273"/>
        <v>658.96346751765498</v>
      </c>
      <c r="U268" s="278">
        <f t="shared" ca="1" si="273"/>
        <v>889.23894518718441</v>
      </c>
      <c r="V268" s="278">
        <f t="shared" ca="1" si="273"/>
        <v>444.61947259359221</v>
      </c>
      <c r="W268" s="278">
        <f t="shared" ca="1" si="273"/>
        <v>188.73594892440497</v>
      </c>
      <c r="X268" s="278">
        <f t="shared" ca="1" si="273"/>
        <v>194.5955488075999</v>
      </c>
      <c r="Y268" s="278">
        <f t="shared" ca="1" si="273"/>
        <v>225.05659672986553</v>
      </c>
      <c r="Z268" s="278">
        <f t="shared" ca="1" si="273"/>
        <v>209.01486762779103</v>
      </c>
      <c r="AA268" s="278">
        <f t="shared" ca="1" si="273"/>
        <v>259.91787724411626</v>
      </c>
      <c r="AB268" s="278">
        <f t="shared" ca="1" si="273"/>
        <v>707.5799401459451</v>
      </c>
      <c r="AC268" s="278">
        <f t="shared" ca="1" si="273"/>
        <v>669.40182740223668</v>
      </c>
      <c r="AD268" s="278">
        <f t="shared" ca="1" si="273"/>
        <v>627.37422376903817</v>
      </c>
      <c r="AE268" s="278">
        <f t="shared" ca="1" si="273"/>
        <v>559.63513495125665</v>
      </c>
      <c r="AF268" s="278">
        <f t="shared" ca="1" si="273"/>
        <v>648.93394294962457</v>
      </c>
      <c r="AG268" s="278">
        <f t="shared" ca="1" si="273"/>
        <v>522.65520570178057</v>
      </c>
      <c r="AH268" s="278">
        <f t="shared" ca="1" si="273"/>
        <v>501.84827243874736</v>
      </c>
      <c r="AI268" s="278">
        <f t="shared" ca="1" si="273"/>
        <v>687.31687720124592</v>
      </c>
      <c r="AJ268" s="278">
        <f t="shared" ca="1" si="273"/>
        <v>347.14568839270396</v>
      </c>
      <c r="AK268" s="278">
        <f t="shared" ca="1" si="273"/>
        <v>0</v>
      </c>
      <c r="AL268" s="278">
        <f t="shared" ca="1" si="273"/>
        <v>0</v>
      </c>
      <c r="AM268" s="278">
        <f t="shared" ca="1" si="273"/>
        <v>0</v>
      </c>
      <c r="AN268" s="278">
        <f t="shared" ca="1" si="273"/>
        <v>0</v>
      </c>
    </row>
    <row r="269" spans="3:40" outlineLevel="2">
      <c r="C269" s="347" t="s">
        <v>618</v>
      </c>
      <c r="D269" s="266"/>
      <c r="E269" s="41" t="s">
        <v>13</v>
      </c>
      <c r="F269" s="23">
        <f ca="1">SUM(G269:AN269)</f>
        <v>12776.276507133392</v>
      </c>
      <c r="G269" s="278">
        <f t="shared" ref="G269:AN269" ca="1" si="274">-G259</f>
        <v>592.62671164927997</v>
      </c>
      <c r="H269" s="278">
        <f t="shared" ca="1" si="274"/>
        <v>673.61068116215745</v>
      </c>
      <c r="I269" s="278">
        <f t="shared" ca="1" si="274"/>
        <v>769.50200943303844</v>
      </c>
      <c r="J269" s="278">
        <f t="shared" ca="1" si="274"/>
        <v>791.35154272511954</v>
      </c>
      <c r="K269" s="278">
        <f t="shared" ca="1" si="274"/>
        <v>680.87530479284624</v>
      </c>
      <c r="L269" s="278">
        <f t="shared" ca="1" si="274"/>
        <v>1195.9353800534102</v>
      </c>
      <c r="M269" s="278">
        <f t="shared" ca="1" si="274"/>
        <v>1209.2231013658222</v>
      </c>
      <c r="N269" s="278">
        <f t="shared" ca="1" si="274"/>
        <v>1443.1353482430745</v>
      </c>
      <c r="O269" s="278">
        <f t="shared" ca="1" si="274"/>
        <v>1445.5225980351556</v>
      </c>
      <c r="P269" s="278">
        <f t="shared" ca="1" si="274"/>
        <v>1119.4062049389659</v>
      </c>
      <c r="Q269" s="278">
        <f t="shared" ca="1" si="274"/>
        <v>870.52252492629657</v>
      </c>
      <c r="R269" s="278">
        <f t="shared" ca="1" si="274"/>
        <v>611.57682799748727</v>
      </c>
      <c r="S269" s="278">
        <f t="shared" ca="1" si="274"/>
        <v>254.09661615117534</v>
      </c>
      <c r="T269" s="278">
        <f t="shared" ca="1" si="274"/>
        <v>53.720889368252941</v>
      </c>
      <c r="U269" s="278">
        <f t="shared" ca="1" si="274"/>
        <v>459.76449060449312</v>
      </c>
      <c r="V269" s="278">
        <f t="shared" ca="1" si="274"/>
        <v>605.40627568681714</v>
      </c>
      <c r="W269" s="278">
        <f t="shared" ca="1" si="274"/>
        <v>0</v>
      </c>
      <c r="X269" s="278">
        <f t="shared" ca="1" si="274"/>
        <v>0</v>
      </c>
      <c r="Y269" s="278">
        <f t="shared" ca="1" si="274"/>
        <v>0</v>
      </c>
      <c r="Z269" s="278">
        <f t="shared" ca="1" si="274"/>
        <v>0</v>
      </c>
      <c r="AA269" s="278">
        <f t="shared" ca="1" si="274"/>
        <v>0</v>
      </c>
      <c r="AB269" s="278">
        <f t="shared" ca="1" si="274"/>
        <v>0</v>
      </c>
      <c r="AC269" s="278">
        <f t="shared" ca="1" si="274"/>
        <v>0</v>
      </c>
      <c r="AD269" s="278">
        <f t="shared" ca="1" si="274"/>
        <v>0</v>
      </c>
      <c r="AE269" s="278">
        <f t="shared" ca="1" si="274"/>
        <v>0</v>
      </c>
      <c r="AF269" s="278">
        <f t="shared" ca="1" si="274"/>
        <v>0</v>
      </c>
      <c r="AG269" s="278">
        <f t="shared" ca="1" si="274"/>
        <v>0</v>
      </c>
      <c r="AH269" s="278">
        <f t="shared" ca="1" si="274"/>
        <v>0</v>
      </c>
      <c r="AI269" s="278">
        <f t="shared" ca="1" si="274"/>
        <v>0</v>
      </c>
      <c r="AJ269" s="278">
        <f t="shared" ca="1" si="274"/>
        <v>0</v>
      </c>
      <c r="AK269" s="278">
        <f t="shared" ca="1" si="274"/>
        <v>0</v>
      </c>
      <c r="AL269" s="278">
        <f t="shared" ca="1" si="274"/>
        <v>0</v>
      </c>
      <c r="AM269" s="278">
        <f t="shared" ca="1" si="274"/>
        <v>0</v>
      </c>
      <c r="AN269" s="278">
        <f t="shared" ca="1" si="274"/>
        <v>0</v>
      </c>
    </row>
    <row r="270" spans="3:40" outlineLevel="2">
      <c r="C270" s="266"/>
      <c r="E270" s="41"/>
      <c r="F270" s="266"/>
      <c r="G270" s="266"/>
      <c r="H270" s="266"/>
      <c r="I270" s="266"/>
      <c r="J270" s="266"/>
      <c r="K270" s="266"/>
      <c r="L270" s="266"/>
      <c r="M270" s="266"/>
      <c r="N270" s="266"/>
      <c r="O270" s="266"/>
      <c r="P270" s="266"/>
      <c r="Q270" s="266"/>
      <c r="R270" s="266"/>
      <c r="S270" s="266"/>
      <c r="T270" s="266"/>
      <c r="U270" s="266"/>
      <c r="V270" s="266"/>
      <c r="W270" s="266"/>
      <c r="X270" s="266"/>
      <c r="Y270" s="266"/>
      <c r="Z270" s="266"/>
      <c r="AA270" s="266"/>
      <c r="AB270" s="266"/>
      <c r="AC270" s="266"/>
      <c r="AD270" s="266"/>
      <c r="AE270" s="266"/>
      <c r="AF270" s="266"/>
      <c r="AG270" s="266"/>
      <c r="AH270" s="266"/>
      <c r="AI270" s="266"/>
      <c r="AJ270" s="266"/>
      <c r="AK270" s="266"/>
      <c r="AL270" s="266"/>
      <c r="AM270" s="266"/>
      <c r="AN270" s="266"/>
    </row>
    <row r="271" spans="3:40" outlineLevel="2">
      <c r="C271" s="266"/>
      <c r="D271" s="266"/>
      <c r="E271" s="41"/>
      <c r="F271" s="266"/>
      <c r="G271" s="266"/>
      <c r="H271" s="266"/>
      <c r="I271" s="266"/>
      <c r="J271" s="266"/>
      <c r="K271" s="266"/>
      <c r="L271" s="266"/>
      <c r="M271" s="266"/>
      <c r="N271" s="266"/>
      <c r="O271" s="266"/>
      <c r="P271" s="266"/>
      <c r="Q271" s="266"/>
      <c r="R271" s="266"/>
      <c r="S271" s="266"/>
      <c r="T271" s="266"/>
      <c r="U271" s="266"/>
      <c r="V271" s="266"/>
      <c r="W271" s="266"/>
      <c r="X271" s="266"/>
      <c r="Y271" s="266"/>
      <c r="Z271" s="266"/>
      <c r="AA271" s="266"/>
      <c r="AB271" s="266"/>
      <c r="AC271" s="266"/>
      <c r="AD271" s="266"/>
      <c r="AE271" s="266"/>
      <c r="AF271" s="266"/>
      <c r="AG271" s="266"/>
      <c r="AH271" s="266"/>
      <c r="AI271" s="266"/>
      <c r="AJ271" s="266"/>
      <c r="AK271" s="266"/>
      <c r="AL271" s="266"/>
      <c r="AM271" s="266"/>
      <c r="AN271" s="266"/>
    </row>
    <row r="272" spans="3:40" outlineLevel="2">
      <c r="C272" s="347" t="s">
        <v>619</v>
      </c>
      <c r="D272" s="399">
        <v>1</v>
      </c>
      <c r="E272" s="41" t="s">
        <v>13</v>
      </c>
      <c r="F272" s="23">
        <f ca="1">SUM(G272:AN272)</f>
        <v>25567.459454624084</v>
      </c>
      <c r="G272" s="346">
        <f t="shared" ref="G272:AN272" si="275">G152</f>
        <v>0</v>
      </c>
      <c r="H272" s="346">
        <f t="shared" si="275"/>
        <v>0</v>
      </c>
      <c r="I272" s="346">
        <f t="shared" ca="1" si="275"/>
        <v>232.44698031754103</v>
      </c>
      <c r="J272" s="346">
        <f t="shared" ca="1" si="275"/>
        <v>265.5941607145204</v>
      </c>
      <c r="K272" s="346">
        <f t="shared" ca="1" si="275"/>
        <v>311.60927514778848</v>
      </c>
      <c r="L272" s="346">
        <f t="shared" ca="1" si="275"/>
        <v>660.42140774005156</v>
      </c>
      <c r="M272" s="346">
        <f t="shared" ca="1" si="275"/>
        <v>740.2916234765114</v>
      </c>
      <c r="N272" s="346">
        <f t="shared" ca="1" si="275"/>
        <v>1110.8086631354661</v>
      </c>
      <c r="O272" s="346">
        <f t="shared" ca="1" si="275"/>
        <v>1234.8275744361133</v>
      </c>
      <c r="P272" s="346">
        <f t="shared" ca="1" si="275"/>
        <v>1413.8843739440738</v>
      </c>
      <c r="Q272" s="346">
        <f t="shared" ca="1" si="275"/>
        <v>1661.2216001783565</v>
      </c>
      <c r="R272" s="346">
        <f t="shared" ca="1" si="275"/>
        <v>1932.2538770782451</v>
      </c>
      <c r="S272" s="346">
        <f t="shared" ca="1" si="275"/>
        <v>2229.5130025729118</v>
      </c>
      <c r="T272" s="346">
        <f t="shared" ca="1" si="275"/>
        <v>2501.510505976566</v>
      </c>
      <c r="U272" s="346">
        <f t="shared" ca="1" si="275"/>
        <v>4715.1943989975407</v>
      </c>
      <c r="V272" s="346">
        <f t="shared" ca="1" si="275"/>
        <v>6557.882010908399</v>
      </c>
      <c r="W272" s="346">
        <f t="shared" si="275"/>
        <v>0</v>
      </c>
      <c r="X272" s="346">
        <f t="shared" si="275"/>
        <v>0</v>
      </c>
      <c r="Y272" s="346">
        <f t="shared" si="275"/>
        <v>0</v>
      </c>
      <c r="Z272" s="346">
        <f t="shared" si="275"/>
        <v>0</v>
      </c>
      <c r="AA272" s="346">
        <f t="shared" si="275"/>
        <v>0</v>
      </c>
      <c r="AB272" s="346">
        <f t="shared" si="275"/>
        <v>0</v>
      </c>
      <c r="AC272" s="346">
        <f t="shared" si="275"/>
        <v>0</v>
      </c>
      <c r="AD272" s="346">
        <f t="shared" si="275"/>
        <v>0</v>
      </c>
      <c r="AE272" s="346">
        <f t="shared" si="275"/>
        <v>0</v>
      </c>
      <c r="AF272" s="346">
        <f t="shared" si="275"/>
        <v>0</v>
      </c>
      <c r="AG272" s="346">
        <f t="shared" si="275"/>
        <v>0</v>
      </c>
      <c r="AH272" s="346">
        <f t="shared" si="275"/>
        <v>0</v>
      </c>
      <c r="AI272" s="346">
        <f t="shared" si="275"/>
        <v>0</v>
      </c>
      <c r="AJ272" s="346">
        <f t="shared" si="275"/>
        <v>0</v>
      </c>
      <c r="AK272" s="346">
        <f t="shared" si="275"/>
        <v>0</v>
      </c>
      <c r="AL272" s="346">
        <f t="shared" si="275"/>
        <v>0</v>
      </c>
      <c r="AM272" s="346">
        <f t="shared" si="275"/>
        <v>0</v>
      </c>
      <c r="AN272" s="346">
        <f t="shared" si="275"/>
        <v>0</v>
      </c>
    </row>
    <row r="273" spans="3:40" outlineLevel="2">
      <c r="C273" s="347" t="s">
        <v>620</v>
      </c>
      <c r="D273" s="399">
        <v>2</v>
      </c>
      <c r="E273" s="41" t="s">
        <v>13</v>
      </c>
      <c r="F273" s="23">
        <f ca="1">SUM(G273:AN273)</f>
        <v>38388.243146281522</v>
      </c>
      <c r="G273" s="346">
        <f t="shared" ref="G273:AN273" si="276">-G186-G211</f>
        <v>0</v>
      </c>
      <c r="H273" s="346">
        <f t="shared" si="276"/>
        <v>0</v>
      </c>
      <c r="I273" s="346">
        <f t="shared" ca="1" si="276"/>
        <v>499.67662950197297</v>
      </c>
      <c r="J273" s="346">
        <f t="shared" ca="1" si="276"/>
        <v>514.95602341251913</v>
      </c>
      <c r="K273" s="346">
        <f t="shared" ca="1" si="276"/>
        <v>546.75402514894415</v>
      </c>
      <c r="L273" s="346">
        <f t="shared" ca="1" si="276"/>
        <v>1106.0955312112383</v>
      </c>
      <c r="M273" s="346">
        <f t="shared" ca="1" si="276"/>
        <v>1118.1752778588855</v>
      </c>
      <c r="N273" s="346">
        <f t="shared" ca="1" si="276"/>
        <v>1573.1298673963411</v>
      </c>
      <c r="O273" s="346">
        <f t="shared" ca="1" si="276"/>
        <v>1575.8426512509786</v>
      </c>
      <c r="P273" s="346">
        <f t="shared" ca="1" si="276"/>
        <v>1636.2554399419928</v>
      </c>
      <c r="Q273" s="346">
        <f t="shared" ca="1" si="276"/>
        <v>1757.3353069852062</v>
      </c>
      <c r="R273" s="346">
        <f t="shared" ca="1" si="276"/>
        <v>1867.3156653056431</v>
      </c>
      <c r="S273" s="346">
        <f t="shared" ca="1" si="276"/>
        <v>1967.0574053189182</v>
      </c>
      <c r="T273" s="346">
        <f t="shared" ca="1" si="276"/>
        <v>1996.8589924777423</v>
      </c>
      <c r="U273" s="346">
        <f t="shared" ca="1" si="276"/>
        <v>4041.9952053962925</v>
      </c>
      <c r="V273" s="346">
        <f t="shared" ca="1" si="276"/>
        <v>4041.9952053962925</v>
      </c>
      <c r="W273" s="346">
        <f t="shared" ca="1" si="276"/>
        <v>122.55581098987334</v>
      </c>
      <c r="X273" s="346">
        <f t="shared" ca="1" si="276"/>
        <v>136.08080336195795</v>
      </c>
      <c r="Y273" s="346">
        <f t="shared" ca="1" si="276"/>
        <v>170.49742176504961</v>
      </c>
      <c r="Z273" s="346">
        <f t="shared" ca="1" si="276"/>
        <v>172.73956002296779</v>
      </c>
      <c r="AA273" s="346">
        <f t="shared" ca="1" si="276"/>
        <v>236.28897931283296</v>
      </c>
      <c r="AB273" s="346">
        <f t="shared" ca="1" si="276"/>
        <v>714.72721226863132</v>
      </c>
      <c r="AC273" s="346">
        <f t="shared" ca="1" si="276"/>
        <v>760.68389477526887</v>
      </c>
      <c r="AD273" s="346">
        <f t="shared" ca="1" si="276"/>
        <v>814.77171918056888</v>
      </c>
      <c r="AE273" s="346">
        <f t="shared" ca="1" si="276"/>
        <v>847.93202265341904</v>
      </c>
      <c r="AF273" s="346">
        <f t="shared" ca="1" si="276"/>
        <v>1179.8798962720443</v>
      </c>
      <c r="AG273" s="346">
        <f t="shared" ca="1" si="276"/>
        <v>1187.8527402313193</v>
      </c>
      <c r="AH273" s="346">
        <f t="shared" ca="1" si="276"/>
        <v>1520.7523407234767</v>
      </c>
      <c r="AI273" s="346">
        <f t="shared" ca="1" si="276"/>
        <v>3124.1676236420267</v>
      </c>
      <c r="AJ273" s="346">
        <f t="shared" ca="1" si="276"/>
        <v>3155.8698944791267</v>
      </c>
      <c r="AK273" s="346">
        <f t="shared" si="276"/>
        <v>0</v>
      </c>
      <c r="AL273" s="346">
        <f t="shared" si="276"/>
        <v>0</v>
      </c>
      <c r="AM273" s="346">
        <f t="shared" si="276"/>
        <v>0</v>
      </c>
      <c r="AN273" s="346">
        <f t="shared" si="276"/>
        <v>0</v>
      </c>
    </row>
    <row r="274" spans="3:40" outlineLevel="2">
      <c r="C274" s="347" t="s">
        <v>621</v>
      </c>
      <c r="D274" s="399">
        <v>3</v>
      </c>
      <c r="E274" s="41" t="s">
        <v>13</v>
      </c>
      <c r="F274" s="23">
        <f ca="1">SUM(G274:AN274)</f>
        <v>108865.06631369627</v>
      </c>
      <c r="G274" s="346">
        <f t="shared" ref="G274:AN274" ca="1" si="277">G260</f>
        <v>0</v>
      </c>
      <c r="H274" s="346">
        <f t="shared" ca="1" si="277"/>
        <v>0</v>
      </c>
      <c r="I274" s="346">
        <f t="shared" ca="1" si="277"/>
        <v>0</v>
      </c>
      <c r="J274" s="346">
        <f t="shared" ca="1" si="277"/>
        <v>1385.9054565850392</v>
      </c>
      <c r="K274" s="346">
        <f t="shared" ca="1" si="277"/>
        <v>1470.3922461346542</v>
      </c>
      <c r="L274" s="346">
        <f t="shared" ca="1" si="277"/>
        <v>0</v>
      </c>
      <c r="M274" s="346">
        <f t="shared" ca="1" si="277"/>
        <v>1968.1163342257153</v>
      </c>
      <c r="N274" s="346">
        <f t="shared" ca="1" si="277"/>
        <v>0</v>
      </c>
      <c r="O274" s="346">
        <f t="shared" ca="1" si="277"/>
        <v>3387.5840035297329</v>
      </c>
      <c r="P274" s="346">
        <f t="shared" ca="1" si="277"/>
        <v>2989.0581114653651</v>
      </c>
      <c r="Q274" s="346">
        <f t="shared" ca="1" si="277"/>
        <v>2903.953581864087</v>
      </c>
      <c r="R274" s="346">
        <f t="shared" ca="1" si="277"/>
        <v>3648.7870677468445</v>
      </c>
      <c r="S274" s="346">
        <f t="shared" ca="1" si="277"/>
        <v>4441.013119812158</v>
      </c>
      <c r="T274" s="346">
        <f t="shared" ca="1" si="277"/>
        <v>5342.4227589109232</v>
      </c>
      <c r="U274" s="346">
        <f t="shared" ca="1" si="277"/>
        <v>0</v>
      </c>
      <c r="V274" s="346">
        <f t="shared" ca="1" si="277"/>
        <v>3138.1549597214389</v>
      </c>
      <c r="W274" s="346">
        <f t="shared" ca="1" si="277"/>
        <v>5450.6255683059253</v>
      </c>
      <c r="X274" s="346">
        <f t="shared" ca="1" si="277"/>
        <v>5983.1172748700365</v>
      </c>
      <c r="Y274" s="346">
        <f t="shared" ca="1" si="277"/>
        <v>5473.5125191335956</v>
      </c>
      <c r="Z274" s="346">
        <f t="shared" ca="1" si="277"/>
        <v>6275.1365702977528</v>
      </c>
      <c r="AA274" s="346">
        <f t="shared" ca="1" si="277"/>
        <v>5430.7525356693704</v>
      </c>
      <c r="AB274" s="346">
        <f t="shared" ca="1" si="277"/>
        <v>0</v>
      </c>
      <c r="AC274" s="346">
        <f t="shared" ca="1" si="277"/>
        <v>6293.63801180053</v>
      </c>
      <c r="AD274" s="346">
        <f t="shared" ca="1" si="277"/>
        <v>6403.4526950543741</v>
      </c>
      <c r="AE274" s="346">
        <f t="shared" ca="1" si="277"/>
        <v>6882.1486312191655</v>
      </c>
      <c r="AF274" s="346">
        <f t="shared" ca="1" si="277"/>
        <v>4616.6186198674877</v>
      </c>
      <c r="AG274" s="346">
        <f t="shared" ca="1" si="277"/>
        <v>7479.7105579170793</v>
      </c>
      <c r="AH274" s="346">
        <f t="shared" ca="1" si="277"/>
        <v>6025.3574859515447</v>
      </c>
      <c r="AI274" s="346">
        <f t="shared" ca="1" si="277"/>
        <v>2532.3047842655928</v>
      </c>
      <c r="AJ274" s="346">
        <f t="shared" ca="1" si="277"/>
        <v>9343.3034193478543</v>
      </c>
      <c r="AK274" s="346">
        <f t="shared" ca="1" si="277"/>
        <v>0</v>
      </c>
      <c r="AL274" s="346">
        <f t="shared" ca="1" si="277"/>
        <v>0</v>
      </c>
      <c r="AM274" s="346">
        <f t="shared" ca="1" si="277"/>
        <v>0</v>
      </c>
      <c r="AN274" s="346">
        <f t="shared" ca="1" si="277"/>
        <v>0</v>
      </c>
    </row>
    <row r="275" spans="3:40" outlineLevel="2">
      <c r="C275" s="266"/>
      <c r="D275" s="266"/>
      <c r="E275" s="41"/>
      <c r="F275" s="266"/>
      <c r="G275" s="266"/>
      <c r="H275" s="266"/>
      <c r="I275" s="266"/>
      <c r="J275" s="266"/>
      <c r="K275" s="266"/>
      <c r="L275" s="266"/>
      <c r="M275" s="266"/>
      <c r="N275" s="266"/>
      <c r="O275" s="266"/>
      <c r="P275" s="266"/>
      <c r="Q275" s="266"/>
      <c r="R275" s="266"/>
      <c r="S275" s="266"/>
      <c r="T275" s="266"/>
      <c r="U275" s="266"/>
      <c r="V275" s="266"/>
      <c r="W275" s="266"/>
      <c r="X275" s="266"/>
      <c r="Y275" s="266"/>
      <c r="Z275" s="266"/>
      <c r="AA275" s="266"/>
      <c r="AB275" s="266"/>
      <c r="AC275" s="266"/>
      <c r="AD275" s="266"/>
      <c r="AE275" s="266"/>
      <c r="AF275" s="266"/>
      <c r="AG275" s="266"/>
      <c r="AH275" s="266"/>
      <c r="AI275" s="266"/>
      <c r="AJ275" s="266"/>
      <c r="AK275" s="266"/>
      <c r="AL275" s="266"/>
      <c r="AM275" s="266"/>
      <c r="AN275" s="266"/>
    </row>
    <row r="276" spans="3:40" outlineLevel="2">
      <c r="C276" s="314" t="s">
        <v>622</v>
      </c>
      <c r="D276" s="266"/>
      <c r="E276" s="41" t="s">
        <v>13</v>
      </c>
      <c r="F276" s="23">
        <f ca="1">SUM(G276:AN276)</f>
        <v>21660.671032363389</v>
      </c>
      <c r="G276" s="346">
        <f t="shared" ref="G276:AN276" ca="1" si="278">INDEX(G$267:G$269,MATCH($E$265,$D$272:$D$274,0))</f>
        <v>592.62671164927997</v>
      </c>
      <c r="H276" s="346">
        <f t="shared" ca="1" si="278"/>
        <v>673.61068116215745</v>
      </c>
      <c r="I276" s="346">
        <f t="shared" ca="1" si="278"/>
        <v>769.50200943303844</v>
      </c>
      <c r="J276" s="346">
        <f t="shared" ca="1" si="278"/>
        <v>736.38711347990238</v>
      </c>
      <c r="K276" s="346">
        <f t="shared" ca="1" si="278"/>
        <v>721.7153131966063</v>
      </c>
      <c r="L276" s="346">
        <f t="shared" ca="1" si="278"/>
        <v>1338.3755927655984</v>
      </c>
      <c r="M276" s="346">
        <f t="shared" ca="1" si="278"/>
        <v>1229.9928056447741</v>
      </c>
      <c r="N276" s="346">
        <f t="shared" ca="1" si="278"/>
        <v>1557.3985687223778</v>
      </c>
      <c r="O276" s="346">
        <f t="shared" ca="1" si="278"/>
        <v>1386.7415331008615</v>
      </c>
      <c r="P276" s="346">
        <f t="shared" ca="1" si="278"/>
        <v>1259.9166887553345</v>
      </c>
      <c r="Q276" s="346">
        <f t="shared" ca="1" si="278"/>
        <v>1159.8413026102362</v>
      </c>
      <c r="R276" s="346">
        <f t="shared" ca="1" si="278"/>
        <v>1027.0236159181038</v>
      </c>
      <c r="S276" s="346">
        <f t="shared" ca="1" si="278"/>
        <v>865.50525834032408</v>
      </c>
      <c r="T276" s="346">
        <f t="shared" ca="1" si="278"/>
        <v>658.96346751765498</v>
      </c>
      <c r="U276" s="346">
        <f t="shared" ca="1" si="278"/>
        <v>889.23894518718441</v>
      </c>
      <c r="V276" s="346">
        <f t="shared" ca="1" si="278"/>
        <v>444.61947259359221</v>
      </c>
      <c r="W276" s="346">
        <f t="shared" ca="1" si="278"/>
        <v>188.73594892440497</v>
      </c>
      <c r="X276" s="346">
        <f t="shared" ca="1" si="278"/>
        <v>194.5955488075999</v>
      </c>
      <c r="Y276" s="346">
        <f t="shared" ca="1" si="278"/>
        <v>225.05659672986553</v>
      </c>
      <c r="Z276" s="346">
        <f t="shared" ca="1" si="278"/>
        <v>209.01486762779103</v>
      </c>
      <c r="AA276" s="346">
        <f t="shared" ca="1" si="278"/>
        <v>259.91787724411626</v>
      </c>
      <c r="AB276" s="346">
        <f t="shared" ca="1" si="278"/>
        <v>707.5799401459451</v>
      </c>
      <c r="AC276" s="346">
        <f t="shared" ca="1" si="278"/>
        <v>669.40182740223668</v>
      </c>
      <c r="AD276" s="346">
        <f t="shared" ca="1" si="278"/>
        <v>627.37422376903817</v>
      </c>
      <c r="AE276" s="346">
        <f t="shared" ca="1" si="278"/>
        <v>559.63513495125665</v>
      </c>
      <c r="AF276" s="346">
        <f t="shared" ca="1" si="278"/>
        <v>648.93394294962457</v>
      </c>
      <c r="AG276" s="346">
        <f t="shared" ca="1" si="278"/>
        <v>522.65520570178057</v>
      </c>
      <c r="AH276" s="346">
        <f t="shared" ca="1" si="278"/>
        <v>501.84827243874736</v>
      </c>
      <c r="AI276" s="346">
        <f t="shared" ca="1" si="278"/>
        <v>687.31687720124592</v>
      </c>
      <c r="AJ276" s="346">
        <f t="shared" ca="1" si="278"/>
        <v>347.14568839270396</v>
      </c>
      <c r="AK276" s="346">
        <f t="shared" ca="1" si="278"/>
        <v>0</v>
      </c>
      <c r="AL276" s="346">
        <f t="shared" ca="1" si="278"/>
        <v>0</v>
      </c>
      <c r="AM276" s="346">
        <f t="shared" ca="1" si="278"/>
        <v>0</v>
      </c>
      <c r="AN276" s="346">
        <f t="shared" ca="1" si="278"/>
        <v>0</v>
      </c>
    </row>
    <row r="277" spans="3:40" outlineLevel="2">
      <c r="C277" s="314" t="s">
        <v>601</v>
      </c>
      <c r="D277" s="266"/>
      <c r="E277" s="41" t="s">
        <v>13</v>
      </c>
      <c r="F277" s="23">
        <f ca="1">SUM(G277:AN277)</f>
        <v>38388.243146281522</v>
      </c>
      <c r="G277" s="346">
        <f t="shared" ref="G277:AN277" si="279">INDEX(G$272:G$274,MATCH($E$265,$D$272:$D$274,0))</f>
        <v>0</v>
      </c>
      <c r="H277" s="346">
        <f t="shared" si="279"/>
        <v>0</v>
      </c>
      <c r="I277" s="346">
        <f t="shared" ca="1" si="279"/>
        <v>499.67662950197297</v>
      </c>
      <c r="J277" s="346">
        <f t="shared" ca="1" si="279"/>
        <v>514.95602341251913</v>
      </c>
      <c r="K277" s="346">
        <f t="shared" ca="1" si="279"/>
        <v>546.75402514894415</v>
      </c>
      <c r="L277" s="346">
        <f t="shared" ca="1" si="279"/>
        <v>1106.0955312112383</v>
      </c>
      <c r="M277" s="346">
        <f t="shared" ca="1" si="279"/>
        <v>1118.1752778588855</v>
      </c>
      <c r="N277" s="346">
        <f t="shared" ca="1" si="279"/>
        <v>1573.1298673963411</v>
      </c>
      <c r="O277" s="346">
        <f t="shared" ca="1" si="279"/>
        <v>1575.8426512509786</v>
      </c>
      <c r="P277" s="346">
        <f t="shared" ca="1" si="279"/>
        <v>1636.2554399419928</v>
      </c>
      <c r="Q277" s="346">
        <f t="shared" ca="1" si="279"/>
        <v>1757.3353069852062</v>
      </c>
      <c r="R277" s="346">
        <f t="shared" ca="1" si="279"/>
        <v>1867.3156653056431</v>
      </c>
      <c r="S277" s="346">
        <f t="shared" ca="1" si="279"/>
        <v>1967.0574053189182</v>
      </c>
      <c r="T277" s="346">
        <f t="shared" ca="1" si="279"/>
        <v>1996.8589924777423</v>
      </c>
      <c r="U277" s="346">
        <f t="shared" ca="1" si="279"/>
        <v>4041.9952053962925</v>
      </c>
      <c r="V277" s="346">
        <f t="shared" ca="1" si="279"/>
        <v>4041.9952053962925</v>
      </c>
      <c r="W277" s="346">
        <f t="shared" ca="1" si="279"/>
        <v>122.55581098987334</v>
      </c>
      <c r="X277" s="346">
        <f t="shared" ca="1" si="279"/>
        <v>136.08080336195795</v>
      </c>
      <c r="Y277" s="346">
        <f t="shared" ca="1" si="279"/>
        <v>170.49742176504961</v>
      </c>
      <c r="Z277" s="346">
        <f t="shared" ca="1" si="279"/>
        <v>172.73956002296779</v>
      </c>
      <c r="AA277" s="346">
        <f t="shared" ca="1" si="279"/>
        <v>236.28897931283296</v>
      </c>
      <c r="AB277" s="346">
        <f t="shared" ca="1" si="279"/>
        <v>714.72721226863132</v>
      </c>
      <c r="AC277" s="346">
        <f t="shared" ca="1" si="279"/>
        <v>760.68389477526887</v>
      </c>
      <c r="AD277" s="346">
        <f t="shared" ca="1" si="279"/>
        <v>814.77171918056888</v>
      </c>
      <c r="AE277" s="346">
        <f t="shared" ca="1" si="279"/>
        <v>847.93202265341904</v>
      </c>
      <c r="AF277" s="346">
        <f t="shared" ca="1" si="279"/>
        <v>1179.8798962720443</v>
      </c>
      <c r="AG277" s="346">
        <f t="shared" ca="1" si="279"/>
        <v>1187.8527402313193</v>
      </c>
      <c r="AH277" s="346">
        <f t="shared" ca="1" si="279"/>
        <v>1520.7523407234767</v>
      </c>
      <c r="AI277" s="346">
        <f t="shared" ca="1" si="279"/>
        <v>3124.1676236420267</v>
      </c>
      <c r="AJ277" s="346">
        <f t="shared" ca="1" si="279"/>
        <v>3155.8698944791267</v>
      </c>
      <c r="AK277" s="346">
        <f t="shared" si="279"/>
        <v>0</v>
      </c>
      <c r="AL277" s="346">
        <f t="shared" si="279"/>
        <v>0</v>
      </c>
      <c r="AM277" s="346">
        <f t="shared" si="279"/>
        <v>0</v>
      </c>
      <c r="AN277" s="346">
        <f t="shared" si="279"/>
        <v>0</v>
      </c>
    </row>
    <row r="278" spans="3:40" customFormat="1" ht="14.4" outlineLevel="2"/>
    <row r="279" spans="3:40" customFormat="1" ht="14.4" outlineLevel="1"/>
    <row r="280" spans="3:40" customFormat="1" ht="14.4" outlineLevel="1"/>
    <row r="281" spans="3:40" customFormat="1" ht="14.4"/>
    <row r="282" spans="3:40" s="266" customFormat="1" ht="16.2" thickBot="1">
      <c r="C282" s="394" t="s">
        <v>100</v>
      </c>
      <c r="D282" s="395"/>
      <c r="E282" s="396"/>
      <c r="F282" s="395"/>
      <c r="G282" s="395"/>
      <c r="H282" s="395"/>
      <c r="I282" s="395"/>
      <c r="J282" s="395"/>
      <c r="K282" s="395"/>
      <c r="L282" s="395"/>
      <c r="M282" s="395"/>
      <c r="N282" s="395"/>
      <c r="O282" s="395"/>
      <c r="P282" s="395"/>
      <c r="Q282" s="395"/>
      <c r="R282" s="395"/>
      <c r="S282" s="395"/>
      <c r="T282" s="395"/>
      <c r="U282" s="395"/>
      <c r="V282" s="395"/>
      <c r="W282" s="395"/>
      <c r="X282" s="395"/>
      <c r="Y282" s="395"/>
      <c r="Z282" s="395"/>
      <c r="AA282" s="395"/>
      <c r="AB282" s="395"/>
      <c r="AC282" s="395"/>
      <c r="AD282" s="395"/>
      <c r="AE282" s="395"/>
      <c r="AF282" s="395"/>
      <c r="AG282" s="395"/>
      <c r="AH282" s="395"/>
      <c r="AI282" s="395"/>
      <c r="AJ282" s="395"/>
      <c r="AK282" s="8"/>
      <c r="AL282" s="8"/>
      <c r="AM282" s="8"/>
      <c r="AN282" s="8"/>
    </row>
    <row r="283" spans="3:40" outlineLevel="1">
      <c r="C283" s="266"/>
      <c r="F283" s="266"/>
      <c r="G283" s="266"/>
      <c r="H283" s="266"/>
      <c r="I283" s="266"/>
      <c r="J283" s="266"/>
      <c r="K283" s="266"/>
      <c r="L283" s="266"/>
      <c r="M283" s="266"/>
      <c r="N283" s="266"/>
      <c r="O283" s="266"/>
      <c r="P283" s="266"/>
      <c r="Q283" s="266"/>
      <c r="R283" s="266"/>
      <c r="S283" s="266"/>
      <c r="T283" s="266"/>
      <c r="U283" s="266"/>
      <c r="V283" s="266"/>
      <c r="W283" s="266"/>
      <c r="X283" s="266"/>
      <c r="Y283" s="266"/>
      <c r="Z283" s="266"/>
      <c r="AA283" s="266"/>
      <c r="AB283" s="266"/>
      <c r="AC283" s="266"/>
      <c r="AD283" s="266"/>
      <c r="AE283" s="266"/>
      <c r="AF283" s="266"/>
      <c r="AG283" s="266"/>
      <c r="AH283" s="266"/>
      <c r="AI283" s="266"/>
      <c r="AJ283" s="266"/>
      <c r="AK283" s="266"/>
      <c r="AL283" s="266"/>
      <c r="AM283" s="266"/>
      <c r="AN283" s="266"/>
    </row>
    <row r="284" spans="3:40" outlineLevel="1">
      <c r="C284" t="s">
        <v>623</v>
      </c>
      <c r="F284" s="266"/>
      <c r="G284" s="266"/>
      <c r="H284" s="266"/>
      <c r="I284" s="266"/>
      <c r="J284" s="266"/>
      <c r="K284" s="266"/>
      <c r="L284" s="266"/>
      <c r="M284" s="266"/>
      <c r="N284" s="266"/>
      <c r="O284" s="266"/>
      <c r="P284" s="266"/>
      <c r="Q284" s="266"/>
      <c r="R284" s="266"/>
      <c r="S284" s="266"/>
      <c r="T284" s="266"/>
      <c r="U284" s="266"/>
      <c r="V284" s="266"/>
      <c r="W284" s="266"/>
      <c r="X284" s="266"/>
      <c r="Y284" s="266"/>
      <c r="Z284" s="266"/>
      <c r="AA284" s="266"/>
      <c r="AB284" s="266"/>
      <c r="AC284" s="266"/>
      <c r="AD284" s="266"/>
      <c r="AE284" s="266"/>
      <c r="AF284" s="266"/>
      <c r="AG284" s="266"/>
      <c r="AH284" s="266"/>
      <c r="AI284" s="266"/>
      <c r="AJ284" s="266"/>
      <c r="AK284" s="266"/>
      <c r="AL284" s="266"/>
      <c r="AM284" s="266"/>
      <c r="AN284" s="266"/>
    </row>
    <row r="285" spans="3:40" outlineLevel="2">
      <c r="C285" s="314" t="str">
        <f>Flags!C50</f>
        <v>Flag de operação</v>
      </c>
      <c r="E285" s="32" t="str">
        <f>Flags!E50</f>
        <v>Flag</v>
      </c>
      <c r="F285" s="23">
        <f>Flags!F50</f>
        <v>29</v>
      </c>
      <c r="G285" s="25">
        <f>Flags!G50</f>
        <v>0</v>
      </c>
      <c r="H285" s="25">
        <f>Flags!H50</f>
        <v>1</v>
      </c>
      <c r="I285" s="25">
        <f>Flags!I50</f>
        <v>1</v>
      </c>
      <c r="J285" s="25">
        <f>Flags!J50</f>
        <v>1</v>
      </c>
      <c r="K285" s="25">
        <f>Flags!K50</f>
        <v>1</v>
      </c>
      <c r="L285" s="25">
        <f>Flags!L50</f>
        <v>1</v>
      </c>
      <c r="M285" s="25">
        <f>Flags!M50</f>
        <v>1</v>
      </c>
      <c r="N285" s="25">
        <f>Flags!N50</f>
        <v>1</v>
      </c>
      <c r="O285" s="25">
        <f>Flags!O50</f>
        <v>1</v>
      </c>
      <c r="P285" s="25">
        <f>Flags!P50</f>
        <v>1</v>
      </c>
      <c r="Q285" s="25">
        <f>Flags!Q50</f>
        <v>1</v>
      </c>
      <c r="R285" s="25">
        <f>Flags!R50</f>
        <v>1</v>
      </c>
      <c r="S285" s="25">
        <f>Flags!S50</f>
        <v>1</v>
      </c>
      <c r="T285" s="25">
        <f>Flags!T50</f>
        <v>1</v>
      </c>
      <c r="U285" s="25">
        <f>Flags!U50</f>
        <v>1</v>
      </c>
      <c r="V285" s="25">
        <f>Flags!V50</f>
        <v>1</v>
      </c>
      <c r="W285" s="25">
        <f>Flags!W50</f>
        <v>1</v>
      </c>
      <c r="X285" s="25">
        <f>Flags!X50</f>
        <v>1</v>
      </c>
      <c r="Y285" s="25">
        <f>Flags!Y50</f>
        <v>1</v>
      </c>
      <c r="Z285" s="25">
        <f>Flags!Z50</f>
        <v>1</v>
      </c>
      <c r="AA285" s="25">
        <f>Flags!AA50</f>
        <v>1</v>
      </c>
      <c r="AB285" s="25">
        <f>Flags!AB50</f>
        <v>1</v>
      </c>
      <c r="AC285" s="25">
        <f>Flags!AC50</f>
        <v>1</v>
      </c>
      <c r="AD285" s="25">
        <f>Flags!AD50</f>
        <v>1</v>
      </c>
      <c r="AE285" s="25">
        <f>Flags!AE50</f>
        <v>1</v>
      </c>
      <c r="AF285" s="25">
        <f>Flags!AF50</f>
        <v>1</v>
      </c>
      <c r="AG285" s="25">
        <f>Flags!AG50</f>
        <v>1</v>
      </c>
      <c r="AH285" s="25">
        <f>Flags!AH50</f>
        <v>1</v>
      </c>
      <c r="AI285" s="25">
        <f>Flags!AI50</f>
        <v>1</v>
      </c>
      <c r="AJ285" s="25">
        <f>Flags!AJ50</f>
        <v>1</v>
      </c>
      <c r="AK285" s="25">
        <f>Flags!AK50</f>
        <v>0</v>
      </c>
      <c r="AL285" s="25">
        <f>Flags!AL50</f>
        <v>0</v>
      </c>
      <c r="AM285" s="25">
        <f>Flags!AM50</f>
        <v>0</v>
      </c>
      <c r="AN285" s="25">
        <f>Flags!AN50</f>
        <v>0</v>
      </c>
    </row>
    <row r="286" spans="3:40" outlineLevel="2">
      <c r="C286" s="314" t="s">
        <v>623</v>
      </c>
      <c r="E286" s="32" t="s">
        <v>399</v>
      </c>
      <c r="F286" s="23">
        <f>SUM(G286:AN286)</f>
        <v>29</v>
      </c>
      <c r="G286" s="25">
        <f t="shared" ref="G286:AN286" si="280">IF(SUM(G285:G285)&lt;&gt;0,1,0)</f>
        <v>0</v>
      </c>
      <c r="H286" s="25">
        <f t="shared" si="280"/>
        <v>1</v>
      </c>
      <c r="I286" s="25">
        <f t="shared" si="280"/>
        <v>1</v>
      </c>
      <c r="J286" s="25">
        <f t="shared" si="280"/>
        <v>1</v>
      </c>
      <c r="K286" s="25">
        <f t="shared" si="280"/>
        <v>1</v>
      </c>
      <c r="L286" s="25">
        <f t="shared" si="280"/>
        <v>1</v>
      </c>
      <c r="M286" s="25">
        <f t="shared" si="280"/>
        <v>1</v>
      </c>
      <c r="N286" s="25">
        <f t="shared" si="280"/>
        <v>1</v>
      </c>
      <c r="O286" s="25">
        <f t="shared" si="280"/>
        <v>1</v>
      </c>
      <c r="P286" s="25">
        <f t="shared" si="280"/>
        <v>1</v>
      </c>
      <c r="Q286" s="25">
        <f t="shared" si="280"/>
        <v>1</v>
      </c>
      <c r="R286" s="25">
        <f t="shared" si="280"/>
        <v>1</v>
      </c>
      <c r="S286" s="25">
        <f t="shared" si="280"/>
        <v>1</v>
      </c>
      <c r="T286" s="25">
        <f t="shared" si="280"/>
        <v>1</v>
      </c>
      <c r="U286" s="25">
        <f t="shared" si="280"/>
        <v>1</v>
      </c>
      <c r="V286" s="25">
        <f t="shared" si="280"/>
        <v>1</v>
      </c>
      <c r="W286" s="25">
        <f t="shared" si="280"/>
        <v>1</v>
      </c>
      <c r="X286" s="25">
        <f t="shared" si="280"/>
        <v>1</v>
      </c>
      <c r="Y286" s="25">
        <f t="shared" si="280"/>
        <v>1</v>
      </c>
      <c r="Z286" s="25">
        <f t="shared" si="280"/>
        <v>1</v>
      </c>
      <c r="AA286" s="25">
        <f t="shared" si="280"/>
        <v>1</v>
      </c>
      <c r="AB286" s="25">
        <f t="shared" si="280"/>
        <v>1</v>
      </c>
      <c r="AC286" s="25">
        <f t="shared" si="280"/>
        <v>1</v>
      </c>
      <c r="AD286" s="25">
        <f t="shared" si="280"/>
        <v>1</v>
      </c>
      <c r="AE286" s="25">
        <f t="shared" si="280"/>
        <v>1</v>
      </c>
      <c r="AF286" s="25">
        <f t="shared" si="280"/>
        <v>1</v>
      </c>
      <c r="AG286" s="25">
        <f t="shared" si="280"/>
        <v>1</v>
      </c>
      <c r="AH286" s="25">
        <f t="shared" si="280"/>
        <v>1</v>
      </c>
      <c r="AI286" s="25">
        <f t="shared" si="280"/>
        <v>1</v>
      </c>
      <c r="AJ286" s="25">
        <f t="shared" si="280"/>
        <v>1</v>
      </c>
      <c r="AK286" s="25">
        <f t="shared" si="280"/>
        <v>0</v>
      </c>
      <c r="AL286" s="25">
        <f t="shared" si="280"/>
        <v>0</v>
      </c>
      <c r="AM286" s="25">
        <f t="shared" si="280"/>
        <v>0</v>
      </c>
      <c r="AN286" s="25">
        <f t="shared" si="280"/>
        <v>0</v>
      </c>
    </row>
    <row r="287" spans="3:40" outlineLevel="1">
      <c r="C287" s="314"/>
      <c r="F287" s="266"/>
      <c r="G287" s="266"/>
      <c r="H287" s="266"/>
      <c r="I287" s="266"/>
      <c r="J287" s="266"/>
      <c r="K287" s="266"/>
      <c r="L287" s="266"/>
      <c r="M287" s="266"/>
      <c r="N287" s="266"/>
      <c r="O287" s="266"/>
      <c r="P287" s="266"/>
      <c r="Q287" s="266"/>
      <c r="R287" s="266"/>
      <c r="S287" s="266"/>
      <c r="T287" s="266"/>
      <c r="U287" s="266"/>
      <c r="V287" s="266"/>
      <c r="W287" s="266"/>
      <c r="X287" s="266"/>
      <c r="Y287" s="266"/>
      <c r="Z287" s="266"/>
      <c r="AA287" s="266"/>
      <c r="AB287" s="266"/>
      <c r="AC287" s="266"/>
      <c r="AD287" s="266"/>
      <c r="AE287" s="266"/>
      <c r="AF287" s="266"/>
      <c r="AG287" s="266"/>
      <c r="AH287" s="266"/>
      <c r="AI287" s="266"/>
      <c r="AJ287" s="266"/>
      <c r="AK287" s="266"/>
      <c r="AL287" s="266"/>
      <c r="AM287" s="266"/>
      <c r="AN287" s="266"/>
    </row>
    <row r="288" spans="3:40" outlineLevel="1">
      <c r="C288" t="s">
        <v>624</v>
      </c>
      <c r="F288" s="266"/>
      <c r="G288" s="266"/>
      <c r="H288" s="266"/>
      <c r="I288" s="266"/>
      <c r="J288" s="266"/>
      <c r="K288" s="266"/>
      <c r="L288" s="266"/>
      <c r="M288" s="266"/>
      <c r="N288" s="266"/>
      <c r="O288" s="266"/>
      <c r="P288" s="266"/>
      <c r="Q288" s="266"/>
      <c r="R288" s="266"/>
      <c r="S288" s="266"/>
      <c r="T288" s="266"/>
      <c r="U288" s="266"/>
      <c r="V288" s="266"/>
      <c r="W288" s="266"/>
      <c r="X288" s="266"/>
      <c r="Y288" s="266"/>
      <c r="Z288" s="266"/>
      <c r="AA288" s="266"/>
      <c r="AB288" s="266"/>
      <c r="AC288" s="266"/>
      <c r="AD288" s="266"/>
      <c r="AE288" s="266"/>
      <c r="AF288" s="266"/>
      <c r="AG288" s="266"/>
      <c r="AH288" s="266"/>
      <c r="AI288" s="266"/>
      <c r="AJ288" s="266"/>
      <c r="AK288" s="266"/>
      <c r="AL288" s="266"/>
      <c r="AM288" s="266"/>
      <c r="AN288" s="266"/>
    </row>
    <row r="289" spans="3:40" outlineLevel="2">
      <c r="C289" s="314" t="str">
        <f t="shared" ref="C289:D289" si="281">C286</f>
        <v>Completion and operations flag</v>
      </c>
      <c r="D289" s="195">
        <f t="shared" si="281"/>
        <v>0</v>
      </c>
      <c r="E289" s="196" t="str">
        <f t="shared" ref="E289:H289" si="282">E286</f>
        <v>Flag</v>
      </c>
      <c r="F289" s="23">
        <f t="shared" si="282"/>
        <v>29</v>
      </c>
      <c r="G289" s="25">
        <f t="shared" si="282"/>
        <v>0</v>
      </c>
      <c r="H289" s="25">
        <f t="shared" si="282"/>
        <v>1</v>
      </c>
      <c r="I289" s="25">
        <f t="shared" ref="I289:AN289" si="283">I286</f>
        <v>1</v>
      </c>
      <c r="J289" s="25">
        <f t="shared" si="283"/>
        <v>1</v>
      </c>
      <c r="K289" s="25">
        <f t="shared" si="283"/>
        <v>1</v>
      </c>
      <c r="L289" s="25">
        <f t="shared" si="283"/>
        <v>1</v>
      </c>
      <c r="M289" s="25">
        <f t="shared" si="283"/>
        <v>1</v>
      </c>
      <c r="N289" s="25">
        <f t="shared" si="283"/>
        <v>1</v>
      </c>
      <c r="O289" s="25">
        <f t="shared" si="283"/>
        <v>1</v>
      </c>
      <c r="P289" s="25">
        <f t="shared" si="283"/>
        <v>1</v>
      </c>
      <c r="Q289" s="25">
        <f t="shared" si="283"/>
        <v>1</v>
      </c>
      <c r="R289" s="25">
        <f t="shared" si="283"/>
        <v>1</v>
      </c>
      <c r="S289" s="25">
        <f t="shared" si="283"/>
        <v>1</v>
      </c>
      <c r="T289" s="25">
        <f t="shared" si="283"/>
        <v>1</v>
      </c>
      <c r="U289" s="25">
        <f t="shared" si="283"/>
        <v>1</v>
      </c>
      <c r="V289" s="25">
        <f t="shared" si="283"/>
        <v>1</v>
      </c>
      <c r="W289" s="25">
        <f t="shared" si="283"/>
        <v>1</v>
      </c>
      <c r="X289" s="25">
        <f t="shared" si="283"/>
        <v>1</v>
      </c>
      <c r="Y289" s="25">
        <f t="shared" si="283"/>
        <v>1</v>
      </c>
      <c r="Z289" s="25">
        <f t="shared" si="283"/>
        <v>1</v>
      </c>
      <c r="AA289" s="25">
        <f t="shared" si="283"/>
        <v>1</v>
      </c>
      <c r="AB289" s="25">
        <f t="shared" si="283"/>
        <v>1</v>
      </c>
      <c r="AC289" s="25">
        <f t="shared" si="283"/>
        <v>1</v>
      </c>
      <c r="AD289" s="25">
        <f t="shared" si="283"/>
        <v>1</v>
      </c>
      <c r="AE289" s="25">
        <f t="shared" si="283"/>
        <v>1</v>
      </c>
      <c r="AF289" s="25">
        <f t="shared" si="283"/>
        <v>1</v>
      </c>
      <c r="AG289" s="25">
        <f t="shared" si="283"/>
        <v>1</v>
      </c>
      <c r="AH289" s="25">
        <f t="shared" si="283"/>
        <v>1</v>
      </c>
      <c r="AI289" s="25">
        <f t="shared" si="283"/>
        <v>1</v>
      </c>
      <c r="AJ289" s="25">
        <f t="shared" si="283"/>
        <v>1</v>
      </c>
      <c r="AK289" s="25">
        <f t="shared" si="283"/>
        <v>0</v>
      </c>
      <c r="AL289" s="25">
        <f t="shared" si="283"/>
        <v>0</v>
      </c>
      <c r="AM289" s="25">
        <f t="shared" si="283"/>
        <v>0</v>
      </c>
      <c r="AN289" s="25">
        <f t="shared" si="283"/>
        <v>0</v>
      </c>
    </row>
    <row r="290" spans="3:40" outlineLevel="2">
      <c r="C290" s="314"/>
      <c r="F290" s="266"/>
      <c r="G290" s="266"/>
      <c r="H290" s="266"/>
      <c r="I290" s="266"/>
      <c r="J290" s="266"/>
      <c r="K290" s="266"/>
      <c r="L290" s="266"/>
      <c r="M290" s="266"/>
      <c r="N290" s="266"/>
      <c r="O290" s="266"/>
      <c r="P290" s="266"/>
      <c r="Q290" s="266"/>
      <c r="R290" s="266"/>
      <c r="S290" s="266"/>
      <c r="T290" s="266"/>
      <c r="U290" s="266"/>
      <c r="V290" s="266"/>
      <c r="W290" s="266"/>
      <c r="X290" s="266"/>
      <c r="Y290" s="266"/>
      <c r="Z290" s="266"/>
      <c r="AA290" s="266"/>
      <c r="AB290" s="266"/>
      <c r="AC290" s="266"/>
      <c r="AD290" s="266"/>
      <c r="AE290" s="266"/>
      <c r="AF290" s="266"/>
      <c r="AG290" s="266"/>
      <c r="AH290" s="266"/>
      <c r="AI290" s="266"/>
      <c r="AJ290" s="266"/>
      <c r="AK290" s="266"/>
      <c r="AL290" s="266"/>
      <c r="AM290" s="266"/>
      <c r="AN290" s="266"/>
    </row>
    <row r="291" spans="3:40" outlineLevel="2">
      <c r="C291" s="314"/>
      <c r="F291" s="266"/>
      <c r="G291" s="266"/>
      <c r="H291" s="266"/>
      <c r="I291" s="266"/>
      <c r="J291" s="266"/>
      <c r="K291" s="266"/>
      <c r="L291" s="266"/>
      <c r="M291" s="266"/>
      <c r="N291" s="266"/>
      <c r="O291" s="266"/>
      <c r="P291" s="266"/>
      <c r="Q291" s="266"/>
      <c r="R291" s="266"/>
      <c r="S291" s="266"/>
      <c r="T291" s="266"/>
      <c r="U291" s="266"/>
      <c r="V291" s="266"/>
      <c r="W291" s="266"/>
      <c r="X291" s="266"/>
      <c r="Y291" s="266"/>
      <c r="Z291" s="266"/>
      <c r="AA291" s="266"/>
      <c r="AB291" s="266"/>
      <c r="AC291" s="266"/>
      <c r="AD291" s="266"/>
      <c r="AE291" s="266"/>
      <c r="AF291" s="266"/>
      <c r="AG291" s="266"/>
      <c r="AH291" s="266"/>
      <c r="AI291" s="266"/>
      <c r="AJ291" s="266"/>
      <c r="AK291" s="266"/>
      <c r="AL291" s="266"/>
      <c r="AM291" s="266"/>
      <c r="AN291" s="266"/>
    </row>
    <row r="292" spans="3:40" outlineLevel="2">
      <c r="C292" s="332" t="s">
        <v>625</v>
      </c>
      <c r="D292" s="81"/>
      <c r="E292" s="82" t="s">
        <v>13</v>
      </c>
      <c r="F292" s="270"/>
      <c r="G292" s="327">
        <f t="shared" ref="G292:AK292" si="284">F295</f>
        <v>0</v>
      </c>
      <c r="H292" s="327">
        <f t="shared" ca="1" si="284"/>
        <v>0</v>
      </c>
      <c r="I292" s="327">
        <f t="shared" ca="1" si="284"/>
        <v>423.05954631167043</v>
      </c>
      <c r="J292" s="327">
        <f t="shared" ca="1" si="284"/>
        <v>417.11437896414054</v>
      </c>
      <c r="K292" s="327">
        <f t="shared" ca="1" si="284"/>
        <v>422.82311278185017</v>
      </c>
      <c r="L292" s="327">
        <f t="shared" ca="1" si="284"/>
        <v>814.82370799227886</v>
      </c>
      <c r="M292" s="327">
        <f t="shared" ca="1" si="284"/>
        <v>782.72269450121985</v>
      </c>
      <c r="N292" s="327">
        <f t="shared" ca="1" si="284"/>
        <v>1043.5094787062396</v>
      </c>
      <c r="O292" s="327">
        <f t="shared" ca="1" si="284"/>
        <v>987.52806145061334</v>
      </c>
      <c r="P292" s="327">
        <f t="shared" ca="1" si="284"/>
        <v>965.39070956577564</v>
      </c>
      <c r="Q292" s="327">
        <f t="shared" ca="1" si="284"/>
        <v>972.39220319848084</v>
      </c>
      <c r="R292" s="327">
        <f t="shared" ca="1" si="284"/>
        <v>964.77976040791566</v>
      </c>
      <c r="S292" s="327">
        <f t="shared" ca="1" si="284"/>
        <v>944.18755455308076</v>
      </c>
      <c r="T292" s="327">
        <f ca="1">S295</f>
        <v>885.27415333179908</v>
      </c>
      <c r="U292" s="327">
        <f t="shared" ca="1" si="284"/>
        <v>1643.7447168611588</v>
      </c>
      <c r="V292" s="327">
        <f t="shared" ca="1" si="284"/>
        <v>1495.5382259966282</v>
      </c>
      <c r="W292" s="327">
        <f t="shared" ca="1" si="284"/>
        <v>103.76391997142605</v>
      </c>
      <c r="X292" s="327">
        <f t="shared" ca="1" si="284"/>
        <v>110.22545072318594</v>
      </c>
      <c r="Y292" s="327">
        <f t="shared" ca="1" si="284"/>
        <v>131.85133949830504</v>
      </c>
      <c r="Z292" s="327">
        <f t="shared" ca="1" si="284"/>
        <v>127.25147588358628</v>
      </c>
      <c r="AA292" s="327">
        <f t="shared" ca="1" si="284"/>
        <v>165.40228551898306</v>
      </c>
      <c r="AB292" s="327">
        <f t="shared" ca="1" si="284"/>
        <v>474.10238413819206</v>
      </c>
      <c r="AC292" s="327">
        <f t="shared" ca="1" si="284"/>
        <v>476.69524072583516</v>
      </c>
      <c r="AD292" s="327">
        <f t="shared" ca="1" si="284"/>
        <v>480.71531431653574</v>
      </c>
      <c r="AE292" s="327">
        <f t="shared" ca="1" si="284"/>
        <v>469.18905253489191</v>
      </c>
      <c r="AF292" s="327">
        <f t="shared" ca="1" si="284"/>
        <v>609.6046130738896</v>
      </c>
      <c r="AG292" s="327">
        <f t="shared" ca="1" si="284"/>
        <v>570.1693153110333</v>
      </c>
      <c r="AH292" s="327">
        <f t="shared" ca="1" si="284"/>
        <v>674.20020438740801</v>
      </c>
      <c r="AI292" s="327">
        <f t="shared" ca="1" si="284"/>
        <v>1270.4948336144241</v>
      </c>
      <c r="AJ292" s="327">
        <f t="shared" ca="1" si="284"/>
        <v>1167.671860957277</v>
      </c>
      <c r="AK292" s="327">
        <f t="shared" ca="1" si="284"/>
        <v>0</v>
      </c>
      <c r="AL292" s="327">
        <f ca="1">AK295</f>
        <v>0</v>
      </c>
      <c r="AM292" s="327">
        <f ca="1">AL295</f>
        <v>0</v>
      </c>
      <c r="AN292" s="327">
        <f ca="1">AM295</f>
        <v>0</v>
      </c>
    </row>
    <row r="293" spans="3:40" outlineLevel="2">
      <c r="C293" s="315" t="s">
        <v>626</v>
      </c>
      <c r="E293" s="32" t="s">
        <v>13</v>
      </c>
      <c r="F293" s="266"/>
      <c r="G293" s="273">
        <f t="shared" ref="G293:AL293" ca="1" si="285">G331</f>
        <v>0</v>
      </c>
      <c r="H293" s="273">
        <f t="shared" ca="1" si="285"/>
        <v>423.05954631167043</v>
      </c>
      <c r="I293" s="273">
        <f t="shared" ca="1" si="285"/>
        <v>0</v>
      </c>
      <c r="J293" s="273">
        <f ca="1">J331</f>
        <v>5.7087338177096285</v>
      </c>
      <c r="K293" s="273">
        <f t="shared" ca="1" si="285"/>
        <v>392.00059521042868</v>
      </c>
      <c r="L293" s="273">
        <f t="shared" ca="1" si="285"/>
        <v>0</v>
      </c>
      <c r="M293" s="273">
        <f t="shared" ca="1" si="285"/>
        <v>260.78678420501979</v>
      </c>
      <c r="N293" s="273">
        <f t="shared" ca="1" si="285"/>
        <v>0</v>
      </c>
      <c r="O293" s="273">
        <f t="shared" ca="1" si="285"/>
        <v>0</v>
      </c>
      <c r="P293" s="273">
        <f t="shared" ca="1" si="285"/>
        <v>7.0014936327052055</v>
      </c>
      <c r="Q293" s="273">
        <f t="shared" ca="1" si="285"/>
        <v>0</v>
      </c>
      <c r="R293" s="273">
        <f t="shared" ca="1" si="285"/>
        <v>0</v>
      </c>
      <c r="S293" s="273">
        <f t="shared" ca="1" si="285"/>
        <v>0</v>
      </c>
      <c r="T293" s="273">
        <f t="shared" ca="1" si="285"/>
        <v>758.47056352935977</v>
      </c>
      <c r="U293" s="273">
        <f t="shared" ca="1" si="285"/>
        <v>0</v>
      </c>
      <c r="V293" s="273">
        <f t="shared" ca="1" si="285"/>
        <v>0</v>
      </c>
      <c r="W293" s="273">
        <f t="shared" ca="1" si="285"/>
        <v>6.461530751759895</v>
      </c>
      <c r="X293" s="273">
        <f t="shared" ca="1" si="285"/>
        <v>21.625888775119094</v>
      </c>
      <c r="Y293" s="273">
        <f t="shared" ca="1" si="285"/>
        <v>0</v>
      </c>
      <c r="Z293" s="273">
        <f t="shared" ca="1" si="285"/>
        <v>38.150809635396783</v>
      </c>
      <c r="AA293" s="273">
        <f t="shared" ca="1" si="285"/>
        <v>308.70009861920903</v>
      </c>
      <c r="AB293" s="273">
        <f t="shared" ca="1" si="285"/>
        <v>2.592856587643098</v>
      </c>
      <c r="AC293" s="273">
        <f t="shared" ca="1" si="285"/>
        <v>4.0200735907005765</v>
      </c>
      <c r="AD293" s="273">
        <f t="shared" ca="1" si="285"/>
        <v>0</v>
      </c>
      <c r="AE293" s="273">
        <f t="shared" ca="1" si="285"/>
        <v>140.41556053899768</v>
      </c>
      <c r="AF293" s="273">
        <f t="shared" ca="1" si="285"/>
        <v>0</v>
      </c>
      <c r="AG293" s="273">
        <f t="shared" ca="1" si="285"/>
        <v>104.03088907637471</v>
      </c>
      <c r="AH293" s="273">
        <f t="shared" ca="1" si="285"/>
        <v>596.29462922701612</v>
      </c>
      <c r="AI293" s="273">
        <f t="shared" ca="1" si="285"/>
        <v>0</v>
      </c>
      <c r="AJ293" s="273">
        <f t="shared" ca="1" si="285"/>
        <v>0</v>
      </c>
      <c r="AK293" s="273">
        <f t="shared" ca="1" si="285"/>
        <v>0</v>
      </c>
      <c r="AL293" s="273">
        <f t="shared" ca="1" si="285"/>
        <v>0</v>
      </c>
      <c r="AM293" s="273">
        <f t="shared" ref="AM293:AN293" ca="1" si="286">AM331</f>
        <v>0</v>
      </c>
      <c r="AN293" s="273">
        <f t="shared" ca="1" si="286"/>
        <v>0</v>
      </c>
    </row>
    <row r="294" spans="3:40" outlineLevel="2">
      <c r="C294" s="348" t="s">
        <v>627</v>
      </c>
      <c r="D294" s="81"/>
      <c r="E294" s="82" t="s">
        <v>13</v>
      </c>
      <c r="F294" s="270"/>
      <c r="G294" s="327">
        <f t="shared" ref="G294:AL294" ca="1" si="287">-G340</f>
        <v>0</v>
      </c>
      <c r="H294" s="327">
        <f t="shared" ca="1" si="287"/>
        <v>0</v>
      </c>
      <c r="I294" s="327">
        <f t="shared" ca="1" si="287"/>
        <v>-5.945167347529889</v>
      </c>
      <c r="J294" s="327">
        <f t="shared" ca="1" si="287"/>
        <v>0</v>
      </c>
      <c r="K294" s="327">
        <f t="shared" ca="1" si="287"/>
        <v>0</v>
      </c>
      <c r="L294" s="327">
        <f t="shared" ca="1" si="287"/>
        <v>-32.101013491059007</v>
      </c>
      <c r="M294" s="327">
        <f t="shared" ca="1" si="287"/>
        <v>0</v>
      </c>
      <c r="N294" s="327">
        <f t="shared" ca="1" si="287"/>
        <v>-55.981417255626297</v>
      </c>
      <c r="O294" s="327">
        <f t="shared" ca="1" si="287"/>
        <v>-22.137351884837699</v>
      </c>
      <c r="P294" s="327">
        <f t="shared" ca="1" si="287"/>
        <v>0</v>
      </c>
      <c r="Q294" s="327">
        <f t="shared" ca="1" si="287"/>
        <v>-7.6124427905651828</v>
      </c>
      <c r="R294" s="327">
        <f t="shared" ca="1" si="287"/>
        <v>-20.592205854834901</v>
      </c>
      <c r="S294" s="327">
        <f t="shared" ca="1" si="287"/>
        <v>-58.913401221281674</v>
      </c>
      <c r="T294" s="327">
        <f t="shared" ca="1" si="287"/>
        <v>0</v>
      </c>
      <c r="U294" s="327">
        <f t="shared" ca="1" si="287"/>
        <v>-148.20649086453068</v>
      </c>
      <c r="V294" s="327">
        <f t="shared" ca="1" si="287"/>
        <v>-1391.7743060252021</v>
      </c>
      <c r="W294" s="327">
        <f t="shared" ca="1" si="287"/>
        <v>0</v>
      </c>
      <c r="X294" s="327">
        <f t="shared" ca="1" si="287"/>
        <v>0</v>
      </c>
      <c r="Y294" s="327">
        <f t="shared" ca="1" si="287"/>
        <v>-4.5998636147187568</v>
      </c>
      <c r="Z294" s="327">
        <f t="shared" ca="1" si="287"/>
        <v>0</v>
      </c>
      <c r="AA294" s="327">
        <f t="shared" ca="1" si="287"/>
        <v>0</v>
      </c>
      <c r="AB294" s="327">
        <f t="shared" ca="1" si="287"/>
        <v>0</v>
      </c>
      <c r="AC294" s="327">
        <f t="shared" ca="1" si="287"/>
        <v>0</v>
      </c>
      <c r="AD294" s="327">
        <f t="shared" ca="1" si="287"/>
        <v>-11.526261781643825</v>
      </c>
      <c r="AE294" s="327">
        <f t="shared" ca="1" si="287"/>
        <v>0</v>
      </c>
      <c r="AF294" s="327">
        <f t="shared" ca="1" si="287"/>
        <v>-39.435297762856294</v>
      </c>
      <c r="AG294" s="327">
        <f t="shared" ca="1" si="287"/>
        <v>0</v>
      </c>
      <c r="AH294" s="327">
        <f t="shared" ca="1" si="287"/>
        <v>0</v>
      </c>
      <c r="AI294" s="327">
        <f t="shared" ca="1" si="287"/>
        <v>-102.82297265714715</v>
      </c>
      <c r="AJ294" s="327">
        <f t="shared" ca="1" si="287"/>
        <v>-1167.671860957277</v>
      </c>
      <c r="AK294" s="327">
        <f t="shared" ca="1" si="287"/>
        <v>0</v>
      </c>
      <c r="AL294" s="327">
        <f t="shared" ca="1" si="287"/>
        <v>0</v>
      </c>
      <c r="AM294" s="327">
        <f t="shared" ref="AM294:AN294" ca="1" si="288">-AM340</f>
        <v>0</v>
      </c>
      <c r="AN294" s="327">
        <f t="shared" ca="1" si="288"/>
        <v>0</v>
      </c>
    </row>
    <row r="295" spans="3:40" outlineLevel="2">
      <c r="C295" s="314" t="s">
        <v>628</v>
      </c>
      <c r="E295" s="32" t="s">
        <v>13</v>
      </c>
      <c r="F295" s="53"/>
      <c r="G295" s="273">
        <f t="shared" ref="G295:AL295" ca="1" si="289">SUM(G292:G294)</f>
        <v>0</v>
      </c>
      <c r="H295" s="273">
        <f t="shared" ca="1" si="289"/>
        <v>423.05954631167043</v>
      </c>
      <c r="I295" s="273">
        <f t="shared" ca="1" si="289"/>
        <v>417.11437896414054</v>
      </c>
      <c r="J295" s="273">
        <f t="shared" ca="1" si="289"/>
        <v>422.82311278185017</v>
      </c>
      <c r="K295" s="273">
        <f t="shared" ca="1" si="289"/>
        <v>814.82370799227886</v>
      </c>
      <c r="L295" s="273">
        <f t="shared" ca="1" si="289"/>
        <v>782.72269450121985</v>
      </c>
      <c r="M295" s="273">
        <f t="shared" ca="1" si="289"/>
        <v>1043.5094787062396</v>
      </c>
      <c r="N295" s="273">
        <f t="shared" ca="1" si="289"/>
        <v>987.52806145061334</v>
      </c>
      <c r="O295" s="273">
        <f t="shared" ca="1" si="289"/>
        <v>965.39070956577564</v>
      </c>
      <c r="P295" s="273">
        <f t="shared" ca="1" si="289"/>
        <v>972.39220319848084</v>
      </c>
      <c r="Q295" s="273">
        <f t="shared" ca="1" si="289"/>
        <v>964.77976040791566</v>
      </c>
      <c r="R295" s="273">
        <f t="shared" ca="1" si="289"/>
        <v>944.18755455308076</v>
      </c>
      <c r="S295" s="273">
        <f t="shared" ca="1" si="289"/>
        <v>885.27415333179908</v>
      </c>
      <c r="T295" s="273">
        <f t="shared" ca="1" si="289"/>
        <v>1643.7447168611588</v>
      </c>
      <c r="U295" s="273">
        <f t="shared" ca="1" si="289"/>
        <v>1495.5382259966282</v>
      </c>
      <c r="V295" s="273">
        <f t="shared" ca="1" si="289"/>
        <v>103.76391997142605</v>
      </c>
      <c r="W295" s="273">
        <f t="shared" ca="1" si="289"/>
        <v>110.22545072318594</v>
      </c>
      <c r="X295" s="273">
        <f t="shared" ca="1" si="289"/>
        <v>131.85133949830504</v>
      </c>
      <c r="Y295" s="273">
        <f t="shared" ca="1" si="289"/>
        <v>127.25147588358628</v>
      </c>
      <c r="Z295" s="273">
        <f t="shared" ca="1" si="289"/>
        <v>165.40228551898306</v>
      </c>
      <c r="AA295" s="273">
        <f t="shared" ca="1" si="289"/>
        <v>474.10238413819206</v>
      </c>
      <c r="AB295" s="273">
        <f t="shared" ca="1" si="289"/>
        <v>476.69524072583516</v>
      </c>
      <c r="AC295" s="273">
        <f t="shared" ca="1" si="289"/>
        <v>480.71531431653574</v>
      </c>
      <c r="AD295" s="273">
        <f t="shared" ca="1" si="289"/>
        <v>469.18905253489191</v>
      </c>
      <c r="AE295" s="273">
        <f t="shared" ca="1" si="289"/>
        <v>609.6046130738896</v>
      </c>
      <c r="AF295" s="273">
        <f t="shared" ca="1" si="289"/>
        <v>570.1693153110333</v>
      </c>
      <c r="AG295" s="273">
        <f t="shared" ca="1" si="289"/>
        <v>674.20020438740801</v>
      </c>
      <c r="AH295" s="273">
        <f t="shared" ca="1" si="289"/>
        <v>1270.4948336144241</v>
      </c>
      <c r="AI295" s="273">
        <f t="shared" ca="1" si="289"/>
        <v>1167.671860957277</v>
      </c>
      <c r="AJ295" s="273">
        <f t="shared" ca="1" si="289"/>
        <v>0</v>
      </c>
      <c r="AK295" s="273">
        <f t="shared" ca="1" si="289"/>
        <v>0</v>
      </c>
      <c r="AL295" s="273">
        <f t="shared" ca="1" si="289"/>
        <v>0</v>
      </c>
      <c r="AM295" s="273">
        <f t="shared" ref="AM295:AN295" ca="1" si="290">SUM(AM292:AM294)</f>
        <v>0</v>
      </c>
      <c r="AN295" s="273">
        <f t="shared" ca="1" si="290"/>
        <v>0</v>
      </c>
    </row>
    <row r="296" spans="3:40" outlineLevel="1">
      <c r="C296" s="314"/>
      <c r="F296" s="266"/>
      <c r="G296" s="266"/>
      <c r="H296" s="266"/>
      <c r="I296" s="266"/>
      <c r="J296" s="266"/>
      <c r="K296" s="266"/>
      <c r="L296" s="266"/>
      <c r="M296" s="266"/>
      <c r="N296" s="266"/>
      <c r="O296" s="266"/>
      <c r="P296" s="266"/>
      <c r="Q296" s="266"/>
      <c r="R296" s="266"/>
      <c r="S296" s="266"/>
      <c r="T296" s="266"/>
      <c r="U296" s="266"/>
      <c r="V296" s="266"/>
      <c r="W296" s="266"/>
      <c r="X296" s="266"/>
      <c r="Y296" s="266"/>
      <c r="Z296" s="266"/>
      <c r="AA296" s="266"/>
      <c r="AB296" s="266"/>
      <c r="AC296" s="266"/>
      <c r="AD296" s="266"/>
      <c r="AE296" s="266"/>
      <c r="AF296" s="266"/>
      <c r="AG296" s="266"/>
      <c r="AH296" s="266"/>
      <c r="AI296" s="266"/>
      <c r="AJ296" s="266"/>
      <c r="AK296" s="266"/>
      <c r="AL296" s="266"/>
      <c r="AM296" s="266"/>
      <c r="AN296" s="266"/>
    </row>
    <row r="297" spans="3:40" outlineLevel="1">
      <c r="C297" t="s">
        <v>629</v>
      </c>
      <c r="F297" s="266"/>
      <c r="G297" s="266"/>
      <c r="H297" s="266"/>
      <c r="I297" s="266"/>
      <c r="J297" s="266"/>
      <c r="K297" s="266"/>
      <c r="L297" s="266"/>
      <c r="M297" s="266"/>
      <c r="N297" s="266"/>
      <c r="O297" s="266"/>
      <c r="P297" s="266"/>
      <c r="Q297" s="266"/>
      <c r="R297" s="266"/>
      <c r="S297" s="266"/>
      <c r="T297" s="266"/>
      <c r="U297" s="266"/>
      <c r="V297" s="266"/>
      <c r="W297" s="266"/>
      <c r="X297" s="266"/>
      <c r="Y297" s="266"/>
      <c r="Z297" s="266"/>
      <c r="AA297" s="266"/>
      <c r="AB297" s="266"/>
      <c r="AC297" s="266"/>
      <c r="AD297" s="266"/>
      <c r="AE297" s="266"/>
      <c r="AF297" s="266"/>
      <c r="AG297" s="266"/>
      <c r="AH297" s="266"/>
      <c r="AI297" s="266"/>
      <c r="AJ297" s="266"/>
      <c r="AK297" s="266"/>
      <c r="AL297" s="266"/>
      <c r="AM297" s="266"/>
      <c r="AN297" s="266"/>
    </row>
    <row r="298" spans="3:40" outlineLevel="2">
      <c r="C298" s="314" t="s">
        <v>630</v>
      </c>
      <c r="D298" s="399">
        <v>1</v>
      </c>
      <c r="E298" s="32" t="s">
        <v>332</v>
      </c>
      <c r="F298" s="266"/>
      <c r="G298" s="266"/>
      <c r="H298" s="266"/>
      <c r="I298" s="266"/>
      <c r="J298" s="266"/>
      <c r="K298" s="266"/>
      <c r="L298" s="266"/>
      <c r="M298" s="266"/>
      <c r="N298" s="266"/>
      <c r="O298" s="266"/>
      <c r="P298" s="266"/>
      <c r="Q298" s="266"/>
      <c r="R298" s="266"/>
      <c r="S298" s="266"/>
      <c r="T298" s="266"/>
      <c r="U298" s="266"/>
      <c r="V298" s="266"/>
      <c r="W298" s="266"/>
      <c r="X298" s="266"/>
      <c r="Y298" s="266"/>
      <c r="Z298" s="266"/>
      <c r="AA298" s="266"/>
      <c r="AB298" s="266"/>
      <c r="AC298" s="266"/>
      <c r="AD298" s="266"/>
      <c r="AE298" s="266"/>
      <c r="AF298" s="266"/>
      <c r="AG298" s="266"/>
      <c r="AH298" s="266"/>
      <c r="AI298" s="266"/>
      <c r="AJ298" s="266"/>
      <c r="AK298" s="266"/>
      <c r="AL298" s="266"/>
      <c r="AM298" s="266"/>
      <c r="AN298" s="266"/>
    </row>
    <row r="299" spans="3:40" outlineLevel="2">
      <c r="C299" s="347" t="str">
        <f>C358</f>
        <v>Serviço da Dívida</v>
      </c>
      <c r="D299" s="49"/>
      <c r="E299" s="41"/>
      <c r="F299" s="50">
        <f ca="1">SUM(G299:AN299)</f>
        <v>20016.30472621497</v>
      </c>
      <c r="G299" s="319">
        <f ca="1">-(DFs!G67/12)*4</f>
        <v>197.54223721642666</v>
      </c>
      <c r="H299" s="319">
        <f ca="1">-(DFs!H67/12)*4</f>
        <v>224.53689372071915</v>
      </c>
      <c r="I299" s="319">
        <f ca="1">-(DFs!I67/12)*4</f>
        <v>423.05954631167043</v>
      </c>
      <c r="J299" s="319">
        <f ca="1">-(DFs!J67/12)*4</f>
        <v>417.11437896414054</v>
      </c>
      <c r="K299" s="319">
        <f ca="1">-(DFs!K67/12)*4</f>
        <v>422.82311278185017</v>
      </c>
      <c r="L299" s="319">
        <f ca="1">-(DFs!L67/12)*4</f>
        <v>814.82370799227886</v>
      </c>
      <c r="M299" s="319">
        <f ca="1">-(DFs!M67/12)*4</f>
        <v>782.72269450121985</v>
      </c>
      <c r="N299" s="319">
        <f ca="1">-(DFs!N67/12)*4</f>
        <v>1043.5094787062396</v>
      </c>
      <c r="O299" s="319">
        <f ca="1">-(DFs!O67/12)*4</f>
        <v>987.52806145061334</v>
      </c>
      <c r="P299" s="319">
        <f ca="1">-(DFs!P67/12)*4</f>
        <v>965.39070956577564</v>
      </c>
      <c r="Q299" s="319">
        <f ca="1">-(DFs!Q67/12)*4</f>
        <v>972.39220319848084</v>
      </c>
      <c r="R299" s="319">
        <f ca="1">-(DFs!R67/12)*4</f>
        <v>964.77976040791566</v>
      </c>
      <c r="S299" s="319">
        <f ca="1">-(DFs!S67/12)*4</f>
        <v>944.18755455308076</v>
      </c>
      <c r="T299" s="319">
        <f ca="1">-(DFs!T67/12)*4</f>
        <v>885.27415333179908</v>
      </c>
      <c r="U299" s="319">
        <f ca="1">-(DFs!U67/12)*4</f>
        <v>1643.7447168611588</v>
      </c>
      <c r="V299" s="319">
        <f ca="1">-(DFs!V67/12)*4</f>
        <v>1495.5382259966282</v>
      </c>
      <c r="W299" s="319">
        <f ca="1">-(DFs!W67/12)*4</f>
        <v>103.76391997142611</v>
      </c>
      <c r="X299" s="319">
        <f ca="1">-(DFs!X67/12)*4</f>
        <v>110.22545072318594</v>
      </c>
      <c r="Y299" s="319">
        <f ca="1">-(DFs!Y67/12)*4</f>
        <v>131.85133949830504</v>
      </c>
      <c r="Z299" s="319">
        <f ca="1">-(DFs!Z67/12)*4</f>
        <v>127.25147588358628</v>
      </c>
      <c r="AA299" s="319">
        <f ca="1">-(DFs!AA67/12)*4</f>
        <v>165.40228551898306</v>
      </c>
      <c r="AB299" s="319">
        <f ca="1">-(DFs!AB67/12)*4</f>
        <v>474.10238413819212</v>
      </c>
      <c r="AC299" s="319">
        <f ca="1">-(DFs!AC67/12)*4</f>
        <v>476.69524072583516</v>
      </c>
      <c r="AD299" s="319">
        <f ca="1">-(DFs!AD67/12)*4</f>
        <v>480.71531431653574</v>
      </c>
      <c r="AE299" s="319">
        <f ca="1">-(DFs!AE67/12)*4</f>
        <v>469.18905253489191</v>
      </c>
      <c r="AF299" s="319">
        <f ca="1">-(DFs!AF67/12)*4</f>
        <v>609.6046130738896</v>
      </c>
      <c r="AG299" s="319">
        <f ca="1">-(DFs!AG67/12)*4</f>
        <v>570.1693153110333</v>
      </c>
      <c r="AH299" s="319">
        <f ca="1">-(DFs!AH67/12)*4</f>
        <v>674.20020438740801</v>
      </c>
      <c r="AI299" s="319">
        <f ca="1">-(DFs!AI67/12)*4</f>
        <v>1270.4948336144241</v>
      </c>
      <c r="AJ299" s="319">
        <f ca="1">-(DFs!AJ67/12)*4</f>
        <v>1167.671860957277</v>
      </c>
      <c r="AK299" s="319">
        <f ca="1">-(DFs!AK67/12)*4</f>
        <v>0</v>
      </c>
      <c r="AL299" s="319">
        <f ca="1">-(DFs!AL67/12)*4</f>
        <v>0</v>
      </c>
      <c r="AM299" s="319">
        <f ca="1">-(DFs!AM67/12)*4</f>
        <v>0</v>
      </c>
      <c r="AN299" s="319">
        <f>-(DFs!AN67/12)*4</f>
        <v>0</v>
      </c>
    </row>
    <row r="300" spans="3:40" outlineLevel="2">
      <c r="C300" s="314" t="str">
        <f t="shared" ref="C300:AN300" si="291">C285</f>
        <v>Flag de operação</v>
      </c>
      <c r="E300" s="32" t="str">
        <f t="shared" si="291"/>
        <v>Flag</v>
      </c>
      <c r="F300" s="23">
        <f t="shared" si="291"/>
        <v>29</v>
      </c>
      <c r="G300" s="25">
        <f t="shared" si="291"/>
        <v>0</v>
      </c>
      <c r="H300" s="25">
        <f t="shared" si="291"/>
        <v>1</v>
      </c>
      <c r="I300" s="25">
        <f t="shared" si="291"/>
        <v>1</v>
      </c>
      <c r="J300" s="25">
        <f t="shared" si="291"/>
        <v>1</v>
      </c>
      <c r="K300" s="25">
        <f t="shared" si="291"/>
        <v>1</v>
      </c>
      <c r="L300" s="25">
        <f t="shared" si="291"/>
        <v>1</v>
      </c>
      <c r="M300" s="25">
        <f t="shared" si="291"/>
        <v>1</v>
      </c>
      <c r="N300" s="25">
        <f t="shared" si="291"/>
        <v>1</v>
      </c>
      <c r="O300" s="25">
        <f t="shared" si="291"/>
        <v>1</v>
      </c>
      <c r="P300" s="25">
        <f t="shared" si="291"/>
        <v>1</v>
      </c>
      <c r="Q300" s="25">
        <f t="shared" si="291"/>
        <v>1</v>
      </c>
      <c r="R300" s="25">
        <f t="shared" si="291"/>
        <v>1</v>
      </c>
      <c r="S300" s="25">
        <f t="shared" si="291"/>
        <v>1</v>
      </c>
      <c r="T300" s="25">
        <f t="shared" si="291"/>
        <v>1</v>
      </c>
      <c r="U300" s="25">
        <f t="shared" si="291"/>
        <v>1</v>
      </c>
      <c r="V300" s="25">
        <f t="shared" si="291"/>
        <v>1</v>
      </c>
      <c r="W300" s="25">
        <f t="shared" si="291"/>
        <v>1</v>
      </c>
      <c r="X300" s="25">
        <f t="shared" si="291"/>
        <v>1</v>
      </c>
      <c r="Y300" s="25">
        <f t="shared" si="291"/>
        <v>1</v>
      </c>
      <c r="Z300" s="25">
        <f t="shared" si="291"/>
        <v>1</v>
      </c>
      <c r="AA300" s="25">
        <f t="shared" si="291"/>
        <v>1</v>
      </c>
      <c r="AB300" s="25">
        <f t="shared" si="291"/>
        <v>1</v>
      </c>
      <c r="AC300" s="25">
        <f t="shared" si="291"/>
        <v>1</v>
      </c>
      <c r="AD300" s="25">
        <f t="shared" si="291"/>
        <v>1</v>
      </c>
      <c r="AE300" s="25">
        <f t="shared" si="291"/>
        <v>1</v>
      </c>
      <c r="AF300" s="25">
        <f t="shared" si="291"/>
        <v>1</v>
      </c>
      <c r="AG300" s="25">
        <f t="shared" si="291"/>
        <v>1</v>
      </c>
      <c r="AH300" s="25">
        <f t="shared" si="291"/>
        <v>1</v>
      </c>
      <c r="AI300" s="25">
        <f t="shared" si="291"/>
        <v>1</v>
      </c>
      <c r="AJ300" s="25">
        <f t="shared" si="291"/>
        <v>1</v>
      </c>
      <c r="AK300" s="25">
        <f t="shared" si="291"/>
        <v>0</v>
      </c>
      <c r="AL300" s="25">
        <f t="shared" si="291"/>
        <v>0</v>
      </c>
      <c r="AM300" s="25">
        <f t="shared" si="291"/>
        <v>0</v>
      </c>
      <c r="AN300" s="25">
        <f t="shared" si="291"/>
        <v>0</v>
      </c>
    </row>
    <row r="301" spans="3:40" outlineLevel="2">
      <c r="C301" s="314" t="s">
        <v>631</v>
      </c>
      <c r="E301" s="32" t="s">
        <v>13</v>
      </c>
      <c r="F301" s="23" cm="1">
        <f t="array" aca="1" ref="F301" ca="1">SUM(OFFSET(G299,0,0,1,$D$298)*F300)</f>
        <v>5728.724879276373</v>
      </c>
      <c r="G301" s="273" cm="1">
        <f t="array" aca="1" ref="G301" ca="1">SUM(OFFSET(H299,0,0,1,$D$298)*G300)</f>
        <v>0</v>
      </c>
      <c r="H301" s="273" cm="1">
        <f t="array" aca="1" ref="H301" ca="1">SUM(OFFSET(I299,0,0,1,$D$298)*H300)</f>
        <v>423.05954631167043</v>
      </c>
      <c r="I301" s="273" cm="1">
        <f t="array" aca="1" ref="I301" ca="1">SUM(OFFSET(J299,0,0,1,$D$298)*I300)</f>
        <v>417.11437896414054</v>
      </c>
      <c r="J301" s="273" cm="1">
        <f t="array" aca="1" ref="J301" ca="1">SUM(OFFSET(K299,0,0,1,$D$298)*J300)</f>
        <v>422.82311278185017</v>
      </c>
      <c r="K301" s="273" cm="1">
        <f t="array" aca="1" ref="K301" ca="1">SUM(OFFSET(L299,0,0,1,$D$298)*K300)</f>
        <v>814.82370799227886</v>
      </c>
      <c r="L301" s="273" cm="1">
        <f t="array" aca="1" ref="L301" ca="1">SUM(OFFSET(M299,0,0,1,$D$298)*L300)</f>
        <v>782.72269450121985</v>
      </c>
      <c r="M301" s="273" cm="1">
        <f t="array" aca="1" ref="M301" ca="1">SUM(OFFSET(N299,0,0,1,$D$298)*M300)</f>
        <v>1043.5094787062396</v>
      </c>
      <c r="N301" s="273" cm="1">
        <f t="array" aca="1" ref="N301" ca="1">SUM(OFFSET(O299,0,0,1,$D$298)*N300)</f>
        <v>987.52806145061334</v>
      </c>
      <c r="O301" s="273" cm="1">
        <f t="array" aca="1" ref="O301" ca="1">SUM(OFFSET(P299,0,0,1,$D$298)*O300)</f>
        <v>965.39070956577564</v>
      </c>
      <c r="P301" s="273" cm="1">
        <f t="array" aca="1" ref="P301" ca="1">SUM(OFFSET(Q299,0,0,1,$D$298)*P300)</f>
        <v>972.39220319848084</v>
      </c>
      <c r="Q301" s="273" cm="1">
        <f t="array" aca="1" ref="Q301" ca="1">SUM(OFFSET(R299,0,0,1,$D$298)*Q300)</f>
        <v>964.77976040791566</v>
      </c>
      <c r="R301" s="273" cm="1">
        <f t="array" aca="1" ref="R301" ca="1">SUM(OFFSET(S299,0,0,1,$D$298)*R300)</f>
        <v>944.18755455308076</v>
      </c>
      <c r="S301" s="273" cm="1">
        <f t="array" aca="1" ref="S301" ca="1">SUM(OFFSET(T299,0,0,1,$D$298)*S300)</f>
        <v>885.27415333179908</v>
      </c>
      <c r="T301" s="273" cm="1">
        <f t="array" aca="1" ref="T301" ca="1">SUM(OFFSET(U299,0,0,1,$D$298)*T300)</f>
        <v>1643.7447168611588</v>
      </c>
      <c r="U301" s="273" cm="1">
        <f t="array" aca="1" ref="U301" ca="1">SUM(OFFSET(V299,0,0,1,$D$298)*U300)</f>
        <v>1495.5382259966282</v>
      </c>
      <c r="V301" s="273" cm="1">
        <f t="array" aca="1" ref="V301" ca="1">SUM(OFFSET(W299,0,0,1,$D$298)*V300)</f>
        <v>103.76391997142611</v>
      </c>
      <c r="W301" s="273" cm="1">
        <f t="array" aca="1" ref="W301" ca="1">SUM(OFFSET(X299,0,0,1,$D$298)*W300)</f>
        <v>110.22545072318594</v>
      </c>
      <c r="X301" s="273" cm="1">
        <f t="array" aca="1" ref="X301" ca="1">SUM(OFFSET(Y299,0,0,1,$D$298)*X300)</f>
        <v>131.85133949830504</v>
      </c>
      <c r="Y301" s="273" cm="1">
        <f t="array" aca="1" ref="Y301" ca="1">SUM(OFFSET(Z299,0,0,1,$D$298)*Y300)</f>
        <v>127.25147588358628</v>
      </c>
      <c r="Z301" s="273" cm="1">
        <f t="array" aca="1" ref="Z301" ca="1">SUM(OFFSET(AA299,0,0,1,$D$298)*Z300)</f>
        <v>165.40228551898306</v>
      </c>
      <c r="AA301" s="273" cm="1">
        <f t="array" aca="1" ref="AA301" ca="1">SUM(OFFSET(AB299,0,0,1,$D$298)*AA300)</f>
        <v>474.10238413819212</v>
      </c>
      <c r="AB301" s="273" cm="1">
        <f t="array" aca="1" ref="AB301" ca="1">SUM(OFFSET(AC299,0,0,1,$D$298)*AB300)</f>
        <v>476.69524072583516</v>
      </c>
      <c r="AC301" s="273" cm="1">
        <f t="array" aca="1" ref="AC301" ca="1">SUM(OFFSET(AD299,0,0,1,$D$298)*AC300)</f>
        <v>480.71531431653574</v>
      </c>
      <c r="AD301" s="273" cm="1">
        <f t="array" aca="1" ref="AD301" ca="1">SUM(OFFSET(AE299,0,0,1,$D$298)*AD300)</f>
        <v>469.18905253489191</v>
      </c>
      <c r="AE301" s="273" cm="1">
        <f t="array" aca="1" ref="AE301" ca="1">SUM(OFFSET(AF299,0,0,1,$D$298)*AE300)</f>
        <v>609.6046130738896</v>
      </c>
      <c r="AF301" s="273" cm="1">
        <f t="array" aca="1" ref="AF301" ca="1">SUM(OFFSET(AG299,0,0,1,$D$298)*AF300)</f>
        <v>570.1693153110333</v>
      </c>
      <c r="AG301" s="273" cm="1">
        <f t="array" aca="1" ref="AG301" ca="1">SUM(OFFSET(AH299,0,0,1,$D$298)*AG300)</f>
        <v>674.20020438740801</v>
      </c>
      <c r="AH301" s="273" cm="1">
        <f t="array" aca="1" ref="AH301" ca="1">SUM(OFFSET(AI299,0,0,1,$D$298)*AH300)</f>
        <v>1270.4948336144241</v>
      </c>
      <c r="AI301" s="273" cm="1">
        <f t="array" aca="1" ref="AI301" ca="1">SUM(OFFSET(AJ299,0,0,1,$D$298)*AI300)</f>
        <v>1167.671860957277</v>
      </c>
      <c r="AJ301" s="273" cm="1">
        <f t="array" aca="1" ref="AJ301" ca="1">SUM(OFFSET(AK299,0,0,1,$D$298)*AJ300)</f>
        <v>0</v>
      </c>
      <c r="AK301" s="273" cm="1">
        <f t="array" aca="1" ref="AK301" ca="1">SUM(OFFSET(AL299,0,0,1,$D$298)*AK300)</f>
        <v>0</v>
      </c>
      <c r="AL301" s="273" cm="1">
        <f t="array" aca="1" ref="AL301" ca="1">SUM(OFFSET(AM299,0,0,1,$D$298)*AL300)</f>
        <v>0</v>
      </c>
      <c r="AM301" s="273" cm="1">
        <f t="array" aca="1" ref="AM301" ca="1">SUM(OFFSET(AN299,0,0,1,$D$298)*AM300)</f>
        <v>0</v>
      </c>
      <c r="AN301" s="219"/>
    </row>
    <row r="302" spans="3:40" outlineLevel="2">
      <c r="C302" s="314"/>
      <c r="F302" s="266"/>
      <c r="G302" s="266"/>
      <c r="H302" s="266"/>
      <c r="I302" s="266"/>
      <c r="J302" s="266"/>
      <c r="K302" s="266"/>
      <c r="L302" s="266"/>
      <c r="M302" s="266"/>
      <c r="N302" s="266"/>
      <c r="O302" s="266"/>
      <c r="P302" s="266"/>
      <c r="Q302" s="266"/>
      <c r="R302" s="266"/>
      <c r="S302" s="266"/>
      <c r="T302" s="266"/>
      <c r="U302" s="266"/>
      <c r="V302" s="266"/>
      <c r="W302" s="266"/>
      <c r="X302" s="266"/>
      <c r="Y302" s="266"/>
      <c r="Z302" s="266"/>
      <c r="AA302" s="266"/>
      <c r="AB302" s="266"/>
      <c r="AC302" s="266"/>
      <c r="AD302" s="266"/>
      <c r="AE302" s="266"/>
      <c r="AF302" s="266"/>
      <c r="AG302" s="266"/>
      <c r="AH302" s="266"/>
      <c r="AI302" s="266"/>
      <c r="AJ302" s="266"/>
      <c r="AK302" s="266"/>
      <c r="AL302" s="266"/>
      <c r="AM302" s="266"/>
      <c r="AN302" s="266"/>
    </row>
    <row r="303" spans="3:40" outlineLevel="2">
      <c r="C303" s="314" t="str">
        <f t="shared" ref="C303:AH303" si="292">C301</f>
        <v>Target DSRA</v>
      </c>
      <c r="E303" s="32" t="str">
        <f t="shared" si="292"/>
        <v>$ 000s</v>
      </c>
      <c r="F303" s="23">
        <f t="shared" ref="F303:G303" ca="1" si="293">F301</f>
        <v>5728.724879276373</v>
      </c>
      <c r="G303" s="273">
        <f t="shared" ca="1" si="293"/>
        <v>0</v>
      </c>
      <c r="H303" s="273">
        <f t="shared" ca="1" si="292"/>
        <v>423.05954631167043</v>
      </c>
      <c r="I303" s="273">
        <f t="shared" ca="1" si="292"/>
        <v>417.11437896414054</v>
      </c>
      <c r="J303" s="273">
        <f t="shared" ca="1" si="292"/>
        <v>422.82311278185017</v>
      </c>
      <c r="K303" s="273">
        <f t="shared" ca="1" si="292"/>
        <v>814.82370799227886</v>
      </c>
      <c r="L303" s="273">
        <f t="shared" ca="1" si="292"/>
        <v>782.72269450121985</v>
      </c>
      <c r="M303" s="273">
        <f t="shared" ca="1" si="292"/>
        <v>1043.5094787062396</v>
      </c>
      <c r="N303" s="273">
        <f t="shared" ca="1" si="292"/>
        <v>987.52806145061334</v>
      </c>
      <c r="O303" s="273">
        <f t="shared" ca="1" si="292"/>
        <v>965.39070956577564</v>
      </c>
      <c r="P303" s="273">
        <f t="shared" ca="1" si="292"/>
        <v>972.39220319848084</v>
      </c>
      <c r="Q303" s="273">
        <f t="shared" ca="1" si="292"/>
        <v>964.77976040791566</v>
      </c>
      <c r="R303" s="273">
        <f t="shared" ca="1" si="292"/>
        <v>944.18755455308076</v>
      </c>
      <c r="S303" s="273">
        <f t="shared" ca="1" si="292"/>
        <v>885.27415333179908</v>
      </c>
      <c r="T303" s="273">
        <f t="shared" ca="1" si="292"/>
        <v>1643.7447168611588</v>
      </c>
      <c r="U303" s="273">
        <f t="shared" ca="1" si="292"/>
        <v>1495.5382259966282</v>
      </c>
      <c r="V303" s="273">
        <f t="shared" ca="1" si="292"/>
        <v>103.76391997142611</v>
      </c>
      <c r="W303" s="273">
        <f t="shared" ca="1" si="292"/>
        <v>110.22545072318594</v>
      </c>
      <c r="X303" s="273">
        <f t="shared" ca="1" si="292"/>
        <v>131.85133949830504</v>
      </c>
      <c r="Y303" s="273">
        <f t="shared" ca="1" si="292"/>
        <v>127.25147588358628</v>
      </c>
      <c r="Z303" s="273">
        <f t="shared" ca="1" si="292"/>
        <v>165.40228551898306</v>
      </c>
      <c r="AA303" s="273">
        <f t="shared" ca="1" si="292"/>
        <v>474.10238413819212</v>
      </c>
      <c r="AB303" s="273">
        <f t="shared" ca="1" si="292"/>
        <v>476.69524072583516</v>
      </c>
      <c r="AC303" s="273">
        <f t="shared" ca="1" si="292"/>
        <v>480.71531431653574</v>
      </c>
      <c r="AD303" s="273">
        <f t="shared" ca="1" si="292"/>
        <v>469.18905253489191</v>
      </c>
      <c r="AE303" s="273">
        <f t="shared" ca="1" si="292"/>
        <v>609.6046130738896</v>
      </c>
      <c r="AF303" s="273">
        <f t="shared" ca="1" si="292"/>
        <v>570.1693153110333</v>
      </c>
      <c r="AG303" s="273">
        <f t="shared" ca="1" si="292"/>
        <v>674.20020438740801</v>
      </c>
      <c r="AH303" s="273">
        <f t="shared" ca="1" si="292"/>
        <v>1270.4948336144241</v>
      </c>
      <c r="AI303" s="273">
        <f t="shared" ref="AI303:AN303" ca="1" si="294">AI301</f>
        <v>1167.671860957277</v>
      </c>
      <c r="AJ303" s="273">
        <f t="shared" ca="1" si="294"/>
        <v>0</v>
      </c>
      <c r="AK303" s="273">
        <f t="shared" ca="1" si="294"/>
        <v>0</v>
      </c>
      <c r="AL303" s="273">
        <f t="shared" ca="1" si="294"/>
        <v>0</v>
      </c>
      <c r="AM303" s="273">
        <f t="shared" ca="1" si="294"/>
        <v>0</v>
      </c>
      <c r="AN303" s="273">
        <f t="shared" si="294"/>
        <v>0</v>
      </c>
    </row>
    <row r="304" spans="3:40" outlineLevel="2">
      <c r="C304" s="314" t="str">
        <f>C300</f>
        <v>Flag de operação</v>
      </c>
      <c r="E304" s="196" t="str">
        <f t="shared" ref="E304:H304" si="295">E300</f>
        <v>Flag</v>
      </c>
      <c r="F304" s="23">
        <f t="shared" si="295"/>
        <v>29</v>
      </c>
      <c r="G304" s="25">
        <f t="shared" si="295"/>
        <v>0</v>
      </c>
      <c r="H304" s="25">
        <f t="shared" si="295"/>
        <v>1</v>
      </c>
      <c r="I304" s="25">
        <f t="shared" ref="I304:AN304" si="296">I300</f>
        <v>1</v>
      </c>
      <c r="J304" s="25">
        <f t="shared" si="296"/>
        <v>1</v>
      </c>
      <c r="K304" s="25">
        <f t="shared" si="296"/>
        <v>1</v>
      </c>
      <c r="L304" s="25">
        <f t="shared" si="296"/>
        <v>1</v>
      </c>
      <c r="M304" s="25">
        <f t="shared" si="296"/>
        <v>1</v>
      </c>
      <c r="N304" s="25">
        <f t="shared" si="296"/>
        <v>1</v>
      </c>
      <c r="O304" s="25">
        <f t="shared" si="296"/>
        <v>1</v>
      </c>
      <c r="P304" s="25">
        <f t="shared" si="296"/>
        <v>1</v>
      </c>
      <c r="Q304" s="25">
        <f t="shared" si="296"/>
        <v>1</v>
      </c>
      <c r="R304" s="25">
        <f t="shared" si="296"/>
        <v>1</v>
      </c>
      <c r="S304" s="25">
        <f t="shared" si="296"/>
        <v>1</v>
      </c>
      <c r="T304" s="25">
        <f t="shared" si="296"/>
        <v>1</v>
      </c>
      <c r="U304" s="25">
        <f t="shared" si="296"/>
        <v>1</v>
      </c>
      <c r="V304" s="25">
        <f t="shared" si="296"/>
        <v>1</v>
      </c>
      <c r="W304" s="25">
        <f t="shared" si="296"/>
        <v>1</v>
      </c>
      <c r="X304" s="25">
        <f t="shared" si="296"/>
        <v>1</v>
      </c>
      <c r="Y304" s="25">
        <f t="shared" si="296"/>
        <v>1</v>
      </c>
      <c r="Z304" s="25">
        <f t="shared" si="296"/>
        <v>1</v>
      </c>
      <c r="AA304" s="25">
        <f t="shared" si="296"/>
        <v>1</v>
      </c>
      <c r="AB304" s="25">
        <f t="shared" si="296"/>
        <v>1</v>
      </c>
      <c r="AC304" s="25">
        <f t="shared" si="296"/>
        <v>1</v>
      </c>
      <c r="AD304" s="25">
        <f t="shared" si="296"/>
        <v>1</v>
      </c>
      <c r="AE304" s="25">
        <f t="shared" si="296"/>
        <v>1</v>
      </c>
      <c r="AF304" s="25">
        <f t="shared" si="296"/>
        <v>1</v>
      </c>
      <c r="AG304" s="25">
        <f t="shared" si="296"/>
        <v>1</v>
      </c>
      <c r="AH304" s="25">
        <f t="shared" si="296"/>
        <v>1</v>
      </c>
      <c r="AI304" s="25">
        <f t="shared" si="296"/>
        <v>1</v>
      </c>
      <c r="AJ304" s="25">
        <f t="shared" si="296"/>
        <v>1</v>
      </c>
      <c r="AK304" s="25">
        <f t="shared" si="296"/>
        <v>0</v>
      </c>
      <c r="AL304" s="25">
        <f t="shared" si="296"/>
        <v>0</v>
      </c>
      <c r="AM304" s="25">
        <f t="shared" si="296"/>
        <v>0</v>
      </c>
      <c r="AN304" s="25">
        <f t="shared" si="296"/>
        <v>0</v>
      </c>
    </row>
    <row r="305" spans="3:40" outlineLevel="2">
      <c r="C305" s="314" t="s">
        <v>632</v>
      </c>
      <c r="E305" s="32" t="s">
        <v>13</v>
      </c>
      <c r="F305" s="23">
        <f t="shared" ref="F305:G305" ca="1" si="297">F303*F304</f>
        <v>166133.02149901481</v>
      </c>
      <c r="G305">
        <f t="shared" ca="1" si="297"/>
        <v>0</v>
      </c>
      <c r="H305">
        <f t="shared" ref="H305:O305" ca="1" si="298">H303*H304</f>
        <v>423.05954631167043</v>
      </c>
      <c r="I305">
        <f t="shared" ca="1" si="298"/>
        <v>417.11437896414054</v>
      </c>
      <c r="J305">
        <f t="shared" ca="1" si="298"/>
        <v>422.82311278185017</v>
      </c>
      <c r="K305">
        <f t="shared" ca="1" si="298"/>
        <v>814.82370799227886</v>
      </c>
      <c r="L305">
        <f t="shared" ca="1" si="298"/>
        <v>782.72269450121985</v>
      </c>
      <c r="M305">
        <f t="shared" ca="1" si="298"/>
        <v>1043.5094787062396</v>
      </c>
      <c r="N305">
        <f t="shared" ca="1" si="298"/>
        <v>987.52806145061334</v>
      </c>
      <c r="O305">
        <f t="shared" ca="1" si="298"/>
        <v>965.39070956577564</v>
      </c>
      <c r="P305">
        <f t="shared" ref="P305:AN305" ca="1" si="299">P303*P304</f>
        <v>972.39220319848084</v>
      </c>
      <c r="Q305">
        <f t="shared" ca="1" si="299"/>
        <v>964.77976040791566</v>
      </c>
      <c r="R305">
        <f t="shared" ca="1" si="299"/>
        <v>944.18755455308076</v>
      </c>
      <c r="S305">
        <f t="shared" ca="1" si="299"/>
        <v>885.27415333179908</v>
      </c>
      <c r="T305">
        <f t="shared" ca="1" si="299"/>
        <v>1643.7447168611588</v>
      </c>
      <c r="U305">
        <f t="shared" ca="1" si="299"/>
        <v>1495.5382259966282</v>
      </c>
      <c r="V305">
        <f t="shared" ca="1" si="299"/>
        <v>103.76391997142611</v>
      </c>
      <c r="W305">
        <f t="shared" ca="1" si="299"/>
        <v>110.22545072318594</v>
      </c>
      <c r="X305">
        <f t="shared" ca="1" si="299"/>
        <v>131.85133949830504</v>
      </c>
      <c r="Y305">
        <f t="shared" ca="1" si="299"/>
        <v>127.25147588358628</v>
      </c>
      <c r="Z305">
        <f t="shared" ca="1" si="299"/>
        <v>165.40228551898306</v>
      </c>
      <c r="AA305">
        <f t="shared" ca="1" si="299"/>
        <v>474.10238413819212</v>
      </c>
      <c r="AB305">
        <f t="shared" ca="1" si="299"/>
        <v>476.69524072583516</v>
      </c>
      <c r="AC305">
        <f t="shared" ca="1" si="299"/>
        <v>480.71531431653574</v>
      </c>
      <c r="AD305">
        <f t="shared" ca="1" si="299"/>
        <v>469.18905253489191</v>
      </c>
      <c r="AE305">
        <f t="shared" ca="1" si="299"/>
        <v>609.6046130738896</v>
      </c>
      <c r="AF305">
        <f t="shared" ca="1" si="299"/>
        <v>570.1693153110333</v>
      </c>
      <c r="AG305">
        <f t="shared" ca="1" si="299"/>
        <v>674.20020438740801</v>
      </c>
      <c r="AH305">
        <f t="shared" ca="1" si="299"/>
        <v>1270.4948336144241</v>
      </c>
      <c r="AI305">
        <f t="shared" ca="1" si="299"/>
        <v>1167.671860957277</v>
      </c>
      <c r="AJ305">
        <f t="shared" ca="1" si="299"/>
        <v>0</v>
      </c>
      <c r="AK305">
        <f t="shared" ca="1" si="299"/>
        <v>0</v>
      </c>
      <c r="AL305">
        <f t="shared" ca="1" si="299"/>
        <v>0</v>
      </c>
      <c r="AM305">
        <f t="shared" ca="1" si="299"/>
        <v>0</v>
      </c>
      <c r="AN305">
        <f t="shared" si="299"/>
        <v>0</v>
      </c>
    </row>
    <row r="306" spans="3:40" outlineLevel="2">
      <c r="C306" s="314"/>
      <c r="F306" s="266"/>
      <c r="G306" s="266"/>
      <c r="H306" s="266"/>
      <c r="I306" s="266"/>
      <c r="J306" s="266"/>
      <c r="K306" s="266"/>
      <c r="L306" s="266"/>
      <c r="M306" s="266"/>
      <c r="N306" s="266"/>
      <c r="O306" s="266"/>
      <c r="P306" s="266"/>
      <c r="Q306" s="266"/>
      <c r="R306" s="266"/>
      <c r="S306" s="266"/>
      <c r="T306" s="266"/>
      <c r="U306" s="266"/>
      <c r="V306" s="266"/>
      <c r="W306" s="266"/>
      <c r="X306" s="266"/>
      <c r="Y306" s="266"/>
      <c r="Z306" s="266"/>
      <c r="AA306" s="266"/>
      <c r="AB306" s="266"/>
      <c r="AC306" s="266"/>
      <c r="AD306" s="266"/>
      <c r="AE306" s="266"/>
      <c r="AF306" s="266"/>
      <c r="AG306" s="266"/>
      <c r="AH306" s="266"/>
      <c r="AI306" s="266"/>
      <c r="AJ306" s="266"/>
      <c r="AK306" s="266"/>
      <c r="AL306" s="266"/>
      <c r="AM306" s="266"/>
      <c r="AN306" s="266"/>
    </row>
    <row r="307" spans="3:40" outlineLevel="2">
      <c r="C307" s="314" t="str">
        <f>C305</f>
        <v>Target DSRA depósito inicial</v>
      </c>
      <c r="E307" s="32" t="str">
        <f t="shared" ref="E307:AJ307" si="300">E305</f>
        <v>$ 000s</v>
      </c>
      <c r="F307" s="23">
        <f t="shared" ca="1" si="300"/>
        <v>166133.02149901481</v>
      </c>
      <c r="G307" s="273">
        <f t="shared" ca="1" si="300"/>
        <v>0</v>
      </c>
      <c r="H307" s="273">
        <f t="shared" ca="1" si="300"/>
        <v>423.05954631167043</v>
      </c>
      <c r="I307" s="273">
        <f t="shared" ca="1" si="300"/>
        <v>417.11437896414054</v>
      </c>
      <c r="J307" s="273">
        <f t="shared" ca="1" si="300"/>
        <v>422.82311278185017</v>
      </c>
      <c r="K307" s="273">
        <f t="shared" ca="1" si="300"/>
        <v>814.82370799227886</v>
      </c>
      <c r="L307" s="273">
        <f t="shared" ca="1" si="300"/>
        <v>782.72269450121985</v>
      </c>
      <c r="M307" s="273">
        <f t="shared" ca="1" si="300"/>
        <v>1043.5094787062396</v>
      </c>
      <c r="N307" s="273">
        <f t="shared" ca="1" si="300"/>
        <v>987.52806145061334</v>
      </c>
      <c r="O307" s="273">
        <f t="shared" ca="1" si="300"/>
        <v>965.39070956577564</v>
      </c>
      <c r="P307" s="273">
        <f t="shared" ca="1" si="300"/>
        <v>972.39220319848084</v>
      </c>
      <c r="Q307" s="273">
        <f t="shared" ca="1" si="300"/>
        <v>964.77976040791566</v>
      </c>
      <c r="R307" s="273">
        <f t="shared" ca="1" si="300"/>
        <v>944.18755455308076</v>
      </c>
      <c r="S307" s="273">
        <f t="shared" ca="1" si="300"/>
        <v>885.27415333179908</v>
      </c>
      <c r="T307" s="273">
        <f t="shared" ca="1" si="300"/>
        <v>1643.7447168611588</v>
      </c>
      <c r="U307" s="273">
        <f t="shared" ca="1" si="300"/>
        <v>1495.5382259966282</v>
      </c>
      <c r="V307" s="273">
        <f t="shared" ca="1" si="300"/>
        <v>103.76391997142611</v>
      </c>
      <c r="W307" s="273">
        <f t="shared" ca="1" si="300"/>
        <v>110.22545072318594</v>
      </c>
      <c r="X307" s="273">
        <f t="shared" ca="1" si="300"/>
        <v>131.85133949830504</v>
      </c>
      <c r="Y307" s="273">
        <f t="shared" ca="1" si="300"/>
        <v>127.25147588358628</v>
      </c>
      <c r="Z307" s="273">
        <f t="shared" ca="1" si="300"/>
        <v>165.40228551898306</v>
      </c>
      <c r="AA307" s="273">
        <f t="shared" ca="1" si="300"/>
        <v>474.10238413819212</v>
      </c>
      <c r="AB307" s="273">
        <f t="shared" ca="1" si="300"/>
        <v>476.69524072583516</v>
      </c>
      <c r="AC307" s="273">
        <f t="shared" ca="1" si="300"/>
        <v>480.71531431653574</v>
      </c>
      <c r="AD307" s="273">
        <f t="shared" ca="1" si="300"/>
        <v>469.18905253489191</v>
      </c>
      <c r="AE307" s="273">
        <f t="shared" ca="1" si="300"/>
        <v>609.6046130738896</v>
      </c>
      <c r="AF307" s="273">
        <f t="shared" ca="1" si="300"/>
        <v>570.1693153110333</v>
      </c>
      <c r="AG307" s="273">
        <f t="shared" ca="1" si="300"/>
        <v>674.20020438740801</v>
      </c>
      <c r="AH307" s="273">
        <f t="shared" ca="1" si="300"/>
        <v>1270.4948336144241</v>
      </c>
      <c r="AI307" s="273">
        <f t="shared" ca="1" si="300"/>
        <v>1167.671860957277</v>
      </c>
      <c r="AJ307" s="273">
        <f t="shared" ca="1" si="300"/>
        <v>0</v>
      </c>
      <c r="AK307" s="273">
        <f t="shared" ref="AK307:AN307" ca="1" si="301">AK305</f>
        <v>0</v>
      </c>
      <c r="AL307" s="273">
        <f t="shared" ca="1" si="301"/>
        <v>0</v>
      </c>
      <c r="AM307" s="273">
        <f t="shared" ca="1" si="301"/>
        <v>0</v>
      </c>
      <c r="AN307" s="273">
        <f t="shared" si="301"/>
        <v>0</v>
      </c>
    </row>
    <row r="308" spans="3:40" outlineLevel="1">
      <c r="C308" s="314"/>
      <c r="F308" s="266"/>
      <c r="G308" s="266"/>
      <c r="H308" s="266"/>
      <c r="I308" s="266"/>
      <c r="J308" s="266"/>
      <c r="K308" s="266"/>
      <c r="L308" s="266"/>
      <c r="M308" s="266"/>
      <c r="N308" s="266"/>
      <c r="O308" s="266"/>
      <c r="P308" s="266"/>
      <c r="Q308" s="266"/>
      <c r="R308" s="266"/>
      <c r="S308" s="266"/>
      <c r="T308" s="266"/>
      <c r="U308" s="266"/>
      <c r="V308" s="266"/>
      <c r="W308" s="266"/>
      <c r="X308" s="266"/>
      <c r="Y308" s="266"/>
      <c r="Z308" s="266"/>
      <c r="AA308" s="266"/>
      <c r="AB308" s="266"/>
      <c r="AC308" s="266"/>
      <c r="AD308" s="266"/>
      <c r="AE308" s="266"/>
      <c r="AF308" s="266"/>
      <c r="AG308" s="266"/>
      <c r="AH308" s="266"/>
      <c r="AI308" s="266"/>
      <c r="AJ308" s="266"/>
      <c r="AK308" s="266"/>
      <c r="AL308" s="266"/>
      <c r="AM308" s="266"/>
      <c r="AN308" s="266"/>
    </row>
    <row r="309" spans="3:40" outlineLevel="1">
      <c r="C309" t="s">
        <v>633</v>
      </c>
      <c r="F309" s="266"/>
      <c r="G309" s="266"/>
      <c r="H309" s="266"/>
      <c r="I309" s="266"/>
      <c r="J309" s="266"/>
      <c r="K309" s="266"/>
      <c r="L309" s="266"/>
      <c r="M309" s="266"/>
      <c r="N309" s="266"/>
      <c r="O309" s="266"/>
      <c r="P309" s="266"/>
      <c r="Q309" s="266"/>
      <c r="R309" s="266"/>
      <c r="S309" s="266"/>
      <c r="T309" s="266"/>
      <c r="U309" s="266"/>
      <c r="V309" s="266"/>
      <c r="W309" s="266"/>
      <c r="X309" s="266"/>
      <c r="Y309" s="266"/>
      <c r="Z309" s="266"/>
      <c r="AA309" s="266"/>
      <c r="AB309" s="266"/>
      <c r="AC309" s="266"/>
      <c r="AD309" s="266"/>
      <c r="AE309" s="266"/>
      <c r="AF309" s="266"/>
      <c r="AG309" s="266"/>
      <c r="AH309" s="266"/>
      <c r="AI309" s="266"/>
      <c r="AJ309" s="266"/>
      <c r="AK309" s="266"/>
      <c r="AL309" s="266"/>
      <c r="AM309" s="266"/>
      <c r="AN309" s="266"/>
    </row>
    <row r="310" spans="3:40" outlineLevel="2">
      <c r="C310" s="314" t="s">
        <v>623</v>
      </c>
      <c r="E310" s="32" t="str">
        <f>E286</f>
        <v>Flag</v>
      </c>
      <c r="F310" s="23">
        <f>F286</f>
        <v>29</v>
      </c>
      <c r="G310" s="25">
        <f>G286</f>
        <v>0</v>
      </c>
      <c r="H310" s="25">
        <f>H286</f>
        <v>1</v>
      </c>
      <c r="I310" s="25">
        <f t="shared" ref="I310:AN310" si="302">I304</f>
        <v>1</v>
      </c>
      <c r="J310" s="25">
        <f t="shared" si="302"/>
        <v>1</v>
      </c>
      <c r="K310" s="25">
        <f t="shared" si="302"/>
        <v>1</v>
      </c>
      <c r="L310" s="25">
        <f t="shared" si="302"/>
        <v>1</v>
      </c>
      <c r="M310" s="25">
        <f t="shared" si="302"/>
        <v>1</v>
      </c>
      <c r="N310" s="25">
        <f t="shared" si="302"/>
        <v>1</v>
      </c>
      <c r="O310" s="25">
        <f t="shared" si="302"/>
        <v>1</v>
      </c>
      <c r="P310" s="25">
        <f t="shared" si="302"/>
        <v>1</v>
      </c>
      <c r="Q310" s="25">
        <f t="shared" si="302"/>
        <v>1</v>
      </c>
      <c r="R310" s="25">
        <f t="shared" si="302"/>
        <v>1</v>
      </c>
      <c r="S310" s="25">
        <f t="shared" si="302"/>
        <v>1</v>
      </c>
      <c r="T310" s="25">
        <f t="shared" si="302"/>
        <v>1</v>
      </c>
      <c r="U310" s="25">
        <f t="shared" si="302"/>
        <v>1</v>
      </c>
      <c r="V310" s="25">
        <f t="shared" si="302"/>
        <v>1</v>
      </c>
      <c r="W310" s="25">
        <f t="shared" si="302"/>
        <v>1</v>
      </c>
      <c r="X310" s="25">
        <f t="shared" si="302"/>
        <v>1</v>
      </c>
      <c r="Y310" s="25">
        <f t="shared" si="302"/>
        <v>1</v>
      </c>
      <c r="Z310" s="25">
        <f t="shared" si="302"/>
        <v>1</v>
      </c>
      <c r="AA310" s="25">
        <f t="shared" si="302"/>
        <v>1</v>
      </c>
      <c r="AB310" s="25">
        <f t="shared" si="302"/>
        <v>1</v>
      </c>
      <c r="AC310" s="25">
        <f t="shared" si="302"/>
        <v>1</v>
      </c>
      <c r="AD310" s="25">
        <f t="shared" si="302"/>
        <v>1</v>
      </c>
      <c r="AE310" s="25">
        <f t="shared" si="302"/>
        <v>1</v>
      </c>
      <c r="AF310" s="25">
        <f t="shared" si="302"/>
        <v>1</v>
      </c>
      <c r="AG310" s="25">
        <f t="shared" si="302"/>
        <v>1</v>
      </c>
      <c r="AH310" s="25">
        <f t="shared" si="302"/>
        <v>1</v>
      </c>
      <c r="AI310" s="25">
        <f t="shared" si="302"/>
        <v>1</v>
      </c>
      <c r="AJ310" s="25">
        <f t="shared" si="302"/>
        <v>1</v>
      </c>
      <c r="AK310" s="25">
        <f t="shared" si="302"/>
        <v>0</v>
      </c>
      <c r="AL310" s="25">
        <f t="shared" si="302"/>
        <v>0</v>
      </c>
      <c r="AM310" s="25">
        <f t="shared" si="302"/>
        <v>0</v>
      </c>
      <c r="AN310" s="25">
        <f t="shared" si="302"/>
        <v>0</v>
      </c>
    </row>
    <row r="311" spans="3:40" outlineLevel="2">
      <c r="C311" s="314" t="str">
        <f>C303</f>
        <v>Target DSRA</v>
      </c>
      <c r="E311" s="32" t="str">
        <f t="shared" ref="E311:AJ311" si="303">E303</f>
        <v>$ 000s</v>
      </c>
      <c r="F311" s="23">
        <f t="shared" ca="1" si="303"/>
        <v>5728.724879276373</v>
      </c>
      <c r="G311" s="273">
        <f t="shared" ca="1" si="303"/>
        <v>0</v>
      </c>
      <c r="H311" s="273">
        <f t="shared" ca="1" si="303"/>
        <v>423.05954631167043</v>
      </c>
      <c r="I311" s="273">
        <f t="shared" ca="1" si="303"/>
        <v>417.11437896414054</v>
      </c>
      <c r="J311" s="273">
        <f t="shared" ca="1" si="303"/>
        <v>422.82311278185017</v>
      </c>
      <c r="K311" s="273">
        <f t="shared" ca="1" si="303"/>
        <v>814.82370799227886</v>
      </c>
      <c r="L311" s="273">
        <f t="shared" ca="1" si="303"/>
        <v>782.72269450121985</v>
      </c>
      <c r="M311" s="273">
        <f t="shared" ca="1" si="303"/>
        <v>1043.5094787062396</v>
      </c>
      <c r="N311" s="273">
        <f t="shared" ca="1" si="303"/>
        <v>987.52806145061334</v>
      </c>
      <c r="O311" s="273">
        <f t="shared" ca="1" si="303"/>
        <v>965.39070956577564</v>
      </c>
      <c r="P311" s="273">
        <f t="shared" ca="1" si="303"/>
        <v>972.39220319848084</v>
      </c>
      <c r="Q311" s="273">
        <f t="shared" ca="1" si="303"/>
        <v>964.77976040791566</v>
      </c>
      <c r="R311" s="273">
        <f t="shared" ca="1" si="303"/>
        <v>944.18755455308076</v>
      </c>
      <c r="S311" s="273">
        <f t="shared" ca="1" si="303"/>
        <v>885.27415333179908</v>
      </c>
      <c r="T311" s="273">
        <f t="shared" ca="1" si="303"/>
        <v>1643.7447168611588</v>
      </c>
      <c r="U311" s="273">
        <f t="shared" ca="1" si="303"/>
        <v>1495.5382259966282</v>
      </c>
      <c r="V311" s="273">
        <f t="shared" ca="1" si="303"/>
        <v>103.76391997142611</v>
      </c>
      <c r="W311" s="273">
        <f t="shared" ca="1" si="303"/>
        <v>110.22545072318594</v>
      </c>
      <c r="X311" s="273">
        <f t="shared" ca="1" si="303"/>
        <v>131.85133949830504</v>
      </c>
      <c r="Y311" s="273">
        <f t="shared" ca="1" si="303"/>
        <v>127.25147588358628</v>
      </c>
      <c r="Z311" s="273">
        <f t="shared" ca="1" si="303"/>
        <v>165.40228551898306</v>
      </c>
      <c r="AA311" s="273">
        <f t="shared" ca="1" si="303"/>
        <v>474.10238413819212</v>
      </c>
      <c r="AB311" s="273">
        <f t="shared" ca="1" si="303"/>
        <v>476.69524072583516</v>
      </c>
      <c r="AC311" s="273">
        <f t="shared" ca="1" si="303"/>
        <v>480.71531431653574</v>
      </c>
      <c r="AD311" s="273">
        <f t="shared" ca="1" si="303"/>
        <v>469.18905253489191</v>
      </c>
      <c r="AE311" s="273">
        <f t="shared" ca="1" si="303"/>
        <v>609.6046130738896</v>
      </c>
      <c r="AF311" s="273">
        <f t="shared" ca="1" si="303"/>
        <v>570.1693153110333</v>
      </c>
      <c r="AG311" s="273">
        <f t="shared" ca="1" si="303"/>
        <v>674.20020438740801</v>
      </c>
      <c r="AH311" s="273">
        <f t="shared" ca="1" si="303"/>
        <v>1270.4948336144241</v>
      </c>
      <c r="AI311" s="273">
        <f t="shared" ca="1" si="303"/>
        <v>1167.671860957277</v>
      </c>
      <c r="AJ311" s="273">
        <f t="shared" ca="1" si="303"/>
        <v>0</v>
      </c>
      <c r="AK311" s="273">
        <f t="shared" ref="AK311:AN311" ca="1" si="304">AK303</f>
        <v>0</v>
      </c>
      <c r="AL311" s="273">
        <f t="shared" ca="1" si="304"/>
        <v>0</v>
      </c>
      <c r="AM311" s="273">
        <f t="shared" ca="1" si="304"/>
        <v>0</v>
      </c>
      <c r="AN311" s="273">
        <f t="shared" si="304"/>
        <v>0</v>
      </c>
    </row>
    <row r="312" spans="3:40" outlineLevel="2">
      <c r="C312" s="314" t="str">
        <f>C292</f>
        <v>DSRA saldo (b/f)</v>
      </c>
      <c r="E312" s="32" t="s">
        <v>13</v>
      </c>
      <c r="F312" s="266"/>
      <c r="G312" s="273">
        <f t="shared" ref="G312:AL312" si="305">G292*G310</f>
        <v>0</v>
      </c>
      <c r="H312" s="273">
        <f ca="1">H292*H310</f>
        <v>0</v>
      </c>
      <c r="I312" s="273">
        <f t="shared" ca="1" si="305"/>
        <v>423.05954631167043</v>
      </c>
      <c r="J312" s="273">
        <f t="shared" ca="1" si="305"/>
        <v>417.11437896414054</v>
      </c>
      <c r="K312" s="273">
        <f t="shared" ca="1" si="305"/>
        <v>422.82311278185017</v>
      </c>
      <c r="L312" s="273">
        <f t="shared" ca="1" si="305"/>
        <v>814.82370799227886</v>
      </c>
      <c r="M312" s="273">
        <f t="shared" ca="1" si="305"/>
        <v>782.72269450121985</v>
      </c>
      <c r="N312" s="273">
        <f t="shared" ca="1" si="305"/>
        <v>1043.5094787062396</v>
      </c>
      <c r="O312" s="273">
        <f t="shared" ca="1" si="305"/>
        <v>987.52806145061334</v>
      </c>
      <c r="P312" s="273">
        <f t="shared" ca="1" si="305"/>
        <v>965.39070956577564</v>
      </c>
      <c r="Q312" s="273">
        <f t="shared" ca="1" si="305"/>
        <v>972.39220319848084</v>
      </c>
      <c r="R312" s="273">
        <f t="shared" ca="1" si="305"/>
        <v>964.77976040791566</v>
      </c>
      <c r="S312" s="273">
        <f t="shared" ca="1" si="305"/>
        <v>944.18755455308076</v>
      </c>
      <c r="T312" s="273">
        <f t="shared" ca="1" si="305"/>
        <v>885.27415333179908</v>
      </c>
      <c r="U312" s="273">
        <f t="shared" ca="1" si="305"/>
        <v>1643.7447168611588</v>
      </c>
      <c r="V312" s="273">
        <f t="shared" ca="1" si="305"/>
        <v>1495.5382259966282</v>
      </c>
      <c r="W312" s="273">
        <f t="shared" ca="1" si="305"/>
        <v>103.76391997142605</v>
      </c>
      <c r="X312" s="273">
        <f t="shared" ca="1" si="305"/>
        <v>110.22545072318594</v>
      </c>
      <c r="Y312" s="273">
        <f t="shared" ca="1" si="305"/>
        <v>131.85133949830504</v>
      </c>
      <c r="Z312" s="273">
        <f t="shared" ca="1" si="305"/>
        <v>127.25147588358628</v>
      </c>
      <c r="AA312" s="273">
        <f t="shared" ca="1" si="305"/>
        <v>165.40228551898306</v>
      </c>
      <c r="AB312" s="273">
        <f t="shared" ca="1" si="305"/>
        <v>474.10238413819206</v>
      </c>
      <c r="AC312" s="273">
        <f t="shared" ca="1" si="305"/>
        <v>476.69524072583516</v>
      </c>
      <c r="AD312" s="273">
        <f t="shared" ca="1" si="305"/>
        <v>480.71531431653574</v>
      </c>
      <c r="AE312" s="273">
        <f t="shared" ca="1" si="305"/>
        <v>469.18905253489191</v>
      </c>
      <c r="AF312" s="273">
        <f t="shared" ca="1" si="305"/>
        <v>609.6046130738896</v>
      </c>
      <c r="AG312" s="273">
        <f t="shared" ca="1" si="305"/>
        <v>570.1693153110333</v>
      </c>
      <c r="AH312" s="273">
        <f t="shared" ca="1" si="305"/>
        <v>674.20020438740801</v>
      </c>
      <c r="AI312" s="273">
        <f t="shared" ca="1" si="305"/>
        <v>1270.4948336144241</v>
      </c>
      <c r="AJ312" s="273">
        <f t="shared" ca="1" si="305"/>
        <v>1167.671860957277</v>
      </c>
      <c r="AK312" s="273">
        <f t="shared" ca="1" si="305"/>
        <v>0</v>
      </c>
      <c r="AL312" s="273">
        <f t="shared" ca="1" si="305"/>
        <v>0</v>
      </c>
      <c r="AM312" s="273">
        <f t="shared" ref="AM312:AN312" ca="1" si="306">AM292*AM310</f>
        <v>0</v>
      </c>
      <c r="AN312" s="273">
        <f t="shared" ca="1" si="306"/>
        <v>0</v>
      </c>
    </row>
    <row r="313" spans="3:40" outlineLevel="2">
      <c r="C313" s="314" t="s">
        <v>634</v>
      </c>
      <c r="E313" s="32" t="s">
        <v>13</v>
      </c>
      <c r="F313" s="266"/>
      <c r="G313" s="278">
        <f t="shared" ref="G313:AL313" ca="1" si="307">(G311-G312)*G310</f>
        <v>0</v>
      </c>
      <c r="H313" s="278">
        <f t="shared" ca="1" si="307"/>
        <v>423.05954631167043</v>
      </c>
      <c r="I313" s="278">
        <f t="shared" ca="1" si="307"/>
        <v>-5.945167347529889</v>
      </c>
      <c r="J313" s="278">
        <f t="shared" ca="1" si="307"/>
        <v>5.7087338177096285</v>
      </c>
      <c r="K313" s="278">
        <f t="shared" ca="1" si="307"/>
        <v>392.00059521042868</v>
      </c>
      <c r="L313" s="278">
        <f t="shared" ca="1" si="307"/>
        <v>-32.101013491059007</v>
      </c>
      <c r="M313" s="278">
        <f t="shared" ca="1" si="307"/>
        <v>260.78678420501979</v>
      </c>
      <c r="N313" s="278">
        <f t="shared" ca="1" si="307"/>
        <v>-55.981417255626297</v>
      </c>
      <c r="O313" s="278">
        <f t="shared" ca="1" si="307"/>
        <v>-22.137351884837699</v>
      </c>
      <c r="P313" s="278">
        <f t="shared" ca="1" si="307"/>
        <v>7.0014936327052055</v>
      </c>
      <c r="Q313" s="278">
        <f t="shared" ca="1" si="307"/>
        <v>-7.6124427905651828</v>
      </c>
      <c r="R313" s="278">
        <f t="shared" ca="1" si="307"/>
        <v>-20.592205854834901</v>
      </c>
      <c r="S313" s="278">
        <f t="shared" ca="1" si="307"/>
        <v>-58.913401221281674</v>
      </c>
      <c r="T313" s="278">
        <f t="shared" ca="1" si="307"/>
        <v>758.47056352935977</v>
      </c>
      <c r="U313" s="278">
        <f t="shared" ca="1" si="307"/>
        <v>-148.20649086453068</v>
      </c>
      <c r="V313" s="278">
        <f t="shared" ca="1" si="307"/>
        <v>-1391.7743060252021</v>
      </c>
      <c r="W313" s="278">
        <f t="shared" ca="1" si="307"/>
        <v>6.461530751759895</v>
      </c>
      <c r="X313" s="278">
        <f t="shared" ca="1" si="307"/>
        <v>21.625888775119094</v>
      </c>
      <c r="Y313" s="278">
        <f t="shared" ca="1" si="307"/>
        <v>-4.5998636147187568</v>
      </c>
      <c r="Z313" s="278">
        <f t="shared" ca="1" si="307"/>
        <v>38.150809635396783</v>
      </c>
      <c r="AA313" s="278">
        <f t="shared" ca="1" si="307"/>
        <v>308.70009861920903</v>
      </c>
      <c r="AB313" s="278">
        <f t="shared" ca="1" si="307"/>
        <v>2.592856587643098</v>
      </c>
      <c r="AC313" s="278">
        <f t="shared" ca="1" si="307"/>
        <v>4.0200735907005765</v>
      </c>
      <c r="AD313" s="278">
        <f t="shared" ca="1" si="307"/>
        <v>-11.526261781643825</v>
      </c>
      <c r="AE313" s="278">
        <f t="shared" ca="1" si="307"/>
        <v>140.41556053899768</v>
      </c>
      <c r="AF313" s="278">
        <f t="shared" ca="1" si="307"/>
        <v>-39.435297762856294</v>
      </c>
      <c r="AG313" s="278">
        <f t="shared" ca="1" si="307"/>
        <v>104.03088907637471</v>
      </c>
      <c r="AH313" s="278">
        <f t="shared" ca="1" si="307"/>
        <v>596.29462922701612</v>
      </c>
      <c r="AI313" s="278">
        <f t="shared" ca="1" si="307"/>
        <v>-102.82297265714715</v>
      </c>
      <c r="AJ313" s="278">
        <f t="shared" ca="1" si="307"/>
        <v>-1167.671860957277</v>
      </c>
      <c r="AK313" s="278">
        <f t="shared" ca="1" si="307"/>
        <v>0</v>
      </c>
      <c r="AL313" s="278">
        <f t="shared" ca="1" si="307"/>
        <v>0</v>
      </c>
      <c r="AM313" s="278">
        <f t="shared" ref="AM313:AN313" ca="1" si="308">(AM311-AM312)*AM310</f>
        <v>0</v>
      </c>
      <c r="AN313" s="278">
        <f t="shared" ca="1" si="308"/>
        <v>0</v>
      </c>
    </row>
    <row r="314" spans="3:40" outlineLevel="2">
      <c r="C314" s="314"/>
      <c r="F314" s="266"/>
      <c r="G314" s="266"/>
      <c r="H314" s="266"/>
      <c r="I314" s="266"/>
      <c r="J314" s="266"/>
      <c r="K314" s="266"/>
      <c r="L314" s="266"/>
      <c r="M314" s="266"/>
      <c r="N314" s="266"/>
      <c r="O314" s="266"/>
      <c r="P314" s="266"/>
      <c r="Q314" s="266"/>
      <c r="R314" s="266"/>
      <c r="S314" s="266"/>
      <c r="T314" s="266"/>
      <c r="U314" s="266"/>
      <c r="V314" s="266"/>
      <c r="W314" s="266"/>
      <c r="X314" s="266"/>
      <c r="Y314" s="266"/>
      <c r="Z314" s="266"/>
      <c r="AA314" s="266"/>
      <c r="AB314" s="266"/>
      <c r="AC314" s="266"/>
      <c r="AD314" s="266"/>
      <c r="AE314" s="266"/>
      <c r="AF314" s="266"/>
      <c r="AG314" s="266"/>
      <c r="AH314" s="266"/>
      <c r="AI314" s="266"/>
      <c r="AJ314" s="266"/>
      <c r="AK314" s="266"/>
      <c r="AL314" s="266"/>
      <c r="AM314" s="266"/>
      <c r="AN314" s="266"/>
    </row>
    <row r="315" spans="3:40" outlineLevel="2">
      <c r="C315" s="314" t="s">
        <v>635</v>
      </c>
      <c r="E315" s="32" t="s">
        <v>13</v>
      </c>
      <c r="F315" s="266"/>
      <c r="G315" s="278">
        <f t="shared" ref="G315:AL315" ca="1" si="309">MAX(G313,0)</f>
        <v>0</v>
      </c>
      <c r="H315" s="278">
        <f t="shared" ca="1" si="309"/>
        <v>423.05954631167043</v>
      </c>
      <c r="I315" s="278">
        <f t="shared" ca="1" si="309"/>
        <v>0</v>
      </c>
      <c r="J315" s="278">
        <f t="shared" ca="1" si="309"/>
        <v>5.7087338177096285</v>
      </c>
      <c r="K315" s="278">
        <f t="shared" ca="1" si="309"/>
        <v>392.00059521042868</v>
      </c>
      <c r="L315" s="278">
        <f t="shared" ca="1" si="309"/>
        <v>0</v>
      </c>
      <c r="M315" s="278">
        <f t="shared" ca="1" si="309"/>
        <v>260.78678420501979</v>
      </c>
      <c r="N315" s="278">
        <f t="shared" ca="1" si="309"/>
        <v>0</v>
      </c>
      <c r="O315" s="278">
        <f t="shared" ca="1" si="309"/>
        <v>0</v>
      </c>
      <c r="P315" s="278">
        <f t="shared" ca="1" si="309"/>
        <v>7.0014936327052055</v>
      </c>
      <c r="Q315" s="278">
        <f t="shared" ca="1" si="309"/>
        <v>0</v>
      </c>
      <c r="R315" s="278">
        <f t="shared" ca="1" si="309"/>
        <v>0</v>
      </c>
      <c r="S315" s="278">
        <f t="shared" ca="1" si="309"/>
        <v>0</v>
      </c>
      <c r="T315" s="278">
        <f t="shared" ca="1" si="309"/>
        <v>758.47056352935977</v>
      </c>
      <c r="U315" s="278">
        <f t="shared" ca="1" si="309"/>
        <v>0</v>
      </c>
      <c r="V315" s="278">
        <f t="shared" ca="1" si="309"/>
        <v>0</v>
      </c>
      <c r="W315" s="278">
        <f t="shared" ca="1" si="309"/>
        <v>6.461530751759895</v>
      </c>
      <c r="X315" s="278">
        <f t="shared" ca="1" si="309"/>
        <v>21.625888775119094</v>
      </c>
      <c r="Y315" s="278">
        <f t="shared" ca="1" si="309"/>
        <v>0</v>
      </c>
      <c r="Z315" s="278">
        <f t="shared" ca="1" si="309"/>
        <v>38.150809635396783</v>
      </c>
      <c r="AA315" s="278">
        <f t="shared" ca="1" si="309"/>
        <v>308.70009861920903</v>
      </c>
      <c r="AB315" s="278">
        <f t="shared" ca="1" si="309"/>
        <v>2.592856587643098</v>
      </c>
      <c r="AC315" s="278">
        <f t="shared" ca="1" si="309"/>
        <v>4.0200735907005765</v>
      </c>
      <c r="AD315" s="278">
        <f t="shared" ca="1" si="309"/>
        <v>0</v>
      </c>
      <c r="AE315" s="278">
        <f t="shared" ca="1" si="309"/>
        <v>140.41556053899768</v>
      </c>
      <c r="AF315" s="278">
        <f t="shared" ca="1" si="309"/>
        <v>0</v>
      </c>
      <c r="AG315" s="278">
        <f t="shared" ca="1" si="309"/>
        <v>104.03088907637471</v>
      </c>
      <c r="AH315" s="278">
        <f t="shared" ca="1" si="309"/>
        <v>596.29462922701612</v>
      </c>
      <c r="AI315" s="278">
        <f t="shared" ca="1" si="309"/>
        <v>0</v>
      </c>
      <c r="AJ315" s="278">
        <f t="shared" ca="1" si="309"/>
        <v>0</v>
      </c>
      <c r="AK315" s="278">
        <f t="shared" ca="1" si="309"/>
        <v>0</v>
      </c>
      <c r="AL315" s="278">
        <f t="shared" ca="1" si="309"/>
        <v>0</v>
      </c>
      <c r="AM315" s="278">
        <f t="shared" ref="AM315:AN315" ca="1" si="310">MAX(AM313,0)</f>
        <v>0</v>
      </c>
      <c r="AN315" s="278">
        <f t="shared" ca="1" si="310"/>
        <v>0</v>
      </c>
    </row>
    <row r="316" spans="3:40" outlineLevel="2">
      <c r="C316" s="314" t="s">
        <v>636</v>
      </c>
      <c r="E316" s="32" t="s">
        <v>13</v>
      </c>
      <c r="F316" s="266"/>
      <c r="G316" s="278">
        <f t="shared" ref="G316:AL316" ca="1" si="311">MIN(G313,0)</f>
        <v>0</v>
      </c>
      <c r="H316" s="278">
        <f t="shared" ca="1" si="311"/>
        <v>0</v>
      </c>
      <c r="I316" s="278">
        <f t="shared" ca="1" si="311"/>
        <v>-5.945167347529889</v>
      </c>
      <c r="J316" s="278">
        <f t="shared" ca="1" si="311"/>
        <v>0</v>
      </c>
      <c r="K316" s="278">
        <f t="shared" ca="1" si="311"/>
        <v>0</v>
      </c>
      <c r="L316" s="278">
        <f t="shared" ca="1" si="311"/>
        <v>-32.101013491059007</v>
      </c>
      <c r="M316" s="278">
        <f t="shared" ca="1" si="311"/>
        <v>0</v>
      </c>
      <c r="N316" s="278">
        <f t="shared" ca="1" si="311"/>
        <v>-55.981417255626297</v>
      </c>
      <c r="O316" s="278">
        <f t="shared" ca="1" si="311"/>
        <v>-22.137351884837699</v>
      </c>
      <c r="P316" s="278">
        <f t="shared" ca="1" si="311"/>
        <v>0</v>
      </c>
      <c r="Q316" s="278">
        <f t="shared" ca="1" si="311"/>
        <v>-7.6124427905651828</v>
      </c>
      <c r="R316" s="278">
        <f t="shared" ca="1" si="311"/>
        <v>-20.592205854834901</v>
      </c>
      <c r="S316" s="278">
        <f t="shared" ca="1" si="311"/>
        <v>-58.913401221281674</v>
      </c>
      <c r="T316" s="278">
        <f t="shared" ca="1" si="311"/>
        <v>0</v>
      </c>
      <c r="U316" s="278">
        <f t="shared" ca="1" si="311"/>
        <v>-148.20649086453068</v>
      </c>
      <c r="V316" s="278">
        <f t="shared" ca="1" si="311"/>
        <v>-1391.7743060252021</v>
      </c>
      <c r="W316" s="278">
        <f t="shared" ca="1" si="311"/>
        <v>0</v>
      </c>
      <c r="X316" s="278">
        <f t="shared" ca="1" si="311"/>
        <v>0</v>
      </c>
      <c r="Y316" s="278">
        <f t="shared" ca="1" si="311"/>
        <v>-4.5998636147187568</v>
      </c>
      <c r="Z316" s="278">
        <f t="shared" ca="1" si="311"/>
        <v>0</v>
      </c>
      <c r="AA316" s="278">
        <f t="shared" ca="1" si="311"/>
        <v>0</v>
      </c>
      <c r="AB316" s="278">
        <f t="shared" ca="1" si="311"/>
        <v>0</v>
      </c>
      <c r="AC316" s="278">
        <f t="shared" ca="1" si="311"/>
        <v>0</v>
      </c>
      <c r="AD316" s="278">
        <f t="shared" ca="1" si="311"/>
        <v>-11.526261781643825</v>
      </c>
      <c r="AE316" s="278">
        <f t="shared" ca="1" si="311"/>
        <v>0</v>
      </c>
      <c r="AF316" s="278">
        <f t="shared" ca="1" si="311"/>
        <v>-39.435297762856294</v>
      </c>
      <c r="AG316" s="278">
        <f t="shared" ca="1" si="311"/>
        <v>0</v>
      </c>
      <c r="AH316" s="278">
        <f t="shared" ca="1" si="311"/>
        <v>0</v>
      </c>
      <c r="AI316" s="278">
        <f t="shared" ca="1" si="311"/>
        <v>-102.82297265714715</v>
      </c>
      <c r="AJ316" s="278">
        <f t="shared" ca="1" si="311"/>
        <v>-1167.671860957277</v>
      </c>
      <c r="AK316" s="278">
        <f t="shared" ca="1" si="311"/>
        <v>0</v>
      </c>
      <c r="AL316" s="278">
        <f t="shared" ca="1" si="311"/>
        <v>0</v>
      </c>
      <c r="AM316" s="278">
        <f t="shared" ref="AM316:AN316" ca="1" si="312">MIN(AM313,0)</f>
        <v>0</v>
      </c>
      <c r="AN316" s="278">
        <f t="shared" ca="1" si="312"/>
        <v>0</v>
      </c>
    </row>
    <row r="317" spans="3:40" outlineLevel="1">
      <c r="C317" s="314"/>
      <c r="F317" s="266"/>
      <c r="G317" s="266"/>
      <c r="H317" s="266"/>
      <c r="I317" s="266"/>
      <c r="J317" s="266"/>
      <c r="K317" s="266"/>
      <c r="L317" s="266"/>
      <c r="M317" s="266"/>
      <c r="N317" s="266"/>
      <c r="O317" s="266"/>
      <c r="P317" s="266"/>
      <c r="Q317" s="266"/>
      <c r="R317" s="266"/>
      <c r="S317" s="266"/>
      <c r="T317" s="266"/>
      <c r="U317" s="266"/>
      <c r="V317" s="266"/>
      <c r="W317" s="266"/>
      <c r="X317" s="266"/>
      <c r="Y317" s="266"/>
      <c r="Z317" s="266"/>
      <c r="AA317" s="266"/>
      <c r="AB317" s="266"/>
      <c r="AC317" s="266"/>
      <c r="AD317" s="266"/>
      <c r="AE317" s="266"/>
      <c r="AF317" s="266"/>
      <c r="AG317" s="266"/>
      <c r="AH317" s="266"/>
      <c r="AI317" s="266"/>
      <c r="AJ317" s="266"/>
      <c r="AK317" s="266"/>
      <c r="AL317" s="266"/>
      <c r="AM317" s="266"/>
      <c r="AN317" s="266"/>
    </row>
    <row r="318" spans="3:40" outlineLevel="1">
      <c r="C318" t="s">
        <v>637</v>
      </c>
      <c r="F318" s="266"/>
      <c r="G318" s="266"/>
      <c r="H318" s="266"/>
      <c r="I318" s="266"/>
      <c r="J318" s="266"/>
      <c r="K318" s="266"/>
      <c r="L318" s="266"/>
      <c r="M318" s="266"/>
      <c r="N318" s="266"/>
      <c r="O318" s="266"/>
      <c r="P318" s="266"/>
      <c r="Q318" s="266"/>
      <c r="R318" s="266"/>
      <c r="S318" s="266"/>
      <c r="T318" s="266"/>
      <c r="U318" s="266"/>
      <c r="V318" s="266"/>
      <c r="W318" s="266"/>
      <c r="X318" s="266"/>
      <c r="Y318" s="266"/>
      <c r="Z318" s="266"/>
      <c r="AA318" s="266"/>
      <c r="AB318" s="266"/>
      <c r="AC318" s="266"/>
      <c r="AD318" s="266"/>
      <c r="AE318" s="266"/>
      <c r="AF318" s="266"/>
      <c r="AG318" s="266"/>
      <c r="AH318" s="266"/>
      <c r="AI318" s="266"/>
      <c r="AJ318" s="266"/>
      <c r="AK318" s="266"/>
      <c r="AL318" s="266"/>
      <c r="AM318" s="266"/>
      <c r="AN318" s="266"/>
    </row>
    <row r="319" spans="3:40" outlineLevel="2">
      <c r="C319" s="314" t="str">
        <f>Ops!C1065</f>
        <v>Caixa (c/f)</v>
      </c>
      <c r="E319" s="32" t="str">
        <f>Ops!E1065</f>
        <v>$ 000s</v>
      </c>
      <c r="F319" s="273">
        <f>Ops!F1065</f>
        <v>0</v>
      </c>
      <c r="G319" s="273">
        <f>Ops!G1055</f>
        <v>0</v>
      </c>
      <c r="H319" s="273">
        <f ca="1">Ops!H1055</f>
        <v>6640.1433350360567</v>
      </c>
      <c r="I319" s="273">
        <f ca="1">Ops!I1055</f>
        <v>10033.740567941948</v>
      </c>
      <c r="J319" s="273">
        <f ca="1">Ops!J1055</f>
        <v>10905.479915859049</v>
      </c>
      <c r="K319" s="273">
        <f ca="1">Ops!K1055</f>
        <v>11104.112036696148</v>
      </c>
      <c r="L319" s="273">
        <f ca="1">Ops!L1055</f>
        <v>11485.688057533247</v>
      </c>
      <c r="M319" s="273">
        <f ca="1">Ops!M1055</f>
        <v>17638.444624218482</v>
      </c>
      <c r="N319" s="273">
        <f ca="1">Ops!N1055</f>
        <v>17759.242090694956</v>
      </c>
      <c r="O319" s="273">
        <f ca="1">Ops!O1055</f>
        <v>21853.833396532056</v>
      </c>
      <c r="P319" s="273">
        <f ca="1">Ops!P1055</f>
        <v>21875.535667369157</v>
      </c>
      <c r="Q319" s="273">
        <f ca="1">Ops!Q1055</f>
        <v>22298.425188206256</v>
      </c>
      <c r="R319" s="273">
        <f ca="1">Ops!R1055</f>
        <v>23024.904390465537</v>
      </c>
      <c r="S319" s="273">
        <f ca="1">Ops!S1055</f>
        <v>23574.806182067721</v>
      </c>
      <c r="T319" s="273">
        <f ca="1">Ops!T1055</f>
        <v>23973.773142120823</v>
      </c>
      <c r="U319" s="273">
        <f ca="1">Ops!U1055</f>
        <v>24063.177903597294</v>
      </c>
      <c r="V319" s="273">
        <f ca="1">Ops!V1055</f>
        <v>28153.450329434396</v>
      </c>
      <c r="W319" s="273">
        <f ca="1">Ops!W1055</f>
        <v>29477.466557455522</v>
      </c>
      <c r="X319" s="273">
        <f ca="1">Ops!X1055</f>
        <v>29869.231683292623</v>
      </c>
      <c r="Y319" s="273">
        <f ca="1">Ops!Y1055</f>
        <v>30045.056584129721</v>
      </c>
      <c r="Z319" s="273">
        <f ca="1">Ops!Z1055</f>
        <v>30458.05600496682</v>
      </c>
      <c r="AA319" s="273">
        <f ca="1">Ops!AA1055</f>
        <v>30482.719525803921</v>
      </c>
      <c r="AB319" s="273">
        <f ca="1">Ops!AB1055</f>
        <v>31118.213718702573</v>
      </c>
      <c r="AC319" s="273">
        <f ca="1">Ops!AC1055</f>
        <v>35424.157815304759</v>
      </c>
      <c r="AD319" s="273">
        <f ca="1">Ops!AD1055</f>
        <v>35791.811275357861</v>
      </c>
      <c r="AE319" s="273">
        <f ca="1">Ops!AE1055</f>
        <v>36170.42604619496</v>
      </c>
      <c r="AF319" s="273">
        <f ca="1">Ops!AF1055</f>
        <v>36369.387867032063</v>
      </c>
      <c r="AG319" s="273">
        <f ca="1">Ops!AG1055</f>
        <v>38029.12723512519</v>
      </c>
      <c r="AH319" s="273">
        <f ca="1">Ops!AH1055</f>
        <v>38061.018610962288</v>
      </c>
      <c r="AI319" s="273">
        <f ca="1">Ops!AI1055</f>
        <v>39059.71741243876</v>
      </c>
      <c r="AJ319" s="273">
        <f ca="1">Ops!AJ1055</f>
        <v>42266.547978275863</v>
      </c>
      <c r="AK319" s="273">
        <f ca="1">Ops!AK1055</f>
        <v>42298.250249112964</v>
      </c>
      <c r="AL319" s="273">
        <f ca="1">Ops!AL1055</f>
        <v>42298.250249112964</v>
      </c>
      <c r="AM319" s="273">
        <f ca="1">Ops!AM1055</f>
        <v>42298.250249112964</v>
      </c>
      <c r="AN319" s="273">
        <f ca="1">Ops!AN1055</f>
        <v>42298.250249112964</v>
      </c>
    </row>
    <row r="320" spans="3:40" outlineLevel="2">
      <c r="C320" s="314" t="str">
        <f>DFs!C69</f>
        <v>Fluxo de Caixa para Conta Reserva</v>
      </c>
      <c r="E320" s="32" t="str">
        <f>DFs!E69</f>
        <v>$ 000s</v>
      </c>
      <c r="F320" s="23">
        <f ca="1">DFs!F69</f>
        <v>96286.14231995141</v>
      </c>
      <c r="G320" s="273">
        <f ca="1">DFs!G69</f>
        <v>-1144.8774633790981</v>
      </c>
      <c r="H320" s="273">
        <f ca="1">DFs!H69</f>
        <v>-2111.8451126294881</v>
      </c>
      <c r="I320" s="273">
        <f ca="1">DFs!I69</f>
        <v>871.40071246919615</v>
      </c>
      <c r="J320" s="273">
        <f ca="1">DFs!J69</f>
        <v>1468.849976585795</v>
      </c>
      <c r="K320" s="273">
        <f ca="1">DFs!K69</f>
        <v>1721.5460985247996</v>
      </c>
      <c r="L320" s="273">
        <f ca="1">DFs!L69</f>
        <v>1335.850900545031</v>
      </c>
      <c r="M320" s="273">
        <f ca="1">DFs!M69</f>
        <v>980.26077680437265</v>
      </c>
      <c r="N320" s="273">
        <f ca="1">DFs!N69</f>
        <v>5418.8951174483536</v>
      </c>
      <c r="O320" s="273">
        <f ca="1">DFs!O69</f>
        <v>1971.2159000522706</v>
      </c>
      <c r="P320" s="273">
        <f ca="1">DFs!P69</f>
        <v>2052.8180959509909</v>
      </c>
      <c r="Q320" s="273">
        <f ca="1">DFs!Q69</f>
        <v>2220.2361754347348</v>
      </c>
      <c r="R320" s="273">
        <f ca="1">DFs!R69</f>
        <v>2376.3949632869953</v>
      </c>
      <c r="S320" s="273">
        <f ca="1">DFs!S69</f>
        <v>2034.160738424549</v>
      </c>
      <c r="T320" s="273">
        <f ca="1">DFs!T69</f>
        <v>2058.8201907540206</v>
      </c>
      <c r="U320" s="273">
        <f ca="1">DFs!U69</f>
        <v>4306.9214405115135</v>
      </c>
      <c r="V320" s="273">
        <f ca="1">DFs!V69</f>
        <v>808.04348886278149</v>
      </c>
      <c r="W320" s="273">
        <f ca="1">DFs!W69</f>
        <v>5000.7609380284539</v>
      </c>
      <c r="X320" s="273">
        <f ca="1">DFs!X69</f>
        <v>5044.5650432819311</v>
      </c>
      <c r="Y320" s="273">
        <f ca="1">DFs!Y69</f>
        <v>4956.9298328459936</v>
      </c>
      <c r="Z320" s="273">
        <f ca="1">DFs!Z69</f>
        <v>4456.7383138538653</v>
      </c>
      <c r="AA320" s="273">
        <f ca="1">DFs!AA69</f>
        <v>4580.8229295759693</v>
      </c>
      <c r="AB320" s="273">
        <f ca="1">DFs!AB69</f>
        <v>7936.2322801667851</v>
      </c>
      <c r="AC320" s="273">
        <f ca="1">DFs!AC69</f>
        <v>4516.2650943392673</v>
      </c>
      <c r="AD320" s="273">
        <f ca="1">DFs!AD69</f>
        <v>4598.9058971479681</v>
      </c>
      <c r="AE320" s="273">
        <f ca="1">DFs!AE69</f>
        <v>4754.9489997693345</v>
      </c>
      <c r="AF320" s="273">
        <f ca="1">DFs!AF69</f>
        <v>4572.6836534926069</v>
      </c>
      <c r="AG320" s="273">
        <f ca="1">DFs!AG69</f>
        <v>4061.7048622304837</v>
      </c>
      <c r="AH320" s="273">
        <f ca="1">DFs!AH69</f>
        <v>4028.0788156212761</v>
      </c>
      <c r="AI320" s="273">
        <f ca="1">DFs!AI69</f>
        <v>6812.1276851535094</v>
      </c>
      <c r="AJ320" s="273">
        <f ca="1">DFs!AJ69</f>
        <v>4596.6859747971421</v>
      </c>
      <c r="AK320" s="273">
        <f ca="1">DFs!AK69</f>
        <v>0</v>
      </c>
      <c r="AL320" s="273">
        <f ca="1">DFs!AL69</f>
        <v>0</v>
      </c>
      <c r="AM320" s="273">
        <f ca="1">DFs!AM69</f>
        <v>0</v>
      </c>
      <c r="AN320" s="273">
        <f>DFs!AN69</f>
        <v>0</v>
      </c>
    </row>
    <row r="321" spans="3:40" outlineLevel="2">
      <c r="C321" s="343" t="s">
        <v>638</v>
      </c>
      <c r="D321" s="61"/>
      <c r="E321" s="83" t="s">
        <v>13</v>
      </c>
      <c r="F321" s="23">
        <f ca="1">SUM(G321:AN321)</f>
        <v>1022486.8384592191</v>
      </c>
      <c r="G321" s="317">
        <f t="shared" ref="G321:AL321" ca="1" si="313">SUM(G319:G320)</f>
        <v>-1144.8774633790981</v>
      </c>
      <c r="H321" s="317">
        <f t="shared" ca="1" si="313"/>
        <v>4528.298222406569</v>
      </c>
      <c r="I321" s="317">
        <f t="shared" ca="1" si="313"/>
        <v>10905.141280411144</v>
      </c>
      <c r="J321" s="317">
        <f t="shared" ca="1" si="313"/>
        <v>12374.329892444843</v>
      </c>
      <c r="K321" s="317">
        <f t="shared" ca="1" si="313"/>
        <v>12825.658135220947</v>
      </c>
      <c r="L321" s="317">
        <f t="shared" ca="1" si="313"/>
        <v>12821.538958078278</v>
      </c>
      <c r="M321" s="317">
        <f t="shared" ca="1" si="313"/>
        <v>18618.705401022853</v>
      </c>
      <c r="N321" s="317">
        <f t="shared" ca="1" si="313"/>
        <v>23178.137208143307</v>
      </c>
      <c r="O321" s="317">
        <f t="shared" ca="1" si="313"/>
        <v>23825.049296584326</v>
      </c>
      <c r="P321" s="317">
        <f t="shared" ca="1" si="313"/>
        <v>23928.353763320149</v>
      </c>
      <c r="Q321" s="317">
        <f t="shared" ca="1" si="313"/>
        <v>24518.661363640989</v>
      </c>
      <c r="R321" s="317">
        <f t="shared" ca="1" si="313"/>
        <v>25401.299353752533</v>
      </c>
      <c r="S321" s="317">
        <f t="shared" ca="1" si="313"/>
        <v>25608.966920492268</v>
      </c>
      <c r="T321" s="317">
        <f t="shared" ca="1" si="313"/>
        <v>26032.593332874843</v>
      </c>
      <c r="U321" s="317">
        <f t="shared" ca="1" si="313"/>
        <v>28370.099344108807</v>
      </c>
      <c r="V321" s="317">
        <f t="shared" ca="1" si="313"/>
        <v>28961.493818297178</v>
      </c>
      <c r="W321" s="317">
        <f t="shared" ca="1" si="313"/>
        <v>34478.227495483974</v>
      </c>
      <c r="X321" s="317">
        <f t="shared" ca="1" si="313"/>
        <v>34913.796726574554</v>
      </c>
      <c r="Y321" s="317">
        <f t="shared" ca="1" si="313"/>
        <v>35001.986416975713</v>
      </c>
      <c r="Z321" s="317">
        <f t="shared" ca="1" si="313"/>
        <v>34914.794318820685</v>
      </c>
      <c r="AA321" s="317">
        <f t="shared" ca="1" si="313"/>
        <v>35063.542455379888</v>
      </c>
      <c r="AB321" s="317">
        <f t="shared" ca="1" si="313"/>
        <v>39054.445998869356</v>
      </c>
      <c r="AC321" s="317">
        <f t="shared" ca="1" si="313"/>
        <v>39940.422909644025</v>
      </c>
      <c r="AD321" s="317">
        <f t="shared" ca="1" si="313"/>
        <v>40390.717172505829</v>
      </c>
      <c r="AE321" s="317">
        <f t="shared" ca="1" si="313"/>
        <v>40925.375045964291</v>
      </c>
      <c r="AF321" s="317">
        <f t="shared" ca="1" si="313"/>
        <v>40942.071520524667</v>
      </c>
      <c r="AG321" s="317">
        <f t="shared" ca="1" si="313"/>
        <v>42090.832097355677</v>
      </c>
      <c r="AH321" s="317">
        <f t="shared" ca="1" si="313"/>
        <v>42089.097426583561</v>
      </c>
      <c r="AI321" s="317">
        <f t="shared" ca="1" si="313"/>
        <v>45871.845097592268</v>
      </c>
      <c r="AJ321" s="317">
        <f t="shared" ca="1" si="313"/>
        <v>46863.233953073002</v>
      </c>
      <c r="AK321" s="317">
        <f t="shared" ca="1" si="313"/>
        <v>42298.250249112964</v>
      </c>
      <c r="AL321" s="317">
        <f t="shared" ca="1" si="313"/>
        <v>42298.250249112964</v>
      </c>
      <c r="AM321" s="317">
        <f t="shared" ref="AM321:AN321" ca="1" si="314">SUM(AM319:AM320)</f>
        <v>42298.250249112964</v>
      </c>
      <c r="AN321" s="317">
        <f t="shared" ca="1" si="314"/>
        <v>42298.250249112964</v>
      </c>
    </row>
    <row r="322" spans="3:40" outlineLevel="2">
      <c r="C322" s="314"/>
      <c r="F322" s="266"/>
      <c r="G322" s="266"/>
      <c r="H322" s="266"/>
      <c r="I322" s="266"/>
      <c r="J322" s="266"/>
      <c r="K322" s="266"/>
      <c r="L322" s="266"/>
      <c r="M322" s="266"/>
      <c r="N322" s="266"/>
      <c r="O322" s="266"/>
      <c r="P322" s="266"/>
      <c r="Q322" s="266"/>
      <c r="R322" s="266"/>
      <c r="S322" s="266"/>
      <c r="T322" s="266"/>
      <c r="U322" s="266"/>
      <c r="V322" s="266"/>
      <c r="W322" s="266"/>
      <c r="X322" s="266"/>
      <c r="Y322" s="266"/>
      <c r="Z322" s="266"/>
      <c r="AA322" s="266"/>
      <c r="AB322" s="266"/>
      <c r="AC322" s="266"/>
      <c r="AD322" s="266"/>
      <c r="AE322" s="266"/>
      <c r="AF322" s="266"/>
      <c r="AG322" s="266"/>
      <c r="AH322" s="266"/>
      <c r="AI322" s="266"/>
      <c r="AJ322" s="266"/>
      <c r="AK322" s="266"/>
      <c r="AL322" s="266"/>
      <c r="AM322" s="266"/>
      <c r="AN322" s="266"/>
    </row>
    <row r="323" spans="3:40" outlineLevel="2">
      <c r="C323" s="314" t="str">
        <f t="shared" ref="C323:AH323" si="315">C321</f>
        <v>Caixa total para DSRA</v>
      </c>
      <c r="E323" s="32" t="str">
        <f t="shared" si="315"/>
        <v>$ 000s</v>
      </c>
      <c r="F323" s="23">
        <f ca="1">SUM(G323:AN323)</f>
        <v>1022486.8384592191</v>
      </c>
      <c r="G323" s="273">
        <f t="shared" ca="1" si="315"/>
        <v>-1144.8774633790981</v>
      </c>
      <c r="H323" s="273">
        <f t="shared" ca="1" si="315"/>
        <v>4528.298222406569</v>
      </c>
      <c r="I323" s="273">
        <f t="shared" ca="1" si="315"/>
        <v>10905.141280411144</v>
      </c>
      <c r="J323" s="273">
        <f t="shared" ca="1" si="315"/>
        <v>12374.329892444843</v>
      </c>
      <c r="K323" s="273">
        <f t="shared" ca="1" si="315"/>
        <v>12825.658135220947</v>
      </c>
      <c r="L323" s="273">
        <f t="shared" ca="1" si="315"/>
        <v>12821.538958078278</v>
      </c>
      <c r="M323" s="273">
        <f t="shared" ca="1" si="315"/>
        <v>18618.705401022853</v>
      </c>
      <c r="N323" s="273">
        <f t="shared" ca="1" si="315"/>
        <v>23178.137208143307</v>
      </c>
      <c r="O323" s="273">
        <f t="shared" ca="1" si="315"/>
        <v>23825.049296584326</v>
      </c>
      <c r="P323" s="273">
        <f t="shared" ca="1" si="315"/>
        <v>23928.353763320149</v>
      </c>
      <c r="Q323" s="273">
        <f t="shared" ca="1" si="315"/>
        <v>24518.661363640989</v>
      </c>
      <c r="R323" s="273">
        <f t="shared" ca="1" si="315"/>
        <v>25401.299353752533</v>
      </c>
      <c r="S323" s="273">
        <f t="shared" ca="1" si="315"/>
        <v>25608.966920492268</v>
      </c>
      <c r="T323" s="273">
        <f t="shared" ca="1" si="315"/>
        <v>26032.593332874843</v>
      </c>
      <c r="U323" s="273">
        <f t="shared" ca="1" si="315"/>
        <v>28370.099344108807</v>
      </c>
      <c r="V323" s="273">
        <f t="shared" ca="1" si="315"/>
        <v>28961.493818297178</v>
      </c>
      <c r="W323" s="273">
        <f t="shared" ca="1" si="315"/>
        <v>34478.227495483974</v>
      </c>
      <c r="X323" s="273">
        <f t="shared" ca="1" si="315"/>
        <v>34913.796726574554</v>
      </c>
      <c r="Y323" s="273">
        <f t="shared" ca="1" si="315"/>
        <v>35001.986416975713</v>
      </c>
      <c r="Z323" s="273">
        <f t="shared" ca="1" si="315"/>
        <v>34914.794318820685</v>
      </c>
      <c r="AA323" s="273">
        <f t="shared" ca="1" si="315"/>
        <v>35063.542455379888</v>
      </c>
      <c r="AB323" s="273">
        <f t="shared" ca="1" si="315"/>
        <v>39054.445998869356</v>
      </c>
      <c r="AC323" s="273">
        <f t="shared" ca="1" si="315"/>
        <v>39940.422909644025</v>
      </c>
      <c r="AD323" s="273">
        <f t="shared" ca="1" si="315"/>
        <v>40390.717172505829</v>
      </c>
      <c r="AE323" s="273">
        <f t="shared" ca="1" si="315"/>
        <v>40925.375045964291</v>
      </c>
      <c r="AF323" s="273">
        <f t="shared" ca="1" si="315"/>
        <v>40942.071520524667</v>
      </c>
      <c r="AG323" s="273">
        <f t="shared" ca="1" si="315"/>
        <v>42090.832097355677</v>
      </c>
      <c r="AH323" s="273">
        <f t="shared" ca="1" si="315"/>
        <v>42089.097426583561</v>
      </c>
      <c r="AI323" s="273">
        <f t="shared" ref="AI323:AN323" ca="1" si="316">AI321</f>
        <v>45871.845097592268</v>
      </c>
      <c r="AJ323" s="273">
        <f t="shared" ca="1" si="316"/>
        <v>46863.233953073002</v>
      </c>
      <c r="AK323" s="273">
        <f t="shared" ca="1" si="316"/>
        <v>42298.250249112964</v>
      </c>
      <c r="AL323" s="273">
        <f t="shared" ca="1" si="316"/>
        <v>42298.250249112964</v>
      </c>
      <c r="AM323" s="273">
        <f t="shared" ca="1" si="316"/>
        <v>42298.250249112964</v>
      </c>
      <c r="AN323" s="273">
        <f t="shared" ca="1" si="316"/>
        <v>42298.250249112964</v>
      </c>
    </row>
    <row r="324" spans="3:40" outlineLevel="2">
      <c r="C324" s="314" t="s">
        <v>639</v>
      </c>
      <c r="E324" s="32" t="s">
        <v>13</v>
      </c>
      <c r="F324" s="23">
        <f ca="1">SUM(G324:AN324)</f>
        <v>1023631.7159225983</v>
      </c>
      <c r="G324" s="278">
        <f t="shared" ref="G324:AL324" ca="1" si="317">MAX(G323,0)</f>
        <v>0</v>
      </c>
      <c r="H324" s="278">
        <f t="shared" ca="1" si="317"/>
        <v>4528.298222406569</v>
      </c>
      <c r="I324" s="278">
        <f t="shared" ca="1" si="317"/>
        <v>10905.141280411144</v>
      </c>
      <c r="J324" s="278">
        <f t="shared" ca="1" si="317"/>
        <v>12374.329892444843</v>
      </c>
      <c r="K324" s="278">
        <f t="shared" ca="1" si="317"/>
        <v>12825.658135220947</v>
      </c>
      <c r="L324" s="278">
        <f t="shared" ca="1" si="317"/>
        <v>12821.538958078278</v>
      </c>
      <c r="M324" s="278">
        <f t="shared" ca="1" si="317"/>
        <v>18618.705401022853</v>
      </c>
      <c r="N324" s="278">
        <f t="shared" ca="1" si="317"/>
        <v>23178.137208143307</v>
      </c>
      <c r="O324" s="278">
        <f t="shared" ca="1" si="317"/>
        <v>23825.049296584326</v>
      </c>
      <c r="P324" s="278">
        <f t="shared" ca="1" si="317"/>
        <v>23928.353763320149</v>
      </c>
      <c r="Q324" s="278">
        <f t="shared" ca="1" si="317"/>
        <v>24518.661363640989</v>
      </c>
      <c r="R324" s="278">
        <f t="shared" ca="1" si="317"/>
        <v>25401.299353752533</v>
      </c>
      <c r="S324" s="278">
        <f t="shared" ca="1" si="317"/>
        <v>25608.966920492268</v>
      </c>
      <c r="T324" s="278">
        <f t="shared" ca="1" si="317"/>
        <v>26032.593332874843</v>
      </c>
      <c r="U324" s="278">
        <f t="shared" ca="1" si="317"/>
        <v>28370.099344108807</v>
      </c>
      <c r="V324" s="278">
        <f t="shared" ca="1" si="317"/>
        <v>28961.493818297178</v>
      </c>
      <c r="W324" s="278">
        <f t="shared" ca="1" si="317"/>
        <v>34478.227495483974</v>
      </c>
      <c r="X324" s="278">
        <f t="shared" ca="1" si="317"/>
        <v>34913.796726574554</v>
      </c>
      <c r="Y324" s="278">
        <f t="shared" ca="1" si="317"/>
        <v>35001.986416975713</v>
      </c>
      <c r="Z324" s="278">
        <f t="shared" ca="1" si="317"/>
        <v>34914.794318820685</v>
      </c>
      <c r="AA324" s="278">
        <f t="shared" ca="1" si="317"/>
        <v>35063.542455379888</v>
      </c>
      <c r="AB324" s="278">
        <f t="shared" ca="1" si="317"/>
        <v>39054.445998869356</v>
      </c>
      <c r="AC324" s="278">
        <f t="shared" ca="1" si="317"/>
        <v>39940.422909644025</v>
      </c>
      <c r="AD324" s="278">
        <f t="shared" ca="1" si="317"/>
        <v>40390.717172505829</v>
      </c>
      <c r="AE324" s="278">
        <f t="shared" ca="1" si="317"/>
        <v>40925.375045964291</v>
      </c>
      <c r="AF324" s="278">
        <f t="shared" ca="1" si="317"/>
        <v>40942.071520524667</v>
      </c>
      <c r="AG324" s="278">
        <f t="shared" ca="1" si="317"/>
        <v>42090.832097355677</v>
      </c>
      <c r="AH324" s="278">
        <f t="shared" ca="1" si="317"/>
        <v>42089.097426583561</v>
      </c>
      <c r="AI324" s="278">
        <f t="shared" ca="1" si="317"/>
        <v>45871.845097592268</v>
      </c>
      <c r="AJ324" s="278">
        <f t="shared" ca="1" si="317"/>
        <v>46863.233953073002</v>
      </c>
      <c r="AK324" s="278">
        <f t="shared" ca="1" si="317"/>
        <v>42298.250249112964</v>
      </c>
      <c r="AL324" s="278">
        <f t="shared" ca="1" si="317"/>
        <v>42298.250249112964</v>
      </c>
      <c r="AM324" s="278">
        <f t="shared" ref="AM324:AN324" ca="1" si="318">MAX(AM323,0)</f>
        <v>42298.250249112964</v>
      </c>
      <c r="AN324" s="278">
        <f t="shared" ca="1" si="318"/>
        <v>42298.250249112964</v>
      </c>
    </row>
    <row r="325" spans="3:40" outlineLevel="2">
      <c r="C325" s="314"/>
      <c r="F325" s="266"/>
      <c r="G325" s="266"/>
      <c r="H325" s="266"/>
      <c r="I325" s="266"/>
      <c r="J325" s="266"/>
      <c r="K325" s="266"/>
      <c r="L325" s="266"/>
      <c r="M325" s="266"/>
      <c r="N325" s="266"/>
      <c r="O325" s="266"/>
      <c r="P325" s="266"/>
      <c r="Q325" s="266"/>
      <c r="R325" s="266"/>
      <c r="S325" s="266"/>
      <c r="T325" s="266"/>
      <c r="U325" s="266"/>
      <c r="V325" s="266"/>
      <c r="W325" s="266"/>
      <c r="X325" s="266"/>
      <c r="Y325" s="266"/>
      <c r="Z325" s="266"/>
      <c r="AA325" s="266"/>
      <c r="AB325" s="266"/>
      <c r="AC325" s="266"/>
      <c r="AD325" s="266"/>
      <c r="AE325" s="266"/>
      <c r="AF325" s="266"/>
      <c r="AG325" s="266"/>
      <c r="AH325" s="266"/>
      <c r="AI325" s="266"/>
      <c r="AJ325" s="266"/>
      <c r="AK325" s="266"/>
      <c r="AL325" s="266"/>
      <c r="AM325" s="266"/>
      <c r="AN325" s="266"/>
    </row>
    <row r="326" spans="3:40" outlineLevel="2">
      <c r="C326" s="314" t="str">
        <f t="shared" ref="C326:AH326" si="319">C321</f>
        <v>Caixa total para DSRA</v>
      </c>
      <c r="E326" s="32" t="str">
        <f t="shared" si="319"/>
        <v>$ 000s</v>
      </c>
      <c r="F326" s="23">
        <f t="shared" ca="1" si="319"/>
        <v>1022486.8384592191</v>
      </c>
      <c r="G326" s="273">
        <f t="shared" ca="1" si="319"/>
        <v>-1144.8774633790981</v>
      </c>
      <c r="H326" s="273">
        <f t="shared" ca="1" si="319"/>
        <v>4528.298222406569</v>
      </c>
      <c r="I326" s="273">
        <f t="shared" ca="1" si="319"/>
        <v>10905.141280411144</v>
      </c>
      <c r="J326" s="273">
        <f t="shared" ca="1" si="319"/>
        <v>12374.329892444843</v>
      </c>
      <c r="K326" s="273">
        <f t="shared" ca="1" si="319"/>
        <v>12825.658135220947</v>
      </c>
      <c r="L326" s="273">
        <f t="shared" ca="1" si="319"/>
        <v>12821.538958078278</v>
      </c>
      <c r="M326" s="273">
        <f t="shared" ca="1" si="319"/>
        <v>18618.705401022853</v>
      </c>
      <c r="N326" s="273">
        <f t="shared" ca="1" si="319"/>
        <v>23178.137208143307</v>
      </c>
      <c r="O326" s="273">
        <f t="shared" ca="1" si="319"/>
        <v>23825.049296584326</v>
      </c>
      <c r="P326" s="273">
        <f t="shared" ca="1" si="319"/>
        <v>23928.353763320149</v>
      </c>
      <c r="Q326" s="273">
        <f t="shared" ca="1" si="319"/>
        <v>24518.661363640989</v>
      </c>
      <c r="R326" s="273">
        <f t="shared" ca="1" si="319"/>
        <v>25401.299353752533</v>
      </c>
      <c r="S326" s="273">
        <f t="shared" ca="1" si="319"/>
        <v>25608.966920492268</v>
      </c>
      <c r="T326" s="273">
        <f t="shared" ca="1" si="319"/>
        <v>26032.593332874843</v>
      </c>
      <c r="U326" s="273">
        <f t="shared" ca="1" si="319"/>
        <v>28370.099344108807</v>
      </c>
      <c r="V326" s="273">
        <f t="shared" ca="1" si="319"/>
        <v>28961.493818297178</v>
      </c>
      <c r="W326" s="273">
        <f t="shared" ca="1" si="319"/>
        <v>34478.227495483974</v>
      </c>
      <c r="X326" s="273">
        <f t="shared" ca="1" si="319"/>
        <v>34913.796726574554</v>
      </c>
      <c r="Y326" s="273">
        <f t="shared" ca="1" si="319"/>
        <v>35001.986416975713</v>
      </c>
      <c r="Z326" s="273">
        <f t="shared" ca="1" si="319"/>
        <v>34914.794318820685</v>
      </c>
      <c r="AA326" s="273">
        <f t="shared" ca="1" si="319"/>
        <v>35063.542455379888</v>
      </c>
      <c r="AB326" s="273">
        <f t="shared" ca="1" si="319"/>
        <v>39054.445998869356</v>
      </c>
      <c r="AC326" s="273">
        <f t="shared" ca="1" si="319"/>
        <v>39940.422909644025</v>
      </c>
      <c r="AD326" s="273">
        <f t="shared" ca="1" si="319"/>
        <v>40390.717172505829</v>
      </c>
      <c r="AE326" s="273">
        <f t="shared" ca="1" si="319"/>
        <v>40925.375045964291</v>
      </c>
      <c r="AF326" s="273">
        <f t="shared" ca="1" si="319"/>
        <v>40942.071520524667</v>
      </c>
      <c r="AG326" s="273">
        <f t="shared" ca="1" si="319"/>
        <v>42090.832097355677</v>
      </c>
      <c r="AH326" s="273">
        <f t="shared" ca="1" si="319"/>
        <v>42089.097426583561</v>
      </c>
      <c r="AI326" s="273">
        <f t="shared" ref="AI326:AN326" ca="1" si="320">AI321</f>
        <v>45871.845097592268</v>
      </c>
      <c r="AJ326" s="273">
        <f t="shared" ca="1" si="320"/>
        <v>46863.233953073002</v>
      </c>
      <c r="AK326" s="273">
        <f t="shared" ca="1" si="320"/>
        <v>42298.250249112964</v>
      </c>
      <c r="AL326" s="273">
        <f t="shared" ca="1" si="320"/>
        <v>42298.250249112964</v>
      </c>
      <c r="AM326" s="273">
        <f t="shared" ca="1" si="320"/>
        <v>42298.250249112964</v>
      </c>
      <c r="AN326" s="273">
        <f t="shared" ca="1" si="320"/>
        <v>42298.250249112964</v>
      </c>
    </row>
    <row r="327" spans="3:40" outlineLevel="2">
      <c r="C327" s="314" t="s">
        <v>640</v>
      </c>
      <c r="E327" s="32" t="s">
        <v>13</v>
      </c>
      <c r="F327" s="23">
        <f ca="1">SUM(G327:AN327)</f>
        <v>-1144.8774633790981</v>
      </c>
      <c r="G327" s="278">
        <f t="shared" ref="G327:AL327" ca="1" si="321">MIN(G326,0)</f>
        <v>-1144.8774633790981</v>
      </c>
      <c r="H327" s="278">
        <f t="shared" ca="1" si="321"/>
        <v>0</v>
      </c>
      <c r="I327" s="278">
        <f t="shared" ca="1" si="321"/>
        <v>0</v>
      </c>
      <c r="J327" s="278">
        <f t="shared" ca="1" si="321"/>
        <v>0</v>
      </c>
      <c r="K327" s="278">
        <f t="shared" ca="1" si="321"/>
        <v>0</v>
      </c>
      <c r="L327" s="278">
        <f t="shared" ca="1" si="321"/>
        <v>0</v>
      </c>
      <c r="M327" s="278">
        <f t="shared" ca="1" si="321"/>
        <v>0</v>
      </c>
      <c r="N327" s="278">
        <f t="shared" ca="1" si="321"/>
        <v>0</v>
      </c>
      <c r="O327" s="278">
        <f t="shared" ca="1" si="321"/>
        <v>0</v>
      </c>
      <c r="P327" s="278">
        <f t="shared" ca="1" si="321"/>
        <v>0</v>
      </c>
      <c r="Q327" s="278">
        <f t="shared" ca="1" si="321"/>
        <v>0</v>
      </c>
      <c r="R327" s="278">
        <f t="shared" ca="1" si="321"/>
        <v>0</v>
      </c>
      <c r="S327" s="278">
        <f t="shared" ca="1" si="321"/>
        <v>0</v>
      </c>
      <c r="T327" s="278">
        <f t="shared" ca="1" si="321"/>
        <v>0</v>
      </c>
      <c r="U327" s="278">
        <f t="shared" ca="1" si="321"/>
        <v>0</v>
      </c>
      <c r="V327" s="278">
        <f t="shared" ca="1" si="321"/>
        <v>0</v>
      </c>
      <c r="W327" s="278">
        <f t="shared" ca="1" si="321"/>
        <v>0</v>
      </c>
      <c r="X327" s="278">
        <f t="shared" ca="1" si="321"/>
        <v>0</v>
      </c>
      <c r="Y327" s="278">
        <f t="shared" ca="1" si="321"/>
        <v>0</v>
      </c>
      <c r="Z327" s="278">
        <f t="shared" ca="1" si="321"/>
        <v>0</v>
      </c>
      <c r="AA327" s="278">
        <f t="shared" ca="1" si="321"/>
        <v>0</v>
      </c>
      <c r="AB327" s="278">
        <f t="shared" ca="1" si="321"/>
        <v>0</v>
      </c>
      <c r="AC327" s="278">
        <f t="shared" ca="1" si="321"/>
        <v>0</v>
      </c>
      <c r="AD327" s="278">
        <f t="shared" ca="1" si="321"/>
        <v>0</v>
      </c>
      <c r="AE327" s="278">
        <f t="shared" ca="1" si="321"/>
        <v>0</v>
      </c>
      <c r="AF327" s="278">
        <f t="shared" ca="1" si="321"/>
        <v>0</v>
      </c>
      <c r="AG327" s="278">
        <f t="shared" ca="1" si="321"/>
        <v>0</v>
      </c>
      <c r="AH327" s="278">
        <f t="shared" ca="1" si="321"/>
        <v>0</v>
      </c>
      <c r="AI327" s="278">
        <f t="shared" ca="1" si="321"/>
        <v>0</v>
      </c>
      <c r="AJ327" s="278">
        <f t="shared" ca="1" si="321"/>
        <v>0</v>
      </c>
      <c r="AK327" s="278">
        <f t="shared" ca="1" si="321"/>
        <v>0</v>
      </c>
      <c r="AL327" s="278">
        <f t="shared" ca="1" si="321"/>
        <v>0</v>
      </c>
      <c r="AM327" s="278">
        <f t="shared" ref="AM327:AN327" ca="1" si="322">MIN(AM326,0)</f>
        <v>0</v>
      </c>
      <c r="AN327" s="278">
        <f t="shared" ca="1" si="322"/>
        <v>0</v>
      </c>
    </row>
    <row r="328" spans="3:40" outlineLevel="2">
      <c r="C328" s="314"/>
      <c r="F328" s="266"/>
      <c r="G328" s="266"/>
      <c r="H328" s="266"/>
      <c r="I328" s="266"/>
      <c r="J328" s="266"/>
      <c r="K328" s="266"/>
      <c r="L328" s="266"/>
      <c r="M328" s="266"/>
      <c r="N328" s="266"/>
      <c r="O328" s="266"/>
      <c r="P328" s="266"/>
      <c r="Q328" s="266"/>
      <c r="R328" s="266"/>
      <c r="S328" s="266"/>
      <c r="T328" s="266"/>
      <c r="U328" s="266"/>
      <c r="V328" s="266"/>
      <c r="W328" s="266"/>
      <c r="X328" s="266"/>
      <c r="Y328" s="266"/>
      <c r="Z328" s="266"/>
      <c r="AA328" s="266"/>
      <c r="AB328" s="266"/>
      <c r="AC328" s="266"/>
      <c r="AD328" s="266"/>
      <c r="AE328" s="266"/>
      <c r="AF328" s="266"/>
      <c r="AG328" s="266"/>
      <c r="AH328" s="266"/>
      <c r="AI328" s="266"/>
      <c r="AJ328" s="266"/>
      <c r="AK328" s="266"/>
      <c r="AL328" s="266"/>
      <c r="AM328" s="266"/>
      <c r="AN328" s="266"/>
    </row>
    <row r="329" spans="3:40" outlineLevel="2">
      <c r="C329" s="314" t="s">
        <v>641</v>
      </c>
      <c r="E329" s="32" t="s">
        <v>13</v>
      </c>
      <c r="F329" s="23">
        <f ca="1">SUM(G329:AN329)</f>
        <v>1023631.7159225983</v>
      </c>
      <c r="G329" s="278">
        <f t="shared" ref="G329:AL329" ca="1" si="323">G324</f>
        <v>0</v>
      </c>
      <c r="H329" s="278">
        <f t="shared" ca="1" si="323"/>
        <v>4528.298222406569</v>
      </c>
      <c r="I329" s="278">
        <f t="shared" ca="1" si="323"/>
        <v>10905.141280411144</v>
      </c>
      <c r="J329" s="278">
        <f t="shared" ca="1" si="323"/>
        <v>12374.329892444843</v>
      </c>
      <c r="K329" s="278">
        <f t="shared" ca="1" si="323"/>
        <v>12825.658135220947</v>
      </c>
      <c r="L329" s="278">
        <f t="shared" ca="1" si="323"/>
        <v>12821.538958078278</v>
      </c>
      <c r="M329" s="278">
        <f t="shared" ca="1" si="323"/>
        <v>18618.705401022853</v>
      </c>
      <c r="N329" s="278">
        <f t="shared" ca="1" si="323"/>
        <v>23178.137208143307</v>
      </c>
      <c r="O329" s="278">
        <f t="shared" ca="1" si="323"/>
        <v>23825.049296584326</v>
      </c>
      <c r="P329" s="278">
        <f t="shared" ca="1" si="323"/>
        <v>23928.353763320149</v>
      </c>
      <c r="Q329" s="278">
        <f t="shared" ca="1" si="323"/>
        <v>24518.661363640989</v>
      </c>
      <c r="R329" s="278">
        <f t="shared" ca="1" si="323"/>
        <v>25401.299353752533</v>
      </c>
      <c r="S329" s="278">
        <f t="shared" ca="1" si="323"/>
        <v>25608.966920492268</v>
      </c>
      <c r="T329" s="278">
        <f t="shared" ca="1" si="323"/>
        <v>26032.593332874843</v>
      </c>
      <c r="U329" s="278">
        <f t="shared" ca="1" si="323"/>
        <v>28370.099344108807</v>
      </c>
      <c r="V329" s="278">
        <f t="shared" ca="1" si="323"/>
        <v>28961.493818297178</v>
      </c>
      <c r="W329" s="278">
        <f t="shared" ca="1" si="323"/>
        <v>34478.227495483974</v>
      </c>
      <c r="X329" s="278">
        <f t="shared" ca="1" si="323"/>
        <v>34913.796726574554</v>
      </c>
      <c r="Y329" s="278">
        <f t="shared" ca="1" si="323"/>
        <v>35001.986416975713</v>
      </c>
      <c r="Z329" s="278">
        <f t="shared" ca="1" si="323"/>
        <v>34914.794318820685</v>
      </c>
      <c r="AA329" s="278">
        <f t="shared" ca="1" si="323"/>
        <v>35063.542455379888</v>
      </c>
      <c r="AB329" s="278">
        <f t="shared" ca="1" si="323"/>
        <v>39054.445998869356</v>
      </c>
      <c r="AC329" s="278">
        <f t="shared" ca="1" si="323"/>
        <v>39940.422909644025</v>
      </c>
      <c r="AD329" s="278">
        <f t="shared" ca="1" si="323"/>
        <v>40390.717172505829</v>
      </c>
      <c r="AE329" s="278">
        <f t="shared" ca="1" si="323"/>
        <v>40925.375045964291</v>
      </c>
      <c r="AF329" s="278">
        <f t="shared" ca="1" si="323"/>
        <v>40942.071520524667</v>
      </c>
      <c r="AG329" s="278">
        <f t="shared" ca="1" si="323"/>
        <v>42090.832097355677</v>
      </c>
      <c r="AH329" s="278">
        <f t="shared" ca="1" si="323"/>
        <v>42089.097426583561</v>
      </c>
      <c r="AI329" s="278">
        <f t="shared" ca="1" si="323"/>
        <v>45871.845097592268</v>
      </c>
      <c r="AJ329" s="278">
        <f t="shared" ca="1" si="323"/>
        <v>46863.233953073002</v>
      </c>
      <c r="AK329" s="278">
        <f t="shared" ca="1" si="323"/>
        <v>42298.250249112964</v>
      </c>
      <c r="AL329" s="278">
        <f t="shared" ca="1" si="323"/>
        <v>42298.250249112964</v>
      </c>
      <c r="AM329" s="278">
        <f t="shared" ref="AM329:AN329" ca="1" si="324">AM324</f>
        <v>42298.250249112964</v>
      </c>
      <c r="AN329" s="278">
        <f t="shared" ca="1" si="324"/>
        <v>42298.250249112964</v>
      </c>
    </row>
    <row r="330" spans="3:40" outlineLevel="2">
      <c r="C330" s="314" t="str">
        <f t="shared" ref="C330" si="325">C315</f>
        <v>Target DSRA depósitos</v>
      </c>
      <c r="E330" s="32" t="s">
        <v>13</v>
      </c>
      <c r="F330" s="23">
        <f t="shared" ref="F330:G330" si="326">F315</f>
        <v>0</v>
      </c>
      <c r="G330" s="278">
        <f t="shared" ca="1" si="326"/>
        <v>0</v>
      </c>
      <c r="H330" s="278">
        <f t="shared" ref="H330:AL330" ca="1" si="327">H315</f>
        <v>423.05954631167043</v>
      </c>
      <c r="I330" s="278">
        <f t="shared" ca="1" si="327"/>
        <v>0</v>
      </c>
      <c r="J330" s="278">
        <f t="shared" ca="1" si="327"/>
        <v>5.7087338177096285</v>
      </c>
      <c r="K330" s="278">
        <f t="shared" ca="1" si="327"/>
        <v>392.00059521042868</v>
      </c>
      <c r="L330" s="278">
        <f t="shared" ca="1" si="327"/>
        <v>0</v>
      </c>
      <c r="M330" s="278">
        <f t="shared" ca="1" si="327"/>
        <v>260.78678420501979</v>
      </c>
      <c r="N330" s="278">
        <f t="shared" ca="1" si="327"/>
        <v>0</v>
      </c>
      <c r="O330" s="278">
        <f t="shared" ca="1" si="327"/>
        <v>0</v>
      </c>
      <c r="P330" s="278">
        <f t="shared" ca="1" si="327"/>
        <v>7.0014936327052055</v>
      </c>
      <c r="Q330" s="278">
        <f t="shared" ca="1" si="327"/>
        <v>0</v>
      </c>
      <c r="R330" s="278">
        <f t="shared" ca="1" si="327"/>
        <v>0</v>
      </c>
      <c r="S330" s="278">
        <f t="shared" ca="1" si="327"/>
        <v>0</v>
      </c>
      <c r="T330" s="278">
        <f t="shared" ca="1" si="327"/>
        <v>758.47056352935977</v>
      </c>
      <c r="U330" s="278">
        <f t="shared" ca="1" si="327"/>
        <v>0</v>
      </c>
      <c r="V330" s="278">
        <f t="shared" ca="1" si="327"/>
        <v>0</v>
      </c>
      <c r="W330" s="278">
        <f t="shared" ca="1" si="327"/>
        <v>6.461530751759895</v>
      </c>
      <c r="X330" s="278">
        <f t="shared" ca="1" si="327"/>
        <v>21.625888775119094</v>
      </c>
      <c r="Y330" s="278">
        <f t="shared" ca="1" si="327"/>
        <v>0</v>
      </c>
      <c r="Z330" s="278">
        <f t="shared" ca="1" si="327"/>
        <v>38.150809635396783</v>
      </c>
      <c r="AA330" s="278">
        <f t="shared" ca="1" si="327"/>
        <v>308.70009861920903</v>
      </c>
      <c r="AB330" s="278">
        <f t="shared" ca="1" si="327"/>
        <v>2.592856587643098</v>
      </c>
      <c r="AC330" s="278">
        <f t="shared" ca="1" si="327"/>
        <v>4.0200735907005765</v>
      </c>
      <c r="AD330" s="278">
        <f t="shared" ca="1" si="327"/>
        <v>0</v>
      </c>
      <c r="AE330" s="278">
        <f t="shared" ca="1" si="327"/>
        <v>140.41556053899768</v>
      </c>
      <c r="AF330" s="278">
        <f t="shared" ca="1" si="327"/>
        <v>0</v>
      </c>
      <c r="AG330" s="278">
        <f t="shared" ca="1" si="327"/>
        <v>104.03088907637471</v>
      </c>
      <c r="AH330" s="278">
        <f t="shared" ca="1" si="327"/>
        <v>596.29462922701612</v>
      </c>
      <c r="AI330" s="278">
        <f t="shared" ca="1" si="327"/>
        <v>0</v>
      </c>
      <c r="AJ330" s="278">
        <f t="shared" ca="1" si="327"/>
        <v>0</v>
      </c>
      <c r="AK330" s="278">
        <f t="shared" ca="1" si="327"/>
        <v>0</v>
      </c>
      <c r="AL330" s="278">
        <f t="shared" ca="1" si="327"/>
        <v>0</v>
      </c>
      <c r="AM330" s="278">
        <f t="shared" ref="AM330:AN330" ca="1" si="328">AM315</f>
        <v>0</v>
      </c>
      <c r="AN330" s="278">
        <f t="shared" ca="1" si="328"/>
        <v>0</v>
      </c>
    </row>
    <row r="331" spans="3:40" outlineLevel="2">
      <c r="C331" s="314" t="s">
        <v>626</v>
      </c>
      <c r="E331" s="32" t="s">
        <v>13</v>
      </c>
      <c r="F331" s="23">
        <f ca="1">SUM(G331:AN331)</f>
        <v>3069.3200535091109</v>
      </c>
      <c r="G331" s="278">
        <f t="shared" ref="G331:AL331" ca="1" si="329">MIN(G330,G329)</f>
        <v>0</v>
      </c>
      <c r="H331" s="278">
        <f t="shared" ca="1" si="329"/>
        <v>423.05954631167043</v>
      </c>
      <c r="I331" s="278">
        <f t="shared" ca="1" si="329"/>
        <v>0</v>
      </c>
      <c r="J331" s="278">
        <f t="shared" ca="1" si="329"/>
        <v>5.7087338177096285</v>
      </c>
      <c r="K331" s="278">
        <f t="shared" ca="1" si="329"/>
        <v>392.00059521042868</v>
      </c>
      <c r="L331" s="278">
        <f t="shared" ca="1" si="329"/>
        <v>0</v>
      </c>
      <c r="M331" s="278">
        <f t="shared" ca="1" si="329"/>
        <v>260.78678420501979</v>
      </c>
      <c r="N331" s="278">
        <f t="shared" ca="1" si="329"/>
        <v>0</v>
      </c>
      <c r="O331" s="278">
        <f t="shared" ca="1" si="329"/>
        <v>0</v>
      </c>
      <c r="P331" s="278">
        <f t="shared" ca="1" si="329"/>
        <v>7.0014936327052055</v>
      </c>
      <c r="Q331" s="278">
        <f t="shared" ca="1" si="329"/>
        <v>0</v>
      </c>
      <c r="R331" s="278">
        <f t="shared" ca="1" si="329"/>
        <v>0</v>
      </c>
      <c r="S331" s="278">
        <f t="shared" ca="1" si="329"/>
        <v>0</v>
      </c>
      <c r="T331" s="278">
        <f t="shared" ca="1" si="329"/>
        <v>758.47056352935977</v>
      </c>
      <c r="U331" s="278">
        <f t="shared" ca="1" si="329"/>
        <v>0</v>
      </c>
      <c r="V331" s="278">
        <f t="shared" ca="1" si="329"/>
        <v>0</v>
      </c>
      <c r="W331" s="278">
        <f t="shared" ca="1" si="329"/>
        <v>6.461530751759895</v>
      </c>
      <c r="X331" s="278">
        <f t="shared" ca="1" si="329"/>
        <v>21.625888775119094</v>
      </c>
      <c r="Y331" s="278">
        <f t="shared" ca="1" si="329"/>
        <v>0</v>
      </c>
      <c r="Z331" s="278">
        <f t="shared" ca="1" si="329"/>
        <v>38.150809635396783</v>
      </c>
      <c r="AA331" s="278">
        <f t="shared" ca="1" si="329"/>
        <v>308.70009861920903</v>
      </c>
      <c r="AB331" s="278">
        <f t="shared" ca="1" si="329"/>
        <v>2.592856587643098</v>
      </c>
      <c r="AC331" s="278">
        <f t="shared" ca="1" si="329"/>
        <v>4.0200735907005765</v>
      </c>
      <c r="AD331" s="278">
        <f t="shared" ca="1" si="329"/>
        <v>0</v>
      </c>
      <c r="AE331" s="278">
        <f t="shared" ca="1" si="329"/>
        <v>140.41556053899768</v>
      </c>
      <c r="AF331" s="278">
        <f t="shared" ca="1" si="329"/>
        <v>0</v>
      </c>
      <c r="AG331" s="278">
        <f t="shared" ca="1" si="329"/>
        <v>104.03088907637471</v>
      </c>
      <c r="AH331" s="278">
        <f t="shared" ca="1" si="329"/>
        <v>596.29462922701612</v>
      </c>
      <c r="AI331" s="278">
        <f t="shared" ca="1" si="329"/>
        <v>0</v>
      </c>
      <c r="AJ331" s="278">
        <f t="shared" ca="1" si="329"/>
        <v>0</v>
      </c>
      <c r="AK331" s="278">
        <f t="shared" ca="1" si="329"/>
        <v>0</v>
      </c>
      <c r="AL331" s="278">
        <f t="shared" ca="1" si="329"/>
        <v>0</v>
      </c>
      <c r="AM331" s="278">
        <f t="shared" ref="AM331:AN331" ca="1" si="330">MIN(AM330,AM329)</f>
        <v>0</v>
      </c>
      <c r="AN331" s="278">
        <f t="shared" ca="1" si="330"/>
        <v>0</v>
      </c>
    </row>
    <row r="332" spans="3:40" outlineLevel="1">
      <c r="C332" s="314"/>
      <c r="F332" s="266"/>
      <c r="G332" s="266"/>
      <c r="H332" s="266"/>
      <c r="I332" s="266"/>
      <c r="J332" s="266"/>
      <c r="K332" s="266"/>
      <c r="L332" s="266"/>
      <c r="M332" s="266"/>
      <c r="N332" s="266"/>
      <c r="O332" s="266"/>
      <c r="P332" s="266"/>
      <c r="Q332" s="266"/>
      <c r="R332" s="266"/>
      <c r="S332" s="266"/>
      <c r="T332" s="266"/>
      <c r="U332" s="266"/>
      <c r="V332" s="266"/>
      <c r="W332" s="266"/>
      <c r="X332" s="266"/>
      <c r="Y332" s="266"/>
      <c r="Z332" s="266"/>
      <c r="AA332" s="266"/>
      <c r="AB332" s="266"/>
      <c r="AC332" s="266"/>
      <c r="AD332" s="266"/>
      <c r="AE332" s="266"/>
      <c r="AF332" s="266"/>
      <c r="AG332" s="266"/>
      <c r="AH332" s="266"/>
      <c r="AI332" s="266"/>
      <c r="AJ332" s="266"/>
      <c r="AK332" s="266"/>
      <c r="AL332" s="266"/>
      <c r="AM332" s="266"/>
      <c r="AN332" s="266"/>
    </row>
    <row r="333" spans="3:40" outlineLevel="1">
      <c r="C333" t="s">
        <v>642</v>
      </c>
      <c r="F333" s="266"/>
      <c r="G333" s="266"/>
      <c r="H333" s="266"/>
      <c r="I333" s="266"/>
      <c r="J333" s="266"/>
      <c r="K333" s="266"/>
      <c r="L333" s="266"/>
      <c r="M333" s="266"/>
      <c r="N333" s="266"/>
      <c r="O333" s="266"/>
      <c r="P333" s="266"/>
      <c r="Q333" s="266"/>
      <c r="R333" s="266"/>
      <c r="S333" s="266"/>
      <c r="T333" s="266"/>
      <c r="U333" s="266"/>
      <c r="V333" s="266"/>
      <c r="W333" s="266"/>
      <c r="X333" s="266"/>
      <c r="Y333" s="266"/>
      <c r="Z333" s="266"/>
      <c r="AA333" s="266"/>
      <c r="AB333" s="266"/>
      <c r="AC333" s="266"/>
      <c r="AD333" s="266"/>
      <c r="AE333" s="266"/>
      <c r="AF333" s="266"/>
      <c r="AG333" s="266"/>
      <c r="AH333" s="266"/>
      <c r="AI333" s="266"/>
      <c r="AJ333" s="266"/>
      <c r="AK333" s="266"/>
      <c r="AL333" s="266"/>
      <c r="AM333" s="266"/>
      <c r="AN333" s="266"/>
    </row>
    <row r="334" spans="3:40" outlineLevel="2">
      <c r="C334" s="314" t="str">
        <f>C292</f>
        <v>DSRA saldo (b/f)</v>
      </c>
      <c r="E334" s="32" t="str">
        <f t="shared" ref="E334:AJ334" si="331">E292</f>
        <v>$ 000s</v>
      </c>
      <c r="F334" s="273">
        <f t="shared" si="331"/>
        <v>0</v>
      </c>
      <c r="G334" s="273">
        <f t="shared" si="331"/>
        <v>0</v>
      </c>
      <c r="H334" s="273">
        <f t="shared" ca="1" si="331"/>
        <v>0</v>
      </c>
      <c r="I334" s="273">
        <f t="shared" ca="1" si="331"/>
        <v>423.05954631167043</v>
      </c>
      <c r="J334" s="273">
        <f t="shared" ca="1" si="331"/>
        <v>417.11437896414054</v>
      </c>
      <c r="K334" s="273">
        <f t="shared" ca="1" si="331"/>
        <v>422.82311278185017</v>
      </c>
      <c r="L334" s="273">
        <f t="shared" ca="1" si="331"/>
        <v>814.82370799227886</v>
      </c>
      <c r="M334" s="273">
        <f t="shared" ca="1" si="331"/>
        <v>782.72269450121985</v>
      </c>
      <c r="N334" s="273">
        <f t="shared" ca="1" si="331"/>
        <v>1043.5094787062396</v>
      </c>
      <c r="O334" s="273">
        <f t="shared" ca="1" si="331"/>
        <v>987.52806145061334</v>
      </c>
      <c r="P334" s="273">
        <f t="shared" ca="1" si="331"/>
        <v>965.39070956577564</v>
      </c>
      <c r="Q334" s="273">
        <f t="shared" ca="1" si="331"/>
        <v>972.39220319848084</v>
      </c>
      <c r="R334" s="273">
        <f t="shared" ca="1" si="331"/>
        <v>964.77976040791566</v>
      </c>
      <c r="S334" s="273">
        <f t="shared" ca="1" si="331"/>
        <v>944.18755455308076</v>
      </c>
      <c r="T334" s="273">
        <f t="shared" ca="1" si="331"/>
        <v>885.27415333179908</v>
      </c>
      <c r="U334" s="273">
        <f t="shared" ca="1" si="331"/>
        <v>1643.7447168611588</v>
      </c>
      <c r="V334" s="273">
        <f t="shared" ca="1" si="331"/>
        <v>1495.5382259966282</v>
      </c>
      <c r="W334" s="273">
        <f t="shared" ca="1" si="331"/>
        <v>103.76391997142605</v>
      </c>
      <c r="X334" s="273">
        <f t="shared" ca="1" si="331"/>
        <v>110.22545072318594</v>
      </c>
      <c r="Y334" s="273">
        <f t="shared" ca="1" si="331"/>
        <v>131.85133949830504</v>
      </c>
      <c r="Z334" s="273">
        <f t="shared" ca="1" si="331"/>
        <v>127.25147588358628</v>
      </c>
      <c r="AA334" s="273">
        <f t="shared" ca="1" si="331"/>
        <v>165.40228551898306</v>
      </c>
      <c r="AB334" s="273">
        <f t="shared" ca="1" si="331"/>
        <v>474.10238413819206</v>
      </c>
      <c r="AC334" s="273">
        <f t="shared" ca="1" si="331"/>
        <v>476.69524072583516</v>
      </c>
      <c r="AD334" s="273">
        <f t="shared" ca="1" si="331"/>
        <v>480.71531431653574</v>
      </c>
      <c r="AE334" s="273">
        <f t="shared" ca="1" si="331"/>
        <v>469.18905253489191</v>
      </c>
      <c r="AF334" s="273">
        <f t="shared" ca="1" si="331"/>
        <v>609.6046130738896</v>
      </c>
      <c r="AG334" s="273">
        <f t="shared" ca="1" si="331"/>
        <v>570.1693153110333</v>
      </c>
      <c r="AH334" s="273">
        <f t="shared" ca="1" si="331"/>
        <v>674.20020438740801</v>
      </c>
      <c r="AI334" s="273">
        <f t="shared" ca="1" si="331"/>
        <v>1270.4948336144241</v>
      </c>
      <c r="AJ334" s="273">
        <f t="shared" ca="1" si="331"/>
        <v>1167.671860957277</v>
      </c>
      <c r="AK334" s="273">
        <f t="shared" ref="AK334:AN334" ca="1" si="332">AK292</f>
        <v>0</v>
      </c>
      <c r="AL334" s="273">
        <f t="shared" ca="1" si="332"/>
        <v>0</v>
      </c>
      <c r="AM334" s="273">
        <f t="shared" ca="1" si="332"/>
        <v>0</v>
      </c>
      <c r="AN334" s="273">
        <f t="shared" ca="1" si="332"/>
        <v>0</v>
      </c>
    </row>
    <row r="335" spans="3:40" outlineLevel="2">
      <c r="C335" s="314" t="str">
        <f t="shared" ref="C335:F335" si="333">C327</f>
        <v>Serviço da dívida negativo</v>
      </c>
      <c r="E335" s="32" t="str">
        <f t="shared" ref="E335" si="334">E327</f>
        <v>$ 000s</v>
      </c>
      <c r="F335" s="273">
        <f t="shared" ca="1" si="333"/>
        <v>-1144.8774633790981</v>
      </c>
      <c r="G335" s="273">
        <f t="shared" ref="G335:AL335" ca="1" si="335">-G327</f>
        <v>1144.8774633790981</v>
      </c>
      <c r="H335" s="273">
        <f t="shared" ca="1" si="335"/>
        <v>0</v>
      </c>
      <c r="I335" s="273">
        <f t="shared" ca="1" si="335"/>
        <v>0</v>
      </c>
      <c r="J335" s="273">
        <f t="shared" ca="1" si="335"/>
        <v>0</v>
      </c>
      <c r="K335" s="273">
        <f t="shared" ca="1" si="335"/>
        <v>0</v>
      </c>
      <c r="L335" s="273">
        <f t="shared" ca="1" si="335"/>
        <v>0</v>
      </c>
      <c r="M335" s="273">
        <f t="shared" ca="1" si="335"/>
        <v>0</v>
      </c>
      <c r="N335" s="273">
        <f t="shared" ca="1" si="335"/>
        <v>0</v>
      </c>
      <c r="O335" s="273">
        <f t="shared" ca="1" si="335"/>
        <v>0</v>
      </c>
      <c r="P335" s="273">
        <f t="shared" ca="1" si="335"/>
        <v>0</v>
      </c>
      <c r="Q335" s="273">
        <f t="shared" ca="1" si="335"/>
        <v>0</v>
      </c>
      <c r="R335" s="273">
        <f t="shared" ca="1" si="335"/>
        <v>0</v>
      </c>
      <c r="S335" s="273">
        <f t="shared" ca="1" si="335"/>
        <v>0</v>
      </c>
      <c r="T335" s="273">
        <f t="shared" ca="1" si="335"/>
        <v>0</v>
      </c>
      <c r="U335" s="273">
        <f t="shared" ca="1" si="335"/>
        <v>0</v>
      </c>
      <c r="V335" s="273">
        <f t="shared" ca="1" si="335"/>
        <v>0</v>
      </c>
      <c r="W335" s="273">
        <f t="shared" ca="1" si="335"/>
        <v>0</v>
      </c>
      <c r="X335" s="273">
        <f t="shared" ca="1" si="335"/>
        <v>0</v>
      </c>
      <c r="Y335" s="273">
        <f t="shared" ca="1" si="335"/>
        <v>0</v>
      </c>
      <c r="Z335" s="273">
        <f t="shared" ca="1" si="335"/>
        <v>0</v>
      </c>
      <c r="AA335" s="273">
        <f t="shared" ca="1" si="335"/>
        <v>0</v>
      </c>
      <c r="AB335" s="273">
        <f t="shared" ca="1" si="335"/>
        <v>0</v>
      </c>
      <c r="AC335" s="273">
        <f t="shared" ca="1" si="335"/>
        <v>0</v>
      </c>
      <c r="AD335" s="273">
        <f t="shared" ca="1" si="335"/>
        <v>0</v>
      </c>
      <c r="AE335" s="273">
        <f t="shared" ca="1" si="335"/>
        <v>0</v>
      </c>
      <c r="AF335" s="273">
        <f t="shared" ca="1" si="335"/>
        <v>0</v>
      </c>
      <c r="AG335" s="273">
        <f t="shared" ca="1" si="335"/>
        <v>0</v>
      </c>
      <c r="AH335" s="273">
        <f t="shared" ca="1" si="335"/>
        <v>0</v>
      </c>
      <c r="AI335" s="273">
        <f t="shared" ca="1" si="335"/>
        <v>0</v>
      </c>
      <c r="AJ335" s="273">
        <f t="shared" ca="1" si="335"/>
        <v>0</v>
      </c>
      <c r="AK335" s="273">
        <f t="shared" ca="1" si="335"/>
        <v>0</v>
      </c>
      <c r="AL335" s="273">
        <f t="shared" ca="1" si="335"/>
        <v>0</v>
      </c>
      <c r="AM335" s="273">
        <f t="shared" ref="AM335:AN335" ca="1" si="336">-AM327</f>
        <v>0</v>
      </c>
      <c r="AN335" s="273">
        <f t="shared" ca="1" si="336"/>
        <v>0</v>
      </c>
    </row>
    <row r="336" spans="3:40" outlineLevel="2">
      <c r="C336" s="314" t="s">
        <v>643</v>
      </c>
      <c r="E336" s="32" t="s">
        <v>13</v>
      </c>
      <c r="F336" s="273">
        <f ca="1">SUM(G336:AN336)</f>
        <v>0</v>
      </c>
      <c r="G336" s="278">
        <f t="shared" ref="G336:L336" ca="1" si="337">MIN(G334,G335)</f>
        <v>0</v>
      </c>
      <c r="H336" s="278">
        <f t="shared" ca="1" si="337"/>
        <v>0</v>
      </c>
      <c r="I336" s="278">
        <f t="shared" ca="1" si="337"/>
        <v>0</v>
      </c>
      <c r="J336" s="278">
        <f t="shared" ca="1" si="337"/>
        <v>0</v>
      </c>
      <c r="K336" s="278">
        <f t="shared" ca="1" si="337"/>
        <v>0</v>
      </c>
      <c r="L336" s="278">
        <f t="shared" ca="1" si="337"/>
        <v>0</v>
      </c>
      <c r="M336" s="278">
        <f t="shared" ref="M336:AN336" ca="1" si="338">MIN(M334,M335)</f>
        <v>0</v>
      </c>
      <c r="N336" s="278">
        <f t="shared" ca="1" si="338"/>
        <v>0</v>
      </c>
      <c r="O336" s="278">
        <f t="shared" ca="1" si="338"/>
        <v>0</v>
      </c>
      <c r="P336" s="278">
        <f t="shared" ca="1" si="338"/>
        <v>0</v>
      </c>
      <c r="Q336" s="278">
        <f t="shared" ca="1" si="338"/>
        <v>0</v>
      </c>
      <c r="R336" s="278">
        <f t="shared" ca="1" si="338"/>
        <v>0</v>
      </c>
      <c r="S336" s="278">
        <f t="shared" ca="1" si="338"/>
        <v>0</v>
      </c>
      <c r="T336" s="278">
        <f t="shared" ca="1" si="338"/>
        <v>0</v>
      </c>
      <c r="U336" s="278">
        <f t="shared" ca="1" si="338"/>
        <v>0</v>
      </c>
      <c r="V336" s="278">
        <f t="shared" ca="1" si="338"/>
        <v>0</v>
      </c>
      <c r="W336" s="278">
        <f t="shared" ca="1" si="338"/>
        <v>0</v>
      </c>
      <c r="X336" s="278">
        <f t="shared" ca="1" si="338"/>
        <v>0</v>
      </c>
      <c r="Y336" s="278">
        <f t="shared" ca="1" si="338"/>
        <v>0</v>
      </c>
      <c r="Z336" s="278">
        <f t="shared" ca="1" si="338"/>
        <v>0</v>
      </c>
      <c r="AA336" s="278">
        <f t="shared" ca="1" si="338"/>
        <v>0</v>
      </c>
      <c r="AB336" s="278">
        <f t="shared" ca="1" si="338"/>
        <v>0</v>
      </c>
      <c r="AC336" s="278">
        <f t="shared" ca="1" si="338"/>
        <v>0</v>
      </c>
      <c r="AD336" s="278">
        <f t="shared" ca="1" si="338"/>
        <v>0</v>
      </c>
      <c r="AE336" s="278">
        <f t="shared" ca="1" si="338"/>
        <v>0</v>
      </c>
      <c r="AF336" s="278">
        <f t="shared" ca="1" si="338"/>
        <v>0</v>
      </c>
      <c r="AG336" s="278">
        <f t="shared" ca="1" si="338"/>
        <v>0</v>
      </c>
      <c r="AH336" s="278">
        <f t="shared" ca="1" si="338"/>
        <v>0</v>
      </c>
      <c r="AI336" s="278">
        <f t="shared" ca="1" si="338"/>
        <v>0</v>
      </c>
      <c r="AJ336" s="278">
        <f t="shared" ca="1" si="338"/>
        <v>0</v>
      </c>
      <c r="AK336" s="278">
        <f t="shared" ca="1" si="338"/>
        <v>0</v>
      </c>
      <c r="AL336" s="278">
        <f t="shared" ca="1" si="338"/>
        <v>0</v>
      </c>
      <c r="AM336" s="278">
        <f t="shared" ca="1" si="338"/>
        <v>0</v>
      </c>
      <c r="AN336" s="278">
        <f t="shared" ca="1" si="338"/>
        <v>0</v>
      </c>
    </row>
    <row r="337" spans="3:40" outlineLevel="2">
      <c r="C337" s="314"/>
      <c r="F337" s="266"/>
      <c r="G337" s="266"/>
      <c r="H337" s="266"/>
      <c r="I337" s="266"/>
      <c r="J337" s="266"/>
      <c r="K337" s="266"/>
      <c r="L337" s="266"/>
      <c r="M337" s="266"/>
      <c r="N337" s="266"/>
      <c r="O337" s="266"/>
      <c r="P337" s="266"/>
      <c r="Q337" s="266"/>
      <c r="R337" s="266"/>
      <c r="S337" s="266"/>
      <c r="T337" s="266"/>
      <c r="U337" s="266"/>
      <c r="V337" s="266"/>
      <c r="W337" s="266"/>
      <c r="X337" s="266"/>
      <c r="Y337" s="266"/>
      <c r="Z337" s="266"/>
      <c r="AA337" s="266"/>
      <c r="AB337" s="266"/>
      <c r="AC337" s="266"/>
      <c r="AD337" s="266"/>
      <c r="AE337" s="266"/>
      <c r="AF337" s="266"/>
      <c r="AG337" s="266"/>
      <c r="AH337" s="266"/>
      <c r="AI337" s="266"/>
      <c r="AJ337" s="266"/>
      <c r="AK337" s="266"/>
      <c r="AL337" s="266"/>
      <c r="AM337" s="266"/>
      <c r="AN337" s="266"/>
    </row>
    <row r="338" spans="3:40" outlineLevel="2">
      <c r="C338" s="314" t="str">
        <f t="shared" ref="C338:AH338" si="339">C336</f>
        <v>Saques</v>
      </c>
      <c r="E338" s="32" t="str">
        <f t="shared" ref="E338" si="340">E336</f>
        <v>$ 000s</v>
      </c>
      <c r="F338" s="273">
        <f ca="1">SUM(G338:AN338)</f>
        <v>0</v>
      </c>
      <c r="G338" s="273">
        <f t="shared" ca="1" si="339"/>
        <v>0</v>
      </c>
      <c r="H338" s="273">
        <f t="shared" ca="1" si="339"/>
        <v>0</v>
      </c>
      <c r="I338" s="273">
        <f t="shared" ca="1" si="339"/>
        <v>0</v>
      </c>
      <c r="J338" s="273">
        <f t="shared" ca="1" si="339"/>
        <v>0</v>
      </c>
      <c r="K338" s="273">
        <f t="shared" ca="1" si="339"/>
        <v>0</v>
      </c>
      <c r="L338" s="273">
        <f t="shared" ca="1" si="339"/>
        <v>0</v>
      </c>
      <c r="M338" s="273">
        <f t="shared" ca="1" si="339"/>
        <v>0</v>
      </c>
      <c r="N338" s="273">
        <f t="shared" ca="1" si="339"/>
        <v>0</v>
      </c>
      <c r="O338" s="273">
        <f t="shared" ca="1" si="339"/>
        <v>0</v>
      </c>
      <c r="P338" s="273">
        <f t="shared" ca="1" si="339"/>
        <v>0</v>
      </c>
      <c r="Q338" s="273">
        <f t="shared" ca="1" si="339"/>
        <v>0</v>
      </c>
      <c r="R338" s="273">
        <f t="shared" ca="1" si="339"/>
        <v>0</v>
      </c>
      <c r="S338" s="273">
        <f t="shared" ca="1" si="339"/>
        <v>0</v>
      </c>
      <c r="T338" s="273">
        <f t="shared" ca="1" si="339"/>
        <v>0</v>
      </c>
      <c r="U338" s="273">
        <f t="shared" ca="1" si="339"/>
        <v>0</v>
      </c>
      <c r="V338" s="273">
        <f t="shared" ca="1" si="339"/>
        <v>0</v>
      </c>
      <c r="W338" s="273">
        <f t="shared" ca="1" si="339"/>
        <v>0</v>
      </c>
      <c r="X338" s="273">
        <f t="shared" ca="1" si="339"/>
        <v>0</v>
      </c>
      <c r="Y338" s="273">
        <f t="shared" ca="1" si="339"/>
        <v>0</v>
      </c>
      <c r="Z338" s="273">
        <f t="shared" ca="1" si="339"/>
        <v>0</v>
      </c>
      <c r="AA338" s="273">
        <f t="shared" ca="1" si="339"/>
        <v>0</v>
      </c>
      <c r="AB338" s="273">
        <f t="shared" ca="1" si="339"/>
        <v>0</v>
      </c>
      <c r="AC338" s="273">
        <f t="shared" ca="1" si="339"/>
        <v>0</v>
      </c>
      <c r="AD338" s="273">
        <f t="shared" ca="1" si="339"/>
        <v>0</v>
      </c>
      <c r="AE338" s="273">
        <f t="shared" ca="1" si="339"/>
        <v>0</v>
      </c>
      <c r="AF338" s="273">
        <f t="shared" ca="1" si="339"/>
        <v>0</v>
      </c>
      <c r="AG338" s="273">
        <f t="shared" ca="1" si="339"/>
        <v>0</v>
      </c>
      <c r="AH338" s="273">
        <f t="shared" ca="1" si="339"/>
        <v>0</v>
      </c>
      <c r="AI338" s="273">
        <f t="shared" ref="AI338:AN338" ca="1" si="341">AI336</f>
        <v>0</v>
      </c>
      <c r="AJ338" s="273">
        <f t="shared" ca="1" si="341"/>
        <v>0</v>
      </c>
      <c r="AK338" s="273">
        <f t="shared" ca="1" si="341"/>
        <v>0</v>
      </c>
      <c r="AL338" s="273">
        <f t="shared" ca="1" si="341"/>
        <v>0</v>
      </c>
      <c r="AM338" s="273">
        <f t="shared" ca="1" si="341"/>
        <v>0</v>
      </c>
      <c r="AN338" s="273">
        <f t="shared" ca="1" si="341"/>
        <v>0</v>
      </c>
    </row>
    <row r="339" spans="3:40" outlineLevel="2">
      <c r="C339" s="314" t="str">
        <f t="shared" ref="C339" si="342">C316</f>
        <v>Target DSRA saques</v>
      </c>
      <c r="E339" s="32" t="s">
        <v>13</v>
      </c>
      <c r="F339" s="278">
        <f ca="1">SUM(G339:AN339)</f>
        <v>3069.32005350911</v>
      </c>
      <c r="G339" s="273">
        <f t="shared" ref="G339:AL339" ca="1" si="343">-G316</f>
        <v>0</v>
      </c>
      <c r="H339" s="273">
        <f t="shared" ca="1" si="343"/>
        <v>0</v>
      </c>
      <c r="I339" s="273">
        <f t="shared" ca="1" si="343"/>
        <v>5.945167347529889</v>
      </c>
      <c r="J339" s="273">
        <f t="shared" ca="1" si="343"/>
        <v>0</v>
      </c>
      <c r="K339" s="273">
        <f t="shared" ca="1" si="343"/>
        <v>0</v>
      </c>
      <c r="L339" s="273">
        <f t="shared" ca="1" si="343"/>
        <v>32.101013491059007</v>
      </c>
      <c r="M339" s="273">
        <f t="shared" ca="1" si="343"/>
        <v>0</v>
      </c>
      <c r="N339" s="273">
        <f t="shared" ca="1" si="343"/>
        <v>55.981417255626297</v>
      </c>
      <c r="O339" s="273">
        <f t="shared" ca="1" si="343"/>
        <v>22.137351884837699</v>
      </c>
      <c r="P339" s="273">
        <f t="shared" ca="1" si="343"/>
        <v>0</v>
      </c>
      <c r="Q339" s="273">
        <f t="shared" ca="1" si="343"/>
        <v>7.6124427905651828</v>
      </c>
      <c r="R339" s="273">
        <f t="shared" ca="1" si="343"/>
        <v>20.592205854834901</v>
      </c>
      <c r="S339" s="273">
        <f t="shared" ca="1" si="343"/>
        <v>58.913401221281674</v>
      </c>
      <c r="T339" s="273">
        <f t="shared" ca="1" si="343"/>
        <v>0</v>
      </c>
      <c r="U339" s="273">
        <f t="shared" ca="1" si="343"/>
        <v>148.20649086453068</v>
      </c>
      <c r="V339" s="273">
        <f t="shared" ca="1" si="343"/>
        <v>1391.7743060252021</v>
      </c>
      <c r="W339" s="273">
        <f t="shared" ca="1" si="343"/>
        <v>0</v>
      </c>
      <c r="X339" s="273">
        <f t="shared" ca="1" si="343"/>
        <v>0</v>
      </c>
      <c r="Y339" s="273">
        <f t="shared" ca="1" si="343"/>
        <v>4.5998636147187568</v>
      </c>
      <c r="Z339" s="273">
        <f t="shared" ca="1" si="343"/>
        <v>0</v>
      </c>
      <c r="AA339" s="273">
        <f t="shared" ca="1" si="343"/>
        <v>0</v>
      </c>
      <c r="AB339" s="273">
        <f t="shared" ca="1" si="343"/>
        <v>0</v>
      </c>
      <c r="AC339" s="273">
        <f t="shared" ca="1" si="343"/>
        <v>0</v>
      </c>
      <c r="AD339" s="273">
        <f t="shared" ca="1" si="343"/>
        <v>11.526261781643825</v>
      </c>
      <c r="AE339" s="273">
        <f t="shared" ca="1" si="343"/>
        <v>0</v>
      </c>
      <c r="AF339" s="273">
        <f t="shared" ca="1" si="343"/>
        <v>39.435297762856294</v>
      </c>
      <c r="AG339" s="273">
        <f t="shared" ca="1" si="343"/>
        <v>0</v>
      </c>
      <c r="AH339" s="273">
        <f t="shared" ca="1" si="343"/>
        <v>0</v>
      </c>
      <c r="AI339" s="273">
        <f t="shared" ca="1" si="343"/>
        <v>102.82297265714715</v>
      </c>
      <c r="AJ339" s="273">
        <f t="shared" ca="1" si="343"/>
        <v>1167.671860957277</v>
      </c>
      <c r="AK339" s="273">
        <f t="shared" ca="1" si="343"/>
        <v>0</v>
      </c>
      <c r="AL339" s="273">
        <f t="shared" ca="1" si="343"/>
        <v>0</v>
      </c>
      <c r="AM339" s="273">
        <f t="shared" ref="AM339:AN339" ca="1" si="344">-AM316</f>
        <v>0</v>
      </c>
      <c r="AN339" s="273">
        <f t="shared" ca="1" si="344"/>
        <v>0</v>
      </c>
    </row>
    <row r="340" spans="3:40" outlineLevel="2">
      <c r="C340" s="314" t="s">
        <v>644</v>
      </c>
      <c r="E340" s="32" t="s">
        <v>13</v>
      </c>
      <c r="F340" s="278">
        <f ca="1">SUM(G340:AN340)</f>
        <v>3069.32005350911</v>
      </c>
      <c r="G340" s="278">
        <f t="shared" ref="G340:AL340" ca="1" si="345">MAX(G339,G338)</f>
        <v>0</v>
      </c>
      <c r="H340" s="278">
        <f t="shared" ca="1" si="345"/>
        <v>0</v>
      </c>
      <c r="I340" s="278">
        <f t="shared" ca="1" si="345"/>
        <v>5.945167347529889</v>
      </c>
      <c r="J340" s="278">
        <f t="shared" ca="1" si="345"/>
        <v>0</v>
      </c>
      <c r="K340" s="278">
        <f t="shared" ca="1" si="345"/>
        <v>0</v>
      </c>
      <c r="L340" s="278">
        <f t="shared" ca="1" si="345"/>
        <v>32.101013491059007</v>
      </c>
      <c r="M340" s="278">
        <f t="shared" ca="1" si="345"/>
        <v>0</v>
      </c>
      <c r="N340" s="278">
        <f t="shared" ca="1" si="345"/>
        <v>55.981417255626297</v>
      </c>
      <c r="O340" s="278">
        <f t="shared" ca="1" si="345"/>
        <v>22.137351884837699</v>
      </c>
      <c r="P340" s="278">
        <f t="shared" ca="1" si="345"/>
        <v>0</v>
      </c>
      <c r="Q340" s="278">
        <f t="shared" ca="1" si="345"/>
        <v>7.6124427905651828</v>
      </c>
      <c r="R340" s="278">
        <f t="shared" ca="1" si="345"/>
        <v>20.592205854834901</v>
      </c>
      <c r="S340" s="278">
        <f t="shared" ca="1" si="345"/>
        <v>58.913401221281674</v>
      </c>
      <c r="T340" s="278">
        <f t="shared" ca="1" si="345"/>
        <v>0</v>
      </c>
      <c r="U340" s="278">
        <f t="shared" ca="1" si="345"/>
        <v>148.20649086453068</v>
      </c>
      <c r="V340" s="278">
        <f t="shared" ca="1" si="345"/>
        <v>1391.7743060252021</v>
      </c>
      <c r="W340" s="278">
        <f t="shared" ca="1" si="345"/>
        <v>0</v>
      </c>
      <c r="X340" s="278">
        <f t="shared" ca="1" si="345"/>
        <v>0</v>
      </c>
      <c r="Y340" s="278">
        <f t="shared" ca="1" si="345"/>
        <v>4.5998636147187568</v>
      </c>
      <c r="Z340" s="278">
        <f t="shared" ca="1" si="345"/>
        <v>0</v>
      </c>
      <c r="AA340" s="278">
        <f t="shared" ca="1" si="345"/>
        <v>0</v>
      </c>
      <c r="AB340" s="278">
        <f t="shared" ca="1" si="345"/>
        <v>0</v>
      </c>
      <c r="AC340" s="278">
        <f t="shared" ca="1" si="345"/>
        <v>0</v>
      </c>
      <c r="AD340" s="278">
        <f t="shared" ca="1" si="345"/>
        <v>11.526261781643825</v>
      </c>
      <c r="AE340" s="278">
        <f t="shared" ca="1" si="345"/>
        <v>0</v>
      </c>
      <c r="AF340" s="278">
        <f t="shared" ca="1" si="345"/>
        <v>39.435297762856294</v>
      </c>
      <c r="AG340" s="278">
        <f t="shared" ca="1" si="345"/>
        <v>0</v>
      </c>
      <c r="AH340" s="278">
        <f t="shared" ca="1" si="345"/>
        <v>0</v>
      </c>
      <c r="AI340" s="278">
        <f t="shared" ca="1" si="345"/>
        <v>102.82297265714715</v>
      </c>
      <c r="AJ340" s="278">
        <f t="shared" ca="1" si="345"/>
        <v>1167.671860957277</v>
      </c>
      <c r="AK340" s="278">
        <f t="shared" ca="1" si="345"/>
        <v>0</v>
      </c>
      <c r="AL340" s="278">
        <f t="shared" ca="1" si="345"/>
        <v>0</v>
      </c>
      <c r="AM340" s="278">
        <f t="shared" ref="AM340:AN340" ca="1" si="346">MAX(AM339,AM338)</f>
        <v>0</v>
      </c>
      <c r="AN340" s="278">
        <f t="shared" ca="1" si="346"/>
        <v>0</v>
      </c>
    </row>
    <row r="341" spans="3:40" outlineLevel="1">
      <c r="C341" s="266"/>
      <c r="F341" s="266"/>
      <c r="G341" s="266"/>
      <c r="H341" s="266"/>
      <c r="I341" s="266"/>
      <c r="J341" s="266"/>
      <c r="K341" s="266"/>
      <c r="L341" s="266"/>
      <c r="M341" s="266"/>
      <c r="N341" s="266"/>
      <c r="O341" s="266"/>
      <c r="P341" s="266"/>
      <c r="Q341" s="266"/>
      <c r="R341" s="266"/>
      <c r="S341" s="266"/>
      <c r="T341" s="266"/>
      <c r="U341" s="266"/>
      <c r="V341" s="266"/>
      <c r="W341" s="266"/>
      <c r="X341" s="266"/>
      <c r="Y341" s="266"/>
      <c r="Z341" s="266"/>
      <c r="AA341" s="266"/>
      <c r="AB341" s="266"/>
      <c r="AC341" s="266"/>
      <c r="AD341" s="266"/>
      <c r="AE341" s="266"/>
      <c r="AF341" s="266"/>
      <c r="AG341" s="266"/>
      <c r="AH341" s="266"/>
      <c r="AI341" s="266"/>
      <c r="AJ341" s="266"/>
      <c r="AK341" s="266"/>
      <c r="AL341" s="266"/>
      <c r="AM341" s="266"/>
      <c r="AN341" s="266"/>
    </row>
    <row r="342" spans="3:40" outlineLevel="1">
      <c r="C342" t="s">
        <v>645</v>
      </c>
      <c r="F342" s="266"/>
      <c r="G342" s="266"/>
      <c r="H342" s="266"/>
      <c r="I342" s="266"/>
      <c r="J342" s="266"/>
      <c r="K342" s="266"/>
      <c r="L342" s="266"/>
      <c r="M342" s="266"/>
      <c r="N342" s="266"/>
      <c r="O342" s="266"/>
      <c r="P342" s="266"/>
      <c r="Q342" s="266"/>
      <c r="R342" s="266"/>
      <c r="S342" s="266"/>
      <c r="T342" s="266"/>
      <c r="U342" s="266"/>
      <c r="V342" s="266"/>
      <c r="W342" s="266"/>
      <c r="X342" s="266"/>
      <c r="Y342" s="266"/>
      <c r="Z342" s="266"/>
      <c r="AA342" s="266"/>
      <c r="AB342" s="266"/>
      <c r="AC342" s="266"/>
      <c r="AD342" s="266"/>
      <c r="AE342" s="266"/>
      <c r="AF342" s="266"/>
      <c r="AG342" s="266"/>
      <c r="AH342" s="266"/>
      <c r="AI342" s="266"/>
      <c r="AJ342" s="266"/>
      <c r="AK342" s="266"/>
      <c r="AL342" s="266"/>
      <c r="AM342" s="266"/>
      <c r="AN342" s="266"/>
    </row>
    <row r="343" spans="3:40" outlineLevel="3">
      <c r="C343" s="314" t="str">
        <f>C285</f>
        <v>Flag de operação</v>
      </c>
      <c r="E343" s="32" t="str">
        <f t="shared" ref="E343:AN343" si="347">E285</f>
        <v>Flag</v>
      </c>
      <c r="F343" s="23">
        <f t="shared" si="347"/>
        <v>29</v>
      </c>
      <c r="G343" s="25">
        <f t="shared" si="347"/>
        <v>0</v>
      </c>
      <c r="H343" s="25">
        <f t="shared" si="347"/>
        <v>1</v>
      </c>
      <c r="I343" s="25">
        <f t="shared" si="347"/>
        <v>1</v>
      </c>
      <c r="J343" s="25">
        <f t="shared" si="347"/>
        <v>1</v>
      </c>
      <c r="K343" s="25">
        <f t="shared" si="347"/>
        <v>1</v>
      </c>
      <c r="L343" s="25">
        <f t="shared" si="347"/>
        <v>1</v>
      </c>
      <c r="M343" s="25">
        <f t="shared" si="347"/>
        <v>1</v>
      </c>
      <c r="N343" s="25">
        <f t="shared" si="347"/>
        <v>1</v>
      </c>
      <c r="O343" s="25">
        <f t="shared" si="347"/>
        <v>1</v>
      </c>
      <c r="P343" s="25">
        <f t="shared" si="347"/>
        <v>1</v>
      </c>
      <c r="Q343" s="25">
        <f t="shared" si="347"/>
        <v>1</v>
      </c>
      <c r="R343" s="25">
        <f t="shared" si="347"/>
        <v>1</v>
      </c>
      <c r="S343" s="25">
        <f t="shared" si="347"/>
        <v>1</v>
      </c>
      <c r="T343" s="25">
        <f t="shared" si="347"/>
        <v>1</v>
      </c>
      <c r="U343" s="25">
        <f t="shared" si="347"/>
        <v>1</v>
      </c>
      <c r="V343" s="25">
        <f t="shared" si="347"/>
        <v>1</v>
      </c>
      <c r="W343" s="25">
        <f t="shared" si="347"/>
        <v>1</v>
      </c>
      <c r="X343" s="25">
        <f t="shared" si="347"/>
        <v>1</v>
      </c>
      <c r="Y343" s="25">
        <f t="shared" si="347"/>
        <v>1</v>
      </c>
      <c r="Z343" s="25">
        <f t="shared" si="347"/>
        <v>1</v>
      </c>
      <c r="AA343" s="25">
        <f t="shared" si="347"/>
        <v>1</v>
      </c>
      <c r="AB343" s="25">
        <f t="shared" si="347"/>
        <v>1</v>
      </c>
      <c r="AC343" s="25">
        <f t="shared" si="347"/>
        <v>1</v>
      </c>
      <c r="AD343" s="25">
        <f t="shared" si="347"/>
        <v>1</v>
      </c>
      <c r="AE343" s="25">
        <f t="shared" si="347"/>
        <v>1</v>
      </c>
      <c r="AF343" s="25">
        <f t="shared" si="347"/>
        <v>1</v>
      </c>
      <c r="AG343" s="25">
        <f t="shared" si="347"/>
        <v>1</v>
      </c>
      <c r="AH343" s="25">
        <f t="shared" si="347"/>
        <v>1</v>
      </c>
      <c r="AI343" s="25">
        <f t="shared" si="347"/>
        <v>1</v>
      </c>
      <c r="AJ343" s="25">
        <f t="shared" si="347"/>
        <v>1</v>
      </c>
      <c r="AK343" s="25">
        <f t="shared" si="347"/>
        <v>0</v>
      </c>
      <c r="AL343" s="25">
        <f t="shared" si="347"/>
        <v>0</v>
      </c>
      <c r="AM343" s="25">
        <f t="shared" si="347"/>
        <v>0</v>
      </c>
      <c r="AN343" s="25">
        <f t="shared" si="347"/>
        <v>0</v>
      </c>
    </row>
    <row r="344" spans="3:40" outlineLevel="3">
      <c r="C344" s="314" t="str">
        <f>C292</f>
        <v>DSRA saldo (b/f)</v>
      </c>
      <c r="E344" s="32" t="str">
        <f>E292</f>
        <v>$ 000s</v>
      </c>
      <c r="F344" s="273">
        <f>F292</f>
        <v>0</v>
      </c>
      <c r="G344" s="278">
        <f t="shared" ref="G344:AK344" ca="1" si="348">G295</f>
        <v>0</v>
      </c>
      <c r="H344" s="278">
        <f t="shared" ca="1" si="348"/>
        <v>423.05954631167043</v>
      </c>
      <c r="I344" s="278">
        <f t="shared" ca="1" si="348"/>
        <v>417.11437896414054</v>
      </c>
      <c r="J344" s="278">
        <f t="shared" ca="1" si="348"/>
        <v>422.82311278185017</v>
      </c>
      <c r="K344" s="278">
        <f t="shared" ca="1" si="348"/>
        <v>814.82370799227886</v>
      </c>
      <c r="L344" s="278">
        <f t="shared" ca="1" si="348"/>
        <v>782.72269450121985</v>
      </c>
      <c r="M344" s="278">
        <f t="shared" ca="1" si="348"/>
        <v>1043.5094787062396</v>
      </c>
      <c r="N344" s="278">
        <f t="shared" ca="1" si="348"/>
        <v>987.52806145061334</v>
      </c>
      <c r="O344" s="278">
        <f t="shared" ca="1" si="348"/>
        <v>965.39070956577564</v>
      </c>
      <c r="P344" s="278">
        <f t="shared" ca="1" si="348"/>
        <v>972.39220319848084</v>
      </c>
      <c r="Q344" s="278">
        <f t="shared" ca="1" si="348"/>
        <v>964.77976040791566</v>
      </c>
      <c r="R344" s="278">
        <f t="shared" ca="1" si="348"/>
        <v>944.18755455308076</v>
      </c>
      <c r="S344" s="278">
        <f t="shared" ca="1" si="348"/>
        <v>885.27415333179908</v>
      </c>
      <c r="T344" s="278">
        <f t="shared" ca="1" si="348"/>
        <v>1643.7447168611588</v>
      </c>
      <c r="U344" s="278">
        <f t="shared" ca="1" si="348"/>
        <v>1495.5382259966282</v>
      </c>
      <c r="V344" s="278">
        <f t="shared" ca="1" si="348"/>
        <v>103.76391997142605</v>
      </c>
      <c r="W344" s="278">
        <f t="shared" ca="1" si="348"/>
        <v>110.22545072318594</v>
      </c>
      <c r="X344" s="278">
        <f t="shared" ca="1" si="348"/>
        <v>131.85133949830504</v>
      </c>
      <c r="Y344" s="278">
        <f t="shared" ca="1" si="348"/>
        <v>127.25147588358628</v>
      </c>
      <c r="Z344" s="278">
        <f t="shared" ca="1" si="348"/>
        <v>165.40228551898306</v>
      </c>
      <c r="AA344" s="278">
        <f t="shared" ca="1" si="348"/>
        <v>474.10238413819206</v>
      </c>
      <c r="AB344" s="278">
        <f t="shared" ca="1" si="348"/>
        <v>476.69524072583516</v>
      </c>
      <c r="AC344" s="278">
        <f t="shared" ca="1" si="348"/>
        <v>480.71531431653574</v>
      </c>
      <c r="AD344" s="278">
        <f t="shared" ca="1" si="348"/>
        <v>469.18905253489191</v>
      </c>
      <c r="AE344" s="278">
        <f t="shared" ca="1" si="348"/>
        <v>609.6046130738896</v>
      </c>
      <c r="AF344" s="278">
        <f t="shared" ca="1" si="348"/>
        <v>570.1693153110333</v>
      </c>
      <c r="AG344" s="278">
        <f t="shared" ca="1" si="348"/>
        <v>674.20020438740801</v>
      </c>
      <c r="AH344" s="278">
        <f t="shared" ca="1" si="348"/>
        <v>1270.4948336144241</v>
      </c>
      <c r="AI344" s="278">
        <f t="shared" ca="1" si="348"/>
        <v>1167.671860957277</v>
      </c>
      <c r="AJ344" s="278">
        <f t="shared" ca="1" si="348"/>
        <v>0</v>
      </c>
      <c r="AK344" s="278">
        <f t="shared" ca="1" si="348"/>
        <v>0</v>
      </c>
      <c r="AL344" s="278">
        <f t="shared" ref="AL344:AN344" ca="1" si="349">AL295</f>
        <v>0</v>
      </c>
      <c r="AM344" s="278">
        <f t="shared" ca="1" si="349"/>
        <v>0</v>
      </c>
      <c r="AN344" s="278">
        <f t="shared" ca="1" si="349"/>
        <v>0</v>
      </c>
    </row>
    <row r="345" spans="3:40" outlineLevel="3">
      <c r="C345" t="str">
        <f t="shared" ref="C345:F345" si="350">C311</f>
        <v>Target DSRA</v>
      </c>
      <c r="E345" s="32" t="str">
        <f t="shared" si="350"/>
        <v>$ 000s</v>
      </c>
      <c r="F345" s="273">
        <f t="shared" ca="1" si="350"/>
        <v>5728.724879276373</v>
      </c>
      <c r="G345" s="278">
        <f ca="1">G315</f>
        <v>0</v>
      </c>
      <c r="H345" s="278">
        <f t="shared" ref="H345:AL345" ca="1" si="351">H311*H343</f>
        <v>423.05954631167043</v>
      </c>
      <c r="I345" s="278">
        <f t="shared" ca="1" si="351"/>
        <v>417.11437896414054</v>
      </c>
      <c r="J345" s="278">
        <f t="shared" ca="1" si="351"/>
        <v>422.82311278185017</v>
      </c>
      <c r="K345" s="278">
        <f t="shared" ca="1" si="351"/>
        <v>814.82370799227886</v>
      </c>
      <c r="L345" s="278">
        <f t="shared" ca="1" si="351"/>
        <v>782.72269450121985</v>
      </c>
      <c r="M345" s="278">
        <f t="shared" ca="1" si="351"/>
        <v>1043.5094787062396</v>
      </c>
      <c r="N345" s="278">
        <f t="shared" ca="1" si="351"/>
        <v>987.52806145061334</v>
      </c>
      <c r="O345" s="278">
        <f t="shared" ca="1" si="351"/>
        <v>965.39070956577564</v>
      </c>
      <c r="P345" s="278">
        <f t="shared" ca="1" si="351"/>
        <v>972.39220319848084</v>
      </c>
      <c r="Q345" s="278">
        <f t="shared" ca="1" si="351"/>
        <v>964.77976040791566</v>
      </c>
      <c r="R345" s="278">
        <f t="shared" ca="1" si="351"/>
        <v>944.18755455308076</v>
      </c>
      <c r="S345" s="278">
        <f t="shared" ca="1" si="351"/>
        <v>885.27415333179908</v>
      </c>
      <c r="T345" s="278">
        <f t="shared" ca="1" si="351"/>
        <v>1643.7447168611588</v>
      </c>
      <c r="U345" s="278">
        <f t="shared" ca="1" si="351"/>
        <v>1495.5382259966282</v>
      </c>
      <c r="V345" s="278">
        <f t="shared" ca="1" si="351"/>
        <v>103.76391997142611</v>
      </c>
      <c r="W345" s="278">
        <f t="shared" ca="1" si="351"/>
        <v>110.22545072318594</v>
      </c>
      <c r="X345" s="278">
        <f t="shared" ca="1" si="351"/>
        <v>131.85133949830504</v>
      </c>
      <c r="Y345" s="278">
        <f t="shared" ca="1" si="351"/>
        <v>127.25147588358628</v>
      </c>
      <c r="Z345" s="278">
        <f t="shared" ca="1" si="351"/>
        <v>165.40228551898306</v>
      </c>
      <c r="AA345" s="278">
        <f t="shared" ca="1" si="351"/>
        <v>474.10238413819212</v>
      </c>
      <c r="AB345" s="278">
        <f t="shared" ca="1" si="351"/>
        <v>476.69524072583516</v>
      </c>
      <c r="AC345" s="278">
        <f t="shared" ca="1" si="351"/>
        <v>480.71531431653574</v>
      </c>
      <c r="AD345" s="278">
        <f t="shared" ca="1" si="351"/>
        <v>469.18905253489191</v>
      </c>
      <c r="AE345" s="278">
        <f t="shared" ca="1" si="351"/>
        <v>609.6046130738896</v>
      </c>
      <c r="AF345" s="278">
        <f t="shared" ca="1" si="351"/>
        <v>570.1693153110333</v>
      </c>
      <c r="AG345" s="278">
        <f t="shared" ca="1" si="351"/>
        <v>674.20020438740801</v>
      </c>
      <c r="AH345" s="278">
        <f t="shared" ca="1" si="351"/>
        <v>1270.4948336144241</v>
      </c>
      <c r="AI345" s="278">
        <f t="shared" ca="1" si="351"/>
        <v>1167.671860957277</v>
      </c>
      <c r="AJ345" s="278">
        <f t="shared" ca="1" si="351"/>
        <v>0</v>
      </c>
      <c r="AK345" s="278">
        <f t="shared" ca="1" si="351"/>
        <v>0</v>
      </c>
      <c r="AL345" s="278">
        <f t="shared" ca="1" si="351"/>
        <v>0</v>
      </c>
      <c r="AM345" s="278">
        <f t="shared" ref="AM345:AN345" ca="1" si="352">AM311*AM343</f>
        <v>0</v>
      </c>
      <c r="AN345" s="278">
        <f t="shared" si="352"/>
        <v>0</v>
      </c>
    </row>
    <row r="346" spans="3:40" outlineLevel="3">
      <c r="C346" t="s">
        <v>645</v>
      </c>
      <c r="E346" s="32" t="s">
        <v>399</v>
      </c>
      <c r="F346" s="23">
        <f ca="1">SUM(G346:AN346)</f>
        <v>0</v>
      </c>
      <c r="G346" s="25">
        <f t="shared" ref="G346:AL346" ca="1" si="353">IF(ABS(G344-G345)&gt;0.01,1,0)*G343</f>
        <v>0</v>
      </c>
      <c r="H346" s="25">
        <f t="shared" ca="1" si="353"/>
        <v>0</v>
      </c>
      <c r="I346" s="25">
        <f t="shared" ca="1" si="353"/>
        <v>0</v>
      </c>
      <c r="J346" s="25">
        <f t="shared" ca="1" si="353"/>
        <v>0</v>
      </c>
      <c r="K346" s="25">
        <f t="shared" ca="1" si="353"/>
        <v>0</v>
      </c>
      <c r="L346" s="25">
        <f t="shared" ca="1" si="353"/>
        <v>0</v>
      </c>
      <c r="M346" s="25">
        <f t="shared" ca="1" si="353"/>
        <v>0</v>
      </c>
      <c r="N346" s="25">
        <f t="shared" ca="1" si="353"/>
        <v>0</v>
      </c>
      <c r="O346" s="25">
        <f t="shared" ca="1" si="353"/>
        <v>0</v>
      </c>
      <c r="P346" s="25">
        <f t="shared" ca="1" si="353"/>
        <v>0</v>
      </c>
      <c r="Q346" s="25">
        <f t="shared" ca="1" si="353"/>
        <v>0</v>
      </c>
      <c r="R346" s="25">
        <f t="shared" ca="1" si="353"/>
        <v>0</v>
      </c>
      <c r="S346" s="25">
        <f t="shared" ca="1" si="353"/>
        <v>0</v>
      </c>
      <c r="T346" s="25">
        <f t="shared" ca="1" si="353"/>
        <v>0</v>
      </c>
      <c r="U346" s="25">
        <f t="shared" ca="1" si="353"/>
        <v>0</v>
      </c>
      <c r="V346" s="25">
        <f t="shared" ca="1" si="353"/>
        <v>0</v>
      </c>
      <c r="W346" s="25">
        <f t="shared" ca="1" si="353"/>
        <v>0</v>
      </c>
      <c r="X346" s="25">
        <f t="shared" ca="1" si="353"/>
        <v>0</v>
      </c>
      <c r="Y346" s="25">
        <f t="shared" ca="1" si="353"/>
        <v>0</v>
      </c>
      <c r="Z346" s="25">
        <f t="shared" ca="1" si="353"/>
        <v>0</v>
      </c>
      <c r="AA346" s="25">
        <f t="shared" ca="1" si="353"/>
        <v>0</v>
      </c>
      <c r="AB346" s="25">
        <f t="shared" ca="1" si="353"/>
        <v>0</v>
      </c>
      <c r="AC346" s="25">
        <f t="shared" ca="1" si="353"/>
        <v>0</v>
      </c>
      <c r="AD346" s="25">
        <f t="shared" ca="1" si="353"/>
        <v>0</v>
      </c>
      <c r="AE346" s="25">
        <f t="shared" ca="1" si="353"/>
        <v>0</v>
      </c>
      <c r="AF346" s="25">
        <f t="shared" ca="1" si="353"/>
        <v>0</v>
      </c>
      <c r="AG346" s="25">
        <f t="shared" ca="1" si="353"/>
        <v>0</v>
      </c>
      <c r="AH346" s="25">
        <f t="shared" ca="1" si="353"/>
        <v>0</v>
      </c>
      <c r="AI346" s="25">
        <f t="shared" ca="1" si="353"/>
        <v>0</v>
      </c>
      <c r="AJ346" s="25">
        <f t="shared" ca="1" si="353"/>
        <v>0</v>
      </c>
      <c r="AK346" s="25">
        <f t="shared" ca="1" si="353"/>
        <v>0</v>
      </c>
      <c r="AL346" s="25">
        <f t="shared" ca="1" si="353"/>
        <v>0</v>
      </c>
      <c r="AM346" s="25">
        <f t="shared" ref="AM346:AN346" ca="1" si="354">IF(ABS(AM344-AM345)&gt;0.01,1,0)*AM343</f>
        <v>0</v>
      </c>
      <c r="AN346" s="25">
        <f t="shared" ca="1" si="354"/>
        <v>0</v>
      </c>
    </row>
    <row r="347" spans="3:40" outlineLevel="3">
      <c r="C347" t="s">
        <v>646</v>
      </c>
      <c r="D347" s="84">
        <f ca="1">IF(F346&gt;0,1,0)</f>
        <v>0</v>
      </c>
      <c r="E347" s="32" t="s">
        <v>116</v>
      </c>
      <c r="F347" s="266"/>
      <c r="G347" s="266"/>
      <c r="H347" s="266"/>
      <c r="I347" s="266"/>
      <c r="J347" s="266"/>
      <c r="K347" s="266"/>
      <c r="L347" s="266"/>
      <c r="M347" s="266"/>
      <c r="N347" s="266"/>
      <c r="O347" s="266"/>
      <c r="P347" s="266"/>
      <c r="Q347" s="266"/>
      <c r="R347" s="266"/>
      <c r="S347" s="266"/>
      <c r="T347" s="266"/>
      <c r="U347" s="266"/>
      <c r="V347" s="266"/>
      <c r="W347" s="266"/>
      <c r="X347" s="266"/>
      <c r="Y347" s="266"/>
      <c r="Z347" s="266"/>
      <c r="AA347" s="266"/>
      <c r="AB347" s="266"/>
      <c r="AC347" s="266"/>
      <c r="AD347" s="266"/>
      <c r="AE347" s="266"/>
      <c r="AF347" s="266"/>
      <c r="AG347" s="266"/>
      <c r="AH347" s="266"/>
      <c r="AI347" s="266"/>
      <c r="AJ347" s="266"/>
      <c r="AK347" s="266"/>
      <c r="AL347" s="266"/>
      <c r="AM347" s="266"/>
      <c r="AN347" s="266"/>
    </row>
    <row r="348" spans="3:40" outlineLevel="1">
      <c r="C348" s="266"/>
      <c r="F348" s="266"/>
      <c r="G348" s="266"/>
      <c r="H348" s="266"/>
      <c r="I348" s="266"/>
      <c r="J348" s="266"/>
      <c r="K348" s="266"/>
      <c r="L348" s="266"/>
      <c r="M348" s="266"/>
      <c r="N348" s="266"/>
      <c r="O348" s="266"/>
      <c r="P348" s="266"/>
      <c r="Q348" s="266"/>
      <c r="R348" s="266"/>
      <c r="S348" s="266"/>
      <c r="T348" s="266"/>
      <c r="U348" s="266"/>
      <c r="V348" s="266"/>
      <c r="W348" s="266"/>
      <c r="X348" s="266"/>
      <c r="Y348" s="266"/>
      <c r="Z348" s="266"/>
      <c r="AA348" s="266"/>
      <c r="AB348" s="266"/>
      <c r="AC348" s="266"/>
      <c r="AD348" s="266"/>
      <c r="AE348" s="266"/>
      <c r="AF348" s="266"/>
      <c r="AG348" s="266"/>
      <c r="AH348" s="266"/>
      <c r="AI348" s="266"/>
      <c r="AJ348" s="266"/>
      <c r="AK348" s="266"/>
      <c r="AL348" s="266"/>
      <c r="AM348" s="266"/>
      <c r="AN348" s="266"/>
    </row>
    <row r="349" spans="3:40">
      <c r="C349" s="266"/>
      <c r="F349" s="266"/>
      <c r="G349" s="266"/>
      <c r="H349" s="266"/>
      <c r="I349" s="266"/>
      <c r="J349" s="266"/>
      <c r="K349" s="266"/>
      <c r="L349" s="266"/>
      <c r="M349" s="266"/>
      <c r="N349" s="266"/>
      <c r="O349" s="266"/>
      <c r="P349" s="266"/>
      <c r="Q349" s="266"/>
      <c r="R349" s="266"/>
      <c r="S349" s="266"/>
      <c r="T349" s="266"/>
      <c r="U349" s="266"/>
      <c r="V349" s="266"/>
      <c r="W349" s="266"/>
      <c r="X349" s="266"/>
      <c r="Y349" s="266"/>
      <c r="Z349" s="266"/>
      <c r="AA349" s="266"/>
      <c r="AB349" s="266"/>
      <c r="AC349" s="266"/>
      <c r="AD349" s="266"/>
      <c r="AE349" s="266"/>
      <c r="AF349" s="266"/>
      <c r="AG349" s="266"/>
      <c r="AH349" s="266"/>
      <c r="AI349" s="266"/>
      <c r="AJ349" s="266"/>
      <c r="AK349" s="266"/>
      <c r="AL349" s="266"/>
      <c r="AM349" s="266"/>
      <c r="AN349" s="266"/>
    </row>
    <row r="350" spans="3:40" s="266" customFormat="1" ht="16.2" thickBot="1">
      <c r="C350" s="394" t="s">
        <v>647</v>
      </c>
      <c r="D350" s="395"/>
      <c r="E350" s="396"/>
      <c r="F350" s="395"/>
      <c r="G350" s="395"/>
      <c r="H350" s="395"/>
      <c r="I350" s="395"/>
      <c r="J350" s="395"/>
      <c r="K350" s="395"/>
      <c r="L350" s="395"/>
      <c r="M350" s="395"/>
      <c r="N350" s="395"/>
      <c r="O350" s="395"/>
      <c r="P350" s="395"/>
      <c r="Q350" s="395"/>
      <c r="R350" s="395"/>
      <c r="S350" s="395"/>
      <c r="T350" s="395"/>
      <c r="U350" s="395"/>
      <c r="V350" s="395"/>
      <c r="W350" s="395"/>
      <c r="X350" s="395"/>
      <c r="Y350" s="395"/>
      <c r="Z350" s="395"/>
      <c r="AA350" s="395"/>
      <c r="AB350" s="395"/>
      <c r="AC350" s="395"/>
      <c r="AD350" s="395"/>
      <c r="AE350" s="395"/>
      <c r="AF350" s="395"/>
      <c r="AG350" s="395"/>
      <c r="AH350" s="395"/>
      <c r="AI350" s="395"/>
      <c r="AJ350" s="395"/>
      <c r="AK350" s="8"/>
      <c r="AL350" s="8"/>
      <c r="AM350" s="8"/>
      <c r="AN350" s="8"/>
    </row>
    <row r="351" spans="3:40" outlineLevel="1">
      <c r="C351" s="266"/>
      <c r="F351" s="266"/>
      <c r="G351" s="266"/>
      <c r="H351" s="266"/>
      <c r="I351" s="266"/>
      <c r="J351" s="266"/>
      <c r="K351" s="266"/>
      <c r="L351" s="266"/>
      <c r="M351" s="266"/>
      <c r="N351" s="266"/>
      <c r="O351" s="266"/>
      <c r="P351" s="266"/>
      <c r="Q351" s="266"/>
      <c r="R351" s="266"/>
      <c r="S351" s="266"/>
      <c r="T351" s="266"/>
      <c r="U351" s="266"/>
      <c r="V351" s="266"/>
      <c r="W351" s="266"/>
      <c r="X351" s="266"/>
      <c r="Y351" s="266"/>
      <c r="Z351" s="266"/>
      <c r="AA351" s="266"/>
      <c r="AB351" s="266"/>
      <c r="AC351" s="266"/>
      <c r="AD351" s="266"/>
      <c r="AE351" s="266"/>
      <c r="AF351" s="266"/>
      <c r="AG351" s="266"/>
      <c r="AH351" s="266"/>
      <c r="AI351" s="266"/>
      <c r="AJ351" s="266"/>
      <c r="AK351" s="266"/>
      <c r="AL351" s="266"/>
      <c r="AM351" s="266"/>
      <c r="AN351" s="266"/>
    </row>
    <row r="352" spans="3:40" outlineLevel="1">
      <c r="C352" t="s">
        <v>648</v>
      </c>
      <c r="F352" s="266"/>
      <c r="G352" s="266"/>
      <c r="H352" s="266"/>
      <c r="I352" s="266"/>
      <c r="J352" s="266"/>
      <c r="K352" s="266"/>
      <c r="L352" s="266"/>
      <c r="M352" s="266"/>
      <c r="N352" s="266"/>
      <c r="O352" s="266"/>
      <c r="P352" s="266"/>
      <c r="Q352" s="266"/>
      <c r="R352" s="266"/>
      <c r="S352" s="266"/>
      <c r="T352" s="266"/>
      <c r="U352" s="266"/>
      <c r="V352" s="266"/>
      <c r="W352" s="266"/>
      <c r="X352" s="266"/>
      <c r="Y352" s="266"/>
      <c r="Z352" s="266"/>
      <c r="AA352" s="266"/>
      <c r="AB352" s="266"/>
      <c r="AC352" s="266"/>
      <c r="AD352" s="266"/>
      <c r="AE352" s="266"/>
      <c r="AF352" s="266"/>
      <c r="AG352" s="266"/>
      <c r="AH352" s="266"/>
      <c r="AI352" s="266"/>
      <c r="AJ352" s="266"/>
      <c r="AK352" s="266"/>
      <c r="AL352" s="266"/>
      <c r="AM352" s="266"/>
      <c r="AN352" s="266"/>
    </row>
    <row r="353" spans="3:40" outlineLevel="2">
      <c r="C353" s="301" t="str">
        <f>DFs!C65</f>
        <v>Pagamento de Juros</v>
      </c>
      <c r="D353" s="49">
        <f>DFs!D65</f>
        <v>0</v>
      </c>
      <c r="E353" s="41" t="str">
        <f>DFs!E65</f>
        <v>$ 000s</v>
      </c>
      <c r="F353" s="50">
        <f ca="1">DFs!F65</f>
        <v>-21660.671032363389</v>
      </c>
      <c r="G353" s="319">
        <f ca="1">DFs!G65</f>
        <v>-592.62671164927997</v>
      </c>
      <c r="H353" s="319">
        <f ca="1">DFs!H65</f>
        <v>-673.61068116215745</v>
      </c>
      <c r="I353" s="319">
        <f ca="1">DFs!I65</f>
        <v>-769.50200943303844</v>
      </c>
      <c r="J353" s="319">
        <f ca="1">DFs!J65</f>
        <v>-736.38711347990238</v>
      </c>
      <c r="K353" s="319">
        <f ca="1">DFs!K65</f>
        <v>-721.7153131966063</v>
      </c>
      <c r="L353" s="319">
        <f ca="1">DFs!L65</f>
        <v>-1338.3755927655984</v>
      </c>
      <c r="M353" s="319">
        <f ca="1">DFs!M65</f>
        <v>-1229.9928056447741</v>
      </c>
      <c r="N353" s="319">
        <f ca="1">DFs!N65</f>
        <v>-1557.3985687223778</v>
      </c>
      <c r="O353" s="319">
        <f ca="1">DFs!O65</f>
        <v>-1386.7415331008615</v>
      </c>
      <c r="P353" s="319">
        <f ca="1">DFs!P65</f>
        <v>-1259.9166887553345</v>
      </c>
      <c r="Q353" s="319">
        <f ca="1">DFs!Q65</f>
        <v>-1159.8413026102362</v>
      </c>
      <c r="R353" s="319">
        <f ca="1">DFs!R65</f>
        <v>-1027.0236159181038</v>
      </c>
      <c r="S353" s="319">
        <f ca="1">DFs!S65</f>
        <v>-865.50525834032408</v>
      </c>
      <c r="T353" s="319">
        <f ca="1">DFs!T65</f>
        <v>-658.96346751765498</v>
      </c>
      <c r="U353" s="319">
        <f ca="1">DFs!U65</f>
        <v>-889.23894518718441</v>
      </c>
      <c r="V353" s="319">
        <f ca="1">DFs!V65</f>
        <v>-444.61947259359221</v>
      </c>
      <c r="W353" s="319">
        <f ca="1">DFs!W65</f>
        <v>-188.73594892440497</v>
      </c>
      <c r="X353" s="319">
        <f ca="1">DFs!X65</f>
        <v>-194.5955488075999</v>
      </c>
      <c r="Y353" s="319">
        <f ca="1">DFs!Y65</f>
        <v>-225.05659672986553</v>
      </c>
      <c r="Z353" s="319">
        <f ca="1">DFs!Z65</f>
        <v>-209.01486762779103</v>
      </c>
      <c r="AA353" s="319">
        <f ca="1">DFs!AA65</f>
        <v>-259.91787724411626</v>
      </c>
      <c r="AB353" s="319">
        <f ca="1">DFs!AB65</f>
        <v>-707.5799401459451</v>
      </c>
      <c r="AC353" s="319">
        <f ca="1">DFs!AC65</f>
        <v>-669.40182740223668</v>
      </c>
      <c r="AD353" s="319">
        <f ca="1">DFs!AD65</f>
        <v>-627.37422376903817</v>
      </c>
      <c r="AE353" s="319">
        <f ca="1">DFs!AE65</f>
        <v>-559.63513495125665</v>
      </c>
      <c r="AF353" s="319">
        <f ca="1">DFs!AF65</f>
        <v>-648.93394294962457</v>
      </c>
      <c r="AG353" s="319">
        <f ca="1">DFs!AG65</f>
        <v>-522.65520570178057</v>
      </c>
      <c r="AH353" s="319">
        <f ca="1">DFs!AH65</f>
        <v>-501.84827243874736</v>
      </c>
      <c r="AI353" s="319">
        <f ca="1">DFs!AI65</f>
        <v>-687.31687720124592</v>
      </c>
      <c r="AJ353" s="319">
        <f ca="1">DFs!AJ65</f>
        <v>-347.14568839270396</v>
      </c>
      <c r="AK353" s="319">
        <f ca="1">DFs!AK65</f>
        <v>0</v>
      </c>
      <c r="AL353" s="319">
        <f ca="1">DFs!AL65</f>
        <v>0</v>
      </c>
      <c r="AM353" s="319">
        <f ca="1">DFs!AM65</f>
        <v>0</v>
      </c>
      <c r="AN353" s="319">
        <f>DFs!AN65</f>
        <v>0</v>
      </c>
    </row>
    <row r="354" spans="3:40" outlineLevel="2">
      <c r="C354" s="301" t="str">
        <f>DFs!C66</f>
        <v>Pagamento de Principal</v>
      </c>
      <c r="D354" s="49">
        <f>DFs!D66</f>
        <v>0</v>
      </c>
      <c r="E354" s="41" t="str">
        <f>DFs!E66</f>
        <v>$ 000s</v>
      </c>
      <c r="F354" s="50">
        <f ca="1">DFs!F66</f>
        <v>-38388.243146281522</v>
      </c>
      <c r="G354" s="319">
        <f>DFs!G66</f>
        <v>0</v>
      </c>
      <c r="H354" s="319">
        <f>DFs!H66</f>
        <v>0</v>
      </c>
      <c r="I354" s="319">
        <f ca="1">DFs!I66</f>
        <v>-499.67662950197297</v>
      </c>
      <c r="J354" s="319">
        <f ca="1">DFs!J66</f>
        <v>-514.95602341251913</v>
      </c>
      <c r="K354" s="319">
        <f ca="1">DFs!K66</f>
        <v>-546.75402514894415</v>
      </c>
      <c r="L354" s="319">
        <f ca="1">DFs!L66</f>
        <v>-1106.0955312112383</v>
      </c>
      <c r="M354" s="319">
        <f ca="1">DFs!M66</f>
        <v>-1118.1752778588855</v>
      </c>
      <c r="N354" s="319">
        <f ca="1">DFs!N66</f>
        <v>-1573.1298673963411</v>
      </c>
      <c r="O354" s="319">
        <f ca="1">DFs!O66</f>
        <v>-1575.8426512509786</v>
      </c>
      <c r="P354" s="319">
        <f ca="1">DFs!P66</f>
        <v>-1636.2554399419928</v>
      </c>
      <c r="Q354" s="319">
        <f ca="1">DFs!Q66</f>
        <v>-1757.3353069852062</v>
      </c>
      <c r="R354" s="319">
        <f ca="1">DFs!R66</f>
        <v>-1867.3156653056431</v>
      </c>
      <c r="S354" s="319">
        <f ca="1">DFs!S66</f>
        <v>-1967.0574053189182</v>
      </c>
      <c r="T354" s="319">
        <f ca="1">DFs!T66</f>
        <v>-1996.8589924777423</v>
      </c>
      <c r="U354" s="319">
        <f ca="1">DFs!U66</f>
        <v>-4041.9952053962925</v>
      </c>
      <c r="V354" s="319">
        <f ca="1">DFs!V66</f>
        <v>-4041.9952053962925</v>
      </c>
      <c r="W354" s="319">
        <f ca="1">DFs!W66</f>
        <v>-122.55581098987334</v>
      </c>
      <c r="X354" s="319">
        <f ca="1">DFs!X66</f>
        <v>-136.08080336195795</v>
      </c>
      <c r="Y354" s="319">
        <f ca="1">DFs!Y66</f>
        <v>-170.49742176504961</v>
      </c>
      <c r="Z354" s="319">
        <f ca="1">DFs!Z66</f>
        <v>-172.73956002296779</v>
      </c>
      <c r="AA354" s="319">
        <f ca="1">DFs!AA66</f>
        <v>-236.28897931283296</v>
      </c>
      <c r="AB354" s="319">
        <f ca="1">DFs!AB66</f>
        <v>-714.72721226863132</v>
      </c>
      <c r="AC354" s="319">
        <f ca="1">DFs!AC66</f>
        <v>-760.68389477526887</v>
      </c>
      <c r="AD354" s="319">
        <f ca="1">DFs!AD66</f>
        <v>-814.77171918056888</v>
      </c>
      <c r="AE354" s="319">
        <f ca="1">DFs!AE66</f>
        <v>-847.93202265341904</v>
      </c>
      <c r="AF354" s="319">
        <f ca="1">DFs!AF66</f>
        <v>-1179.8798962720443</v>
      </c>
      <c r="AG354" s="319">
        <f ca="1">DFs!AG66</f>
        <v>-1187.8527402313193</v>
      </c>
      <c r="AH354" s="319">
        <f ca="1">DFs!AH66</f>
        <v>-1520.7523407234767</v>
      </c>
      <c r="AI354" s="319">
        <f ca="1">DFs!AI66</f>
        <v>-3124.1676236420267</v>
      </c>
      <c r="AJ354" s="319">
        <f ca="1">DFs!AJ66</f>
        <v>-3155.8698944791267</v>
      </c>
      <c r="AK354" s="319">
        <f>DFs!AK66</f>
        <v>0</v>
      </c>
      <c r="AL354" s="319">
        <f>DFs!AL66</f>
        <v>0</v>
      </c>
      <c r="AM354" s="319">
        <f>DFs!AM66</f>
        <v>0</v>
      </c>
      <c r="AN354" s="319">
        <f>DFs!AN66</f>
        <v>0</v>
      </c>
    </row>
    <row r="355" spans="3:40" outlineLevel="2">
      <c r="C355" s="349" t="s">
        <v>649</v>
      </c>
      <c r="D355" s="48"/>
      <c r="E355" s="93" t="s">
        <v>13</v>
      </c>
      <c r="F355" s="50">
        <f ca="1">SUM(G355:AN355)</f>
        <v>60048.914178644933</v>
      </c>
      <c r="G355" s="350">
        <f t="shared" ref="G355:AN355" ca="1" si="355">-SUM(G353:G354)</f>
        <v>592.62671164927997</v>
      </c>
      <c r="H355" s="350">
        <f t="shared" ca="1" si="355"/>
        <v>673.61068116215745</v>
      </c>
      <c r="I355" s="350">
        <f t="shared" ca="1" si="355"/>
        <v>1269.1786389350113</v>
      </c>
      <c r="J355" s="350">
        <f t="shared" ca="1" si="355"/>
        <v>1251.3431368924216</v>
      </c>
      <c r="K355" s="350">
        <f t="shared" ca="1" si="355"/>
        <v>1268.4693383455506</v>
      </c>
      <c r="L355" s="350">
        <f t="shared" ca="1" si="355"/>
        <v>2444.4711239768367</v>
      </c>
      <c r="M355" s="350">
        <f t="shared" ca="1" si="355"/>
        <v>2348.1680835036595</v>
      </c>
      <c r="N355" s="350">
        <f t="shared" ca="1" si="355"/>
        <v>3130.5284361187187</v>
      </c>
      <c r="O355" s="350">
        <f t="shared" ca="1" si="355"/>
        <v>2962.5841843518401</v>
      </c>
      <c r="P355" s="350">
        <f t="shared" ca="1" si="355"/>
        <v>2896.172128697327</v>
      </c>
      <c r="Q355" s="350">
        <f t="shared" ca="1" si="355"/>
        <v>2917.1766095954426</v>
      </c>
      <c r="R355" s="350">
        <f t="shared" ca="1" si="355"/>
        <v>2894.3392812237471</v>
      </c>
      <c r="S355" s="350">
        <f t="shared" ca="1" si="355"/>
        <v>2832.5626636592424</v>
      </c>
      <c r="T355" s="350">
        <f t="shared" ca="1" si="355"/>
        <v>2655.8224599953974</v>
      </c>
      <c r="U355" s="350">
        <f t="shared" ca="1" si="355"/>
        <v>4931.2341505834765</v>
      </c>
      <c r="V355" s="350">
        <f t="shared" ca="1" si="355"/>
        <v>4486.6146779898845</v>
      </c>
      <c r="W355" s="350">
        <f t="shared" ca="1" si="355"/>
        <v>311.29175991427832</v>
      </c>
      <c r="X355" s="350">
        <f t="shared" ca="1" si="355"/>
        <v>330.67635216955784</v>
      </c>
      <c r="Y355" s="350">
        <f t="shared" ca="1" si="355"/>
        <v>395.55401849491511</v>
      </c>
      <c r="Z355" s="350">
        <f t="shared" ca="1" si="355"/>
        <v>381.75442765075883</v>
      </c>
      <c r="AA355" s="350">
        <f t="shared" ca="1" si="355"/>
        <v>496.20685655694922</v>
      </c>
      <c r="AB355" s="350">
        <f t="shared" ca="1" si="355"/>
        <v>1422.3071524145764</v>
      </c>
      <c r="AC355" s="350">
        <f t="shared" ca="1" si="355"/>
        <v>1430.0857221775054</v>
      </c>
      <c r="AD355" s="350">
        <f t="shared" ca="1" si="355"/>
        <v>1442.1459429496072</v>
      </c>
      <c r="AE355" s="350">
        <f t="shared" ca="1" si="355"/>
        <v>1407.5671576046757</v>
      </c>
      <c r="AF355" s="350">
        <f t="shared" ca="1" si="355"/>
        <v>1828.8138392216688</v>
      </c>
      <c r="AG355" s="350">
        <f t="shared" ca="1" si="355"/>
        <v>1710.5079459331</v>
      </c>
      <c r="AH355" s="350">
        <f t="shared" ca="1" si="355"/>
        <v>2022.6006131622239</v>
      </c>
      <c r="AI355" s="350">
        <f t="shared" ca="1" si="355"/>
        <v>3811.4845008432726</v>
      </c>
      <c r="AJ355" s="350">
        <f t="shared" ca="1" si="355"/>
        <v>3503.0155828718307</v>
      </c>
      <c r="AK355" s="350">
        <f t="shared" ca="1" si="355"/>
        <v>0</v>
      </c>
      <c r="AL355" s="350">
        <f t="shared" ca="1" si="355"/>
        <v>0</v>
      </c>
      <c r="AM355" s="350">
        <f t="shared" ca="1" si="355"/>
        <v>0</v>
      </c>
      <c r="AN355" s="350">
        <f t="shared" si="355"/>
        <v>0</v>
      </c>
    </row>
    <row r="356" spans="3:40" outlineLevel="2">
      <c r="C356" s="314"/>
      <c r="F356" s="266"/>
      <c r="G356" s="266"/>
      <c r="H356" s="266"/>
      <c r="I356" s="266"/>
      <c r="J356" s="266"/>
      <c r="K356" s="266"/>
      <c r="L356" s="266"/>
      <c r="M356" s="266"/>
      <c r="N356" s="266"/>
      <c r="O356" s="266"/>
      <c r="P356" s="266"/>
      <c r="Q356" s="266"/>
      <c r="R356" s="266"/>
      <c r="S356" s="266"/>
      <c r="T356" s="266"/>
      <c r="U356" s="266"/>
      <c r="V356" s="266"/>
      <c r="W356" s="266"/>
      <c r="X356" s="266"/>
      <c r="Y356" s="266"/>
      <c r="Z356" s="266"/>
      <c r="AA356" s="266"/>
      <c r="AB356" s="266"/>
      <c r="AC356" s="266"/>
      <c r="AD356" s="266"/>
      <c r="AE356" s="266"/>
      <c r="AF356" s="266"/>
      <c r="AG356" s="266"/>
      <c r="AH356" s="266"/>
      <c r="AI356" s="266"/>
      <c r="AJ356" s="266"/>
      <c r="AK356" s="266"/>
      <c r="AL356" s="266"/>
      <c r="AM356" s="266"/>
      <c r="AN356" s="266"/>
    </row>
    <row r="357" spans="3:40" outlineLevel="2">
      <c r="C357" s="301" t="str">
        <f>DFs!C62</f>
        <v>Fluxo de Caixa para Serviços da Dívida</v>
      </c>
      <c r="D357" s="49">
        <f>DFs!D62</f>
        <v>0</v>
      </c>
      <c r="E357" s="41" t="str">
        <f>DFs!E62</f>
        <v>$ 000s</v>
      </c>
      <c r="F357" s="50">
        <f ca="1">DFs!F62</f>
        <v>156335.0564985963</v>
      </c>
      <c r="G357" s="319">
        <f ca="1">DFs!G62</f>
        <v>-552.25075172981815</v>
      </c>
      <c r="H357" s="319">
        <f>DFs!H147</f>
        <v>1049.4932022277176</v>
      </c>
      <c r="I357" s="319">
        <f>DFs!I147</f>
        <v>5496.3798129631841</v>
      </c>
      <c r="J357" s="319">
        <f>DFs!J147</f>
        <v>4638.377713245728</v>
      </c>
      <c r="K357" s="319">
        <f>DFs!K147</f>
        <v>5410.338608074022</v>
      </c>
      <c r="L357" s="319">
        <f>DFs!L147</f>
        <v>18391.535334022548</v>
      </c>
      <c r="M357" s="319">
        <f>DFs!M147</f>
        <v>6801.3248790056341</v>
      </c>
      <c r="N357" s="319">
        <f>DFs!N147</f>
        <v>16704.63010100232</v>
      </c>
      <c r="O357" s="319">
        <f>DFs!O147</f>
        <v>9002.4629518793681</v>
      </c>
      <c r="P357" s="319">
        <f>DFs!P147</f>
        <v>9829.7404601960425</v>
      </c>
      <c r="Q357" s="319">
        <f>DFs!Q147</f>
        <v>10753.199709766852</v>
      </c>
      <c r="R357" s="319">
        <f>DFs!R147</f>
        <v>10679.275462290305</v>
      </c>
      <c r="S357" s="319">
        <f>DFs!S147</f>
        <v>10617.420694769391</v>
      </c>
      <c r="T357" s="319">
        <f>DFs!T147</f>
        <v>10166.221035362056</v>
      </c>
      <c r="U357" s="319">
        <f>DFs!U147</f>
        <v>19059.824642982589</v>
      </c>
      <c r="V357" s="319">
        <f>DFs!V147</f>
        <v>13948.546526840864</v>
      </c>
      <c r="W357" s="319">
        <f>DFs!W147</f>
        <v>12272.774937722656</v>
      </c>
      <c r="X357" s="319">
        <f>DFs!X147</f>
        <v>11941.542233257935</v>
      </c>
      <c r="Y357" s="319">
        <f>DFs!Y147</f>
        <v>12182.136605641741</v>
      </c>
      <c r="Z357" s="319">
        <f>DFs!Z147</f>
        <v>11431.345207712931</v>
      </c>
      <c r="AA357" s="319">
        <f>DFs!AA147</f>
        <v>12756.188772410373</v>
      </c>
      <c r="AB357" s="319">
        <f>DFs!AB147</f>
        <v>20860.509718061297</v>
      </c>
      <c r="AC357" s="319">
        <f>DFs!AC147</f>
        <v>13038.069023733524</v>
      </c>
      <c r="AD357" s="319">
        <f>DFs!AD147</f>
        <v>12947.534057702947</v>
      </c>
      <c r="AE357" s="319">
        <f>DFs!AE147</f>
        <v>12388.407381798448</v>
      </c>
      <c r="AF357" s="319">
        <f>DFs!AF147</f>
        <v>15307.023274153915</v>
      </c>
      <c r="AG357" s="319">
        <f>DFs!AG147</f>
        <v>11665.471890428733</v>
      </c>
      <c r="AH357" s="319">
        <f>DFs!AH147</f>
        <v>13278.423304655258</v>
      </c>
      <c r="AI357" s="319">
        <f>DFs!AI147</f>
        <v>17716.598626357965</v>
      </c>
      <c r="AJ357" s="319">
        <f>DFs!AJ147</f>
        <v>10651.925812348114</v>
      </c>
      <c r="AK357" s="319">
        <f>DFs!AK147</f>
        <v>0</v>
      </c>
      <c r="AL357" s="319">
        <f>DFs!AL147</f>
        <v>0</v>
      </c>
      <c r="AM357" s="319">
        <f>DFs!AM147</f>
        <v>0</v>
      </c>
      <c r="AN357" s="319">
        <f>DFs!AN147</f>
        <v>0</v>
      </c>
    </row>
    <row r="358" spans="3:40" outlineLevel="2">
      <c r="C358" s="301" t="str">
        <f>C355</f>
        <v>Serviço da Dívida</v>
      </c>
      <c r="D358" s="49"/>
      <c r="E358" s="41" t="str">
        <f t="shared" ref="E358:AN358" si="356">E355</f>
        <v>$ 000s</v>
      </c>
      <c r="F358" s="50">
        <f t="shared" ca="1" si="356"/>
        <v>60048.914178644933</v>
      </c>
      <c r="G358" s="319">
        <f t="shared" ca="1" si="356"/>
        <v>592.62671164927997</v>
      </c>
      <c r="H358" s="319">
        <f t="shared" ca="1" si="356"/>
        <v>673.61068116215745</v>
      </c>
      <c r="I358" s="319">
        <f t="shared" ca="1" si="356"/>
        <v>1269.1786389350113</v>
      </c>
      <c r="J358" s="319">
        <f t="shared" ca="1" si="356"/>
        <v>1251.3431368924216</v>
      </c>
      <c r="K358" s="319">
        <f t="shared" ca="1" si="356"/>
        <v>1268.4693383455506</v>
      </c>
      <c r="L358" s="319">
        <f t="shared" ca="1" si="356"/>
        <v>2444.4711239768367</v>
      </c>
      <c r="M358" s="319">
        <f t="shared" ca="1" si="356"/>
        <v>2348.1680835036595</v>
      </c>
      <c r="N358" s="319">
        <f t="shared" ca="1" si="356"/>
        <v>3130.5284361187187</v>
      </c>
      <c r="O358" s="319">
        <f t="shared" ca="1" si="356"/>
        <v>2962.5841843518401</v>
      </c>
      <c r="P358" s="319">
        <f t="shared" ca="1" si="356"/>
        <v>2896.172128697327</v>
      </c>
      <c r="Q358" s="319">
        <f t="shared" ca="1" si="356"/>
        <v>2917.1766095954426</v>
      </c>
      <c r="R358" s="319">
        <f t="shared" ca="1" si="356"/>
        <v>2894.3392812237471</v>
      </c>
      <c r="S358" s="319">
        <f t="shared" ca="1" si="356"/>
        <v>2832.5626636592424</v>
      </c>
      <c r="T358" s="319">
        <f t="shared" ca="1" si="356"/>
        <v>2655.8224599953974</v>
      </c>
      <c r="U358" s="319">
        <f t="shared" ca="1" si="356"/>
        <v>4931.2341505834765</v>
      </c>
      <c r="V358" s="319">
        <f t="shared" ca="1" si="356"/>
        <v>4486.6146779898845</v>
      </c>
      <c r="W358" s="319">
        <f t="shared" ca="1" si="356"/>
        <v>311.29175991427832</v>
      </c>
      <c r="X358" s="319">
        <f t="shared" ca="1" si="356"/>
        <v>330.67635216955784</v>
      </c>
      <c r="Y358" s="319">
        <f t="shared" ca="1" si="356"/>
        <v>395.55401849491511</v>
      </c>
      <c r="Z358" s="319">
        <f t="shared" ca="1" si="356"/>
        <v>381.75442765075883</v>
      </c>
      <c r="AA358" s="319">
        <f t="shared" ca="1" si="356"/>
        <v>496.20685655694922</v>
      </c>
      <c r="AB358" s="319">
        <f t="shared" ca="1" si="356"/>
        <v>1422.3071524145764</v>
      </c>
      <c r="AC358" s="319">
        <f t="shared" ca="1" si="356"/>
        <v>1430.0857221775054</v>
      </c>
      <c r="AD358" s="319">
        <f t="shared" ca="1" si="356"/>
        <v>1442.1459429496072</v>
      </c>
      <c r="AE358" s="319">
        <f t="shared" ca="1" si="356"/>
        <v>1407.5671576046757</v>
      </c>
      <c r="AF358" s="319">
        <f t="shared" ca="1" si="356"/>
        <v>1828.8138392216688</v>
      </c>
      <c r="AG358" s="319">
        <f t="shared" ca="1" si="356"/>
        <v>1710.5079459331</v>
      </c>
      <c r="AH358" s="319">
        <f t="shared" ca="1" si="356"/>
        <v>2022.6006131622239</v>
      </c>
      <c r="AI358" s="319">
        <f t="shared" ca="1" si="356"/>
        <v>3811.4845008432726</v>
      </c>
      <c r="AJ358" s="319">
        <f t="shared" ca="1" si="356"/>
        <v>3503.0155828718307</v>
      </c>
      <c r="AK358" s="319">
        <f t="shared" ca="1" si="356"/>
        <v>0</v>
      </c>
      <c r="AL358" s="319">
        <f t="shared" ca="1" si="356"/>
        <v>0</v>
      </c>
      <c r="AM358" s="319">
        <f t="shared" ca="1" si="356"/>
        <v>0</v>
      </c>
      <c r="AN358" s="319">
        <f t="shared" si="356"/>
        <v>0</v>
      </c>
    </row>
    <row r="359" spans="3:40" outlineLevel="2">
      <c r="C359" s="301" t="s">
        <v>648</v>
      </c>
      <c r="E359" s="32" t="s">
        <v>650</v>
      </c>
      <c r="F359" s="266"/>
      <c r="G359" s="351">
        <f t="shared" ref="G359:AN359" ca="1" si="357">IFERROR(MAX(G357/G358,0),0)</f>
        <v>0</v>
      </c>
      <c r="H359" s="351">
        <f t="shared" ca="1" si="357"/>
        <v>1.5580115214578589</v>
      </c>
      <c r="I359" s="351">
        <f t="shared" ca="1" si="357"/>
        <v>4.3306589351167197</v>
      </c>
      <c r="J359" s="351">
        <f t="shared" ca="1" si="357"/>
        <v>3.7067192654803289</v>
      </c>
      <c r="K359" s="351">
        <f t="shared" ca="1" si="357"/>
        <v>4.2652498129207146</v>
      </c>
      <c r="L359" s="351">
        <f t="shared" ca="1" si="357"/>
        <v>7.5237277927431236</v>
      </c>
      <c r="M359" s="351">
        <f t="shared" ca="1" si="357"/>
        <v>2.8964386863045593</v>
      </c>
      <c r="N359" s="351">
        <f t="shared" ca="1" si="357"/>
        <v>5.3360416434079729</v>
      </c>
      <c r="O359" s="351">
        <f t="shared" ca="1" si="357"/>
        <v>3.0387197094447949</v>
      </c>
      <c r="P359" s="351">
        <f t="shared" ca="1" si="357"/>
        <v>3.3940456655859657</v>
      </c>
      <c r="Q359" s="351">
        <f t="shared" ca="1" si="357"/>
        <v>3.6861668485879289</v>
      </c>
      <c r="R359" s="351">
        <f t="shared" ca="1" si="357"/>
        <v>3.6897109926155691</v>
      </c>
      <c r="S359" s="351">
        <f t="shared" ca="1" si="357"/>
        <v>3.7483445047790362</v>
      </c>
      <c r="T359" s="351">
        <f t="shared" ca="1" si="357"/>
        <v>3.8278993375858694</v>
      </c>
      <c r="U359" s="351">
        <f t="shared" ca="1" si="357"/>
        <v>3.8651226165618966</v>
      </c>
      <c r="V359" s="351">
        <f t="shared" ca="1" si="357"/>
        <v>3.1089245517937285</v>
      </c>
      <c r="W359" s="351">
        <f t="shared" ca="1" si="357"/>
        <v>39.425312578470624</v>
      </c>
      <c r="X359" s="351">
        <f t="shared" ca="1" si="357"/>
        <v>36.112477214986271</v>
      </c>
      <c r="Y359" s="351">
        <f t="shared" ca="1" si="357"/>
        <v>30.797656036955022</v>
      </c>
      <c r="Z359" s="351">
        <f t="shared" ca="1" si="357"/>
        <v>29.944237393811427</v>
      </c>
      <c r="AA359" s="351">
        <f t="shared" ca="1" si="357"/>
        <v>25.707401265920147</v>
      </c>
      <c r="AB359" s="351">
        <f t="shared" ca="1" si="357"/>
        <v>14.666670052700995</v>
      </c>
      <c r="AC359" s="351">
        <f t="shared" ca="1" si="357"/>
        <v>9.1169842629302256</v>
      </c>
      <c r="AD359" s="351">
        <f t="shared" ca="1" si="357"/>
        <v>8.9779637913909607</v>
      </c>
      <c r="AE359" s="351">
        <f t="shared" ca="1" si="357"/>
        <v>8.8012904498854549</v>
      </c>
      <c r="AF359" s="351">
        <f t="shared" ca="1" si="357"/>
        <v>8.3699187669470412</v>
      </c>
      <c r="AG359" s="351">
        <f t="shared" ca="1" si="357"/>
        <v>6.8198875767660327</v>
      </c>
      <c r="AH359" s="351">
        <f t="shared" ca="1" si="357"/>
        <v>6.5650248587115669</v>
      </c>
      <c r="AI359" s="351">
        <f t="shared" ca="1" si="357"/>
        <v>4.648214789391969</v>
      </c>
      <c r="AJ359" s="351">
        <f t="shared" ca="1" si="357"/>
        <v>3.0407874473728396</v>
      </c>
      <c r="AK359" s="351">
        <f t="shared" ca="1" si="357"/>
        <v>0</v>
      </c>
      <c r="AL359" s="351">
        <f t="shared" ca="1" si="357"/>
        <v>0</v>
      </c>
      <c r="AM359" s="351">
        <f t="shared" ca="1" si="357"/>
        <v>0</v>
      </c>
      <c r="AN359" s="351">
        <f t="shared" si="357"/>
        <v>0</v>
      </c>
    </row>
    <row r="360" spans="3:40" outlineLevel="2">
      <c r="C360" s="314"/>
      <c r="F360" s="266"/>
      <c r="G360" s="266"/>
      <c r="H360" s="266"/>
      <c r="I360" s="266"/>
      <c r="J360" s="266"/>
      <c r="K360" s="266"/>
      <c r="L360" s="266"/>
      <c r="M360" s="266"/>
      <c r="N360" s="266"/>
      <c r="O360" s="266"/>
      <c r="P360" s="266"/>
      <c r="Q360" s="266"/>
      <c r="R360" s="266"/>
      <c r="S360" s="266"/>
      <c r="T360" s="266"/>
      <c r="U360" s="266"/>
      <c r="V360" s="266"/>
      <c r="W360" s="266"/>
      <c r="X360" s="266"/>
      <c r="Y360" s="266"/>
      <c r="Z360" s="266"/>
      <c r="AA360" s="266"/>
      <c r="AB360" s="266"/>
      <c r="AC360" s="266"/>
      <c r="AD360" s="266"/>
      <c r="AE360" s="266"/>
      <c r="AF360" s="266"/>
      <c r="AG360" s="266"/>
      <c r="AH360" s="266"/>
      <c r="AI360" s="266"/>
      <c r="AJ360" s="266"/>
      <c r="AK360" s="266"/>
      <c r="AL360" s="266"/>
      <c r="AM360" s="266"/>
      <c r="AN360" s="266"/>
    </row>
    <row r="361" spans="3:40" outlineLevel="2">
      <c r="C361" s="301" t="s">
        <v>651</v>
      </c>
      <c r="E361" s="32" t="s">
        <v>399</v>
      </c>
      <c r="F361" s="23">
        <f>SUM(G361:AN361)</f>
        <v>28</v>
      </c>
      <c r="G361" s="25">
        <f t="shared" ref="G361:AN361" si="358">G90+G103</f>
        <v>0</v>
      </c>
      <c r="H361" s="25">
        <f t="shared" si="358"/>
        <v>0</v>
      </c>
      <c r="I361" s="25">
        <f t="shared" si="358"/>
        <v>1</v>
      </c>
      <c r="J361" s="25">
        <f t="shared" si="358"/>
        <v>1</v>
      </c>
      <c r="K361" s="25">
        <f t="shared" si="358"/>
        <v>1</v>
      </c>
      <c r="L361" s="25">
        <f t="shared" si="358"/>
        <v>1</v>
      </c>
      <c r="M361" s="25">
        <f t="shared" si="358"/>
        <v>1</v>
      </c>
      <c r="N361" s="25">
        <f t="shared" si="358"/>
        <v>1</v>
      </c>
      <c r="O361" s="25">
        <f t="shared" si="358"/>
        <v>1</v>
      </c>
      <c r="P361" s="25">
        <f t="shared" si="358"/>
        <v>1</v>
      </c>
      <c r="Q361" s="25">
        <f t="shared" si="358"/>
        <v>1</v>
      </c>
      <c r="R361" s="25">
        <f t="shared" si="358"/>
        <v>1</v>
      </c>
      <c r="S361" s="25">
        <f t="shared" si="358"/>
        <v>1</v>
      </c>
      <c r="T361" s="25">
        <f t="shared" si="358"/>
        <v>1</v>
      </c>
      <c r="U361" s="25">
        <f t="shared" si="358"/>
        <v>1</v>
      </c>
      <c r="V361" s="25">
        <f t="shared" si="358"/>
        <v>1</v>
      </c>
      <c r="W361" s="25">
        <f t="shared" si="358"/>
        <v>1</v>
      </c>
      <c r="X361" s="25">
        <f t="shared" si="358"/>
        <v>1</v>
      </c>
      <c r="Y361" s="25">
        <f t="shared" si="358"/>
        <v>1</v>
      </c>
      <c r="Z361" s="25">
        <f t="shared" si="358"/>
        <v>1</v>
      </c>
      <c r="AA361" s="25">
        <f t="shared" si="358"/>
        <v>1</v>
      </c>
      <c r="AB361" s="25">
        <f t="shared" si="358"/>
        <v>1</v>
      </c>
      <c r="AC361" s="25">
        <f t="shared" si="358"/>
        <v>1</v>
      </c>
      <c r="AD361" s="25">
        <f t="shared" si="358"/>
        <v>1</v>
      </c>
      <c r="AE361" s="25">
        <f t="shared" si="358"/>
        <v>1</v>
      </c>
      <c r="AF361" s="25">
        <f t="shared" si="358"/>
        <v>1</v>
      </c>
      <c r="AG361" s="25">
        <f t="shared" si="358"/>
        <v>1</v>
      </c>
      <c r="AH361" s="25">
        <f t="shared" si="358"/>
        <v>1</v>
      </c>
      <c r="AI361" s="25">
        <f t="shared" si="358"/>
        <v>1</v>
      </c>
      <c r="AJ361" s="25">
        <f t="shared" si="358"/>
        <v>1</v>
      </c>
      <c r="AK361" s="25">
        <f t="shared" si="358"/>
        <v>0</v>
      </c>
      <c r="AL361" s="25">
        <f t="shared" si="358"/>
        <v>0</v>
      </c>
      <c r="AM361" s="25">
        <f t="shared" si="358"/>
        <v>0</v>
      </c>
      <c r="AN361" s="25">
        <f t="shared" si="358"/>
        <v>0</v>
      </c>
    </row>
    <row r="362" spans="3:40" outlineLevel="2">
      <c r="C362" s="314"/>
      <c r="F362" s="266"/>
      <c r="G362" s="266"/>
      <c r="H362" s="266"/>
      <c r="I362" s="266"/>
      <c r="J362" s="266"/>
      <c r="K362" s="266"/>
      <c r="L362" s="266"/>
      <c r="M362" s="266"/>
      <c r="N362" s="266"/>
      <c r="O362" s="266"/>
      <c r="P362" s="266"/>
      <c r="Q362" s="266"/>
      <c r="R362" s="266"/>
      <c r="S362" s="266"/>
      <c r="T362" s="266"/>
      <c r="U362" s="266"/>
      <c r="V362" s="266"/>
      <c r="W362" s="266"/>
      <c r="X362" s="266"/>
      <c r="Y362" s="266"/>
      <c r="Z362" s="266"/>
      <c r="AA362" s="266"/>
      <c r="AB362" s="266"/>
      <c r="AC362" s="266"/>
      <c r="AD362" s="266"/>
      <c r="AE362" s="266"/>
      <c r="AF362" s="266"/>
      <c r="AG362" s="266"/>
      <c r="AH362" s="266"/>
      <c r="AI362" s="266"/>
      <c r="AJ362" s="266"/>
      <c r="AK362" s="266"/>
      <c r="AL362" s="266"/>
      <c r="AM362" s="266"/>
      <c r="AN362" s="266"/>
    </row>
    <row r="363" spans="3:40" outlineLevel="2">
      <c r="C363" s="314"/>
      <c r="F363" s="266"/>
      <c r="G363" s="266"/>
      <c r="H363" s="266"/>
      <c r="I363" s="266"/>
      <c r="J363" s="266"/>
      <c r="K363" s="266"/>
      <c r="L363" s="266"/>
      <c r="M363" s="266"/>
      <c r="N363" s="266"/>
      <c r="O363" s="266"/>
      <c r="P363" s="266"/>
      <c r="Q363" s="266"/>
      <c r="R363" s="266"/>
      <c r="S363" s="266"/>
      <c r="T363" s="266"/>
      <c r="U363" s="266"/>
      <c r="V363" s="266"/>
      <c r="W363" s="266"/>
      <c r="X363" s="266"/>
      <c r="Y363" s="266"/>
      <c r="Z363" s="266"/>
      <c r="AA363" s="266"/>
      <c r="AB363" s="266"/>
      <c r="AC363" s="266"/>
      <c r="AD363" s="266"/>
      <c r="AE363" s="266"/>
      <c r="AF363" s="266"/>
      <c r="AG363" s="266"/>
      <c r="AH363" s="266"/>
      <c r="AI363" s="266"/>
      <c r="AJ363" s="266"/>
      <c r="AK363" s="266"/>
      <c r="AL363" s="266"/>
      <c r="AM363" s="266"/>
      <c r="AN363" s="266"/>
    </row>
    <row r="364" spans="3:40" outlineLevel="2">
      <c r="C364" s="301" t="str">
        <f t="shared" ref="C364" si="359">C359</f>
        <v>DSCR</v>
      </c>
      <c r="D364" s="49"/>
      <c r="E364" s="41" t="str">
        <f>E359</f>
        <v>Ratio</v>
      </c>
      <c r="F364" s="319"/>
      <c r="G364" s="352" t="str">
        <f t="shared" ref="G364:AN364" si="360">IF(G361=1,G359,"n/a")</f>
        <v>n/a</v>
      </c>
      <c r="H364" s="352" t="str">
        <f t="shared" si="360"/>
        <v>n/a</v>
      </c>
      <c r="I364" s="352">
        <f t="shared" ca="1" si="360"/>
        <v>4.3306589351167197</v>
      </c>
      <c r="J364" s="352">
        <f t="shared" ca="1" si="360"/>
        <v>3.7067192654803289</v>
      </c>
      <c r="K364" s="352">
        <f t="shared" ca="1" si="360"/>
        <v>4.2652498129207146</v>
      </c>
      <c r="L364" s="352">
        <f t="shared" ca="1" si="360"/>
        <v>7.5237277927431236</v>
      </c>
      <c r="M364" s="352">
        <f t="shared" ca="1" si="360"/>
        <v>2.8964386863045593</v>
      </c>
      <c r="N364" s="352">
        <f t="shared" ca="1" si="360"/>
        <v>5.3360416434079729</v>
      </c>
      <c r="O364" s="352">
        <f t="shared" ca="1" si="360"/>
        <v>3.0387197094447949</v>
      </c>
      <c r="P364" s="352">
        <f t="shared" ca="1" si="360"/>
        <v>3.3940456655859657</v>
      </c>
      <c r="Q364" s="352">
        <f t="shared" ca="1" si="360"/>
        <v>3.6861668485879289</v>
      </c>
      <c r="R364" s="352">
        <f t="shared" ca="1" si="360"/>
        <v>3.6897109926155691</v>
      </c>
      <c r="S364" s="352">
        <f t="shared" ca="1" si="360"/>
        <v>3.7483445047790362</v>
      </c>
      <c r="T364" s="352">
        <f t="shared" ca="1" si="360"/>
        <v>3.8278993375858694</v>
      </c>
      <c r="U364" s="352">
        <f t="shared" ca="1" si="360"/>
        <v>3.8651226165618966</v>
      </c>
      <c r="V364" s="352">
        <f t="shared" ca="1" si="360"/>
        <v>3.1089245517937285</v>
      </c>
      <c r="W364" s="352">
        <f t="shared" ca="1" si="360"/>
        <v>39.425312578470624</v>
      </c>
      <c r="X364" s="352">
        <f t="shared" ca="1" si="360"/>
        <v>36.112477214986271</v>
      </c>
      <c r="Y364" s="352">
        <f t="shared" ca="1" si="360"/>
        <v>30.797656036955022</v>
      </c>
      <c r="Z364" s="352">
        <f t="shared" ca="1" si="360"/>
        <v>29.944237393811427</v>
      </c>
      <c r="AA364" s="352">
        <f t="shared" ca="1" si="360"/>
        <v>25.707401265920147</v>
      </c>
      <c r="AB364" s="352">
        <f t="shared" ca="1" si="360"/>
        <v>14.666670052700995</v>
      </c>
      <c r="AC364" s="352">
        <f t="shared" ca="1" si="360"/>
        <v>9.1169842629302256</v>
      </c>
      <c r="AD364" s="352">
        <f t="shared" ca="1" si="360"/>
        <v>8.9779637913909607</v>
      </c>
      <c r="AE364" s="352">
        <f t="shared" ca="1" si="360"/>
        <v>8.8012904498854549</v>
      </c>
      <c r="AF364" s="352">
        <f t="shared" ca="1" si="360"/>
        <v>8.3699187669470412</v>
      </c>
      <c r="AG364" s="352">
        <f t="shared" ca="1" si="360"/>
        <v>6.8198875767660327</v>
      </c>
      <c r="AH364" s="352">
        <f t="shared" ca="1" si="360"/>
        <v>6.5650248587115669</v>
      </c>
      <c r="AI364" s="352">
        <f t="shared" ca="1" si="360"/>
        <v>4.648214789391969</v>
      </c>
      <c r="AJ364" s="352">
        <f t="shared" ca="1" si="360"/>
        <v>3.0407874473728396</v>
      </c>
      <c r="AK364" s="352" t="str">
        <f t="shared" si="360"/>
        <v>n/a</v>
      </c>
      <c r="AL364" s="352" t="str">
        <f t="shared" si="360"/>
        <v>n/a</v>
      </c>
      <c r="AM364" s="352" t="str">
        <f t="shared" si="360"/>
        <v>n/a</v>
      </c>
      <c r="AN364" s="352" t="str">
        <f t="shared" si="360"/>
        <v>n/a</v>
      </c>
    </row>
    <row r="365" spans="3:40" outlineLevel="2">
      <c r="C365" s="301" t="s">
        <v>652</v>
      </c>
      <c r="D365" s="85">
        <f ca="1">MIN(G364:AN364)</f>
        <v>2.8964386863045593</v>
      </c>
      <c r="E365" s="32" t="s">
        <v>650</v>
      </c>
      <c r="F365" s="266"/>
      <c r="G365" s="266"/>
      <c r="H365" s="266"/>
      <c r="I365" s="266"/>
      <c r="J365" s="266"/>
      <c r="K365" s="266"/>
      <c r="L365" s="266"/>
      <c r="M365" s="266"/>
      <c r="N365" s="266"/>
      <c r="O365" s="266"/>
      <c r="P365" s="266"/>
      <c r="Q365" s="266"/>
      <c r="R365" s="266"/>
      <c r="S365" s="266"/>
      <c r="T365" s="266"/>
      <c r="U365" s="266"/>
      <c r="V365" s="266"/>
      <c r="W365" s="266"/>
      <c r="X365" s="266"/>
      <c r="Y365" s="266"/>
      <c r="Z365" s="266"/>
      <c r="AA365" s="266"/>
      <c r="AB365" s="266"/>
      <c r="AC365" s="266"/>
      <c r="AD365" s="266"/>
      <c r="AE365" s="266"/>
      <c r="AF365" s="266"/>
      <c r="AG365" s="266"/>
      <c r="AH365" s="266"/>
      <c r="AI365" s="266"/>
      <c r="AJ365" s="266"/>
      <c r="AK365" s="266"/>
      <c r="AL365" s="266"/>
      <c r="AM365" s="266"/>
      <c r="AN365" s="266"/>
    </row>
    <row r="366" spans="3:40" outlineLevel="2">
      <c r="C366" s="301" t="s">
        <v>653</v>
      </c>
      <c r="D366" s="85">
        <f ca="1">AVERAGE(G364:S364)</f>
        <v>4.1468930779078823</v>
      </c>
      <c r="E366" s="32" t="str">
        <f t="shared" ref="E366" si="361">E364</f>
        <v>Ratio</v>
      </c>
      <c r="F366" s="266"/>
      <c r="G366" s="266"/>
      <c r="H366" s="266"/>
      <c r="I366" s="266"/>
      <c r="J366" s="266"/>
      <c r="K366" s="266"/>
      <c r="L366" s="266"/>
      <c r="M366" s="266"/>
      <c r="N366" s="266"/>
      <c r="O366" s="266"/>
      <c r="P366" s="266"/>
      <c r="Q366" s="266"/>
      <c r="R366" s="266"/>
      <c r="S366" s="266"/>
      <c r="T366" s="266"/>
      <c r="U366" s="266"/>
      <c r="V366" s="266"/>
      <c r="W366" s="266"/>
      <c r="X366" s="266"/>
      <c r="Y366" s="266"/>
      <c r="Z366" s="266"/>
      <c r="AA366" s="266"/>
      <c r="AB366" s="266"/>
      <c r="AC366" s="266"/>
      <c r="AD366" s="266"/>
      <c r="AE366" s="266"/>
      <c r="AF366" s="266"/>
      <c r="AG366" s="266"/>
      <c r="AH366" s="266"/>
      <c r="AI366" s="266"/>
      <c r="AJ366" s="266"/>
      <c r="AK366" s="266"/>
      <c r="AL366" s="266"/>
      <c r="AM366" s="266"/>
      <c r="AN366" s="266"/>
    </row>
    <row r="367" spans="3:40" outlineLevel="1">
      <c r="C367" s="266"/>
      <c r="F367" s="266"/>
      <c r="G367" s="266"/>
      <c r="H367" s="266"/>
      <c r="I367" s="266"/>
      <c r="J367" s="266"/>
      <c r="K367" s="266"/>
      <c r="L367" s="266"/>
      <c r="M367" s="266"/>
      <c r="N367" s="266"/>
      <c r="O367" s="266"/>
      <c r="P367" s="266"/>
      <c r="Q367" s="266"/>
      <c r="R367" s="266"/>
      <c r="S367" s="266"/>
      <c r="T367" s="266"/>
      <c r="U367" s="266"/>
      <c r="V367" s="266"/>
      <c r="W367" s="266"/>
      <c r="X367" s="266"/>
      <c r="Y367" s="266"/>
      <c r="Z367" s="266"/>
      <c r="AA367" s="266"/>
      <c r="AB367" s="266"/>
      <c r="AC367" s="266"/>
      <c r="AD367" s="266"/>
      <c r="AE367" s="266"/>
      <c r="AF367" s="266"/>
      <c r="AG367" s="266"/>
      <c r="AH367" s="266"/>
      <c r="AI367" s="266"/>
      <c r="AJ367" s="266"/>
      <c r="AK367" s="266"/>
      <c r="AL367" s="266"/>
      <c r="AM367" s="266"/>
      <c r="AN367" s="266"/>
    </row>
    <row r="368" spans="3:40" outlineLevel="1">
      <c r="C368" t="s">
        <v>654</v>
      </c>
      <c r="F368" s="266"/>
      <c r="G368" s="266"/>
      <c r="H368" s="266"/>
      <c r="I368" s="266"/>
      <c r="J368" s="266"/>
      <c r="K368" s="266"/>
      <c r="L368" s="266"/>
      <c r="M368" s="266"/>
      <c r="N368" s="266"/>
      <c r="O368" s="266"/>
      <c r="P368" s="266"/>
      <c r="Q368" s="266"/>
      <c r="R368" s="266"/>
      <c r="S368" s="266"/>
      <c r="T368" s="266"/>
      <c r="U368" s="266"/>
      <c r="V368" s="266"/>
      <c r="W368" s="266"/>
      <c r="X368" s="266"/>
      <c r="Y368" s="266"/>
      <c r="Z368" s="266"/>
      <c r="AA368" s="266"/>
      <c r="AB368" s="266"/>
      <c r="AC368" s="266"/>
      <c r="AD368" s="266"/>
      <c r="AE368" s="266"/>
      <c r="AF368" s="266"/>
      <c r="AG368" s="266"/>
      <c r="AH368" s="266"/>
      <c r="AI368" s="266"/>
      <c r="AJ368" s="266"/>
      <c r="AK368" s="266"/>
      <c r="AL368" s="266"/>
      <c r="AM368" s="266"/>
      <c r="AN368" s="266"/>
    </row>
    <row r="369" spans="3:40" outlineLevel="2">
      <c r="C369" s="301" t="str">
        <f t="shared" ref="C369:AH369" si="362">C358</f>
        <v>Serviço da Dívida</v>
      </c>
      <c r="D369" s="49">
        <f t="shared" si="362"/>
        <v>0</v>
      </c>
      <c r="E369" s="41" t="str">
        <f t="shared" si="362"/>
        <v>$ 000s</v>
      </c>
      <c r="F369" s="50">
        <f t="shared" ca="1" si="362"/>
        <v>60048.914178644933</v>
      </c>
      <c r="G369" s="319">
        <f t="shared" ca="1" si="362"/>
        <v>592.62671164927997</v>
      </c>
      <c r="H369" s="319">
        <f t="shared" ca="1" si="362"/>
        <v>673.61068116215745</v>
      </c>
      <c r="I369" s="319">
        <f t="shared" ca="1" si="362"/>
        <v>1269.1786389350113</v>
      </c>
      <c r="J369" s="319">
        <f t="shared" ca="1" si="362"/>
        <v>1251.3431368924216</v>
      </c>
      <c r="K369" s="319">
        <f t="shared" ca="1" si="362"/>
        <v>1268.4693383455506</v>
      </c>
      <c r="L369" s="319">
        <f t="shared" ca="1" si="362"/>
        <v>2444.4711239768367</v>
      </c>
      <c r="M369" s="319">
        <f t="shared" ca="1" si="362"/>
        <v>2348.1680835036595</v>
      </c>
      <c r="N369" s="319">
        <f t="shared" ca="1" si="362"/>
        <v>3130.5284361187187</v>
      </c>
      <c r="O369" s="319">
        <f t="shared" ca="1" si="362"/>
        <v>2962.5841843518401</v>
      </c>
      <c r="P369" s="319">
        <f t="shared" ca="1" si="362"/>
        <v>2896.172128697327</v>
      </c>
      <c r="Q369" s="319">
        <f t="shared" ca="1" si="362"/>
        <v>2917.1766095954426</v>
      </c>
      <c r="R369" s="319">
        <f t="shared" ca="1" si="362"/>
        <v>2894.3392812237471</v>
      </c>
      <c r="S369" s="319">
        <f t="shared" ca="1" si="362"/>
        <v>2832.5626636592424</v>
      </c>
      <c r="T369" s="319">
        <f t="shared" ca="1" si="362"/>
        <v>2655.8224599953974</v>
      </c>
      <c r="U369" s="319">
        <f t="shared" ca="1" si="362"/>
        <v>4931.2341505834765</v>
      </c>
      <c r="V369" s="319">
        <f t="shared" ca="1" si="362"/>
        <v>4486.6146779898845</v>
      </c>
      <c r="W369" s="319">
        <f t="shared" ca="1" si="362"/>
        <v>311.29175991427832</v>
      </c>
      <c r="X369" s="319">
        <f t="shared" ca="1" si="362"/>
        <v>330.67635216955784</v>
      </c>
      <c r="Y369" s="319">
        <f t="shared" ca="1" si="362"/>
        <v>395.55401849491511</v>
      </c>
      <c r="Z369" s="319">
        <f t="shared" ca="1" si="362"/>
        <v>381.75442765075883</v>
      </c>
      <c r="AA369" s="319">
        <f t="shared" ca="1" si="362"/>
        <v>496.20685655694922</v>
      </c>
      <c r="AB369" s="319">
        <f t="shared" ca="1" si="362"/>
        <v>1422.3071524145764</v>
      </c>
      <c r="AC369" s="319">
        <f t="shared" ca="1" si="362"/>
        <v>1430.0857221775054</v>
      </c>
      <c r="AD369" s="319">
        <f t="shared" ca="1" si="362"/>
        <v>1442.1459429496072</v>
      </c>
      <c r="AE369" s="319">
        <f t="shared" ca="1" si="362"/>
        <v>1407.5671576046757</v>
      </c>
      <c r="AF369" s="319">
        <f t="shared" ca="1" si="362"/>
        <v>1828.8138392216688</v>
      </c>
      <c r="AG369" s="319">
        <f t="shared" ca="1" si="362"/>
        <v>1710.5079459331</v>
      </c>
      <c r="AH369" s="319">
        <f t="shared" ca="1" si="362"/>
        <v>2022.6006131622239</v>
      </c>
      <c r="AI369" s="319">
        <f t="shared" ref="AI369:AN369" ca="1" si="363">AI358</f>
        <v>3811.4845008432726</v>
      </c>
      <c r="AJ369" s="319">
        <f t="shared" ca="1" si="363"/>
        <v>3503.0155828718307</v>
      </c>
      <c r="AK369" s="319">
        <f t="shared" ca="1" si="363"/>
        <v>0</v>
      </c>
      <c r="AL369" s="319">
        <f t="shared" ca="1" si="363"/>
        <v>0</v>
      </c>
      <c r="AM369" s="319">
        <f t="shared" ca="1" si="363"/>
        <v>0</v>
      </c>
      <c r="AN369" s="319">
        <f t="shared" si="363"/>
        <v>0</v>
      </c>
    </row>
    <row r="370" spans="3:40" outlineLevel="2">
      <c r="C370" s="301" t="s">
        <v>651</v>
      </c>
      <c r="E370" s="32" t="s">
        <v>399</v>
      </c>
      <c r="F370" s="23">
        <f ca="1">SUM(G370:AN370)</f>
        <v>30</v>
      </c>
      <c r="G370" s="25">
        <f t="shared" ref="G370:AL370" ca="1" si="364">IF(G369&lt;&gt;0,1,0)</f>
        <v>1</v>
      </c>
      <c r="H370" s="25">
        <f t="shared" ca="1" si="364"/>
        <v>1</v>
      </c>
      <c r="I370" s="25">
        <f t="shared" ca="1" si="364"/>
        <v>1</v>
      </c>
      <c r="J370" s="25">
        <f t="shared" ca="1" si="364"/>
        <v>1</v>
      </c>
      <c r="K370" s="25">
        <f t="shared" ca="1" si="364"/>
        <v>1</v>
      </c>
      <c r="L370" s="25">
        <f t="shared" ca="1" si="364"/>
        <v>1</v>
      </c>
      <c r="M370" s="25">
        <f t="shared" ca="1" si="364"/>
        <v>1</v>
      </c>
      <c r="N370" s="25">
        <f t="shared" ca="1" si="364"/>
        <v>1</v>
      </c>
      <c r="O370" s="25">
        <f t="shared" ca="1" si="364"/>
        <v>1</v>
      </c>
      <c r="P370" s="25">
        <f t="shared" ca="1" si="364"/>
        <v>1</v>
      </c>
      <c r="Q370" s="25">
        <f t="shared" ca="1" si="364"/>
        <v>1</v>
      </c>
      <c r="R370" s="25">
        <f t="shared" ca="1" si="364"/>
        <v>1</v>
      </c>
      <c r="S370" s="25">
        <f t="shared" ca="1" si="364"/>
        <v>1</v>
      </c>
      <c r="T370" s="25">
        <f t="shared" ca="1" si="364"/>
        <v>1</v>
      </c>
      <c r="U370" s="25">
        <f t="shared" ca="1" si="364"/>
        <v>1</v>
      </c>
      <c r="V370" s="25">
        <f t="shared" ca="1" si="364"/>
        <v>1</v>
      </c>
      <c r="W370" s="25">
        <f t="shared" ca="1" si="364"/>
        <v>1</v>
      </c>
      <c r="X370" s="25">
        <f t="shared" ca="1" si="364"/>
        <v>1</v>
      </c>
      <c r="Y370" s="25">
        <f t="shared" ca="1" si="364"/>
        <v>1</v>
      </c>
      <c r="Z370" s="25">
        <f t="shared" ca="1" si="364"/>
        <v>1</v>
      </c>
      <c r="AA370" s="25">
        <f t="shared" ca="1" si="364"/>
        <v>1</v>
      </c>
      <c r="AB370" s="25">
        <f t="shared" ca="1" si="364"/>
        <v>1</v>
      </c>
      <c r="AC370" s="25">
        <f t="shared" ca="1" si="364"/>
        <v>1</v>
      </c>
      <c r="AD370" s="25">
        <f t="shared" ca="1" si="364"/>
        <v>1</v>
      </c>
      <c r="AE370" s="25">
        <f t="shared" ca="1" si="364"/>
        <v>1</v>
      </c>
      <c r="AF370" s="25">
        <f t="shared" ca="1" si="364"/>
        <v>1</v>
      </c>
      <c r="AG370" s="25">
        <f t="shared" ca="1" si="364"/>
        <v>1</v>
      </c>
      <c r="AH370" s="25">
        <f t="shared" ca="1" si="364"/>
        <v>1</v>
      </c>
      <c r="AI370" s="25">
        <f t="shared" ca="1" si="364"/>
        <v>1</v>
      </c>
      <c r="AJ370" s="25">
        <f t="shared" ca="1" si="364"/>
        <v>1</v>
      </c>
      <c r="AK370" s="25">
        <f t="shared" ca="1" si="364"/>
        <v>0</v>
      </c>
      <c r="AL370" s="25">
        <f t="shared" ca="1" si="364"/>
        <v>0</v>
      </c>
      <c r="AM370" s="25">
        <f t="shared" ref="AM370:AN370" ca="1" si="365">IF(AM369&lt;&gt;0,1,0)</f>
        <v>0</v>
      </c>
      <c r="AN370" s="25">
        <f t="shared" si="365"/>
        <v>0</v>
      </c>
    </row>
    <row r="371" spans="3:40" outlineLevel="1">
      <c r="C371" s="266"/>
      <c r="F371" s="266"/>
      <c r="G371" s="266"/>
      <c r="H371" s="266"/>
      <c r="I371" s="266"/>
      <c r="J371" s="266"/>
      <c r="K371" s="266"/>
      <c r="L371" s="266"/>
      <c r="M371" s="266"/>
      <c r="N371" s="266"/>
      <c r="O371" s="266"/>
      <c r="P371" s="266"/>
      <c r="Q371" s="266"/>
      <c r="R371" s="266"/>
      <c r="S371" s="266"/>
      <c r="T371" s="266"/>
      <c r="U371" s="266"/>
      <c r="V371" s="266"/>
      <c r="W371" s="266"/>
      <c r="X371" s="266"/>
      <c r="Y371" s="266"/>
      <c r="Z371" s="266"/>
      <c r="AA371" s="266"/>
      <c r="AB371" s="266"/>
      <c r="AC371" s="266"/>
      <c r="AD371" s="266"/>
      <c r="AE371" s="266"/>
      <c r="AF371" s="266"/>
      <c r="AG371" s="266"/>
      <c r="AH371" s="266"/>
      <c r="AI371" s="266"/>
      <c r="AJ371" s="266"/>
      <c r="AK371" s="266"/>
      <c r="AL371" s="266"/>
      <c r="AM371" s="266"/>
      <c r="AN371" s="266"/>
    </row>
    <row r="372" spans="3:40" outlineLevel="1">
      <c r="C372" t="s">
        <v>655</v>
      </c>
      <c r="F372" s="266"/>
      <c r="G372" s="266"/>
      <c r="H372" s="266"/>
      <c r="I372" s="266"/>
      <c r="J372" s="266"/>
      <c r="K372" s="266"/>
      <c r="L372" s="266"/>
      <c r="M372" s="266"/>
      <c r="N372" s="266"/>
      <c r="O372" s="266"/>
      <c r="P372" s="266"/>
      <c r="Q372" s="266"/>
      <c r="R372" s="266"/>
      <c r="S372" s="266"/>
      <c r="T372" s="266"/>
      <c r="U372" s="266"/>
      <c r="V372" s="266"/>
      <c r="W372" s="266"/>
      <c r="X372" s="266"/>
      <c r="Y372" s="266"/>
      <c r="Z372" s="266"/>
      <c r="AA372" s="266"/>
      <c r="AB372" s="266"/>
      <c r="AC372" s="266"/>
      <c r="AD372" s="266"/>
      <c r="AE372" s="266"/>
      <c r="AF372" s="266"/>
      <c r="AG372" s="266"/>
      <c r="AH372" s="266"/>
      <c r="AI372" s="266"/>
      <c r="AJ372" s="266"/>
      <c r="AK372" s="266"/>
      <c r="AL372" s="266"/>
      <c r="AM372" s="266"/>
      <c r="AN372" s="266"/>
    </row>
    <row r="373" spans="3:40" outlineLevel="2">
      <c r="C373" s="301" t="s">
        <v>656</v>
      </c>
      <c r="D373" s="86">
        <v>0.5</v>
      </c>
      <c r="E373" s="32" t="s">
        <v>650</v>
      </c>
      <c r="F373" s="266"/>
      <c r="G373" s="266"/>
      <c r="H373" s="266"/>
      <c r="I373" s="266"/>
      <c r="J373" s="266"/>
      <c r="K373" s="266"/>
      <c r="L373" s="266"/>
      <c r="M373" s="266"/>
      <c r="N373" s="266"/>
      <c r="O373" s="266"/>
      <c r="P373" s="266"/>
      <c r="Q373" s="266"/>
      <c r="R373" s="266"/>
      <c r="S373" s="266"/>
      <c r="T373" s="266"/>
      <c r="U373" s="266"/>
      <c r="V373" s="266"/>
      <c r="W373" s="266"/>
      <c r="X373" s="266"/>
      <c r="Y373" s="266"/>
      <c r="Z373" s="266"/>
      <c r="AA373" s="266"/>
      <c r="AB373" s="266"/>
      <c r="AC373" s="266"/>
      <c r="AD373" s="266"/>
      <c r="AE373" s="266"/>
      <c r="AF373" s="266"/>
      <c r="AG373" s="266"/>
      <c r="AH373" s="266"/>
      <c r="AI373" s="266"/>
      <c r="AJ373" s="266"/>
      <c r="AK373" s="266"/>
      <c r="AL373" s="266"/>
      <c r="AM373" s="266"/>
      <c r="AN373" s="266"/>
    </row>
    <row r="374" spans="3:40" outlineLevel="2">
      <c r="C374" s="301" t="str">
        <f t="shared" ref="C374:AH376" si="366">C370</f>
        <v xml:space="preserve">Debt service flag </v>
      </c>
      <c r="E374" s="32" t="str">
        <f t="shared" si="366"/>
        <v>Flag</v>
      </c>
      <c r="F374" s="23">
        <f t="shared" ca="1" si="366"/>
        <v>30</v>
      </c>
      <c r="G374" s="25">
        <f t="shared" ca="1" si="366"/>
        <v>1</v>
      </c>
      <c r="H374" s="25">
        <f t="shared" ca="1" si="366"/>
        <v>1</v>
      </c>
      <c r="I374" s="25">
        <f t="shared" ca="1" si="366"/>
        <v>1</v>
      </c>
      <c r="J374" s="25">
        <f t="shared" ca="1" si="366"/>
        <v>1</v>
      </c>
      <c r="K374" s="25">
        <f t="shared" ca="1" si="366"/>
        <v>1</v>
      </c>
      <c r="L374" s="25">
        <f t="shared" ca="1" si="366"/>
        <v>1</v>
      </c>
      <c r="M374" s="25">
        <f t="shared" ca="1" si="366"/>
        <v>1</v>
      </c>
      <c r="N374" s="25">
        <f t="shared" ca="1" si="366"/>
        <v>1</v>
      </c>
      <c r="O374" s="25">
        <f t="shared" ca="1" si="366"/>
        <v>1</v>
      </c>
      <c r="P374" s="25">
        <f t="shared" ca="1" si="366"/>
        <v>1</v>
      </c>
      <c r="Q374" s="25">
        <f t="shared" ca="1" si="366"/>
        <v>1</v>
      </c>
      <c r="R374" s="25">
        <f t="shared" ca="1" si="366"/>
        <v>1</v>
      </c>
      <c r="S374" s="25">
        <f t="shared" ca="1" si="366"/>
        <v>1</v>
      </c>
      <c r="T374" s="25">
        <f t="shared" ca="1" si="366"/>
        <v>1</v>
      </c>
      <c r="U374" s="25">
        <f t="shared" ca="1" si="366"/>
        <v>1</v>
      </c>
      <c r="V374" s="25">
        <f t="shared" ca="1" si="366"/>
        <v>1</v>
      </c>
      <c r="W374" s="25">
        <f t="shared" ca="1" si="366"/>
        <v>1</v>
      </c>
      <c r="X374" s="25">
        <f t="shared" ca="1" si="366"/>
        <v>1</v>
      </c>
      <c r="Y374" s="25">
        <f t="shared" ca="1" si="366"/>
        <v>1</v>
      </c>
      <c r="Z374" s="25">
        <f t="shared" ca="1" si="366"/>
        <v>1</v>
      </c>
      <c r="AA374" s="25">
        <f t="shared" ca="1" si="366"/>
        <v>1</v>
      </c>
      <c r="AB374" s="25">
        <f t="shared" ca="1" si="366"/>
        <v>1</v>
      </c>
      <c r="AC374" s="25">
        <f t="shared" ca="1" si="366"/>
        <v>1</v>
      </c>
      <c r="AD374" s="25">
        <f t="shared" ca="1" si="366"/>
        <v>1</v>
      </c>
      <c r="AE374" s="25">
        <f t="shared" ca="1" si="366"/>
        <v>1</v>
      </c>
      <c r="AF374" s="25">
        <f t="shared" ca="1" si="366"/>
        <v>1</v>
      </c>
      <c r="AG374" s="25">
        <f t="shared" ca="1" si="366"/>
        <v>1</v>
      </c>
      <c r="AH374" s="25">
        <f t="shared" ca="1" si="366"/>
        <v>1</v>
      </c>
      <c r="AI374" s="25">
        <f t="shared" ref="AI374:AN374" ca="1" si="367">AI370</f>
        <v>1</v>
      </c>
      <c r="AJ374" s="25">
        <f t="shared" ca="1" si="367"/>
        <v>1</v>
      </c>
      <c r="AK374" s="25">
        <f t="shared" ca="1" si="367"/>
        <v>0</v>
      </c>
      <c r="AL374" s="25">
        <f t="shared" ca="1" si="367"/>
        <v>0</v>
      </c>
      <c r="AM374" s="25">
        <f t="shared" ca="1" si="367"/>
        <v>0</v>
      </c>
      <c r="AN374" s="25">
        <f t="shared" si="367"/>
        <v>0</v>
      </c>
    </row>
    <row r="375" spans="3:40" outlineLevel="2">
      <c r="C375" s="301" t="str">
        <f t="shared" ref="C375:F375" si="368">C359</f>
        <v>DSCR</v>
      </c>
      <c r="D375" s="49">
        <f t="shared" si="368"/>
        <v>0</v>
      </c>
      <c r="E375" s="41" t="str">
        <f t="shared" si="368"/>
        <v>Ratio</v>
      </c>
      <c r="F375" s="319">
        <f t="shared" si="368"/>
        <v>0</v>
      </c>
      <c r="G375" s="352" t="str">
        <f t="shared" ref="G375:AL375" si="369">G364</f>
        <v>n/a</v>
      </c>
      <c r="H375" s="352" t="str">
        <f t="shared" si="369"/>
        <v>n/a</v>
      </c>
      <c r="I375" s="352">
        <f t="shared" ca="1" si="369"/>
        <v>4.3306589351167197</v>
      </c>
      <c r="J375" s="352">
        <f t="shared" ca="1" si="369"/>
        <v>3.7067192654803289</v>
      </c>
      <c r="K375" s="352">
        <f t="shared" ca="1" si="369"/>
        <v>4.2652498129207146</v>
      </c>
      <c r="L375" s="352">
        <f t="shared" ca="1" si="369"/>
        <v>7.5237277927431236</v>
      </c>
      <c r="M375" s="352">
        <f t="shared" ca="1" si="369"/>
        <v>2.8964386863045593</v>
      </c>
      <c r="N375" s="352">
        <f t="shared" ca="1" si="369"/>
        <v>5.3360416434079729</v>
      </c>
      <c r="O375" s="352">
        <f t="shared" ca="1" si="369"/>
        <v>3.0387197094447949</v>
      </c>
      <c r="P375" s="352">
        <f t="shared" ca="1" si="369"/>
        <v>3.3940456655859657</v>
      </c>
      <c r="Q375" s="352">
        <f t="shared" ca="1" si="369"/>
        <v>3.6861668485879289</v>
      </c>
      <c r="R375" s="352">
        <f t="shared" ca="1" si="369"/>
        <v>3.6897109926155691</v>
      </c>
      <c r="S375" s="352">
        <f t="shared" ca="1" si="369"/>
        <v>3.7483445047790362</v>
      </c>
      <c r="T375" s="352">
        <f t="shared" ca="1" si="369"/>
        <v>3.8278993375858694</v>
      </c>
      <c r="U375" s="352">
        <f t="shared" ca="1" si="369"/>
        <v>3.8651226165618966</v>
      </c>
      <c r="V375" s="352">
        <f t="shared" ca="1" si="369"/>
        <v>3.1089245517937285</v>
      </c>
      <c r="W375" s="352">
        <f t="shared" ca="1" si="369"/>
        <v>39.425312578470624</v>
      </c>
      <c r="X375" s="352">
        <f t="shared" ca="1" si="369"/>
        <v>36.112477214986271</v>
      </c>
      <c r="Y375" s="352">
        <f t="shared" ca="1" si="369"/>
        <v>30.797656036955022</v>
      </c>
      <c r="Z375" s="352">
        <f t="shared" ca="1" si="369"/>
        <v>29.944237393811427</v>
      </c>
      <c r="AA375" s="352">
        <f t="shared" ca="1" si="369"/>
        <v>25.707401265920147</v>
      </c>
      <c r="AB375" s="352">
        <f t="shared" ca="1" si="369"/>
        <v>14.666670052700995</v>
      </c>
      <c r="AC375" s="352">
        <f t="shared" ca="1" si="369"/>
        <v>9.1169842629302256</v>
      </c>
      <c r="AD375" s="352">
        <f t="shared" ca="1" si="369"/>
        <v>8.9779637913909607</v>
      </c>
      <c r="AE375" s="352">
        <f t="shared" ca="1" si="369"/>
        <v>8.8012904498854549</v>
      </c>
      <c r="AF375" s="352">
        <f t="shared" ca="1" si="369"/>
        <v>8.3699187669470412</v>
      </c>
      <c r="AG375" s="352">
        <f t="shared" ca="1" si="369"/>
        <v>6.8198875767660327</v>
      </c>
      <c r="AH375" s="352">
        <f t="shared" ca="1" si="369"/>
        <v>6.5650248587115669</v>
      </c>
      <c r="AI375" s="352">
        <f t="shared" ca="1" si="369"/>
        <v>4.648214789391969</v>
      </c>
      <c r="AJ375" s="352">
        <f t="shared" ca="1" si="369"/>
        <v>3.0407874473728396</v>
      </c>
      <c r="AK375" s="352" t="str">
        <f t="shared" si="369"/>
        <v>n/a</v>
      </c>
      <c r="AL375" s="352" t="str">
        <f t="shared" si="369"/>
        <v>n/a</v>
      </c>
      <c r="AM375" s="352" t="str">
        <f t="shared" ref="AM375:AN375" si="370">AM364</f>
        <v>n/a</v>
      </c>
      <c r="AN375" s="352" t="str">
        <f t="shared" si="370"/>
        <v>n/a</v>
      </c>
    </row>
    <row r="376" spans="3:40" outlineLevel="2">
      <c r="C376" s="301" t="str">
        <f t="shared" si="366"/>
        <v>DSCR lock-up flag</v>
      </c>
      <c r="E376" s="32" t="str">
        <f>$E$374</f>
        <v>Flag</v>
      </c>
      <c r="F376" s="23">
        <f ca="1">SUM(G376:AN376)</f>
        <v>0</v>
      </c>
      <c r="G376" s="25">
        <f t="shared" ref="G376:AL376" ca="1" si="371">IF(G375&lt;$D$373,1,0)*G374</f>
        <v>0</v>
      </c>
      <c r="H376" s="25">
        <f t="shared" ca="1" si="371"/>
        <v>0</v>
      </c>
      <c r="I376" s="25">
        <f t="shared" ca="1" si="371"/>
        <v>0</v>
      </c>
      <c r="J376" s="25">
        <f t="shared" ca="1" si="371"/>
        <v>0</v>
      </c>
      <c r="K376" s="25">
        <f t="shared" ca="1" si="371"/>
        <v>0</v>
      </c>
      <c r="L376" s="25">
        <f t="shared" ca="1" si="371"/>
        <v>0</v>
      </c>
      <c r="M376" s="25">
        <f t="shared" ca="1" si="371"/>
        <v>0</v>
      </c>
      <c r="N376" s="25">
        <f t="shared" ca="1" si="371"/>
        <v>0</v>
      </c>
      <c r="O376" s="25">
        <f t="shared" ca="1" si="371"/>
        <v>0</v>
      </c>
      <c r="P376" s="25">
        <f t="shared" ca="1" si="371"/>
        <v>0</v>
      </c>
      <c r="Q376" s="25">
        <f t="shared" ca="1" si="371"/>
        <v>0</v>
      </c>
      <c r="R376" s="25">
        <f t="shared" ca="1" si="371"/>
        <v>0</v>
      </c>
      <c r="S376" s="25">
        <f t="shared" ca="1" si="371"/>
        <v>0</v>
      </c>
      <c r="T376" s="25">
        <f t="shared" ca="1" si="371"/>
        <v>0</v>
      </c>
      <c r="U376" s="25">
        <f t="shared" ca="1" si="371"/>
        <v>0</v>
      </c>
      <c r="V376" s="25">
        <f t="shared" ca="1" si="371"/>
        <v>0</v>
      </c>
      <c r="W376" s="25">
        <f t="shared" ca="1" si="371"/>
        <v>0</v>
      </c>
      <c r="X376" s="25">
        <f t="shared" ca="1" si="371"/>
        <v>0</v>
      </c>
      <c r="Y376" s="25">
        <f t="shared" ca="1" si="371"/>
        <v>0</v>
      </c>
      <c r="Z376" s="25">
        <f t="shared" ca="1" si="371"/>
        <v>0</v>
      </c>
      <c r="AA376" s="25">
        <f t="shared" ca="1" si="371"/>
        <v>0</v>
      </c>
      <c r="AB376" s="25">
        <f t="shared" ca="1" si="371"/>
        <v>0</v>
      </c>
      <c r="AC376" s="25">
        <f t="shared" ca="1" si="371"/>
        <v>0</v>
      </c>
      <c r="AD376" s="25">
        <f t="shared" ca="1" si="371"/>
        <v>0</v>
      </c>
      <c r="AE376" s="25">
        <f t="shared" ca="1" si="371"/>
        <v>0</v>
      </c>
      <c r="AF376" s="25">
        <f t="shared" ca="1" si="371"/>
        <v>0</v>
      </c>
      <c r="AG376" s="25">
        <f t="shared" ca="1" si="371"/>
        <v>0</v>
      </c>
      <c r="AH376" s="25">
        <f t="shared" ca="1" si="371"/>
        <v>0</v>
      </c>
      <c r="AI376" s="25">
        <f t="shared" ca="1" si="371"/>
        <v>0</v>
      </c>
      <c r="AJ376" s="25">
        <f t="shared" ca="1" si="371"/>
        <v>0</v>
      </c>
      <c r="AK376" s="25">
        <f t="shared" ca="1" si="371"/>
        <v>0</v>
      </c>
      <c r="AL376" s="25">
        <f t="shared" ca="1" si="371"/>
        <v>0</v>
      </c>
      <c r="AM376" s="25">
        <f ca="1">IF(AM375&lt;$D$373,1,0)*AM374</f>
        <v>0</v>
      </c>
      <c r="AN376" s="25">
        <f>IF(AN375&lt;$D$373,1,0)*AN374</f>
        <v>0</v>
      </c>
    </row>
    <row r="377" spans="3:40" outlineLevel="2">
      <c r="C377" s="301" t="s">
        <v>657</v>
      </c>
      <c r="D377" s="84">
        <f ca="1">IF(F376&gt;0,1,0)</f>
        <v>0</v>
      </c>
      <c r="E377" s="32" t="s">
        <v>116</v>
      </c>
      <c r="F377" s="266"/>
      <c r="G377" s="266"/>
      <c r="H377" s="266"/>
      <c r="I377" s="266"/>
      <c r="J377" s="266"/>
      <c r="K377" s="266"/>
      <c r="L377" s="266"/>
      <c r="M377" s="266"/>
      <c r="N377" s="266"/>
      <c r="O377" s="266"/>
      <c r="P377" s="266"/>
      <c r="Q377" s="266"/>
      <c r="R377" s="266"/>
      <c r="S377" s="266"/>
      <c r="T377" s="266"/>
      <c r="U377" s="266"/>
      <c r="V377" s="266"/>
      <c r="W377" s="266"/>
      <c r="X377" s="266"/>
      <c r="Y377" s="266"/>
      <c r="Z377" s="266"/>
      <c r="AA377" s="266"/>
      <c r="AB377" s="266"/>
      <c r="AC377" s="266"/>
      <c r="AD377" s="266"/>
      <c r="AE377" s="266"/>
      <c r="AF377" s="266"/>
      <c r="AG377" s="266"/>
      <c r="AH377" s="266"/>
      <c r="AI377" s="266"/>
      <c r="AJ377" s="266"/>
      <c r="AK377" s="266"/>
      <c r="AL377" s="266"/>
      <c r="AM377" s="266"/>
      <c r="AN377" s="266"/>
    </row>
    <row r="378" spans="3:40" outlineLevel="1">
      <c r="C378" s="266"/>
      <c r="F378" s="266"/>
      <c r="G378" s="266"/>
      <c r="H378" s="266"/>
      <c r="I378" s="266"/>
      <c r="J378" s="266"/>
      <c r="K378" s="266"/>
      <c r="L378" s="266"/>
      <c r="M378" s="266"/>
      <c r="N378" s="266"/>
      <c r="O378" s="266"/>
      <c r="P378" s="266"/>
      <c r="Q378" s="266"/>
      <c r="R378" s="266"/>
      <c r="S378" s="266"/>
      <c r="T378" s="266"/>
      <c r="U378" s="266"/>
      <c r="V378" s="266"/>
      <c r="W378" s="266"/>
      <c r="X378" s="266"/>
      <c r="Y378" s="266"/>
      <c r="Z378" s="266"/>
      <c r="AA378" s="266"/>
      <c r="AB378" s="266"/>
      <c r="AC378" s="266"/>
      <c r="AD378" s="266"/>
      <c r="AE378" s="266"/>
      <c r="AF378" s="266"/>
      <c r="AG378" s="266"/>
      <c r="AH378" s="266"/>
      <c r="AI378" s="266"/>
      <c r="AJ378" s="266"/>
      <c r="AK378" s="266"/>
      <c r="AL378" s="266"/>
      <c r="AM378" s="266"/>
      <c r="AN378" s="266"/>
    </row>
    <row r="379" spans="3:40" outlineLevel="1">
      <c r="C379" t="s">
        <v>658</v>
      </c>
      <c r="F379" s="266"/>
      <c r="G379" s="266"/>
      <c r="H379" s="266"/>
      <c r="I379" s="266"/>
      <c r="J379" s="266"/>
      <c r="K379" s="266"/>
      <c r="L379" s="266"/>
      <c r="M379" s="266"/>
      <c r="N379" s="266"/>
      <c r="O379" s="266"/>
      <c r="P379" s="266"/>
      <c r="Q379" s="266"/>
      <c r="R379" s="266"/>
      <c r="S379" s="266"/>
      <c r="T379" s="266"/>
      <c r="U379" s="266"/>
      <c r="V379" s="266"/>
      <c r="W379" s="266"/>
      <c r="X379" s="266"/>
      <c r="Y379" s="266"/>
      <c r="Z379" s="266"/>
      <c r="AA379" s="266"/>
      <c r="AB379" s="266"/>
      <c r="AC379" s="266"/>
      <c r="AD379" s="266"/>
      <c r="AE379" s="266"/>
      <c r="AF379" s="266"/>
      <c r="AG379" s="266"/>
      <c r="AH379" s="266"/>
      <c r="AI379" s="266"/>
      <c r="AJ379" s="266"/>
      <c r="AK379" s="266"/>
      <c r="AL379" s="266"/>
      <c r="AM379" s="266"/>
      <c r="AN379" s="266"/>
    </row>
    <row r="380" spans="3:40" outlineLevel="2">
      <c r="C380" s="301" t="s">
        <v>656</v>
      </c>
      <c r="D380" s="86">
        <v>0.2</v>
      </c>
      <c r="E380" s="32" t="s">
        <v>650</v>
      </c>
      <c r="F380" s="266"/>
      <c r="G380" s="266"/>
      <c r="H380" s="266"/>
      <c r="I380" s="266"/>
      <c r="J380" s="266"/>
      <c r="K380" s="266"/>
      <c r="L380" s="266"/>
      <c r="M380" s="266"/>
      <c r="N380" s="266"/>
      <c r="O380" s="266"/>
      <c r="P380" s="266"/>
      <c r="Q380" s="266"/>
      <c r="R380" s="266"/>
      <c r="S380" s="266"/>
      <c r="T380" s="266"/>
      <c r="U380" s="266"/>
      <c r="V380" s="266"/>
      <c r="W380" s="266"/>
      <c r="X380" s="266"/>
      <c r="Y380" s="266"/>
      <c r="Z380" s="266"/>
      <c r="AA380" s="266"/>
      <c r="AB380" s="266"/>
      <c r="AC380" s="266"/>
      <c r="AD380" s="266"/>
      <c r="AE380" s="266"/>
      <c r="AF380" s="266"/>
      <c r="AG380" s="266"/>
      <c r="AH380" s="266"/>
      <c r="AI380" s="266"/>
      <c r="AJ380" s="266"/>
      <c r="AK380" s="266"/>
      <c r="AL380" s="266"/>
      <c r="AM380" s="266"/>
      <c r="AN380" s="266"/>
    </row>
    <row r="381" spans="3:40" outlineLevel="2">
      <c r="C381" s="301" t="str">
        <f t="shared" ref="C381:AH381" si="372">C374</f>
        <v xml:space="preserve">Debt service flag </v>
      </c>
      <c r="E381" s="32" t="str">
        <f t="shared" si="372"/>
        <v>Flag</v>
      </c>
      <c r="F381" s="23">
        <f t="shared" ca="1" si="372"/>
        <v>30</v>
      </c>
      <c r="G381" s="25">
        <f t="shared" ca="1" si="372"/>
        <v>1</v>
      </c>
      <c r="H381" s="25">
        <f t="shared" ca="1" si="372"/>
        <v>1</v>
      </c>
      <c r="I381" s="25">
        <f t="shared" ca="1" si="372"/>
        <v>1</v>
      </c>
      <c r="J381" s="25">
        <f t="shared" ca="1" si="372"/>
        <v>1</v>
      </c>
      <c r="K381" s="25">
        <f t="shared" ca="1" si="372"/>
        <v>1</v>
      </c>
      <c r="L381" s="25">
        <f t="shared" ca="1" si="372"/>
        <v>1</v>
      </c>
      <c r="M381" s="25">
        <f t="shared" ca="1" si="372"/>
        <v>1</v>
      </c>
      <c r="N381" s="25">
        <f t="shared" ca="1" si="372"/>
        <v>1</v>
      </c>
      <c r="O381" s="25">
        <f t="shared" ca="1" si="372"/>
        <v>1</v>
      </c>
      <c r="P381" s="25">
        <f t="shared" ca="1" si="372"/>
        <v>1</v>
      </c>
      <c r="Q381" s="25">
        <f t="shared" ca="1" si="372"/>
        <v>1</v>
      </c>
      <c r="R381" s="25">
        <f t="shared" ca="1" si="372"/>
        <v>1</v>
      </c>
      <c r="S381" s="25">
        <f t="shared" ca="1" si="372"/>
        <v>1</v>
      </c>
      <c r="T381" s="25">
        <f t="shared" ca="1" si="372"/>
        <v>1</v>
      </c>
      <c r="U381" s="25">
        <f t="shared" ca="1" si="372"/>
        <v>1</v>
      </c>
      <c r="V381" s="25">
        <f t="shared" ca="1" si="372"/>
        <v>1</v>
      </c>
      <c r="W381" s="25">
        <f t="shared" ca="1" si="372"/>
        <v>1</v>
      </c>
      <c r="X381" s="25">
        <f t="shared" ca="1" si="372"/>
        <v>1</v>
      </c>
      <c r="Y381" s="25">
        <f t="shared" ca="1" si="372"/>
        <v>1</v>
      </c>
      <c r="Z381" s="25">
        <f t="shared" ca="1" si="372"/>
        <v>1</v>
      </c>
      <c r="AA381" s="25">
        <f t="shared" ca="1" si="372"/>
        <v>1</v>
      </c>
      <c r="AB381" s="25">
        <f t="shared" ca="1" si="372"/>
        <v>1</v>
      </c>
      <c r="AC381" s="25">
        <f t="shared" ca="1" si="372"/>
        <v>1</v>
      </c>
      <c r="AD381" s="25">
        <f t="shared" ca="1" si="372"/>
        <v>1</v>
      </c>
      <c r="AE381" s="25">
        <f t="shared" ca="1" si="372"/>
        <v>1</v>
      </c>
      <c r="AF381" s="25">
        <f t="shared" ca="1" si="372"/>
        <v>1</v>
      </c>
      <c r="AG381" s="25">
        <f t="shared" ca="1" si="372"/>
        <v>1</v>
      </c>
      <c r="AH381" s="25">
        <f t="shared" ca="1" si="372"/>
        <v>1</v>
      </c>
      <c r="AI381" s="25">
        <f t="shared" ref="AI381:AN381" ca="1" si="373">AI374</f>
        <v>1</v>
      </c>
      <c r="AJ381" s="25">
        <f t="shared" ca="1" si="373"/>
        <v>1</v>
      </c>
      <c r="AK381" s="25">
        <f t="shared" ca="1" si="373"/>
        <v>0</v>
      </c>
      <c r="AL381" s="25">
        <f t="shared" ca="1" si="373"/>
        <v>0</v>
      </c>
      <c r="AM381" s="25">
        <f t="shared" ca="1" si="373"/>
        <v>0</v>
      </c>
      <c r="AN381" s="25">
        <f t="shared" si="373"/>
        <v>0</v>
      </c>
    </row>
    <row r="382" spans="3:40" outlineLevel="2">
      <c r="C382" s="301" t="str">
        <f t="shared" ref="C382:AH382" si="374">C375</f>
        <v>DSCR</v>
      </c>
      <c r="D382" s="49">
        <f t="shared" si="374"/>
        <v>0</v>
      </c>
      <c r="E382" s="41" t="str">
        <f t="shared" si="374"/>
        <v>Ratio</v>
      </c>
      <c r="F382" s="319">
        <f t="shared" si="374"/>
        <v>0</v>
      </c>
      <c r="G382" s="319" t="str">
        <f t="shared" si="374"/>
        <v>n/a</v>
      </c>
      <c r="H382" s="319" t="str">
        <f t="shared" si="374"/>
        <v>n/a</v>
      </c>
      <c r="I382" s="319">
        <f t="shared" ca="1" si="374"/>
        <v>4.3306589351167197</v>
      </c>
      <c r="J382" s="319">
        <f t="shared" ca="1" si="374"/>
        <v>3.7067192654803289</v>
      </c>
      <c r="K382" s="319">
        <f t="shared" ca="1" si="374"/>
        <v>4.2652498129207146</v>
      </c>
      <c r="L382" s="319">
        <f t="shared" ca="1" si="374"/>
        <v>7.5237277927431236</v>
      </c>
      <c r="M382" s="319">
        <f t="shared" ca="1" si="374"/>
        <v>2.8964386863045593</v>
      </c>
      <c r="N382" s="319">
        <f t="shared" ca="1" si="374"/>
        <v>5.3360416434079729</v>
      </c>
      <c r="O382" s="319">
        <f t="shared" ca="1" si="374"/>
        <v>3.0387197094447949</v>
      </c>
      <c r="P382" s="319">
        <f t="shared" ca="1" si="374"/>
        <v>3.3940456655859657</v>
      </c>
      <c r="Q382" s="319">
        <f t="shared" ca="1" si="374"/>
        <v>3.6861668485879289</v>
      </c>
      <c r="R382" s="319">
        <f t="shared" ca="1" si="374"/>
        <v>3.6897109926155691</v>
      </c>
      <c r="S382" s="319">
        <f t="shared" ca="1" si="374"/>
        <v>3.7483445047790362</v>
      </c>
      <c r="T382" s="286">
        <f t="shared" ca="1" si="374"/>
        <v>3.8278993375858694</v>
      </c>
      <c r="U382" s="319">
        <f t="shared" ca="1" si="374"/>
        <v>3.8651226165618966</v>
      </c>
      <c r="V382" s="319">
        <f t="shared" ca="1" si="374"/>
        <v>3.1089245517937285</v>
      </c>
      <c r="W382" s="319">
        <f t="shared" ca="1" si="374"/>
        <v>39.425312578470624</v>
      </c>
      <c r="X382" s="319">
        <f t="shared" ca="1" si="374"/>
        <v>36.112477214986271</v>
      </c>
      <c r="Y382" s="319">
        <f t="shared" ca="1" si="374"/>
        <v>30.797656036955022</v>
      </c>
      <c r="Z382" s="319">
        <f t="shared" ca="1" si="374"/>
        <v>29.944237393811427</v>
      </c>
      <c r="AA382" s="319">
        <f t="shared" ca="1" si="374"/>
        <v>25.707401265920147</v>
      </c>
      <c r="AB382" s="319">
        <f t="shared" ca="1" si="374"/>
        <v>14.666670052700995</v>
      </c>
      <c r="AC382" s="319">
        <f t="shared" ca="1" si="374"/>
        <v>9.1169842629302256</v>
      </c>
      <c r="AD382" s="319">
        <f t="shared" ca="1" si="374"/>
        <v>8.9779637913909607</v>
      </c>
      <c r="AE382" s="319">
        <f t="shared" ca="1" si="374"/>
        <v>8.8012904498854549</v>
      </c>
      <c r="AF382" s="319">
        <f t="shared" ca="1" si="374"/>
        <v>8.3699187669470412</v>
      </c>
      <c r="AG382" s="319">
        <f t="shared" ca="1" si="374"/>
        <v>6.8198875767660327</v>
      </c>
      <c r="AH382" s="319">
        <f t="shared" ca="1" si="374"/>
        <v>6.5650248587115669</v>
      </c>
      <c r="AI382" s="319">
        <f t="shared" ref="AI382:AN382" ca="1" si="375">AI375</f>
        <v>4.648214789391969</v>
      </c>
      <c r="AJ382" s="319">
        <f t="shared" ca="1" si="375"/>
        <v>3.0407874473728396</v>
      </c>
      <c r="AK382" s="319" t="str">
        <f t="shared" si="375"/>
        <v>n/a</v>
      </c>
      <c r="AL382" s="319" t="str">
        <f t="shared" si="375"/>
        <v>n/a</v>
      </c>
      <c r="AM382" s="319" t="str">
        <f t="shared" si="375"/>
        <v>n/a</v>
      </c>
      <c r="AN382" s="319" t="str">
        <f t="shared" si="375"/>
        <v>n/a</v>
      </c>
    </row>
    <row r="383" spans="3:40" outlineLevel="2">
      <c r="C383" s="301" t="str">
        <f t="shared" ref="C383" si="376">C379</f>
        <v>DSCR default flag</v>
      </c>
      <c r="E383" s="32" t="str">
        <f>$E$374</f>
        <v>Flag</v>
      </c>
      <c r="F383" s="23">
        <f ca="1">SUM(G383:AN383)</f>
        <v>0</v>
      </c>
      <c r="G383" s="25">
        <f t="shared" ref="G383:AL383" ca="1" si="377">IF(G382&lt;$D$380,1,0)*G381</f>
        <v>0</v>
      </c>
      <c r="H383" s="25">
        <f t="shared" ca="1" si="377"/>
        <v>0</v>
      </c>
      <c r="I383" s="25">
        <f t="shared" ca="1" si="377"/>
        <v>0</v>
      </c>
      <c r="J383" s="25">
        <f t="shared" ca="1" si="377"/>
        <v>0</v>
      </c>
      <c r="K383" s="25">
        <f t="shared" ca="1" si="377"/>
        <v>0</v>
      </c>
      <c r="L383" s="25">
        <f t="shared" ca="1" si="377"/>
        <v>0</v>
      </c>
      <c r="M383" s="25">
        <f t="shared" ca="1" si="377"/>
        <v>0</v>
      </c>
      <c r="N383" s="25">
        <f t="shared" ca="1" si="377"/>
        <v>0</v>
      </c>
      <c r="O383" s="25">
        <f t="shared" ca="1" si="377"/>
        <v>0</v>
      </c>
      <c r="P383" s="25">
        <f t="shared" ca="1" si="377"/>
        <v>0</v>
      </c>
      <c r="Q383" s="25">
        <f t="shared" ca="1" si="377"/>
        <v>0</v>
      </c>
      <c r="R383" s="25">
        <f t="shared" ca="1" si="377"/>
        <v>0</v>
      </c>
      <c r="S383" s="25">
        <f t="shared" ca="1" si="377"/>
        <v>0</v>
      </c>
      <c r="T383" s="25">
        <f t="shared" ca="1" si="377"/>
        <v>0</v>
      </c>
      <c r="U383" s="25">
        <f t="shared" ca="1" si="377"/>
        <v>0</v>
      </c>
      <c r="V383" s="25">
        <f t="shared" ca="1" si="377"/>
        <v>0</v>
      </c>
      <c r="W383" s="25">
        <f t="shared" ca="1" si="377"/>
        <v>0</v>
      </c>
      <c r="X383" s="25">
        <f t="shared" ca="1" si="377"/>
        <v>0</v>
      </c>
      <c r="Y383" s="25">
        <f t="shared" ca="1" si="377"/>
        <v>0</v>
      </c>
      <c r="Z383" s="25">
        <f t="shared" ca="1" si="377"/>
        <v>0</v>
      </c>
      <c r="AA383" s="25">
        <f t="shared" ca="1" si="377"/>
        <v>0</v>
      </c>
      <c r="AB383" s="25">
        <f t="shared" ca="1" si="377"/>
        <v>0</v>
      </c>
      <c r="AC383" s="25">
        <f t="shared" ca="1" si="377"/>
        <v>0</v>
      </c>
      <c r="AD383" s="25">
        <f t="shared" ca="1" si="377"/>
        <v>0</v>
      </c>
      <c r="AE383" s="25">
        <f t="shared" ca="1" si="377"/>
        <v>0</v>
      </c>
      <c r="AF383" s="25">
        <f t="shared" ca="1" si="377"/>
        <v>0</v>
      </c>
      <c r="AG383" s="25">
        <f t="shared" ca="1" si="377"/>
        <v>0</v>
      </c>
      <c r="AH383" s="25">
        <f t="shared" ca="1" si="377"/>
        <v>0</v>
      </c>
      <c r="AI383" s="25">
        <f t="shared" ca="1" si="377"/>
        <v>0</v>
      </c>
      <c r="AJ383" s="25">
        <f t="shared" ca="1" si="377"/>
        <v>0</v>
      </c>
      <c r="AK383" s="25">
        <f t="shared" ca="1" si="377"/>
        <v>0</v>
      </c>
      <c r="AL383" s="25">
        <f t="shared" ca="1" si="377"/>
        <v>0</v>
      </c>
      <c r="AM383" s="25">
        <f ca="1">IF(AM382&lt;$D$380,1,0)*AM381</f>
        <v>0</v>
      </c>
      <c r="AN383" s="25">
        <f>IF(AN382&lt;$D$380,1,0)*AN381</f>
        <v>0</v>
      </c>
    </row>
    <row r="384" spans="3:40" outlineLevel="2">
      <c r="C384" s="301" t="s">
        <v>657</v>
      </c>
      <c r="D384" s="84">
        <f ca="1">IF(F383&gt;0,1,0)</f>
        <v>0</v>
      </c>
      <c r="E384" s="32" t="s">
        <v>116</v>
      </c>
      <c r="F384" s="266"/>
      <c r="G384" s="266"/>
      <c r="H384" s="266"/>
      <c r="I384" s="266"/>
      <c r="J384" s="266"/>
      <c r="K384" s="266"/>
      <c r="L384" s="266"/>
      <c r="M384" s="266"/>
      <c r="N384" s="266"/>
      <c r="O384" s="266"/>
      <c r="P384" s="266"/>
      <c r="Q384" s="266"/>
      <c r="R384" s="266"/>
      <c r="S384" s="266"/>
      <c r="T384" s="266"/>
      <c r="U384" s="266"/>
      <c r="V384" s="266"/>
      <c r="W384" s="266"/>
      <c r="X384" s="266"/>
      <c r="Y384" s="266"/>
      <c r="Z384" s="266"/>
      <c r="AA384" s="266"/>
      <c r="AB384" s="266"/>
      <c r="AC384" s="266"/>
      <c r="AD384" s="266"/>
      <c r="AE384" s="266"/>
      <c r="AF384" s="266"/>
      <c r="AG384" s="266"/>
      <c r="AH384" s="266"/>
      <c r="AI384" s="266"/>
      <c r="AJ384" s="266"/>
      <c r="AK384" s="266"/>
      <c r="AL384" s="266"/>
      <c r="AM384" s="266"/>
      <c r="AN384" s="266"/>
    </row>
    <row r="385" spans="3:40" outlineLevel="1">
      <c r="C385" s="266"/>
      <c r="F385" s="266"/>
      <c r="G385" s="266"/>
      <c r="H385" s="266"/>
      <c r="I385" s="266"/>
      <c r="J385" s="266"/>
      <c r="K385" s="266"/>
      <c r="L385" s="266"/>
      <c r="M385" s="266"/>
      <c r="N385" s="266"/>
      <c r="O385" s="266"/>
      <c r="P385" s="266"/>
      <c r="Q385" s="266"/>
      <c r="R385" s="266"/>
      <c r="S385" s="266"/>
      <c r="T385" s="266"/>
      <c r="U385" s="266"/>
      <c r="V385" s="266"/>
      <c r="W385" s="266"/>
      <c r="X385" s="266"/>
      <c r="Y385" s="266"/>
      <c r="Z385" s="266"/>
      <c r="AA385" s="266"/>
      <c r="AB385" s="266"/>
      <c r="AC385" s="266"/>
      <c r="AD385" s="266"/>
      <c r="AE385" s="266"/>
      <c r="AF385" s="266"/>
      <c r="AG385" s="266"/>
      <c r="AH385" s="266"/>
      <c r="AI385" s="266"/>
      <c r="AJ385" s="266"/>
      <c r="AK385" s="266"/>
      <c r="AL385" s="266"/>
      <c r="AM385" s="266"/>
      <c r="AN385" s="266"/>
    </row>
    <row r="386" spans="3:40" outlineLevel="1">
      <c r="C386" s="11" t="s">
        <v>659</v>
      </c>
      <c r="F386" s="266"/>
      <c r="G386" s="266"/>
      <c r="H386" s="266"/>
      <c r="I386" s="266"/>
      <c r="J386" s="266"/>
      <c r="K386" s="266"/>
      <c r="L386" s="266"/>
      <c r="M386" s="266"/>
      <c r="N386" s="266"/>
      <c r="O386" s="266"/>
      <c r="P386" s="266"/>
      <c r="Q386" s="266"/>
      <c r="R386" s="266"/>
      <c r="S386" s="266"/>
      <c r="T386" s="266"/>
      <c r="U386" s="266"/>
      <c r="V386" s="266"/>
      <c r="W386" s="266"/>
      <c r="X386" s="266"/>
      <c r="Y386" s="266"/>
      <c r="Z386" s="266"/>
      <c r="AA386" s="266"/>
      <c r="AB386" s="266"/>
      <c r="AC386" s="266"/>
      <c r="AD386" s="266"/>
      <c r="AE386" s="266"/>
      <c r="AF386" s="266"/>
      <c r="AG386" s="266"/>
      <c r="AH386" s="266"/>
      <c r="AI386" s="266"/>
      <c r="AJ386" s="266"/>
      <c r="AK386" s="266"/>
      <c r="AL386" s="266"/>
      <c r="AM386" s="266"/>
      <c r="AN386" s="266"/>
    </row>
    <row r="387" spans="3:40" outlineLevel="1">
      <c r="C387" s="266" t="s">
        <v>660</v>
      </c>
      <c r="F387" s="50">
        <f ca="1">SUM(G387:AN387)</f>
        <v>320212.02829447057</v>
      </c>
      <c r="G387" s="319">
        <f ca="1">DFs!G147+DFs!G157</f>
        <v>10853.497173559101</v>
      </c>
      <c r="H387" s="319">
        <f ca="1">DFs!H147+DFs!H157</f>
        <v>1049.4932022277176</v>
      </c>
      <c r="I387" s="319">
        <f ca="1">DFs!I147+DFs!I157</f>
        <v>5126.1006259422302</v>
      </c>
      <c r="J387" s="319">
        <f ca="1">DFs!J147+DFs!J157</f>
        <v>4169.3075847403443</v>
      </c>
      <c r="K387" s="319">
        <f ca="1">DFs!K147+DFs!K157</f>
        <v>4825.9506719211813</v>
      </c>
      <c r="L387" s="319">
        <f ca="1">DFs!L147+DFs!L157</f>
        <v>17630.071204765984</v>
      </c>
      <c r="M387" s="319">
        <f ca="1">DFs!M147+DFs!M157</f>
        <v>6045.5694077879116</v>
      </c>
      <c r="N387" s="319">
        <f ca="1">DFs!N147+DFs!N157</f>
        <v>15455.245247672328</v>
      </c>
      <c r="O387" s="319">
        <f ca="1">DFs!O147+DFs!O157</f>
        <v>7827.3705007405288</v>
      </c>
      <c r="P387" s="319">
        <f ca="1">DFs!P147+DFs!P157</f>
        <v>8616.2252968269058</v>
      </c>
      <c r="Q387" s="319">
        <f ca="1">DFs!Q147+DFs!Q157</f>
        <v>9377.3843133915398</v>
      </c>
      <c r="R387" s="319">
        <f ca="1">DFs!R147+DFs!R157</f>
        <v>9232.6234401503862</v>
      </c>
      <c r="S387" s="319">
        <f ca="1">DFs!S147+DFs!S157</f>
        <v>9091.6059663612887</v>
      </c>
      <c r="T387" s="319">
        <f ca="1">DFs!T147+DFs!T157</f>
        <v>8559.5560466292991</v>
      </c>
      <c r="U387" s="319">
        <f ca="1">DFs!U147+DFs!U157</f>
        <v>17257.687993612679</v>
      </c>
      <c r="V387" s="319">
        <f ca="1">DFs!V147+DFs!V157</f>
        <v>12205.451149511837</v>
      </c>
      <c r="W387" s="319">
        <f ca="1">DFs!W147+DFs!W157</f>
        <v>10517.863992249151</v>
      </c>
      <c r="X387" s="319">
        <f ca="1">DFs!X147+DFs!X157</f>
        <v>10210.093580213452</v>
      </c>
      <c r="Y387" s="319">
        <f ca="1">DFs!Y147+DFs!Y157</f>
        <v>10578.355780348085</v>
      </c>
      <c r="Z387" s="319">
        <f ca="1">DFs!Z147+DFs!Z157</f>
        <v>9875.3567432292493</v>
      </c>
      <c r="AA387" s="319">
        <f ca="1">DFs!AA147+DFs!AA157</f>
        <v>11207.284576494791</v>
      </c>
      <c r="AB387" s="319">
        <f ca="1">DFs!AB147+DFs!AB157</f>
        <v>19300.844510857871</v>
      </c>
      <c r="AC387" s="319">
        <f ca="1">DFs!AC147+DFs!AC157</f>
        <v>11940.412319868434</v>
      </c>
      <c r="AD387" s="319">
        <f ca="1">DFs!AD147+DFs!AD157</f>
        <v>11875.223662511469</v>
      </c>
      <c r="AE387" s="319">
        <f ca="1">DFs!AE147+DFs!AE157</f>
        <v>11359.729400344888</v>
      </c>
      <c r="AF387" s="319">
        <f ca="1">DFs!AF147+DFs!AF157</f>
        <v>14279.13533820508</v>
      </c>
      <c r="AG387" s="319">
        <f ca="1">DFs!AG147+DFs!AG157</f>
        <v>10999.019199074088</v>
      </c>
      <c r="AH387" s="319">
        <f ca="1">DFs!AH147+DFs!AH157</f>
        <v>12642.15071171009</v>
      </c>
      <c r="AI387" s="319">
        <f ca="1">DFs!AI147+DFs!AI157</f>
        <v>17451.49284117452</v>
      </c>
      <c r="AJ387" s="319">
        <f ca="1">DFs!AJ147+DFs!AJ157</f>
        <v>10651.925812348114</v>
      </c>
      <c r="AK387" s="319">
        <f ca="1">DFs!AK147+DFs!AK157</f>
        <v>0</v>
      </c>
      <c r="AL387" s="319">
        <f ca="1">DFs!AL147+DFs!AL157</f>
        <v>0</v>
      </c>
      <c r="AM387" s="319">
        <f ca="1">DFs!AM147+DFs!AM157</f>
        <v>0</v>
      </c>
      <c r="AN387" s="319">
        <f>DFs!AN147+DFs!AN157</f>
        <v>0</v>
      </c>
    </row>
    <row r="388" spans="3:40">
      <c r="C388" s="266" t="s">
        <v>661</v>
      </c>
      <c r="F388" s="50">
        <f ca="1">SUM(G388:AN388)</f>
        <v>60048.914178644933</v>
      </c>
      <c r="G388" s="319">
        <f ca="1">-DFs!G67</f>
        <v>592.62671164927997</v>
      </c>
      <c r="H388" s="319">
        <f ca="1">-DFs!H67</f>
        <v>673.61068116215745</v>
      </c>
      <c r="I388" s="319">
        <f ca="1">-DFs!I67</f>
        <v>1269.1786389350113</v>
      </c>
      <c r="J388" s="319">
        <f ca="1">-DFs!J67</f>
        <v>1251.3431368924216</v>
      </c>
      <c r="K388" s="319">
        <f ca="1">-DFs!K67</f>
        <v>1268.4693383455506</v>
      </c>
      <c r="L388" s="319">
        <f ca="1">-DFs!L67</f>
        <v>2444.4711239768367</v>
      </c>
      <c r="M388" s="319">
        <f ca="1">-DFs!M67</f>
        <v>2348.1680835036595</v>
      </c>
      <c r="N388" s="319">
        <f ca="1">-DFs!N67</f>
        <v>3130.5284361187187</v>
      </c>
      <c r="O388" s="319">
        <f ca="1">-DFs!O67</f>
        <v>2962.5841843518401</v>
      </c>
      <c r="P388" s="319">
        <f ca="1">-DFs!P67</f>
        <v>2896.172128697327</v>
      </c>
      <c r="Q388" s="319">
        <f ca="1">-DFs!Q67</f>
        <v>2917.1766095954426</v>
      </c>
      <c r="R388" s="319">
        <f ca="1">-DFs!R67</f>
        <v>2894.3392812237471</v>
      </c>
      <c r="S388" s="319">
        <f ca="1">-DFs!S67</f>
        <v>2832.5626636592424</v>
      </c>
      <c r="T388" s="319">
        <f ca="1">-DFs!T67</f>
        <v>2655.8224599953974</v>
      </c>
      <c r="U388" s="319">
        <f ca="1">-DFs!U67</f>
        <v>4931.2341505834765</v>
      </c>
      <c r="V388" s="319">
        <f ca="1">-DFs!V67</f>
        <v>4486.6146779898845</v>
      </c>
      <c r="W388" s="319">
        <f ca="1">-DFs!W67</f>
        <v>311.29175991427832</v>
      </c>
      <c r="X388" s="319">
        <f ca="1">-DFs!X67</f>
        <v>330.67635216955784</v>
      </c>
      <c r="Y388" s="319">
        <f ca="1">-DFs!Y67</f>
        <v>395.55401849491511</v>
      </c>
      <c r="Z388" s="319">
        <f ca="1">-DFs!Z67</f>
        <v>381.75442765075883</v>
      </c>
      <c r="AA388" s="319">
        <f ca="1">-DFs!AA67</f>
        <v>496.20685655694922</v>
      </c>
      <c r="AB388" s="319">
        <f ca="1">-DFs!AB67</f>
        <v>1422.3071524145764</v>
      </c>
      <c r="AC388" s="319">
        <f ca="1">-DFs!AC67</f>
        <v>1430.0857221775054</v>
      </c>
      <c r="AD388" s="319">
        <f ca="1">-DFs!AD67</f>
        <v>1442.1459429496072</v>
      </c>
      <c r="AE388" s="319">
        <f ca="1">-DFs!AE67</f>
        <v>1407.5671576046757</v>
      </c>
      <c r="AF388" s="319">
        <f ca="1">-DFs!AF67</f>
        <v>1828.8138392216688</v>
      </c>
      <c r="AG388" s="319">
        <f ca="1">-DFs!AG67</f>
        <v>1710.5079459331</v>
      </c>
      <c r="AH388" s="319">
        <f ca="1">-DFs!AH67</f>
        <v>2022.6006131622239</v>
      </c>
      <c r="AI388" s="319">
        <f ca="1">-DFs!AI67</f>
        <v>3811.4845008432726</v>
      </c>
      <c r="AJ388" s="319">
        <f ca="1">-DFs!AJ67</f>
        <v>3503.0155828718307</v>
      </c>
      <c r="AK388" s="319">
        <f ca="1">-DFs!AK67</f>
        <v>0</v>
      </c>
      <c r="AL388" s="319">
        <f ca="1">-DFs!AL67</f>
        <v>0</v>
      </c>
      <c r="AM388" s="319">
        <f ca="1">-DFs!AM67</f>
        <v>0</v>
      </c>
      <c r="AN388" s="319">
        <f>-DFs!AN67</f>
        <v>0</v>
      </c>
    </row>
    <row r="389" spans="3:40">
      <c r="C389" s="266"/>
      <c r="F389" s="471">
        <f ca="1">F387/F388</f>
        <v>5.3325198744117657</v>
      </c>
      <c r="G389" s="266"/>
      <c r="H389" s="266"/>
      <c r="I389" s="266"/>
      <c r="J389" s="266"/>
      <c r="K389" s="266"/>
      <c r="L389" s="266"/>
      <c r="M389" s="266"/>
      <c r="N389" s="266"/>
      <c r="O389" s="266"/>
      <c r="P389" s="266"/>
      <c r="Q389" s="266"/>
      <c r="R389" s="266"/>
      <c r="S389" s="266"/>
      <c r="T389" s="266"/>
      <c r="U389" s="266"/>
      <c r="V389" s="266"/>
      <c r="W389" s="266"/>
      <c r="X389" s="266"/>
      <c r="Y389" s="266"/>
      <c r="Z389" s="266"/>
      <c r="AA389" s="266"/>
      <c r="AB389" s="266"/>
      <c r="AC389" s="266"/>
      <c r="AD389" s="266"/>
      <c r="AE389" s="266"/>
      <c r="AF389" s="266"/>
      <c r="AG389" s="266"/>
      <c r="AH389" s="266"/>
      <c r="AI389" s="266"/>
      <c r="AJ389" s="266"/>
      <c r="AK389" s="266"/>
      <c r="AL389" s="266"/>
      <c r="AM389" s="266"/>
      <c r="AN389" s="266"/>
    </row>
  </sheetData>
  <conditionalFormatting sqref="G50:AN50">
    <cfRule type="cellIs" dxfId="70" priority="13" operator="equal">
      <formula>1</formula>
    </cfRule>
  </conditionalFormatting>
  <conditionalFormatting sqref="G55:AN55">
    <cfRule type="cellIs" dxfId="69" priority="11" operator="equal">
      <formula>1</formula>
    </cfRule>
  </conditionalFormatting>
  <conditionalFormatting sqref="G90:AN90">
    <cfRule type="cellIs" dxfId="68" priority="18" operator="equal">
      <formula>1</formula>
    </cfRule>
  </conditionalFormatting>
  <conditionalFormatting sqref="G103:AN103">
    <cfRule type="cellIs" dxfId="67" priority="5" operator="equal">
      <formula>1</formula>
    </cfRule>
  </conditionalFormatting>
  <conditionalFormatting sqref="G115:AN115">
    <cfRule type="cellIs" dxfId="66" priority="10" operator="equal">
      <formula>1</formula>
    </cfRule>
  </conditionalFormatting>
  <conditionalFormatting sqref="G129:AN129">
    <cfRule type="cellIs" dxfId="65" priority="15" operator="equal">
      <formula>1</formula>
    </cfRule>
  </conditionalFormatting>
  <conditionalFormatting sqref="G146:AN146">
    <cfRule type="cellIs" dxfId="64" priority="21" operator="equal">
      <formula>1</formula>
    </cfRule>
  </conditionalFormatting>
  <conditionalFormatting sqref="G164:AN164">
    <cfRule type="cellIs" dxfId="63" priority="8" operator="equal">
      <formula>1</formula>
    </cfRule>
  </conditionalFormatting>
  <conditionalFormatting sqref="G181:AN181">
    <cfRule type="cellIs" dxfId="62" priority="9" operator="equal">
      <formula>1</formula>
    </cfRule>
  </conditionalFormatting>
  <conditionalFormatting sqref="G198:AN198">
    <cfRule type="cellIs" dxfId="61" priority="3" operator="equal">
      <formula>1</formula>
    </cfRule>
  </conditionalFormatting>
  <conditionalFormatting sqref="G215:AN215">
    <cfRule type="cellIs" dxfId="60" priority="4" operator="equal">
      <formula>1</formula>
    </cfRule>
  </conditionalFormatting>
  <conditionalFormatting sqref="G232:AN232">
    <cfRule type="cellIs" dxfId="59" priority="6" operator="equal">
      <formula>1</formula>
    </cfRule>
  </conditionalFormatting>
  <conditionalFormatting sqref="G249:AN249">
    <cfRule type="cellIs" dxfId="58" priority="7" operator="equal">
      <formula>1</formula>
    </cfRule>
  </conditionalFormatting>
  <conditionalFormatting sqref="G285:AN286">
    <cfRule type="cellIs" dxfId="57" priority="52" operator="equal">
      <formula>1</formula>
    </cfRule>
  </conditionalFormatting>
  <conditionalFormatting sqref="G289:AN289">
    <cfRule type="cellIs" dxfId="56" priority="123" operator="equal">
      <formula>1</formula>
    </cfRule>
  </conditionalFormatting>
  <conditionalFormatting sqref="G300:AN300">
    <cfRule type="cellIs" dxfId="55" priority="50" operator="equal">
      <formula>1</formula>
    </cfRule>
  </conditionalFormatting>
  <conditionalFormatting sqref="G304:AN304">
    <cfRule type="cellIs" dxfId="54" priority="49" operator="equal">
      <formula>1</formula>
    </cfRule>
  </conditionalFormatting>
  <conditionalFormatting sqref="G310:AN310">
    <cfRule type="cellIs" dxfId="53" priority="48" operator="equal">
      <formula>1</formula>
    </cfRule>
  </conditionalFormatting>
  <conditionalFormatting sqref="G343:AN343">
    <cfRule type="cellIs" dxfId="52" priority="47" operator="equal">
      <formula>1</formula>
    </cfRule>
  </conditionalFormatting>
  <conditionalFormatting sqref="G346:AN346">
    <cfRule type="cellIs" dxfId="51" priority="45" operator="equal">
      <formula>1</formula>
    </cfRule>
  </conditionalFormatting>
  <conditionalFormatting sqref="G361:AN361">
    <cfRule type="cellIs" dxfId="50" priority="1" operator="equal">
      <formula>1</formula>
    </cfRule>
  </conditionalFormatting>
  <conditionalFormatting sqref="G370:AN370">
    <cfRule type="cellIs" dxfId="49" priority="86" operator="equal">
      <formula>1</formula>
    </cfRule>
  </conditionalFormatting>
  <conditionalFormatting sqref="G374:AN374">
    <cfRule type="cellIs" dxfId="48" priority="84" operator="equal">
      <formula>1</formula>
    </cfRule>
  </conditionalFormatting>
  <conditionalFormatting sqref="G376:AN376">
    <cfRule type="cellIs" dxfId="47" priority="82" operator="equal">
      <formula>1</formula>
    </cfRule>
  </conditionalFormatting>
  <conditionalFormatting sqref="G381:AN381">
    <cfRule type="cellIs" dxfId="46" priority="80" operator="equal">
      <formula>1</formula>
    </cfRule>
  </conditionalFormatting>
  <conditionalFormatting sqref="G383:AN383">
    <cfRule type="cellIs" dxfId="45" priority="78" operator="equal">
      <formula>1</formula>
    </cfRule>
  </conditionalFormatting>
  <pageMargins left="0.7" right="0.7" top="0.75" bottom="0.75" header="0.3" footer="0.3"/>
  <pageSetup paperSize="9" scale="25" orientation="landscape" r:id="rId1"/>
  <rowBreaks count="4" manualBreakCount="4">
    <brk id="92" max="39" man="1"/>
    <brk id="187" max="39" man="1"/>
    <brk id="280" max="39" man="1"/>
    <brk id="349" max="39" man="1"/>
  </row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21" operator="equal" id="{C5DC5131-D36A-4213-9F0C-D209394C9D60}">
            <xm:f>Flags!$C$85</xm:f>
            <x14:dxf>
              <fill>
                <patternFill patternType="mediumGray">
                  <fgColor theme="4" tint="0.39994506668294322"/>
                </patternFill>
              </fill>
            </x14:dxf>
          </x14:cfRule>
          <x14:cfRule type="cellIs" priority="127" operator="equal" id="{123316C0-B780-4ECE-A488-C9CB30624CDE}">
            <xm:f>Flags!$C$88</xm:f>
            <x14:dxf>
              <fill>
                <patternFill patternType="mediumGray">
                  <fgColor theme="9" tint="0.59996337778862885"/>
                </patternFill>
              </fill>
            </x14:dxf>
          </x14:cfRule>
          <x14:cfRule type="cellIs" priority="126" operator="equal" id="{62F44D3B-182D-4765-BB72-8FAABA4F8773}">
            <xm:f>Flags!$C$89</xm:f>
            <x14:dxf>
              <fill>
                <patternFill patternType="mediumGray">
                  <fgColor theme="8" tint="-0.24994659260841701"/>
                </patternFill>
              </fill>
            </x14:dxf>
          </x14:cfRule>
          <x14:cfRule type="cellIs" priority="128" operator="equal" id="{6FA93E24-3701-41D2-8E21-BEBBAB99F1A6}">
            <xm:f>Flags!$C$87</xm:f>
            <x14:dxf>
              <fill>
                <patternFill patternType="mediumGray">
                  <fgColor theme="5" tint="0.39994506668294322"/>
                </patternFill>
              </fill>
            </x14:dxf>
          </x14:cfRule>
          <x14:cfRule type="cellIs" priority="129" operator="equal" id="{3AA9140E-7D31-4D1C-8DCB-A2EFBD7E1962}">
            <xm:f>Flags!$C$86</xm:f>
            <x14:dxf>
              <fill>
                <patternFill patternType="mediumGray">
                  <fgColor rgb="FF0070C0"/>
                </patternFill>
              </fill>
            </x14:dxf>
          </x14:cfRule>
          <x14:cfRule type="cellIs" priority="130" operator="equal" id="{87D045A7-D2C8-4C12-9EB4-9282649C01D6}">
            <xm:f>Flags!$C$85</xm:f>
            <x14:dxf>
              <fill>
                <patternFill patternType="mediumGray">
                  <fgColor theme="4" tint="0.39994506668294322"/>
                </patternFill>
              </fill>
            </x14:dxf>
          </x14:cfRule>
          <x14:cfRule type="cellIs" priority="216" operator="equal" id="{0EAC55D4-FBEE-44FB-95CF-B760461F0A71}">
            <xm:f>Flags!#REF!</xm:f>
            <x14:dxf>
              <fill>
                <patternFill patternType="lightGray">
                  <bgColor theme="3" tint="0.79998168889431442"/>
                </patternFill>
              </fill>
            </x14:dxf>
          </x14:cfRule>
          <x14:cfRule type="cellIs" priority="217" operator="equal" id="{F5E5827C-49C4-4635-8C9F-98BC8C374C17}">
            <xm:f>Flags!#REF!</xm:f>
            <x14:dxf>
              <fill>
                <patternFill patternType="mediumGray">
                  <fgColor theme="8" tint="-0.24994659260841701"/>
                </patternFill>
              </fill>
            </x14:dxf>
          </x14:cfRule>
          <x14:cfRule type="cellIs" priority="218" operator="equal" id="{1B265420-9B34-4730-9BB4-0DB2C2C1FA82}">
            <xm:f>Flags!$C$88</xm:f>
            <x14:dxf>
              <fill>
                <patternFill patternType="mediumGray">
                  <fgColor theme="9" tint="0.59996337778862885"/>
                </patternFill>
              </fill>
            </x14:dxf>
          </x14:cfRule>
          <x14:cfRule type="cellIs" priority="219" operator="equal" id="{AF29A089-C453-434A-859A-19D0E35E844F}">
            <xm:f>Flags!$C$87</xm:f>
            <x14:dxf>
              <fill>
                <patternFill patternType="mediumGray">
                  <fgColor theme="5" tint="0.39994506668294322"/>
                </patternFill>
              </fill>
            </x14:dxf>
          </x14:cfRule>
          <x14:cfRule type="cellIs" priority="220" operator="equal" id="{EA5D2F5C-E662-4A43-8FCD-7F2EFA958683}">
            <xm:f>Flags!$C$86</xm:f>
            <x14:dxf>
              <fill>
                <patternFill patternType="mediumGray">
                  <fgColor rgb="FF0070C0"/>
                </patternFill>
              </fill>
            </x14:dxf>
          </x14:cfRule>
          <xm:sqref>G7:AN7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0027E-7C17-4D41-B674-5C20E1477B61}">
  <sheetPr codeName="Sheet13">
    <tabColor rgb="FF0091DA"/>
  </sheetPr>
  <dimension ref="A1:AO75"/>
  <sheetViews>
    <sheetView showGridLines="0" view="pageBreakPreview" zoomScale="130" zoomScaleNormal="80" zoomScaleSheetLayoutView="130" workbookViewId="0">
      <pane ySplit="8" topLeftCell="A9" activePane="bottomLeft" state="frozen"/>
      <selection activeCell="AM95" sqref="AM95"/>
      <selection pane="bottomLeft" activeCell="AM95" sqref="AM95"/>
    </sheetView>
  </sheetViews>
  <sheetFormatPr defaultColWidth="0" defaultRowHeight="15.6" outlineLevelRow="3"/>
  <cols>
    <col min="1" max="1" width="11.33203125" style="1" bestFit="1" customWidth="1"/>
    <col min="2" max="2" width="2.6640625" style="1" customWidth="1"/>
    <col min="3" max="3" width="45.6640625" style="1" bestFit="1" customWidth="1"/>
    <col min="4" max="4" width="15.5546875" style="4" bestFit="1" customWidth="1"/>
    <col min="5" max="5" width="9.33203125" style="1" customWidth="1"/>
    <col min="6" max="6" width="13.6640625" style="1" bestFit="1" customWidth="1"/>
    <col min="7" max="7" width="13.5546875" style="1" bestFit="1" customWidth="1"/>
    <col min="8" max="8" width="17.6640625" style="1" bestFit="1" customWidth="1"/>
    <col min="9" max="9" width="13.6640625" style="1" bestFit="1" customWidth="1"/>
    <col min="10" max="27" width="12.33203125" style="1" bestFit="1" customWidth="1"/>
    <col min="28" max="40" width="13.6640625" style="1" bestFit="1" customWidth="1"/>
    <col min="41" max="41" width="8.6640625" customWidth="1"/>
    <col min="42" max="16384" width="8.6640625" style="1" hidden="1"/>
  </cols>
  <sheetData>
    <row r="1" spans="1:41" s="6" customFormat="1">
      <c r="A1" s="386" t="s">
        <v>662</v>
      </c>
      <c r="B1" s="386"/>
      <c r="C1" s="386"/>
      <c r="D1" s="393" t="s">
        <v>33</v>
      </c>
      <c r="E1" s="393" t="s">
        <v>34</v>
      </c>
      <c r="F1" s="393" t="s">
        <v>35</v>
      </c>
      <c r="G1" s="393" t="s">
        <v>36</v>
      </c>
      <c r="H1" s="386" t="s">
        <v>37</v>
      </c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6"/>
      <c r="AD1" s="386"/>
      <c r="AE1" s="386"/>
      <c r="AF1" s="386"/>
      <c r="AG1" s="386"/>
      <c r="AH1" s="386"/>
      <c r="AI1" s="386"/>
      <c r="AJ1" s="386"/>
      <c r="AK1" s="386"/>
      <c r="AL1" s="386"/>
      <c r="AM1" s="386"/>
      <c r="AN1" s="386"/>
      <c r="AO1"/>
    </row>
    <row r="2" spans="1:41" s="7" customFormat="1">
      <c r="A2" s="280"/>
      <c r="B2" s="280"/>
      <c r="C2" s="280"/>
      <c r="D2" s="96">
        <f ca="1">CHECKS!$F$9</f>
        <v>0</v>
      </c>
      <c r="E2" s="128">
        <f ca="1">CHECKS!$F$15</f>
        <v>0</v>
      </c>
      <c r="F2" s="480">
        <f ca="1">Project_IRR</f>
        <v>0.10790613293647766</v>
      </c>
      <c r="G2" s="481">
        <f ca="1">Project_NPV</f>
        <v>0.44602648716568183</v>
      </c>
      <c r="H2" s="129">
        <f ca="1">Master_Check</f>
        <v>0</v>
      </c>
      <c r="I2" s="479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0"/>
      <c r="AH2" s="280"/>
      <c r="AI2" s="280"/>
      <c r="AJ2" s="280"/>
      <c r="AK2" s="280"/>
      <c r="AL2" s="280"/>
      <c r="AM2" s="280"/>
      <c r="AN2" s="280"/>
      <c r="AO2"/>
    </row>
    <row r="3" spans="1:41">
      <c r="A3" s="266"/>
      <c r="B3" s="266"/>
      <c r="C3" s="266"/>
      <c r="E3" s="281"/>
      <c r="F3" s="281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6"/>
      <c r="R3" s="266"/>
      <c r="S3" s="266"/>
      <c r="T3" s="266"/>
      <c r="U3" s="266"/>
      <c r="V3" s="266"/>
      <c r="W3" s="266"/>
      <c r="X3" s="266"/>
      <c r="Y3" s="266"/>
      <c r="Z3" s="266"/>
      <c r="AA3" s="266"/>
      <c r="AB3" s="266"/>
      <c r="AC3" s="266"/>
      <c r="AD3" s="266"/>
      <c r="AE3" s="266"/>
      <c r="AF3" s="266"/>
      <c r="AG3" s="266"/>
      <c r="AH3" s="266"/>
      <c r="AI3" s="266"/>
      <c r="AJ3" s="266"/>
      <c r="AK3" s="266"/>
      <c r="AL3" s="266"/>
      <c r="AM3" s="266"/>
      <c r="AN3" s="266"/>
    </row>
    <row r="4" spans="1:41">
      <c r="A4" s="266"/>
      <c r="B4" s="266"/>
      <c r="C4" s="11" t="str">
        <f>Flags!C4</f>
        <v>Começo período</v>
      </c>
      <c r="D4" s="119"/>
      <c r="E4" s="266"/>
      <c r="F4" s="266"/>
      <c r="G4" s="281">
        <f>Flags!G4</f>
        <v>46388</v>
      </c>
      <c r="H4" s="281">
        <f>Flags!H4</f>
        <v>46753</v>
      </c>
      <c r="I4" s="281">
        <f>Flags!I4</f>
        <v>47119</v>
      </c>
      <c r="J4" s="281">
        <f>Flags!J4</f>
        <v>47484</v>
      </c>
      <c r="K4" s="281">
        <f>Flags!K4</f>
        <v>47849</v>
      </c>
      <c r="L4" s="281">
        <f>Flags!L4</f>
        <v>48214</v>
      </c>
      <c r="M4" s="281">
        <f>Flags!M4</f>
        <v>48580</v>
      </c>
      <c r="N4" s="281">
        <f>Flags!N4</f>
        <v>48945</v>
      </c>
      <c r="O4" s="281">
        <f>Flags!O4</f>
        <v>49310</v>
      </c>
      <c r="P4" s="281">
        <f>Flags!P4</f>
        <v>49675</v>
      </c>
      <c r="Q4" s="281">
        <f>Flags!Q4</f>
        <v>50041</v>
      </c>
      <c r="R4" s="281">
        <f>Flags!R4</f>
        <v>50406</v>
      </c>
      <c r="S4" s="281">
        <f>Flags!S4</f>
        <v>50771</v>
      </c>
      <c r="T4" s="281">
        <f>Flags!T4</f>
        <v>51136</v>
      </c>
      <c r="U4" s="281">
        <f>Flags!U4</f>
        <v>51502</v>
      </c>
      <c r="V4" s="281">
        <f>Flags!V4</f>
        <v>51867</v>
      </c>
      <c r="W4" s="281">
        <f>Flags!W4</f>
        <v>52232</v>
      </c>
      <c r="X4" s="281">
        <f>Flags!X4</f>
        <v>52597</v>
      </c>
      <c r="Y4" s="281">
        <f>Flags!Y4</f>
        <v>52963</v>
      </c>
      <c r="Z4" s="281">
        <f>Flags!Z4</f>
        <v>53328</v>
      </c>
      <c r="AA4" s="281">
        <f>Flags!AA4</f>
        <v>53693</v>
      </c>
      <c r="AB4" s="281">
        <f>Flags!AB4</f>
        <v>54058</v>
      </c>
      <c r="AC4" s="281">
        <f>Flags!AC4</f>
        <v>54424</v>
      </c>
      <c r="AD4" s="281">
        <f>Flags!AD4</f>
        <v>54789</v>
      </c>
      <c r="AE4" s="281">
        <f>Flags!AE4</f>
        <v>55154</v>
      </c>
      <c r="AF4" s="281">
        <f>Flags!AF4</f>
        <v>55519</v>
      </c>
      <c r="AG4" s="281">
        <f>Flags!AG4</f>
        <v>55885</v>
      </c>
      <c r="AH4" s="281">
        <f>Flags!AH4</f>
        <v>56250</v>
      </c>
      <c r="AI4" s="281">
        <f>Flags!AI4</f>
        <v>56615</v>
      </c>
      <c r="AJ4" s="281">
        <f>Flags!AJ4</f>
        <v>56980</v>
      </c>
      <c r="AK4" s="281">
        <f>Flags!AK4</f>
        <v>57346</v>
      </c>
      <c r="AL4" s="281">
        <f>Flags!AL4</f>
        <v>57711</v>
      </c>
      <c r="AM4" s="281">
        <f>Flags!AM4</f>
        <v>58076</v>
      </c>
      <c r="AN4" s="281">
        <f>Flags!AN4</f>
        <v>58441</v>
      </c>
    </row>
    <row r="5" spans="1:41">
      <c r="A5" s="266"/>
      <c r="B5" s="266"/>
      <c r="C5" s="11" t="str">
        <f>Flags!C5</f>
        <v>Fim período</v>
      </c>
      <c r="E5" s="266"/>
      <c r="F5" s="266"/>
      <c r="G5" s="281">
        <f>Flags!G5</f>
        <v>46752</v>
      </c>
      <c r="H5" s="281">
        <f>Flags!H5</f>
        <v>47118</v>
      </c>
      <c r="I5" s="281">
        <f>Flags!I5</f>
        <v>47483</v>
      </c>
      <c r="J5" s="281">
        <f>Flags!J5</f>
        <v>47848</v>
      </c>
      <c r="K5" s="281">
        <f>Flags!K5</f>
        <v>48213</v>
      </c>
      <c r="L5" s="281">
        <f>Flags!L5</f>
        <v>48579</v>
      </c>
      <c r="M5" s="281">
        <f>Flags!M5</f>
        <v>48944</v>
      </c>
      <c r="N5" s="281">
        <f>Flags!N5</f>
        <v>49309</v>
      </c>
      <c r="O5" s="281">
        <f>Flags!O5</f>
        <v>49674</v>
      </c>
      <c r="P5" s="281">
        <f>Flags!P5</f>
        <v>50040</v>
      </c>
      <c r="Q5" s="281">
        <f>Flags!Q5</f>
        <v>50405</v>
      </c>
      <c r="R5" s="281">
        <f>Flags!R5</f>
        <v>50770</v>
      </c>
      <c r="S5" s="281">
        <f>Flags!S5</f>
        <v>51135</v>
      </c>
      <c r="T5" s="281">
        <f>Flags!T5</f>
        <v>51501</v>
      </c>
      <c r="U5" s="281">
        <f>Flags!U5</f>
        <v>51866</v>
      </c>
      <c r="V5" s="281">
        <f>Flags!V5</f>
        <v>52231</v>
      </c>
      <c r="W5" s="281">
        <f>Flags!W5</f>
        <v>52596</v>
      </c>
      <c r="X5" s="281">
        <f>Flags!X5</f>
        <v>52962</v>
      </c>
      <c r="Y5" s="281">
        <f>Flags!Y5</f>
        <v>53327</v>
      </c>
      <c r="Z5" s="281">
        <f>Flags!Z5</f>
        <v>53692</v>
      </c>
      <c r="AA5" s="281">
        <f>Flags!AA5</f>
        <v>54057</v>
      </c>
      <c r="AB5" s="281">
        <f>Flags!AB5</f>
        <v>54423</v>
      </c>
      <c r="AC5" s="281">
        <f>Flags!AC5</f>
        <v>54788</v>
      </c>
      <c r="AD5" s="281">
        <f>Flags!AD5</f>
        <v>55153</v>
      </c>
      <c r="AE5" s="281">
        <f>Flags!AE5</f>
        <v>55518</v>
      </c>
      <c r="AF5" s="281">
        <f>Flags!AF5</f>
        <v>55884</v>
      </c>
      <c r="AG5" s="281">
        <f>Flags!AG5</f>
        <v>56249</v>
      </c>
      <c r="AH5" s="281">
        <f>Flags!AH5</f>
        <v>56614</v>
      </c>
      <c r="AI5" s="281">
        <f>Flags!AI5</f>
        <v>56979</v>
      </c>
      <c r="AJ5" s="281">
        <f>Flags!AJ5</f>
        <v>57345</v>
      </c>
      <c r="AK5" s="281">
        <f>Flags!AK5</f>
        <v>57710</v>
      </c>
      <c r="AL5" s="281">
        <f>Flags!AL5</f>
        <v>58075</v>
      </c>
      <c r="AM5" s="281">
        <f>Flags!AM5</f>
        <v>58440</v>
      </c>
      <c r="AN5" s="281">
        <f>Flags!AN5</f>
        <v>58806</v>
      </c>
    </row>
    <row r="6" spans="1:41">
      <c r="A6" s="266"/>
      <c r="B6" s="266"/>
      <c r="C6" s="11" t="str">
        <f>Flags!C6</f>
        <v>Timeline</v>
      </c>
      <c r="E6" s="266"/>
      <c r="F6" s="266"/>
      <c r="G6" s="273" t="str">
        <f>Flags!G90</f>
        <v>Ops</v>
      </c>
      <c r="H6" s="273" t="str">
        <f>Flags!H90</f>
        <v>Ops</v>
      </c>
      <c r="I6" s="273" t="str">
        <f>Flags!I90</f>
        <v>Ops</v>
      </c>
      <c r="J6" s="273" t="str">
        <f>Flags!J90</f>
        <v>Ops</v>
      </c>
      <c r="K6" s="273" t="str">
        <f>Flags!K90</f>
        <v>Ops</v>
      </c>
      <c r="L6" s="273" t="str">
        <f>Flags!L90</f>
        <v>Ops</v>
      </c>
      <c r="M6" s="273" t="str">
        <f>Flags!M90</f>
        <v>Ops</v>
      </c>
      <c r="N6" s="273" t="str">
        <f>Flags!N90</f>
        <v>Ops</v>
      </c>
      <c r="O6" s="273" t="str">
        <f>Flags!O90</f>
        <v>Ops</v>
      </c>
      <c r="P6" s="273" t="str">
        <f>Flags!P90</f>
        <v>Ops</v>
      </c>
      <c r="Q6" s="273" t="str">
        <f>Flags!Q90</f>
        <v>Ops</v>
      </c>
      <c r="R6" s="273" t="str">
        <f>Flags!R90</f>
        <v>Ops</v>
      </c>
      <c r="S6" s="273" t="str">
        <f>Flags!S90</f>
        <v>Ops</v>
      </c>
      <c r="T6" s="273" t="str">
        <f>Flags!T90</f>
        <v>Ops</v>
      </c>
      <c r="U6" s="273" t="str">
        <f>Flags!U90</f>
        <v>Ops</v>
      </c>
      <c r="V6" s="273" t="str">
        <f>Flags!V90</f>
        <v>Ops</v>
      </c>
      <c r="W6" s="273" t="str">
        <f>Flags!W90</f>
        <v>Ops</v>
      </c>
      <c r="X6" s="273" t="str">
        <f>Flags!X90</f>
        <v>Ops</v>
      </c>
      <c r="Y6" s="273" t="str">
        <f>Flags!Y90</f>
        <v>Ops</v>
      </c>
      <c r="Z6" s="273" t="str">
        <f>Flags!Z90</f>
        <v>Ops</v>
      </c>
      <c r="AA6" s="273" t="str">
        <f>Flags!AA90</f>
        <v>Ops</v>
      </c>
      <c r="AB6" s="273" t="str">
        <f>Flags!AB90</f>
        <v>Ops</v>
      </c>
      <c r="AC6" s="273" t="str">
        <f>Flags!AC90</f>
        <v>Ops</v>
      </c>
      <c r="AD6" s="273" t="str">
        <f>Flags!AD90</f>
        <v>Ops</v>
      </c>
      <c r="AE6" s="273" t="str">
        <f>Flags!AE90</f>
        <v>Ops</v>
      </c>
      <c r="AF6" s="273" t="str">
        <f>Flags!AF90</f>
        <v>Ops</v>
      </c>
      <c r="AG6" s="273" t="str">
        <f>Flags!AG90</f>
        <v>Ops</v>
      </c>
      <c r="AH6" s="273" t="str">
        <f>Flags!AH90</f>
        <v>Ops</v>
      </c>
      <c r="AI6" s="273" t="str">
        <f>Flags!AI90</f>
        <v>Ops</v>
      </c>
      <c r="AJ6" s="273" t="str">
        <f>Flags!AJ90</f>
        <v>Ops</v>
      </c>
      <c r="AK6" s="273" t="str">
        <f>Flags!AK90</f>
        <v>Post Ops.</v>
      </c>
      <c r="AL6" s="273" t="str">
        <f>Flags!AL90</f>
        <v>Post Ops.</v>
      </c>
      <c r="AM6" s="273" t="str">
        <f>Flags!AM90</f>
        <v>Post Ops.</v>
      </c>
      <c r="AN6" s="273" t="str">
        <f>Flags!AN90</f>
        <v>Post Ops.</v>
      </c>
    </row>
    <row r="8" spans="1:41">
      <c r="A8" s="266"/>
      <c r="B8" s="266"/>
      <c r="C8" s="266"/>
      <c r="D8" s="19" t="str">
        <f>Flags!D8</f>
        <v>Inputs</v>
      </c>
      <c r="E8" s="20" t="str">
        <f>Flags!E8</f>
        <v>Units</v>
      </c>
      <c r="F8" s="20" t="str">
        <f>Flags!F8</f>
        <v>Total</v>
      </c>
      <c r="G8" s="266"/>
      <c r="H8" s="266"/>
      <c r="I8" s="266"/>
      <c r="J8" s="266"/>
      <c r="K8" s="266"/>
      <c r="L8" s="266"/>
      <c r="M8" s="266"/>
      <c r="N8" s="266"/>
      <c r="O8" s="266"/>
      <c r="P8" s="266"/>
      <c r="Q8" s="266"/>
      <c r="R8" s="266"/>
      <c r="S8" s="266"/>
      <c r="T8" s="266"/>
      <c r="U8" s="266"/>
      <c r="V8" s="266"/>
      <c r="W8" s="266"/>
      <c r="X8" s="266"/>
      <c r="Y8" s="266"/>
      <c r="Z8" s="266"/>
      <c r="AA8" s="266"/>
      <c r="AB8" s="266"/>
      <c r="AC8" s="266"/>
      <c r="AD8" s="266"/>
      <c r="AE8" s="266"/>
      <c r="AF8" s="266"/>
      <c r="AG8" s="266"/>
      <c r="AH8" s="266"/>
      <c r="AI8" s="266"/>
      <c r="AJ8" s="266"/>
      <c r="AK8" s="266"/>
      <c r="AL8" s="266"/>
      <c r="AM8" s="266"/>
      <c r="AN8" s="266"/>
    </row>
    <row r="9" spans="1:41">
      <c r="A9" s="266"/>
      <c r="B9" s="266"/>
      <c r="C9" s="266"/>
      <c r="E9" s="4"/>
      <c r="F9" s="266"/>
      <c r="G9" s="266"/>
      <c r="H9" s="266"/>
      <c r="I9" s="266"/>
      <c r="J9" s="266"/>
      <c r="K9" s="266"/>
      <c r="L9" s="266"/>
      <c r="M9" s="266"/>
      <c r="N9" s="266"/>
      <c r="O9" s="266"/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66"/>
      <c r="AD9" s="266"/>
      <c r="AE9" s="266"/>
      <c r="AF9" s="266"/>
      <c r="AG9" s="266"/>
      <c r="AH9" s="266"/>
      <c r="AI9" s="266"/>
      <c r="AJ9" s="266"/>
      <c r="AK9" s="266"/>
      <c r="AL9" s="266"/>
      <c r="AM9" s="266"/>
      <c r="AN9" s="266"/>
    </row>
    <row r="10" spans="1:41" s="266" customFormat="1" ht="16.2" thickBot="1">
      <c r="C10" s="394" t="s">
        <v>663</v>
      </c>
      <c r="D10" s="395"/>
      <c r="E10" s="396"/>
      <c r="F10" s="395"/>
      <c r="G10" s="395"/>
      <c r="H10" s="395"/>
      <c r="I10" s="395"/>
      <c r="J10" s="395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395"/>
      <c r="AJ10" s="395"/>
      <c r="AK10" s="8"/>
      <c r="AL10" s="8"/>
      <c r="AM10" s="8"/>
      <c r="AN10" s="8"/>
      <c r="AO10"/>
    </row>
    <row r="11" spans="1:41" outlineLevel="1">
      <c r="A11" s="266"/>
      <c r="B11" s="266"/>
      <c r="C11" s="266"/>
      <c r="E11" s="4"/>
      <c r="F11" s="266"/>
      <c r="G11" s="266"/>
      <c r="H11" s="266"/>
      <c r="I11" s="266"/>
      <c r="J11" s="266"/>
      <c r="K11" s="266"/>
      <c r="L11" s="266"/>
      <c r="M11" s="266"/>
      <c r="N11" s="266"/>
      <c r="O11" s="266"/>
      <c r="P11" s="266"/>
      <c r="Q11" s="266"/>
      <c r="R11" s="266"/>
      <c r="S11" s="266"/>
      <c r="T11" s="266"/>
      <c r="U11" s="266"/>
      <c r="V11" s="266"/>
      <c r="W11" s="266"/>
      <c r="X11" s="266"/>
      <c r="Y11" s="266"/>
      <c r="Z11" s="266"/>
      <c r="AA11" s="266"/>
      <c r="AB11" s="266"/>
      <c r="AC11" s="266"/>
      <c r="AD11" s="266"/>
      <c r="AE11" s="266"/>
      <c r="AF11" s="266"/>
      <c r="AG11" s="266"/>
      <c r="AH11" s="266"/>
      <c r="AI11" s="266"/>
      <c r="AJ11" s="266"/>
      <c r="AK11" s="266"/>
      <c r="AL11" s="266"/>
      <c r="AM11" s="266"/>
      <c r="AN11" s="266"/>
    </row>
    <row r="12" spans="1:41" outlineLevel="1">
      <c r="A12" s="266"/>
      <c r="B12" s="266"/>
      <c r="C12" t="s">
        <v>127</v>
      </c>
      <c r="E12" s="4"/>
      <c r="F12" s="266"/>
      <c r="G12" s="266"/>
      <c r="H12" s="266"/>
      <c r="I12" s="266"/>
      <c r="J12" s="266"/>
      <c r="K12" s="266"/>
      <c r="L12" s="266"/>
      <c r="M12" s="266"/>
      <c r="N12" s="266"/>
      <c r="O12" s="266"/>
      <c r="P12" s="266"/>
      <c r="Q12" s="266"/>
      <c r="R12" s="266"/>
      <c r="S12" s="266"/>
      <c r="T12" s="266"/>
      <c r="U12" s="266"/>
      <c r="V12" s="266"/>
      <c r="W12" s="266"/>
      <c r="X12" s="266"/>
      <c r="Y12" s="266"/>
      <c r="Z12" s="266"/>
      <c r="AA12" s="266"/>
      <c r="AB12" s="266"/>
      <c r="AC12" s="266"/>
      <c r="AD12" s="266"/>
      <c r="AE12" s="266"/>
      <c r="AF12" s="266"/>
      <c r="AG12" s="266"/>
      <c r="AH12" s="266"/>
      <c r="AI12" s="266"/>
      <c r="AJ12" s="266"/>
      <c r="AK12" s="266"/>
      <c r="AL12" s="266"/>
      <c r="AM12" s="266"/>
      <c r="AN12" s="266"/>
    </row>
    <row r="13" spans="1:41" outlineLevel="2">
      <c r="A13" s="266"/>
      <c r="B13" s="266"/>
      <c r="C13" t="s">
        <v>664</v>
      </c>
      <c r="E13" s="4"/>
      <c r="F13" s="266"/>
      <c r="G13" s="266"/>
      <c r="H13" s="266"/>
      <c r="I13" s="266"/>
      <c r="J13" s="266"/>
      <c r="K13" s="266"/>
      <c r="L13" s="266"/>
      <c r="M13" s="266"/>
      <c r="N13" s="266"/>
      <c r="O13" s="266"/>
      <c r="P13" s="266"/>
      <c r="Q13" s="266"/>
      <c r="R13" s="266"/>
      <c r="S13" s="266"/>
      <c r="T13" s="266"/>
      <c r="U13" s="266"/>
      <c r="V13" s="266"/>
      <c r="W13" s="266"/>
      <c r="X13" s="266"/>
      <c r="Y13" s="266"/>
      <c r="Z13" s="266"/>
      <c r="AA13" s="266"/>
      <c r="AB13" s="266"/>
      <c r="AC13" s="266"/>
      <c r="AD13" s="266"/>
      <c r="AE13" s="266"/>
      <c r="AF13" s="266"/>
      <c r="AG13" s="266"/>
      <c r="AH13" s="266"/>
      <c r="AI13" s="266"/>
      <c r="AJ13" s="266"/>
      <c r="AK13" s="266"/>
      <c r="AL13" s="266"/>
      <c r="AM13" s="266"/>
      <c r="AN13" s="266"/>
    </row>
    <row r="14" spans="1:41" outlineLevel="3">
      <c r="A14" s="266"/>
      <c r="B14" s="266"/>
      <c r="C14" s="314" t="s">
        <v>665</v>
      </c>
      <c r="D14" s="33">
        <f>G4</f>
        <v>46388</v>
      </c>
      <c r="E14" s="4" t="s">
        <v>133</v>
      </c>
      <c r="F14" s="266"/>
      <c r="G14" s="266"/>
      <c r="H14" s="266"/>
      <c r="I14" s="266"/>
      <c r="J14" s="266"/>
      <c r="K14" s="266"/>
      <c r="L14" s="266"/>
      <c r="M14" s="266"/>
      <c r="N14" s="266"/>
      <c r="O14" s="266"/>
      <c r="P14" s="266"/>
      <c r="Q14" s="266"/>
      <c r="R14" s="266"/>
      <c r="S14" s="266"/>
      <c r="T14" s="266"/>
      <c r="U14" s="266"/>
      <c r="V14" s="266"/>
      <c r="W14" s="266"/>
      <c r="X14" s="266"/>
      <c r="Y14" s="266"/>
      <c r="Z14" s="266"/>
      <c r="AA14" s="266"/>
      <c r="AB14" s="266"/>
      <c r="AC14" s="266"/>
      <c r="AD14" s="266"/>
      <c r="AE14" s="266"/>
      <c r="AF14" s="266"/>
      <c r="AG14" s="266"/>
      <c r="AH14" s="266"/>
      <c r="AI14" s="266"/>
      <c r="AJ14" s="266"/>
      <c r="AK14" s="266"/>
      <c r="AL14" s="266"/>
      <c r="AM14" s="266"/>
      <c r="AN14" s="266"/>
    </row>
    <row r="15" spans="1:41" outlineLevel="3">
      <c r="A15" s="266"/>
      <c r="B15" s="266"/>
      <c r="C15" s="314" t="s">
        <v>375</v>
      </c>
      <c r="D15" s="38">
        <v>365</v>
      </c>
      <c r="E15" s="4" t="s">
        <v>304</v>
      </c>
      <c r="F15" s="266"/>
      <c r="G15" s="266"/>
      <c r="H15" s="266"/>
      <c r="I15" s="266"/>
      <c r="J15" s="266"/>
      <c r="K15" s="266"/>
      <c r="L15" s="266"/>
      <c r="M15" s="266"/>
      <c r="N15" s="266"/>
      <c r="O15" s="266"/>
      <c r="P15" s="266"/>
      <c r="Q15" s="266"/>
      <c r="R15" s="266"/>
      <c r="S15" s="266"/>
      <c r="T15" s="266"/>
      <c r="U15" s="266"/>
      <c r="V15" s="266"/>
      <c r="W15" s="266"/>
      <c r="X15" s="266"/>
      <c r="Y15" s="266"/>
      <c r="Z15" s="266"/>
      <c r="AA15" s="266"/>
      <c r="AB15" s="266"/>
      <c r="AC15" s="266"/>
      <c r="AD15" s="266"/>
      <c r="AE15" s="266"/>
      <c r="AF15" s="266"/>
      <c r="AG15" s="266"/>
      <c r="AH15" s="266"/>
      <c r="AI15" s="266"/>
      <c r="AJ15" s="266"/>
      <c r="AK15" s="266"/>
      <c r="AL15" s="266"/>
      <c r="AM15" s="266"/>
      <c r="AN15" s="266"/>
    </row>
    <row r="16" spans="1:41" outlineLevel="3">
      <c r="A16" s="266"/>
      <c r="B16" s="266"/>
      <c r="C16" s="314" t="s">
        <v>666</v>
      </c>
      <c r="E16" s="4" t="s">
        <v>133</v>
      </c>
      <c r="F16" s="266"/>
      <c r="G16" s="353">
        <f t="shared" ref="G16:AL16" si="0">G5</f>
        <v>46752</v>
      </c>
      <c r="H16" s="353">
        <f t="shared" si="0"/>
        <v>47118</v>
      </c>
      <c r="I16" s="353">
        <f t="shared" si="0"/>
        <v>47483</v>
      </c>
      <c r="J16" s="353">
        <f t="shared" si="0"/>
        <v>47848</v>
      </c>
      <c r="K16" s="353">
        <f t="shared" si="0"/>
        <v>48213</v>
      </c>
      <c r="L16" s="353">
        <f t="shared" si="0"/>
        <v>48579</v>
      </c>
      <c r="M16" s="353">
        <f t="shared" si="0"/>
        <v>48944</v>
      </c>
      <c r="N16" s="353">
        <f t="shared" si="0"/>
        <v>49309</v>
      </c>
      <c r="O16" s="353">
        <f t="shared" si="0"/>
        <v>49674</v>
      </c>
      <c r="P16" s="353">
        <f t="shared" si="0"/>
        <v>50040</v>
      </c>
      <c r="Q16" s="353">
        <f t="shared" si="0"/>
        <v>50405</v>
      </c>
      <c r="R16" s="353">
        <f t="shared" si="0"/>
        <v>50770</v>
      </c>
      <c r="S16" s="353">
        <f t="shared" si="0"/>
        <v>51135</v>
      </c>
      <c r="T16" s="353">
        <f t="shared" si="0"/>
        <v>51501</v>
      </c>
      <c r="U16" s="353">
        <f t="shared" si="0"/>
        <v>51866</v>
      </c>
      <c r="V16" s="353">
        <f t="shared" si="0"/>
        <v>52231</v>
      </c>
      <c r="W16" s="353">
        <f t="shared" si="0"/>
        <v>52596</v>
      </c>
      <c r="X16" s="353">
        <f t="shared" si="0"/>
        <v>52962</v>
      </c>
      <c r="Y16" s="353">
        <f t="shared" si="0"/>
        <v>53327</v>
      </c>
      <c r="Z16" s="353">
        <f t="shared" si="0"/>
        <v>53692</v>
      </c>
      <c r="AA16" s="353">
        <f t="shared" si="0"/>
        <v>54057</v>
      </c>
      <c r="AB16" s="353">
        <f t="shared" si="0"/>
        <v>54423</v>
      </c>
      <c r="AC16" s="353">
        <f t="shared" si="0"/>
        <v>54788</v>
      </c>
      <c r="AD16" s="353">
        <f t="shared" si="0"/>
        <v>55153</v>
      </c>
      <c r="AE16" s="353">
        <f t="shared" si="0"/>
        <v>55518</v>
      </c>
      <c r="AF16" s="353">
        <f t="shared" si="0"/>
        <v>55884</v>
      </c>
      <c r="AG16" s="353">
        <f t="shared" si="0"/>
        <v>56249</v>
      </c>
      <c r="AH16" s="353">
        <f t="shared" si="0"/>
        <v>56614</v>
      </c>
      <c r="AI16" s="353">
        <f t="shared" si="0"/>
        <v>56979</v>
      </c>
      <c r="AJ16" s="353">
        <f t="shared" si="0"/>
        <v>57345</v>
      </c>
      <c r="AK16" s="353">
        <f t="shared" si="0"/>
        <v>57710</v>
      </c>
      <c r="AL16" s="353">
        <f t="shared" si="0"/>
        <v>58075</v>
      </c>
      <c r="AM16" s="353">
        <f t="shared" ref="AM16" si="1">AM5</f>
        <v>58440</v>
      </c>
      <c r="AN16" s="353"/>
    </row>
    <row r="17" spans="3:40" outlineLevel="3">
      <c r="C17" s="314" t="s">
        <v>667</v>
      </c>
      <c r="E17" s="4" t="s">
        <v>38</v>
      </c>
      <c r="F17" s="266"/>
      <c r="G17" s="318">
        <f>IF(G16&lt;$D14,0,((G16-$D14)/$D15))</f>
        <v>0.99726027397260275</v>
      </c>
      <c r="H17" s="318">
        <f>IF(H16&lt;$D14,0,((H16-$D14)/$D15))</f>
        <v>2</v>
      </c>
      <c r="I17" s="318">
        <f t="shared" ref="I17:AM17" si="2">IF(I16&lt;$D14,0,((I16-$D14)/$D15))</f>
        <v>3</v>
      </c>
      <c r="J17" s="318">
        <f t="shared" si="2"/>
        <v>4</v>
      </c>
      <c r="K17" s="318">
        <f t="shared" si="2"/>
        <v>5</v>
      </c>
      <c r="L17" s="318">
        <f t="shared" si="2"/>
        <v>6.0027397260273974</v>
      </c>
      <c r="M17" s="318">
        <f t="shared" si="2"/>
        <v>7.0027397260273974</v>
      </c>
      <c r="N17" s="318">
        <f t="shared" si="2"/>
        <v>8.0027397260273965</v>
      </c>
      <c r="O17" s="318">
        <f t="shared" si="2"/>
        <v>9.0027397260273965</v>
      </c>
      <c r="P17" s="318">
        <f t="shared" si="2"/>
        <v>10.005479452054795</v>
      </c>
      <c r="Q17" s="318">
        <f t="shared" si="2"/>
        <v>11.005479452054795</v>
      </c>
      <c r="R17" s="318">
        <f t="shared" si="2"/>
        <v>12.005479452054795</v>
      </c>
      <c r="S17" s="318">
        <f t="shared" si="2"/>
        <v>13.005479452054795</v>
      </c>
      <c r="T17" s="318">
        <f t="shared" si="2"/>
        <v>14.008219178082191</v>
      </c>
      <c r="U17" s="318">
        <f t="shared" si="2"/>
        <v>15.008219178082191</v>
      </c>
      <c r="V17" s="318">
        <f t="shared" si="2"/>
        <v>16.008219178082193</v>
      </c>
      <c r="W17" s="318">
        <f t="shared" si="2"/>
        <v>17.008219178082193</v>
      </c>
      <c r="X17" s="318">
        <f t="shared" si="2"/>
        <v>18.010958904109589</v>
      </c>
      <c r="Y17" s="318">
        <f t="shared" si="2"/>
        <v>19.010958904109589</v>
      </c>
      <c r="Z17" s="318">
        <f t="shared" si="2"/>
        <v>20.010958904109589</v>
      </c>
      <c r="AA17" s="318">
        <f t="shared" si="2"/>
        <v>21.010958904109589</v>
      </c>
      <c r="AB17" s="318">
        <f t="shared" si="2"/>
        <v>22.013698630136986</v>
      </c>
      <c r="AC17" s="318">
        <f t="shared" si="2"/>
        <v>23.013698630136986</v>
      </c>
      <c r="AD17" s="318">
        <f t="shared" si="2"/>
        <v>24.013698630136986</v>
      </c>
      <c r="AE17" s="318">
        <f t="shared" si="2"/>
        <v>25.013698630136986</v>
      </c>
      <c r="AF17" s="318">
        <f t="shared" si="2"/>
        <v>26.016438356164382</v>
      </c>
      <c r="AG17" s="318">
        <f t="shared" si="2"/>
        <v>27.016438356164382</v>
      </c>
      <c r="AH17" s="318">
        <f t="shared" si="2"/>
        <v>28.016438356164382</v>
      </c>
      <c r="AI17" s="318">
        <f t="shared" si="2"/>
        <v>29.016438356164382</v>
      </c>
      <c r="AJ17" s="318">
        <f t="shared" si="2"/>
        <v>30.019178082191782</v>
      </c>
      <c r="AK17" s="318">
        <f t="shared" si="2"/>
        <v>31.019178082191782</v>
      </c>
      <c r="AL17" s="318">
        <f t="shared" si="2"/>
        <v>32.019178082191779</v>
      </c>
      <c r="AM17" s="318">
        <f t="shared" si="2"/>
        <v>33.019178082191779</v>
      </c>
      <c r="AN17" s="318"/>
    </row>
    <row r="18" spans="3:40" outlineLevel="3">
      <c r="C18" s="314"/>
      <c r="E18" s="4"/>
      <c r="F18" s="266"/>
      <c r="G18" s="266"/>
      <c r="H18" s="266"/>
      <c r="I18" s="266"/>
      <c r="J18" s="266"/>
      <c r="K18" s="266"/>
      <c r="L18" s="266"/>
      <c r="M18" s="266"/>
      <c r="N18" s="266"/>
      <c r="O18" s="266"/>
      <c r="P18" s="266"/>
      <c r="Q18" s="266"/>
      <c r="R18" s="266"/>
      <c r="S18" s="266"/>
      <c r="T18" s="266"/>
      <c r="U18" s="266"/>
      <c r="V18" s="266"/>
      <c r="W18" s="266"/>
      <c r="X18" s="266"/>
      <c r="Y18" s="266"/>
      <c r="Z18" s="266"/>
      <c r="AA18" s="266"/>
      <c r="AB18" s="266"/>
      <c r="AC18" s="266"/>
      <c r="AD18" s="266"/>
      <c r="AE18" s="266"/>
      <c r="AF18" s="266"/>
      <c r="AG18" s="266"/>
      <c r="AH18" s="266"/>
      <c r="AI18" s="266"/>
      <c r="AJ18" s="266"/>
      <c r="AK18" s="266"/>
      <c r="AL18" s="266"/>
      <c r="AM18" s="266"/>
      <c r="AN18" s="266"/>
    </row>
    <row r="19" spans="3:40" outlineLevel="3">
      <c r="C19" s="314" t="s">
        <v>346</v>
      </c>
      <c r="D19">
        <f>Inputs!D327</f>
        <v>0.16399713323759083</v>
      </c>
      <c r="E19" s="4" t="s">
        <v>23</v>
      </c>
      <c r="F19" s="266"/>
      <c r="G19" s="266"/>
      <c r="H19" s="266"/>
      <c r="I19" s="266"/>
      <c r="J19" s="266"/>
      <c r="K19" s="266"/>
      <c r="L19" s="266"/>
      <c r="M19" s="266"/>
      <c r="N19" s="266"/>
      <c r="O19" s="266"/>
      <c r="P19" s="266"/>
      <c r="Q19" s="266"/>
      <c r="R19" s="266"/>
      <c r="S19" s="266"/>
      <c r="T19" s="266"/>
      <c r="U19" s="266"/>
      <c r="V19" s="266"/>
      <c r="W19" s="266"/>
      <c r="X19" s="266"/>
      <c r="Y19" s="266"/>
      <c r="Z19" s="266"/>
      <c r="AA19" s="266"/>
      <c r="AB19" s="266"/>
      <c r="AC19" s="266"/>
      <c r="AD19" s="266"/>
      <c r="AE19" s="266"/>
      <c r="AF19" s="266"/>
      <c r="AG19" s="266"/>
      <c r="AH19" s="266"/>
      <c r="AI19" s="266"/>
      <c r="AJ19" s="266"/>
      <c r="AK19" s="266"/>
      <c r="AL19" s="266"/>
      <c r="AM19" s="266"/>
      <c r="AN19" s="266"/>
    </row>
    <row r="20" spans="3:40" outlineLevel="3">
      <c r="C20" s="314" t="str">
        <f t="shared" ref="C20:AH20" si="3">C17</f>
        <v>Anos entre data valuation</v>
      </c>
      <c r="E20" s="4" t="str">
        <f t="shared" si="3"/>
        <v>Ano</v>
      </c>
      <c r="F20" s="266"/>
      <c r="G20" s="318">
        <f t="shared" si="3"/>
        <v>0.99726027397260275</v>
      </c>
      <c r="H20" s="318">
        <f t="shared" si="3"/>
        <v>2</v>
      </c>
      <c r="I20" s="318">
        <f t="shared" si="3"/>
        <v>3</v>
      </c>
      <c r="J20" s="318">
        <f t="shared" si="3"/>
        <v>4</v>
      </c>
      <c r="K20" s="318">
        <f t="shared" si="3"/>
        <v>5</v>
      </c>
      <c r="L20" s="318">
        <f t="shared" si="3"/>
        <v>6.0027397260273974</v>
      </c>
      <c r="M20" s="318">
        <f t="shared" si="3"/>
        <v>7.0027397260273974</v>
      </c>
      <c r="N20" s="318">
        <f t="shared" si="3"/>
        <v>8.0027397260273965</v>
      </c>
      <c r="O20" s="318">
        <f t="shared" si="3"/>
        <v>9.0027397260273965</v>
      </c>
      <c r="P20" s="318">
        <f t="shared" si="3"/>
        <v>10.005479452054795</v>
      </c>
      <c r="Q20" s="318">
        <f t="shared" si="3"/>
        <v>11.005479452054795</v>
      </c>
      <c r="R20" s="318">
        <f t="shared" si="3"/>
        <v>12.005479452054795</v>
      </c>
      <c r="S20" s="318">
        <f t="shared" si="3"/>
        <v>13.005479452054795</v>
      </c>
      <c r="T20" s="318">
        <f t="shared" si="3"/>
        <v>14.008219178082191</v>
      </c>
      <c r="U20" s="318">
        <f t="shared" si="3"/>
        <v>15.008219178082191</v>
      </c>
      <c r="V20" s="318">
        <f t="shared" si="3"/>
        <v>16.008219178082193</v>
      </c>
      <c r="W20" s="318">
        <f t="shared" si="3"/>
        <v>17.008219178082193</v>
      </c>
      <c r="X20" s="318">
        <f t="shared" si="3"/>
        <v>18.010958904109589</v>
      </c>
      <c r="Y20" s="318">
        <f t="shared" si="3"/>
        <v>19.010958904109589</v>
      </c>
      <c r="Z20" s="318">
        <f t="shared" si="3"/>
        <v>20.010958904109589</v>
      </c>
      <c r="AA20" s="318">
        <f t="shared" si="3"/>
        <v>21.010958904109589</v>
      </c>
      <c r="AB20" s="318">
        <f t="shared" si="3"/>
        <v>22.013698630136986</v>
      </c>
      <c r="AC20" s="318">
        <f t="shared" si="3"/>
        <v>23.013698630136986</v>
      </c>
      <c r="AD20" s="318">
        <f t="shared" si="3"/>
        <v>24.013698630136986</v>
      </c>
      <c r="AE20" s="318">
        <f t="shared" si="3"/>
        <v>25.013698630136986</v>
      </c>
      <c r="AF20" s="318">
        <f t="shared" si="3"/>
        <v>26.016438356164382</v>
      </c>
      <c r="AG20" s="318">
        <f t="shared" si="3"/>
        <v>27.016438356164382</v>
      </c>
      <c r="AH20" s="318">
        <f t="shared" si="3"/>
        <v>28.016438356164382</v>
      </c>
      <c r="AI20" s="318">
        <f t="shared" ref="AI20:AM20" si="4">AI17</f>
        <v>29.016438356164382</v>
      </c>
      <c r="AJ20" s="318">
        <f t="shared" si="4"/>
        <v>30.019178082191782</v>
      </c>
      <c r="AK20" s="318">
        <f t="shared" si="4"/>
        <v>31.019178082191782</v>
      </c>
      <c r="AL20" s="318">
        <f t="shared" si="4"/>
        <v>32.019178082191779</v>
      </c>
      <c r="AM20" s="318">
        <f t="shared" si="4"/>
        <v>33.019178082191779</v>
      </c>
      <c r="AN20" s="318"/>
    </row>
    <row r="21" spans="3:40" outlineLevel="3">
      <c r="C21" s="314" t="s">
        <v>668</v>
      </c>
      <c r="E21" s="4" t="s">
        <v>181</v>
      </c>
      <c r="F21" s="266"/>
      <c r="G21" s="286">
        <f>1/(1+$D$19)^G20</f>
        <v>0.85946615543931892</v>
      </c>
      <c r="H21" s="286">
        <f t="shared" ref="H21:AL21" si="5">1/(1+$D$19)^H20</f>
        <v>0.73806766403237134</v>
      </c>
      <c r="I21" s="286">
        <f t="shared" si="5"/>
        <v>0.63408031081612604</v>
      </c>
      <c r="J21" s="286">
        <f t="shared" si="5"/>
        <v>0.54474387669020141</v>
      </c>
      <c r="K21" s="286">
        <f t="shared" si="5"/>
        <v>0.46799417381297814</v>
      </c>
      <c r="L21" s="286">
        <f t="shared" si="5"/>
        <v>0.40189059739105853</v>
      </c>
      <c r="M21" s="286">
        <f t="shared" si="5"/>
        <v>0.34526768659062157</v>
      </c>
      <c r="N21" s="286">
        <f t="shared" si="5"/>
        <v>0.29662245441299279</v>
      </c>
      <c r="O21" s="286">
        <f t="shared" si="5"/>
        <v>0.25483091490780102</v>
      </c>
      <c r="P21" s="286">
        <f t="shared" si="5"/>
        <v>0.21883637523003291</v>
      </c>
      <c r="Q21" s="286">
        <f t="shared" si="5"/>
        <v>0.18800422181569484</v>
      </c>
      <c r="R21" s="286">
        <f t="shared" si="5"/>
        <v>0.16151605227134189</v>
      </c>
      <c r="S21" s="286">
        <f t="shared" si="5"/>
        <v>0.13875983682373366</v>
      </c>
      <c r="T21" s="286">
        <f t="shared" si="5"/>
        <v>0.11916018795836907</v>
      </c>
      <c r="U21" s="286">
        <f t="shared" si="5"/>
        <v>0.10237154762308728</v>
      </c>
      <c r="V21" s="286">
        <f t="shared" si="5"/>
        <v>8.794828157209178E-2</v>
      </c>
      <c r="W21" s="286">
        <f t="shared" si="5"/>
        <v>7.5557129017550656E-2</v>
      </c>
      <c r="X21" s="286">
        <f t="shared" si="5"/>
        <v>6.4884781514719436E-2</v>
      </c>
      <c r="Y21" s="286">
        <f t="shared" si="5"/>
        <v>5.5743076732711686E-2</v>
      </c>
      <c r="Z21" s="286">
        <f t="shared" si="5"/>
        <v>4.7889359123819766E-2</v>
      </c>
      <c r="AA21" s="286">
        <f t="shared" si="5"/>
        <v>4.1142162430089731E-2</v>
      </c>
      <c r="AB21" s="286">
        <f t="shared" si="5"/>
        <v>3.5330884789169154E-2</v>
      </c>
      <c r="AC21" s="286">
        <f t="shared" si="5"/>
        <v>3.0353068560313654E-2</v>
      </c>
      <c r="AD21" s="286">
        <f t="shared" si="5"/>
        <v>2.6076583604538905E-2</v>
      </c>
      <c r="AE21" s="286">
        <f t="shared" si="5"/>
        <v>2.2402618408525112E-2</v>
      </c>
      <c r="AF21" s="286">
        <f t="shared" si="5"/>
        <v>1.9238277310101862E-2</v>
      </c>
      <c r="AG21" s="286">
        <f t="shared" si="5"/>
        <v>1.6527770353344167E-2</v>
      </c>
      <c r="AH21" s="286">
        <f t="shared" si="5"/>
        <v>1.4199150394273847E-2</v>
      </c>
      <c r="AI21" s="286">
        <f t="shared" si="5"/>
        <v>1.2198612856356216E-2</v>
      </c>
      <c r="AJ21" s="286">
        <f t="shared" si="5"/>
        <v>1.0475574446237453E-2</v>
      </c>
      <c r="AK21" s="286">
        <f t="shared" si="5"/>
        <v>8.9996565688269751E-3</v>
      </c>
      <c r="AL21" s="286">
        <f t="shared" si="5"/>
        <v>7.7316827609316833E-3</v>
      </c>
      <c r="AM21" s="286">
        <f t="shared" ref="AM21" si="6">1/(1+$D$19)^AM20</f>
        <v>6.6423555008477148E-3</v>
      </c>
      <c r="AN21" s="286"/>
    </row>
    <row r="22" spans="3:40" outlineLevel="2">
      <c r="C22" s="266"/>
      <c r="E22" s="4"/>
      <c r="F22" s="266"/>
      <c r="G22" s="266"/>
      <c r="H22" s="266"/>
      <c r="I22" s="266"/>
      <c r="J22" s="266"/>
      <c r="K22" s="266"/>
      <c r="L22" s="266"/>
      <c r="M22" s="266"/>
      <c r="N22" s="266"/>
      <c r="O22" s="266"/>
      <c r="P22" s="266"/>
      <c r="Q22" s="266"/>
      <c r="R22" s="266"/>
      <c r="S22" s="266"/>
      <c r="T22" s="266"/>
      <c r="U22" s="266"/>
      <c r="V22" s="266"/>
      <c r="W22" s="266"/>
      <c r="X22" s="266"/>
      <c r="Y22" s="266"/>
      <c r="Z22" s="266"/>
      <c r="AA22" s="266"/>
      <c r="AB22" s="266"/>
      <c r="AC22" s="266"/>
      <c r="AD22" s="266"/>
      <c r="AE22" s="266"/>
      <c r="AF22" s="266"/>
      <c r="AG22" s="266"/>
      <c r="AH22" s="266"/>
      <c r="AI22" s="266"/>
      <c r="AJ22" s="266"/>
      <c r="AK22" s="266"/>
      <c r="AL22" s="266"/>
      <c r="AM22" s="266"/>
      <c r="AN22" s="266"/>
    </row>
    <row r="23" spans="3:40" outlineLevel="2">
      <c r="C23" t="s">
        <v>669</v>
      </c>
      <c r="E23" s="266"/>
      <c r="F23" s="266"/>
      <c r="G23" s="278"/>
      <c r="H23" s="278"/>
      <c r="I23" s="278"/>
      <c r="J23" s="278"/>
      <c r="K23" s="278"/>
      <c r="L23" s="278"/>
      <c r="M23" s="278"/>
      <c r="N23" s="278"/>
      <c r="O23" s="278"/>
      <c r="P23" s="278"/>
      <c r="Q23" s="278"/>
      <c r="R23" s="266"/>
      <c r="S23" s="266"/>
      <c r="T23" s="266"/>
      <c r="U23" s="266"/>
      <c r="V23" s="266"/>
      <c r="W23" s="266"/>
      <c r="X23" s="266"/>
      <c r="Y23" s="266"/>
      <c r="Z23" s="266"/>
      <c r="AA23" s="266"/>
      <c r="AB23" s="266"/>
      <c r="AC23" s="266"/>
      <c r="AD23" s="266"/>
      <c r="AE23" s="266"/>
      <c r="AF23" s="266"/>
      <c r="AG23" s="266"/>
      <c r="AH23" s="266"/>
      <c r="AI23" s="266"/>
      <c r="AJ23" s="266"/>
      <c r="AK23" s="266"/>
      <c r="AL23" s="266"/>
      <c r="AM23" s="266"/>
      <c r="AN23" s="266"/>
    </row>
    <row r="24" spans="3:40" outlineLevel="3">
      <c r="C24" s="314" t="s">
        <v>666</v>
      </c>
      <c r="E24" s="4" t="s">
        <v>133</v>
      </c>
      <c r="F24" s="266"/>
      <c r="G24" s="353">
        <f t="shared" ref="G24:AM24" si="7">G5</f>
        <v>46752</v>
      </c>
      <c r="H24" s="353">
        <f t="shared" si="7"/>
        <v>47118</v>
      </c>
      <c r="I24" s="353">
        <f t="shared" si="7"/>
        <v>47483</v>
      </c>
      <c r="J24" s="353">
        <f t="shared" si="7"/>
        <v>47848</v>
      </c>
      <c r="K24" s="353">
        <f t="shared" si="7"/>
        <v>48213</v>
      </c>
      <c r="L24" s="353">
        <f t="shared" si="7"/>
        <v>48579</v>
      </c>
      <c r="M24" s="353">
        <f t="shared" si="7"/>
        <v>48944</v>
      </c>
      <c r="N24" s="353">
        <f t="shared" si="7"/>
        <v>49309</v>
      </c>
      <c r="O24" s="353">
        <f t="shared" si="7"/>
        <v>49674</v>
      </c>
      <c r="P24" s="353">
        <f t="shared" si="7"/>
        <v>50040</v>
      </c>
      <c r="Q24" s="353">
        <f t="shared" si="7"/>
        <v>50405</v>
      </c>
      <c r="R24" s="353">
        <f t="shared" si="7"/>
        <v>50770</v>
      </c>
      <c r="S24" s="353">
        <f t="shared" si="7"/>
        <v>51135</v>
      </c>
      <c r="T24" s="353">
        <f t="shared" si="7"/>
        <v>51501</v>
      </c>
      <c r="U24" s="353">
        <f t="shared" si="7"/>
        <v>51866</v>
      </c>
      <c r="V24" s="353">
        <f t="shared" si="7"/>
        <v>52231</v>
      </c>
      <c r="W24" s="353">
        <f t="shared" si="7"/>
        <v>52596</v>
      </c>
      <c r="X24" s="353">
        <f t="shared" si="7"/>
        <v>52962</v>
      </c>
      <c r="Y24" s="353">
        <f t="shared" si="7"/>
        <v>53327</v>
      </c>
      <c r="Z24" s="353">
        <f t="shared" si="7"/>
        <v>53692</v>
      </c>
      <c r="AA24" s="353">
        <f t="shared" si="7"/>
        <v>54057</v>
      </c>
      <c r="AB24" s="353">
        <f t="shared" si="7"/>
        <v>54423</v>
      </c>
      <c r="AC24" s="353">
        <f t="shared" si="7"/>
        <v>54788</v>
      </c>
      <c r="AD24" s="353">
        <f t="shared" si="7"/>
        <v>55153</v>
      </c>
      <c r="AE24" s="353">
        <f t="shared" si="7"/>
        <v>55518</v>
      </c>
      <c r="AF24" s="353">
        <f t="shared" si="7"/>
        <v>55884</v>
      </c>
      <c r="AG24" s="353">
        <f t="shared" si="7"/>
        <v>56249</v>
      </c>
      <c r="AH24" s="353">
        <f t="shared" si="7"/>
        <v>56614</v>
      </c>
      <c r="AI24" s="353">
        <f t="shared" si="7"/>
        <v>56979</v>
      </c>
      <c r="AJ24" s="353">
        <f t="shared" si="7"/>
        <v>57345</v>
      </c>
      <c r="AK24" s="353">
        <f t="shared" si="7"/>
        <v>57710</v>
      </c>
      <c r="AL24" s="353">
        <f t="shared" si="7"/>
        <v>58075</v>
      </c>
      <c r="AM24" s="353">
        <f t="shared" si="7"/>
        <v>58440</v>
      </c>
      <c r="AN24" s="353"/>
    </row>
    <row r="25" spans="3:40" outlineLevel="3">
      <c r="C25" s="314"/>
      <c r="E25" s="266"/>
      <c r="F25" s="266"/>
      <c r="G25" s="266"/>
      <c r="H25" s="266"/>
      <c r="I25" s="266"/>
      <c r="J25" s="266"/>
      <c r="K25" s="266"/>
      <c r="L25" s="266"/>
      <c r="M25" s="266"/>
      <c r="N25" s="266"/>
      <c r="O25" s="266"/>
      <c r="P25" s="266"/>
      <c r="Q25" s="266"/>
      <c r="R25" s="266"/>
      <c r="S25" s="266"/>
      <c r="T25" s="266"/>
      <c r="U25" s="266"/>
      <c r="V25" s="266"/>
      <c r="W25" s="266"/>
      <c r="X25" s="266"/>
      <c r="Y25" s="266"/>
      <c r="Z25" s="266"/>
      <c r="AA25" s="266"/>
      <c r="AB25" s="266"/>
      <c r="AC25" s="266"/>
      <c r="AD25" s="266"/>
      <c r="AE25" s="266"/>
      <c r="AF25" s="266"/>
      <c r="AG25" s="266"/>
      <c r="AH25" s="266"/>
      <c r="AI25" s="266"/>
      <c r="AJ25" s="266"/>
      <c r="AK25" s="266"/>
      <c r="AL25" s="266"/>
      <c r="AM25" s="266"/>
      <c r="AN25" s="266"/>
    </row>
    <row r="26" spans="3:40" outlineLevel="3">
      <c r="C26" s="314" t="str">
        <f>DFs!C143</f>
        <v>Contraprestação Pública Anual + Receitas Tarifárias</v>
      </c>
      <c r="E26" s="4" t="str">
        <f>DFs!E143</f>
        <v>$ 000s</v>
      </c>
      <c r="F26" s="23">
        <f t="shared" ref="F26:F33" si="8">SUM(G26:AM26)</f>
        <v>730478.12351949513</v>
      </c>
      <c r="G26" s="273">
        <f>DFs!G143+DFs!G58</f>
        <v>15876.007815619954</v>
      </c>
      <c r="H26" s="273">
        <f>DFs!H143+DFs!H58</f>
        <v>15051.423824140365</v>
      </c>
      <c r="I26" s="273">
        <f>DFs!I143+DFs!I58</f>
        <v>19494.816785268613</v>
      </c>
      <c r="J26" s="273">
        <f>DFs!J143+DFs!J58</f>
        <v>20175.565060760062</v>
      </c>
      <c r="K26" s="273">
        <f>DFs!K143+DFs!K58</f>
        <v>20587.138871810268</v>
      </c>
      <c r="L26" s="273">
        <f>DFs!L143+DFs!L58</f>
        <v>22035.214987664876</v>
      </c>
      <c r="M26" s="273">
        <f>DFs!M143+DFs!M58</f>
        <v>22232.355854608322</v>
      </c>
      <c r="N26" s="273">
        <f>DFs!N143+DFs!N58</f>
        <v>26839.204307828644</v>
      </c>
      <c r="O26" s="273">
        <f>DFs!O143+DFs!O58</f>
        <v>23013.5189340984</v>
      </c>
      <c r="P26" s="273">
        <f>DFs!P143+DFs!P58</f>
        <v>23138.337527777629</v>
      </c>
      <c r="Q26" s="273">
        <f>DFs!Q143+DFs!Q58</f>
        <v>23417.912541307025</v>
      </c>
      <c r="R26" s="273">
        <f>DFs!R143+DFs!R58</f>
        <v>23608.050407609164</v>
      </c>
      <c r="S26" s="273">
        <f>DFs!S143+DFs!S58</f>
        <v>23802.339703083089</v>
      </c>
      <c r="T26" s="273">
        <f>DFs!T143+DFs!T58</f>
        <v>23966.702602816349</v>
      </c>
      <c r="U26" s="273">
        <f>DFs!U143+DFs!U58</f>
        <v>28394.876604747446</v>
      </c>
      <c r="V26" s="273">
        <f>DFs!V143+DFs!V58</f>
        <v>24636.676463224492</v>
      </c>
      <c r="W26" s="273">
        <f>DFs!W143+DFs!W58</f>
        <v>24684.19507732222</v>
      </c>
      <c r="X26" s="273">
        <f>DFs!X143+DFs!X58</f>
        <v>24863.670721701186</v>
      </c>
      <c r="Y26" s="273">
        <f>DFs!Y143+DFs!Y58</f>
        <v>25162.320881247691</v>
      </c>
      <c r="Z26" s="273">
        <f>DFs!Z143+DFs!Z58</f>
        <v>25308.863459034292</v>
      </c>
      <c r="AA26" s="273">
        <f>DFs!AA143+DFs!AA58</f>
        <v>25639.746802449172</v>
      </c>
      <c r="AB26" s="273">
        <f>DFs!AB143+DFs!AB58</f>
        <v>29768.55706570244</v>
      </c>
      <c r="AC26" s="273">
        <f>DFs!AC143+DFs!AC58</f>
        <v>26024.479662944304</v>
      </c>
      <c r="AD26" s="273">
        <f>DFs!AD143+DFs!AD58</f>
        <v>26242.953318025484</v>
      </c>
      <c r="AE26" s="273">
        <f>DFs!AE143+DFs!AE58</f>
        <v>26425.669828056136</v>
      </c>
      <c r="AF26" s="273">
        <f>DFs!AF143+DFs!AF58</f>
        <v>26911.406080394063</v>
      </c>
      <c r="AG26" s="273">
        <f>DFs!AG143+DFs!AG58</f>
        <v>26831.05860819446</v>
      </c>
      <c r="AH26" s="273">
        <f>DFs!AH143+DFs!AH58</f>
        <v>27224.515269547472</v>
      </c>
      <c r="AI26" s="273">
        <f>DFs!AI143+DFs!AI58</f>
        <v>31647.028278770678</v>
      </c>
      <c r="AJ26" s="273">
        <f>DFs!AJ143+DFs!AJ58</f>
        <v>27473.516173740925</v>
      </c>
      <c r="AK26" s="273">
        <f>DFs!AK143+DFs!AK58</f>
        <v>0</v>
      </c>
      <c r="AL26" s="273">
        <f>DFs!AL143+DFs!AL58</f>
        <v>0</v>
      </c>
      <c r="AM26" s="273">
        <f>DFs!AM143+DFs!AM58</f>
        <v>0</v>
      </c>
      <c r="AN26" s="273"/>
    </row>
    <row r="27" spans="3:40" outlineLevel="3">
      <c r="C27" s="314" t="str">
        <f>DFs!C144</f>
        <v>Custos e Despesas Operacionais</v>
      </c>
      <c r="E27" s="4" t="str">
        <f>DFs!E144</f>
        <v>$ 000s</v>
      </c>
      <c r="F27" s="23">
        <f t="shared" si="8"/>
        <v>-537494.62117216201</v>
      </c>
      <c r="G27" s="278">
        <f>DFs!G144</f>
        <v>-15797.541762956853</v>
      </c>
      <c r="H27" s="278">
        <f>DFs!H144</f>
        <v>-16555.215687863012</v>
      </c>
      <c r="I27" s="278">
        <f>DFs!I144</f>
        <v>-16996.464734224486</v>
      </c>
      <c r="J27" s="278">
        <f>DFs!J144</f>
        <v>-17370.115209746957</v>
      </c>
      <c r="K27" s="278">
        <f>DFs!K144</f>
        <v>-17421.856659541751</v>
      </c>
      <c r="L27" s="278">
        <f>DFs!L144</f>
        <v>-17513.311737542146</v>
      </c>
      <c r="M27" s="278">
        <f>DFs!M144</f>
        <v>-18476.065638633921</v>
      </c>
      <c r="N27" s="278">
        <f>DFs!N144</f>
        <v>-17662.762971884982</v>
      </c>
      <c r="O27" s="278">
        <f>DFs!O144</f>
        <v>-17682.006099403177</v>
      </c>
      <c r="P27" s="278">
        <f>DFs!P144</f>
        <v>-17763.936511271375</v>
      </c>
      <c r="Q27" s="278">
        <f>DFs!Q144</f>
        <v>-17783.356971761375</v>
      </c>
      <c r="R27" s="278">
        <f>DFs!R144</f>
        <v>-17803.469260294965</v>
      </c>
      <c r="S27" s="278">
        <f>DFs!S144</f>
        <v>-17821.82125542732</v>
      </c>
      <c r="T27" s="278">
        <f>DFs!T144</f>
        <v>-17841.427070875474</v>
      </c>
      <c r="U27" s="278">
        <f>DFs!U144</f>
        <v>-17860.240445326042</v>
      </c>
      <c r="V27" s="278">
        <f>DFs!V144</f>
        <v>-17888.045027404525</v>
      </c>
      <c r="W27" s="278">
        <f>DFs!W144</f>
        <v>-17899.112235367433</v>
      </c>
      <c r="X27" s="278">
        <f>DFs!X144</f>
        <v>-17918.411107770622</v>
      </c>
      <c r="Y27" s="278">
        <f>DFs!Y144</f>
        <v>-18325.444917315668</v>
      </c>
      <c r="Z27" s="278">
        <f>DFs!Z144</f>
        <v>-18344.718276993863</v>
      </c>
      <c r="AA27" s="278">
        <f>DFs!AA144</f>
        <v>-18364.55726521149</v>
      </c>
      <c r="AB27" s="278">
        <f>DFs!AB144</f>
        <v>-18384.397822560608</v>
      </c>
      <c r="AC27" s="278">
        <f>DFs!AC144</f>
        <v>-18402.673021149807</v>
      </c>
      <c r="AD27" s="278">
        <f>DFs!AD144</f>
        <v>-18422.075999163491</v>
      </c>
      <c r="AE27" s="278">
        <f>DFs!AE144</f>
        <v>-18441.370087591684</v>
      </c>
      <c r="AF27" s="278">
        <f>DFs!AF144</f>
        <v>-18469.224809900676</v>
      </c>
      <c r="AG27" s="278">
        <f>DFs!AG144</f>
        <v>-18542.238515779925</v>
      </c>
      <c r="AH27" s="278">
        <f>DFs!AH144</f>
        <v>-18561.892034367593</v>
      </c>
      <c r="AI27" s="278">
        <f>DFs!AI144</f>
        <v>-18580.772701951315</v>
      </c>
      <c r="AJ27" s="278">
        <f>DFs!AJ144</f>
        <v>-18600.095332879508</v>
      </c>
      <c r="AK27" s="278">
        <f>DFs!AK144</f>
        <v>0</v>
      </c>
      <c r="AL27" s="278">
        <f>DFs!AL144</f>
        <v>0</v>
      </c>
      <c r="AM27" s="278">
        <f>DFs!AM144</f>
        <v>0</v>
      </c>
      <c r="AN27" s="278"/>
    </row>
    <row r="28" spans="3:40" outlineLevel="3">
      <c r="C28" s="314" t="str">
        <f>DFs!C60</f>
        <v>IR / CSLL pagos</v>
      </c>
      <c r="E28" s="4" t="str">
        <f>DFs!E60</f>
        <v>$ 000s</v>
      </c>
      <c r="F28" s="23">
        <f t="shared" si="8"/>
        <v>-36456.504633005454</v>
      </c>
      <c r="G28" s="278">
        <f>DFs!G60</f>
        <v>0</v>
      </c>
      <c r="H28" s="278">
        <f>DFs!H60</f>
        <v>0</v>
      </c>
      <c r="I28" s="278">
        <f>DFs!I60</f>
        <v>-22.884310585685178</v>
      </c>
      <c r="J28" s="278">
        <f>DFs!J60</f>
        <v>-72.053827437158276</v>
      </c>
      <c r="K28" s="278">
        <f>DFs!K60</f>
        <v>-139.53091082410057</v>
      </c>
      <c r="L28" s="278">
        <f>DFs!L60</f>
        <v>-594.61204565118589</v>
      </c>
      <c r="M28" s="278">
        <f>DFs!M60</f>
        <v>-408.23945179560337</v>
      </c>
      <c r="N28" s="278">
        <f>DFs!N60</f>
        <v>-513.92216117724206</v>
      </c>
      <c r="O28" s="278">
        <f>DFs!O60</f>
        <v>-426.02171899146708</v>
      </c>
      <c r="P28" s="278">
        <f>DFs!P60</f>
        <v>-416.09956507064663</v>
      </c>
      <c r="Q28" s="278">
        <f>DFs!Q60</f>
        <v>-467.46933695780581</v>
      </c>
      <c r="R28" s="278">
        <f>DFs!R60</f>
        <v>-515.46962401239261</v>
      </c>
      <c r="S28" s="278">
        <f>DFs!S60</f>
        <v>-1095.8312275820749</v>
      </c>
      <c r="T28" s="278">
        <f>DFs!T60</f>
        <v>-1399.9248853106196</v>
      </c>
      <c r="U28" s="278">
        <f>DFs!U60</f>
        <v>-1193.776093837999</v>
      </c>
      <c r="V28" s="278">
        <f>DFs!V60</f>
        <v>-1471.2916481386703</v>
      </c>
      <c r="W28" s="278">
        <f>DFs!W60</f>
        <v>-1467.1656788679866</v>
      </c>
      <c r="X28" s="278">
        <f>DFs!X60</f>
        <v>-1557.8374085797509</v>
      </c>
      <c r="Y28" s="278">
        <f>DFs!Y60</f>
        <v>-1494.3787613802472</v>
      </c>
      <c r="Z28" s="278">
        <f>DFs!Z60</f>
        <v>-2113.4845274971044</v>
      </c>
      <c r="AA28" s="278">
        <f>DFs!AA60</f>
        <v>-2167.7863889006931</v>
      </c>
      <c r="AB28" s="278">
        <f>DFs!AB60</f>
        <v>-1934.1278525401046</v>
      </c>
      <c r="AC28" s="278">
        <f>DFs!AC60</f>
        <v>-1711.9579165700106</v>
      </c>
      <c r="AD28" s="278">
        <f>DFs!AD60</f>
        <v>-1759.9756661364365</v>
      </c>
      <c r="AE28" s="278">
        <f>DFs!AE60</f>
        <v>-1805.7709786412724</v>
      </c>
      <c r="AF28" s="278">
        <f>DFs!AF60</f>
        <v>-1996.2617253262147</v>
      </c>
      <c r="AG28" s="278">
        <f>DFs!AG60</f>
        <v>-2519.2515572194047</v>
      </c>
      <c r="AH28" s="278">
        <f>DFs!AH60</f>
        <v>-2574.6114087161445</v>
      </c>
      <c r="AI28" s="278">
        <f>DFs!AI60</f>
        <v>-2375.431209969569</v>
      </c>
      <c r="AJ28" s="278">
        <f>DFs!AJ60</f>
        <v>-2241.3367452878674</v>
      </c>
      <c r="AK28" s="278">
        <f>DFs!AK60</f>
        <v>0</v>
      </c>
      <c r="AL28" s="278">
        <f>DFs!AL60</f>
        <v>0</v>
      </c>
      <c r="AM28" s="278">
        <f>DFs!AM60</f>
        <v>0</v>
      </c>
      <c r="AN28" s="278"/>
    </row>
    <row r="29" spans="3:40" outlineLevel="3">
      <c r="C29" s="314" t="str">
        <f>DFs!C42</f>
        <v>Ajustes de Capital de Giro</v>
      </c>
      <c r="E29" s="4" t="str">
        <f>DFs!E42</f>
        <v>$ 000s</v>
      </c>
      <c r="F29" s="23">
        <f t="shared" si="8"/>
        <v>-2.2737367544323206E-13</v>
      </c>
      <c r="G29" s="278">
        <f>DFs!G42</f>
        <v>-603.77922659067826</v>
      </c>
      <c r="H29" s="278">
        <f>DFs!H42</f>
        <v>69.238521778629348</v>
      </c>
      <c r="I29" s="278">
        <f>DFs!I42</f>
        <v>-330.5296923146484</v>
      </c>
      <c r="J29" s="278">
        <f>DFs!J42</f>
        <v>-12.209749493543626</v>
      </c>
      <c r="K29" s="278">
        <f>DFs!K42</f>
        <v>-33.827984469879993</v>
      </c>
      <c r="L29" s="278">
        <f>DFs!L42</f>
        <v>-116.20539711625182</v>
      </c>
      <c r="M29" s="278">
        <f>DFs!M42</f>
        <v>-19.017916538382877</v>
      </c>
      <c r="N29" s="278">
        <f>DFs!N42</f>
        <v>-92.622664670163658</v>
      </c>
      <c r="O29" s="278">
        <f>DFs!O42</f>
        <v>28.417480054540874</v>
      </c>
      <c r="P29" s="278">
        <f>DFs!P42</f>
        <v>-7.1967791831050647</v>
      </c>
      <c r="Q29" s="278">
        <f>DFs!Q42</f>
        <v>-26.04105154637088</v>
      </c>
      <c r="R29" s="278">
        <f>DFs!R42</f>
        <v>-15.627769833052753</v>
      </c>
      <c r="S29" s="278">
        <f>DFs!S42</f>
        <v>-15.968983189637356</v>
      </c>
      <c r="T29" s="278">
        <f>DFs!T42</f>
        <v>-10.260972073456998</v>
      </c>
      <c r="U29" s="278">
        <f>DFs!U42</f>
        <v>-82.253112359230016</v>
      </c>
      <c r="V29" s="278">
        <f>DFs!V42</f>
        <v>23.93846031147541</v>
      </c>
      <c r="W29" s="278">
        <f>DFs!W42</f>
        <v>-3.9056395148816136</v>
      </c>
      <c r="X29" s="278">
        <f>DFs!X42</f>
        <v>-11.301685395137184</v>
      </c>
      <c r="Y29" s="278">
        <f>DFs!Y42</f>
        <v>12.051645893317783</v>
      </c>
      <c r="Z29" s="278">
        <f>DFs!Z42</f>
        <v>-12.044595434515031</v>
      </c>
      <c r="AA29" s="278">
        <f>DFs!AA42</f>
        <v>-27.195891239578941</v>
      </c>
      <c r="AB29" s="278">
        <f>DFs!AB42</f>
        <v>-69.962237537359584</v>
      </c>
      <c r="AC29" s="278">
        <f>DFs!AC42</f>
        <v>38.340358592553827</v>
      </c>
      <c r="AD29" s="278">
        <f>DFs!AD42</f>
        <v>-17.956738773795678</v>
      </c>
      <c r="AE29" s="278">
        <f>DFs!AE42</f>
        <v>-15.017795344985188</v>
      </c>
      <c r="AF29" s="278">
        <f>DFs!AF42</f>
        <v>-36.123355612430629</v>
      </c>
      <c r="AG29" s="278">
        <f>DFs!AG42</f>
        <v>2.8037298476373564</v>
      </c>
      <c r="AH29" s="278">
        <f>DFs!AH42</f>
        <v>-32.338903672850392</v>
      </c>
      <c r="AI29" s="278">
        <f>DFs!AI42</f>
        <v>-51.178028023825391</v>
      </c>
      <c r="AJ29" s="278">
        <f>DFs!AJ42</f>
        <v>1467.7759734496067</v>
      </c>
      <c r="AK29" s="278">
        <f>DFs!AK42</f>
        <v>0</v>
      </c>
      <c r="AL29" s="278">
        <f>DFs!AL42</f>
        <v>0</v>
      </c>
      <c r="AM29" s="278">
        <f>DFs!AM42</f>
        <v>0</v>
      </c>
      <c r="AN29" s="278"/>
    </row>
    <row r="30" spans="3:40" outlineLevel="3">
      <c r="C30" s="314" t="str">
        <f>DFs!C49</f>
        <v>CAPEX total</v>
      </c>
      <c r="E30" s="4" t="str">
        <f>DFs!E49</f>
        <v>$ 000s</v>
      </c>
      <c r="F30" s="23">
        <f t="shared" si="8"/>
        <v>-76776.486292563059</v>
      </c>
      <c r="G30" s="278">
        <f>DFs!G49</f>
        <v>-10775.031120895999</v>
      </c>
      <c r="H30" s="278">
        <f>DFs!H49</f>
        <v>-1472.4358093250448</v>
      </c>
      <c r="I30" s="278">
        <f>DFs!I49</f>
        <v>-1743.4786958342002</v>
      </c>
      <c r="J30" s="278">
        <f>DFs!J49</f>
        <v>-397.26424167419998</v>
      </c>
      <c r="K30" s="278">
        <f>DFs!K49</f>
        <v>-763.15204167420006</v>
      </c>
      <c r="L30" s="278">
        <f>DFs!L49</f>
        <v>-12305.51313337047</v>
      </c>
      <c r="M30" s="278">
        <f>DFs!M49</f>
        <v>-241.59493295294399</v>
      </c>
      <c r="N30" s="278">
        <f>DFs!N49</f>
        <v>-8189.1826116742004</v>
      </c>
      <c r="O30" s="278">
        <f>DFs!O49</f>
        <v>-43.404541674200004</v>
      </c>
      <c r="P30" s="278">
        <f>DFs!P49</f>
        <v>-845.77904167420013</v>
      </c>
      <c r="Q30" s="278">
        <f>DFs!Q49</f>
        <v>-1452.9584045185595</v>
      </c>
      <c r="R30" s="278">
        <f>DFs!R49</f>
        <v>-1099.803583204369</v>
      </c>
      <c r="S30" s="278">
        <f>DFs!S49</f>
        <v>-797.93392010620016</v>
      </c>
      <c r="T30" s="278">
        <f>DFs!T49</f>
        <v>-178.80952295294401</v>
      </c>
      <c r="U30" s="278">
        <f>DFs!U49</f>
        <v>-8180.5448516742008</v>
      </c>
      <c r="V30" s="278">
        <f>DFs!V49</f>
        <v>-2648.0324560422537</v>
      </c>
      <c r="W30" s="278">
        <f>DFs!W49</f>
        <v>-783.53025167420014</v>
      </c>
      <c r="X30" s="278">
        <f>DFs!X49</f>
        <v>-351.64980167419998</v>
      </c>
      <c r="Y30" s="278">
        <f>DFs!Y49</f>
        <v>-825.99884167420009</v>
      </c>
      <c r="Z30" s="278">
        <f>DFs!Z49</f>
        <v>-49.327041674200004</v>
      </c>
      <c r="AA30" s="278">
        <f>DFs!AA49</f>
        <v>-1270.9883857973036</v>
      </c>
      <c r="AB30" s="278">
        <f>DFs!AB49</f>
        <v>-8611.8881932043696</v>
      </c>
      <c r="AC30" s="278">
        <f>DFs!AC49</f>
        <v>-735.3069201062001</v>
      </c>
      <c r="AD30" s="278">
        <f>DFs!AD49</f>
        <v>-757.22954167420005</v>
      </c>
      <c r="AE30" s="278">
        <f>DFs!AE49</f>
        <v>-397.92364167419998</v>
      </c>
      <c r="AF30" s="278">
        <f>DFs!AF49</f>
        <v>-3319.4787361862541</v>
      </c>
      <c r="AG30" s="278">
        <f>DFs!AG49</f>
        <v>-63.7827516742</v>
      </c>
      <c r="AH30" s="278">
        <f>DFs!AH49</f>
        <v>-1997.3976029529438</v>
      </c>
      <c r="AI30" s="278">
        <f>DFs!AI49</f>
        <v>-6413.6611316742001</v>
      </c>
      <c r="AJ30" s="278">
        <f>DFs!AJ49</f>
        <v>-63.404541674200004</v>
      </c>
      <c r="AK30" s="278">
        <f>DFs!AK49</f>
        <v>0</v>
      </c>
      <c r="AL30" s="278">
        <f>DFs!AL49</f>
        <v>0</v>
      </c>
      <c r="AM30" s="278">
        <f>DFs!AM49</f>
        <v>0</v>
      </c>
      <c r="AN30" s="278"/>
    </row>
    <row r="31" spans="3:40" outlineLevel="3">
      <c r="C31" s="314" t="s">
        <v>670</v>
      </c>
      <c r="E31" s="4" t="str">
        <f>DFs!E67</f>
        <v>$ 000s</v>
      </c>
      <c r="F31" s="23">
        <f t="shared" ca="1" si="8"/>
        <v>-21660.671032363385</v>
      </c>
      <c r="G31" s="278">
        <f ca="1">DFs!G67+DFs!G53</f>
        <v>4794.8888487987188</v>
      </c>
      <c r="H31" s="278">
        <f ca="1">DFs!H67+DFs!H53</f>
        <v>62.60722350036508</v>
      </c>
      <c r="I31" s="278">
        <f ca="1">DFs!I67+DFs!I53</f>
        <v>-397.43929101791116</v>
      </c>
      <c r="J31" s="278">
        <f ca="1">DFs!J67+DFs!J53</f>
        <v>-1052.7110160553216</v>
      </c>
      <c r="K31" s="278">
        <f ca="1">DFs!K67+DFs!K53</f>
        <v>-886.89331750845054</v>
      </c>
      <c r="L31" s="278">
        <f ca="1">DFs!L67+DFs!L53</f>
        <v>3708.2854427083994</v>
      </c>
      <c r="M31" s="278">
        <f ca="1">DFs!M67+DFs!M53</f>
        <v>-2227.3706170271876</v>
      </c>
      <c r="N31" s="278">
        <f ca="1">DFs!N67+DFs!N53</f>
        <v>964.06286971838153</v>
      </c>
      <c r="O31" s="278">
        <f ca="1">DFs!O67+DFs!O53</f>
        <v>-2940.8819135147401</v>
      </c>
      <c r="P31" s="278">
        <f ca="1">DFs!P67+DFs!P53</f>
        <v>-2473.282607860227</v>
      </c>
      <c r="Q31" s="278">
        <f ca="1">DFs!Q67+DFs!Q53</f>
        <v>-2190.6974073361625</v>
      </c>
      <c r="R31" s="278">
        <f ca="1">DFs!R67+DFs!R53</f>
        <v>-2344.4374896215622</v>
      </c>
      <c r="S31" s="278">
        <f ca="1">DFs!S67+DFs!S53</f>
        <v>-2433.5957036061423</v>
      </c>
      <c r="T31" s="278">
        <f ca="1">DFs!T67+DFs!T53</f>
        <v>-2566.4176985189251</v>
      </c>
      <c r="U31" s="278">
        <f ca="1">DFs!U67+DFs!U53</f>
        <v>-840.96172474637569</v>
      </c>
      <c r="V31" s="278">
        <f ca="1">DFs!V67+DFs!V53</f>
        <v>-3162.5984499687574</v>
      </c>
      <c r="W31" s="278">
        <f ca="1">DFs!W67+DFs!W53</f>
        <v>80.473365922821756</v>
      </c>
      <c r="X31" s="278">
        <f ca="1">DFs!X67+DFs!X53</f>
        <v>-154.85145133245786</v>
      </c>
      <c r="Y31" s="278">
        <f ca="1">DFs!Y67+DFs!Y53</f>
        <v>17.445402342184934</v>
      </c>
      <c r="Z31" s="278">
        <f ca="1">DFs!Z67+DFs!Z53</f>
        <v>-357.09090681365882</v>
      </c>
      <c r="AA31" s="278">
        <f ca="1">DFs!AA67+DFs!AA53</f>
        <v>139.2873363417026</v>
      </c>
      <c r="AB31" s="278">
        <f ca="1">DFs!AB67+DFs!AB53</f>
        <v>2883.6369441876095</v>
      </c>
      <c r="AC31" s="278">
        <f ca="1">DFs!AC67+DFs!AC53</f>
        <v>-1062.4322621244055</v>
      </c>
      <c r="AD31" s="278">
        <f ca="1">DFs!AD67+DFs!AD53</f>
        <v>-1063.5311721125072</v>
      </c>
      <c r="AE31" s="278">
        <f ca="1">DFs!AE67+DFs!AE53</f>
        <v>-1208.6053367675756</v>
      </c>
      <c r="AF31" s="278">
        <f ca="1">DFs!AF67+DFs!AF53</f>
        <v>-169.07447112854197</v>
      </c>
      <c r="AG31" s="278">
        <f ca="1">DFs!AG67+DFs!AG53</f>
        <v>-1678.616570096</v>
      </c>
      <c r="AH31" s="278">
        <f ca="1">DFs!AH67+DFs!AH53</f>
        <v>-1023.901811685752</v>
      </c>
      <c r="AI31" s="278">
        <f ca="1">DFs!AI67+DFs!AI53</f>
        <v>-604.65393500617256</v>
      </c>
      <c r="AJ31" s="278">
        <f ca="1">DFs!AJ67+DFs!AJ53</f>
        <v>-3471.3133120347306</v>
      </c>
      <c r="AK31" s="278">
        <f ca="1">DFs!AK67+DFs!AK53</f>
        <v>0</v>
      </c>
      <c r="AL31" s="278">
        <f ca="1">DFs!AL67+DFs!AL53</f>
        <v>0</v>
      </c>
      <c r="AM31" s="278">
        <f ca="1">DFs!AM67+DFs!AM53</f>
        <v>0</v>
      </c>
      <c r="AN31" s="278"/>
    </row>
    <row r="32" spans="3:40" outlineLevel="3">
      <c r="C32" s="314" t="s">
        <v>671</v>
      </c>
      <c r="E32" s="4" t="s">
        <v>13</v>
      </c>
      <c r="F32" s="23">
        <f t="shared" si="8"/>
        <v>6931.0525305244673</v>
      </c>
      <c r="G32" s="278"/>
      <c r="H32" s="278"/>
      <c r="I32" s="278"/>
      <c r="J32" s="278"/>
      <c r="K32" s="278"/>
      <c r="L32" s="278"/>
      <c r="M32" s="278"/>
      <c r="N32" s="278"/>
      <c r="O32" s="278"/>
      <c r="P32" s="278"/>
      <c r="Q32" s="278"/>
      <c r="R32" s="278"/>
      <c r="S32" s="278"/>
      <c r="T32" s="278"/>
      <c r="U32" s="278"/>
      <c r="V32" s="278"/>
      <c r="W32" s="278"/>
      <c r="X32" s="278"/>
      <c r="Y32" s="278"/>
      <c r="Z32" s="278"/>
      <c r="AA32" s="278"/>
      <c r="AB32" s="278"/>
      <c r="AC32" s="278"/>
      <c r="AD32" s="278"/>
      <c r="AE32" s="278"/>
      <c r="AF32" s="278"/>
      <c r="AG32" s="278"/>
      <c r="AH32" s="278"/>
      <c r="AI32" s="278"/>
      <c r="AJ32" s="278">
        <f>Ops!AJ897+Ops!AJ905</f>
        <v>6931.0525305244673</v>
      </c>
      <c r="AK32" s="278"/>
      <c r="AL32" s="278"/>
      <c r="AM32" s="278"/>
      <c r="AN32" s="278"/>
    </row>
    <row r="33" spans="3:40" outlineLevel="3">
      <c r="C33" s="314" t="s">
        <v>672</v>
      </c>
      <c r="E33" s="4" t="str">
        <f>DFs!E69</f>
        <v>$ 000s</v>
      </c>
      <c r="F33" s="23">
        <f t="shared" ca="1" si="8"/>
        <v>65020.892919925733</v>
      </c>
      <c r="G33" s="278">
        <f t="shared" ref="G33:AM33" ca="1" si="9">SUM(G26:G32)</f>
        <v>-6505.4554460248564</v>
      </c>
      <c r="H33" s="278">
        <f t="shared" ca="1" si="9"/>
        <v>-2844.3819277686971</v>
      </c>
      <c r="I33" s="278">
        <f t="shared" ca="1" si="9"/>
        <v>4.0200612916815999</v>
      </c>
      <c r="J33" s="278">
        <f t="shared" ca="1" si="9"/>
        <v>1271.2110163528814</v>
      </c>
      <c r="K33" s="278">
        <f t="shared" ca="1" si="9"/>
        <v>1341.8779577918865</v>
      </c>
      <c r="L33" s="278">
        <f t="shared" ca="1" si="9"/>
        <v>-4786.1418833067792</v>
      </c>
      <c r="M33" s="278">
        <f t="shared" ca="1" si="9"/>
        <v>860.06729766028275</v>
      </c>
      <c r="N33" s="278">
        <f t="shared" ca="1" si="9"/>
        <v>1344.7767681404371</v>
      </c>
      <c r="O33" s="278">
        <f t="shared" ca="1" si="9"/>
        <v>1949.6221405693555</v>
      </c>
      <c r="P33" s="278">
        <f t="shared" ca="1" si="9"/>
        <v>1632.0430227180755</v>
      </c>
      <c r="Q33" s="278">
        <f t="shared" ca="1" si="9"/>
        <v>1497.3893691867515</v>
      </c>
      <c r="R33" s="278">
        <f t="shared" ca="1" si="9"/>
        <v>1829.242680642823</v>
      </c>
      <c r="S33" s="278">
        <f t="shared" ca="1" si="9"/>
        <v>1637.1886131717142</v>
      </c>
      <c r="T33" s="278">
        <f t="shared" ca="1" si="9"/>
        <v>1969.8624530849293</v>
      </c>
      <c r="U33" s="278">
        <f t="shared" ca="1" si="9"/>
        <v>237.10037680359619</v>
      </c>
      <c r="V33" s="278">
        <f t="shared" ca="1" si="9"/>
        <v>-509.35265801823925</v>
      </c>
      <c r="W33" s="278">
        <f t="shared" ca="1" si="9"/>
        <v>4610.9546378205396</v>
      </c>
      <c r="X33" s="278">
        <f t="shared" ca="1" si="9"/>
        <v>4869.6192669490174</v>
      </c>
      <c r="Y33" s="278">
        <f t="shared" ca="1" si="9"/>
        <v>4545.9954091130794</v>
      </c>
      <c r="Z33" s="278">
        <f t="shared" ca="1" si="9"/>
        <v>4432.1981106209505</v>
      </c>
      <c r="AA33" s="278">
        <f t="shared" ca="1" si="9"/>
        <v>3948.5062076418094</v>
      </c>
      <c r="AB33" s="278">
        <f t="shared" ca="1" si="9"/>
        <v>3651.817904047607</v>
      </c>
      <c r="AC33" s="278">
        <f t="shared" ca="1" si="9"/>
        <v>4150.4499015864349</v>
      </c>
      <c r="AD33" s="278">
        <f t="shared" ca="1" si="9"/>
        <v>4222.184200165053</v>
      </c>
      <c r="AE33" s="278">
        <f t="shared" ca="1" si="9"/>
        <v>4556.9819880364184</v>
      </c>
      <c r="AF33" s="278">
        <f t="shared" ca="1" si="9"/>
        <v>2921.2429822399463</v>
      </c>
      <c r="AG33" s="278">
        <f t="shared" ca="1" si="9"/>
        <v>4029.972943272568</v>
      </c>
      <c r="AH33" s="278">
        <f t="shared" ca="1" si="9"/>
        <v>3034.3735081521886</v>
      </c>
      <c r="AI33" s="278">
        <f t="shared" ca="1" si="9"/>
        <v>3621.3312721455964</v>
      </c>
      <c r="AJ33" s="278">
        <f t="shared" ca="1" si="9"/>
        <v>11496.194745838693</v>
      </c>
      <c r="AK33" s="278">
        <f t="shared" ca="1" si="9"/>
        <v>0</v>
      </c>
      <c r="AL33" s="278">
        <f t="shared" ca="1" si="9"/>
        <v>0</v>
      </c>
      <c r="AM33" s="278">
        <f t="shared" ca="1" si="9"/>
        <v>0</v>
      </c>
      <c r="AN33" s="278"/>
    </row>
    <row r="34" spans="3:40" ht="16.2" outlineLevel="3" thickBot="1">
      <c r="C34" s="314"/>
      <c r="E34" s="266"/>
      <c r="F34" s="266"/>
      <c r="G34" s="278"/>
      <c r="H34" s="278"/>
      <c r="I34" s="278"/>
      <c r="J34" s="278"/>
      <c r="K34" s="278"/>
      <c r="L34" s="278"/>
      <c r="M34" s="278"/>
      <c r="N34" s="278"/>
      <c r="O34" s="278"/>
      <c r="P34" s="278"/>
      <c r="Q34" s="278"/>
      <c r="R34" s="278"/>
      <c r="S34" s="278"/>
      <c r="T34" s="278"/>
      <c r="U34" s="278"/>
      <c r="V34" s="278"/>
      <c r="W34" s="278"/>
      <c r="X34" s="278"/>
      <c r="Y34" s="278"/>
      <c r="Z34" s="278"/>
      <c r="AA34" s="278"/>
      <c r="AB34" s="278"/>
      <c r="AC34" s="278"/>
      <c r="AD34" s="278"/>
      <c r="AE34" s="278"/>
      <c r="AF34" s="278"/>
      <c r="AG34" s="278"/>
      <c r="AH34" s="278"/>
      <c r="AI34" s="278"/>
      <c r="AJ34" s="278"/>
      <c r="AK34" s="278"/>
      <c r="AL34" s="278"/>
      <c r="AM34" s="278"/>
      <c r="AN34" s="278"/>
    </row>
    <row r="35" spans="3:40" ht="16.2" outlineLevel="3" thickBot="1">
      <c r="C35" s="475" t="s">
        <v>673</v>
      </c>
      <c r="D35" s="478">
        <f ca="1">MIRR(G33:AM33,Kd,D19)</f>
        <v>0.13755849999026659</v>
      </c>
      <c r="E35" s="476" t="s">
        <v>313</v>
      </c>
      <c r="F35" s="477"/>
      <c r="G35" s="266"/>
      <c r="H35" s="266"/>
      <c r="I35" s="266"/>
      <c r="J35" s="266"/>
      <c r="K35" s="266"/>
      <c r="L35" s="266"/>
      <c r="M35" s="266"/>
      <c r="N35" s="266"/>
      <c r="O35" s="266"/>
      <c r="P35" s="266"/>
      <c r="Q35" s="266"/>
      <c r="R35" s="266"/>
      <c r="S35" s="266"/>
      <c r="T35" s="266"/>
      <c r="U35" s="266"/>
      <c r="V35" s="266"/>
      <c r="W35" s="266"/>
      <c r="X35" s="266"/>
      <c r="Y35" s="266"/>
      <c r="Z35" s="266"/>
      <c r="AA35" s="266"/>
      <c r="AB35" s="266"/>
      <c r="AC35" s="266"/>
      <c r="AD35" s="266"/>
      <c r="AE35" s="266"/>
      <c r="AF35" s="266"/>
      <c r="AG35" s="266"/>
      <c r="AH35" s="266"/>
      <c r="AI35" s="266"/>
      <c r="AJ35" s="266"/>
      <c r="AK35" s="266"/>
      <c r="AL35" s="266"/>
      <c r="AM35" s="266"/>
      <c r="AN35" s="266"/>
    </row>
    <row r="36" spans="3:40" outlineLevel="2">
      <c r="C36" s="266"/>
      <c r="E36" s="266"/>
      <c r="F36" s="266"/>
      <c r="G36" s="266"/>
      <c r="H36" s="266"/>
      <c r="I36" s="266"/>
      <c r="J36" s="266"/>
      <c r="K36" s="266"/>
      <c r="L36" s="266"/>
      <c r="M36" s="266"/>
      <c r="N36" s="266"/>
      <c r="O36" s="266"/>
      <c r="P36" s="266"/>
      <c r="Q36" s="266"/>
      <c r="R36" s="266"/>
      <c r="S36" s="266"/>
      <c r="T36" s="266"/>
      <c r="U36" s="266"/>
      <c r="V36" s="266"/>
      <c r="W36" s="266"/>
      <c r="X36" s="266"/>
      <c r="Y36" s="266"/>
      <c r="Z36" s="266"/>
      <c r="AA36" s="266"/>
      <c r="AB36" s="266"/>
      <c r="AC36" s="266"/>
      <c r="AD36" s="266"/>
      <c r="AE36" s="266"/>
      <c r="AF36" s="266"/>
      <c r="AG36" s="266"/>
      <c r="AH36" s="266"/>
      <c r="AI36" s="266"/>
      <c r="AJ36" s="266"/>
      <c r="AK36" s="266"/>
      <c r="AL36" s="266"/>
      <c r="AM36" s="266"/>
      <c r="AN36" s="266"/>
    </row>
    <row r="37" spans="3:40" outlineLevel="1">
      <c r="C37" s="266"/>
      <c r="E37" s="266"/>
      <c r="F37" s="266"/>
      <c r="G37" s="266"/>
      <c r="H37" s="266"/>
      <c r="I37" s="266"/>
      <c r="J37" s="266"/>
      <c r="K37" s="266"/>
      <c r="L37" s="266"/>
      <c r="M37" s="266"/>
      <c r="N37" s="266"/>
      <c r="O37" s="266"/>
      <c r="P37" s="266"/>
      <c r="Q37" s="266"/>
      <c r="R37" s="266"/>
      <c r="S37" s="266"/>
      <c r="T37" s="266"/>
      <c r="U37" s="266"/>
      <c r="V37" s="266"/>
      <c r="W37" s="266"/>
      <c r="X37" s="266"/>
      <c r="Y37" s="266"/>
      <c r="Z37" s="266"/>
      <c r="AA37" s="266"/>
      <c r="AB37" s="266"/>
      <c r="AC37" s="266"/>
      <c r="AD37" s="266"/>
      <c r="AE37" s="266"/>
      <c r="AF37" s="266"/>
      <c r="AG37" s="266"/>
      <c r="AH37" s="266"/>
      <c r="AI37" s="266"/>
      <c r="AJ37" s="266"/>
      <c r="AK37" s="266"/>
      <c r="AL37" s="266"/>
      <c r="AM37" s="266"/>
      <c r="AN37" s="266"/>
    </row>
    <row r="38" spans="3:40" outlineLevel="1">
      <c r="C38" t="s">
        <v>674</v>
      </c>
      <c r="E38" s="266"/>
      <c r="F38" s="266"/>
      <c r="G38" s="266"/>
      <c r="H38" s="266"/>
      <c r="I38" s="266"/>
      <c r="J38" s="266"/>
      <c r="K38" s="266"/>
      <c r="L38" s="266"/>
      <c r="M38" s="266"/>
      <c r="N38" s="266"/>
      <c r="O38" s="266"/>
      <c r="P38" s="266"/>
      <c r="Q38" s="266"/>
      <c r="R38" s="266"/>
      <c r="S38" s="266"/>
      <c r="T38" s="266"/>
      <c r="U38" s="266"/>
      <c r="V38" s="266"/>
      <c r="W38" s="266"/>
      <c r="X38" s="266"/>
      <c r="Y38" s="266"/>
      <c r="Z38" s="266"/>
      <c r="AA38" s="266"/>
      <c r="AB38" s="266"/>
      <c r="AC38" s="266"/>
      <c r="AD38" s="266"/>
      <c r="AE38" s="266"/>
      <c r="AF38" s="266"/>
      <c r="AG38" s="266"/>
      <c r="AH38" s="266"/>
      <c r="AI38" s="266"/>
      <c r="AJ38" s="266"/>
      <c r="AK38" s="266"/>
      <c r="AL38" s="266"/>
      <c r="AM38" s="266"/>
      <c r="AN38" s="266"/>
    </row>
    <row r="39" spans="3:40" outlineLevel="2">
      <c r="C39" t="s">
        <v>675</v>
      </c>
      <c r="E39" s="4"/>
      <c r="F39" s="266"/>
      <c r="G39" s="266"/>
      <c r="H39" s="266"/>
      <c r="I39" s="266"/>
      <c r="J39" s="266"/>
      <c r="K39" s="266"/>
      <c r="L39" s="266"/>
      <c r="M39" s="266"/>
      <c r="N39" s="266"/>
      <c r="O39" s="266"/>
      <c r="P39" s="266"/>
      <c r="Q39" s="266"/>
      <c r="R39" s="266"/>
      <c r="S39" s="266"/>
      <c r="T39" s="266"/>
      <c r="U39" s="266"/>
      <c r="V39" s="266"/>
      <c r="W39" s="266"/>
      <c r="X39" s="266"/>
      <c r="Y39" s="266"/>
      <c r="Z39" s="266"/>
      <c r="AA39" s="266"/>
      <c r="AB39" s="266"/>
      <c r="AC39" s="266"/>
      <c r="AD39" s="266"/>
      <c r="AE39" s="266"/>
      <c r="AF39" s="266"/>
      <c r="AG39" s="266"/>
      <c r="AH39" s="266"/>
      <c r="AI39" s="266"/>
      <c r="AJ39" s="266"/>
      <c r="AK39" s="266"/>
      <c r="AL39" s="266"/>
      <c r="AM39" s="266"/>
      <c r="AN39" s="266"/>
    </row>
    <row r="40" spans="3:40" outlineLevel="3">
      <c r="C40" s="314" t="str">
        <f>C14</f>
        <v>Data valuation</v>
      </c>
      <c r="D40" s="33">
        <f>D14</f>
        <v>46388</v>
      </c>
      <c r="E40" s="4" t="s">
        <v>133</v>
      </c>
      <c r="F40" s="266"/>
      <c r="G40" s="266"/>
      <c r="H40" s="266"/>
      <c r="I40" s="266"/>
      <c r="J40" s="266"/>
      <c r="K40" s="266"/>
      <c r="L40" s="266"/>
      <c r="M40" s="266"/>
      <c r="N40" s="266"/>
      <c r="O40" s="266"/>
      <c r="P40" s="266"/>
      <c r="Q40" s="266"/>
      <c r="R40" s="266"/>
      <c r="S40" s="266"/>
      <c r="T40" s="266"/>
      <c r="U40" s="266"/>
      <c r="V40" s="266"/>
      <c r="W40" s="266"/>
      <c r="X40" s="266"/>
      <c r="Y40" s="266"/>
      <c r="Z40" s="266"/>
      <c r="AA40" s="266"/>
      <c r="AB40" s="266"/>
      <c r="AC40" s="266"/>
      <c r="AD40" s="266"/>
      <c r="AE40" s="266"/>
      <c r="AF40" s="266"/>
      <c r="AG40" s="266"/>
      <c r="AH40" s="266"/>
      <c r="AI40" s="266"/>
      <c r="AJ40" s="266"/>
      <c r="AK40" s="266"/>
      <c r="AL40" s="266"/>
      <c r="AM40" s="266"/>
      <c r="AN40" s="266"/>
    </row>
    <row r="41" spans="3:40" outlineLevel="3">
      <c r="C41" s="314" t="str">
        <f>C15</f>
        <v>Dias no ano</v>
      </c>
      <c r="D41" s="38">
        <f>Days_yr</f>
        <v>365</v>
      </c>
      <c r="E41" s="4" t="s">
        <v>304</v>
      </c>
      <c r="F41" s="266"/>
      <c r="G41" s="266"/>
      <c r="H41" s="266"/>
      <c r="I41" s="266"/>
      <c r="J41" s="266"/>
      <c r="K41" s="266"/>
      <c r="L41" s="266"/>
      <c r="M41" s="266"/>
      <c r="N41" s="266"/>
      <c r="O41" s="266"/>
      <c r="P41" s="266"/>
      <c r="Q41" s="266"/>
      <c r="R41" s="266"/>
      <c r="S41" s="266"/>
      <c r="T41" s="266"/>
      <c r="U41" s="266"/>
      <c r="V41" s="266"/>
      <c r="W41" s="266"/>
      <c r="X41" s="266"/>
      <c r="Y41" s="266"/>
      <c r="Z41" s="266"/>
      <c r="AA41" s="266"/>
      <c r="AB41" s="266"/>
      <c r="AC41" s="266"/>
      <c r="AD41" s="266"/>
      <c r="AE41" s="266"/>
      <c r="AF41" s="266"/>
      <c r="AG41" s="266"/>
      <c r="AH41" s="266"/>
      <c r="AI41" s="266"/>
      <c r="AJ41" s="266"/>
      <c r="AK41" s="266"/>
      <c r="AL41" s="266"/>
      <c r="AM41" s="266"/>
      <c r="AN41" s="266"/>
    </row>
    <row r="42" spans="3:40" outlineLevel="3">
      <c r="C42" s="314" t="str">
        <f>C16</f>
        <v>Fim período</v>
      </c>
      <c r="E42" s="4" t="s">
        <v>133</v>
      </c>
      <c r="F42" s="266"/>
      <c r="G42" s="353">
        <f t="shared" ref="G42:AM42" si="10">G16</f>
        <v>46752</v>
      </c>
      <c r="H42" s="353">
        <f t="shared" si="10"/>
        <v>47118</v>
      </c>
      <c r="I42" s="353">
        <f t="shared" si="10"/>
        <v>47483</v>
      </c>
      <c r="J42" s="353">
        <f t="shared" si="10"/>
        <v>47848</v>
      </c>
      <c r="K42" s="353">
        <f t="shared" si="10"/>
        <v>48213</v>
      </c>
      <c r="L42" s="353">
        <f t="shared" si="10"/>
        <v>48579</v>
      </c>
      <c r="M42" s="353">
        <f t="shared" si="10"/>
        <v>48944</v>
      </c>
      <c r="N42" s="353">
        <f t="shared" si="10"/>
        <v>49309</v>
      </c>
      <c r="O42" s="353">
        <f t="shared" si="10"/>
        <v>49674</v>
      </c>
      <c r="P42" s="353">
        <f t="shared" si="10"/>
        <v>50040</v>
      </c>
      <c r="Q42" s="353">
        <f t="shared" si="10"/>
        <v>50405</v>
      </c>
      <c r="R42" s="353">
        <f t="shared" si="10"/>
        <v>50770</v>
      </c>
      <c r="S42" s="353">
        <f t="shared" si="10"/>
        <v>51135</v>
      </c>
      <c r="T42" s="353">
        <f t="shared" si="10"/>
        <v>51501</v>
      </c>
      <c r="U42" s="353">
        <f t="shared" si="10"/>
        <v>51866</v>
      </c>
      <c r="V42" s="353">
        <f t="shared" si="10"/>
        <v>52231</v>
      </c>
      <c r="W42" s="353">
        <f t="shared" si="10"/>
        <v>52596</v>
      </c>
      <c r="X42" s="353">
        <f t="shared" si="10"/>
        <v>52962</v>
      </c>
      <c r="Y42" s="353">
        <f t="shared" si="10"/>
        <v>53327</v>
      </c>
      <c r="Z42" s="353">
        <f t="shared" si="10"/>
        <v>53692</v>
      </c>
      <c r="AA42" s="353">
        <f t="shared" si="10"/>
        <v>54057</v>
      </c>
      <c r="AB42" s="353">
        <f t="shared" si="10"/>
        <v>54423</v>
      </c>
      <c r="AC42" s="353">
        <f t="shared" si="10"/>
        <v>54788</v>
      </c>
      <c r="AD42" s="353">
        <f t="shared" si="10"/>
        <v>55153</v>
      </c>
      <c r="AE42" s="353">
        <f t="shared" si="10"/>
        <v>55518</v>
      </c>
      <c r="AF42" s="353">
        <f t="shared" si="10"/>
        <v>55884</v>
      </c>
      <c r="AG42" s="353">
        <f t="shared" si="10"/>
        <v>56249</v>
      </c>
      <c r="AH42" s="353">
        <f t="shared" si="10"/>
        <v>56614</v>
      </c>
      <c r="AI42" s="353">
        <f t="shared" si="10"/>
        <v>56979</v>
      </c>
      <c r="AJ42" s="353">
        <f t="shared" si="10"/>
        <v>57345</v>
      </c>
      <c r="AK42" s="353">
        <f t="shared" si="10"/>
        <v>57710</v>
      </c>
      <c r="AL42" s="353">
        <f t="shared" si="10"/>
        <v>58075</v>
      </c>
      <c r="AM42" s="353">
        <f t="shared" si="10"/>
        <v>58440</v>
      </c>
      <c r="AN42" s="353"/>
    </row>
    <row r="43" spans="3:40" outlineLevel="3">
      <c r="C43" s="314" t="str">
        <f>C17</f>
        <v>Anos entre data valuation</v>
      </c>
      <c r="E43" s="4" t="s">
        <v>38</v>
      </c>
      <c r="F43" s="266"/>
      <c r="G43" s="318">
        <f t="shared" ref="G43:AM43" si="11">G17</f>
        <v>0.99726027397260275</v>
      </c>
      <c r="H43" s="318">
        <f t="shared" si="11"/>
        <v>2</v>
      </c>
      <c r="I43" s="318">
        <f t="shared" si="11"/>
        <v>3</v>
      </c>
      <c r="J43" s="318">
        <f t="shared" si="11"/>
        <v>4</v>
      </c>
      <c r="K43" s="318">
        <f t="shared" si="11"/>
        <v>5</v>
      </c>
      <c r="L43" s="318">
        <f t="shared" si="11"/>
        <v>6.0027397260273974</v>
      </c>
      <c r="M43" s="318">
        <f t="shared" si="11"/>
        <v>7.0027397260273974</v>
      </c>
      <c r="N43" s="318">
        <f t="shared" si="11"/>
        <v>8.0027397260273965</v>
      </c>
      <c r="O43" s="318">
        <f t="shared" si="11"/>
        <v>9.0027397260273965</v>
      </c>
      <c r="P43" s="318">
        <f t="shared" si="11"/>
        <v>10.005479452054795</v>
      </c>
      <c r="Q43" s="318">
        <f t="shared" si="11"/>
        <v>11.005479452054795</v>
      </c>
      <c r="R43" s="318">
        <f t="shared" si="11"/>
        <v>12.005479452054795</v>
      </c>
      <c r="S43" s="318">
        <f t="shared" si="11"/>
        <v>13.005479452054795</v>
      </c>
      <c r="T43" s="318">
        <f t="shared" si="11"/>
        <v>14.008219178082191</v>
      </c>
      <c r="U43" s="318">
        <f t="shared" si="11"/>
        <v>15.008219178082191</v>
      </c>
      <c r="V43" s="318">
        <f t="shared" si="11"/>
        <v>16.008219178082193</v>
      </c>
      <c r="W43" s="318">
        <f t="shared" si="11"/>
        <v>17.008219178082193</v>
      </c>
      <c r="X43" s="318">
        <f t="shared" si="11"/>
        <v>18.010958904109589</v>
      </c>
      <c r="Y43" s="318">
        <f t="shared" si="11"/>
        <v>19.010958904109589</v>
      </c>
      <c r="Z43" s="318">
        <f t="shared" si="11"/>
        <v>20.010958904109589</v>
      </c>
      <c r="AA43" s="318">
        <f t="shared" si="11"/>
        <v>21.010958904109589</v>
      </c>
      <c r="AB43" s="318">
        <f t="shared" si="11"/>
        <v>22.013698630136986</v>
      </c>
      <c r="AC43" s="318">
        <f t="shared" si="11"/>
        <v>23.013698630136986</v>
      </c>
      <c r="AD43" s="318">
        <f t="shared" si="11"/>
        <v>24.013698630136986</v>
      </c>
      <c r="AE43" s="318">
        <f t="shared" si="11"/>
        <v>25.013698630136986</v>
      </c>
      <c r="AF43" s="318">
        <f t="shared" si="11"/>
        <v>26.016438356164382</v>
      </c>
      <c r="AG43" s="318">
        <f t="shared" si="11"/>
        <v>27.016438356164382</v>
      </c>
      <c r="AH43" s="318">
        <f t="shared" si="11"/>
        <v>28.016438356164382</v>
      </c>
      <c r="AI43" s="318">
        <f t="shared" si="11"/>
        <v>29.016438356164382</v>
      </c>
      <c r="AJ43" s="318">
        <f t="shared" si="11"/>
        <v>30.019178082191782</v>
      </c>
      <c r="AK43" s="318">
        <f t="shared" si="11"/>
        <v>31.019178082191782</v>
      </c>
      <c r="AL43" s="318">
        <f t="shared" si="11"/>
        <v>32.019178082191779</v>
      </c>
      <c r="AM43" s="318">
        <f t="shared" si="11"/>
        <v>33.019178082191779</v>
      </c>
      <c r="AN43" s="318"/>
    </row>
    <row r="44" spans="3:40" outlineLevel="3">
      <c r="C44" s="314"/>
      <c r="E44" s="4"/>
      <c r="F44" s="266"/>
      <c r="G44" s="266"/>
      <c r="H44" s="266"/>
      <c r="I44" s="266"/>
      <c r="J44" s="266"/>
      <c r="K44" s="266"/>
      <c r="L44" s="266"/>
      <c r="M44" s="266"/>
      <c r="N44" s="266"/>
      <c r="O44" s="266"/>
      <c r="P44" s="266"/>
      <c r="Q44" s="266"/>
      <c r="R44" s="266"/>
      <c r="S44" s="266"/>
      <c r="T44" s="266"/>
      <c r="U44" s="266"/>
      <c r="V44" s="266"/>
      <c r="W44" s="266"/>
      <c r="X44" s="266"/>
      <c r="Y44" s="266"/>
      <c r="Z44" s="266"/>
      <c r="AA44" s="266"/>
      <c r="AB44" s="266"/>
      <c r="AC44" s="266"/>
      <c r="AD44" s="266"/>
      <c r="AE44" s="266"/>
      <c r="AF44" s="266"/>
      <c r="AG44" s="266"/>
      <c r="AH44" s="266"/>
      <c r="AI44" s="266"/>
      <c r="AJ44" s="266"/>
      <c r="AK44" s="266"/>
      <c r="AL44" s="266"/>
      <c r="AM44" s="266"/>
      <c r="AN44" s="266"/>
    </row>
    <row r="45" spans="3:40" outlineLevel="3">
      <c r="C45" s="314" t="s">
        <v>347</v>
      </c>
      <c r="D45" s="473">
        <f>Inputs!D328</f>
        <v>0.10790356661879541</v>
      </c>
      <c r="E45" s="4" t="s">
        <v>23</v>
      </c>
      <c r="F45" s="266"/>
      <c r="G45" s="266"/>
      <c r="H45" s="266"/>
      <c r="I45" s="266"/>
      <c r="J45" s="266"/>
      <c r="K45" s="266"/>
      <c r="L45" s="266"/>
      <c r="M45" s="266"/>
      <c r="N45" s="266"/>
      <c r="O45" s="266"/>
      <c r="P45" s="266"/>
      <c r="Q45" s="266"/>
      <c r="R45" s="266"/>
      <c r="S45" s="266"/>
      <c r="T45" s="266"/>
      <c r="U45" s="266"/>
      <c r="V45" s="266"/>
      <c r="W45" s="266"/>
      <c r="X45" s="266"/>
      <c r="Y45" s="266"/>
      <c r="Z45" s="266"/>
      <c r="AA45" s="266"/>
      <c r="AB45" s="266"/>
      <c r="AC45" s="266"/>
      <c r="AD45" s="266"/>
      <c r="AE45" s="266"/>
      <c r="AF45" s="266"/>
      <c r="AG45" s="266"/>
      <c r="AH45" s="266"/>
      <c r="AI45" s="266"/>
      <c r="AJ45" s="266"/>
      <c r="AK45" s="266"/>
      <c r="AL45" s="266"/>
      <c r="AM45" s="266"/>
      <c r="AN45" s="266"/>
    </row>
    <row r="46" spans="3:40" outlineLevel="3">
      <c r="C46" s="314" t="str">
        <f t="shared" ref="C46" si="12">C43</f>
        <v>Anos entre data valuation</v>
      </c>
      <c r="E46" s="4" t="str">
        <f t="shared" ref="E46" si="13">E43</f>
        <v>Ano</v>
      </c>
      <c r="F46" s="266"/>
      <c r="G46" s="318">
        <f t="shared" ref="G46:AM46" si="14">G43</f>
        <v>0.99726027397260275</v>
      </c>
      <c r="H46" s="318">
        <f t="shared" si="14"/>
        <v>2</v>
      </c>
      <c r="I46" s="318">
        <f t="shared" si="14"/>
        <v>3</v>
      </c>
      <c r="J46" s="318">
        <f t="shared" si="14"/>
        <v>4</v>
      </c>
      <c r="K46" s="318">
        <f t="shared" si="14"/>
        <v>5</v>
      </c>
      <c r="L46" s="318">
        <f t="shared" si="14"/>
        <v>6.0027397260273974</v>
      </c>
      <c r="M46" s="318">
        <f t="shared" si="14"/>
        <v>7.0027397260273974</v>
      </c>
      <c r="N46" s="318">
        <f t="shared" si="14"/>
        <v>8.0027397260273965</v>
      </c>
      <c r="O46" s="318">
        <f t="shared" si="14"/>
        <v>9.0027397260273965</v>
      </c>
      <c r="P46" s="318">
        <f t="shared" si="14"/>
        <v>10.005479452054795</v>
      </c>
      <c r="Q46" s="318">
        <f t="shared" si="14"/>
        <v>11.005479452054795</v>
      </c>
      <c r="R46" s="318">
        <f t="shared" si="14"/>
        <v>12.005479452054795</v>
      </c>
      <c r="S46" s="318">
        <f t="shared" si="14"/>
        <v>13.005479452054795</v>
      </c>
      <c r="T46" s="318">
        <f t="shared" si="14"/>
        <v>14.008219178082191</v>
      </c>
      <c r="U46" s="318">
        <f t="shared" si="14"/>
        <v>15.008219178082191</v>
      </c>
      <c r="V46" s="318">
        <f t="shared" si="14"/>
        <v>16.008219178082193</v>
      </c>
      <c r="W46" s="318">
        <f t="shared" si="14"/>
        <v>17.008219178082193</v>
      </c>
      <c r="X46" s="318">
        <f t="shared" si="14"/>
        <v>18.010958904109589</v>
      </c>
      <c r="Y46" s="318">
        <f t="shared" si="14"/>
        <v>19.010958904109589</v>
      </c>
      <c r="Z46" s="318">
        <f t="shared" si="14"/>
        <v>20.010958904109589</v>
      </c>
      <c r="AA46" s="318">
        <f t="shared" si="14"/>
        <v>21.010958904109589</v>
      </c>
      <c r="AB46" s="318">
        <f t="shared" si="14"/>
        <v>22.013698630136986</v>
      </c>
      <c r="AC46" s="318">
        <f t="shared" si="14"/>
        <v>23.013698630136986</v>
      </c>
      <c r="AD46" s="318">
        <f t="shared" si="14"/>
        <v>24.013698630136986</v>
      </c>
      <c r="AE46" s="318">
        <f t="shared" si="14"/>
        <v>25.013698630136986</v>
      </c>
      <c r="AF46" s="318">
        <f t="shared" si="14"/>
        <v>26.016438356164382</v>
      </c>
      <c r="AG46" s="318">
        <f t="shared" si="14"/>
        <v>27.016438356164382</v>
      </c>
      <c r="AH46" s="318">
        <f t="shared" si="14"/>
        <v>28.016438356164382</v>
      </c>
      <c r="AI46" s="318">
        <f t="shared" si="14"/>
        <v>29.016438356164382</v>
      </c>
      <c r="AJ46" s="318">
        <f t="shared" si="14"/>
        <v>30.019178082191782</v>
      </c>
      <c r="AK46" s="318">
        <f t="shared" si="14"/>
        <v>31.019178082191782</v>
      </c>
      <c r="AL46" s="318">
        <f t="shared" si="14"/>
        <v>32.019178082191779</v>
      </c>
      <c r="AM46" s="318">
        <f t="shared" si="14"/>
        <v>33.019178082191779</v>
      </c>
      <c r="AN46" s="318"/>
    </row>
    <row r="47" spans="3:40" outlineLevel="3">
      <c r="C47" s="314" t="str">
        <f>C21</f>
        <v>Fator de desconto</v>
      </c>
      <c r="E47" s="4" t="s">
        <v>181</v>
      </c>
      <c r="F47" s="266"/>
      <c r="G47" s="286">
        <f t="shared" ref="G47:N47" si="15">1/(1+$D$45)^G46</f>
        <v>0.9028590646736816</v>
      </c>
      <c r="H47" s="286">
        <f t="shared" si="15"/>
        <v>0.81469692864036947</v>
      </c>
      <c r="I47" s="286">
        <f t="shared" si="15"/>
        <v>0.73535003694115586</v>
      </c>
      <c r="J47" s="286">
        <f t="shared" si="15"/>
        <v>0.6637310855360512</v>
      </c>
      <c r="K47" s="286">
        <f t="shared" si="15"/>
        <v>0.59908741657154185</v>
      </c>
      <c r="L47" s="286">
        <f t="shared" si="15"/>
        <v>0.54058789169307664</v>
      </c>
      <c r="M47" s="286">
        <f t="shared" si="15"/>
        <v>0.48793767614892142</v>
      </c>
      <c r="N47" s="286">
        <f t="shared" si="15"/>
        <v>0.4404152950225223</v>
      </c>
      <c r="O47" s="286">
        <f t="shared" ref="O47:AL47" si="16">1/(1+$D$45)^O46</f>
        <v>0.39752132612644553</v>
      </c>
      <c r="P47" s="286">
        <f>1/(1+$D$45)^P46</f>
        <v>0.35870427194671139</v>
      </c>
      <c r="Q47" s="286">
        <f t="shared" si="16"/>
        <v>0.32376849642378075</v>
      </c>
      <c r="R47" s="286">
        <f t="shared" si="16"/>
        <v>0.29223526864516558</v>
      </c>
      <c r="S47" s="286">
        <f t="shared" si="16"/>
        <v>0.26377319962696466</v>
      </c>
      <c r="T47" s="286">
        <f t="shared" si="16"/>
        <v>0.2380163460743458</v>
      </c>
      <c r="U47" s="286">
        <f t="shared" si="16"/>
        <v>0.21483489470184353</v>
      </c>
      <c r="V47" s="286">
        <f t="shared" si="16"/>
        <v>0.19391118611297273</v>
      </c>
      <c r="W47" s="286">
        <f t="shared" si="16"/>
        <v>0.17502532887836908</v>
      </c>
      <c r="X47" s="286">
        <f t="shared" si="16"/>
        <v>0.15793450323613331</v>
      </c>
      <c r="Y47" s="286">
        <f t="shared" si="16"/>
        <v>0.14255257225873252</v>
      </c>
      <c r="Z47" s="286">
        <f t="shared" si="16"/>
        <v>0.12866875471282027</v>
      </c>
      <c r="AA47" s="286">
        <f t="shared" si="16"/>
        <v>0.11613714278897369</v>
      </c>
      <c r="AB47" s="286">
        <f t="shared" si="16"/>
        <v>0.10479661470247517</v>
      </c>
      <c r="AC47" s="286">
        <f t="shared" si="16"/>
        <v>9.4590014744968628E-2</v>
      </c>
      <c r="AD47" s="286">
        <f t="shared" si="16"/>
        <v>8.5377480130014713E-2</v>
      </c>
      <c r="AE47" s="286">
        <f t="shared" si="16"/>
        <v>7.7062194492773198E-2</v>
      </c>
      <c r="AF47" s="286">
        <f t="shared" si="16"/>
        <v>6.9537246314562276E-2</v>
      </c>
      <c r="AG47" s="286">
        <f t="shared" si="16"/>
        <v>6.2764710223636708E-2</v>
      </c>
      <c r="AH47" s="286">
        <f t="shared" si="16"/>
        <v>5.6651780998582743E-2</v>
      </c>
      <c r="AI47" s="286">
        <f t="shared" si="16"/>
        <v>5.1134216646199625E-2</v>
      </c>
      <c r="AJ47" s="286">
        <f t="shared" si="16"/>
        <v>4.6141076586683816E-2</v>
      </c>
      <c r="AK47" s="286">
        <f t="shared" si="16"/>
        <v>4.1647195637704748E-2</v>
      </c>
      <c r="AL47" s="286">
        <f t="shared" si="16"/>
        <v>3.7590993379331389E-2</v>
      </c>
      <c r="AM47" s="286">
        <f t="shared" ref="AM47" si="17">1/(1+$D$45)^AM46</f>
        <v>3.3929842372522667E-2</v>
      </c>
      <c r="AN47" s="286"/>
    </row>
    <row r="48" spans="3:40" outlineLevel="2">
      <c r="C48" s="266"/>
      <c r="E48" s="266"/>
      <c r="F48" s="266"/>
      <c r="G48" s="266"/>
      <c r="H48" s="266"/>
      <c r="I48" s="266"/>
      <c r="J48" s="266"/>
      <c r="K48" s="266"/>
      <c r="L48" s="266"/>
      <c r="M48" s="266"/>
      <c r="N48" s="266"/>
      <c r="O48" s="266"/>
      <c r="P48" s="266"/>
      <c r="Q48" s="266"/>
      <c r="R48" s="266"/>
      <c r="S48" s="266"/>
      <c r="T48" s="266"/>
      <c r="U48" s="266"/>
      <c r="V48" s="266"/>
      <c r="W48" s="266"/>
      <c r="X48" s="266"/>
      <c r="Y48" s="266"/>
      <c r="Z48" s="266"/>
      <c r="AA48" s="266"/>
      <c r="AB48" s="266"/>
      <c r="AC48" s="266"/>
      <c r="AD48" s="266"/>
      <c r="AE48" s="266"/>
      <c r="AF48" s="266"/>
      <c r="AG48" s="266"/>
      <c r="AH48" s="266"/>
      <c r="AI48" s="266"/>
      <c r="AJ48" s="266"/>
      <c r="AK48" s="266"/>
      <c r="AL48" s="266"/>
      <c r="AM48" s="266"/>
      <c r="AN48" s="266"/>
    </row>
    <row r="49" spans="3:40" outlineLevel="2">
      <c r="C49" t="s">
        <v>19</v>
      </c>
      <c r="E49" s="4"/>
      <c r="F49" s="266"/>
      <c r="G49" s="266"/>
      <c r="H49" s="266"/>
      <c r="I49" s="266"/>
      <c r="J49" s="266"/>
      <c r="K49" s="266"/>
      <c r="L49" s="266"/>
      <c r="M49" s="266"/>
      <c r="N49" s="266"/>
      <c r="O49" s="266"/>
      <c r="P49" s="266"/>
      <c r="Q49" s="266"/>
      <c r="R49" s="266"/>
      <c r="S49" s="266"/>
      <c r="T49" s="266"/>
      <c r="U49" s="266"/>
      <c r="V49" s="266"/>
      <c r="W49" s="266"/>
      <c r="X49" s="266"/>
      <c r="Y49" s="266"/>
      <c r="Z49" s="266"/>
      <c r="AA49" s="266"/>
      <c r="AB49" s="266"/>
      <c r="AC49" s="266"/>
      <c r="AD49" s="266"/>
      <c r="AE49" s="266"/>
      <c r="AF49" s="266"/>
      <c r="AG49" s="266"/>
      <c r="AH49" s="266"/>
      <c r="AI49" s="266"/>
      <c r="AJ49" s="266"/>
      <c r="AK49" s="266"/>
      <c r="AL49" s="266"/>
      <c r="AM49" s="266"/>
      <c r="AN49" s="266"/>
    </row>
    <row r="50" spans="3:40" outlineLevel="3">
      <c r="C50" s="314" t="s">
        <v>676</v>
      </c>
      <c r="E50" s="4" t="s">
        <v>313</v>
      </c>
      <c r="F50" s="23">
        <f ca="1">SUM(G50:AN50)</f>
        <v>149286.98092152076</v>
      </c>
      <c r="G50" s="273">
        <f ca="1">DFs!G44+DFs!G60+G32</f>
        <v>-552.25075172981724</v>
      </c>
      <c r="H50" s="273">
        <f ca="1">DFs!H44+DFs!H60+H32</f>
        <v>-1438.2344314673312</v>
      </c>
      <c r="I50" s="273">
        <f ca="1">DFs!I44+DFs!I60+I32</f>
        <v>2140.579351404207</v>
      </c>
      <c r="J50" s="273">
        <f ca="1">DFs!J44+DFs!J60+J32</f>
        <v>2720.1931134782167</v>
      </c>
      <c r="K50" s="273">
        <f ca="1">DFs!K44+DFs!K60+K32</f>
        <v>2990.0154368703502</v>
      </c>
      <c r="L50" s="273">
        <f ca="1">DFs!L44+DFs!L60+L32</f>
        <v>3780.3220245218658</v>
      </c>
      <c r="M50" s="273">
        <f ca="1">DFs!M44+DFs!M60+M32</f>
        <v>3328.4288603080322</v>
      </c>
      <c r="N50" s="273">
        <f ca="1">DFs!N44+DFs!N60+N32</f>
        <v>5069.4841871670733</v>
      </c>
      <c r="O50" s="273">
        <f ca="1">DFs!O44+DFs!O60+O32</f>
        <v>4933.8000844041107</v>
      </c>
      <c r="P50" s="273">
        <f ca="1">DFs!P44+DFs!P60+P32</f>
        <v>4948.990224648318</v>
      </c>
      <c r="Q50" s="273">
        <f ca="1">DFs!Q44+DFs!Q60+Q32</f>
        <v>5137.4127850301757</v>
      </c>
      <c r="R50" s="273">
        <f ca="1">DFs!R44+DFs!R60+R32</f>
        <v>5270.7342445107424</v>
      </c>
      <c r="S50" s="273">
        <f ca="1">DFs!S44+DFs!S60+S32</f>
        <v>4866.7234020837914</v>
      </c>
      <c r="T50" s="273">
        <f ca="1">DFs!T44+DFs!T60+T32</f>
        <v>4714.642650749418</v>
      </c>
      <c r="U50" s="273">
        <f ca="1">DFs!U44+DFs!U60+U32</f>
        <v>5771.2067166949892</v>
      </c>
      <c r="V50" s="273">
        <f ca="1">DFs!V44+DFs!V60+V32</f>
        <v>5294.658166852666</v>
      </c>
      <c r="W50" s="273">
        <f ca="1">DFs!W44+DFs!W60+W32</f>
        <v>5312.0526979427323</v>
      </c>
      <c r="X50" s="273">
        <f ca="1">DFs!X44+DFs!X60+X32</f>
        <v>5375.2413954514886</v>
      </c>
      <c r="Y50" s="273">
        <f ca="1">DFs!Y44+DFs!Y60+Y32</f>
        <v>5352.4838513409086</v>
      </c>
      <c r="Z50" s="273">
        <f ca="1">DFs!Z44+DFs!Z60+Z32</f>
        <v>4838.4927415046241</v>
      </c>
      <c r="AA50" s="273">
        <f ca="1">DFs!AA44+DFs!AA60+AA32</f>
        <v>5077.0297861329182</v>
      </c>
      <c r="AB50" s="273">
        <f ca="1">DFs!AB44+DFs!AB60+AB32</f>
        <v>6126.1465673813591</v>
      </c>
      <c r="AC50" s="273">
        <f ca="1">DFs!AC44+DFs!AC60+AC32</f>
        <v>5946.3508165167732</v>
      </c>
      <c r="AD50" s="273">
        <f ca="1">DFs!AD44+DFs!AD60+AD32</f>
        <v>6041.0518400975752</v>
      </c>
      <c r="AE50" s="273">
        <f ca="1">DFs!AE44+DFs!AE60+AE32</f>
        <v>6162.5161573740097</v>
      </c>
      <c r="AF50" s="273">
        <f ca="1">DFs!AF44+DFs!AF60+AF32</f>
        <v>6401.4974927142775</v>
      </c>
      <c r="AG50" s="273">
        <f ca="1">DFs!AG44+DFs!AG60+AG32</f>
        <v>5772.2128081635838</v>
      </c>
      <c r="AH50" s="273">
        <f ca="1">DFs!AH44+DFs!AH60+AH32</f>
        <v>6050.6794287835</v>
      </c>
      <c r="AI50" s="273">
        <f ca="1">DFs!AI44+DFs!AI60+AI32</f>
        <v>6823.7651843967833</v>
      </c>
      <c r="AJ50" s="273">
        <f ca="1">DFs!AJ44+DFs!AJ60+AJ32</f>
        <v>15030.75408819344</v>
      </c>
      <c r="AK50" s="273">
        <f ca="1">DFs!AK44+DFs!AK60+AK32</f>
        <v>0</v>
      </c>
      <c r="AL50" s="273">
        <f ca="1">DFs!AL44+DFs!AL60+AL32</f>
        <v>0</v>
      </c>
      <c r="AM50" s="273">
        <f ca="1">DFs!AM44+DFs!AM60+AM32</f>
        <v>0</v>
      </c>
      <c r="AN50" s="273"/>
    </row>
    <row r="51" spans="3:40" outlineLevel="3">
      <c r="C51" s="314" t="s">
        <v>121</v>
      </c>
      <c r="E51" s="4" t="s">
        <v>313</v>
      </c>
      <c r="F51" s="23">
        <f>SUM(G51:AN51)</f>
        <v>-76776.486292563059</v>
      </c>
      <c r="G51" s="273">
        <f>DFs!G49</f>
        <v>-10775.031120895999</v>
      </c>
      <c r="H51" s="273">
        <f>DFs!H49</f>
        <v>-1472.4358093250448</v>
      </c>
      <c r="I51" s="273">
        <f>DFs!I49</f>
        <v>-1743.4786958342002</v>
      </c>
      <c r="J51" s="273">
        <f>DFs!J49</f>
        <v>-397.26424167419998</v>
      </c>
      <c r="K51" s="273">
        <f>DFs!K49</f>
        <v>-763.15204167420006</v>
      </c>
      <c r="L51" s="273">
        <f>DFs!L49</f>
        <v>-12305.51313337047</v>
      </c>
      <c r="M51" s="273">
        <f>DFs!M49</f>
        <v>-241.59493295294399</v>
      </c>
      <c r="N51" s="273">
        <f>DFs!N49</f>
        <v>-8189.1826116742004</v>
      </c>
      <c r="O51" s="273">
        <f>DFs!O49</f>
        <v>-43.404541674200004</v>
      </c>
      <c r="P51" s="273">
        <f>DFs!P49</f>
        <v>-845.77904167420013</v>
      </c>
      <c r="Q51" s="273">
        <f>DFs!Q49</f>
        <v>-1452.9584045185595</v>
      </c>
      <c r="R51" s="273">
        <f>DFs!R49</f>
        <v>-1099.803583204369</v>
      </c>
      <c r="S51" s="273">
        <f>DFs!S49</f>
        <v>-797.93392010620016</v>
      </c>
      <c r="T51" s="273">
        <f>DFs!T49</f>
        <v>-178.80952295294401</v>
      </c>
      <c r="U51" s="273">
        <f>DFs!U49</f>
        <v>-8180.5448516742008</v>
      </c>
      <c r="V51" s="273">
        <f>DFs!V49</f>
        <v>-2648.0324560422537</v>
      </c>
      <c r="W51" s="273">
        <f>DFs!W49</f>
        <v>-783.53025167420014</v>
      </c>
      <c r="X51" s="273">
        <f>DFs!X49</f>
        <v>-351.64980167419998</v>
      </c>
      <c r="Y51" s="273">
        <f>DFs!Y49</f>
        <v>-825.99884167420009</v>
      </c>
      <c r="Z51" s="273">
        <f>DFs!Z49</f>
        <v>-49.327041674200004</v>
      </c>
      <c r="AA51" s="273">
        <f>DFs!AA49</f>
        <v>-1270.9883857973036</v>
      </c>
      <c r="AB51" s="273">
        <f>DFs!AB49</f>
        <v>-8611.8881932043696</v>
      </c>
      <c r="AC51" s="273">
        <f>DFs!AC49</f>
        <v>-735.3069201062001</v>
      </c>
      <c r="AD51" s="273">
        <f>DFs!AD49</f>
        <v>-757.22954167420005</v>
      </c>
      <c r="AE51" s="273">
        <f>DFs!AE49</f>
        <v>-397.92364167419998</v>
      </c>
      <c r="AF51" s="273">
        <f>DFs!AF49</f>
        <v>-3319.4787361862541</v>
      </c>
      <c r="AG51" s="273">
        <f>DFs!AG49</f>
        <v>-63.7827516742</v>
      </c>
      <c r="AH51" s="273">
        <f>DFs!AH49</f>
        <v>-1997.3976029529438</v>
      </c>
      <c r="AI51" s="273">
        <f>DFs!AI49</f>
        <v>-6413.6611316742001</v>
      </c>
      <c r="AJ51" s="273">
        <f>DFs!AJ49</f>
        <v>-63.404541674200004</v>
      </c>
      <c r="AK51" s="273">
        <f>DFs!AK49</f>
        <v>0</v>
      </c>
      <c r="AL51" s="273">
        <f>DFs!AL49</f>
        <v>0</v>
      </c>
      <c r="AM51" s="273">
        <f>DFs!AM49</f>
        <v>0</v>
      </c>
      <c r="AN51" s="273"/>
    </row>
    <row r="52" spans="3:40" outlineLevel="3">
      <c r="C52" s="314" t="s">
        <v>677</v>
      </c>
      <c r="E52" s="4" t="s">
        <v>313</v>
      </c>
      <c r="F52" s="23">
        <f ca="1">SUM(G52:AN52)</f>
        <v>72510.494628957735</v>
      </c>
      <c r="G52" s="356">
        <f t="shared" ref="G52:AL52" ca="1" si="18">SUM(G50:G51)</f>
        <v>-11327.281872625816</v>
      </c>
      <c r="H52" s="287">
        <f t="shared" ca="1" si="18"/>
        <v>-2910.6702407923758</v>
      </c>
      <c r="I52" s="287">
        <f t="shared" ca="1" si="18"/>
        <v>397.10065557000689</v>
      </c>
      <c r="J52" s="287">
        <f t="shared" ca="1" si="18"/>
        <v>2322.9288718040166</v>
      </c>
      <c r="K52" s="287">
        <f t="shared" ca="1" si="18"/>
        <v>2226.8633951961501</v>
      </c>
      <c r="L52" s="287">
        <f t="shared" ca="1" si="18"/>
        <v>-8525.1911088486049</v>
      </c>
      <c r="M52" s="287">
        <f t="shared" ca="1" si="18"/>
        <v>3086.8339273550882</v>
      </c>
      <c r="N52" s="287">
        <f t="shared" ca="1" si="18"/>
        <v>-3119.6984245071271</v>
      </c>
      <c r="O52" s="287">
        <f t="shared" ca="1" si="18"/>
        <v>4890.3955427299106</v>
      </c>
      <c r="P52" s="287">
        <f t="shared" ca="1" si="18"/>
        <v>4103.2111829741179</v>
      </c>
      <c r="Q52" s="287">
        <f t="shared" ca="1" si="18"/>
        <v>3684.4543805116164</v>
      </c>
      <c r="R52" s="287">
        <f t="shared" ca="1" si="18"/>
        <v>4170.9306613063736</v>
      </c>
      <c r="S52" s="287">
        <f t="shared" ca="1" si="18"/>
        <v>4068.7894819775911</v>
      </c>
      <c r="T52" s="287">
        <f t="shared" ca="1" si="18"/>
        <v>4535.8331277964735</v>
      </c>
      <c r="U52" s="287">
        <f t="shared" ca="1" si="18"/>
        <v>-2409.3381349792116</v>
      </c>
      <c r="V52" s="287">
        <f t="shared" ca="1" si="18"/>
        <v>2646.6257108104123</v>
      </c>
      <c r="W52" s="287">
        <f t="shared" ca="1" si="18"/>
        <v>4528.5224462685319</v>
      </c>
      <c r="X52" s="287">
        <f t="shared" ca="1" si="18"/>
        <v>5023.5915937772888</v>
      </c>
      <c r="Y52" s="287">
        <f t="shared" ca="1" si="18"/>
        <v>4526.4850096667087</v>
      </c>
      <c r="Z52" s="287">
        <f t="shared" ca="1" si="18"/>
        <v>4789.1656998304243</v>
      </c>
      <c r="AA52" s="287">
        <f t="shared" ca="1" si="18"/>
        <v>3806.0414003356145</v>
      </c>
      <c r="AB52" s="287">
        <f t="shared" ca="1" si="18"/>
        <v>-2485.7416258230105</v>
      </c>
      <c r="AC52" s="287">
        <f t="shared" ca="1" si="18"/>
        <v>5211.0438964105733</v>
      </c>
      <c r="AD52" s="287">
        <f t="shared" ca="1" si="18"/>
        <v>5283.8222984233753</v>
      </c>
      <c r="AE52" s="287">
        <f t="shared" ca="1" si="18"/>
        <v>5764.5925156998101</v>
      </c>
      <c r="AF52" s="287">
        <f t="shared" ca="1" si="18"/>
        <v>3082.0187565280235</v>
      </c>
      <c r="AG52" s="287">
        <f t="shared" ca="1" si="18"/>
        <v>5708.4300564893838</v>
      </c>
      <c r="AH52" s="287">
        <f t="shared" ca="1" si="18"/>
        <v>4053.281825830556</v>
      </c>
      <c r="AI52" s="287">
        <f t="shared" ca="1" si="18"/>
        <v>410.10405272258322</v>
      </c>
      <c r="AJ52" s="287">
        <f t="shared" ca="1" si="18"/>
        <v>14967.349546519241</v>
      </c>
      <c r="AK52" s="287">
        <f t="shared" ca="1" si="18"/>
        <v>0</v>
      </c>
      <c r="AL52" s="287">
        <f t="shared" ca="1" si="18"/>
        <v>0</v>
      </c>
      <c r="AM52" s="287">
        <f t="shared" ref="AM52" ca="1" si="19">SUM(AM50:AM51)</f>
        <v>0</v>
      </c>
      <c r="AN52" s="287"/>
    </row>
    <row r="53" spans="3:40" outlineLevel="3">
      <c r="C53" s="314"/>
      <c r="E53" s="4"/>
      <c r="F53" s="266"/>
      <c r="G53" s="273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3"/>
      <c r="AE53" s="273"/>
      <c r="AF53" s="273"/>
      <c r="AG53" s="273"/>
      <c r="AH53" s="273"/>
      <c r="AI53" s="273"/>
      <c r="AJ53" s="273"/>
      <c r="AK53" s="273"/>
      <c r="AL53" s="273"/>
      <c r="AM53" s="273"/>
      <c r="AN53" s="273"/>
    </row>
    <row r="54" spans="3:40" outlineLevel="3">
      <c r="C54" s="314" t="str">
        <f>C47</f>
        <v>Fator de desconto</v>
      </c>
      <c r="E54" s="4" t="str">
        <f>E47</f>
        <v>Fator</v>
      </c>
      <c r="F54" s="266"/>
      <c r="G54" s="318">
        <f>G47</f>
        <v>0.9028590646736816</v>
      </c>
      <c r="H54" s="318">
        <f t="shared" ref="H54:AL54" si="20">H47</f>
        <v>0.81469692864036947</v>
      </c>
      <c r="I54" s="318">
        <f t="shared" si="20"/>
        <v>0.73535003694115586</v>
      </c>
      <c r="J54" s="318">
        <f t="shared" si="20"/>
        <v>0.6637310855360512</v>
      </c>
      <c r="K54" s="318">
        <f t="shared" si="20"/>
        <v>0.59908741657154185</v>
      </c>
      <c r="L54" s="318">
        <f t="shared" si="20"/>
        <v>0.54058789169307664</v>
      </c>
      <c r="M54" s="318">
        <f t="shared" si="20"/>
        <v>0.48793767614892142</v>
      </c>
      <c r="N54" s="318">
        <f t="shared" si="20"/>
        <v>0.4404152950225223</v>
      </c>
      <c r="O54" s="318">
        <f t="shared" si="20"/>
        <v>0.39752132612644553</v>
      </c>
      <c r="P54" s="318">
        <f t="shared" si="20"/>
        <v>0.35870427194671139</v>
      </c>
      <c r="Q54" s="318">
        <f t="shared" si="20"/>
        <v>0.32376849642378075</v>
      </c>
      <c r="R54" s="318">
        <f t="shared" si="20"/>
        <v>0.29223526864516558</v>
      </c>
      <c r="S54" s="318">
        <f t="shared" si="20"/>
        <v>0.26377319962696466</v>
      </c>
      <c r="T54" s="318">
        <f t="shared" si="20"/>
        <v>0.2380163460743458</v>
      </c>
      <c r="U54" s="318">
        <f t="shared" si="20"/>
        <v>0.21483489470184353</v>
      </c>
      <c r="V54" s="318">
        <f t="shared" si="20"/>
        <v>0.19391118611297273</v>
      </c>
      <c r="W54" s="318">
        <f t="shared" si="20"/>
        <v>0.17502532887836908</v>
      </c>
      <c r="X54" s="318">
        <f t="shared" si="20"/>
        <v>0.15793450323613331</v>
      </c>
      <c r="Y54" s="318">
        <f t="shared" si="20"/>
        <v>0.14255257225873252</v>
      </c>
      <c r="Z54" s="318">
        <f t="shared" si="20"/>
        <v>0.12866875471282027</v>
      </c>
      <c r="AA54" s="318">
        <f t="shared" si="20"/>
        <v>0.11613714278897369</v>
      </c>
      <c r="AB54" s="318">
        <f t="shared" si="20"/>
        <v>0.10479661470247517</v>
      </c>
      <c r="AC54" s="318">
        <f t="shared" si="20"/>
        <v>9.4590014744968628E-2</v>
      </c>
      <c r="AD54" s="318">
        <f t="shared" si="20"/>
        <v>8.5377480130014713E-2</v>
      </c>
      <c r="AE54" s="318">
        <f t="shared" si="20"/>
        <v>7.7062194492773198E-2</v>
      </c>
      <c r="AF54" s="318">
        <f t="shared" si="20"/>
        <v>6.9537246314562276E-2</v>
      </c>
      <c r="AG54" s="318">
        <f t="shared" si="20"/>
        <v>6.2764710223636708E-2</v>
      </c>
      <c r="AH54" s="318">
        <f t="shared" si="20"/>
        <v>5.6651780998582743E-2</v>
      </c>
      <c r="AI54" s="318">
        <f t="shared" si="20"/>
        <v>5.1134216646199625E-2</v>
      </c>
      <c r="AJ54" s="318">
        <f t="shared" si="20"/>
        <v>4.6141076586683816E-2</v>
      </c>
      <c r="AK54" s="318">
        <f t="shared" si="20"/>
        <v>4.1647195637704748E-2</v>
      </c>
      <c r="AL54" s="318">
        <f t="shared" si="20"/>
        <v>3.7590993379331389E-2</v>
      </c>
      <c r="AM54" s="318">
        <f t="shared" ref="AM54" si="21">AM47</f>
        <v>3.3929842372522667E-2</v>
      </c>
      <c r="AN54" s="318"/>
    </row>
    <row r="55" spans="3:40" outlineLevel="3">
      <c r="C55" s="314" t="s">
        <v>678</v>
      </c>
      <c r="E55" s="4" t="s">
        <v>313</v>
      </c>
      <c r="F55" s="23">
        <f ca="1">SUM(G55:AN55)</f>
        <v>0.44602648716568183</v>
      </c>
      <c r="G55" s="273">
        <f ca="1">G52*G54</f>
        <v>-10226.939116814092</v>
      </c>
      <c r="H55" s="273">
        <f t="shared" ref="H55:AM55" ca="1" si="22">H52*H54</f>
        <v>-2371.314105458473</v>
      </c>
      <c r="I55" s="273">
        <f t="shared" ca="1" si="22"/>
        <v>292.00798174276179</v>
      </c>
      <c r="J55" s="273">
        <f t="shared" ca="1" si="22"/>
        <v>1541.8001017055146</v>
      </c>
      <c r="K55" s="273">
        <f t="shared" ca="1" si="22"/>
        <v>1334.0858384857941</v>
      </c>
      <c r="L55" s="273">
        <f t="shared" ca="1" si="22"/>
        <v>-4608.6150878130293</v>
      </c>
      <c r="M55" s="273">
        <f t="shared" ca="1" si="22"/>
        <v>1506.1825731712902</v>
      </c>
      <c r="N55" s="273">
        <f t="shared" ca="1" si="22"/>
        <v>-1373.9629020106045</v>
      </c>
      <c r="O55" s="273">
        <f t="shared" ca="1" si="22"/>
        <v>1944.0365214288524</v>
      </c>
      <c r="P55" s="273">
        <f t="shared" ca="1" si="22"/>
        <v>1471.8393800323354</v>
      </c>
      <c r="Q55" s="273">
        <f t="shared" ca="1" si="22"/>
        <v>1192.9102549202585</v>
      </c>
      <c r="R55" s="273">
        <f t="shared" ca="1" si="22"/>
        <v>1218.8930423072263</v>
      </c>
      <c r="S55" s="273">
        <f t="shared" ca="1" si="22"/>
        <v>1073.2376202697692</v>
      </c>
      <c r="T55" s="273">
        <f t="shared" ca="1" si="22"/>
        <v>1079.6024274810877</v>
      </c>
      <c r="U55" s="273">
        <f t="shared" ca="1" si="22"/>
        <v>-517.60990452939495</v>
      </c>
      <c r="V55" s="273">
        <f t="shared" ca="1" si="22"/>
        <v>513.21033078033656</v>
      </c>
      <c r="W55" s="273">
        <f t="shared" ca="1" si="22"/>
        <v>792.60613049122628</v>
      </c>
      <c r="X55" s="273">
        <f t="shared" ca="1" si="22"/>
        <v>793.3984428244313</v>
      </c>
      <c r="Y55" s="273">
        <f t="shared" ca="1" si="22"/>
        <v>645.26208141858308</v>
      </c>
      <c r="Z55" s="273">
        <f t="shared" ca="1" si="22"/>
        <v>616.21598671053312</v>
      </c>
      <c r="AA55" s="273">
        <f t="shared" ca="1" si="22"/>
        <v>442.02277357152263</v>
      </c>
      <c r="AB55" s="273">
        <f t="shared" ca="1" si="22"/>
        <v>-260.49730741127826</v>
      </c>
      <c r="AC55" s="273">
        <f t="shared" ca="1" si="22"/>
        <v>492.9127189981549</v>
      </c>
      <c r="AD55" s="273">
        <f t="shared" ca="1" si="22"/>
        <v>451.11943329417039</v>
      </c>
      <c r="AE55" s="273">
        <f t="shared" ca="1" si="22"/>
        <v>444.23214961644351</v>
      </c>
      <c r="AF55" s="273">
        <f t="shared" ca="1" si="22"/>
        <v>214.31509741879012</v>
      </c>
      <c r="AG55" s="273">
        <f t="shared" ca="1" si="22"/>
        <v>358.28795832745431</v>
      </c>
      <c r="AH55" s="273">
        <f t="shared" ca="1" si="22"/>
        <v>229.62563432248825</v>
      </c>
      <c r="AI55" s="273">
        <f t="shared" ca="1" si="22"/>
        <v>20.970349479401044</v>
      </c>
      <c r="AJ55" s="273">
        <f t="shared" ca="1" si="22"/>
        <v>690.60962172561153</v>
      </c>
      <c r="AK55" s="273">
        <f t="shared" ca="1" si="22"/>
        <v>0</v>
      </c>
      <c r="AL55" s="273">
        <f t="shared" ca="1" si="22"/>
        <v>0</v>
      </c>
      <c r="AM55" s="273">
        <f t="shared" ca="1" si="22"/>
        <v>0</v>
      </c>
      <c r="AN55" s="273"/>
    </row>
    <row r="56" spans="3:40" ht="16.2" outlineLevel="3" thickBot="1">
      <c r="C56" s="314"/>
      <c r="E56" s="266"/>
      <c r="F56" s="266"/>
      <c r="G56" s="273"/>
      <c r="H56" s="273"/>
      <c r="I56" s="273"/>
      <c r="J56" s="273"/>
      <c r="K56" s="273"/>
      <c r="L56" s="273"/>
      <c r="M56" s="273"/>
      <c r="N56" s="273"/>
      <c r="O56" s="273"/>
      <c r="P56" s="273"/>
      <c r="Q56" s="273"/>
      <c r="R56" s="273"/>
      <c r="S56" s="273"/>
      <c r="T56" s="273"/>
      <c r="U56" s="273"/>
      <c r="V56" s="273"/>
      <c r="W56" s="273"/>
      <c r="X56" s="273"/>
      <c r="Y56" s="273"/>
      <c r="Z56" s="273"/>
      <c r="AA56" s="273"/>
      <c r="AB56" s="273"/>
      <c r="AC56" s="273"/>
      <c r="AD56" s="273"/>
      <c r="AE56" s="273"/>
      <c r="AF56" s="273"/>
      <c r="AG56" s="273"/>
      <c r="AH56" s="273"/>
      <c r="AI56" s="273"/>
      <c r="AJ56" s="273"/>
      <c r="AK56" s="273"/>
      <c r="AL56" s="273"/>
      <c r="AM56" s="273"/>
      <c r="AN56" s="266"/>
    </row>
    <row r="57" spans="3:40" ht="16.8" outlineLevel="3" thickTop="1" thickBot="1">
      <c r="C57" s="354" t="s">
        <v>19</v>
      </c>
      <c r="D57" s="91">
        <f ca="1">F55</f>
        <v>0.44602648716568183</v>
      </c>
      <c r="E57" s="92" t="s">
        <v>313</v>
      </c>
      <c r="F57" s="355"/>
      <c r="G57" s="754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6"/>
      <c r="AE57" s="266"/>
      <c r="AF57" s="266"/>
      <c r="AG57" s="266"/>
      <c r="AH57" s="266"/>
      <c r="AI57" s="266"/>
      <c r="AJ57" s="266"/>
      <c r="AK57" s="266"/>
      <c r="AL57" s="266"/>
      <c r="AM57" s="266"/>
      <c r="AN57" s="266"/>
    </row>
    <row r="58" spans="3:40" ht="16.2" outlineLevel="2" thickTop="1">
      <c r="C58" s="266"/>
      <c r="E58" s="266"/>
      <c r="F58" s="266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266"/>
      <c r="AE58" s="266"/>
      <c r="AF58" s="266"/>
      <c r="AG58" s="266"/>
      <c r="AH58" s="266"/>
      <c r="AI58" s="266"/>
      <c r="AJ58" s="266"/>
      <c r="AK58" s="266"/>
      <c r="AL58" s="266"/>
      <c r="AM58" s="266"/>
      <c r="AN58" s="266"/>
    </row>
    <row r="59" spans="3:40" outlineLevel="2">
      <c r="C59" t="s">
        <v>21</v>
      </c>
      <c r="E59" s="266"/>
      <c r="F59" s="266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266"/>
      <c r="AE59" s="266"/>
      <c r="AF59" s="266"/>
      <c r="AG59" s="266"/>
      <c r="AH59" s="266"/>
      <c r="AI59" s="266"/>
      <c r="AJ59" s="266"/>
      <c r="AK59" s="266"/>
      <c r="AL59" s="266"/>
      <c r="AM59" s="266"/>
      <c r="AN59" s="266"/>
    </row>
    <row r="60" spans="3:40" outlineLevel="3">
      <c r="C60" s="314" t="s">
        <v>679</v>
      </c>
      <c r="E60" s="4" t="s">
        <v>345</v>
      </c>
      <c r="F60" s="266"/>
      <c r="G60" s="353">
        <f t="shared" ref="G60:AM60" si="23">G16</f>
        <v>46752</v>
      </c>
      <c r="H60" s="353">
        <f t="shared" si="23"/>
        <v>47118</v>
      </c>
      <c r="I60" s="353">
        <f t="shared" si="23"/>
        <v>47483</v>
      </c>
      <c r="J60" s="353">
        <f t="shared" si="23"/>
        <v>47848</v>
      </c>
      <c r="K60" s="353">
        <f t="shared" si="23"/>
        <v>48213</v>
      </c>
      <c r="L60" s="353">
        <f t="shared" si="23"/>
        <v>48579</v>
      </c>
      <c r="M60" s="353">
        <f t="shared" si="23"/>
        <v>48944</v>
      </c>
      <c r="N60" s="353">
        <f t="shared" si="23"/>
        <v>49309</v>
      </c>
      <c r="O60" s="353">
        <f t="shared" si="23"/>
        <v>49674</v>
      </c>
      <c r="P60" s="353">
        <f t="shared" si="23"/>
        <v>50040</v>
      </c>
      <c r="Q60" s="353">
        <f t="shared" si="23"/>
        <v>50405</v>
      </c>
      <c r="R60" s="353">
        <f t="shared" si="23"/>
        <v>50770</v>
      </c>
      <c r="S60" s="353">
        <f t="shared" si="23"/>
        <v>51135</v>
      </c>
      <c r="T60" s="353">
        <f t="shared" si="23"/>
        <v>51501</v>
      </c>
      <c r="U60" s="353">
        <f t="shared" si="23"/>
        <v>51866</v>
      </c>
      <c r="V60" s="353">
        <f t="shared" si="23"/>
        <v>52231</v>
      </c>
      <c r="W60" s="353">
        <f t="shared" si="23"/>
        <v>52596</v>
      </c>
      <c r="X60" s="353">
        <f t="shared" si="23"/>
        <v>52962</v>
      </c>
      <c r="Y60" s="353">
        <f t="shared" si="23"/>
        <v>53327</v>
      </c>
      <c r="Z60" s="353">
        <f t="shared" si="23"/>
        <v>53692</v>
      </c>
      <c r="AA60" s="353">
        <f t="shared" si="23"/>
        <v>54057</v>
      </c>
      <c r="AB60" s="353">
        <f t="shared" si="23"/>
        <v>54423</v>
      </c>
      <c r="AC60" s="353">
        <f t="shared" si="23"/>
        <v>54788</v>
      </c>
      <c r="AD60" s="353">
        <f t="shared" si="23"/>
        <v>55153</v>
      </c>
      <c r="AE60" s="353">
        <f t="shared" si="23"/>
        <v>55518</v>
      </c>
      <c r="AF60" s="353">
        <f t="shared" si="23"/>
        <v>55884</v>
      </c>
      <c r="AG60" s="353">
        <f t="shared" si="23"/>
        <v>56249</v>
      </c>
      <c r="AH60" s="353">
        <f t="shared" si="23"/>
        <v>56614</v>
      </c>
      <c r="AI60" s="353">
        <f t="shared" si="23"/>
        <v>56979</v>
      </c>
      <c r="AJ60" s="353">
        <f t="shared" si="23"/>
        <v>57345</v>
      </c>
      <c r="AK60" s="353">
        <f t="shared" si="23"/>
        <v>57710</v>
      </c>
      <c r="AL60" s="353">
        <f t="shared" si="23"/>
        <v>58075</v>
      </c>
      <c r="AM60" s="353">
        <f t="shared" si="23"/>
        <v>58440</v>
      </c>
      <c r="AN60" s="353"/>
    </row>
    <row r="61" spans="3:40" outlineLevel="3">
      <c r="C61" s="314"/>
      <c r="E61" s="266"/>
      <c r="F61" s="266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6"/>
      <c r="AE61" s="266"/>
      <c r="AF61" s="266"/>
      <c r="AG61" s="266"/>
      <c r="AH61" s="266"/>
      <c r="AI61" s="266"/>
      <c r="AJ61" s="266"/>
      <c r="AK61" s="266"/>
      <c r="AL61" s="266"/>
      <c r="AM61" s="266"/>
      <c r="AN61" s="266"/>
    </row>
    <row r="62" spans="3:40" outlineLevel="3">
      <c r="C62" s="314" t="s">
        <v>121</v>
      </c>
      <c r="E62" s="4" t="s">
        <v>313</v>
      </c>
      <c r="F62" s="23">
        <f>SUM(G62:AN62)</f>
        <v>-76776.486292563059</v>
      </c>
      <c r="G62" s="273">
        <f>G51</f>
        <v>-10775.031120895999</v>
      </c>
      <c r="H62" s="273">
        <f t="shared" ref="H62:AL62" si="24">H51</f>
        <v>-1472.4358093250448</v>
      </c>
      <c r="I62" s="273">
        <f t="shared" si="24"/>
        <v>-1743.4786958342002</v>
      </c>
      <c r="J62" s="273">
        <f t="shared" si="24"/>
        <v>-397.26424167419998</v>
      </c>
      <c r="K62" s="273">
        <f t="shared" si="24"/>
        <v>-763.15204167420006</v>
      </c>
      <c r="L62" s="273">
        <f t="shared" si="24"/>
        <v>-12305.51313337047</v>
      </c>
      <c r="M62" s="273">
        <f t="shared" si="24"/>
        <v>-241.59493295294399</v>
      </c>
      <c r="N62" s="273">
        <f t="shared" si="24"/>
        <v>-8189.1826116742004</v>
      </c>
      <c r="O62" s="273">
        <f t="shared" si="24"/>
        <v>-43.404541674200004</v>
      </c>
      <c r="P62" s="273">
        <f t="shared" si="24"/>
        <v>-845.77904167420013</v>
      </c>
      <c r="Q62" s="273">
        <f t="shared" si="24"/>
        <v>-1452.9584045185595</v>
      </c>
      <c r="R62" s="273">
        <f t="shared" si="24"/>
        <v>-1099.803583204369</v>
      </c>
      <c r="S62" s="273">
        <f t="shared" si="24"/>
        <v>-797.93392010620016</v>
      </c>
      <c r="T62" s="273">
        <f t="shared" si="24"/>
        <v>-178.80952295294401</v>
      </c>
      <c r="U62" s="273">
        <f t="shared" si="24"/>
        <v>-8180.5448516742008</v>
      </c>
      <c r="V62" s="273">
        <f t="shared" si="24"/>
        <v>-2648.0324560422537</v>
      </c>
      <c r="W62" s="273">
        <f t="shared" si="24"/>
        <v>-783.53025167420014</v>
      </c>
      <c r="X62" s="273">
        <f t="shared" si="24"/>
        <v>-351.64980167419998</v>
      </c>
      <c r="Y62" s="273">
        <f t="shared" si="24"/>
        <v>-825.99884167420009</v>
      </c>
      <c r="Z62" s="273">
        <f t="shared" si="24"/>
        <v>-49.327041674200004</v>
      </c>
      <c r="AA62" s="273">
        <f t="shared" si="24"/>
        <v>-1270.9883857973036</v>
      </c>
      <c r="AB62" s="273">
        <f t="shared" si="24"/>
        <v>-8611.8881932043696</v>
      </c>
      <c r="AC62" s="273">
        <f t="shared" si="24"/>
        <v>-735.3069201062001</v>
      </c>
      <c r="AD62" s="273">
        <f t="shared" si="24"/>
        <v>-757.22954167420005</v>
      </c>
      <c r="AE62" s="273">
        <f t="shared" si="24"/>
        <v>-397.92364167419998</v>
      </c>
      <c r="AF62" s="273">
        <f t="shared" si="24"/>
        <v>-3319.4787361862541</v>
      </c>
      <c r="AG62" s="273">
        <f t="shared" si="24"/>
        <v>-63.7827516742</v>
      </c>
      <c r="AH62" s="273">
        <f t="shared" si="24"/>
        <v>-1997.3976029529438</v>
      </c>
      <c r="AI62" s="273">
        <f t="shared" si="24"/>
        <v>-6413.6611316742001</v>
      </c>
      <c r="AJ62" s="273">
        <f t="shared" si="24"/>
        <v>-63.404541674200004</v>
      </c>
      <c r="AK62" s="273">
        <f t="shared" si="24"/>
        <v>0</v>
      </c>
      <c r="AL62" s="273">
        <f t="shared" si="24"/>
        <v>0</v>
      </c>
      <c r="AM62" s="273">
        <f t="shared" ref="AM62" si="25">AM51</f>
        <v>0</v>
      </c>
      <c r="AN62" s="273"/>
    </row>
    <row r="63" spans="3:40" outlineLevel="3">
      <c r="C63" s="314" t="str">
        <f>C50</f>
        <v>Fluxo de Caixa Operacional - Impostos</v>
      </c>
      <c r="E63" s="4" t="s">
        <v>313</v>
      </c>
      <c r="F63" s="23">
        <f ca="1">SUM(G63:AN63)</f>
        <v>149286.98092152076</v>
      </c>
      <c r="G63" s="273">
        <f t="shared" ref="G63:AI63" ca="1" si="26">G50</f>
        <v>-552.25075172981724</v>
      </c>
      <c r="H63" s="273">
        <f t="shared" ca="1" si="26"/>
        <v>-1438.2344314673312</v>
      </c>
      <c r="I63" s="273">
        <f t="shared" ca="1" si="26"/>
        <v>2140.579351404207</v>
      </c>
      <c r="J63" s="273">
        <f t="shared" ca="1" si="26"/>
        <v>2720.1931134782167</v>
      </c>
      <c r="K63" s="273">
        <f t="shared" ca="1" si="26"/>
        <v>2990.0154368703502</v>
      </c>
      <c r="L63" s="273">
        <f t="shared" ca="1" si="26"/>
        <v>3780.3220245218658</v>
      </c>
      <c r="M63" s="273">
        <f t="shared" ca="1" si="26"/>
        <v>3328.4288603080322</v>
      </c>
      <c r="N63" s="273">
        <f t="shared" ca="1" si="26"/>
        <v>5069.4841871670733</v>
      </c>
      <c r="O63" s="273">
        <f t="shared" ca="1" si="26"/>
        <v>4933.8000844041107</v>
      </c>
      <c r="P63" s="273">
        <f t="shared" ca="1" si="26"/>
        <v>4948.990224648318</v>
      </c>
      <c r="Q63" s="273">
        <f t="shared" ca="1" si="26"/>
        <v>5137.4127850301757</v>
      </c>
      <c r="R63" s="273">
        <f t="shared" ca="1" si="26"/>
        <v>5270.7342445107424</v>
      </c>
      <c r="S63" s="273">
        <f t="shared" ca="1" si="26"/>
        <v>4866.7234020837914</v>
      </c>
      <c r="T63" s="273">
        <f t="shared" ca="1" si="26"/>
        <v>4714.642650749418</v>
      </c>
      <c r="U63" s="273">
        <f t="shared" ca="1" si="26"/>
        <v>5771.2067166949892</v>
      </c>
      <c r="V63" s="273">
        <f t="shared" ca="1" si="26"/>
        <v>5294.658166852666</v>
      </c>
      <c r="W63" s="273">
        <f t="shared" ca="1" si="26"/>
        <v>5312.0526979427323</v>
      </c>
      <c r="X63" s="273">
        <f t="shared" ca="1" si="26"/>
        <v>5375.2413954514886</v>
      </c>
      <c r="Y63" s="273">
        <f t="shared" ca="1" si="26"/>
        <v>5352.4838513409086</v>
      </c>
      <c r="Z63" s="273">
        <f t="shared" ca="1" si="26"/>
        <v>4838.4927415046241</v>
      </c>
      <c r="AA63" s="273">
        <f t="shared" ca="1" si="26"/>
        <v>5077.0297861329182</v>
      </c>
      <c r="AB63" s="273">
        <f t="shared" ca="1" si="26"/>
        <v>6126.1465673813591</v>
      </c>
      <c r="AC63" s="273">
        <f t="shared" ca="1" si="26"/>
        <v>5946.3508165167732</v>
      </c>
      <c r="AD63" s="273">
        <f t="shared" ca="1" si="26"/>
        <v>6041.0518400975752</v>
      </c>
      <c r="AE63" s="273">
        <f t="shared" ca="1" si="26"/>
        <v>6162.5161573740097</v>
      </c>
      <c r="AF63" s="273">
        <f t="shared" ca="1" si="26"/>
        <v>6401.4974927142775</v>
      </c>
      <c r="AG63" s="273">
        <f t="shared" ca="1" si="26"/>
        <v>5772.2128081635838</v>
      </c>
      <c r="AH63" s="273">
        <f t="shared" ca="1" si="26"/>
        <v>6050.6794287835</v>
      </c>
      <c r="AI63" s="273">
        <f t="shared" ca="1" si="26"/>
        <v>6823.7651843967833</v>
      </c>
      <c r="AJ63" s="273">
        <f ca="1">AJ50</f>
        <v>15030.75408819344</v>
      </c>
      <c r="AK63" s="273">
        <f t="shared" ref="AK63:AM63" ca="1" si="27">AK50</f>
        <v>0</v>
      </c>
      <c r="AL63" s="273">
        <f t="shared" ca="1" si="27"/>
        <v>0</v>
      </c>
      <c r="AM63" s="273">
        <f t="shared" ca="1" si="27"/>
        <v>0</v>
      </c>
      <c r="AN63" s="273"/>
    </row>
    <row r="64" spans="3:40" outlineLevel="3">
      <c r="C64" s="314" t="s">
        <v>680</v>
      </c>
      <c r="E64" s="4" t="s">
        <v>313</v>
      </c>
      <c r="F64" s="23">
        <f ca="1">SUM(G64:AN64)</f>
        <v>72510.494628957735</v>
      </c>
      <c r="G64" s="278">
        <f ca="1">SUM(G62:G63)</f>
        <v>-11327.281872625816</v>
      </c>
      <c r="H64" s="278">
        <f ca="1">SUM(H62:H63)</f>
        <v>-2910.6702407923758</v>
      </c>
      <c r="I64" s="278">
        <f ca="1">SUM(I62:I63)</f>
        <v>397.10065557000689</v>
      </c>
      <c r="J64" s="278">
        <f ca="1">SUM(J62:J63)</f>
        <v>2322.9288718040166</v>
      </c>
      <c r="K64" s="278">
        <f t="shared" ref="K64:AM64" ca="1" si="28">SUM(K62:K63)</f>
        <v>2226.8633951961501</v>
      </c>
      <c r="L64" s="278">
        <f t="shared" ca="1" si="28"/>
        <v>-8525.1911088486049</v>
      </c>
      <c r="M64" s="278">
        <f t="shared" ca="1" si="28"/>
        <v>3086.8339273550882</v>
      </c>
      <c r="N64" s="278">
        <f t="shared" ca="1" si="28"/>
        <v>-3119.6984245071271</v>
      </c>
      <c r="O64" s="278">
        <f t="shared" ca="1" si="28"/>
        <v>4890.3955427299106</v>
      </c>
      <c r="P64" s="278">
        <f t="shared" ca="1" si="28"/>
        <v>4103.2111829741179</v>
      </c>
      <c r="Q64" s="278">
        <f t="shared" ca="1" si="28"/>
        <v>3684.4543805116164</v>
      </c>
      <c r="R64" s="278">
        <f t="shared" ca="1" si="28"/>
        <v>4170.9306613063736</v>
      </c>
      <c r="S64" s="278">
        <f t="shared" ca="1" si="28"/>
        <v>4068.7894819775911</v>
      </c>
      <c r="T64" s="278">
        <f t="shared" ca="1" si="28"/>
        <v>4535.8331277964735</v>
      </c>
      <c r="U64" s="278">
        <f t="shared" ca="1" si="28"/>
        <v>-2409.3381349792116</v>
      </c>
      <c r="V64" s="278">
        <f t="shared" ca="1" si="28"/>
        <v>2646.6257108104123</v>
      </c>
      <c r="W64" s="278">
        <f t="shared" ca="1" si="28"/>
        <v>4528.5224462685319</v>
      </c>
      <c r="X64" s="278">
        <f t="shared" ca="1" si="28"/>
        <v>5023.5915937772888</v>
      </c>
      <c r="Y64" s="278">
        <f t="shared" ca="1" si="28"/>
        <v>4526.4850096667087</v>
      </c>
      <c r="Z64" s="278">
        <f t="shared" ca="1" si="28"/>
        <v>4789.1656998304243</v>
      </c>
      <c r="AA64" s="278">
        <f t="shared" ca="1" si="28"/>
        <v>3806.0414003356145</v>
      </c>
      <c r="AB64" s="278">
        <f t="shared" ca="1" si="28"/>
        <v>-2485.7416258230105</v>
      </c>
      <c r="AC64" s="278">
        <f t="shared" ca="1" si="28"/>
        <v>5211.0438964105733</v>
      </c>
      <c r="AD64" s="278">
        <f t="shared" ca="1" si="28"/>
        <v>5283.8222984233753</v>
      </c>
      <c r="AE64" s="278">
        <f t="shared" ca="1" si="28"/>
        <v>5764.5925156998101</v>
      </c>
      <c r="AF64" s="278">
        <f t="shared" ca="1" si="28"/>
        <v>3082.0187565280235</v>
      </c>
      <c r="AG64" s="278">
        <f t="shared" ca="1" si="28"/>
        <v>5708.4300564893838</v>
      </c>
      <c r="AH64" s="278">
        <f t="shared" ca="1" si="28"/>
        <v>4053.281825830556</v>
      </c>
      <c r="AI64" s="278">
        <f t="shared" ca="1" si="28"/>
        <v>410.10405272258322</v>
      </c>
      <c r="AJ64" s="278">
        <f t="shared" ca="1" si="28"/>
        <v>14967.349546519241</v>
      </c>
      <c r="AK64" s="278">
        <f t="shared" ca="1" si="28"/>
        <v>0</v>
      </c>
      <c r="AL64" s="278">
        <f t="shared" ca="1" si="28"/>
        <v>0</v>
      </c>
      <c r="AM64" s="278">
        <f t="shared" ca="1" si="28"/>
        <v>0</v>
      </c>
      <c r="AN64" s="278"/>
    </row>
    <row r="65" spans="3:41" outlineLevel="3">
      <c r="C65" s="314"/>
      <c r="E65" s="266"/>
      <c r="F65" s="266"/>
      <c r="G65" s="278"/>
      <c r="H65" s="278"/>
      <c r="I65" s="278"/>
      <c r="J65" s="278"/>
      <c r="K65" s="278"/>
      <c r="L65" s="278"/>
      <c r="M65" s="278"/>
      <c r="N65" s="278"/>
      <c r="O65" s="278"/>
      <c r="P65" s="278"/>
      <c r="Q65" s="278"/>
      <c r="R65" s="278"/>
      <c r="S65" s="278"/>
      <c r="T65" s="278"/>
      <c r="U65" s="278"/>
      <c r="V65" s="278"/>
      <c r="W65" s="278"/>
      <c r="X65" s="278"/>
      <c r="Y65" s="278"/>
      <c r="Z65" s="278"/>
      <c r="AA65" s="278"/>
      <c r="AB65" s="278"/>
      <c r="AC65" s="278"/>
      <c r="AD65" s="278"/>
      <c r="AE65" s="278"/>
      <c r="AF65" s="278"/>
      <c r="AG65" s="278"/>
      <c r="AH65" s="278"/>
      <c r="AI65" s="278"/>
      <c r="AJ65" s="278"/>
      <c r="AK65" s="278"/>
      <c r="AL65" s="278"/>
      <c r="AM65" s="278"/>
      <c r="AN65" s="278"/>
    </row>
    <row r="66" spans="3:41" ht="16.2" outlineLevel="3" thickBot="1">
      <c r="C66" s="220" t="s">
        <v>681</v>
      </c>
      <c r="D66"/>
      <c r="E66" s="266"/>
      <c r="F66" s="266"/>
      <c r="G66" s="278"/>
      <c r="H66" s="278"/>
      <c r="I66" s="278"/>
      <c r="J66" s="278"/>
      <c r="K66" s="278"/>
      <c r="L66" s="278"/>
      <c r="M66" s="278"/>
      <c r="N66" s="278"/>
      <c r="O66" s="278"/>
      <c r="P66" s="278"/>
      <c r="Q66" s="278"/>
      <c r="R66" s="278"/>
      <c r="S66" s="278"/>
      <c r="T66" s="278"/>
      <c r="U66" s="278"/>
      <c r="V66" s="278"/>
      <c r="W66" s="278"/>
      <c r="X66" s="278"/>
      <c r="Y66" s="278"/>
      <c r="Z66" s="278"/>
      <c r="AA66" s="278"/>
      <c r="AB66" s="278"/>
      <c r="AC66" s="278"/>
      <c r="AD66" s="278"/>
      <c r="AE66" s="278"/>
      <c r="AF66" s="278"/>
      <c r="AG66" s="278"/>
      <c r="AH66" s="278"/>
      <c r="AI66" s="278"/>
      <c r="AJ66" s="278"/>
      <c r="AK66" s="278"/>
      <c r="AL66" s="278"/>
      <c r="AM66" s="278"/>
      <c r="AN66" s="278"/>
    </row>
    <row r="67" spans="3:41" ht="16.2" outlineLevel="3" thickBot="1">
      <c r="C67" s="475" t="s">
        <v>21</v>
      </c>
      <c r="D67" s="478">
        <f ca="1">XIRR(G64:AJ64,G60:AJ60)</f>
        <v>0.10790613293647766</v>
      </c>
      <c r="E67" s="476" t="s">
        <v>313</v>
      </c>
      <c r="F67" s="477"/>
      <c r="G67" s="266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6"/>
      <c r="S67" s="266"/>
      <c r="T67" s="266"/>
      <c r="U67" s="266"/>
      <c r="V67" s="266"/>
      <c r="W67" s="266"/>
      <c r="X67" s="266"/>
      <c r="Y67" s="266"/>
      <c r="Z67" s="266"/>
      <c r="AA67" s="266"/>
      <c r="AB67" s="266"/>
      <c r="AC67" s="266"/>
      <c r="AD67" s="266"/>
      <c r="AE67" s="266"/>
      <c r="AF67" s="266"/>
      <c r="AG67" s="266"/>
      <c r="AH67" s="266"/>
      <c r="AI67" s="266"/>
      <c r="AJ67" s="266"/>
      <c r="AK67" s="266"/>
      <c r="AL67" s="266"/>
      <c r="AM67" s="266"/>
      <c r="AN67" s="266"/>
    </row>
    <row r="68" spans="3:41" outlineLevel="2">
      <c r="C68" s="266"/>
      <c r="D68" s="490"/>
      <c r="E68" s="266"/>
      <c r="F68" s="266"/>
      <c r="G68" s="266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6"/>
      <c r="S68" s="266"/>
      <c r="T68" s="266"/>
      <c r="U68" s="266"/>
      <c r="V68" s="266"/>
      <c r="W68" s="266"/>
      <c r="X68" s="266"/>
      <c r="Y68" s="266"/>
      <c r="Z68" s="266"/>
      <c r="AA68" s="266"/>
      <c r="AB68" s="266"/>
      <c r="AC68" s="266"/>
      <c r="AD68" s="266"/>
      <c r="AE68" s="266"/>
      <c r="AF68" s="266"/>
      <c r="AG68" s="266"/>
      <c r="AH68" s="266"/>
      <c r="AI68" s="266"/>
      <c r="AJ68" s="266"/>
      <c r="AK68" s="266"/>
      <c r="AL68" s="266"/>
      <c r="AM68" s="266"/>
      <c r="AN68" s="266"/>
    </row>
    <row r="69" spans="3:41" outlineLevel="1">
      <c r="C69" s="266"/>
      <c r="D69" s="755"/>
      <c r="E69" s="266"/>
      <c r="F69" s="266"/>
      <c r="G69" s="266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6"/>
      <c r="S69" s="266"/>
      <c r="T69" s="266"/>
      <c r="U69" s="266"/>
      <c r="V69" s="266"/>
      <c r="W69" s="266"/>
      <c r="X69" s="266"/>
      <c r="Y69" s="266"/>
      <c r="Z69" s="266"/>
      <c r="AA69" s="266"/>
      <c r="AB69" s="266"/>
      <c r="AC69" s="266"/>
      <c r="AD69" s="266"/>
      <c r="AE69" s="266"/>
      <c r="AF69" s="266"/>
      <c r="AG69" s="266"/>
      <c r="AH69" s="266"/>
      <c r="AI69" s="266"/>
      <c r="AJ69" s="266"/>
      <c r="AK69" s="266"/>
      <c r="AL69" s="266"/>
      <c r="AM69" s="266"/>
      <c r="AN69" s="266"/>
    </row>
    <row r="70" spans="3:41">
      <c r="C70" s="266"/>
      <c r="D70"/>
      <c r="E70" s="266"/>
      <c r="F70" s="266"/>
      <c r="G70" s="266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6"/>
      <c r="S70" s="266"/>
      <c r="T70" s="266"/>
      <c r="U70" s="266"/>
      <c r="V70" s="266"/>
      <c r="W70" s="266"/>
      <c r="X70" s="266"/>
      <c r="Y70" s="266"/>
      <c r="Z70" s="266"/>
      <c r="AA70" s="266"/>
      <c r="AB70" s="266"/>
      <c r="AC70" s="266"/>
      <c r="AD70" s="266"/>
      <c r="AE70" s="266"/>
      <c r="AF70" s="266"/>
      <c r="AG70" s="266"/>
      <c r="AH70" s="266"/>
      <c r="AI70" s="266"/>
      <c r="AJ70" s="266"/>
      <c r="AK70" s="266"/>
      <c r="AL70" s="266"/>
      <c r="AM70" s="266"/>
      <c r="AN70" s="266"/>
    </row>
    <row r="71" spans="3:41" s="266" customFormat="1" ht="16.2" thickBot="1">
      <c r="C71" s="394" t="s">
        <v>682</v>
      </c>
      <c r="D71" s="395"/>
      <c r="E71" s="396"/>
      <c r="F71" s="395"/>
      <c r="G71" s="395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5"/>
      <c r="S71" s="395"/>
      <c r="T71" s="395"/>
      <c r="U71" s="395"/>
      <c r="V71" s="395"/>
      <c r="W71" s="395"/>
      <c r="X71" s="395"/>
      <c r="Y71" s="395"/>
      <c r="Z71" s="395"/>
      <c r="AA71" s="395"/>
      <c r="AB71" s="395"/>
      <c r="AC71" s="395"/>
      <c r="AD71" s="395"/>
      <c r="AE71" s="395"/>
      <c r="AF71" s="395"/>
      <c r="AG71" s="395"/>
      <c r="AH71" s="395"/>
      <c r="AI71" s="395"/>
      <c r="AJ71" s="395"/>
      <c r="AK71" s="8"/>
      <c r="AL71" s="8"/>
      <c r="AM71" s="8"/>
      <c r="AN71" s="8"/>
      <c r="AO71"/>
    </row>
    <row r="72" spans="3:41" outlineLevel="1">
      <c r="C72" s="266"/>
      <c r="E72" s="266"/>
      <c r="F72" s="266"/>
      <c r="G72" s="266"/>
      <c r="H72" s="266"/>
      <c r="I72" s="266"/>
      <c r="J72" s="266"/>
      <c r="K72" s="266"/>
      <c r="L72" s="266"/>
      <c r="M72" s="266"/>
      <c r="N72" s="266"/>
      <c r="O72" s="266"/>
      <c r="P72" s="266"/>
      <c r="Q72" s="266"/>
      <c r="R72" s="266"/>
      <c r="S72" s="266"/>
      <c r="T72" s="266"/>
      <c r="U72" s="266"/>
      <c r="V72" s="266"/>
      <c r="W72" s="266"/>
      <c r="X72" s="266"/>
      <c r="Y72" s="266"/>
      <c r="Z72" s="266"/>
      <c r="AA72" s="266"/>
      <c r="AB72" s="266"/>
      <c r="AC72" s="266"/>
      <c r="AD72" s="266"/>
      <c r="AE72" s="266"/>
      <c r="AF72" s="266"/>
      <c r="AG72" s="266"/>
      <c r="AH72" s="266"/>
      <c r="AI72" s="266"/>
      <c r="AJ72" s="266"/>
      <c r="AK72" s="266"/>
      <c r="AL72" s="266"/>
      <c r="AM72" s="266"/>
      <c r="AN72" s="266"/>
    </row>
    <row r="73" spans="3:41" outlineLevel="1">
      <c r="C73" s="266" t="s">
        <v>683</v>
      </c>
      <c r="E73" s="123">
        <f ca="1">COUNTIF(G73:AQ73,"&lt;0")</f>
        <v>12</v>
      </c>
      <c r="F73" s="122"/>
      <c r="G73" s="278">
        <f t="shared" ref="G73:AN73" ca="1" si="29">F73+G52</f>
        <v>-11327.281872625816</v>
      </c>
      <c r="H73" s="278">
        <f t="shared" ca="1" si="29"/>
        <v>-14237.952113418192</v>
      </c>
      <c r="I73" s="278">
        <f t="shared" ca="1" si="29"/>
        <v>-13840.851457848185</v>
      </c>
      <c r="J73" s="278">
        <f t="shared" ca="1" si="29"/>
        <v>-11517.922586044167</v>
      </c>
      <c r="K73" s="278">
        <f t="shared" ca="1" si="29"/>
        <v>-9291.0591908480164</v>
      </c>
      <c r="L73" s="278">
        <f t="shared" ca="1" si="29"/>
        <v>-17816.250299696621</v>
      </c>
      <c r="M73" s="278">
        <f t="shared" ca="1" si="29"/>
        <v>-14729.416372341533</v>
      </c>
      <c r="N73" s="278">
        <f t="shared" ca="1" si="29"/>
        <v>-17849.114796848662</v>
      </c>
      <c r="O73" s="278">
        <f t="shared" ca="1" si="29"/>
        <v>-12958.719254118751</v>
      </c>
      <c r="P73" s="278">
        <f t="shared" ca="1" si="29"/>
        <v>-8855.5080711446317</v>
      </c>
      <c r="Q73" s="278">
        <f t="shared" ca="1" si="29"/>
        <v>-5171.0536906330153</v>
      </c>
      <c r="R73" s="278">
        <f t="shared" ca="1" si="29"/>
        <v>-1000.1230293266417</v>
      </c>
      <c r="S73" s="278">
        <f t="shared" ca="1" si="29"/>
        <v>3068.6664526509494</v>
      </c>
      <c r="T73" s="278">
        <f t="shared" ca="1" si="29"/>
        <v>7604.4995804474229</v>
      </c>
      <c r="U73" s="278">
        <f t="shared" ca="1" si="29"/>
        <v>5195.1614454682112</v>
      </c>
      <c r="V73" s="278">
        <f t="shared" ca="1" si="29"/>
        <v>7841.787156278624</v>
      </c>
      <c r="W73" s="278">
        <f t="shared" ca="1" si="29"/>
        <v>12370.309602547157</v>
      </c>
      <c r="X73" s="278">
        <f t="shared" ca="1" si="29"/>
        <v>17393.901196324445</v>
      </c>
      <c r="Y73" s="278">
        <f t="shared" ca="1" si="29"/>
        <v>21920.386205991155</v>
      </c>
      <c r="Z73" s="278">
        <f t="shared" ca="1" si="29"/>
        <v>26709.55190582158</v>
      </c>
      <c r="AA73" s="278">
        <f t="shared" ca="1" si="29"/>
        <v>30515.593306157192</v>
      </c>
      <c r="AB73" s="278">
        <f t="shared" ca="1" si="29"/>
        <v>28029.851680334181</v>
      </c>
      <c r="AC73" s="278">
        <f t="shared" ca="1" si="29"/>
        <v>33240.895576744755</v>
      </c>
      <c r="AD73" s="278">
        <f t="shared" ca="1" si="29"/>
        <v>38524.717875168128</v>
      </c>
      <c r="AE73" s="278">
        <f t="shared" ca="1" si="29"/>
        <v>44289.31039086794</v>
      </c>
      <c r="AF73" s="278">
        <f t="shared" ca="1" si="29"/>
        <v>47371.329147395962</v>
      </c>
      <c r="AG73" s="278">
        <f t="shared" ca="1" si="29"/>
        <v>53079.759203885347</v>
      </c>
      <c r="AH73" s="278">
        <f t="shared" ca="1" si="29"/>
        <v>57133.041029715903</v>
      </c>
      <c r="AI73" s="278">
        <f t="shared" ca="1" si="29"/>
        <v>57543.145082438488</v>
      </c>
      <c r="AJ73" s="278">
        <f t="shared" ca="1" si="29"/>
        <v>72510.494628957735</v>
      </c>
      <c r="AK73" s="278">
        <f t="shared" ca="1" si="29"/>
        <v>72510.494628957735</v>
      </c>
      <c r="AL73" s="278">
        <f t="shared" ca="1" si="29"/>
        <v>72510.494628957735</v>
      </c>
      <c r="AM73" s="278">
        <f t="shared" ca="1" si="29"/>
        <v>72510.494628957735</v>
      </c>
      <c r="AN73" s="278">
        <f t="shared" ca="1" si="29"/>
        <v>72510.494628957735</v>
      </c>
    </row>
    <row r="74" spans="3:41" outlineLevel="1">
      <c r="C74" s="266" t="s">
        <v>684</v>
      </c>
      <c r="E74" s="123">
        <f ca="1">COUNTIF(G74:AQ74,"&lt;0")</f>
        <v>29</v>
      </c>
      <c r="F74" s="266"/>
      <c r="G74" s="278">
        <f t="shared" ref="G74:AN74" ca="1" si="30">F74+G55</f>
        <v>-10226.939116814092</v>
      </c>
      <c r="H74" s="278">
        <f t="shared" ca="1" si="30"/>
        <v>-12598.253222272564</v>
      </c>
      <c r="I74" s="278">
        <f t="shared" ca="1" si="30"/>
        <v>-12306.245240529803</v>
      </c>
      <c r="J74" s="278">
        <f t="shared" ca="1" si="30"/>
        <v>-10764.445138824289</v>
      </c>
      <c r="K74" s="278">
        <f t="shared" ca="1" si="30"/>
        <v>-9430.359300338494</v>
      </c>
      <c r="L74" s="278">
        <f t="shared" ca="1" si="30"/>
        <v>-14038.974388151524</v>
      </c>
      <c r="M74" s="278">
        <f t="shared" ca="1" si="30"/>
        <v>-12532.791814980234</v>
      </c>
      <c r="N74" s="278">
        <f t="shared" ca="1" si="30"/>
        <v>-13906.754716990838</v>
      </c>
      <c r="O74" s="278">
        <f t="shared" ca="1" si="30"/>
        <v>-11962.718195561985</v>
      </c>
      <c r="P74" s="278">
        <f t="shared" ca="1" si="30"/>
        <v>-10490.87881552965</v>
      </c>
      <c r="Q74" s="278">
        <f t="shared" ca="1" si="30"/>
        <v>-9297.9685606093917</v>
      </c>
      <c r="R74" s="278">
        <f t="shared" ca="1" si="30"/>
        <v>-8079.0755183021656</v>
      </c>
      <c r="S74" s="278">
        <f t="shared" ca="1" si="30"/>
        <v>-7005.837898032396</v>
      </c>
      <c r="T74" s="278">
        <f t="shared" ca="1" si="30"/>
        <v>-5926.235470551308</v>
      </c>
      <c r="U74" s="278">
        <f t="shared" ca="1" si="30"/>
        <v>-6443.845375080703</v>
      </c>
      <c r="V74" s="278">
        <f t="shared" ca="1" si="30"/>
        <v>-5930.6350443003666</v>
      </c>
      <c r="W74" s="278">
        <f t="shared" ca="1" si="30"/>
        <v>-5138.0289138091402</v>
      </c>
      <c r="X74" s="278">
        <f t="shared" ca="1" si="30"/>
        <v>-4344.6304709847091</v>
      </c>
      <c r="Y74" s="278">
        <f t="shared" ca="1" si="30"/>
        <v>-3699.3683895661261</v>
      </c>
      <c r="Z74" s="278">
        <f t="shared" ca="1" si="30"/>
        <v>-3083.1524028555932</v>
      </c>
      <c r="AA74" s="278">
        <f t="shared" ca="1" si="30"/>
        <v>-2641.1296292840707</v>
      </c>
      <c r="AB74" s="278">
        <f t="shared" ca="1" si="30"/>
        <v>-2901.6269366953488</v>
      </c>
      <c r="AC74" s="278">
        <f t="shared" ca="1" si="30"/>
        <v>-2408.7142176971938</v>
      </c>
      <c r="AD74" s="278">
        <f t="shared" ca="1" si="30"/>
        <v>-1957.5947844030234</v>
      </c>
      <c r="AE74" s="278">
        <f t="shared" ca="1" si="30"/>
        <v>-1513.3626347865797</v>
      </c>
      <c r="AF74" s="278">
        <f t="shared" ca="1" si="30"/>
        <v>-1299.0475373677896</v>
      </c>
      <c r="AG74" s="278">
        <f t="shared" ca="1" si="30"/>
        <v>-940.75957904033521</v>
      </c>
      <c r="AH74" s="278">
        <f t="shared" ca="1" si="30"/>
        <v>-711.13394471784693</v>
      </c>
      <c r="AI74" s="278">
        <f t="shared" ca="1" si="30"/>
        <v>-690.16359523844585</v>
      </c>
      <c r="AJ74" s="278">
        <f t="shared" ca="1" si="30"/>
        <v>0.44602648716568183</v>
      </c>
      <c r="AK74" s="278">
        <f t="shared" ca="1" si="30"/>
        <v>0.44602648716568183</v>
      </c>
      <c r="AL74" s="278">
        <f t="shared" ca="1" si="30"/>
        <v>0.44602648716568183</v>
      </c>
      <c r="AM74" s="278">
        <f t="shared" ca="1" si="30"/>
        <v>0.44602648716568183</v>
      </c>
      <c r="AN74" s="278">
        <f t="shared" ca="1" si="30"/>
        <v>0.44602648716568183</v>
      </c>
    </row>
    <row r="75" spans="3:41">
      <c r="C75" s="266"/>
      <c r="E75" s="266"/>
      <c r="F75" s="266"/>
      <c r="G75" s="266"/>
      <c r="H75" s="266"/>
      <c r="I75" s="266"/>
      <c r="J75" s="266"/>
      <c r="K75" s="266"/>
      <c r="L75" s="266"/>
      <c r="M75" s="266"/>
      <c r="N75" s="266"/>
      <c r="O75" s="266"/>
      <c r="P75" s="266"/>
      <c r="Q75" s="266"/>
      <c r="R75" s="266"/>
      <c r="S75" s="266"/>
      <c r="T75" s="266"/>
      <c r="U75" s="266"/>
      <c r="V75" s="266"/>
      <c r="W75" s="266"/>
      <c r="X75" s="266"/>
      <c r="Y75" s="266"/>
      <c r="Z75" s="266"/>
      <c r="AA75" s="266"/>
      <c r="AB75" s="266"/>
      <c r="AC75" s="266"/>
      <c r="AD75" s="266"/>
      <c r="AE75" s="266"/>
      <c r="AF75" s="266"/>
      <c r="AG75" s="266"/>
      <c r="AH75" s="266"/>
      <c r="AI75" s="266"/>
      <c r="AJ75" s="266"/>
      <c r="AK75" s="266"/>
      <c r="AL75" s="266"/>
      <c r="AM75" s="266"/>
      <c r="AN75" s="266"/>
    </row>
  </sheetData>
  <pageMargins left="0.7" right="0.7" top="0.75" bottom="0.75" header="0.3" footer="0.3"/>
  <pageSetup paperSize="9" scale="25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BE05FBFE-FD72-483F-A615-A0C3F82E33D4}">
            <xm:f>Flags!$C$89</xm:f>
            <x14:dxf>
              <fill>
                <patternFill patternType="mediumGray">
                  <fgColor theme="8" tint="-0.24994659260841701"/>
                </patternFill>
              </fill>
            </x14:dxf>
          </x14:cfRule>
          <x14:cfRule type="cellIs" priority="2" operator="equal" id="{EF4FE54D-C16E-4E8F-B641-F1529346C4F1}">
            <xm:f>Flags!$C$88</xm:f>
            <x14:dxf>
              <fill>
                <patternFill patternType="mediumGray">
                  <fgColor theme="9" tint="0.59996337778862885"/>
                </patternFill>
              </fill>
            </x14:dxf>
          </x14:cfRule>
          <x14:cfRule type="cellIs" priority="3" operator="equal" id="{C37C96B2-3601-40F8-B0AD-F991B46CFEEA}">
            <xm:f>Flags!$C$87</xm:f>
            <x14:dxf>
              <fill>
                <patternFill patternType="mediumGray">
                  <fgColor theme="5" tint="0.39994506668294322"/>
                </patternFill>
              </fill>
            </x14:dxf>
          </x14:cfRule>
          <x14:cfRule type="cellIs" priority="4" operator="equal" id="{41747B03-0884-4EBD-B69E-2088817F04FE}">
            <xm:f>Flags!$C$86</xm:f>
            <x14:dxf>
              <fill>
                <patternFill patternType="mediumGray">
                  <fgColor rgb="FF0070C0"/>
                </patternFill>
              </fill>
            </x14:dxf>
          </x14:cfRule>
          <x14:cfRule type="cellIs" priority="5" operator="equal" id="{EE64E294-3823-490C-9C93-17E1ACA3BD6E}">
            <xm:f>Flags!$C$85</xm:f>
            <x14:dxf>
              <fill>
                <patternFill patternType="mediumGray">
                  <fgColor theme="4" tint="0.39994506668294322"/>
                </patternFill>
              </fill>
            </x14:dxf>
          </x14:cfRule>
          <x14:cfRule type="cellIs" priority="215" operator="equal" id="{BA86C35D-8214-4D83-BCA5-0DAA344C487D}">
            <xm:f>Flags!#REF!</xm:f>
            <x14:dxf>
              <fill>
                <patternFill patternType="lightGray">
                  <bgColor theme="3" tint="0.79998168889431442"/>
                </patternFill>
              </fill>
            </x14:dxf>
          </x14:cfRule>
          <x14:cfRule type="cellIs" priority="216" operator="equal" id="{8C56405E-9DED-433A-808A-044FCAD06FFC}">
            <xm:f>Flags!#REF!</xm:f>
            <x14:dxf>
              <fill>
                <patternFill patternType="mediumGray">
                  <fgColor theme="8" tint="-0.24994659260841701"/>
                </patternFill>
              </fill>
            </x14:dxf>
          </x14:cfRule>
          <x14:cfRule type="cellIs" priority="217" operator="equal" id="{F9343056-5A1D-47BA-89F9-9A07F2A7D6ED}">
            <xm:f>Flags!$C$88</xm:f>
            <x14:dxf>
              <fill>
                <patternFill patternType="mediumGray">
                  <fgColor theme="9" tint="0.59996337778862885"/>
                </patternFill>
              </fill>
            </x14:dxf>
          </x14:cfRule>
          <x14:cfRule type="cellIs" priority="218" operator="equal" id="{783A4228-5DD9-4EB3-A9AA-D28961DAD531}">
            <xm:f>Flags!$C$87</xm:f>
            <x14:dxf>
              <fill>
                <patternFill patternType="mediumGray">
                  <fgColor theme="5" tint="0.39994506668294322"/>
                </patternFill>
              </fill>
            </x14:dxf>
          </x14:cfRule>
          <x14:cfRule type="cellIs" priority="219" operator="equal" id="{E9993408-B8AC-4BC3-940A-D22834A280FB}">
            <xm:f>Flags!$C$86</xm:f>
            <x14:dxf>
              <fill>
                <patternFill patternType="mediumGray">
                  <fgColor rgb="FF0070C0"/>
                </patternFill>
              </fill>
            </x14:dxf>
          </x14:cfRule>
          <x14:cfRule type="cellIs" priority="220" operator="equal" id="{0E174CE2-347D-475B-A413-A55B08818846}">
            <xm:f>Flags!$C$85</xm:f>
            <x14:dxf>
              <fill>
                <patternFill patternType="mediumGray">
                  <fgColor theme="4" tint="0.39994506668294322"/>
                </patternFill>
              </fill>
            </x14:dxf>
          </x14:cfRule>
          <xm:sqref>G6:AN6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A44CD-53E0-4255-BDDB-77B5CBF69E6A}">
  <sheetPr codeName="Sheet20">
    <tabColor rgb="FF0091DA"/>
  </sheetPr>
  <dimension ref="A1:AO104"/>
  <sheetViews>
    <sheetView showGridLines="0" view="pageBreakPreview" zoomScale="130" zoomScaleNormal="82" zoomScaleSheetLayoutView="130" workbookViewId="0">
      <pane ySplit="9" topLeftCell="A10" activePane="bottomLeft" state="frozen"/>
      <selection activeCell="AM95" sqref="AM95"/>
      <selection pane="bottomLeft" activeCell="AM95" sqref="AM95"/>
    </sheetView>
  </sheetViews>
  <sheetFormatPr defaultColWidth="0" defaultRowHeight="15.6" outlineLevelRow="3"/>
  <cols>
    <col min="1" max="1" width="5.5546875" style="1" bestFit="1" customWidth="1"/>
    <col min="2" max="2" width="2.6640625" style="1" customWidth="1"/>
    <col min="3" max="3" width="54.6640625" style="1" bestFit="1" customWidth="1"/>
    <col min="4" max="4" width="28.6640625" style="4" bestFit="1" customWidth="1"/>
    <col min="5" max="5" width="13" style="32" bestFit="1" customWidth="1"/>
    <col min="6" max="6" width="15.33203125" style="1" bestFit="1" customWidth="1"/>
    <col min="7" max="8" width="12.6640625" style="1" bestFit="1" customWidth="1"/>
    <col min="9" max="9" width="14.5546875" style="1" bestFit="1" customWidth="1"/>
    <col min="10" max="10" width="12.6640625" style="1" bestFit="1" customWidth="1"/>
    <col min="11" max="33" width="14.33203125" style="1" bestFit="1" customWidth="1"/>
    <col min="34" max="36" width="15.33203125" style="1" bestFit="1" customWidth="1"/>
    <col min="37" max="40" width="10.33203125" style="1" bestFit="1" customWidth="1"/>
    <col min="41" max="41" width="8.6640625" style="1" customWidth="1"/>
    <col min="42" max="16384" width="8.6640625" style="1" hidden="1"/>
  </cols>
  <sheetData>
    <row r="1" spans="1:41" s="6" customFormat="1">
      <c r="A1" s="386" t="s">
        <v>685</v>
      </c>
      <c r="B1" s="386"/>
      <c r="C1" s="386"/>
      <c r="D1" s="393" t="s">
        <v>33</v>
      </c>
      <c r="E1" s="393" t="s">
        <v>34</v>
      </c>
      <c r="F1" s="393" t="s">
        <v>35</v>
      </c>
      <c r="G1" s="393" t="s">
        <v>36</v>
      </c>
      <c r="H1" s="386" t="s">
        <v>37</v>
      </c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6"/>
      <c r="AD1" s="386"/>
      <c r="AE1" s="386"/>
      <c r="AF1" s="386"/>
      <c r="AG1" s="386"/>
      <c r="AH1" s="386"/>
      <c r="AI1" s="386"/>
      <c r="AJ1" s="386"/>
      <c r="AK1" s="386"/>
      <c r="AL1" s="386"/>
      <c r="AM1" s="386"/>
      <c r="AN1" s="386"/>
      <c r="AO1" s="386"/>
    </row>
    <row r="2" spans="1:41" s="7" customFormat="1">
      <c r="A2" s="280"/>
      <c r="B2" s="280"/>
      <c r="C2" s="280"/>
      <c r="D2" s="96">
        <f ca="1">CHECKS!$F$9</f>
        <v>0</v>
      </c>
      <c r="E2" s="128">
        <f ca="1">CHECKS!$F$15</f>
        <v>0</v>
      </c>
      <c r="F2" s="480">
        <f ca="1">Project_IRR</f>
        <v>0.10790613293647766</v>
      </c>
      <c r="G2" s="481">
        <f ca="1">Project_NPV</f>
        <v>0.44602648716568183</v>
      </c>
      <c r="H2" s="129">
        <f ca="1">Master_Check</f>
        <v>0</v>
      </c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0"/>
      <c r="AH2" s="280"/>
      <c r="AI2" s="280"/>
      <c r="AJ2" s="280"/>
      <c r="AK2" s="280"/>
      <c r="AL2" s="280"/>
      <c r="AM2" s="280"/>
      <c r="AN2" s="280"/>
      <c r="AO2" s="280"/>
    </row>
    <row r="3" spans="1:41">
      <c r="A3" s="266"/>
      <c r="B3" s="266"/>
      <c r="C3" s="266"/>
      <c r="E3" s="308"/>
      <c r="F3" s="281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6"/>
      <c r="R3" s="266"/>
      <c r="S3" s="266"/>
      <c r="T3" s="266"/>
      <c r="U3" s="266"/>
      <c r="V3" s="266"/>
      <c r="W3" s="266"/>
      <c r="X3" s="266"/>
      <c r="Y3" s="266"/>
      <c r="Z3" s="266"/>
      <c r="AA3" s="266"/>
      <c r="AB3" s="266"/>
      <c r="AC3" s="266"/>
      <c r="AD3" s="266"/>
      <c r="AE3" s="266"/>
      <c r="AF3" s="266"/>
      <c r="AG3" s="266"/>
      <c r="AH3" s="266"/>
      <c r="AI3" s="266"/>
      <c r="AJ3" s="266"/>
      <c r="AK3" s="266"/>
      <c r="AL3" s="266"/>
      <c r="AM3" s="266"/>
      <c r="AN3" s="266"/>
      <c r="AO3" s="266"/>
    </row>
    <row r="4" spans="1:41">
      <c r="A4" s="266"/>
      <c r="B4" s="266"/>
      <c r="C4" s="11" t="str">
        <f>Flags!C4</f>
        <v>Começo período</v>
      </c>
      <c r="D4" s="119"/>
      <c r="E4" s="309"/>
      <c r="F4" s="266"/>
      <c r="G4" s="281">
        <f>Flags!G4</f>
        <v>46388</v>
      </c>
      <c r="H4" s="281">
        <f>Flags!H4</f>
        <v>46753</v>
      </c>
      <c r="I4" s="281">
        <f>Flags!I4</f>
        <v>47119</v>
      </c>
      <c r="J4" s="281">
        <f>Flags!J4</f>
        <v>47484</v>
      </c>
      <c r="K4" s="281">
        <f>Flags!K4</f>
        <v>47849</v>
      </c>
      <c r="L4" s="281">
        <f>Flags!L4</f>
        <v>48214</v>
      </c>
      <c r="M4" s="281">
        <f>Flags!M4</f>
        <v>48580</v>
      </c>
      <c r="N4" s="281">
        <f>Flags!N4</f>
        <v>48945</v>
      </c>
      <c r="O4" s="281">
        <f>Flags!O4</f>
        <v>49310</v>
      </c>
      <c r="P4" s="281">
        <f>Flags!P4</f>
        <v>49675</v>
      </c>
      <c r="Q4" s="281">
        <f>Flags!Q4</f>
        <v>50041</v>
      </c>
      <c r="R4" s="281">
        <f>Flags!R4</f>
        <v>50406</v>
      </c>
      <c r="S4" s="281">
        <f>Flags!S4</f>
        <v>50771</v>
      </c>
      <c r="T4" s="281">
        <f>Flags!T4</f>
        <v>51136</v>
      </c>
      <c r="U4" s="281">
        <f>Flags!U4</f>
        <v>51502</v>
      </c>
      <c r="V4" s="281">
        <f>Flags!V4</f>
        <v>51867</v>
      </c>
      <c r="W4" s="281">
        <f>Flags!W4</f>
        <v>52232</v>
      </c>
      <c r="X4" s="281">
        <f>Flags!X4</f>
        <v>52597</v>
      </c>
      <c r="Y4" s="281">
        <f>Flags!Y4</f>
        <v>52963</v>
      </c>
      <c r="Z4" s="281">
        <f>Flags!Z4</f>
        <v>53328</v>
      </c>
      <c r="AA4" s="281">
        <f>Flags!AA4</f>
        <v>53693</v>
      </c>
      <c r="AB4" s="281">
        <f>Flags!AB4</f>
        <v>54058</v>
      </c>
      <c r="AC4" s="281">
        <f>Flags!AC4</f>
        <v>54424</v>
      </c>
      <c r="AD4" s="281">
        <f>Flags!AD4</f>
        <v>54789</v>
      </c>
      <c r="AE4" s="281">
        <f>Flags!AE4</f>
        <v>55154</v>
      </c>
      <c r="AF4" s="281">
        <f>Flags!AF4</f>
        <v>55519</v>
      </c>
      <c r="AG4" s="281">
        <f>Flags!AG4</f>
        <v>55885</v>
      </c>
      <c r="AH4" s="281">
        <f>Flags!AH4</f>
        <v>56250</v>
      </c>
      <c r="AI4" s="281">
        <f>Flags!AI4</f>
        <v>56615</v>
      </c>
      <c r="AJ4" s="281">
        <f>Flags!AJ4</f>
        <v>56980</v>
      </c>
      <c r="AK4" s="281">
        <f>Flags!AK4</f>
        <v>57346</v>
      </c>
      <c r="AL4" s="281">
        <f>Flags!AL4</f>
        <v>57711</v>
      </c>
      <c r="AM4" s="281">
        <f>Flags!AM4</f>
        <v>58076</v>
      </c>
      <c r="AN4" s="281">
        <f>Flags!AN4</f>
        <v>58441</v>
      </c>
      <c r="AO4" s="266"/>
    </row>
    <row r="5" spans="1:41">
      <c r="A5" s="266"/>
      <c r="B5" s="266"/>
      <c r="C5" s="11" t="str">
        <f>Flags!C5</f>
        <v>Fim período</v>
      </c>
      <c r="E5" s="309"/>
      <c r="F5" s="266"/>
      <c r="G5" s="281">
        <f>Flags!G5</f>
        <v>46752</v>
      </c>
      <c r="H5" s="281">
        <f>Flags!H5</f>
        <v>47118</v>
      </c>
      <c r="I5" s="281">
        <f>Flags!I5</f>
        <v>47483</v>
      </c>
      <c r="J5" s="281">
        <f>Flags!J5</f>
        <v>47848</v>
      </c>
      <c r="K5" s="281">
        <f>Flags!K5</f>
        <v>48213</v>
      </c>
      <c r="L5" s="281">
        <f>Flags!L5</f>
        <v>48579</v>
      </c>
      <c r="M5" s="281">
        <f>Flags!M5</f>
        <v>48944</v>
      </c>
      <c r="N5" s="281">
        <f>Flags!N5</f>
        <v>49309</v>
      </c>
      <c r="O5" s="281">
        <f>Flags!O5</f>
        <v>49674</v>
      </c>
      <c r="P5" s="281">
        <f>Flags!P5</f>
        <v>50040</v>
      </c>
      <c r="Q5" s="281">
        <f>Flags!Q5</f>
        <v>50405</v>
      </c>
      <c r="R5" s="281">
        <f>Flags!R5</f>
        <v>50770</v>
      </c>
      <c r="S5" s="281">
        <f>Flags!S5</f>
        <v>51135</v>
      </c>
      <c r="T5" s="281">
        <f>Flags!T5</f>
        <v>51501</v>
      </c>
      <c r="U5" s="281">
        <f>Flags!U5</f>
        <v>51866</v>
      </c>
      <c r="V5" s="281">
        <f>Flags!V5</f>
        <v>52231</v>
      </c>
      <c r="W5" s="281">
        <f>Flags!W5</f>
        <v>52596</v>
      </c>
      <c r="X5" s="281">
        <f>Flags!X5</f>
        <v>52962</v>
      </c>
      <c r="Y5" s="281">
        <f>Flags!Y5</f>
        <v>53327</v>
      </c>
      <c r="Z5" s="281">
        <f>Flags!Z5</f>
        <v>53692</v>
      </c>
      <c r="AA5" s="281">
        <f>Flags!AA5</f>
        <v>54057</v>
      </c>
      <c r="AB5" s="281">
        <f>Flags!AB5</f>
        <v>54423</v>
      </c>
      <c r="AC5" s="281">
        <f>Flags!AC5</f>
        <v>54788</v>
      </c>
      <c r="AD5" s="281">
        <f>Flags!AD5</f>
        <v>55153</v>
      </c>
      <c r="AE5" s="281">
        <f>Flags!AE5</f>
        <v>55518</v>
      </c>
      <c r="AF5" s="281">
        <f>Flags!AF5</f>
        <v>55884</v>
      </c>
      <c r="AG5" s="281">
        <f>Flags!AG5</f>
        <v>56249</v>
      </c>
      <c r="AH5" s="281">
        <f>Flags!AH5</f>
        <v>56614</v>
      </c>
      <c r="AI5" s="281">
        <f>Flags!AI5</f>
        <v>56979</v>
      </c>
      <c r="AJ5" s="281">
        <f>Flags!AJ5</f>
        <v>57345</v>
      </c>
      <c r="AK5" s="281">
        <f>Flags!AK5</f>
        <v>57710</v>
      </c>
      <c r="AL5" s="281">
        <f>Flags!AL5</f>
        <v>58075</v>
      </c>
      <c r="AM5" s="281">
        <f>Flags!AM5</f>
        <v>58440</v>
      </c>
      <c r="AN5" s="281">
        <f>Flags!AN5</f>
        <v>58806</v>
      </c>
      <c r="AO5" s="266"/>
    </row>
    <row r="6" spans="1:41">
      <c r="A6" s="266"/>
      <c r="B6" s="266"/>
      <c r="C6" s="11" t="s">
        <v>38</v>
      </c>
      <c r="E6" s="309"/>
      <c r="F6" s="266"/>
      <c r="G6" s="310">
        <f t="shared" ref="G6:AN6" si="0">YEAR(G5)</f>
        <v>2027</v>
      </c>
      <c r="H6" s="310">
        <f t="shared" si="0"/>
        <v>2028</v>
      </c>
      <c r="I6" s="310">
        <f t="shared" si="0"/>
        <v>2029</v>
      </c>
      <c r="J6" s="310">
        <f t="shared" si="0"/>
        <v>2030</v>
      </c>
      <c r="K6" s="310">
        <f t="shared" si="0"/>
        <v>2031</v>
      </c>
      <c r="L6" s="310">
        <f t="shared" si="0"/>
        <v>2032</v>
      </c>
      <c r="M6" s="310">
        <f t="shared" si="0"/>
        <v>2033</v>
      </c>
      <c r="N6" s="310">
        <f t="shared" si="0"/>
        <v>2034</v>
      </c>
      <c r="O6" s="310">
        <f t="shared" si="0"/>
        <v>2035</v>
      </c>
      <c r="P6" s="310">
        <f t="shared" si="0"/>
        <v>2036</v>
      </c>
      <c r="Q6" s="310">
        <f t="shared" si="0"/>
        <v>2037</v>
      </c>
      <c r="R6" s="310">
        <f t="shared" si="0"/>
        <v>2038</v>
      </c>
      <c r="S6" s="310">
        <f t="shared" si="0"/>
        <v>2039</v>
      </c>
      <c r="T6" s="310">
        <f t="shared" si="0"/>
        <v>2040</v>
      </c>
      <c r="U6" s="310">
        <f t="shared" si="0"/>
        <v>2041</v>
      </c>
      <c r="V6" s="310">
        <f t="shared" si="0"/>
        <v>2042</v>
      </c>
      <c r="W6" s="310">
        <f t="shared" si="0"/>
        <v>2043</v>
      </c>
      <c r="X6" s="310">
        <f t="shared" si="0"/>
        <v>2044</v>
      </c>
      <c r="Y6" s="310">
        <f t="shared" si="0"/>
        <v>2045</v>
      </c>
      <c r="Z6" s="310">
        <f t="shared" si="0"/>
        <v>2046</v>
      </c>
      <c r="AA6" s="310">
        <f t="shared" si="0"/>
        <v>2047</v>
      </c>
      <c r="AB6" s="310">
        <f t="shared" si="0"/>
        <v>2048</v>
      </c>
      <c r="AC6" s="310">
        <f t="shared" si="0"/>
        <v>2049</v>
      </c>
      <c r="AD6" s="310">
        <f t="shared" si="0"/>
        <v>2050</v>
      </c>
      <c r="AE6" s="310">
        <f t="shared" si="0"/>
        <v>2051</v>
      </c>
      <c r="AF6" s="310">
        <f t="shared" si="0"/>
        <v>2052</v>
      </c>
      <c r="AG6" s="310">
        <f t="shared" si="0"/>
        <v>2053</v>
      </c>
      <c r="AH6" s="310">
        <f t="shared" si="0"/>
        <v>2054</v>
      </c>
      <c r="AI6" s="310">
        <f t="shared" si="0"/>
        <v>2055</v>
      </c>
      <c r="AJ6" s="310">
        <f t="shared" si="0"/>
        <v>2056</v>
      </c>
      <c r="AK6" s="310">
        <f t="shared" si="0"/>
        <v>2057</v>
      </c>
      <c r="AL6" s="310">
        <f t="shared" si="0"/>
        <v>2058</v>
      </c>
      <c r="AM6" s="310">
        <f t="shared" si="0"/>
        <v>2059</v>
      </c>
      <c r="AN6" s="310">
        <f t="shared" si="0"/>
        <v>2060</v>
      </c>
      <c r="AO6" s="266"/>
    </row>
    <row r="7" spans="1:41">
      <c r="A7" s="266"/>
      <c r="B7" s="266"/>
      <c r="C7" s="11" t="str">
        <f>Flags!C6</f>
        <v>Timeline</v>
      </c>
      <c r="E7" s="309"/>
      <c r="F7" s="266"/>
      <c r="G7" s="273" t="str">
        <f>Flags!G90</f>
        <v>Ops</v>
      </c>
      <c r="H7" s="273" t="str">
        <f>Flags!H90</f>
        <v>Ops</v>
      </c>
      <c r="I7" s="273" t="str">
        <f>Flags!I90</f>
        <v>Ops</v>
      </c>
      <c r="J7" s="273" t="str">
        <f>Flags!J90</f>
        <v>Ops</v>
      </c>
      <c r="K7" s="273" t="str">
        <f>Flags!K90</f>
        <v>Ops</v>
      </c>
      <c r="L7" s="273" t="str">
        <f>Flags!L90</f>
        <v>Ops</v>
      </c>
      <c r="M7" s="273" t="str">
        <f>Flags!M90</f>
        <v>Ops</v>
      </c>
      <c r="N7" s="273" t="str">
        <f>Flags!N90</f>
        <v>Ops</v>
      </c>
      <c r="O7" s="273" t="str">
        <f>Flags!O90</f>
        <v>Ops</v>
      </c>
      <c r="P7" s="273" t="str">
        <f>Flags!P90</f>
        <v>Ops</v>
      </c>
      <c r="Q7" s="273" t="str">
        <f>Flags!Q90</f>
        <v>Ops</v>
      </c>
      <c r="R7" s="273" t="str">
        <f>Flags!R90</f>
        <v>Ops</v>
      </c>
      <c r="S7" s="273" t="str">
        <f>Flags!S90</f>
        <v>Ops</v>
      </c>
      <c r="T7" s="273" t="str">
        <f>Flags!T90</f>
        <v>Ops</v>
      </c>
      <c r="U7" s="273" t="str">
        <f>Flags!U90</f>
        <v>Ops</v>
      </c>
      <c r="V7" s="273" t="str">
        <f>Flags!V90</f>
        <v>Ops</v>
      </c>
      <c r="W7" s="273" t="str">
        <f>Flags!W90</f>
        <v>Ops</v>
      </c>
      <c r="X7" s="273" t="str">
        <f>Flags!X90</f>
        <v>Ops</v>
      </c>
      <c r="Y7" s="273" t="str">
        <f>Flags!Y90</f>
        <v>Ops</v>
      </c>
      <c r="Z7" s="273" t="str">
        <f>Flags!Z90</f>
        <v>Ops</v>
      </c>
      <c r="AA7" s="273" t="str">
        <f>Flags!AA90</f>
        <v>Ops</v>
      </c>
      <c r="AB7" s="273" t="str">
        <f>Flags!AB90</f>
        <v>Ops</v>
      </c>
      <c r="AC7" s="273" t="str">
        <f>Flags!AC90</f>
        <v>Ops</v>
      </c>
      <c r="AD7" s="273" t="str">
        <f>Flags!AD90</f>
        <v>Ops</v>
      </c>
      <c r="AE7" s="273" t="str">
        <f>Flags!AE90</f>
        <v>Ops</v>
      </c>
      <c r="AF7" s="273" t="str">
        <f>Flags!AF90</f>
        <v>Ops</v>
      </c>
      <c r="AG7" s="273" t="str">
        <f>Flags!AG90</f>
        <v>Ops</v>
      </c>
      <c r="AH7" s="273" t="str">
        <f>Flags!AH90</f>
        <v>Ops</v>
      </c>
      <c r="AI7" s="273" t="str">
        <f>Flags!AI90</f>
        <v>Ops</v>
      </c>
      <c r="AJ7" s="273" t="str">
        <f>Flags!AJ90</f>
        <v>Ops</v>
      </c>
      <c r="AK7" s="273" t="str">
        <f>Flags!AK90</f>
        <v>Post Ops.</v>
      </c>
      <c r="AL7" s="273" t="str">
        <f>Flags!AL90</f>
        <v>Post Ops.</v>
      </c>
      <c r="AM7" s="273" t="str">
        <f>Flags!AM90</f>
        <v>Post Ops.</v>
      </c>
      <c r="AN7" s="273" t="str">
        <f>Flags!AN90</f>
        <v>Post Ops.</v>
      </c>
      <c r="AO7" s="266"/>
    </row>
    <row r="8" spans="1:41">
      <c r="A8" s="266"/>
      <c r="B8" s="266"/>
      <c r="C8" s="266"/>
      <c r="E8" s="309"/>
      <c r="F8" s="266"/>
      <c r="G8" s="266"/>
      <c r="H8" s="266"/>
      <c r="I8" s="266"/>
      <c r="J8" s="266"/>
      <c r="K8" s="266"/>
      <c r="L8" s="266"/>
      <c r="M8" s="266"/>
      <c r="N8" s="266"/>
      <c r="O8" s="266"/>
      <c r="P8" s="266"/>
      <c r="Q8" s="266"/>
      <c r="R8" s="266"/>
      <c r="S8" s="266"/>
      <c r="T8" s="266"/>
      <c r="U8" s="266"/>
      <c r="V8" s="266"/>
      <c r="W8" s="266"/>
      <c r="X8" s="266"/>
      <c r="Y8" s="266"/>
      <c r="Z8" s="266"/>
      <c r="AA8" s="266"/>
      <c r="AB8" s="266"/>
      <c r="AC8" s="266"/>
      <c r="AD8" s="266"/>
      <c r="AE8" s="266"/>
      <c r="AF8" s="266"/>
      <c r="AG8" s="266"/>
      <c r="AH8" s="266"/>
      <c r="AI8" s="266"/>
      <c r="AJ8" s="266"/>
      <c r="AK8" s="266"/>
      <c r="AL8" s="266"/>
      <c r="AM8" s="266"/>
      <c r="AN8" s="266"/>
      <c r="AO8" s="266"/>
    </row>
    <row r="9" spans="1:41">
      <c r="A9" s="266"/>
      <c r="B9" s="266"/>
      <c r="C9" s="266"/>
      <c r="D9" s="19" t="str">
        <f>Flags!D8</f>
        <v>Inputs</v>
      </c>
      <c r="E9" s="75" t="str">
        <f>Flags!E8</f>
        <v>Units</v>
      </c>
      <c r="F9" s="20" t="str">
        <f>Flags!F8</f>
        <v>Total</v>
      </c>
      <c r="G9" s="266"/>
      <c r="H9" s="266"/>
      <c r="I9" s="266"/>
      <c r="J9" s="266"/>
      <c r="K9" s="266"/>
      <c r="L9" s="266"/>
      <c r="M9" s="266"/>
      <c r="N9" s="266"/>
      <c r="O9" s="266"/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66"/>
      <c r="AD9" s="266"/>
      <c r="AE9" s="266"/>
      <c r="AF9" s="266"/>
      <c r="AG9" s="266"/>
      <c r="AH9" s="266"/>
      <c r="AI9" s="266"/>
      <c r="AJ9" s="266"/>
      <c r="AK9" s="266"/>
      <c r="AL9" s="266"/>
      <c r="AM9" s="266"/>
      <c r="AN9" s="266"/>
      <c r="AO9" s="266"/>
    </row>
    <row r="10" spans="1:41">
      <c r="A10" s="266"/>
      <c r="B10" s="266"/>
      <c r="C10" s="266"/>
      <c r="D10" s="19"/>
      <c r="E10" s="75"/>
      <c r="F10" s="20"/>
      <c r="G10" s="266"/>
      <c r="H10" s="266"/>
      <c r="I10" s="266"/>
      <c r="J10" s="266"/>
      <c r="K10" s="266"/>
      <c r="L10" s="266"/>
      <c r="M10" s="266"/>
      <c r="N10" s="266"/>
      <c r="O10" s="266"/>
      <c r="P10" s="266"/>
      <c r="Q10" s="266"/>
      <c r="R10" s="266"/>
      <c r="S10" s="266"/>
      <c r="T10" s="266"/>
      <c r="U10" s="266"/>
      <c r="V10" s="266"/>
      <c r="W10" s="266"/>
      <c r="X10" s="266"/>
      <c r="Y10" s="266"/>
      <c r="Z10" s="266"/>
      <c r="AA10" s="266"/>
      <c r="AB10" s="266"/>
      <c r="AC10" s="266"/>
      <c r="AD10" s="266"/>
      <c r="AE10" s="266"/>
      <c r="AF10" s="266"/>
      <c r="AG10" s="266"/>
      <c r="AH10" s="266"/>
      <c r="AI10" s="266"/>
      <c r="AJ10" s="266"/>
      <c r="AK10" s="266"/>
      <c r="AL10" s="266"/>
      <c r="AM10" s="266"/>
      <c r="AN10" s="266"/>
      <c r="AO10" s="266"/>
    </row>
    <row r="11" spans="1:41" s="266" customFormat="1" ht="16.2" thickBot="1">
      <c r="C11" s="394" t="s">
        <v>372</v>
      </c>
      <c r="D11" s="395"/>
      <c r="E11" s="396"/>
      <c r="F11" s="395"/>
      <c r="G11" s="395"/>
      <c r="H11" s="395"/>
      <c r="I11" s="395"/>
      <c r="J11" s="395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95"/>
      <c r="AJ11" s="395"/>
      <c r="AK11" s="8"/>
      <c r="AL11" s="8"/>
      <c r="AM11" s="8"/>
      <c r="AN11" s="8"/>
    </row>
    <row r="12" spans="1:41" outlineLevel="1">
      <c r="A12" s="266"/>
      <c r="B12" s="266"/>
      <c r="C12" s="266"/>
      <c r="D12" s="266"/>
      <c r="E12" s="266"/>
      <c r="F12" s="266"/>
      <c r="G12" s="266"/>
      <c r="H12" s="266"/>
      <c r="I12" s="266"/>
      <c r="J12" s="266"/>
      <c r="K12" s="266"/>
      <c r="L12" s="266"/>
      <c r="M12" s="266"/>
      <c r="N12" s="266"/>
      <c r="O12" s="266"/>
      <c r="P12" s="266"/>
      <c r="Q12" s="266"/>
      <c r="R12" s="266"/>
      <c r="S12" s="266"/>
      <c r="T12" s="266"/>
      <c r="U12" s="266"/>
      <c r="V12" s="266"/>
      <c r="W12" s="266"/>
      <c r="X12" s="266"/>
      <c r="Y12" s="266"/>
      <c r="Z12" s="266"/>
      <c r="AA12" s="266"/>
      <c r="AB12" s="266"/>
      <c r="AC12" s="266"/>
      <c r="AD12" s="266"/>
      <c r="AE12" s="266"/>
      <c r="AF12" s="266"/>
      <c r="AG12" s="266"/>
      <c r="AH12" s="266"/>
      <c r="AI12" s="266"/>
      <c r="AJ12" s="266"/>
      <c r="AK12" s="266"/>
      <c r="AL12" s="266"/>
      <c r="AM12" s="266"/>
      <c r="AN12" s="266"/>
      <c r="AO12" s="266"/>
    </row>
    <row r="13" spans="1:41" outlineLevel="1">
      <c r="A13" s="266"/>
      <c r="B13" s="266"/>
      <c r="C13" s="266" t="s">
        <v>373</v>
      </c>
      <c r="E13" s="21" t="s">
        <v>38</v>
      </c>
      <c r="F13" s="266"/>
      <c r="G13" s="266">
        <f t="shared" ref="G13:AN13" si="1">YEAR(G$5)</f>
        <v>2027</v>
      </c>
      <c r="H13" s="266">
        <f t="shared" si="1"/>
        <v>2028</v>
      </c>
      <c r="I13" s="266">
        <f t="shared" si="1"/>
        <v>2029</v>
      </c>
      <c r="J13" s="266">
        <f t="shared" si="1"/>
        <v>2030</v>
      </c>
      <c r="K13" s="266">
        <f t="shared" si="1"/>
        <v>2031</v>
      </c>
      <c r="L13" s="266">
        <f t="shared" si="1"/>
        <v>2032</v>
      </c>
      <c r="M13" s="266">
        <f t="shared" si="1"/>
        <v>2033</v>
      </c>
      <c r="N13" s="266">
        <f t="shared" si="1"/>
        <v>2034</v>
      </c>
      <c r="O13" s="266">
        <f t="shared" si="1"/>
        <v>2035</v>
      </c>
      <c r="P13" s="266">
        <f t="shared" si="1"/>
        <v>2036</v>
      </c>
      <c r="Q13" s="266">
        <f t="shared" si="1"/>
        <v>2037</v>
      </c>
      <c r="R13" s="266">
        <f t="shared" si="1"/>
        <v>2038</v>
      </c>
      <c r="S13" s="266">
        <f t="shared" si="1"/>
        <v>2039</v>
      </c>
      <c r="T13" s="266">
        <f t="shared" si="1"/>
        <v>2040</v>
      </c>
      <c r="U13" s="266">
        <f t="shared" si="1"/>
        <v>2041</v>
      </c>
      <c r="V13" s="266">
        <f t="shared" si="1"/>
        <v>2042</v>
      </c>
      <c r="W13" s="266">
        <f t="shared" si="1"/>
        <v>2043</v>
      </c>
      <c r="X13" s="266">
        <f t="shared" si="1"/>
        <v>2044</v>
      </c>
      <c r="Y13" s="266">
        <f t="shared" si="1"/>
        <v>2045</v>
      </c>
      <c r="Z13" s="266">
        <f t="shared" si="1"/>
        <v>2046</v>
      </c>
      <c r="AA13" s="266">
        <f t="shared" si="1"/>
        <v>2047</v>
      </c>
      <c r="AB13" s="266">
        <f t="shared" si="1"/>
        <v>2048</v>
      </c>
      <c r="AC13" s="266">
        <f t="shared" si="1"/>
        <v>2049</v>
      </c>
      <c r="AD13" s="266">
        <f t="shared" si="1"/>
        <v>2050</v>
      </c>
      <c r="AE13" s="266">
        <f t="shared" si="1"/>
        <v>2051</v>
      </c>
      <c r="AF13" s="266">
        <f t="shared" si="1"/>
        <v>2052</v>
      </c>
      <c r="AG13" s="266">
        <f t="shared" si="1"/>
        <v>2053</v>
      </c>
      <c r="AH13" s="266">
        <f t="shared" si="1"/>
        <v>2054</v>
      </c>
      <c r="AI13" s="266">
        <f t="shared" si="1"/>
        <v>2055</v>
      </c>
      <c r="AJ13" s="266">
        <f t="shared" si="1"/>
        <v>2056</v>
      </c>
      <c r="AK13" s="266">
        <f t="shared" si="1"/>
        <v>2057</v>
      </c>
      <c r="AL13" s="266">
        <f t="shared" si="1"/>
        <v>2058</v>
      </c>
      <c r="AM13" s="266">
        <f t="shared" si="1"/>
        <v>2059</v>
      </c>
      <c r="AN13" s="266">
        <f t="shared" si="1"/>
        <v>2060</v>
      </c>
      <c r="AO13" s="266"/>
    </row>
    <row r="14" spans="1:41" outlineLevel="1">
      <c r="A14" s="266"/>
      <c r="B14" s="266"/>
      <c r="C14" s="266" t="s">
        <v>374</v>
      </c>
      <c r="E14" s="21" t="s">
        <v>304</v>
      </c>
      <c r="F14" s="266"/>
      <c r="G14" s="266">
        <f>Flags!H$26</f>
        <v>366</v>
      </c>
      <c r="H14" s="266">
        <f>Flags!I$26</f>
        <v>365</v>
      </c>
      <c r="I14" s="266">
        <f>Flags!J$26</f>
        <v>365</v>
      </c>
      <c r="J14" s="266">
        <f>Flags!K$26</f>
        <v>365</v>
      </c>
      <c r="K14" s="266">
        <f>Flags!L$26</f>
        <v>366</v>
      </c>
      <c r="L14" s="266">
        <f>Flags!M$26</f>
        <v>365</v>
      </c>
      <c r="M14" s="266">
        <f>Flags!N$26</f>
        <v>365</v>
      </c>
      <c r="N14" s="266">
        <f>Flags!O$26</f>
        <v>365</v>
      </c>
      <c r="O14" s="266">
        <f>Flags!P$26</f>
        <v>366</v>
      </c>
      <c r="P14" s="266">
        <f>Flags!Q$26</f>
        <v>365</v>
      </c>
      <c r="Q14" s="266">
        <f>Flags!R$26</f>
        <v>365</v>
      </c>
      <c r="R14" s="266">
        <f>Flags!S$26</f>
        <v>365</v>
      </c>
      <c r="S14" s="266">
        <f>Flags!T$26</f>
        <v>366</v>
      </c>
      <c r="T14" s="266">
        <f>Flags!U$26</f>
        <v>365</v>
      </c>
      <c r="U14" s="266">
        <f>Flags!V$26</f>
        <v>365</v>
      </c>
      <c r="V14" s="266">
        <f>Flags!W$26</f>
        <v>365</v>
      </c>
      <c r="W14" s="266">
        <f>Flags!X$26</f>
        <v>366</v>
      </c>
      <c r="X14" s="266">
        <f>Flags!Y$26</f>
        <v>365</v>
      </c>
      <c r="Y14" s="266">
        <f>Flags!Z$26</f>
        <v>365</v>
      </c>
      <c r="Z14" s="266">
        <f>Flags!AA$26</f>
        <v>365</v>
      </c>
      <c r="AA14" s="266">
        <f>Flags!AB$26</f>
        <v>366</v>
      </c>
      <c r="AB14" s="266">
        <f>Flags!AC$26</f>
        <v>365</v>
      </c>
      <c r="AC14" s="266">
        <f>Flags!AD$26</f>
        <v>365</v>
      </c>
      <c r="AD14" s="266">
        <f>Flags!AE$26</f>
        <v>365</v>
      </c>
      <c r="AE14" s="266">
        <f>Flags!AF$26</f>
        <v>366</v>
      </c>
      <c r="AF14" s="266">
        <f>Flags!AG$26</f>
        <v>365</v>
      </c>
      <c r="AG14" s="266">
        <f>Flags!AH$26</f>
        <v>365</v>
      </c>
      <c r="AH14" s="266">
        <f>Flags!AI$26</f>
        <v>365</v>
      </c>
      <c r="AI14" s="266">
        <f>Flags!AJ$26</f>
        <v>366</v>
      </c>
      <c r="AJ14" s="266">
        <f>Flags!AK$26</f>
        <v>365</v>
      </c>
      <c r="AK14" s="266">
        <f>Flags!AL$26</f>
        <v>365</v>
      </c>
      <c r="AL14" s="266">
        <f>Flags!AM$26</f>
        <v>365</v>
      </c>
      <c r="AM14" s="266">
        <f>Flags!AN$26</f>
        <v>366</v>
      </c>
      <c r="AN14" s="266">
        <f>Flags!AO$26</f>
        <v>0</v>
      </c>
      <c r="AO14" s="266"/>
    </row>
    <row r="15" spans="1:41" outlineLevel="1">
      <c r="A15" s="266"/>
      <c r="B15" s="266"/>
      <c r="C15" s="266" t="s">
        <v>375</v>
      </c>
      <c r="E15" s="21" t="s">
        <v>304</v>
      </c>
      <c r="F15" s="266"/>
      <c r="G15" s="266">
        <f t="shared" ref="G15:AN15" si="2">SUMIF($G$13:$AN$13,G13,$G$14:$AN$14)</f>
        <v>366</v>
      </c>
      <c r="H15" s="266">
        <f t="shared" si="2"/>
        <v>365</v>
      </c>
      <c r="I15" s="266">
        <f t="shared" si="2"/>
        <v>365</v>
      </c>
      <c r="J15" s="266">
        <f t="shared" si="2"/>
        <v>365</v>
      </c>
      <c r="K15" s="266">
        <f t="shared" si="2"/>
        <v>366</v>
      </c>
      <c r="L15" s="266">
        <f t="shared" si="2"/>
        <v>365</v>
      </c>
      <c r="M15" s="266">
        <f t="shared" si="2"/>
        <v>365</v>
      </c>
      <c r="N15" s="266">
        <f t="shared" si="2"/>
        <v>365</v>
      </c>
      <c r="O15" s="266">
        <f t="shared" si="2"/>
        <v>366</v>
      </c>
      <c r="P15" s="266">
        <f t="shared" si="2"/>
        <v>365</v>
      </c>
      <c r="Q15" s="266">
        <f t="shared" si="2"/>
        <v>365</v>
      </c>
      <c r="R15" s="266">
        <f t="shared" si="2"/>
        <v>365</v>
      </c>
      <c r="S15" s="266">
        <f t="shared" si="2"/>
        <v>366</v>
      </c>
      <c r="T15" s="266">
        <f t="shared" si="2"/>
        <v>365</v>
      </c>
      <c r="U15" s="266">
        <f t="shared" si="2"/>
        <v>365</v>
      </c>
      <c r="V15" s="266">
        <f t="shared" si="2"/>
        <v>365</v>
      </c>
      <c r="W15" s="266">
        <f t="shared" si="2"/>
        <v>366</v>
      </c>
      <c r="X15" s="266">
        <f t="shared" si="2"/>
        <v>365</v>
      </c>
      <c r="Y15" s="266">
        <f t="shared" si="2"/>
        <v>365</v>
      </c>
      <c r="Z15" s="266">
        <f t="shared" si="2"/>
        <v>365</v>
      </c>
      <c r="AA15" s="266">
        <f t="shared" si="2"/>
        <v>366</v>
      </c>
      <c r="AB15" s="266">
        <f t="shared" si="2"/>
        <v>365</v>
      </c>
      <c r="AC15" s="266">
        <f t="shared" si="2"/>
        <v>365</v>
      </c>
      <c r="AD15" s="266">
        <f t="shared" si="2"/>
        <v>365</v>
      </c>
      <c r="AE15" s="266">
        <f t="shared" si="2"/>
        <v>366</v>
      </c>
      <c r="AF15" s="266">
        <f t="shared" si="2"/>
        <v>365</v>
      </c>
      <c r="AG15" s="266">
        <f t="shared" si="2"/>
        <v>365</v>
      </c>
      <c r="AH15" s="266">
        <f t="shared" si="2"/>
        <v>365</v>
      </c>
      <c r="AI15" s="266">
        <f t="shared" si="2"/>
        <v>366</v>
      </c>
      <c r="AJ15" s="266">
        <f t="shared" si="2"/>
        <v>365</v>
      </c>
      <c r="AK15" s="266">
        <f t="shared" si="2"/>
        <v>365</v>
      </c>
      <c r="AL15" s="266">
        <f t="shared" si="2"/>
        <v>365</v>
      </c>
      <c r="AM15" s="266">
        <f t="shared" si="2"/>
        <v>366</v>
      </c>
      <c r="AN15" s="266">
        <f t="shared" si="2"/>
        <v>0</v>
      </c>
      <c r="AO15" s="266"/>
    </row>
    <row r="16" spans="1:41" outlineLevel="1">
      <c r="A16" s="266"/>
      <c r="B16" s="266"/>
      <c r="C16" s="266"/>
      <c r="E16" s="21"/>
      <c r="F16" s="266"/>
      <c r="G16" s="266"/>
      <c r="H16" s="266"/>
      <c r="I16" s="266"/>
      <c r="J16" s="266"/>
      <c r="K16" s="266"/>
      <c r="L16" s="266"/>
      <c r="M16" s="266"/>
      <c r="N16" s="266"/>
      <c r="O16" s="266"/>
      <c r="P16" s="266"/>
      <c r="Q16" s="266"/>
      <c r="R16" s="266"/>
      <c r="S16" s="266"/>
      <c r="T16" s="266"/>
      <c r="U16" s="266"/>
      <c r="V16" s="266"/>
      <c r="W16" s="266"/>
      <c r="X16" s="266"/>
      <c r="Y16" s="266"/>
      <c r="Z16" s="266"/>
      <c r="AA16" s="266"/>
      <c r="AB16" s="266"/>
      <c r="AC16" s="266"/>
      <c r="AD16" s="266"/>
      <c r="AE16" s="266"/>
      <c r="AF16" s="266"/>
      <c r="AG16" s="266"/>
      <c r="AH16" s="266"/>
      <c r="AI16" s="266"/>
      <c r="AJ16" s="266"/>
      <c r="AK16" s="266"/>
      <c r="AL16" s="266"/>
      <c r="AM16" s="266"/>
      <c r="AN16" s="266"/>
      <c r="AO16" s="266"/>
    </row>
    <row r="17" spans="3:40" outlineLevel="1">
      <c r="C17" s="18" t="s">
        <v>376</v>
      </c>
      <c r="E17" s="266"/>
      <c r="F17" s="266"/>
      <c r="G17" s="266"/>
      <c r="H17" s="266"/>
      <c r="I17" s="266"/>
      <c r="J17" s="266"/>
      <c r="K17" s="266"/>
      <c r="L17" s="266"/>
      <c r="M17" s="266"/>
      <c r="N17" s="266"/>
      <c r="O17" s="266"/>
      <c r="P17" s="266"/>
      <c r="Q17" s="266"/>
      <c r="R17" s="266"/>
      <c r="S17" s="266"/>
      <c r="T17" s="266"/>
      <c r="U17" s="266"/>
      <c r="V17" s="266"/>
      <c r="W17" s="266"/>
      <c r="X17" s="266"/>
      <c r="Y17" s="266"/>
      <c r="Z17" s="266"/>
      <c r="AA17" s="266"/>
      <c r="AB17" s="266"/>
      <c r="AC17" s="266"/>
      <c r="AD17" s="266"/>
      <c r="AE17" s="266"/>
      <c r="AF17" s="266"/>
      <c r="AG17" s="266"/>
      <c r="AH17" s="266"/>
      <c r="AI17" s="266"/>
      <c r="AJ17" s="266"/>
      <c r="AK17" s="266"/>
      <c r="AL17" s="266"/>
      <c r="AM17" s="266"/>
      <c r="AN17" s="266"/>
    </row>
    <row r="18" spans="3:40" outlineLevel="2">
      <c r="C18" s="266" t="s">
        <v>377</v>
      </c>
      <c r="E18" s="266"/>
      <c r="F18" s="266"/>
      <c r="G18" s="266"/>
      <c r="H18" s="266"/>
      <c r="I18" s="266"/>
      <c r="J18" s="266"/>
      <c r="K18" s="266"/>
      <c r="L18" s="266"/>
      <c r="M18" s="266"/>
      <c r="N18" s="266"/>
      <c r="O18" s="266"/>
      <c r="P18" s="266"/>
      <c r="Q18" s="266"/>
      <c r="R18" s="266"/>
      <c r="S18" s="266"/>
      <c r="T18" s="266"/>
      <c r="U18" s="266"/>
      <c r="V18" s="266"/>
      <c r="W18" s="266"/>
      <c r="X18" s="266"/>
      <c r="Y18" s="266"/>
      <c r="Z18" s="266"/>
      <c r="AA18" s="266"/>
      <c r="AB18" s="266"/>
      <c r="AC18" s="266"/>
      <c r="AD18" s="266"/>
      <c r="AE18" s="266"/>
      <c r="AF18" s="266"/>
      <c r="AG18" s="266"/>
      <c r="AH18" s="266"/>
      <c r="AI18" s="266"/>
      <c r="AJ18" s="266"/>
      <c r="AK18" s="266"/>
      <c r="AL18" s="266"/>
      <c r="AM18" s="266"/>
      <c r="AN18" s="266"/>
    </row>
    <row r="19" spans="3:40" outlineLevel="2">
      <c r="C19" s="266" t="str">
        <f>Inputs!C337</f>
        <v>None</v>
      </c>
      <c r="D19" s="266"/>
      <c r="E19" s="4" t="s">
        <v>377</v>
      </c>
      <c r="F19" s="266"/>
      <c r="G19" s="473">
        <f>LOOKUP(G$13,Inputs!$G$336:$K$336,Inputs!$G337:$K337)</f>
        <v>0</v>
      </c>
      <c r="H19" s="473">
        <f>LOOKUP(H$13,Inputs!$G$336:$K$336,Inputs!$G337:$K337)</f>
        <v>0</v>
      </c>
      <c r="I19" s="473">
        <f>LOOKUP(I$13,Inputs!$G$336:$K$336,Inputs!$G337:$K337)</f>
        <v>0</v>
      </c>
      <c r="J19" s="473">
        <f>LOOKUP(J$13,Inputs!$G$336:$K$336,Inputs!$G337:$K337)</f>
        <v>0</v>
      </c>
      <c r="K19" s="473">
        <f>LOOKUP(K$13,Inputs!$G$336:$K$336,Inputs!$G337:$K337)</f>
        <v>0</v>
      </c>
      <c r="L19" s="473">
        <f>LOOKUP(L$13,Inputs!$G$336:$K$336,Inputs!$G337:$K337)</f>
        <v>0</v>
      </c>
      <c r="M19" s="473">
        <f>LOOKUP(M$13,Inputs!$G$336:$K$336,Inputs!$G337:$K337)</f>
        <v>0</v>
      </c>
      <c r="N19" s="473">
        <f>LOOKUP(N$13,Inputs!$G$336:$K$336,Inputs!$G337:$K337)</f>
        <v>0</v>
      </c>
      <c r="O19" s="473">
        <f>LOOKUP(O$13,Inputs!$G$336:$K$336,Inputs!$G337:$K337)</f>
        <v>0</v>
      </c>
      <c r="P19" s="473">
        <f>LOOKUP(P$13,Inputs!$G$336:$K$336,Inputs!$G337:$K337)</f>
        <v>0</v>
      </c>
      <c r="Q19" s="473">
        <f>LOOKUP(Q$13,Inputs!$G$336:$K$336,Inputs!$G337:$K337)</f>
        <v>0</v>
      </c>
      <c r="R19" s="473">
        <f>LOOKUP(R$13,Inputs!$G$336:$K$336,Inputs!$G337:$K337)</f>
        <v>0</v>
      </c>
      <c r="S19" s="473">
        <f>LOOKUP(S$13,Inputs!$G$336:$K$336,Inputs!$G337:$K337)</f>
        <v>0</v>
      </c>
      <c r="T19" s="473">
        <f>LOOKUP(T$13,Inputs!$G$336:$K$336,Inputs!$G337:$K337)</f>
        <v>0</v>
      </c>
      <c r="U19" s="473">
        <f>LOOKUP(U$13,Inputs!$G$336:$K$336,Inputs!$G337:$K337)</f>
        <v>0</v>
      </c>
      <c r="V19" s="473">
        <f>LOOKUP(V$13,Inputs!$G$336:$K$336,Inputs!$G337:$K337)</f>
        <v>0</v>
      </c>
      <c r="W19" s="473">
        <f>LOOKUP(W$13,Inputs!$G$336:$K$336,Inputs!$G337:$K337)</f>
        <v>0</v>
      </c>
      <c r="X19" s="473">
        <f>LOOKUP(X$13,Inputs!$G$336:$K$336,Inputs!$G337:$K337)</f>
        <v>0</v>
      </c>
      <c r="Y19" s="473">
        <f>LOOKUP(Y$13,Inputs!$G$336:$K$336,Inputs!$G337:$K337)</f>
        <v>0</v>
      </c>
      <c r="Z19" s="473">
        <f>LOOKUP(Z$13,Inputs!$G$336:$K$336,Inputs!$G337:$K337)</f>
        <v>0</v>
      </c>
      <c r="AA19" s="473">
        <f>LOOKUP(AA$13,Inputs!$G$336:$K$336,Inputs!$G337:$K337)</f>
        <v>0</v>
      </c>
      <c r="AB19" s="473">
        <f>LOOKUP(AB$13,Inputs!$G$336:$K$336,Inputs!$G337:$K337)</f>
        <v>0</v>
      </c>
      <c r="AC19" s="473">
        <f>LOOKUP(AC$13,Inputs!$G$336:$K$336,Inputs!$G337:$K337)</f>
        <v>0</v>
      </c>
      <c r="AD19" s="473">
        <f>LOOKUP(AD$13,Inputs!$G$336:$K$336,Inputs!$G337:$K337)</f>
        <v>0</v>
      </c>
      <c r="AE19" s="473">
        <f>LOOKUP(AE$13,Inputs!$G$336:$K$336,Inputs!$G337:$K337)</f>
        <v>0</v>
      </c>
      <c r="AF19" s="473">
        <f>LOOKUP(AF$13,Inputs!$G$336:$K$336,Inputs!$G337:$K337)</f>
        <v>0</v>
      </c>
      <c r="AG19" s="473">
        <f>LOOKUP(AG$13,Inputs!$G$336:$K$336,Inputs!$G337:$K337)</f>
        <v>0</v>
      </c>
      <c r="AH19" s="473">
        <f>LOOKUP(AH$13,Inputs!$G$336:$K$336,Inputs!$G337:$K337)</f>
        <v>0</v>
      </c>
      <c r="AI19" s="473">
        <f>LOOKUP(AI$13,Inputs!$G$336:$K$336,Inputs!$G337:$K337)</f>
        <v>0</v>
      </c>
      <c r="AJ19" s="473">
        <f>LOOKUP(AJ$13,Inputs!$G$336:$K$336,Inputs!$G337:$K337)</f>
        <v>0</v>
      </c>
      <c r="AK19" s="473">
        <f>LOOKUP(AK$13,Inputs!$G$336:$K$336,Inputs!$G337:$K337)</f>
        <v>0</v>
      </c>
      <c r="AL19" s="473">
        <f>LOOKUP(AL$13,Inputs!$G$336:$K$336,Inputs!$G337:$K337)</f>
        <v>0</v>
      </c>
      <c r="AM19" s="473">
        <f>LOOKUP(AM$13,Inputs!$G$336:$K$336,Inputs!$G337:$K337)</f>
        <v>0</v>
      </c>
      <c r="AN19" s="473">
        <f>LOOKUP(AN$13,Inputs!$G$336:$K$336,Inputs!$G337:$K337)</f>
        <v>0</v>
      </c>
    </row>
    <row r="20" spans="3:40" outlineLevel="2">
      <c r="C20" s="266" t="str">
        <f>Inputs!C338</f>
        <v>IPG-M</v>
      </c>
      <c r="D20" s="266"/>
      <c r="E20" s="4" t="s">
        <v>377</v>
      </c>
      <c r="F20" s="266"/>
      <c r="G20" s="473">
        <f>LOOKUP(G$13,Inputs!$G$336:$K$336,Inputs!$G338:$K338)</f>
        <v>3.7999999999999999E-2</v>
      </c>
      <c r="H20" s="473">
        <f>LOOKUP(H$13,Inputs!$G$336:$K$336,Inputs!$G338:$K338)</f>
        <v>3.7999999999999999E-2</v>
      </c>
      <c r="I20" s="473">
        <f>LOOKUP(I$13,Inputs!$G$336:$K$336,Inputs!$G338:$K338)</f>
        <v>3.7999999999999999E-2</v>
      </c>
      <c r="J20" s="473">
        <f>LOOKUP(J$13,Inputs!$G$336:$K$336,Inputs!$G338:$K338)</f>
        <v>3.7999999999999999E-2</v>
      </c>
      <c r="K20" s="473">
        <f>LOOKUP(K$13,Inputs!$G$336:$K$336,Inputs!$G338:$K338)</f>
        <v>3.7999999999999999E-2</v>
      </c>
      <c r="L20" s="473">
        <f>LOOKUP(L$13,Inputs!$G$336:$K$336,Inputs!$G338:$K338)</f>
        <v>3.7999999999999999E-2</v>
      </c>
      <c r="M20" s="473">
        <f>LOOKUP(M$13,Inputs!$G$336:$K$336,Inputs!$G338:$K338)</f>
        <v>3.7999999999999999E-2</v>
      </c>
      <c r="N20" s="473">
        <f>LOOKUP(N$13,Inputs!$G$336:$K$336,Inputs!$G338:$K338)</f>
        <v>3.7999999999999999E-2</v>
      </c>
      <c r="O20" s="473">
        <f>LOOKUP(O$13,Inputs!$G$336:$K$336,Inputs!$G338:$K338)</f>
        <v>3.7999999999999999E-2</v>
      </c>
      <c r="P20" s="473">
        <f>LOOKUP(P$13,Inputs!$G$336:$K$336,Inputs!$G338:$K338)</f>
        <v>3.7999999999999999E-2</v>
      </c>
      <c r="Q20" s="473">
        <f>LOOKUP(Q$13,Inputs!$G$336:$K$336,Inputs!$G338:$K338)</f>
        <v>3.7999999999999999E-2</v>
      </c>
      <c r="R20" s="473">
        <f>LOOKUP(R$13,Inputs!$G$336:$K$336,Inputs!$G338:$K338)</f>
        <v>3.7999999999999999E-2</v>
      </c>
      <c r="S20" s="473">
        <f>LOOKUP(S$13,Inputs!$G$336:$K$336,Inputs!$G338:$K338)</f>
        <v>3.7999999999999999E-2</v>
      </c>
      <c r="T20" s="473">
        <f>LOOKUP(T$13,Inputs!$G$336:$K$336,Inputs!$G338:$K338)</f>
        <v>3.7999999999999999E-2</v>
      </c>
      <c r="U20" s="473">
        <f>LOOKUP(U$13,Inputs!$G$336:$K$336,Inputs!$G338:$K338)</f>
        <v>3.7999999999999999E-2</v>
      </c>
      <c r="V20" s="473">
        <f>LOOKUP(V$13,Inputs!$G$336:$K$336,Inputs!$G338:$K338)</f>
        <v>3.7999999999999999E-2</v>
      </c>
      <c r="W20" s="473">
        <f>LOOKUP(W$13,Inputs!$G$336:$K$336,Inputs!$G338:$K338)</f>
        <v>3.7999999999999999E-2</v>
      </c>
      <c r="X20" s="473">
        <f>LOOKUP(X$13,Inputs!$G$336:$K$336,Inputs!$G338:$K338)</f>
        <v>3.7999999999999999E-2</v>
      </c>
      <c r="Y20" s="473">
        <f>LOOKUP(Y$13,Inputs!$G$336:$K$336,Inputs!$G338:$K338)</f>
        <v>3.7999999999999999E-2</v>
      </c>
      <c r="Z20" s="473">
        <f>LOOKUP(Z$13,Inputs!$G$336:$K$336,Inputs!$G338:$K338)</f>
        <v>3.7999999999999999E-2</v>
      </c>
      <c r="AA20" s="473">
        <f>LOOKUP(AA$13,Inputs!$G$336:$K$336,Inputs!$G338:$K338)</f>
        <v>3.7999999999999999E-2</v>
      </c>
      <c r="AB20" s="473">
        <f>LOOKUP(AB$13,Inputs!$G$336:$K$336,Inputs!$G338:$K338)</f>
        <v>3.7999999999999999E-2</v>
      </c>
      <c r="AC20" s="473">
        <f>LOOKUP(AC$13,Inputs!$G$336:$K$336,Inputs!$G338:$K338)</f>
        <v>3.7999999999999999E-2</v>
      </c>
      <c r="AD20" s="473">
        <f>LOOKUP(AD$13,Inputs!$G$336:$K$336,Inputs!$G338:$K338)</f>
        <v>3.7999999999999999E-2</v>
      </c>
      <c r="AE20" s="473">
        <f>LOOKUP(AE$13,Inputs!$G$336:$K$336,Inputs!$G338:$K338)</f>
        <v>3.7999999999999999E-2</v>
      </c>
      <c r="AF20" s="473">
        <f>LOOKUP(AF$13,Inputs!$G$336:$K$336,Inputs!$G338:$K338)</f>
        <v>3.7999999999999999E-2</v>
      </c>
      <c r="AG20" s="473">
        <f>LOOKUP(AG$13,Inputs!$G$336:$K$336,Inputs!$G338:$K338)</f>
        <v>3.7999999999999999E-2</v>
      </c>
      <c r="AH20" s="473">
        <f>LOOKUP(AH$13,Inputs!$G$336:$K$336,Inputs!$G338:$K338)</f>
        <v>3.7999999999999999E-2</v>
      </c>
      <c r="AI20" s="473">
        <f>LOOKUP(AI$13,Inputs!$G$336:$K$336,Inputs!$G338:$K338)</f>
        <v>3.7999999999999999E-2</v>
      </c>
      <c r="AJ20" s="473">
        <f>LOOKUP(AJ$13,Inputs!$G$336:$K$336,Inputs!$G338:$K338)</f>
        <v>3.7999999999999999E-2</v>
      </c>
      <c r="AK20" s="473">
        <f>LOOKUP(AK$13,Inputs!$G$336:$K$336,Inputs!$G338:$K338)</f>
        <v>3.7999999999999999E-2</v>
      </c>
      <c r="AL20" s="473">
        <f>LOOKUP(AL$13,Inputs!$G$336:$K$336,Inputs!$G338:$K338)</f>
        <v>3.7999999999999999E-2</v>
      </c>
      <c r="AM20" s="473">
        <f>LOOKUP(AM$13,Inputs!$G$336:$K$336,Inputs!$G338:$K338)</f>
        <v>3.7999999999999999E-2</v>
      </c>
      <c r="AN20" s="473">
        <f>LOOKUP(AN$13,Inputs!$G$336:$K$336,Inputs!$G338:$K338)</f>
        <v>3.7999999999999999E-2</v>
      </c>
    </row>
    <row r="21" spans="3:40" outlineLevel="2">
      <c r="C21" s="299" t="str">
        <f>Inputs!C339</f>
        <v>PIB</v>
      </c>
      <c r="D21" s="266"/>
      <c r="E21" s="4" t="s">
        <v>377</v>
      </c>
      <c r="F21" s="266"/>
      <c r="G21" s="473">
        <f>LOOKUP(G$13,Inputs!$G$336:$K$336,Inputs!$G339:$K339)</f>
        <v>0.02</v>
      </c>
      <c r="H21" s="473">
        <f>LOOKUP(H$13,Inputs!$G$336:$K$336,Inputs!$G339:$K339)</f>
        <v>0.02</v>
      </c>
      <c r="I21" s="473">
        <f>LOOKUP(I$13,Inputs!$G$336:$K$336,Inputs!$G339:$K339)</f>
        <v>0.02</v>
      </c>
      <c r="J21" s="473">
        <f>LOOKUP(J$13,Inputs!$G$336:$K$336,Inputs!$G339:$K339)</f>
        <v>0.02</v>
      </c>
      <c r="K21" s="473">
        <f>LOOKUP(K$13,Inputs!$G$336:$K$336,Inputs!$G339:$K339)</f>
        <v>0.02</v>
      </c>
      <c r="L21" s="473">
        <f>LOOKUP(L$13,Inputs!$G$336:$K$336,Inputs!$G339:$K339)</f>
        <v>0.02</v>
      </c>
      <c r="M21" s="473">
        <f>LOOKUP(M$13,Inputs!$G$336:$K$336,Inputs!$G339:$K339)</f>
        <v>0.02</v>
      </c>
      <c r="N21" s="473">
        <f>LOOKUP(N$13,Inputs!$G$336:$K$336,Inputs!$G339:$K339)</f>
        <v>0.02</v>
      </c>
      <c r="O21" s="473">
        <f>LOOKUP(O$13,Inputs!$G$336:$K$336,Inputs!$G339:$K339)</f>
        <v>0.02</v>
      </c>
      <c r="P21" s="473">
        <f>LOOKUP(P$13,Inputs!$G$336:$K$336,Inputs!$G339:$K339)</f>
        <v>0.02</v>
      </c>
      <c r="Q21" s="473">
        <f>LOOKUP(Q$13,Inputs!$G$336:$K$336,Inputs!$G339:$K339)</f>
        <v>0.02</v>
      </c>
      <c r="R21" s="473">
        <f>LOOKUP(R$13,Inputs!$G$336:$K$336,Inputs!$G339:$K339)</f>
        <v>0.02</v>
      </c>
      <c r="S21" s="473">
        <f>LOOKUP(S$13,Inputs!$G$336:$K$336,Inputs!$G339:$K339)</f>
        <v>0.02</v>
      </c>
      <c r="T21" s="473">
        <f>LOOKUP(T$13,Inputs!$G$336:$K$336,Inputs!$G339:$K339)</f>
        <v>0.02</v>
      </c>
      <c r="U21" s="473">
        <f>LOOKUP(U$13,Inputs!$G$336:$K$336,Inputs!$G339:$K339)</f>
        <v>0.02</v>
      </c>
      <c r="V21" s="473">
        <f>LOOKUP(V$13,Inputs!$G$336:$K$336,Inputs!$G339:$K339)</f>
        <v>0.02</v>
      </c>
      <c r="W21" s="473">
        <f>LOOKUP(W$13,Inputs!$G$336:$K$336,Inputs!$G339:$K339)</f>
        <v>0.02</v>
      </c>
      <c r="X21" s="473">
        <f>LOOKUP(X$13,Inputs!$G$336:$K$336,Inputs!$G339:$K339)</f>
        <v>0.02</v>
      </c>
      <c r="Y21" s="473">
        <f>LOOKUP(Y$13,Inputs!$G$336:$K$336,Inputs!$G339:$K339)</f>
        <v>0.02</v>
      </c>
      <c r="Z21" s="473">
        <f>LOOKUP(Z$13,Inputs!$G$336:$K$336,Inputs!$G339:$K339)</f>
        <v>0.02</v>
      </c>
      <c r="AA21" s="473">
        <f>LOOKUP(AA$13,Inputs!$G$336:$K$336,Inputs!$G339:$K339)</f>
        <v>0.02</v>
      </c>
      <c r="AB21" s="473">
        <f>LOOKUP(AB$13,Inputs!$G$336:$K$336,Inputs!$G339:$K339)</f>
        <v>0.02</v>
      </c>
      <c r="AC21" s="473">
        <f>LOOKUP(AC$13,Inputs!$G$336:$K$336,Inputs!$G339:$K339)</f>
        <v>0.02</v>
      </c>
      <c r="AD21" s="473">
        <f>LOOKUP(AD$13,Inputs!$G$336:$K$336,Inputs!$G339:$K339)</f>
        <v>0.02</v>
      </c>
      <c r="AE21" s="473">
        <f>LOOKUP(AE$13,Inputs!$G$336:$K$336,Inputs!$G339:$K339)</f>
        <v>0.02</v>
      </c>
      <c r="AF21" s="473">
        <f>LOOKUP(AF$13,Inputs!$G$336:$K$336,Inputs!$G339:$K339)</f>
        <v>0.02</v>
      </c>
      <c r="AG21" s="473">
        <f>LOOKUP(AG$13,Inputs!$G$336:$K$336,Inputs!$G339:$K339)</f>
        <v>0.02</v>
      </c>
      <c r="AH21" s="473">
        <f>LOOKUP(AH$13,Inputs!$G$336:$K$336,Inputs!$G339:$K339)</f>
        <v>0.02</v>
      </c>
      <c r="AI21" s="473">
        <f>LOOKUP(AI$13,Inputs!$G$336:$K$336,Inputs!$G339:$K339)</f>
        <v>0.02</v>
      </c>
      <c r="AJ21" s="473">
        <f>LOOKUP(AJ$13,Inputs!$G$336:$K$336,Inputs!$G339:$K339)</f>
        <v>0.02</v>
      </c>
      <c r="AK21" s="473">
        <f>LOOKUP(AK$13,Inputs!$G$336:$K$336,Inputs!$G339:$K339)</f>
        <v>0.02</v>
      </c>
      <c r="AL21" s="473">
        <f>LOOKUP(AL$13,Inputs!$G$336:$K$336,Inputs!$G339:$K339)</f>
        <v>0.02</v>
      </c>
      <c r="AM21" s="473">
        <f>LOOKUP(AM$13,Inputs!$G$336:$K$336,Inputs!$G339:$K339)</f>
        <v>0.02</v>
      </c>
      <c r="AN21" s="473">
        <f>LOOKUP(AN$13,Inputs!$G$336:$K$336,Inputs!$G339:$K339)</f>
        <v>0.02</v>
      </c>
    </row>
    <row r="22" spans="3:40" outlineLevel="2">
      <c r="C22" s="299" t="str">
        <f>Inputs!C340</f>
        <v>PIB Serviços</v>
      </c>
      <c r="D22" s="266"/>
      <c r="E22" s="4" t="s">
        <v>377</v>
      </c>
      <c r="F22" s="266"/>
      <c r="G22" s="473">
        <f>LOOKUP(G$13,Inputs!$G$336:$K$336,Inputs!$G340:$K340)</f>
        <v>2.5000000000000001E-2</v>
      </c>
      <c r="H22" s="473">
        <f>LOOKUP(H$13,Inputs!$G$336:$K$336,Inputs!$G340:$K340)</f>
        <v>2.5000000000000001E-2</v>
      </c>
      <c r="I22" s="473">
        <f>LOOKUP(I$13,Inputs!$G$336:$K$336,Inputs!$G340:$K340)</f>
        <v>2.5000000000000001E-2</v>
      </c>
      <c r="J22" s="473">
        <f>LOOKUP(J$13,Inputs!$G$336:$K$336,Inputs!$G340:$K340)</f>
        <v>2.5000000000000001E-2</v>
      </c>
      <c r="K22" s="473">
        <f>LOOKUP(K$13,Inputs!$G$336:$K$336,Inputs!$G340:$K340)</f>
        <v>2.5000000000000001E-2</v>
      </c>
      <c r="L22" s="473">
        <f>LOOKUP(L$13,Inputs!$G$336:$K$336,Inputs!$G340:$K340)</f>
        <v>2.5000000000000001E-2</v>
      </c>
      <c r="M22" s="473">
        <f>LOOKUP(M$13,Inputs!$G$336:$K$336,Inputs!$G340:$K340)</f>
        <v>2.5000000000000001E-2</v>
      </c>
      <c r="N22" s="473">
        <f>LOOKUP(N$13,Inputs!$G$336:$K$336,Inputs!$G340:$K340)</f>
        <v>2.5000000000000001E-2</v>
      </c>
      <c r="O22" s="473">
        <f>LOOKUP(O$13,Inputs!$G$336:$K$336,Inputs!$G340:$K340)</f>
        <v>2.5000000000000001E-2</v>
      </c>
      <c r="P22" s="473">
        <f>LOOKUP(P$13,Inputs!$G$336:$K$336,Inputs!$G340:$K340)</f>
        <v>2.5000000000000001E-2</v>
      </c>
      <c r="Q22" s="473">
        <f>LOOKUP(Q$13,Inputs!$G$336:$K$336,Inputs!$G340:$K340)</f>
        <v>2.5000000000000001E-2</v>
      </c>
      <c r="R22" s="473">
        <f>LOOKUP(R$13,Inputs!$G$336:$K$336,Inputs!$G340:$K340)</f>
        <v>2.5000000000000001E-2</v>
      </c>
      <c r="S22" s="473">
        <f>LOOKUP(S$13,Inputs!$G$336:$K$336,Inputs!$G340:$K340)</f>
        <v>2.5000000000000001E-2</v>
      </c>
      <c r="T22" s="473">
        <f>LOOKUP(T$13,Inputs!$G$336:$K$336,Inputs!$G340:$K340)</f>
        <v>2.5000000000000001E-2</v>
      </c>
      <c r="U22" s="473">
        <f>LOOKUP(U$13,Inputs!$G$336:$K$336,Inputs!$G340:$K340)</f>
        <v>2.5000000000000001E-2</v>
      </c>
      <c r="V22" s="473">
        <f>LOOKUP(V$13,Inputs!$G$336:$K$336,Inputs!$G340:$K340)</f>
        <v>2.5000000000000001E-2</v>
      </c>
      <c r="W22" s="473">
        <f>LOOKUP(W$13,Inputs!$G$336:$K$336,Inputs!$G340:$K340)</f>
        <v>2.5000000000000001E-2</v>
      </c>
      <c r="X22" s="473">
        <f>LOOKUP(X$13,Inputs!$G$336:$K$336,Inputs!$G340:$K340)</f>
        <v>2.5000000000000001E-2</v>
      </c>
      <c r="Y22" s="473">
        <f>LOOKUP(Y$13,Inputs!$G$336:$K$336,Inputs!$G340:$K340)</f>
        <v>2.5000000000000001E-2</v>
      </c>
      <c r="Z22" s="473">
        <f>LOOKUP(Z$13,Inputs!$G$336:$K$336,Inputs!$G340:$K340)</f>
        <v>2.5000000000000001E-2</v>
      </c>
      <c r="AA22" s="473">
        <f>LOOKUP(AA$13,Inputs!$G$336:$K$336,Inputs!$G340:$K340)</f>
        <v>2.5000000000000001E-2</v>
      </c>
      <c r="AB22" s="473">
        <f>LOOKUP(AB$13,Inputs!$G$336:$K$336,Inputs!$G340:$K340)</f>
        <v>2.5000000000000001E-2</v>
      </c>
      <c r="AC22" s="473">
        <f>LOOKUP(AC$13,Inputs!$G$336:$K$336,Inputs!$G340:$K340)</f>
        <v>2.5000000000000001E-2</v>
      </c>
      <c r="AD22" s="473">
        <f>LOOKUP(AD$13,Inputs!$G$336:$K$336,Inputs!$G340:$K340)</f>
        <v>2.5000000000000001E-2</v>
      </c>
      <c r="AE22" s="473">
        <f>LOOKUP(AE$13,Inputs!$G$336:$K$336,Inputs!$G340:$K340)</f>
        <v>2.5000000000000001E-2</v>
      </c>
      <c r="AF22" s="473">
        <f>LOOKUP(AF$13,Inputs!$G$336:$K$336,Inputs!$G340:$K340)</f>
        <v>2.5000000000000001E-2</v>
      </c>
      <c r="AG22" s="473">
        <f>LOOKUP(AG$13,Inputs!$G$336:$K$336,Inputs!$G340:$K340)</f>
        <v>2.5000000000000001E-2</v>
      </c>
      <c r="AH22" s="473">
        <f>LOOKUP(AH$13,Inputs!$G$336:$K$336,Inputs!$G340:$K340)</f>
        <v>2.5000000000000001E-2</v>
      </c>
      <c r="AI22" s="473">
        <f>LOOKUP(AI$13,Inputs!$G$336:$K$336,Inputs!$G340:$K340)</f>
        <v>2.5000000000000001E-2</v>
      </c>
      <c r="AJ22" s="473">
        <f>LOOKUP(AJ$13,Inputs!$G$336:$K$336,Inputs!$G340:$K340)</f>
        <v>2.5000000000000001E-2</v>
      </c>
      <c r="AK22" s="473">
        <f>LOOKUP(AK$13,Inputs!$G$336:$K$336,Inputs!$G340:$K340)</f>
        <v>2.5000000000000001E-2</v>
      </c>
      <c r="AL22" s="473">
        <f>LOOKUP(AL$13,Inputs!$G$336:$K$336,Inputs!$G340:$K340)</f>
        <v>2.5000000000000001E-2</v>
      </c>
      <c r="AM22" s="473">
        <f>LOOKUP(AM$13,Inputs!$G$336:$K$336,Inputs!$G340:$K340)</f>
        <v>2.5000000000000001E-2</v>
      </c>
      <c r="AN22" s="473">
        <f>LOOKUP(AN$13,Inputs!$G$336:$K$336,Inputs!$G340:$K340)</f>
        <v>2.5000000000000001E-2</v>
      </c>
    </row>
    <row r="23" spans="3:40" outlineLevel="2">
      <c r="C23" s="299" t="str">
        <f>Inputs!C341</f>
        <v>CPI US</v>
      </c>
      <c r="D23" s="266"/>
      <c r="E23" s="4" t="s">
        <v>377</v>
      </c>
      <c r="F23" s="266"/>
      <c r="G23" s="473">
        <f>LOOKUP(G$13,Inputs!$G$336:$K$336,Inputs!$G341:$K341)</f>
        <v>3.1E-2</v>
      </c>
      <c r="H23" s="473">
        <f>LOOKUP(H$13,Inputs!$G$336:$K$336,Inputs!$G341:$K341)</f>
        <v>3.1E-2</v>
      </c>
      <c r="I23" s="473">
        <f>LOOKUP(I$13,Inputs!$G$336:$K$336,Inputs!$G341:$K341)</f>
        <v>3.1E-2</v>
      </c>
      <c r="J23" s="473">
        <f>LOOKUP(J$13,Inputs!$G$336:$K$336,Inputs!$G341:$K341)</f>
        <v>3.1E-2</v>
      </c>
      <c r="K23" s="473">
        <f>LOOKUP(K$13,Inputs!$G$336:$K$336,Inputs!$G341:$K341)</f>
        <v>3.1E-2</v>
      </c>
      <c r="L23" s="473">
        <f>LOOKUP(L$13,Inputs!$G$336:$K$336,Inputs!$G341:$K341)</f>
        <v>3.1E-2</v>
      </c>
      <c r="M23" s="473">
        <f>LOOKUP(M$13,Inputs!$G$336:$K$336,Inputs!$G341:$K341)</f>
        <v>3.1E-2</v>
      </c>
      <c r="N23" s="473">
        <f>LOOKUP(N$13,Inputs!$G$336:$K$336,Inputs!$G341:$K341)</f>
        <v>3.1E-2</v>
      </c>
      <c r="O23" s="473">
        <f>LOOKUP(O$13,Inputs!$G$336:$K$336,Inputs!$G341:$K341)</f>
        <v>3.1E-2</v>
      </c>
      <c r="P23" s="473">
        <f>LOOKUP(P$13,Inputs!$G$336:$K$336,Inputs!$G341:$K341)</f>
        <v>3.1E-2</v>
      </c>
      <c r="Q23" s="473">
        <f>LOOKUP(Q$13,Inputs!$G$336:$K$336,Inputs!$G341:$K341)</f>
        <v>3.1E-2</v>
      </c>
      <c r="R23" s="473">
        <f>LOOKUP(R$13,Inputs!$G$336:$K$336,Inputs!$G341:$K341)</f>
        <v>3.1E-2</v>
      </c>
      <c r="S23" s="473">
        <f>LOOKUP(S$13,Inputs!$G$336:$K$336,Inputs!$G341:$K341)</f>
        <v>3.1E-2</v>
      </c>
      <c r="T23" s="473">
        <f>LOOKUP(T$13,Inputs!$G$336:$K$336,Inputs!$G341:$K341)</f>
        <v>3.1E-2</v>
      </c>
      <c r="U23" s="473">
        <f>LOOKUP(U$13,Inputs!$G$336:$K$336,Inputs!$G341:$K341)</f>
        <v>3.1E-2</v>
      </c>
      <c r="V23" s="473">
        <f>LOOKUP(V$13,Inputs!$G$336:$K$336,Inputs!$G341:$K341)</f>
        <v>3.1E-2</v>
      </c>
      <c r="W23" s="473">
        <f>LOOKUP(W$13,Inputs!$G$336:$K$336,Inputs!$G341:$K341)</f>
        <v>3.1E-2</v>
      </c>
      <c r="X23" s="473">
        <f>LOOKUP(X$13,Inputs!$G$336:$K$336,Inputs!$G341:$K341)</f>
        <v>3.1E-2</v>
      </c>
      <c r="Y23" s="473">
        <f>LOOKUP(Y$13,Inputs!$G$336:$K$336,Inputs!$G341:$K341)</f>
        <v>3.1E-2</v>
      </c>
      <c r="Z23" s="473">
        <f>LOOKUP(Z$13,Inputs!$G$336:$K$336,Inputs!$G341:$K341)</f>
        <v>3.1E-2</v>
      </c>
      <c r="AA23" s="473">
        <f>LOOKUP(AA$13,Inputs!$G$336:$K$336,Inputs!$G341:$K341)</f>
        <v>3.1E-2</v>
      </c>
      <c r="AB23" s="473">
        <f>LOOKUP(AB$13,Inputs!$G$336:$K$336,Inputs!$G341:$K341)</f>
        <v>3.1E-2</v>
      </c>
      <c r="AC23" s="473">
        <f>LOOKUP(AC$13,Inputs!$G$336:$K$336,Inputs!$G341:$K341)</f>
        <v>3.1E-2</v>
      </c>
      <c r="AD23" s="473">
        <f>LOOKUP(AD$13,Inputs!$G$336:$K$336,Inputs!$G341:$K341)</f>
        <v>3.1E-2</v>
      </c>
      <c r="AE23" s="473">
        <f>LOOKUP(AE$13,Inputs!$G$336:$K$336,Inputs!$G341:$K341)</f>
        <v>3.1E-2</v>
      </c>
      <c r="AF23" s="473">
        <f>LOOKUP(AF$13,Inputs!$G$336:$K$336,Inputs!$G341:$K341)</f>
        <v>3.1E-2</v>
      </c>
      <c r="AG23" s="473">
        <f>LOOKUP(AG$13,Inputs!$G$336:$K$336,Inputs!$G341:$K341)</f>
        <v>3.1E-2</v>
      </c>
      <c r="AH23" s="473">
        <f>LOOKUP(AH$13,Inputs!$G$336:$K$336,Inputs!$G341:$K341)</f>
        <v>3.1E-2</v>
      </c>
      <c r="AI23" s="473">
        <f>LOOKUP(AI$13,Inputs!$G$336:$K$336,Inputs!$G341:$K341)</f>
        <v>3.1E-2</v>
      </c>
      <c r="AJ23" s="473">
        <f>LOOKUP(AJ$13,Inputs!$G$336:$K$336,Inputs!$G341:$K341)</f>
        <v>3.1E-2</v>
      </c>
      <c r="AK23" s="473">
        <f>LOOKUP(AK$13,Inputs!$G$336:$K$336,Inputs!$G341:$K341)</f>
        <v>3.1E-2</v>
      </c>
      <c r="AL23" s="473">
        <f>LOOKUP(AL$13,Inputs!$G$336:$K$336,Inputs!$G341:$K341)</f>
        <v>3.1E-2</v>
      </c>
      <c r="AM23" s="473">
        <f>LOOKUP(AM$13,Inputs!$G$336:$K$336,Inputs!$G341:$K341)</f>
        <v>3.1E-2</v>
      </c>
      <c r="AN23" s="473">
        <f>LOOKUP(AN$13,Inputs!$G$336:$K$336,Inputs!$G341:$K341)</f>
        <v>3.1E-2</v>
      </c>
    </row>
    <row r="24" spans="3:40" outlineLevel="2">
      <c r="C24" s="299" t="str">
        <f>Inputs!C342</f>
        <v>SELIC</v>
      </c>
      <c r="D24" s="266"/>
      <c r="E24" s="4" t="s">
        <v>377</v>
      </c>
      <c r="F24" s="266"/>
      <c r="G24" s="473">
        <f>LOOKUP(G$13,Inputs!$G$336:$K$336,Inputs!$G342:$K342)</f>
        <v>8.5000000000000006E-2</v>
      </c>
      <c r="H24" s="473">
        <f>LOOKUP(H$13,Inputs!$G$336:$K$336,Inputs!$G342:$K342)</f>
        <v>8.5000000000000006E-2</v>
      </c>
      <c r="I24" s="473">
        <f>LOOKUP(I$13,Inputs!$G$336:$K$336,Inputs!$G342:$K342)</f>
        <v>8.5000000000000006E-2</v>
      </c>
      <c r="J24" s="473">
        <f>LOOKUP(J$13,Inputs!$G$336:$K$336,Inputs!$G342:$K342)</f>
        <v>8.5000000000000006E-2</v>
      </c>
      <c r="K24" s="473">
        <f>LOOKUP(K$13,Inputs!$G$336:$K$336,Inputs!$G342:$K342)</f>
        <v>8.5000000000000006E-2</v>
      </c>
      <c r="L24" s="473">
        <f>LOOKUP(L$13,Inputs!$G$336:$K$336,Inputs!$G342:$K342)</f>
        <v>8.5000000000000006E-2</v>
      </c>
      <c r="M24" s="473">
        <f>LOOKUP(M$13,Inputs!$G$336:$K$336,Inputs!$G342:$K342)</f>
        <v>8.5000000000000006E-2</v>
      </c>
      <c r="N24" s="473">
        <f>LOOKUP(N$13,Inputs!$G$336:$K$336,Inputs!$G342:$K342)</f>
        <v>8.5000000000000006E-2</v>
      </c>
      <c r="O24" s="473">
        <f>LOOKUP(O$13,Inputs!$G$336:$K$336,Inputs!$G342:$K342)</f>
        <v>8.5000000000000006E-2</v>
      </c>
      <c r="P24" s="473">
        <f>LOOKUP(P$13,Inputs!$G$336:$K$336,Inputs!$G342:$K342)</f>
        <v>8.5000000000000006E-2</v>
      </c>
      <c r="Q24" s="473">
        <f>LOOKUP(Q$13,Inputs!$G$336:$K$336,Inputs!$G342:$K342)</f>
        <v>8.5000000000000006E-2</v>
      </c>
      <c r="R24" s="473">
        <f>LOOKUP(R$13,Inputs!$G$336:$K$336,Inputs!$G342:$K342)</f>
        <v>8.5000000000000006E-2</v>
      </c>
      <c r="S24" s="473">
        <f>LOOKUP(S$13,Inputs!$G$336:$K$336,Inputs!$G342:$K342)</f>
        <v>8.5000000000000006E-2</v>
      </c>
      <c r="T24" s="473">
        <f>LOOKUP(T$13,Inputs!$G$336:$K$336,Inputs!$G342:$K342)</f>
        <v>8.5000000000000006E-2</v>
      </c>
      <c r="U24" s="473">
        <f>LOOKUP(U$13,Inputs!$G$336:$K$336,Inputs!$G342:$K342)</f>
        <v>8.5000000000000006E-2</v>
      </c>
      <c r="V24" s="473">
        <f>LOOKUP(V$13,Inputs!$G$336:$K$336,Inputs!$G342:$K342)</f>
        <v>8.5000000000000006E-2</v>
      </c>
      <c r="W24" s="473">
        <f>LOOKUP(W$13,Inputs!$G$336:$K$336,Inputs!$G342:$K342)</f>
        <v>8.5000000000000006E-2</v>
      </c>
      <c r="X24" s="473">
        <f>LOOKUP(X$13,Inputs!$G$336:$K$336,Inputs!$G342:$K342)</f>
        <v>8.5000000000000006E-2</v>
      </c>
      <c r="Y24" s="473">
        <f>LOOKUP(Y$13,Inputs!$G$336:$K$336,Inputs!$G342:$K342)</f>
        <v>8.5000000000000006E-2</v>
      </c>
      <c r="Z24" s="473">
        <f>LOOKUP(Z$13,Inputs!$G$336:$K$336,Inputs!$G342:$K342)</f>
        <v>8.5000000000000006E-2</v>
      </c>
      <c r="AA24" s="473">
        <f>LOOKUP(AA$13,Inputs!$G$336:$K$336,Inputs!$G342:$K342)</f>
        <v>8.5000000000000006E-2</v>
      </c>
      <c r="AB24" s="473">
        <f>LOOKUP(AB$13,Inputs!$G$336:$K$336,Inputs!$G342:$K342)</f>
        <v>8.5000000000000006E-2</v>
      </c>
      <c r="AC24" s="473">
        <f>LOOKUP(AC$13,Inputs!$G$336:$K$336,Inputs!$G342:$K342)</f>
        <v>8.5000000000000006E-2</v>
      </c>
      <c r="AD24" s="473">
        <f>LOOKUP(AD$13,Inputs!$G$336:$K$336,Inputs!$G342:$K342)</f>
        <v>8.5000000000000006E-2</v>
      </c>
      <c r="AE24" s="473">
        <f>LOOKUP(AE$13,Inputs!$G$336:$K$336,Inputs!$G342:$K342)</f>
        <v>8.5000000000000006E-2</v>
      </c>
      <c r="AF24" s="473">
        <f>LOOKUP(AF$13,Inputs!$G$336:$K$336,Inputs!$G342:$K342)</f>
        <v>8.5000000000000006E-2</v>
      </c>
      <c r="AG24" s="473">
        <f>LOOKUP(AG$13,Inputs!$G$336:$K$336,Inputs!$G342:$K342)</f>
        <v>8.5000000000000006E-2</v>
      </c>
      <c r="AH24" s="473">
        <f>LOOKUP(AH$13,Inputs!$G$336:$K$336,Inputs!$G342:$K342)</f>
        <v>8.5000000000000006E-2</v>
      </c>
      <c r="AI24" s="473">
        <f>LOOKUP(AI$13,Inputs!$G$336:$K$336,Inputs!$G342:$K342)</f>
        <v>8.5000000000000006E-2</v>
      </c>
      <c r="AJ24" s="473">
        <f>LOOKUP(AJ$13,Inputs!$G$336:$K$336,Inputs!$G342:$K342)</f>
        <v>8.5000000000000006E-2</v>
      </c>
      <c r="AK24" s="473">
        <f>LOOKUP(AK$13,Inputs!$G$336:$K$336,Inputs!$G342:$K342)</f>
        <v>8.5000000000000006E-2</v>
      </c>
      <c r="AL24" s="473">
        <f>LOOKUP(AL$13,Inputs!$G$336:$K$336,Inputs!$G342:$K342)</f>
        <v>8.5000000000000006E-2</v>
      </c>
      <c r="AM24" s="473">
        <f>LOOKUP(AM$13,Inputs!$G$336:$K$336,Inputs!$G342:$K342)</f>
        <v>8.5000000000000006E-2</v>
      </c>
      <c r="AN24" s="473">
        <f>LOOKUP(AN$13,Inputs!$G$336:$K$336,Inputs!$G342:$K342)</f>
        <v>8.5000000000000006E-2</v>
      </c>
    </row>
    <row r="25" spans="3:40" outlineLevel="2">
      <c r="C25" s="299" t="str">
        <f>Inputs!C343</f>
        <v>CDI</v>
      </c>
      <c r="D25" s="266"/>
      <c r="E25" s="4" t="s">
        <v>377</v>
      </c>
      <c r="F25" s="266"/>
      <c r="G25" s="473">
        <f>LOOKUP(G$13,Inputs!$G$336:$K$336,Inputs!$G343:$K343)</f>
        <v>8.5000000000000006E-2</v>
      </c>
      <c r="H25" s="473">
        <f>LOOKUP(H$13,Inputs!$G$336:$K$336,Inputs!$G343:$K343)</f>
        <v>8.5000000000000006E-2</v>
      </c>
      <c r="I25" s="473">
        <f>LOOKUP(I$13,Inputs!$G$336:$K$336,Inputs!$G343:$K343)</f>
        <v>8.5000000000000006E-2</v>
      </c>
      <c r="J25" s="473">
        <f>LOOKUP(J$13,Inputs!$G$336:$K$336,Inputs!$G343:$K343)</f>
        <v>8.5000000000000006E-2</v>
      </c>
      <c r="K25" s="473">
        <f>LOOKUP(K$13,Inputs!$G$336:$K$336,Inputs!$G343:$K343)</f>
        <v>8.5000000000000006E-2</v>
      </c>
      <c r="L25" s="473">
        <f>LOOKUP(L$13,Inputs!$G$336:$K$336,Inputs!$G343:$K343)</f>
        <v>8.5000000000000006E-2</v>
      </c>
      <c r="M25" s="473">
        <f>LOOKUP(M$13,Inputs!$G$336:$K$336,Inputs!$G343:$K343)</f>
        <v>8.5000000000000006E-2</v>
      </c>
      <c r="N25" s="473">
        <f>LOOKUP(N$13,Inputs!$G$336:$K$336,Inputs!$G343:$K343)</f>
        <v>8.5000000000000006E-2</v>
      </c>
      <c r="O25" s="473">
        <f>LOOKUP(O$13,Inputs!$G$336:$K$336,Inputs!$G343:$K343)</f>
        <v>8.5000000000000006E-2</v>
      </c>
      <c r="P25" s="473">
        <f>LOOKUP(P$13,Inputs!$G$336:$K$336,Inputs!$G343:$K343)</f>
        <v>8.5000000000000006E-2</v>
      </c>
      <c r="Q25" s="473">
        <f>LOOKUP(Q$13,Inputs!$G$336:$K$336,Inputs!$G343:$K343)</f>
        <v>8.5000000000000006E-2</v>
      </c>
      <c r="R25" s="473">
        <f>LOOKUP(R$13,Inputs!$G$336:$K$336,Inputs!$G343:$K343)</f>
        <v>8.5000000000000006E-2</v>
      </c>
      <c r="S25" s="473">
        <f>LOOKUP(S$13,Inputs!$G$336:$K$336,Inputs!$G343:$K343)</f>
        <v>8.5000000000000006E-2</v>
      </c>
      <c r="T25" s="473">
        <f>LOOKUP(T$13,Inputs!$G$336:$K$336,Inputs!$G343:$K343)</f>
        <v>8.5000000000000006E-2</v>
      </c>
      <c r="U25" s="473">
        <f>LOOKUP(U$13,Inputs!$G$336:$K$336,Inputs!$G343:$K343)</f>
        <v>8.5000000000000006E-2</v>
      </c>
      <c r="V25" s="473">
        <f>LOOKUP(V$13,Inputs!$G$336:$K$336,Inputs!$G343:$K343)</f>
        <v>8.5000000000000006E-2</v>
      </c>
      <c r="W25" s="473">
        <f>LOOKUP(W$13,Inputs!$G$336:$K$336,Inputs!$G343:$K343)</f>
        <v>8.5000000000000006E-2</v>
      </c>
      <c r="X25" s="473">
        <f>LOOKUP(X$13,Inputs!$G$336:$K$336,Inputs!$G343:$K343)</f>
        <v>8.5000000000000006E-2</v>
      </c>
      <c r="Y25" s="473">
        <f>LOOKUP(Y$13,Inputs!$G$336:$K$336,Inputs!$G343:$K343)</f>
        <v>8.5000000000000006E-2</v>
      </c>
      <c r="Z25" s="473">
        <f>LOOKUP(Z$13,Inputs!$G$336:$K$336,Inputs!$G343:$K343)</f>
        <v>8.5000000000000006E-2</v>
      </c>
      <c r="AA25" s="473">
        <f>LOOKUP(AA$13,Inputs!$G$336:$K$336,Inputs!$G343:$K343)</f>
        <v>8.5000000000000006E-2</v>
      </c>
      <c r="AB25" s="473">
        <f>LOOKUP(AB$13,Inputs!$G$336:$K$336,Inputs!$G343:$K343)</f>
        <v>8.5000000000000006E-2</v>
      </c>
      <c r="AC25" s="473">
        <f>LOOKUP(AC$13,Inputs!$G$336:$K$336,Inputs!$G343:$K343)</f>
        <v>8.5000000000000006E-2</v>
      </c>
      <c r="AD25" s="473">
        <f>LOOKUP(AD$13,Inputs!$G$336:$K$336,Inputs!$G343:$K343)</f>
        <v>8.5000000000000006E-2</v>
      </c>
      <c r="AE25" s="473">
        <f>LOOKUP(AE$13,Inputs!$G$336:$K$336,Inputs!$G343:$K343)</f>
        <v>8.5000000000000006E-2</v>
      </c>
      <c r="AF25" s="473">
        <f>LOOKUP(AF$13,Inputs!$G$336:$K$336,Inputs!$G343:$K343)</f>
        <v>8.5000000000000006E-2</v>
      </c>
      <c r="AG25" s="473">
        <f>LOOKUP(AG$13,Inputs!$G$336:$K$336,Inputs!$G343:$K343)</f>
        <v>8.5000000000000006E-2</v>
      </c>
      <c r="AH25" s="473">
        <f>LOOKUP(AH$13,Inputs!$G$336:$K$336,Inputs!$G343:$K343)</f>
        <v>8.5000000000000006E-2</v>
      </c>
      <c r="AI25" s="473">
        <f>LOOKUP(AI$13,Inputs!$G$336:$K$336,Inputs!$G343:$K343)</f>
        <v>8.5000000000000006E-2</v>
      </c>
      <c r="AJ25" s="473">
        <f>LOOKUP(AJ$13,Inputs!$G$336:$K$336,Inputs!$G343:$K343)</f>
        <v>8.5000000000000006E-2</v>
      </c>
      <c r="AK25" s="473">
        <f>LOOKUP(AK$13,Inputs!$G$336:$K$336,Inputs!$G343:$K343)</f>
        <v>8.5000000000000006E-2</v>
      </c>
      <c r="AL25" s="473">
        <f>LOOKUP(AL$13,Inputs!$G$336:$K$336,Inputs!$G343:$K343)</f>
        <v>8.5000000000000006E-2</v>
      </c>
      <c r="AM25" s="473">
        <f>LOOKUP(AM$13,Inputs!$G$336:$K$336,Inputs!$G343:$K343)</f>
        <v>8.5000000000000006E-2</v>
      </c>
      <c r="AN25" s="473">
        <f>LOOKUP(AN$13,Inputs!$G$336:$K$336,Inputs!$G343:$K343)</f>
        <v>8.5000000000000006E-2</v>
      </c>
    </row>
    <row r="26" spans="3:40" outlineLevel="2">
      <c r="C26" s="299" t="str">
        <f>Inputs!C344</f>
        <v>TLP</v>
      </c>
      <c r="D26" s="266"/>
      <c r="E26" s="4" t="s">
        <v>377</v>
      </c>
      <c r="F26" s="266"/>
      <c r="G26" s="473">
        <f>LOOKUP(G$13,Inputs!$G$336:$K$336,Inputs!$G344:$K344)</f>
        <v>8.9800000000000005E-2</v>
      </c>
      <c r="H26" s="473">
        <f>LOOKUP(H$13,Inputs!$G$336:$K$336,Inputs!$G344:$K344)</f>
        <v>8.9800000000000005E-2</v>
      </c>
      <c r="I26" s="473">
        <f>LOOKUP(I$13,Inputs!$G$336:$K$336,Inputs!$G344:$K344)</f>
        <v>8.9800000000000005E-2</v>
      </c>
      <c r="J26" s="473">
        <f>LOOKUP(J$13,Inputs!$G$336:$K$336,Inputs!$G344:$K344)</f>
        <v>8.9800000000000005E-2</v>
      </c>
      <c r="K26" s="473">
        <f>LOOKUP(K$13,Inputs!$G$336:$K$336,Inputs!$G344:$K344)</f>
        <v>8.9800000000000005E-2</v>
      </c>
      <c r="L26" s="473">
        <f>LOOKUP(L$13,Inputs!$G$336:$K$336,Inputs!$G344:$K344)</f>
        <v>8.9800000000000005E-2</v>
      </c>
      <c r="M26" s="473">
        <f>LOOKUP(M$13,Inputs!$G$336:$K$336,Inputs!$G344:$K344)</f>
        <v>8.9800000000000005E-2</v>
      </c>
      <c r="N26" s="473">
        <f>LOOKUP(N$13,Inputs!$G$336:$K$336,Inputs!$G344:$K344)</f>
        <v>8.9800000000000005E-2</v>
      </c>
      <c r="O26" s="473">
        <f>LOOKUP(O$13,Inputs!$G$336:$K$336,Inputs!$G344:$K344)</f>
        <v>8.9800000000000005E-2</v>
      </c>
      <c r="P26" s="473">
        <f>LOOKUP(P$13,Inputs!$G$336:$K$336,Inputs!$G344:$K344)</f>
        <v>8.9800000000000005E-2</v>
      </c>
      <c r="Q26" s="473">
        <f>LOOKUP(Q$13,Inputs!$G$336:$K$336,Inputs!$G344:$K344)</f>
        <v>8.9800000000000005E-2</v>
      </c>
      <c r="R26" s="473">
        <f>LOOKUP(R$13,Inputs!$G$336:$K$336,Inputs!$G344:$K344)</f>
        <v>8.9800000000000005E-2</v>
      </c>
      <c r="S26" s="473">
        <f>LOOKUP(S$13,Inputs!$G$336:$K$336,Inputs!$G344:$K344)</f>
        <v>8.9800000000000005E-2</v>
      </c>
      <c r="T26" s="473">
        <f>LOOKUP(T$13,Inputs!$G$336:$K$336,Inputs!$G344:$K344)</f>
        <v>8.9800000000000005E-2</v>
      </c>
      <c r="U26" s="473">
        <f>LOOKUP(U$13,Inputs!$G$336:$K$336,Inputs!$G344:$K344)</f>
        <v>8.9800000000000005E-2</v>
      </c>
      <c r="V26" s="473">
        <f>LOOKUP(V$13,Inputs!$G$336:$K$336,Inputs!$G344:$K344)</f>
        <v>8.9800000000000005E-2</v>
      </c>
      <c r="W26" s="473">
        <f>LOOKUP(W$13,Inputs!$G$336:$K$336,Inputs!$G344:$K344)</f>
        <v>8.9800000000000005E-2</v>
      </c>
      <c r="X26" s="473">
        <f>LOOKUP(X$13,Inputs!$G$336:$K$336,Inputs!$G344:$K344)</f>
        <v>8.9800000000000005E-2</v>
      </c>
      <c r="Y26" s="473">
        <f>LOOKUP(Y$13,Inputs!$G$336:$K$336,Inputs!$G344:$K344)</f>
        <v>8.9800000000000005E-2</v>
      </c>
      <c r="Z26" s="473">
        <f>LOOKUP(Z$13,Inputs!$G$336:$K$336,Inputs!$G344:$K344)</f>
        <v>8.9800000000000005E-2</v>
      </c>
      <c r="AA26" s="473">
        <f>LOOKUP(AA$13,Inputs!$G$336:$K$336,Inputs!$G344:$K344)</f>
        <v>8.9800000000000005E-2</v>
      </c>
      <c r="AB26" s="473">
        <f>LOOKUP(AB$13,Inputs!$G$336:$K$336,Inputs!$G344:$K344)</f>
        <v>8.9800000000000005E-2</v>
      </c>
      <c r="AC26" s="473">
        <f>LOOKUP(AC$13,Inputs!$G$336:$K$336,Inputs!$G344:$K344)</f>
        <v>8.9800000000000005E-2</v>
      </c>
      <c r="AD26" s="473">
        <f>LOOKUP(AD$13,Inputs!$G$336:$K$336,Inputs!$G344:$K344)</f>
        <v>8.9800000000000005E-2</v>
      </c>
      <c r="AE26" s="473">
        <f>LOOKUP(AE$13,Inputs!$G$336:$K$336,Inputs!$G344:$K344)</f>
        <v>8.9800000000000005E-2</v>
      </c>
      <c r="AF26" s="473">
        <f>LOOKUP(AF$13,Inputs!$G$336:$K$336,Inputs!$G344:$K344)</f>
        <v>8.9800000000000005E-2</v>
      </c>
      <c r="AG26" s="473">
        <f>LOOKUP(AG$13,Inputs!$G$336:$K$336,Inputs!$G344:$K344)</f>
        <v>8.9800000000000005E-2</v>
      </c>
      <c r="AH26" s="473">
        <f>LOOKUP(AH$13,Inputs!$G$336:$K$336,Inputs!$G344:$K344)</f>
        <v>8.9800000000000005E-2</v>
      </c>
      <c r="AI26" s="473">
        <f>LOOKUP(AI$13,Inputs!$G$336:$K$336,Inputs!$G344:$K344)</f>
        <v>8.9800000000000005E-2</v>
      </c>
      <c r="AJ26" s="473">
        <f>LOOKUP(AJ$13,Inputs!$G$336:$K$336,Inputs!$G344:$K344)</f>
        <v>8.9800000000000005E-2</v>
      </c>
      <c r="AK26" s="473">
        <f>LOOKUP(AK$13,Inputs!$G$336:$K$336,Inputs!$G344:$K344)</f>
        <v>8.9800000000000005E-2</v>
      </c>
      <c r="AL26" s="473">
        <f>LOOKUP(AL$13,Inputs!$G$336:$K$336,Inputs!$G344:$K344)</f>
        <v>8.9800000000000005E-2</v>
      </c>
      <c r="AM26" s="473">
        <f>LOOKUP(AM$13,Inputs!$G$336:$K$336,Inputs!$G344:$K344)</f>
        <v>8.9800000000000005E-2</v>
      </c>
      <c r="AN26" s="473">
        <f>LOOKUP(AN$13,Inputs!$G$336:$K$336,Inputs!$G344:$K344)</f>
        <v>8.9800000000000005E-2</v>
      </c>
    </row>
    <row r="27" spans="3:40" outlineLevel="2">
      <c r="C27" s="299" t="str">
        <f>Inputs!C345</f>
        <v>IPCA</v>
      </c>
      <c r="D27" s="266"/>
      <c r="E27" s="4" t="s">
        <v>377</v>
      </c>
      <c r="F27" s="266"/>
      <c r="G27" s="473">
        <f>LOOKUP(G$13,Inputs!$G$336:$K$336,Inputs!$G345:$K345)</f>
        <v>3.5000000000000003E-2</v>
      </c>
      <c r="H27" s="473">
        <f>LOOKUP(H$13,Inputs!$G$336:$K$336,Inputs!$G345:$K345)</f>
        <v>3.5000000000000003E-2</v>
      </c>
      <c r="I27" s="473">
        <f>LOOKUP(I$13,Inputs!$G$336:$K$336,Inputs!$G345:$K345)</f>
        <v>3.5000000000000003E-2</v>
      </c>
      <c r="J27" s="473">
        <f>LOOKUP(J$13,Inputs!$G$336:$K$336,Inputs!$G345:$K345)</f>
        <v>3.5000000000000003E-2</v>
      </c>
      <c r="K27" s="473">
        <f>LOOKUP(K$13,Inputs!$G$336:$K$336,Inputs!$G345:$K345)</f>
        <v>3.5000000000000003E-2</v>
      </c>
      <c r="L27" s="473">
        <f>LOOKUP(L$13,Inputs!$G$336:$K$336,Inputs!$G345:$K345)</f>
        <v>3.5000000000000003E-2</v>
      </c>
      <c r="M27" s="473">
        <f>LOOKUP(M$13,Inputs!$G$336:$K$336,Inputs!$G345:$K345)</f>
        <v>3.5000000000000003E-2</v>
      </c>
      <c r="N27" s="473">
        <f>LOOKUP(N$13,Inputs!$G$336:$K$336,Inputs!$G345:$K345)</f>
        <v>3.5000000000000003E-2</v>
      </c>
      <c r="O27" s="473">
        <f>LOOKUP(O$13,Inputs!$G$336:$K$336,Inputs!$G345:$K345)</f>
        <v>3.5000000000000003E-2</v>
      </c>
      <c r="P27" s="473">
        <f>LOOKUP(P$13,Inputs!$G$336:$K$336,Inputs!$G345:$K345)</f>
        <v>3.5000000000000003E-2</v>
      </c>
      <c r="Q27" s="473">
        <f>LOOKUP(Q$13,Inputs!$G$336:$K$336,Inputs!$G345:$K345)</f>
        <v>3.5000000000000003E-2</v>
      </c>
      <c r="R27" s="473">
        <f>LOOKUP(R$13,Inputs!$G$336:$K$336,Inputs!$G345:$K345)</f>
        <v>3.5000000000000003E-2</v>
      </c>
      <c r="S27" s="473">
        <f>LOOKUP(S$13,Inputs!$G$336:$K$336,Inputs!$G345:$K345)</f>
        <v>3.5000000000000003E-2</v>
      </c>
      <c r="T27" s="473">
        <f>LOOKUP(T$13,Inputs!$G$336:$K$336,Inputs!$G345:$K345)</f>
        <v>3.5000000000000003E-2</v>
      </c>
      <c r="U27" s="473">
        <f>LOOKUP(U$13,Inputs!$G$336:$K$336,Inputs!$G345:$K345)</f>
        <v>3.5000000000000003E-2</v>
      </c>
      <c r="V27" s="473">
        <f>LOOKUP(V$13,Inputs!$G$336:$K$336,Inputs!$G345:$K345)</f>
        <v>3.5000000000000003E-2</v>
      </c>
      <c r="W27" s="473">
        <f>LOOKUP(W$13,Inputs!$G$336:$K$336,Inputs!$G345:$K345)</f>
        <v>3.5000000000000003E-2</v>
      </c>
      <c r="X27" s="473">
        <f>LOOKUP(X$13,Inputs!$G$336:$K$336,Inputs!$G345:$K345)</f>
        <v>3.5000000000000003E-2</v>
      </c>
      <c r="Y27" s="473">
        <f>LOOKUP(Y$13,Inputs!$G$336:$K$336,Inputs!$G345:$K345)</f>
        <v>3.5000000000000003E-2</v>
      </c>
      <c r="Z27" s="473">
        <f>LOOKUP(Z$13,Inputs!$G$336:$K$336,Inputs!$G345:$K345)</f>
        <v>3.5000000000000003E-2</v>
      </c>
      <c r="AA27" s="473">
        <f>LOOKUP(AA$13,Inputs!$G$336:$K$336,Inputs!$G345:$K345)</f>
        <v>3.5000000000000003E-2</v>
      </c>
      <c r="AB27" s="473">
        <f>LOOKUP(AB$13,Inputs!$G$336:$K$336,Inputs!$G345:$K345)</f>
        <v>3.5000000000000003E-2</v>
      </c>
      <c r="AC27" s="473">
        <f>LOOKUP(AC$13,Inputs!$G$336:$K$336,Inputs!$G345:$K345)</f>
        <v>3.5000000000000003E-2</v>
      </c>
      <c r="AD27" s="473">
        <f>LOOKUP(AD$13,Inputs!$G$336:$K$336,Inputs!$G345:$K345)</f>
        <v>3.5000000000000003E-2</v>
      </c>
      <c r="AE27" s="473">
        <f>LOOKUP(AE$13,Inputs!$G$336:$K$336,Inputs!$G345:$K345)</f>
        <v>3.5000000000000003E-2</v>
      </c>
      <c r="AF27" s="473">
        <f>LOOKUP(AF$13,Inputs!$G$336:$K$336,Inputs!$G345:$K345)</f>
        <v>3.5000000000000003E-2</v>
      </c>
      <c r="AG27" s="473">
        <f>LOOKUP(AG$13,Inputs!$G$336:$K$336,Inputs!$G345:$K345)</f>
        <v>3.5000000000000003E-2</v>
      </c>
      <c r="AH27" s="473">
        <f>LOOKUP(AH$13,Inputs!$G$336:$K$336,Inputs!$G345:$K345)</f>
        <v>3.5000000000000003E-2</v>
      </c>
      <c r="AI27" s="473">
        <f>LOOKUP(AI$13,Inputs!$G$336:$K$336,Inputs!$G345:$K345)</f>
        <v>3.5000000000000003E-2</v>
      </c>
      <c r="AJ27" s="473">
        <f>LOOKUP(AJ$13,Inputs!$G$336:$K$336,Inputs!$G345:$K345)</f>
        <v>3.5000000000000003E-2</v>
      </c>
      <c r="AK27" s="473">
        <f>LOOKUP(AK$13,Inputs!$G$336:$K$336,Inputs!$G345:$K345)</f>
        <v>3.5000000000000003E-2</v>
      </c>
      <c r="AL27" s="473">
        <f>LOOKUP(AL$13,Inputs!$G$336:$K$336,Inputs!$G345:$K345)</f>
        <v>3.5000000000000003E-2</v>
      </c>
      <c r="AM27" s="473">
        <f>LOOKUP(AM$13,Inputs!$G$336:$K$336,Inputs!$G345:$K345)</f>
        <v>3.5000000000000003E-2</v>
      </c>
      <c r="AN27" s="473">
        <f>LOOKUP(AN$13,Inputs!$G$336:$K$336,Inputs!$G345:$K345)</f>
        <v>3.5000000000000003E-2</v>
      </c>
    </row>
    <row r="28" spans="3:40" outlineLevel="1">
      <c r="C28" s="266"/>
      <c r="E28" s="266"/>
      <c r="F28" s="266"/>
      <c r="G28" s="266"/>
      <c r="H28" s="266"/>
      <c r="I28" s="266"/>
      <c r="J28" s="266"/>
      <c r="K28" s="266"/>
      <c r="L28" s="266"/>
      <c r="M28" s="266"/>
      <c r="N28" s="266"/>
      <c r="O28" s="266"/>
      <c r="P28" s="266"/>
      <c r="Q28" s="266"/>
      <c r="R28" s="266"/>
      <c r="S28" s="266"/>
      <c r="T28" s="266"/>
      <c r="U28" s="266"/>
      <c r="V28" s="266"/>
      <c r="W28" s="266"/>
      <c r="X28" s="266"/>
      <c r="Y28" s="266"/>
      <c r="Z28" s="266"/>
      <c r="AA28" s="266"/>
      <c r="AB28" s="266"/>
      <c r="AC28" s="266"/>
      <c r="AD28" s="266"/>
      <c r="AE28" s="266"/>
      <c r="AF28" s="266"/>
      <c r="AG28" s="266"/>
      <c r="AH28" s="266"/>
      <c r="AI28" s="266"/>
      <c r="AJ28" s="266"/>
      <c r="AK28" s="266"/>
      <c r="AL28" s="266"/>
      <c r="AM28" s="266"/>
      <c r="AN28" s="266"/>
    </row>
    <row r="29" spans="3:40" outlineLevel="1">
      <c r="C29" s="11" t="s">
        <v>378</v>
      </c>
      <c r="E29" s="266"/>
      <c r="F29" s="266"/>
      <c r="G29" s="266"/>
      <c r="H29" s="266"/>
      <c r="I29" s="266"/>
      <c r="J29" s="312"/>
      <c r="K29" s="266"/>
      <c r="L29" s="266"/>
      <c r="M29" s="266"/>
      <c r="N29" s="266"/>
      <c r="O29" s="266"/>
      <c r="P29" s="266"/>
      <c r="Q29" s="266"/>
      <c r="R29" s="266"/>
      <c r="S29" s="266"/>
      <c r="T29" s="266"/>
      <c r="U29" s="266"/>
      <c r="V29" s="266"/>
      <c r="W29" s="266"/>
      <c r="X29" s="266"/>
      <c r="Y29" s="266"/>
      <c r="Z29" s="266"/>
      <c r="AA29" s="266"/>
      <c r="AB29" s="266"/>
      <c r="AC29" s="266"/>
      <c r="AD29" s="266"/>
      <c r="AE29" s="266"/>
      <c r="AF29" s="266"/>
      <c r="AG29" s="266"/>
      <c r="AH29" s="266"/>
      <c r="AI29" s="266"/>
      <c r="AJ29" s="266"/>
      <c r="AK29" s="266"/>
      <c r="AL29" s="266"/>
      <c r="AM29" s="266"/>
      <c r="AN29" s="266"/>
    </row>
    <row r="30" spans="3:40" outlineLevel="2">
      <c r="C30" s="266" t="str">
        <f t="shared" ref="C30:C38" si="3">C19</f>
        <v>None</v>
      </c>
      <c r="E30" s="17"/>
      <c r="F30" s="313">
        <f>Inputs!E337</f>
        <v>1</v>
      </c>
      <c r="G30" s="313">
        <f t="shared" ref="G30:AN30" si="4">IFERROR(F30*(1+G19)^(G$14/G$15),1)</f>
        <v>1</v>
      </c>
      <c r="H30" s="313">
        <f t="shared" si="4"/>
        <v>1</v>
      </c>
      <c r="I30" s="313">
        <f t="shared" si="4"/>
        <v>1</v>
      </c>
      <c r="J30" s="313">
        <f t="shared" si="4"/>
        <v>1</v>
      </c>
      <c r="K30" s="313">
        <f t="shared" si="4"/>
        <v>1</v>
      </c>
      <c r="L30" s="313">
        <f t="shared" si="4"/>
        <v>1</v>
      </c>
      <c r="M30" s="313">
        <f t="shared" si="4"/>
        <v>1</v>
      </c>
      <c r="N30" s="313">
        <f t="shared" si="4"/>
        <v>1</v>
      </c>
      <c r="O30" s="313">
        <f t="shared" si="4"/>
        <v>1</v>
      </c>
      <c r="P30" s="313">
        <f t="shared" si="4"/>
        <v>1</v>
      </c>
      <c r="Q30" s="313">
        <f t="shared" si="4"/>
        <v>1</v>
      </c>
      <c r="R30" s="313">
        <f t="shared" si="4"/>
        <v>1</v>
      </c>
      <c r="S30" s="313">
        <f t="shared" si="4"/>
        <v>1</v>
      </c>
      <c r="T30" s="313">
        <f t="shared" si="4"/>
        <v>1</v>
      </c>
      <c r="U30" s="313">
        <f t="shared" si="4"/>
        <v>1</v>
      </c>
      <c r="V30" s="313">
        <f t="shared" si="4"/>
        <v>1</v>
      </c>
      <c r="W30" s="313">
        <f t="shared" si="4"/>
        <v>1</v>
      </c>
      <c r="X30" s="313">
        <f t="shared" si="4"/>
        <v>1</v>
      </c>
      <c r="Y30" s="313">
        <f t="shared" si="4"/>
        <v>1</v>
      </c>
      <c r="Z30" s="313">
        <f t="shared" si="4"/>
        <v>1</v>
      </c>
      <c r="AA30" s="313">
        <f t="shared" si="4"/>
        <v>1</v>
      </c>
      <c r="AB30" s="313">
        <f t="shared" si="4"/>
        <v>1</v>
      </c>
      <c r="AC30" s="313">
        <f t="shared" si="4"/>
        <v>1</v>
      </c>
      <c r="AD30" s="313">
        <f t="shared" si="4"/>
        <v>1</v>
      </c>
      <c r="AE30" s="313">
        <f t="shared" si="4"/>
        <v>1</v>
      </c>
      <c r="AF30" s="313">
        <f t="shared" si="4"/>
        <v>1</v>
      </c>
      <c r="AG30" s="313">
        <f t="shared" si="4"/>
        <v>1</v>
      </c>
      <c r="AH30" s="313">
        <f t="shared" si="4"/>
        <v>1</v>
      </c>
      <c r="AI30" s="313">
        <f t="shared" si="4"/>
        <v>1</v>
      </c>
      <c r="AJ30" s="313">
        <f t="shared" si="4"/>
        <v>1</v>
      </c>
      <c r="AK30" s="313">
        <f t="shared" si="4"/>
        <v>1</v>
      </c>
      <c r="AL30" s="313">
        <f t="shared" si="4"/>
        <v>1</v>
      </c>
      <c r="AM30" s="313">
        <f t="shared" si="4"/>
        <v>1</v>
      </c>
      <c r="AN30" s="313">
        <f t="shared" si="4"/>
        <v>1</v>
      </c>
    </row>
    <row r="31" spans="3:40" outlineLevel="2">
      <c r="C31" s="266" t="str">
        <f t="shared" si="3"/>
        <v>IPG-M</v>
      </c>
      <c r="E31" s="17"/>
      <c r="F31" s="313">
        <f>Inputs!E338</f>
        <v>1</v>
      </c>
      <c r="G31" s="313">
        <f t="shared" ref="G31:AN31" si="5">IFERROR(F31*(1+G20)^(G$14/G$15),1)</f>
        <v>1.038</v>
      </c>
      <c r="H31" s="313">
        <f t="shared" si="5"/>
        <v>1.0774440000000001</v>
      </c>
      <c r="I31" s="313">
        <f t="shared" si="5"/>
        <v>1.1183868720000001</v>
      </c>
      <c r="J31" s="313">
        <f t="shared" si="5"/>
        <v>1.1608855731360002</v>
      </c>
      <c r="K31" s="313">
        <f t="shared" si="5"/>
        <v>1.2049992249151682</v>
      </c>
      <c r="L31" s="313">
        <f t="shared" si="5"/>
        <v>1.2507891954619446</v>
      </c>
      <c r="M31" s="313">
        <f t="shared" si="5"/>
        <v>1.2983191848894986</v>
      </c>
      <c r="N31" s="313">
        <f t="shared" si="5"/>
        <v>1.3476553139152996</v>
      </c>
      <c r="O31" s="313">
        <f t="shared" si="5"/>
        <v>1.398866215844081</v>
      </c>
      <c r="P31" s="313">
        <f t="shared" si="5"/>
        <v>1.4520231320461561</v>
      </c>
      <c r="Q31" s="313">
        <f t="shared" si="5"/>
        <v>1.5072000110639101</v>
      </c>
      <c r="R31" s="313">
        <f t="shared" si="5"/>
        <v>1.5644736114843387</v>
      </c>
      <c r="S31" s="313">
        <f t="shared" si="5"/>
        <v>1.6239236087207436</v>
      </c>
      <c r="T31" s="313">
        <f t="shared" si="5"/>
        <v>1.6856327058521319</v>
      </c>
      <c r="U31" s="313">
        <f t="shared" si="5"/>
        <v>1.7496867486745129</v>
      </c>
      <c r="V31" s="313">
        <f t="shared" si="5"/>
        <v>1.8161748451241444</v>
      </c>
      <c r="W31" s="313">
        <f t="shared" si="5"/>
        <v>1.8851894892388619</v>
      </c>
      <c r="X31" s="313">
        <f t="shared" si="5"/>
        <v>1.9568266898299387</v>
      </c>
      <c r="Y31" s="313">
        <f t="shared" si="5"/>
        <v>2.0311861040434764</v>
      </c>
      <c r="Z31" s="313">
        <f t="shared" si="5"/>
        <v>2.1083711759971284</v>
      </c>
      <c r="AA31" s="313">
        <f t="shared" si="5"/>
        <v>2.1884892806850194</v>
      </c>
      <c r="AB31" s="313">
        <f t="shared" si="5"/>
        <v>2.27165187335105</v>
      </c>
      <c r="AC31" s="313">
        <f t="shared" si="5"/>
        <v>2.3579746445383898</v>
      </c>
      <c r="AD31" s="313">
        <f t="shared" si="5"/>
        <v>2.4475776810308485</v>
      </c>
      <c r="AE31" s="313">
        <f t="shared" si="5"/>
        <v>2.5405856329100209</v>
      </c>
      <c r="AF31" s="313">
        <f t="shared" si="5"/>
        <v>2.6371278869606019</v>
      </c>
      <c r="AG31" s="313">
        <f t="shared" si="5"/>
        <v>2.7373387466651047</v>
      </c>
      <c r="AH31" s="313">
        <f t="shared" si="5"/>
        <v>2.8413576190383787</v>
      </c>
      <c r="AI31" s="313">
        <f t="shared" si="5"/>
        <v>2.9493292085618372</v>
      </c>
      <c r="AJ31" s="313">
        <f t="shared" si="5"/>
        <v>3.061403718487187</v>
      </c>
      <c r="AK31" s="313">
        <f t="shared" si="5"/>
        <v>3.1777370597897003</v>
      </c>
      <c r="AL31" s="313">
        <f t="shared" si="5"/>
        <v>3.298491068061709</v>
      </c>
      <c r="AM31" s="313">
        <f t="shared" si="5"/>
        <v>3.423833728648054</v>
      </c>
      <c r="AN31" s="313">
        <f t="shared" si="5"/>
        <v>1</v>
      </c>
    </row>
    <row r="32" spans="3:40" outlineLevel="2">
      <c r="C32" s="266" t="str">
        <f t="shared" si="3"/>
        <v>PIB</v>
      </c>
      <c r="E32" s="17"/>
      <c r="F32" s="313">
        <f>Inputs!E339</f>
        <v>1</v>
      </c>
      <c r="G32" s="313">
        <f t="shared" ref="G32:AN32" si="6">IFERROR(F32*(1+G21)^(G$14/G$15),1)</f>
        <v>1.02</v>
      </c>
      <c r="H32" s="313">
        <f t="shared" si="6"/>
        <v>1.0404</v>
      </c>
      <c r="I32" s="313">
        <f t="shared" si="6"/>
        <v>1.0612079999999999</v>
      </c>
      <c r="J32" s="313">
        <f t="shared" si="6"/>
        <v>1.08243216</v>
      </c>
      <c r="K32" s="313">
        <f t="shared" si="6"/>
        <v>1.1040808032</v>
      </c>
      <c r="L32" s="313">
        <f t="shared" si="6"/>
        <v>1.1261624192640001</v>
      </c>
      <c r="M32" s="313">
        <f t="shared" si="6"/>
        <v>1.14868566764928</v>
      </c>
      <c r="N32" s="313">
        <f t="shared" si="6"/>
        <v>1.1716593810022657</v>
      </c>
      <c r="O32" s="313">
        <f t="shared" si="6"/>
        <v>1.1950925686223111</v>
      </c>
      <c r="P32" s="313">
        <f t="shared" si="6"/>
        <v>1.2189944199947573</v>
      </c>
      <c r="Q32" s="313">
        <f t="shared" si="6"/>
        <v>1.2433743083946525</v>
      </c>
      <c r="R32" s="313">
        <f t="shared" si="6"/>
        <v>1.2682417945625455</v>
      </c>
      <c r="S32" s="313">
        <f t="shared" si="6"/>
        <v>1.2936066304537963</v>
      </c>
      <c r="T32" s="313">
        <f t="shared" si="6"/>
        <v>1.3194787630628724</v>
      </c>
      <c r="U32" s="313">
        <f t="shared" si="6"/>
        <v>1.3458683383241299</v>
      </c>
      <c r="V32" s="313">
        <f t="shared" si="6"/>
        <v>1.3727857050906125</v>
      </c>
      <c r="W32" s="313">
        <f t="shared" si="6"/>
        <v>1.4002414191924248</v>
      </c>
      <c r="X32" s="313">
        <f t="shared" si="6"/>
        <v>1.4282462475762734</v>
      </c>
      <c r="Y32" s="313">
        <f t="shared" si="6"/>
        <v>1.4568111725277988</v>
      </c>
      <c r="Z32" s="313">
        <f t="shared" si="6"/>
        <v>1.4859473959783549</v>
      </c>
      <c r="AA32" s="313">
        <f t="shared" si="6"/>
        <v>1.5156663438979221</v>
      </c>
      <c r="AB32" s="313">
        <f t="shared" si="6"/>
        <v>1.5459796707758806</v>
      </c>
      <c r="AC32" s="313">
        <f t="shared" si="6"/>
        <v>1.5768992641913981</v>
      </c>
      <c r="AD32" s="313">
        <f t="shared" si="6"/>
        <v>1.6084372494752261</v>
      </c>
      <c r="AE32" s="313">
        <f t="shared" si="6"/>
        <v>1.6406059944647307</v>
      </c>
      <c r="AF32" s="313">
        <f t="shared" si="6"/>
        <v>1.6734181143540252</v>
      </c>
      <c r="AG32" s="313">
        <f t="shared" si="6"/>
        <v>1.7068864766411058</v>
      </c>
      <c r="AH32" s="313">
        <f t="shared" si="6"/>
        <v>1.7410242061739281</v>
      </c>
      <c r="AI32" s="313">
        <f t="shared" si="6"/>
        <v>1.7758446902974065</v>
      </c>
      <c r="AJ32" s="313">
        <f t="shared" si="6"/>
        <v>1.8113615841033548</v>
      </c>
      <c r="AK32" s="313">
        <f t="shared" si="6"/>
        <v>1.8475888157854219</v>
      </c>
      <c r="AL32" s="313">
        <f t="shared" si="6"/>
        <v>1.8845405921011305</v>
      </c>
      <c r="AM32" s="313">
        <f t="shared" si="6"/>
        <v>1.9222314039431532</v>
      </c>
      <c r="AN32" s="313">
        <f t="shared" si="6"/>
        <v>1</v>
      </c>
    </row>
    <row r="33" spans="3:40" outlineLevel="2">
      <c r="C33" s="266" t="str">
        <f t="shared" si="3"/>
        <v>PIB Serviços</v>
      </c>
      <c r="E33" s="17"/>
      <c r="F33" s="313">
        <f>Inputs!E340</f>
        <v>1</v>
      </c>
      <c r="G33" s="313">
        <f t="shared" ref="G33:AN33" si="7">IFERROR(F33*(1+G22)^(G$14/G$15),1)</f>
        <v>1.0249999999999999</v>
      </c>
      <c r="H33" s="313">
        <f t="shared" si="7"/>
        <v>1.0506249999999999</v>
      </c>
      <c r="I33" s="313">
        <f t="shared" si="7"/>
        <v>1.0768906249999999</v>
      </c>
      <c r="J33" s="313">
        <f t="shared" si="7"/>
        <v>1.1038128906249998</v>
      </c>
      <c r="K33" s="313">
        <f t="shared" si="7"/>
        <v>1.1314082128906247</v>
      </c>
      <c r="L33" s="313">
        <f t="shared" si="7"/>
        <v>1.1596934182128902</v>
      </c>
      <c r="M33" s="313">
        <f t="shared" si="7"/>
        <v>1.1886857536682123</v>
      </c>
      <c r="N33" s="313">
        <f t="shared" si="7"/>
        <v>1.2184028975099175</v>
      </c>
      <c r="O33" s="313">
        <f t="shared" si="7"/>
        <v>1.2488629699476652</v>
      </c>
      <c r="P33" s="313">
        <f t="shared" si="7"/>
        <v>1.2800845441963566</v>
      </c>
      <c r="Q33" s="313">
        <f t="shared" si="7"/>
        <v>1.3120866578012655</v>
      </c>
      <c r="R33" s="313">
        <f t="shared" si="7"/>
        <v>1.3448888242462971</v>
      </c>
      <c r="S33" s="313">
        <f t="shared" si="7"/>
        <v>1.3785110448524545</v>
      </c>
      <c r="T33" s="313">
        <f t="shared" si="7"/>
        <v>1.4129738209737657</v>
      </c>
      <c r="U33" s="313">
        <f t="shared" si="7"/>
        <v>1.4482981664981096</v>
      </c>
      <c r="V33" s="313">
        <f t="shared" si="7"/>
        <v>1.4845056206605622</v>
      </c>
      <c r="W33" s="313">
        <f t="shared" si="7"/>
        <v>1.5216182611770761</v>
      </c>
      <c r="X33" s="313">
        <f t="shared" si="7"/>
        <v>1.5596587177065029</v>
      </c>
      <c r="Y33" s="313">
        <f t="shared" si="7"/>
        <v>1.5986501856491653</v>
      </c>
      <c r="Z33" s="313">
        <f t="shared" si="7"/>
        <v>1.6386164402903942</v>
      </c>
      <c r="AA33" s="313">
        <f t="shared" si="7"/>
        <v>1.6795818512976539</v>
      </c>
      <c r="AB33" s="313">
        <f t="shared" si="7"/>
        <v>1.721571397580095</v>
      </c>
      <c r="AC33" s="313">
        <f t="shared" si="7"/>
        <v>1.7646106825195973</v>
      </c>
      <c r="AD33" s="313">
        <f t="shared" si="7"/>
        <v>1.8087259495825871</v>
      </c>
      <c r="AE33" s="313">
        <f t="shared" si="7"/>
        <v>1.8539440983221516</v>
      </c>
      <c r="AF33" s="313">
        <f t="shared" si="7"/>
        <v>1.9002927007802053</v>
      </c>
      <c r="AG33" s="313">
        <f t="shared" si="7"/>
        <v>1.9478000182997102</v>
      </c>
      <c r="AH33" s="313">
        <f t="shared" si="7"/>
        <v>1.9964950187572028</v>
      </c>
      <c r="AI33" s="313">
        <f t="shared" si="7"/>
        <v>2.0464073942261325</v>
      </c>
      <c r="AJ33" s="313">
        <f t="shared" si="7"/>
        <v>2.0975675790817858</v>
      </c>
      <c r="AK33" s="313">
        <f t="shared" si="7"/>
        <v>2.1500067685588302</v>
      </c>
      <c r="AL33" s="313">
        <f t="shared" si="7"/>
        <v>2.2037569377728006</v>
      </c>
      <c r="AM33" s="313">
        <f t="shared" si="7"/>
        <v>2.2588508612171205</v>
      </c>
      <c r="AN33" s="313">
        <f t="shared" si="7"/>
        <v>1</v>
      </c>
    </row>
    <row r="34" spans="3:40" outlineLevel="2">
      <c r="C34" s="266" t="str">
        <f t="shared" si="3"/>
        <v>CPI US</v>
      </c>
      <c r="E34" s="17"/>
      <c r="F34" s="313">
        <f>Inputs!E341</f>
        <v>1</v>
      </c>
      <c r="G34" s="313">
        <f t="shared" ref="G34:AN34" si="8">IFERROR(F34*(1+G23)^(G$14/G$15),1)</f>
        <v>1.0309999999999999</v>
      </c>
      <c r="H34" s="313">
        <f t="shared" si="8"/>
        <v>1.0629609999999998</v>
      </c>
      <c r="I34" s="313">
        <f t="shared" si="8"/>
        <v>1.0959127909999997</v>
      </c>
      <c r="J34" s="313">
        <f t="shared" si="8"/>
        <v>1.1298860875209997</v>
      </c>
      <c r="K34" s="313">
        <f t="shared" si="8"/>
        <v>1.1649125562341507</v>
      </c>
      <c r="L34" s="313">
        <f t="shared" si="8"/>
        <v>1.2010248454774093</v>
      </c>
      <c r="M34" s="313">
        <f t="shared" si="8"/>
        <v>1.2382566156872088</v>
      </c>
      <c r="N34" s="313">
        <f t="shared" si="8"/>
        <v>1.2766425707735121</v>
      </c>
      <c r="O34" s="313">
        <f t="shared" si="8"/>
        <v>1.3162184904674907</v>
      </c>
      <c r="P34" s="313">
        <f t="shared" si="8"/>
        <v>1.3570212636719827</v>
      </c>
      <c r="Q34" s="313">
        <f t="shared" si="8"/>
        <v>1.3990889228458141</v>
      </c>
      <c r="R34" s="313">
        <f t="shared" si="8"/>
        <v>1.4424606794540342</v>
      </c>
      <c r="S34" s="313">
        <f t="shared" si="8"/>
        <v>1.4871769605171092</v>
      </c>
      <c r="T34" s="313">
        <f t="shared" si="8"/>
        <v>1.5332794462931394</v>
      </c>
      <c r="U34" s="313">
        <f t="shared" si="8"/>
        <v>1.5808111091282266</v>
      </c>
      <c r="V34" s="313">
        <f t="shared" si="8"/>
        <v>1.6298162535112015</v>
      </c>
      <c r="W34" s="313">
        <f t="shared" si="8"/>
        <v>1.6803405573700487</v>
      </c>
      <c r="X34" s="313">
        <f t="shared" si="8"/>
        <v>1.7324311146485201</v>
      </c>
      <c r="Y34" s="313">
        <f t="shared" si="8"/>
        <v>1.786136479202624</v>
      </c>
      <c r="Z34" s="313">
        <f t="shared" si="8"/>
        <v>1.8415067100579052</v>
      </c>
      <c r="AA34" s="313">
        <f t="shared" si="8"/>
        <v>1.8985934180697002</v>
      </c>
      <c r="AB34" s="313">
        <f t="shared" si="8"/>
        <v>1.9574498140298606</v>
      </c>
      <c r="AC34" s="313">
        <f t="shared" si="8"/>
        <v>2.0181307582647863</v>
      </c>
      <c r="AD34" s="313">
        <f t="shared" si="8"/>
        <v>2.0806928117709944</v>
      </c>
      <c r="AE34" s="313">
        <f t="shared" si="8"/>
        <v>2.1451942889358953</v>
      </c>
      <c r="AF34" s="313">
        <f t="shared" si="8"/>
        <v>2.2116953118929077</v>
      </c>
      <c r="AG34" s="313">
        <f t="shared" si="8"/>
        <v>2.2802578665615876</v>
      </c>
      <c r="AH34" s="313">
        <f t="shared" si="8"/>
        <v>2.3509458604249964</v>
      </c>
      <c r="AI34" s="313">
        <f t="shared" si="8"/>
        <v>2.4238251820981711</v>
      </c>
      <c r="AJ34" s="313">
        <f t="shared" si="8"/>
        <v>2.4989637627432142</v>
      </c>
      <c r="AK34" s="313">
        <f t="shared" si="8"/>
        <v>2.5764316393882538</v>
      </c>
      <c r="AL34" s="313">
        <f t="shared" si="8"/>
        <v>2.6563010202092894</v>
      </c>
      <c r="AM34" s="313">
        <f t="shared" si="8"/>
        <v>2.7386463518357771</v>
      </c>
      <c r="AN34" s="313">
        <f t="shared" si="8"/>
        <v>1</v>
      </c>
    </row>
    <row r="35" spans="3:40" outlineLevel="2">
      <c r="C35" s="266" t="str">
        <f t="shared" si="3"/>
        <v>SELIC</v>
      </c>
      <c r="E35" s="17"/>
      <c r="F35" s="313">
        <f>Inputs!E342</f>
        <v>1</v>
      </c>
      <c r="G35" s="313">
        <f t="shared" ref="G35:AN35" si="9">IFERROR(F35*(1+G24)^(G$14/G$15),1)</f>
        <v>1.085</v>
      </c>
      <c r="H35" s="313">
        <f t="shared" si="9"/>
        <v>1.177225</v>
      </c>
      <c r="I35" s="313">
        <f t="shared" si="9"/>
        <v>1.277289125</v>
      </c>
      <c r="J35" s="313">
        <f t="shared" si="9"/>
        <v>1.3858587006250001</v>
      </c>
      <c r="K35" s="313">
        <f t="shared" si="9"/>
        <v>1.503656690178125</v>
      </c>
      <c r="L35" s="313">
        <f t="shared" si="9"/>
        <v>1.6314675088432655</v>
      </c>
      <c r="M35" s="313">
        <f t="shared" si="9"/>
        <v>1.7701422470949431</v>
      </c>
      <c r="N35" s="313">
        <f t="shared" si="9"/>
        <v>1.9206043380980131</v>
      </c>
      <c r="O35" s="313">
        <f t="shared" si="9"/>
        <v>2.0838557068363444</v>
      </c>
      <c r="P35" s="313">
        <f t="shared" si="9"/>
        <v>2.2609834419174337</v>
      </c>
      <c r="Q35" s="313">
        <f t="shared" si="9"/>
        <v>2.4531670344804155</v>
      </c>
      <c r="R35" s="313">
        <f t="shared" si="9"/>
        <v>2.6616862324112507</v>
      </c>
      <c r="S35" s="313">
        <f t="shared" si="9"/>
        <v>2.8879295621662071</v>
      </c>
      <c r="T35" s="313">
        <f t="shared" si="9"/>
        <v>3.1334035749503344</v>
      </c>
      <c r="U35" s="313">
        <f t="shared" si="9"/>
        <v>3.3997428788211126</v>
      </c>
      <c r="V35" s="313">
        <f t="shared" si="9"/>
        <v>3.6887210235209071</v>
      </c>
      <c r="W35" s="313">
        <f t="shared" si="9"/>
        <v>4.0022623105201838</v>
      </c>
      <c r="X35" s="313">
        <f t="shared" si="9"/>
        <v>4.3424546069143997</v>
      </c>
      <c r="Y35" s="313">
        <f t="shared" si="9"/>
        <v>4.7115632485021237</v>
      </c>
      <c r="Z35" s="313">
        <f t="shared" si="9"/>
        <v>5.1120461246248041</v>
      </c>
      <c r="AA35" s="313">
        <f t="shared" si="9"/>
        <v>5.5465700452179121</v>
      </c>
      <c r="AB35" s="313">
        <f t="shared" si="9"/>
        <v>6.0180284990614341</v>
      </c>
      <c r="AC35" s="313">
        <f t="shared" si="9"/>
        <v>6.5295609214816555</v>
      </c>
      <c r="AD35" s="313">
        <f t="shared" si="9"/>
        <v>7.0845735998075963</v>
      </c>
      <c r="AE35" s="313">
        <f t="shared" si="9"/>
        <v>7.6867623557912417</v>
      </c>
      <c r="AF35" s="313">
        <f t="shared" si="9"/>
        <v>8.3401371560334976</v>
      </c>
      <c r="AG35" s="313">
        <f t="shared" si="9"/>
        <v>9.049048814296345</v>
      </c>
      <c r="AH35" s="313">
        <f t="shared" si="9"/>
        <v>9.8182179635115343</v>
      </c>
      <c r="AI35" s="313">
        <f t="shared" si="9"/>
        <v>10.652766490410015</v>
      </c>
      <c r="AJ35" s="313">
        <f t="shared" si="9"/>
        <v>11.558251642094865</v>
      </c>
      <c r="AK35" s="313">
        <f t="shared" si="9"/>
        <v>12.540703031672928</v>
      </c>
      <c r="AL35" s="313">
        <f t="shared" si="9"/>
        <v>13.606662789365126</v>
      </c>
      <c r="AM35" s="313">
        <f t="shared" si="9"/>
        <v>14.763229126461161</v>
      </c>
      <c r="AN35" s="313">
        <f t="shared" si="9"/>
        <v>1</v>
      </c>
    </row>
    <row r="36" spans="3:40" outlineLevel="2">
      <c r="C36" s="266" t="str">
        <f t="shared" si="3"/>
        <v>CDI</v>
      </c>
      <c r="E36" s="17"/>
      <c r="F36" s="313">
        <f>Inputs!E343</f>
        <v>1</v>
      </c>
      <c r="G36" s="313">
        <f t="shared" ref="G36:AN36" si="10">IFERROR(F36*(1+G25)^(G$14/G$15),1)</f>
        <v>1.085</v>
      </c>
      <c r="H36" s="313">
        <f t="shared" si="10"/>
        <v>1.177225</v>
      </c>
      <c r="I36" s="313">
        <f t="shared" si="10"/>
        <v>1.277289125</v>
      </c>
      <c r="J36" s="313">
        <f t="shared" si="10"/>
        <v>1.3858587006250001</v>
      </c>
      <c r="K36" s="313">
        <f t="shared" si="10"/>
        <v>1.503656690178125</v>
      </c>
      <c r="L36" s="313">
        <f t="shared" si="10"/>
        <v>1.6314675088432655</v>
      </c>
      <c r="M36" s="313">
        <f t="shared" si="10"/>
        <v>1.7701422470949431</v>
      </c>
      <c r="N36" s="313">
        <f t="shared" si="10"/>
        <v>1.9206043380980131</v>
      </c>
      <c r="O36" s="313">
        <f t="shared" si="10"/>
        <v>2.0838557068363444</v>
      </c>
      <c r="P36" s="313">
        <f t="shared" si="10"/>
        <v>2.2609834419174337</v>
      </c>
      <c r="Q36" s="313">
        <f t="shared" si="10"/>
        <v>2.4531670344804155</v>
      </c>
      <c r="R36" s="313">
        <f t="shared" si="10"/>
        <v>2.6616862324112507</v>
      </c>
      <c r="S36" s="313">
        <f t="shared" si="10"/>
        <v>2.8879295621662071</v>
      </c>
      <c r="T36" s="313">
        <f t="shared" si="10"/>
        <v>3.1334035749503344</v>
      </c>
      <c r="U36" s="313">
        <f t="shared" si="10"/>
        <v>3.3997428788211126</v>
      </c>
      <c r="V36" s="313">
        <f t="shared" si="10"/>
        <v>3.6887210235209071</v>
      </c>
      <c r="W36" s="313">
        <f t="shared" si="10"/>
        <v>4.0022623105201838</v>
      </c>
      <c r="X36" s="313">
        <f t="shared" si="10"/>
        <v>4.3424546069143997</v>
      </c>
      <c r="Y36" s="313">
        <f t="shared" si="10"/>
        <v>4.7115632485021237</v>
      </c>
      <c r="Z36" s="313">
        <f t="shared" si="10"/>
        <v>5.1120461246248041</v>
      </c>
      <c r="AA36" s="313">
        <f t="shared" si="10"/>
        <v>5.5465700452179121</v>
      </c>
      <c r="AB36" s="313">
        <f t="shared" si="10"/>
        <v>6.0180284990614341</v>
      </c>
      <c r="AC36" s="313">
        <f t="shared" si="10"/>
        <v>6.5295609214816555</v>
      </c>
      <c r="AD36" s="313">
        <f t="shared" si="10"/>
        <v>7.0845735998075963</v>
      </c>
      <c r="AE36" s="313">
        <f t="shared" si="10"/>
        <v>7.6867623557912417</v>
      </c>
      <c r="AF36" s="313">
        <f t="shared" si="10"/>
        <v>8.3401371560334976</v>
      </c>
      <c r="AG36" s="313">
        <f t="shared" si="10"/>
        <v>9.049048814296345</v>
      </c>
      <c r="AH36" s="313">
        <f t="shared" si="10"/>
        <v>9.8182179635115343</v>
      </c>
      <c r="AI36" s="313">
        <f t="shared" si="10"/>
        <v>10.652766490410015</v>
      </c>
      <c r="AJ36" s="313">
        <f t="shared" si="10"/>
        <v>11.558251642094865</v>
      </c>
      <c r="AK36" s="313">
        <f t="shared" si="10"/>
        <v>12.540703031672928</v>
      </c>
      <c r="AL36" s="313">
        <f t="shared" si="10"/>
        <v>13.606662789365126</v>
      </c>
      <c r="AM36" s="313">
        <f t="shared" si="10"/>
        <v>14.763229126461161</v>
      </c>
      <c r="AN36" s="313">
        <f t="shared" si="10"/>
        <v>1</v>
      </c>
    </row>
    <row r="37" spans="3:40" outlineLevel="2">
      <c r="C37" s="266" t="str">
        <f t="shared" si="3"/>
        <v>TLP</v>
      </c>
      <c r="E37" s="17"/>
      <c r="F37" s="313">
        <f>Inputs!E344</f>
        <v>1</v>
      </c>
      <c r="G37" s="313">
        <f t="shared" ref="G37:AN37" si="11">IFERROR(F37*(1+G26)^(G$14/G$15),1)</f>
        <v>1.0898000000000001</v>
      </c>
      <c r="H37" s="313">
        <f t="shared" si="11"/>
        <v>1.1876640400000003</v>
      </c>
      <c r="I37" s="313">
        <f t="shared" si="11"/>
        <v>1.2943162707920004</v>
      </c>
      <c r="J37" s="313">
        <f t="shared" si="11"/>
        <v>1.4105458719091222</v>
      </c>
      <c r="K37" s="313">
        <f t="shared" si="11"/>
        <v>1.5372128912065615</v>
      </c>
      <c r="L37" s="313">
        <f t="shared" si="11"/>
        <v>1.6752546088369109</v>
      </c>
      <c r="M37" s="313">
        <f t="shared" si="11"/>
        <v>1.8256924727104658</v>
      </c>
      <c r="N37" s="313">
        <f t="shared" si="11"/>
        <v>1.9896396567598658</v>
      </c>
      <c r="O37" s="313">
        <f t="shared" si="11"/>
        <v>2.1683092979369021</v>
      </c>
      <c r="P37" s="313">
        <f t="shared" si="11"/>
        <v>2.3630234728916362</v>
      </c>
      <c r="Q37" s="313">
        <f t="shared" si="11"/>
        <v>2.5752229807573053</v>
      </c>
      <c r="R37" s="313">
        <f t="shared" si="11"/>
        <v>2.8064780044293114</v>
      </c>
      <c r="S37" s="313">
        <f t="shared" si="11"/>
        <v>3.0584997292270639</v>
      </c>
      <c r="T37" s="313">
        <f t="shared" si="11"/>
        <v>3.3331530049116544</v>
      </c>
      <c r="U37" s="313">
        <f t="shared" si="11"/>
        <v>3.6324701447527215</v>
      </c>
      <c r="V37" s="313">
        <f t="shared" si="11"/>
        <v>3.9586659637515162</v>
      </c>
      <c r="W37" s="313">
        <f t="shared" si="11"/>
        <v>4.3141541672964028</v>
      </c>
      <c r="X37" s="313">
        <f t="shared" si="11"/>
        <v>4.70156521151962</v>
      </c>
      <c r="Y37" s="313">
        <f t="shared" si="11"/>
        <v>5.1237657675140822</v>
      </c>
      <c r="Z37" s="313">
        <f t="shared" si="11"/>
        <v>5.5838799334368474</v>
      </c>
      <c r="AA37" s="313">
        <f t="shared" si="11"/>
        <v>6.0853123514594767</v>
      </c>
      <c r="AB37" s="313">
        <f t="shared" si="11"/>
        <v>6.6317734006205384</v>
      </c>
      <c r="AC37" s="313">
        <f t="shared" si="11"/>
        <v>7.2273066519962637</v>
      </c>
      <c r="AD37" s="313">
        <f t="shared" si="11"/>
        <v>7.8763187893455289</v>
      </c>
      <c r="AE37" s="313">
        <f t="shared" si="11"/>
        <v>8.5836122166287581</v>
      </c>
      <c r="AF37" s="313">
        <f t="shared" si="11"/>
        <v>9.3544205936820219</v>
      </c>
      <c r="AG37" s="313">
        <f t="shared" si="11"/>
        <v>10.194447562994668</v>
      </c>
      <c r="AH37" s="313">
        <f t="shared" si="11"/>
        <v>11.109908954151591</v>
      </c>
      <c r="AI37" s="313">
        <f t="shared" si="11"/>
        <v>12.107578778234405</v>
      </c>
      <c r="AJ37" s="313">
        <f t="shared" si="11"/>
        <v>13.194839352519855</v>
      </c>
      <c r="AK37" s="313">
        <f t="shared" si="11"/>
        <v>14.379735926376139</v>
      </c>
      <c r="AL37" s="313">
        <f t="shared" si="11"/>
        <v>15.671036212564717</v>
      </c>
      <c r="AM37" s="313">
        <f t="shared" si="11"/>
        <v>17.078295264453029</v>
      </c>
      <c r="AN37" s="313">
        <f t="shared" si="11"/>
        <v>1</v>
      </c>
    </row>
    <row r="38" spans="3:40" outlineLevel="2">
      <c r="C38" s="266" t="str">
        <f t="shared" si="3"/>
        <v>IPCA</v>
      </c>
      <c r="E38" s="17"/>
      <c r="F38" s="313">
        <f>Inputs!E345</f>
        <v>1</v>
      </c>
      <c r="G38" s="313">
        <f t="shared" ref="G38:AN38" si="12">IFERROR(F38*(1+G27)^(G$14/G$15),1)</f>
        <v>1.0349999999999999</v>
      </c>
      <c r="H38" s="313">
        <f t="shared" si="12"/>
        <v>1.0712249999999999</v>
      </c>
      <c r="I38" s="313">
        <f t="shared" si="12"/>
        <v>1.1087178749999997</v>
      </c>
      <c r="J38" s="313">
        <f t="shared" si="12"/>
        <v>1.1475230006249997</v>
      </c>
      <c r="K38" s="313">
        <f t="shared" si="12"/>
        <v>1.1876863056468745</v>
      </c>
      <c r="L38" s="313">
        <f t="shared" si="12"/>
        <v>1.229255326344515</v>
      </c>
      <c r="M38" s="313">
        <f t="shared" si="12"/>
        <v>1.2722792627665729</v>
      </c>
      <c r="N38" s="313">
        <f t="shared" si="12"/>
        <v>1.3168090369634029</v>
      </c>
      <c r="O38" s="313">
        <f t="shared" si="12"/>
        <v>1.3628973532571218</v>
      </c>
      <c r="P38" s="313">
        <f t="shared" si="12"/>
        <v>1.410598760621121</v>
      </c>
      <c r="Q38" s="313">
        <f t="shared" si="12"/>
        <v>1.4599697172428601</v>
      </c>
      <c r="R38" s="313">
        <f t="shared" si="12"/>
        <v>1.5110686573463601</v>
      </c>
      <c r="S38" s="313">
        <f t="shared" si="12"/>
        <v>1.5639560603534826</v>
      </c>
      <c r="T38" s="313">
        <f t="shared" si="12"/>
        <v>1.6186945224658542</v>
      </c>
      <c r="U38" s="313">
        <f t="shared" si="12"/>
        <v>1.6753488307521589</v>
      </c>
      <c r="V38" s="313">
        <f t="shared" si="12"/>
        <v>1.7339860398284843</v>
      </c>
      <c r="W38" s="313">
        <f t="shared" si="12"/>
        <v>1.7946755512224812</v>
      </c>
      <c r="X38" s="313">
        <f t="shared" si="12"/>
        <v>1.8574891955152679</v>
      </c>
      <c r="Y38" s="313">
        <f t="shared" si="12"/>
        <v>1.9225013173583021</v>
      </c>
      <c r="Z38" s="313">
        <f t="shared" si="12"/>
        <v>1.9897888634658425</v>
      </c>
      <c r="AA38" s="313">
        <f t="shared" si="12"/>
        <v>2.0594314736871469</v>
      </c>
      <c r="AB38" s="313">
        <f t="shared" si="12"/>
        <v>2.1315115752661966</v>
      </c>
      <c r="AC38" s="313">
        <f t="shared" si="12"/>
        <v>2.2061144804005135</v>
      </c>
      <c r="AD38" s="313">
        <f t="shared" si="12"/>
        <v>2.2833284872145314</v>
      </c>
      <c r="AE38" s="313">
        <f t="shared" si="12"/>
        <v>2.3632449842670398</v>
      </c>
      <c r="AF38" s="313">
        <f t="shared" si="12"/>
        <v>2.4459585587163861</v>
      </c>
      <c r="AG38" s="313">
        <f t="shared" si="12"/>
        <v>2.5315671082714593</v>
      </c>
      <c r="AH38" s="313">
        <f t="shared" si="12"/>
        <v>2.6201719570609603</v>
      </c>
      <c r="AI38" s="313">
        <f t="shared" si="12"/>
        <v>2.7118779755580937</v>
      </c>
      <c r="AJ38" s="313">
        <f t="shared" si="12"/>
        <v>2.8067937047026268</v>
      </c>
      <c r="AK38" s="313">
        <f t="shared" si="12"/>
        <v>2.9050314843672185</v>
      </c>
      <c r="AL38" s="313">
        <f t="shared" si="12"/>
        <v>3.0067075863200707</v>
      </c>
      <c r="AM38" s="313">
        <f t="shared" si="12"/>
        <v>3.111942351841273</v>
      </c>
      <c r="AN38" s="313">
        <f t="shared" si="12"/>
        <v>1</v>
      </c>
    </row>
    <row r="39" spans="3:40">
      <c r="C39" s="266"/>
      <c r="D39" s="19"/>
      <c r="E39" s="75"/>
      <c r="F39" s="20"/>
      <c r="G39" s="266"/>
      <c r="H39" s="266"/>
      <c r="I39" s="266"/>
      <c r="J39" s="266"/>
      <c r="K39" s="266"/>
      <c r="L39" s="266"/>
      <c r="M39" s="266"/>
      <c r="N39" s="266"/>
      <c r="O39" s="266"/>
      <c r="P39" s="266"/>
      <c r="Q39" s="266"/>
      <c r="R39" s="266"/>
      <c r="S39" s="266"/>
      <c r="T39" s="266"/>
      <c r="U39" s="266"/>
      <c r="V39" s="266"/>
      <c r="W39" s="266"/>
      <c r="X39" s="266"/>
      <c r="Y39" s="266"/>
      <c r="Z39" s="266"/>
      <c r="AA39" s="266"/>
      <c r="AB39" s="266"/>
      <c r="AC39" s="266"/>
      <c r="AD39" s="266"/>
      <c r="AE39" s="266"/>
      <c r="AF39" s="266"/>
      <c r="AG39" s="266"/>
      <c r="AH39" s="266"/>
      <c r="AI39" s="266"/>
      <c r="AJ39" s="266"/>
      <c r="AK39" s="266"/>
      <c r="AL39" s="266"/>
      <c r="AM39" s="266"/>
      <c r="AN39" s="266"/>
    </row>
    <row r="40" spans="3:40" s="266" customFormat="1" ht="16.2" thickBot="1">
      <c r="C40" s="394" t="s">
        <v>686</v>
      </c>
      <c r="D40" s="395"/>
      <c r="E40" s="396"/>
      <c r="F40" s="395"/>
      <c r="G40" s="395"/>
      <c r="H40" s="395"/>
      <c r="I40" s="395"/>
      <c r="J40" s="395"/>
      <c r="K40" s="395"/>
      <c r="L40" s="395"/>
      <c r="M40" s="395"/>
      <c r="N40" s="395"/>
      <c r="O40" s="395"/>
      <c r="P40" s="395"/>
      <c r="Q40" s="395"/>
      <c r="R40" s="395"/>
      <c r="S40" s="395"/>
      <c r="T40" s="395"/>
      <c r="U40" s="395"/>
      <c r="V40" s="395"/>
      <c r="W40" s="395"/>
      <c r="X40" s="395"/>
      <c r="Y40" s="395"/>
      <c r="Z40" s="395"/>
      <c r="AA40" s="395"/>
      <c r="AB40" s="395"/>
      <c r="AC40" s="395"/>
      <c r="AD40" s="395"/>
      <c r="AE40" s="395"/>
      <c r="AF40" s="395"/>
      <c r="AG40" s="395"/>
      <c r="AH40" s="395"/>
      <c r="AI40" s="395"/>
      <c r="AJ40" s="395"/>
      <c r="AK40" s="8"/>
      <c r="AL40" s="8"/>
      <c r="AM40" s="8"/>
      <c r="AN40" s="8"/>
    </row>
    <row r="41" spans="3:40" outlineLevel="1">
      <c r="C41" s="266"/>
      <c r="D41" s="266"/>
      <c r="E41" s="266"/>
      <c r="F41" s="266"/>
      <c r="G41" s="266"/>
      <c r="H41" s="266"/>
      <c r="I41" s="266"/>
      <c r="J41" s="266"/>
      <c r="K41" s="266"/>
      <c r="L41" s="266"/>
      <c r="M41" s="266"/>
      <c r="N41" s="266"/>
      <c r="O41" s="266"/>
      <c r="P41" s="266"/>
      <c r="Q41" s="266"/>
      <c r="R41" s="266"/>
      <c r="S41" s="266"/>
      <c r="T41" s="266"/>
      <c r="U41" s="266"/>
      <c r="V41" s="266"/>
      <c r="W41" s="266"/>
      <c r="X41" s="266"/>
      <c r="Y41" s="266"/>
      <c r="Z41" s="266"/>
      <c r="AA41" s="266"/>
      <c r="AB41" s="266"/>
      <c r="AC41" s="266"/>
      <c r="AD41" s="266"/>
      <c r="AE41" s="266"/>
      <c r="AF41" s="266"/>
      <c r="AG41" s="266"/>
      <c r="AH41" s="266"/>
      <c r="AI41" s="266"/>
      <c r="AJ41" s="266"/>
      <c r="AK41" s="266"/>
      <c r="AL41" s="266"/>
      <c r="AM41" s="266"/>
      <c r="AN41" s="266"/>
    </row>
    <row r="42" spans="3:40" outlineLevel="1">
      <c r="C42" s="11" t="s">
        <v>687</v>
      </c>
      <c r="E42" s="266"/>
      <c r="F42" s="266"/>
      <c r="G42" s="266"/>
      <c r="H42" s="266"/>
      <c r="I42" s="266"/>
      <c r="J42" s="266"/>
      <c r="K42" s="266"/>
      <c r="L42" s="266"/>
      <c r="M42" s="266"/>
      <c r="N42" s="266"/>
      <c r="O42" s="266"/>
      <c r="P42" s="266"/>
      <c r="Q42" s="266"/>
      <c r="R42" s="266"/>
      <c r="S42" s="266"/>
      <c r="T42" s="266"/>
      <c r="U42" s="266"/>
      <c r="V42" s="266"/>
      <c r="W42" s="266"/>
      <c r="X42" s="266"/>
      <c r="Y42" s="266"/>
      <c r="Z42" s="266"/>
      <c r="AA42" s="266"/>
      <c r="AB42" s="266"/>
      <c r="AC42" s="266"/>
      <c r="AD42" s="266"/>
      <c r="AE42" s="266"/>
      <c r="AF42" s="266"/>
      <c r="AG42" s="266"/>
      <c r="AH42" s="266"/>
      <c r="AI42" s="266"/>
      <c r="AJ42" s="266"/>
      <c r="AK42" s="266"/>
      <c r="AL42" s="266"/>
      <c r="AM42" s="266"/>
      <c r="AN42" s="266"/>
    </row>
    <row r="43" spans="3:40" outlineLevel="2">
      <c r="C43" s="11"/>
      <c r="D43" s="146"/>
      <c r="E43" s="266"/>
      <c r="F43" s="266"/>
      <c r="G43" s="266"/>
      <c r="H43" s="266"/>
      <c r="I43" s="266"/>
      <c r="J43" s="266"/>
      <c r="K43" s="266"/>
      <c r="L43" s="266"/>
      <c r="M43" s="266"/>
      <c r="N43" s="266"/>
      <c r="O43" s="266"/>
      <c r="P43" s="266"/>
      <c r="Q43" s="266"/>
      <c r="R43" s="266"/>
      <c r="S43" s="266"/>
      <c r="T43" s="266"/>
      <c r="U43" s="266"/>
      <c r="V43" s="266"/>
      <c r="W43" s="266"/>
      <c r="X43" s="266"/>
      <c r="Y43" s="266"/>
      <c r="Z43" s="266"/>
      <c r="AA43" s="266"/>
      <c r="AB43" s="266"/>
      <c r="AC43" s="266"/>
      <c r="AD43" s="266"/>
      <c r="AE43" s="266"/>
      <c r="AF43" s="266"/>
      <c r="AG43" s="266"/>
      <c r="AH43" s="266"/>
      <c r="AI43" s="266"/>
      <c r="AJ43" s="266"/>
      <c r="AK43" s="266"/>
      <c r="AL43" s="266"/>
      <c r="AM43" s="266"/>
      <c r="AN43" s="266"/>
    </row>
    <row r="44" spans="3:40" outlineLevel="2">
      <c r="C44" s="11" t="s">
        <v>688</v>
      </c>
      <c r="E44" s="266"/>
      <c r="F44" s="266"/>
      <c r="G44" s="266"/>
      <c r="H44" s="266"/>
      <c r="I44" s="266"/>
      <c r="J44" s="266"/>
      <c r="K44" s="266"/>
      <c r="L44" s="266"/>
      <c r="M44" s="266"/>
      <c r="N44" s="266"/>
      <c r="O44" s="266"/>
      <c r="P44" s="266"/>
      <c r="Q44" s="266"/>
      <c r="R44" s="266"/>
      <c r="S44" s="266"/>
      <c r="T44" s="266"/>
      <c r="U44" s="266"/>
      <c r="V44" s="266"/>
      <c r="W44" s="266"/>
      <c r="X44" s="266"/>
      <c r="Y44" s="266"/>
      <c r="Z44" s="266"/>
      <c r="AA44" s="266"/>
      <c r="AB44" s="266"/>
      <c r="AC44" s="266"/>
      <c r="AD44" s="266"/>
      <c r="AE44" s="266"/>
      <c r="AF44" s="266"/>
      <c r="AG44" s="266"/>
      <c r="AH44" s="266"/>
      <c r="AI44" s="266"/>
      <c r="AJ44" s="266"/>
      <c r="AK44" s="266"/>
      <c r="AL44" s="266"/>
      <c r="AM44" s="266"/>
      <c r="AN44" s="266"/>
    </row>
    <row r="45" spans="3:40" outlineLevel="3">
      <c r="C45" s="320" t="str">
        <f>Flags!C72</f>
        <v>Cons + Ops Flag</v>
      </c>
      <c r="D45" s="266"/>
      <c r="E45" s="32" t="str">
        <f>Flags!E72</f>
        <v>Flag</v>
      </c>
      <c r="F45" s="23">
        <f>Flags!F72</f>
        <v>30</v>
      </c>
      <c r="G45" s="25">
        <f>Flags!G72</f>
        <v>1</v>
      </c>
      <c r="H45" s="25">
        <f>Flags!H72</f>
        <v>1</v>
      </c>
      <c r="I45" s="25">
        <f>Flags!I72</f>
        <v>1</v>
      </c>
      <c r="J45" s="25">
        <f>Flags!J72</f>
        <v>1</v>
      </c>
      <c r="K45" s="25">
        <f>Flags!K72</f>
        <v>1</v>
      </c>
      <c r="L45" s="25">
        <f>Flags!L72</f>
        <v>1</v>
      </c>
      <c r="M45" s="25">
        <f>Flags!M72</f>
        <v>1</v>
      </c>
      <c r="N45" s="25">
        <f>Flags!N72</f>
        <v>1</v>
      </c>
      <c r="O45" s="25">
        <f>Flags!O72</f>
        <v>1</v>
      </c>
      <c r="P45" s="25">
        <f>Flags!P72</f>
        <v>1</v>
      </c>
      <c r="Q45" s="25">
        <f>Flags!Q72</f>
        <v>1</v>
      </c>
      <c r="R45" s="25">
        <f>Flags!R72</f>
        <v>1</v>
      </c>
      <c r="S45" s="25">
        <f>Flags!S72</f>
        <v>1</v>
      </c>
      <c r="T45" s="25">
        <f>Flags!T72</f>
        <v>1</v>
      </c>
      <c r="U45" s="25">
        <f>Flags!U72</f>
        <v>1</v>
      </c>
      <c r="V45" s="25">
        <f>Flags!V72</f>
        <v>1</v>
      </c>
      <c r="W45" s="25">
        <f>Flags!W72</f>
        <v>1</v>
      </c>
      <c r="X45" s="25">
        <f>Flags!X72</f>
        <v>1</v>
      </c>
      <c r="Y45" s="25">
        <f>Flags!Y72</f>
        <v>1</v>
      </c>
      <c r="Z45" s="25">
        <f>Flags!Z72</f>
        <v>1</v>
      </c>
      <c r="AA45" s="25">
        <f>Flags!AA72</f>
        <v>1</v>
      </c>
      <c r="AB45" s="25">
        <f>Flags!AB72</f>
        <v>1</v>
      </c>
      <c r="AC45" s="25">
        <f>Flags!AC72</f>
        <v>1</v>
      </c>
      <c r="AD45" s="25">
        <f>Flags!AD72</f>
        <v>1</v>
      </c>
      <c r="AE45" s="25">
        <f>Flags!AE72</f>
        <v>1</v>
      </c>
      <c r="AF45" s="25">
        <f>Flags!AF72</f>
        <v>1</v>
      </c>
      <c r="AG45" s="25">
        <f>Flags!AG72</f>
        <v>1</v>
      </c>
      <c r="AH45" s="25">
        <f>Flags!AH72</f>
        <v>1</v>
      </c>
      <c r="AI45" s="25">
        <f>Flags!AI72</f>
        <v>1</v>
      </c>
      <c r="AJ45" s="25">
        <f>Flags!AJ72</f>
        <v>1</v>
      </c>
      <c r="AK45" s="25">
        <f>Flags!AK72</f>
        <v>0</v>
      </c>
      <c r="AL45" s="25">
        <f>Flags!AL72</f>
        <v>0</v>
      </c>
      <c r="AM45" s="25">
        <f>Flags!AM72</f>
        <v>0</v>
      </c>
      <c r="AN45" s="25">
        <f>Flags!AN72</f>
        <v>0</v>
      </c>
    </row>
    <row r="46" spans="3:40" outlineLevel="3">
      <c r="C46" s="11"/>
      <c r="E46" s="266"/>
      <c r="F46" s="266"/>
      <c r="G46" s="266"/>
      <c r="H46" s="266"/>
      <c r="I46" s="266"/>
      <c r="J46" s="266"/>
      <c r="K46" s="266"/>
      <c r="L46" s="266"/>
      <c r="M46" s="266"/>
      <c r="N46" s="266"/>
      <c r="O46" s="266"/>
      <c r="P46" s="266"/>
      <c r="Q46" s="266"/>
      <c r="R46" s="266"/>
      <c r="S46" s="266"/>
      <c r="T46" s="266"/>
      <c r="U46" s="266"/>
      <c r="V46" s="266"/>
      <c r="W46" s="266"/>
      <c r="X46" s="266"/>
      <c r="Y46" s="266"/>
      <c r="Z46" s="266"/>
      <c r="AA46" s="266"/>
      <c r="AB46" s="266"/>
      <c r="AC46" s="266"/>
      <c r="AD46" s="266"/>
      <c r="AE46" s="266"/>
      <c r="AF46" s="266"/>
      <c r="AG46" s="266"/>
      <c r="AH46" s="266"/>
      <c r="AI46" s="266"/>
      <c r="AJ46" s="266"/>
      <c r="AK46" s="266"/>
      <c r="AL46" s="266"/>
      <c r="AM46" s="266"/>
      <c r="AN46" s="266"/>
    </row>
    <row r="47" spans="3:40" outlineLevel="3">
      <c r="C47" s="266" t="s">
        <v>121</v>
      </c>
      <c r="D47" s="266"/>
      <c r="E47" s="32" t="str">
        <f>DFs!E47</f>
        <v>$ 000s</v>
      </c>
      <c r="F47" s="23">
        <f t="shared" ref="F47:F48" si="13">SUM(G47:AN47)</f>
        <v>73286.584292563057</v>
      </c>
      <c r="G47" s="273">
        <f>-DFs!G47</f>
        <v>9009.4527308959987</v>
      </c>
      <c r="H47" s="273">
        <f>-DFs!H47</f>
        <v>1410.9263993250449</v>
      </c>
      <c r="I47" s="273">
        <f>-DFs!I47</f>
        <v>1743.4786958342002</v>
      </c>
      <c r="J47" s="273">
        <f>-DFs!J47</f>
        <v>383.7170416742</v>
      </c>
      <c r="K47" s="273">
        <f>-DFs!K47</f>
        <v>763.15204167420006</v>
      </c>
      <c r="L47" s="273">
        <f>-DFs!L47</f>
        <v>12231.004333370471</v>
      </c>
      <c r="M47" s="273">
        <f>-DFs!M47</f>
        <v>217.172932952944</v>
      </c>
      <c r="N47" s="273">
        <f>-DFs!N47</f>
        <v>8189.1826116742004</v>
      </c>
      <c r="O47" s="273">
        <f>-DFs!O47</f>
        <v>43.404541674200004</v>
      </c>
      <c r="P47" s="273">
        <f>-DFs!P47</f>
        <v>832.01204167420008</v>
      </c>
      <c r="Q47" s="273">
        <f>-DFs!Q47</f>
        <v>850.92721451855948</v>
      </c>
      <c r="R47" s="273">
        <f>-DFs!R47</f>
        <v>1060.8941732043691</v>
      </c>
      <c r="S47" s="273">
        <f>-DFs!S47</f>
        <v>784.16692010620011</v>
      </c>
      <c r="T47" s="273">
        <f>-DFs!T47</f>
        <v>178.80952295294401</v>
      </c>
      <c r="U47" s="273">
        <f>-DFs!U47</f>
        <v>8180.5448516742008</v>
      </c>
      <c r="V47" s="273">
        <f>-DFs!V47</f>
        <v>2559.7566560422538</v>
      </c>
      <c r="W47" s="273">
        <f>-DFs!W47</f>
        <v>772.65545167420009</v>
      </c>
      <c r="X47" s="273">
        <f>-DFs!X47</f>
        <v>351.64980167419998</v>
      </c>
      <c r="Y47" s="273">
        <f>-DFs!Y47</f>
        <v>812.01204167420008</v>
      </c>
      <c r="Z47" s="273">
        <f>-DFs!Z47</f>
        <v>49.327041674200004</v>
      </c>
      <c r="AA47" s="273">
        <f>-DFs!AA47</f>
        <v>668.95719579730371</v>
      </c>
      <c r="AB47" s="273">
        <f>-DFs!AB47</f>
        <v>8558.9919832043688</v>
      </c>
      <c r="AC47" s="273">
        <f>-DFs!AC47</f>
        <v>735.3069201062001</v>
      </c>
      <c r="AD47" s="273">
        <f>-DFs!AD47</f>
        <v>757.22954167420005</v>
      </c>
      <c r="AE47" s="273">
        <f>-DFs!AE47</f>
        <v>383.7170416742</v>
      </c>
      <c r="AF47" s="273">
        <f>-DFs!AF47</f>
        <v>3244.969936186254</v>
      </c>
      <c r="AG47" s="273">
        <f>-DFs!AG47</f>
        <v>52.9079516742</v>
      </c>
      <c r="AH47" s="273">
        <f>-DFs!AH47</f>
        <v>1983.1910029529438</v>
      </c>
      <c r="AI47" s="273">
        <f>-DFs!AI47</f>
        <v>6413.6611316742001</v>
      </c>
      <c r="AJ47" s="273">
        <f>-DFs!AJ47</f>
        <v>63.404541674200004</v>
      </c>
      <c r="AK47" s="273">
        <f>-DFs!AK47</f>
        <v>0</v>
      </c>
      <c r="AL47" s="273">
        <f>-DFs!AL47</f>
        <v>0</v>
      </c>
      <c r="AM47" s="273">
        <f>-DFs!AM47</f>
        <v>0</v>
      </c>
      <c r="AN47" s="273">
        <f>-DFs!AN47</f>
        <v>0</v>
      </c>
    </row>
    <row r="48" spans="3:40" outlineLevel="3">
      <c r="C48" s="266" t="s">
        <v>689</v>
      </c>
      <c r="D48" s="266"/>
      <c r="E48" s="32" t="str">
        <f>DFs!E48</f>
        <v>$ 000s</v>
      </c>
      <c r="F48" s="23">
        <f t="shared" ca="1" si="13"/>
        <v>537686.56238789344</v>
      </c>
      <c r="G48" s="273">
        <f ca="1">-DFs!G40</f>
        <v>15824.479340759093</v>
      </c>
      <c r="H48" s="273">
        <f ca="1">-DFs!H40</f>
        <v>16558.896777386326</v>
      </c>
      <c r="I48" s="273">
        <f ca="1">-DFs!I40</f>
        <v>17000.823430964072</v>
      </c>
      <c r="J48" s="273">
        <f ca="1">-DFs!J40</f>
        <v>17371.108370351143</v>
      </c>
      <c r="K48" s="273">
        <f ca="1">-DFs!K40</f>
        <v>17423.764539645937</v>
      </c>
      <c r="L48" s="273">
        <f ca="1">-DFs!L40</f>
        <v>17544.075520375573</v>
      </c>
      <c r="M48" s="273">
        <f ca="1">-DFs!M40</f>
        <v>18476.669625966304</v>
      </c>
      <c r="N48" s="273">
        <f ca="1">-DFs!N40</f>
        <v>17683.235928414168</v>
      </c>
      <c r="O48" s="273">
        <f ca="1">-DFs!O40</f>
        <v>17682.114610757362</v>
      </c>
      <c r="P48" s="273">
        <f ca="1">-DFs!P40</f>
        <v>17766.050958875559</v>
      </c>
      <c r="Q48" s="273">
        <f ca="1">-DFs!Q40</f>
        <v>17786.989367772672</v>
      </c>
      <c r="R48" s="273">
        <f ca="1">-DFs!R40</f>
        <v>17806.218769252977</v>
      </c>
      <c r="S48" s="273">
        <f ca="1">-DFs!S40</f>
        <v>17823.816090227585</v>
      </c>
      <c r="T48" s="273">
        <f ca="1">-DFs!T40</f>
        <v>17841.874094682855</v>
      </c>
      <c r="U48" s="273">
        <f ca="1">-DFs!U40</f>
        <v>17880.691807455227</v>
      </c>
      <c r="V48" s="273">
        <f ca="1">-DFs!V40</f>
        <v>17894.665108544632</v>
      </c>
      <c r="W48" s="273">
        <f ca="1">-DFs!W40</f>
        <v>17901.071060996619</v>
      </c>
      <c r="X48" s="273">
        <f ca="1">-DFs!X40</f>
        <v>17919.290232274809</v>
      </c>
      <c r="Y48" s="273">
        <f ca="1">-DFs!Y40</f>
        <v>18327.509914419854</v>
      </c>
      <c r="Z48" s="273">
        <f ca="1">-DFs!Z40</f>
        <v>18344.841594598049</v>
      </c>
      <c r="AA48" s="273">
        <f ca="1">-DFs!AA40</f>
        <v>18367.734736175982</v>
      </c>
      <c r="AB48" s="273">
        <f ca="1">-DFs!AB40</f>
        <v>18405.927543043617</v>
      </c>
      <c r="AC48" s="273">
        <f ca="1">-DFs!AC40</f>
        <v>18404.511288450074</v>
      </c>
      <c r="AD48" s="273">
        <f ca="1">-DFs!AD40</f>
        <v>18423.969073017677</v>
      </c>
      <c r="AE48" s="273">
        <f ca="1">-DFs!AE40</f>
        <v>18442.364896695868</v>
      </c>
      <c r="AF48" s="273">
        <f ca="1">-DFs!AF40</f>
        <v>18477.523506741141</v>
      </c>
      <c r="AG48" s="273">
        <f ca="1">-DFs!AG40</f>
        <v>18542.39797265911</v>
      </c>
      <c r="AH48" s="273">
        <f ca="1">-DFs!AH40</f>
        <v>18566.885528374976</v>
      </c>
      <c r="AI48" s="273">
        <f ca="1">-DFs!AI40</f>
        <v>18596.806854780501</v>
      </c>
      <c r="AJ48" s="273">
        <f ca="1">-DFs!AJ40</f>
        <v>18600.253844233692</v>
      </c>
      <c r="AK48" s="273">
        <f ca="1">-DFs!AK40</f>
        <v>0</v>
      </c>
      <c r="AL48" s="273">
        <f ca="1">-DFs!AL40</f>
        <v>0</v>
      </c>
      <c r="AM48" s="273">
        <f ca="1">-DFs!AM40</f>
        <v>0</v>
      </c>
      <c r="AN48" s="273">
        <f>-DFs!AN40</f>
        <v>0</v>
      </c>
    </row>
    <row r="49" spans="1:40" outlineLevel="3">
      <c r="A49" s="266"/>
      <c r="B49" s="266"/>
      <c r="C49" s="266" t="s">
        <v>690</v>
      </c>
      <c r="D49" s="266"/>
      <c r="E49" s="32" t="str">
        <f>DFs!E49</f>
        <v>$ 000s</v>
      </c>
      <c r="F49" s="23">
        <f t="shared" ref="F49" si="14">SUM(G49:AN49)</f>
        <v>36456.504633005454</v>
      </c>
      <c r="G49" s="273">
        <f>-DFs!G60</f>
        <v>0</v>
      </c>
      <c r="H49" s="273">
        <f>-DFs!H60</f>
        <v>0</v>
      </c>
      <c r="I49" s="273">
        <f>-DFs!I60</f>
        <v>22.884310585685178</v>
      </c>
      <c r="J49" s="273">
        <f>-DFs!J60</f>
        <v>72.053827437158276</v>
      </c>
      <c r="K49" s="273">
        <f>-DFs!K60</f>
        <v>139.53091082410057</v>
      </c>
      <c r="L49" s="273">
        <f>-DFs!L60</f>
        <v>594.61204565118589</v>
      </c>
      <c r="M49" s="273">
        <f>-DFs!M60</f>
        <v>408.23945179560337</v>
      </c>
      <c r="N49" s="273">
        <f>-DFs!N60</f>
        <v>513.92216117724206</v>
      </c>
      <c r="O49" s="273">
        <f>-DFs!O60</f>
        <v>426.02171899146708</v>
      </c>
      <c r="P49" s="273">
        <f>-DFs!P60</f>
        <v>416.09956507064663</v>
      </c>
      <c r="Q49" s="273">
        <f>-DFs!Q60</f>
        <v>467.46933695780581</v>
      </c>
      <c r="R49" s="273">
        <f>-DFs!R60</f>
        <v>515.46962401239261</v>
      </c>
      <c r="S49" s="273">
        <f>-DFs!S60</f>
        <v>1095.8312275820749</v>
      </c>
      <c r="T49" s="273">
        <f>-DFs!T60</f>
        <v>1399.9248853106196</v>
      </c>
      <c r="U49" s="273">
        <f>-DFs!U60</f>
        <v>1193.776093837999</v>
      </c>
      <c r="V49" s="273">
        <f>-DFs!V60</f>
        <v>1471.2916481386703</v>
      </c>
      <c r="W49" s="273">
        <f>-DFs!W60</f>
        <v>1467.1656788679866</v>
      </c>
      <c r="X49" s="273">
        <f>-DFs!X60</f>
        <v>1557.8374085797509</v>
      </c>
      <c r="Y49" s="273">
        <f>-DFs!Y60</f>
        <v>1494.3787613802472</v>
      </c>
      <c r="Z49" s="273">
        <f>-DFs!Z60</f>
        <v>2113.4845274971044</v>
      </c>
      <c r="AA49" s="273">
        <f>-DFs!AA60</f>
        <v>2167.7863889006931</v>
      </c>
      <c r="AB49" s="273">
        <f>-DFs!AB60</f>
        <v>1934.1278525401046</v>
      </c>
      <c r="AC49" s="273">
        <f>-DFs!AC60</f>
        <v>1711.9579165700106</v>
      </c>
      <c r="AD49" s="273">
        <f>-DFs!AD60</f>
        <v>1759.9756661364365</v>
      </c>
      <c r="AE49" s="273">
        <f>-DFs!AE60</f>
        <v>1805.7709786412724</v>
      </c>
      <c r="AF49" s="273">
        <f>-DFs!AF60</f>
        <v>1996.2617253262147</v>
      </c>
      <c r="AG49" s="273">
        <f>-DFs!AG60</f>
        <v>2519.2515572194047</v>
      </c>
      <c r="AH49" s="273">
        <f>-DFs!AH60</f>
        <v>2574.6114087161445</v>
      </c>
      <c r="AI49" s="273">
        <f>-DFs!AI60</f>
        <v>2375.431209969569</v>
      </c>
      <c r="AJ49" s="273">
        <f>-DFs!AJ60</f>
        <v>2241.3367452878674</v>
      </c>
      <c r="AK49" s="273">
        <f>-DFs!AK60</f>
        <v>0</v>
      </c>
      <c r="AL49" s="273">
        <f>-DFs!AL60</f>
        <v>0</v>
      </c>
      <c r="AM49" s="273">
        <f>-DFs!AM60</f>
        <v>0</v>
      </c>
      <c r="AN49" s="273">
        <f>-DFs!AN60</f>
        <v>0</v>
      </c>
    </row>
    <row r="50" spans="1:40" s="143" customFormat="1" outlineLevel="3">
      <c r="A50" s="266"/>
      <c r="B50" s="266"/>
      <c r="C50" s="266" t="s">
        <v>691</v>
      </c>
      <c r="D50" s="266"/>
      <c r="E50" s="144" t="str">
        <f>DFs!E49</f>
        <v>$ 000s</v>
      </c>
      <c r="F50" s="145">
        <f ca="1">SUM(G50:AN50)</f>
        <v>647429.65131346195</v>
      </c>
      <c r="G50" s="273">
        <f t="shared" ref="G50:AN50" ca="1" si="15">SUM(G47:G49)</f>
        <v>24833.932071655094</v>
      </c>
      <c r="H50" s="273">
        <f t="shared" ca="1" si="15"/>
        <v>17969.823176711372</v>
      </c>
      <c r="I50" s="273">
        <f t="shared" ca="1" si="15"/>
        <v>18767.18643738396</v>
      </c>
      <c r="J50" s="273">
        <f t="shared" ca="1" si="15"/>
        <v>17826.879239462502</v>
      </c>
      <c r="K50" s="273">
        <f t="shared" ca="1" si="15"/>
        <v>18326.447492144238</v>
      </c>
      <c r="L50" s="273">
        <f t="shared" ca="1" si="15"/>
        <v>30369.691899397229</v>
      </c>
      <c r="M50" s="273">
        <f t="shared" ca="1" si="15"/>
        <v>19102.08201071485</v>
      </c>
      <c r="N50" s="273">
        <f t="shared" ca="1" si="15"/>
        <v>26386.34070126561</v>
      </c>
      <c r="O50" s="273">
        <f t="shared" ca="1" si="15"/>
        <v>18151.540871423029</v>
      </c>
      <c r="P50" s="273">
        <f t="shared" ca="1" si="15"/>
        <v>19014.162565620405</v>
      </c>
      <c r="Q50" s="273">
        <f t="shared" ca="1" si="15"/>
        <v>19105.385919249038</v>
      </c>
      <c r="R50" s="273">
        <f t="shared" ca="1" si="15"/>
        <v>19382.582566469737</v>
      </c>
      <c r="S50" s="273">
        <f t="shared" ca="1" si="15"/>
        <v>19703.81423791586</v>
      </c>
      <c r="T50" s="273">
        <f t="shared" ca="1" si="15"/>
        <v>19420.608502946416</v>
      </c>
      <c r="U50" s="273">
        <f t="shared" ca="1" si="15"/>
        <v>27255.012752967425</v>
      </c>
      <c r="V50" s="273">
        <f t="shared" ca="1" si="15"/>
        <v>21925.713412725556</v>
      </c>
      <c r="W50" s="273">
        <f t="shared" ca="1" si="15"/>
        <v>20140.892191538805</v>
      </c>
      <c r="X50" s="273">
        <f t="shared" ca="1" si="15"/>
        <v>19828.777442528761</v>
      </c>
      <c r="Y50" s="273">
        <f t="shared" ca="1" si="15"/>
        <v>20633.900717474302</v>
      </c>
      <c r="Z50" s="273">
        <f t="shared" ca="1" si="15"/>
        <v>20507.653163769355</v>
      </c>
      <c r="AA50" s="273">
        <f t="shared" ca="1" si="15"/>
        <v>21204.478320873975</v>
      </c>
      <c r="AB50" s="273">
        <f t="shared" ca="1" si="15"/>
        <v>28899.047378788087</v>
      </c>
      <c r="AC50" s="273">
        <f t="shared" ca="1" si="15"/>
        <v>20851.776125126285</v>
      </c>
      <c r="AD50" s="273">
        <f t="shared" ca="1" si="15"/>
        <v>20941.174280828316</v>
      </c>
      <c r="AE50" s="273">
        <f t="shared" ca="1" si="15"/>
        <v>20631.85291701134</v>
      </c>
      <c r="AF50" s="273">
        <f t="shared" ca="1" si="15"/>
        <v>23718.75516825361</v>
      </c>
      <c r="AG50" s="273">
        <f t="shared" ca="1" si="15"/>
        <v>21114.557481552714</v>
      </c>
      <c r="AH50" s="273">
        <f t="shared" ca="1" si="15"/>
        <v>23124.687940044063</v>
      </c>
      <c r="AI50" s="273">
        <f t="shared" ca="1" si="15"/>
        <v>27385.899196424267</v>
      </c>
      <c r="AJ50" s="273">
        <f t="shared" ca="1" si="15"/>
        <v>20904.995131195759</v>
      </c>
      <c r="AK50" s="273">
        <f t="shared" ca="1" si="15"/>
        <v>0</v>
      </c>
      <c r="AL50" s="273">
        <f t="shared" ca="1" si="15"/>
        <v>0</v>
      </c>
      <c r="AM50" s="273">
        <f t="shared" ca="1" si="15"/>
        <v>0</v>
      </c>
      <c r="AN50" s="273">
        <f t="shared" si="15"/>
        <v>0</v>
      </c>
    </row>
    <row r="51" spans="1:40" outlineLevel="3">
      <c r="A51" s="266"/>
      <c r="B51" s="266"/>
      <c r="C51" s="11"/>
      <c r="E51" s="266"/>
      <c r="F51" s="278"/>
      <c r="G51" s="266"/>
      <c r="H51" s="266"/>
      <c r="I51" s="266"/>
      <c r="J51" s="266"/>
      <c r="K51" s="266"/>
      <c r="L51" s="266"/>
      <c r="M51" s="266"/>
      <c r="N51" s="266"/>
      <c r="O51" s="266"/>
      <c r="P51" s="266"/>
      <c r="Q51" s="266"/>
      <c r="R51" s="266"/>
      <c r="S51" s="266"/>
      <c r="T51" s="266"/>
      <c r="U51" s="266"/>
      <c r="V51" s="266"/>
      <c r="W51" s="266"/>
      <c r="X51" s="266"/>
      <c r="Y51" s="266"/>
      <c r="Z51" s="266"/>
      <c r="AA51" s="266"/>
      <c r="AB51" s="266"/>
      <c r="AC51" s="266"/>
      <c r="AD51" s="266"/>
      <c r="AE51" s="266"/>
      <c r="AF51" s="266"/>
      <c r="AG51" s="266"/>
      <c r="AH51" s="266"/>
      <c r="AI51" s="266"/>
      <c r="AJ51" s="266"/>
      <c r="AK51" s="266"/>
      <c r="AL51" s="266"/>
      <c r="AM51" s="266"/>
      <c r="AN51" s="266"/>
    </row>
    <row r="52" spans="1:40" outlineLevel="2">
      <c r="A52" s="266"/>
      <c r="B52" s="266"/>
      <c r="C52" s="11"/>
      <c r="E52" s="266"/>
      <c r="F52" s="266"/>
      <c r="G52" s="266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6"/>
      <c r="AE52" s="266"/>
      <c r="AF52" s="266"/>
      <c r="AG52" s="266"/>
      <c r="AH52" s="266"/>
      <c r="AI52" s="266"/>
      <c r="AJ52" s="266"/>
      <c r="AK52" s="266"/>
      <c r="AL52" s="266"/>
      <c r="AM52" s="266"/>
      <c r="AN52" s="266"/>
    </row>
    <row r="53" spans="1:40" outlineLevel="2">
      <c r="A53" s="266"/>
      <c r="B53" s="266"/>
      <c r="C53" s="11" t="s">
        <v>692</v>
      </c>
      <c r="E53" s="266"/>
      <c r="F53" s="266"/>
      <c r="G53" s="266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266"/>
      <c r="AE53" s="266"/>
      <c r="AF53" s="266"/>
      <c r="AG53" s="266"/>
      <c r="AH53" s="266"/>
      <c r="AI53" s="266"/>
      <c r="AJ53" s="266"/>
      <c r="AK53" s="266"/>
      <c r="AL53" s="266"/>
      <c r="AM53" s="266"/>
      <c r="AN53" s="266"/>
    </row>
    <row r="54" spans="1:40" outlineLevel="3">
      <c r="A54" s="266"/>
      <c r="B54" s="266"/>
      <c r="C54" s="266" t="s">
        <v>693</v>
      </c>
      <c r="E54" s="266"/>
      <c r="F54" s="266"/>
      <c r="G54" s="278">
        <f t="shared" ref="G54:AN54" si="16">(F54+G$45)*G$45</f>
        <v>1</v>
      </c>
      <c r="H54" s="278">
        <f t="shared" si="16"/>
        <v>2</v>
      </c>
      <c r="I54" s="278">
        <f t="shared" si="16"/>
        <v>3</v>
      </c>
      <c r="J54" s="278">
        <f t="shared" si="16"/>
        <v>4</v>
      </c>
      <c r="K54" s="278">
        <f t="shared" si="16"/>
        <v>5</v>
      </c>
      <c r="L54" s="278">
        <f t="shared" si="16"/>
        <v>6</v>
      </c>
      <c r="M54" s="278">
        <f t="shared" si="16"/>
        <v>7</v>
      </c>
      <c r="N54" s="278">
        <f t="shared" si="16"/>
        <v>8</v>
      </c>
      <c r="O54" s="278">
        <f t="shared" si="16"/>
        <v>9</v>
      </c>
      <c r="P54" s="278">
        <f t="shared" si="16"/>
        <v>10</v>
      </c>
      <c r="Q54" s="278">
        <f t="shared" si="16"/>
        <v>11</v>
      </c>
      <c r="R54" s="278">
        <f t="shared" si="16"/>
        <v>12</v>
      </c>
      <c r="S54" s="278">
        <f t="shared" si="16"/>
        <v>13</v>
      </c>
      <c r="T54" s="278">
        <f t="shared" si="16"/>
        <v>14</v>
      </c>
      <c r="U54" s="278">
        <f t="shared" si="16"/>
        <v>15</v>
      </c>
      <c r="V54" s="278">
        <f t="shared" si="16"/>
        <v>16</v>
      </c>
      <c r="W54" s="278">
        <f t="shared" si="16"/>
        <v>17</v>
      </c>
      <c r="X54" s="278">
        <f t="shared" si="16"/>
        <v>18</v>
      </c>
      <c r="Y54" s="278">
        <f t="shared" si="16"/>
        <v>19</v>
      </c>
      <c r="Z54" s="278">
        <f t="shared" si="16"/>
        <v>20</v>
      </c>
      <c r="AA54" s="278">
        <f t="shared" si="16"/>
        <v>21</v>
      </c>
      <c r="AB54" s="278">
        <f t="shared" si="16"/>
        <v>22</v>
      </c>
      <c r="AC54" s="278">
        <f t="shared" si="16"/>
        <v>23</v>
      </c>
      <c r="AD54" s="278">
        <f t="shared" si="16"/>
        <v>24</v>
      </c>
      <c r="AE54" s="278">
        <f t="shared" si="16"/>
        <v>25</v>
      </c>
      <c r="AF54" s="278">
        <f t="shared" si="16"/>
        <v>26</v>
      </c>
      <c r="AG54" s="278">
        <f t="shared" si="16"/>
        <v>27</v>
      </c>
      <c r="AH54" s="278">
        <f t="shared" si="16"/>
        <v>28</v>
      </c>
      <c r="AI54" s="278">
        <f t="shared" si="16"/>
        <v>29</v>
      </c>
      <c r="AJ54" s="278">
        <f t="shared" si="16"/>
        <v>30</v>
      </c>
      <c r="AK54" s="278">
        <f t="shared" si="16"/>
        <v>0</v>
      </c>
      <c r="AL54" s="278">
        <f t="shared" si="16"/>
        <v>0</v>
      </c>
      <c r="AM54" s="278">
        <f t="shared" si="16"/>
        <v>0</v>
      </c>
      <c r="AN54" s="278">
        <f t="shared" si="16"/>
        <v>0</v>
      </c>
    </row>
    <row r="55" spans="1:40" outlineLevel="3">
      <c r="A55" s="266"/>
      <c r="B55" s="266"/>
      <c r="C55" s="266" t="str">
        <f>Inputs!$C$356&amp;" - selecionada"</f>
        <v>Taxa de desconto Value for Money - selecionada</v>
      </c>
      <c r="D55">
        <f>Inputs!D356</f>
        <v>0</v>
      </c>
      <c r="E55" s="41" t="s">
        <v>169</v>
      </c>
      <c r="F55" s="266"/>
      <c r="G55" s="26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66"/>
      <c r="AE55" s="266"/>
      <c r="AF55" s="266"/>
      <c r="AG55" s="266"/>
      <c r="AH55" s="266"/>
      <c r="AI55" s="266"/>
      <c r="AJ55" s="266"/>
      <c r="AK55" s="266"/>
      <c r="AL55" s="266"/>
      <c r="AM55" s="266"/>
      <c r="AN55" s="266"/>
    </row>
    <row r="56" spans="1:40" outlineLevel="3">
      <c r="A56" s="266"/>
      <c r="B56" s="266"/>
      <c r="C56" s="266" t="str">
        <f>Inputs!$C$357</f>
        <v>Indexador</v>
      </c>
      <c r="D56" t="str">
        <f>Inputs!$D$357</f>
        <v>SELIC</v>
      </c>
      <c r="E56" s="41" t="s">
        <v>169</v>
      </c>
      <c r="F56" s="266"/>
      <c r="G56" s="266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6"/>
      <c r="AE56" s="266"/>
      <c r="AF56" s="266"/>
      <c r="AG56" s="266"/>
      <c r="AH56" s="266"/>
      <c r="AI56" s="266"/>
      <c r="AJ56" s="266"/>
      <c r="AK56" s="266"/>
      <c r="AL56" s="266"/>
      <c r="AM56" s="266"/>
      <c r="AN56" s="266"/>
    </row>
    <row r="57" spans="1:40" outlineLevel="3">
      <c r="A57" s="266"/>
      <c r="B57" s="266"/>
      <c r="C57" s="11"/>
      <c r="D57" s="32"/>
      <c r="E57" s="266"/>
      <c r="F57" s="266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6"/>
      <c r="AE57" s="266"/>
      <c r="AF57" s="266"/>
      <c r="AG57" s="266"/>
      <c r="AH57" s="266"/>
      <c r="AI57" s="266"/>
      <c r="AJ57" s="266"/>
      <c r="AK57" s="266"/>
      <c r="AL57" s="266"/>
      <c r="AM57" s="266"/>
      <c r="AN57" s="266"/>
    </row>
    <row r="58" spans="1:40" outlineLevel="3">
      <c r="A58" s="266"/>
      <c r="B58" s="266"/>
      <c r="C58" s="266" t="str">
        <f>Inputs!$C$359</f>
        <v>Taxa Social</v>
      </c>
      <c r="D58" s="473">
        <f>Inputs!$D$359</f>
        <v>0.09</v>
      </c>
      <c r="E58" s="41" t="s">
        <v>23</v>
      </c>
      <c r="F58" s="266"/>
      <c r="G58" s="473"/>
      <c r="H58" s="376"/>
      <c r="I58" s="376"/>
      <c r="J58" s="376"/>
      <c r="K58" s="376"/>
      <c r="L58" s="376"/>
      <c r="M58" s="376"/>
      <c r="N58" s="376"/>
      <c r="O58" s="376"/>
      <c r="P58" s="376"/>
      <c r="Q58" s="376"/>
      <c r="R58" s="376"/>
      <c r="S58" s="376"/>
      <c r="T58" s="376"/>
      <c r="U58" s="376"/>
      <c r="V58" s="376"/>
      <c r="W58" s="376"/>
      <c r="X58" s="376"/>
      <c r="Y58" s="376"/>
      <c r="Z58" s="376"/>
      <c r="AA58" s="376"/>
      <c r="AB58" s="376"/>
      <c r="AC58" s="376"/>
      <c r="AD58" s="376"/>
      <c r="AE58" s="376"/>
      <c r="AF58" s="376"/>
      <c r="AG58" s="376"/>
      <c r="AH58" s="376"/>
      <c r="AI58" s="376"/>
      <c r="AJ58" s="376"/>
      <c r="AK58" s="376"/>
      <c r="AL58" s="376"/>
      <c r="AM58" s="376"/>
      <c r="AN58" s="376"/>
    </row>
    <row r="59" spans="1:40" outlineLevel="3">
      <c r="A59" s="266"/>
      <c r="B59" s="266"/>
      <c r="C59" s="11"/>
      <c r="E59" s="266"/>
      <c r="F59" s="266"/>
      <c r="G59" s="473"/>
      <c r="H59" s="376"/>
      <c r="I59" s="376"/>
      <c r="J59" s="376"/>
      <c r="K59" s="376"/>
      <c r="L59" s="376"/>
      <c r="M59" s="376"/>
      <c r="N59" s="376"/>
      <c r="O59" s="376"/>
      <c r="P59" s="376"/>
      <c r="Q59" s="376"/>
      <c r="R59" s="376"/>
      <c r="S59" s="376"/>
      <c r="T59" s="376"/>
      <c r="U59" s="376"/>
      <c r="V59" s="376"/>
      <c r="W59" s="376"/>
      <c r="X59" s="376"/>
      <c r="Y59" s="376"/>
      <c r="Z59" s="376"/>
      <c r="AA59" s="376"/>
      <c r="AB59" s="376"/>
      <c r="AC59" s="376"/>
      <c r="AD59" s="376"/>
      <c r="AE59" s="376"/>
      <c r="AF59" s="376"/>
      <c r="AG59" s="376"/>
      <c r="AH59" s="376"/>
      <c r="AI59" s="376"/>
      <c r="AJ59" s="376"/>
      <c r="AK59" s="376"/>
      <c r="AL59" s="376"/>
      <c r="AM59" s="376"/>
      <c r="AN59" s="376"/>
    </row>
    <row r="60" spans="1:40" outlineLevel="3">
      <c r="A60" s="266"/>
      <c r="B60" s="266"/>
      <c r="C60" s="266" t="s">
        <v>692</v>
      </c>
      <c r="E60" s="266"/>
      <c r="F60" s="266"/>
      <c r="G60" s="473">
        <f t="shared" ref="G60:AN60" si="17">(1/(1+IF($D55&lt;&gt;1,$D58,INDEX(G$19:G$27,MATCH($D56,$C$19:$C$27,0))))^G54)*G$45</f>
        <v>0.9174311926605504</v>
      </c>
      <c r="H60" s="473">
        <f t="shared" si="17"/>
        <v>0.84167999326655996</v>
      </c>
      <c r="I60" s="473">
        <f t="shared" si="17"/>
        <v>0.77218348006106419</v>
      </c>
      <c r="J60" s="473">
        <f t="shared" si="17"/>
        <v>0.7084252110651964</v>
      </c>
      <c r="K60" s="473">
        <f t="shared" si="17"/>
        <v>0.64993138629834524</v>
      </c>
      <c r="L60" s="473">
        <f t="shared" si="17"/>
        <v>0.5962673268792158</v>
      </c>
      <c r="M60" s="473">
        <f t="shared" si="17"/>
        <v>0.54703424484331731</v>
      </c>
      <c r="N60" s="473">
        <f t="shared" si="17"/>
        <v>0.50186627967276809</v>
      </c>
      <c r="O60" s="473">
        <f t="shared" si="17"/>
        <v>0.46042777951630098</v>
      </c>
      <c r="P60" s="473">
        <f t="shared" si="17"/>
        <v>0.42241080689568894</v>
      </c>
      <c r="Q60" s="473">
        <f t="shared" si="17"/>
        <v>0.38753285036301738</v>
      </c>
      <c r="R60" s="473">
        <f t="shared" si="17"/>
        <v>0.35553472510368567</v>
      </c>
      <c r="S60" s="473">
        <f t="shared" si="17"/>
        <v>0.32617864688411524</v>
      </c>
      <c r="T60" s="473">
        <f t="shared" si="17"/>
        <v>0.29924646503129837</v>
      </c>
      <c r="U60" s="473">
        <f t="shared" si="17"/>
        <v>0.27453804131311776</v>
      </c>
      <c r="V60" s="473">
        <f t="shared" si="17"/>
        <v>0.2518697626725851</v>
      </c>
      <c r="W60" s="473">
        <f t="shared" si="17"/>
        <v>0.23107317676383954</v>
      </c>
      <c r="X60" s="473">
        <f t="shared" si="17"/>
        <v>0.21199374015031147</v>
      </c>
      <c r="Y60" s="473">
        <f t="shared" si="17"/>
        <v>0.19448966986267105</v>
      </c>
      <c r="Z60" s="473">
        <f t="shared" si="17"/>
        <v>0.17843088978226704</v>
      </c>
      <c r="AA60" s="473">
        <f t="shared" si="17"/>
        <v>0.16369806402042844</v>
      </c>
      <c r="AB60" s="473">
        <f t="shared" si="17"/>
        <v>0.15018171011048481</v>
      </c>
      <c r="AC60" s="473">
        <f t="shared" si="17"/>
        <v>0.13778138542246313</v>
      </c>
      <c r="AD60" s="473">
        <f t="shared" si="17"/>
        <v>0.12640494075455333</v>
      </c>
      <c r="AE60" s="473">
        <f t="shared" si="17"/>
        <v>0.11596783555463605</v>
      </c>
      <c r="AF60" s="473">
        <f t="shared" si="17"/>
        <v>0.10639250968315234</v>
      </c>
      <c r="AG60" s="473">
        <f t="shared" si="17"/>
        <v>9.7607807048763609E-2</v>
      </c>
      <c r="AH60" s="473">
        <f t="shared" si="17"/>
        <v>8.954844683372809E-2</v>
      </c>
      <c r="AI60" s="473">
        <f t="shared" si="17"/>
        <v>8.2154538379567044E-2</v>
      </c>
      <c r="AJ60" s="473">
        <f t="shared" si="17"/>
        <v>7.5371136128043151E-2</v>
      </c>
      <c r="AK60" s="473">
        <f t="shared" si="17"/>
        <v>0</v>
      </c>
      <c r="AL60" s="473">
        <f t="shared" si="17"/>
        <v>0</v>
      </c>
      <c r="AM60" s="473">
        <f t="shared" si="17"/>
        <v>0</v>
      </c>
      <c r="AN60" s="473">
        <f t="shared" si="17"/>
        <v>0</v>
      </c>
    </row>
    <row r="61" spans="1:40" outlineLevel="2">
      <c r="A61" s="266"/>
      <c r="B61" s="266"/>
      <c r="C61" s="266"/>
      <c r="D61" s="266"/>
      <c r="E61" s="266"/>
      <c r="F61" s="266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6"/>
      <c r="AE61" s="266"/>
      <c r="AF61" s="266"/>
      <c r="AG61" s="266"/>
      <c r="AH61" s="266"/>
      <c r="AI61" s="266"/>
      <c r="AJ61" s="266"/>
      <c r="AK61" s="266"/>
      <c r="AL61" s="266"/>
      <c r="AM61" s="266"/>
      <c r="AN61" s="266"/>
    </row>
    <row r="62" spans="1:40" outlineLevel="2">
      <c r="A62" s="266"/>
      <c r="B62" s="266"/>
      <c r="C62" s="11" t="s">
        <v>694</v>
      </c>
      <c r="D62" s="266"/>
      <c r="E62" s="266"/>
      <c r="F62" s="266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266"/>
      <c r="AE62" s="266"/>
      <c r="AF62" s="266"/>
      <c r="AG62" s="266"/>
      <c r="AH62" s="266"/>
      <c r="AI62" s="266"/>
      <c r="AJ62" s="266"/>
      <c r="AK62" s="266"/>
      <c r="AL62" s="266"/>
      <c r="AM62" s="266"/>
      <c r="AN62" s="266"/>
    </row>
    <row r="63" spans="1:40" outlineLevel="3">
      <c r="A63" s="266"/>
      <c r="B63" s="266"/>
      <c r="C63" s="266" t="str">
        <f>C42</f>
        <v>Obra Pública + Operação Própria</v>
      </c>
      <c r="D63" s="79">
        <f ca="1">SUMPRODUCT(G50:AN50,G$60:AN$60)</f>
        <v>217402.69864399405</v>
      </c>
      <c r="E63" s="266"/>
      <c r="F63" s="278">
        <f ca="1">SUM(G63:AN63)</f>
        <v>217402.69864399405</v>
      </c>
      <c r="G63" s="346">
        <f t="shared" ref="G63:AN63" ca="1" si="18">G60*G50</f>
        <v>22783.423918949626</v>
      </c>
      <c r="H63" s="346">
        <f t="shared" ca="1" si="18"/>
        <v>15124.840650375701</v>
      </c>
      <c r="I63" s="346">
        <f t="shared" ca="1" si="18"/>
        <v>14491.711334173951</v>
      </c>
      <c r="J63" s="346">
        <f t="shared" ca="1" si="18"/>
        <v>12629.01068784999</v>
      </c>
      <c r="K63" s="346">
        <f t="shared" ca="1" si="18"/>
        <v>11910.933424493138</v>
      </c>
      <c r="L63" s="346">
        <f t="shared" ca="1" si="18"/>
        <v>18108.45500699896</v>
      </c>
      <c r="M63" s="346">
        <f t="shared" ca="1" si="18"/>
        <v>10449.493007666515</v>
      </c>
      <c r="N63" s="346">
        <f t="shared" ca="1" si="18"/>
        <v>13242.414641922311</v>
      </c>
      <c r="O63" s="346">
        <f t="shared" ca="1" si="18"/>
        <v>8357.4736582286878</v>
      </c>
      <c r="P63" s="346">
        <f t="shared" ca="1" si="18"/>
        <v>8031.7877517895186</v>
      </c>
      <c r="Q63" s="346">
        <f t="shared" ca="1" si="18"/>
        <v>7403.964662572037</v>
      </c>
      <c r="R63" s="346">
        <f t="shared" ca="1" si="18"/>
        <v>6891.1811645693078</v>
      </c>
      <c r="S63" s="346">
        <f t="shared" ca="1" si="18"/>
        <v>6426.9634665793592</v>
      </c>
      <c r="T63" s="346">
        <f t="shared" ca="1" si="18"/>
        <v>5811.5484432634903</v>
      </c>
      <c r="U63" s="346">
        <f t="shared" ca="1" si="18"/>
        <v>7482.5378171637221</v>
      </c>
      <c r="V63" s="346">
        <f t="shared" ca="1" si="18"/>
        <v>5522.4242336903017</v>
      </c>
      <c r="W63" s="346">
        <f t="shared" ca="1" si="18"/>
        <v>4654.0199415568823</v>
      </c>
      <c r="X63" s="346">
        <f t="shared" ca="1" si="18"/>
        <v>4203.5766926498</v>
      </c>
      <c r="Y63" s="346">
        <f t="shared" ca="1" si="18"/>
        <v>4013.0805385207082</v>
      </c>
      <c r="Z63" s="346">
        <f t="shared" ca="1" si="18"/>
        <v>3659.1988013574896</v>
      </c>
      <c r="AA63" s="346">
        <f t="shared" ca="1" si="18"/>
        <v>3471.1320496902149</v>
      </c>
      <c r="AB63" s="346">
        <f t="shared" ca="1" si="18"/>
        <v>4340.1083559103181</v>
      </c>
      <c r="AC63" s="346">
        <f t="shared" ca="1" si="18"/>
        <v>2872.9866030389394</v>
      </c>
      <c r="AD63" s="346">
        <f t="shared" ca="1" si="18"/>
        <v>2647.0678942988793</v>
      </c>
      <c r="AE63" s="346">
        <f t="shared" ca="1" si="18"/>
        <v>2392.6313262674093</v>
      </c>
      <c r="AF63" s="346">
        <f t="shared" ca="1" si="18"/>
        <v>2523.4978889107419</v>
      </c>
      <c r="AG63" s="346">
        <f t="shared" ca="1" si="18"/>
        <v>2060.9456525794253</v>
      </c>
      <c r="AH63" s="346">
        <f t="shared" ca="1" si="18"/>
        <v>2070.7798885455891</v>
      </c>
      <c r="AI63" s="346">
        <f t="shared" ca="1" si="18"/>
        <v>2249.8759065915915</v>
      </c>
      <c r="AJ63" s="346">
        <f t="shared" ca="1" si="18"/>
        <v>1575.6332337894348</v>
      </c>
      <c r="AK63" s="346">
        <f t="shared" ca="1" si="18"/>
        <v>0</v>
      </c>
      <c r="AL63" s="346">
        <f t="shared" ca="1" si="18"/>
        <v>0</v>
      </c>
      <c r="AM63" s="346">
        <f t="shared" ca="1" si="18"/>
        <v>0</v>
      </c>
      <c r="AN63" s="346">
        <f t="shared" si="18"/>
        <v>0</v>
      </c>
    </row>
    <row r="64" spans="1:40" outlineLevel="3">
      <c r="A64" s="266"/>
      <c r="B64" s="266"/>
      <c r="C64" s="266" t="str">
        <f>C47</f>
        <v>Investimentos</v>
      </c>
      <c r="D64" s="79">
        <f>SUMPRODUCT($G47:$AN47,G$60:AN$60)</f>
        <v>30483.04992705613</v>
      </c>
      <c r="E64" s="266"/>
      <c r="F64" s="266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6"/>
      <c r="AE64" s="266"/>
      <c r="AF64" s="266"/>
      <c r="AG64" s="266"/>
      <c r="AH64" s="266"/>
      <c r="AI64" s="266"/>
      <c r="AJ64" s="266"/>
      <c r="AK64" s="266"/>
      <c r="AL64" s="266"/>
      <c r="AM64" s="266"/>
      <c r="AN64" s="266"/>
    </row>
    <row r="65" spans="3:40" outlineLevel="2">
      <c r="C65" s="266"/>
      <c r="D65" s="266"/>
      <c r="E65" s="266"/>
      <c r="F65" s="266"/>
      <c r="G65" s="266"/>
      <c r="H65" s="266"/>
      <c r="I65" s="266"/>
      <c r="J65" s="266"/>
      <c r="K65" s="266"/>
      <c r="L65" s="266"/>
      <c r="M65" s="266"/>
      <c r="N65" s="266"/>
      <c r="O65" s="266"/>
      <c r="P65" s="266"/>
      <c r="Q65" s="266"/>
      <c r="R65" s="266"/>
      <c r="S65" s="266"/>
      <c r="T65" s="266"/>
      <c r="U65" s="266"/>
      <c r="V65" s="266"/>
      <c r="W65" s="266"/>
      <c r="X65" s="266"/>
      <c r="Y65" s="266"/>
      <c r="Z65" s="266"/>
      <c r="AA65" s="266"/>
      <c r="AB65" s="266"/>
      <c r="AC65" s="266"/>
      <c r="AD65" s="266"/>
      <c r="AE65" s="266"/>
      <c r="AF65" s="266"/>
      <c r="AG65" s="266"/>
      <c r="AH65" s="266"/>
      <c r="AI65" s="266"/>
      <c r="AJ65" s="266"/>
      <c r="AK65" s="266"/>
      <c r="AL65" s="266"/>
      <c r="AM65" s="266"/>
      <c r="AN65" s="266"/>
    </row>
    <row r="66" spans="3:40" outlineLevel="1">
      <c r="C66" s="266"/>
      <c r="D66" s="266"/>
      <c r="E66" s="266"/>
      <c r="F66" s="266"/>
      <c r="G66" s="266"/>
      <c r="H66" s="266"/>
      <c r="I66" s="266"/>
      <c r="J66" s="266"/>
      <c r="K66" s="266"/>
      <c r="L66" s="266"/>
      <c r="M66" s="266"/>
      <c r="N66" s="266"/>
      <c r="O66" s="266"/>
      <c r="P66" s="266"/>
      <c r="Q66" s="266"/>
      <c r="R66" s="266"/>
      <c r="S66" s="266"/>
      <c r="T66" s="266"/>
      <c r="U66" s="266"/>
      <c r="V66" s="266"/>
      <c r="W66" s="266"/>
      <c r="X66" s="266"/>
      <c r="Y66" s="266"/>
      <c r="Z66" s="266"/>
      <c r="AA66" s="266"/>
      <c r="AB66" s="266"/>
      <c r="AC66" s="266"/>
      <c r="AD66" s="266"/>
      <c r="AE66" s="266"/>
      <c r="AF66" s="266"/>
      <c r="AG66" s="266"/>
      <c r="AH66" s="266"/>
      <c r="AI66" s="266"/>
      <c r="AJ66" s="266"/>
      <c r="AK66" s="266"/>
      <c r="AL66" s="266"/>
      <c r="AM66" s="266"/>
      <c r="AN66" s="266"/>
    </row>
    <row r="67" spans="3:40" outlineLevel="1">
      <c r="C67" t="s">
        <v>695</v>
      </c>
      <c r="D67"/>
      <c r="E67" s="76"/>
      <c r="F67" s="266"/>
      <c r="G67" s="266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6"/>
      <c r="S67" s="266"/>
      <c r="T67" s="266"/>
      <c r="U67" s="266"/>
      <c r="V67" s="266"/>
      <c r="W67" s="266"/>
      <c r="X67" s="266"/>
      <c r="Y67" s="266"/>
      <c r="Z67" s="266"/>
      <c r="AA67" s="266"/>
      <c r="AB67" s="266"/>
      <c r="AC67" s="266"/>
      <c r="AD67" s="266"/>
      <c r="AE67" s="266"/>
      <c r="AF67" s="266"/>
      <c r="AG67" s="266"/>
      <c r="AH67" s="266"/>
      <c r="AI67" s="266"/>
      <c r="AJ67" s="266"/>
      <c r="AK67" s="266"/>
      <c r="AL67" s="266"/>
      <c r="AM67" s="266"/>
      <c r="AN67" s="266"/>
    </row>
    <row r="68" spans="3:40" outlineLevel="2">
      <c r="C68"/>
      <c r="D68"/>
      <c r="E68" s="76"/>
      <c r="F68" s="266"/>
      <c r="G68" s="266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6"/>
      <c r="S68" s="266"/>
      <c r="T68" s="266"/>
      <c r="U68" s="266"/>
      <c r="V68" s="266"/>
      <c r="W68" s="266"/>
      <c r="X68" s="266"/>
      <c r="Y68" s="266"/>
      <c r="Z68" s="266"/>
      <c r="AA68" s="266"/>
      <c r="AB68" s="266"/>
      <c r="AC68" s="266"/>
      <c r="AD68" s="266"/>
      <c r="AE68" s="266"/>
      <c r="AF68" s="266"/>
      <c r="AG68" s="266"/>
      <c r="AH68" s="266"/>
      <c r="AI68" s="266"/>
      <c r="AJ68" s="266"/>
      <c r="AK68" s="266"/>
      <c r="AL68" s="266"/>
      <c r="AM68" s="266"/>
      <c r="AN68" s="266"/>
    </row>
    <row r="69" spans="3:40" outlineLevel="2">
      <c r="C69" t="s">
        <v>696</v>
      </c>
      <c r="D69"/>
      <c r="E69" s="76"/>
      <c r="F69" s="266"/>
      <c r="G69" s="266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6"/>
      <c r="S69" s="266"/>
      <c r="T69" s="266"/>
      <c r="U69" s="266"/>
      <c r="V69" s="266"/>
      <c r="W69" s="266"/>
      <c r="X69" s="266"/>
      <c r="Y69" s="266"/>
      <c r="Z69" s="266"/>
      <c r="AA69" s="266"/>
      <c r="AB69" s="266"/>
      <c r="AC69" s="266"/>
      <c r="AD69" s="266"/>
      <c r="AE69" s="266"/>
      <c r="AF69" s="266"/>
      <c r="AG69" s="266"/>
      <c r="AH69" s="266"/>
      <c r="AI69" s="266"/>
      <c r="AJ69" s="266"/>
      <c r="AK69" s="266"/>
      <c r="AL69" s="266"/>
      <c r="AM69" s="266"/>
      <c r="AN69" s="266"/>
    </row>
    <row r="70" spans="3:40" outlineLevel="3">
      <c r="C70" t="s">
        <v>697</v>
      </c>
      <c r="D70">
        <f>Ops!D127</f>
        <v>0</v>
      </c>
      <c r="E70" s="76" t="str">
        <f>Ops!E127</f>
        <v>R$</v>
      </c>
      <c r="F70" s="23">
        <f>SUM(G70:AN70)</f>
        <v>781143.8000131445</v>
      </c>
      <c r="G70" s="273">
        <f>Ops!G127+Ops!G167</f>
        <v>15451.717165367998</v>
      </c>
      <c r="H70" s="273">
        <f>Ops!H127+Ops!H167</f>
        <v>18093.326895888509</v>
      </c>
      <c r="I70" s="273">
        <f>Ops!I127+Ops!I167</f>
        <v>22327.270286435083</v>
      </c>
      <c r="J70" s="273">
        <f>Ops!J127+Ops!J167</f>
        <v>22579.986618086325</v>
      </c>
      <c r="K70" s="273">
        <f>Ops!K127+Ops!K167</f>
        <v>22831.899915653416</v>
      </c>
      <c r="L70" s="273">
        <f>Ops!L127+Ops!L167</f>
        <v>23083.028063475398</v>
      </c>
      <c r="M70" s="273">
        <f>Ops!M127+Ops!M167</f>
        <v>24415.403094383164</v>
      </c>
      <c r="N70" s="273">
        <f>Ops!N127+Ops!N167</f>
        <v>24676.803547686122</v>
      </c>
      <c r="O70" s="273">
        <f>Ops!O127+Ops!O167</f>
        <v>24937.469060620409</v>
      </c>
      <c r="P70" s="273">
        <f>Ops!P127+Ops!P167</f>
        <v>25197.415303047081</v>
      </c>
      <c r="Q70" s="273">
        <f>Ops!Q127+Ops!Q167</f>
        <v>25456.657448961461</v>
      </c>
      <c r="R70" s="273">
        <f>Ops!R127+Ops!R167</f>
        <v>25715.210197196691</v>
      </c>
      <c r="S70" s="273">
        <f>Ops!S127+Ops!S167</f>
        <v>25973.087791057907</v>
      </c>
      <c r="T70" s="273">
        <f>Ops!T127+Ops!T167</f>
        <v>26230.304036952661</v>
      </c>
      <c r="U70" s="273">
        <f>Ops!U127+Ops!U167</f>
        <v>26486.872322078536</v>
      </c>
      <c r="V70" s="273">
        <f>Ops!V127+Ops!V167</f>
        <v>26742.805631224648</v>
      </c>
      <c r="W70" s="273">
        <f>Ops!W127+Ops!W167</f>
        <v>26998.116562739731</v>
      </c>
      <c r="X70" s="273">
        <f>Ops!X127+Ops!X167</f>
        <v>27252.817343716</v>
      </c>
      <c r="Y70" s="273">
        <f>Ops!Y127+Ops!Y167</f>
        <v>27506.919844434498</v>
      </c>
      <c r="Z70" s="273">
        <f>Ops!Z127+Ops!Z167</f>
        <v>27760.435592114627</v>
      </c>
      <c r="AA70" s="273">
        <f>Ops!AA127+Ops!AA167</f>
        <v>28013.375784007738</v>
      </c>
      <c r="AB70" s="273">
        <f>Ops!AB127+Ops!AB167</f>
        <v>28265.751299871925</v>
      </c>
      <c r="AC70" s="273">
        <f>Ops!AC127+Ops!AC167</f>
        <v>28517.572713862835</v>
      </c>
      <c r="AD70" s="273">
        <f>Ops!AD127+Ops!AD167</f>
        <v>28768.850305872918</v>
      </c>
      <c r="AE70" s="273">
        <f>Ops!AE127+Ops!AE167</f>
        <v>29019.594072349686</v>
      </c>
      <c r="AF70" s="273">
        <f>Ops!AF127+Ops!AF167</f>
        <v>29269.813736621225</v>
      </c>
      <c r="AG70" s="273">
        <f>Ops!AG127+Ops!AG167</f>
        <v>29519.518758755854</v>
      </c>
      <c r="AH70" s="273">
        <f>Ops!AH127+Ops!AH167</f>
        <v>29768.718344980858</v>
      </c>
      <c r="AI70" s="273">
        <f>Ops!AI127+Ops!AI167</f>
        <v>30017.421456683649</v>
      </c>
      <c r="AJ70" s="273">
        <f>Ops!AJ127+Ops!AJ167</f>
        <v>30265.636819017505</v>
      </c>
      <c r="AK70" s="273">
        <f>Ops!AK127+Ops!AK167</f>
        <v>0</v>
      </c>
      <c r="AL70" s="273">
        <f>Ops!AL127+Ops!AL167</f>
        <v>0</v>
      </c>
      <c r="AM70" s="273">
        <f>Ops!AM127+Ops!AM167</f>
        <v>0</v>
      </c>
      <c r="AN70" s="273">
        <f>Ops!AN127+Ops!AN167</f>
        <v>0</v>
      </c>
    </row>
    <row r="71" spans="3:40" outlineLevel="3">
      <c r="C71"/>
      <c r="D71"/>
      <c r="E71" s="76"/>
      <c r="F71" s="266"/>
      <c r="G71" s="266"/>
      <c r="H71" s="266"/>
      <c r="I71" s="266"/>
      <c r="J71" s="266"/>
      <c r="K71" s="266"/>
      <c r="L71" s="266"/>
      <c r="M71" s="266"/>
      <c r="N71" s="266"/>
      <c r="O71" s="266"/>
      <c r="P71" s="266"/>
      <c r="Q71" s="266"/>
      <c r="R71" s="266"/>
      <c r="S71" s="266"/>
      <c r="T71" s="266"/>
      <c r="U71" s="266"/>
      <c r="V71" s="266"/>
      <c r="W71" s="266"/>
      <c r="X71" s="266"/>
      <c r="Y71" s="266"/>
      <c r="Z71" s="266"/>
      <c r="AA71" s="266"/>
      <c r="AB71" s="266"/>
      <c r="AC71" s="266"/>
      <c r="AD71" s="266"/>
      <c r="AE71" s="266"/>
      <c r="AF71" s="266"/>
      <c r="AG71" s="266"/>
      <c r="AH71" s="266"/>
      <c r="AI71" s="266"/>
      <c r="AJ71" s="266"/>
      <c r="AK71" s="266"/>
      <c r="AL71" s="266"/>
      <c r="AM71" s="266"/>
      <c r="AN71" s="266"/>
    </row>
    <row r="72" spans="3:40" outlineLevel="3">
      <c r="C72" t="s">
        <v>698</v>
      </c>
      <c r="D72"/>
      <c r="E72" s="76"/>
      <c r="F72" s="266"/>
      <c r="G72" s="266"/>
      <c r="H72" s="266"/>
      <c r="I72" s="266"/>
      <c r="J72" s="266"/>
      <c r="K72" s="266"/>
      <c r="L72" s="266"/>
      <c r="M72" s="266"/>
      <c r="N72" s="266"/>
      <c r="O72" s="266"/>
      <c r="P72" s="266"/>
      <c r="Q72" s="266"/>
      <c r="R72" s="266"/>
      <c r="S72" s="266"/>
      <c r="T72" s="266"/>
      <c r="U72" s="266"/>
      <c r="V72" s="266"/>
      <c r="W72" s="266"/>
      <c r="X72" s="266"/>
      <c r="Y72" s="266"/>
      <c r="Z72" s="266"/>
      <c r="AA72" s="266"/>
      <c r="AB72" s="266"/>
      <c r="AC72" s="266"/>
      <c r="AD72" s="266"/>
      <c r="AE72" s="266"/>
      <c r="AF72" s="266"/>
      <c r="AG72" s="266"/>
      <c r="AH72" s="266"/>
      <c r="AI72" s="266"/>
      <c r="AJ72" s="266"/>
      <c r="AK72" s="266"/>
      <c r="AL72" s="266"/>
      <c r="AM72" s="266"/>
      <c r="AN72" s="266"/>
    </row>
    <row r="73" spans="3:40" outlineLevel="3">
      <c r="C73" s="266" t="str">
        <f>Inputs!C125</f>
        <v>Imposto s/ serviço - (ISS)</v>
      </c>
      <c r="D73" s="473">
        <f>Inputs!D125</f>
        <v>0.03</v>
      </c>
      <c r="E73" s="41" t="str">
        <f>Inputs!E125</f>
        <v>%</v>
      </c>
      <c r="F73" s="23">
        <f>SUM(G73:AN73)</f>
        <v>-23434.314000394334</v>
      </c>
      <c r="G73" s="273">
        <f t="shared" ref="G73:P75" si="19">G$70*-$D73</f>
        <v>-463.55151496103991</v>
      </c>
      <c r="H73" s="273">
        <f t="shared" si="19"/>
        <v>-542.79980687665523</v>
      </c>
      <c r="I73" s="273">
        <f t="shared" si="19"/>
        <v>-669.81810859305244</v>
      </c>
      <c r="J73" s="273">
        <f t="shared" si="19"/>
        <v>-677.39959854258973</v>
      </c>
      <c r="K73" s="273">
        <f t="shared" si="19"/>
        <v>-684.95699746960247</v>
      </c>
      <c r="L73" s="273">
        <f t="shared" si="19"/>
        <v>-692.49084190426197</v>
      </c>
      <c r="M73" s="273">
        <f t="shared" si="19"/>
        <v>-732.46209283149494</v>
      </c>
      <c r="N73" s="273">
        <f t="shared" si="19"/>
        <v>-740.3041064305836</v>
      </c>
      <c r="O73" s="273">
        <f t="shared" si="19"/>
        <v>-748.12407181861226</v>
      </c>
      <c r="P73" s="273">
        <f t="shared" si="19"/>
        <v>-755.92245909141241</v>
      </c>
      <c r="Q73" s="273">
        <f t="shared" ref="Q73:Z75" si="20">Q$70*-$D73</f>
        <v>-763.69972346884379</v>
      </c>
      <c r="R73" s="273">
        <f t="shared" si="20"/>
        <v>-771.45630591590066</v>
      </c>
      <c r="S73" s="273">
        <f t="shared" si="20"/>
        <v>-779.19263373173715</v>
      </c>
      <c r="T73" s="273">
        <f t="shared" si="20"/>
        <v>-786.90912110857982</v>
      </c>
      <c r="U73" s="273">
        <f t="shared" si="20"/>
        <v>-794.60616966235602</v>
      </c>
      <c r="V73" s="273">
        <f t="shared" si="20"/>
        <v>-802.28416893673943</v>
      </c>
      <c r="W73" s="273">
        <f t="shared" si="20"/>
        <v>-809.94349688219188</v>
      </c>
      <c r="X73" s="273">
        <f t="shared" si="20"/>
        <v>-817.58452031147999</v>
      </c>
      <c r="Y73" s="273">
        <f t="shared" si="20"/>
        <v>-825.20759533303487</v>
      </c>
      <c r="Z73" s="273">
        <f t="shared" si="20"/>
        <v>-832.81306776343877</v>
      </c>
      <c r="AA73" s="273">
        <f t="shared" ref="AA73:AN75" si="21">AA$70*-$D73</f>
        <v>-840.40127352023205</v>
      </c>
      <c r="AB73" s="273">
        <f t="shared" si="21"/>
        <v>-847.97253899615771</v>
      </c>
      <c r="AC73" s="273">
        <f t="shared" si="21"/>
        <v>-855.52718141588502</v>
      </c>
      <c r="AD73" s="273">
        <f t="shared" si="21"/>
        <v>-863.06550917618756</v>
      </c>
      <c r="AE73" s="273">
        <f t="shared" si="21"/>
        <v>-870.58782217049054</v>
      </c>
      <c r="AF73" s="273">
        <f t="shared" si="21"/>
        <v>-878.09441209863667</v>
      </c>
      <c r="AG73" s="273">
        <f t="shared" si="21"/>
        <v>-885.58556276267564</v>
      </c>
      <c r="AH73" s="273">
        <f t="shared" si="21"/>
        <v>-893.06155034942572</v>
      </c>
      <c r="AI73" s="273">
        <f t="shared" si="21"/>
        <v>-900.52264370050943</v>
      </c>
      <c r="AJ73" s="273">
        <f t="shared" si="21"/>
        <v>-907.96910457052513</v>
      </c>
      <c r="AK73" s="273">
        <f t="shared" si="21"/>
        <v>0</v>
      </c>
      <c r="AL73" s="273">
        <f t="shared" si="21"/>
        <v>0</v>
      </c>
      <c r="AM73" s="273">
        <f t="shared" si="21"/>
        <v>0</v>
      </c>
      <c r="AN73" s="273">
        <f t="shared" si="21"/>
        <v>0</v>
      </c>
    </row>
    <row r="74" spans="3:40" outlineLevel="3">
      <c r="C74" s="266" t="str">
        <f>Inputs!C126</f>
        <v>Programa Integração Social - (PIS)</v>
      </c>
      <c r="D74" s="473">
        <f>Inputs!D126</f>
        <v>1.6500000000000001E-2</v>
      </c>
      <c r="E74" s="41" t="str">
        <f>Inputs!E126</f>
        <v>%</v>
      </c>
      <c r="F74" s="23">
        <f>SUM(G74:AN74)</f>
        <v>-12888.872700216885</v>
      </c>
      <c r="G74" s="273">
        <f t="shared" si="19"/>
        <v>-254.95333322857198</v>
      </c>
      <c r="H74" s="273">
        <f t="shared" si="19"/>
        <v>-298.53989378216039</v>
      </c>
      <c r="I74" s="273">
        <f t="shared" si="19"/>
        <v>-368.39995972617891</v>
      </c>
      <c r="J74" s="273">
        <f t="shared" si="19"/>
        <v>-372.56977919842438</v>
      </c>
      <c r="K74" s="273">
        <f t="shared" si="19"/>
        <v>-376.7263486082814</v>
      </c>
      <c r="L74" s="273">
        <f t="shared" si="19"/>
        <v>-380.86996304734407</v>
      </c>
      <c r="M74" s="273">
        <f t="shared" si="19"/>
        <v>-402.85415105732221</v>
      </c>
      <c r="N74" s="273">
        <f t="shared" si="19"/>
        <v>-407.16725853682101</v>
      </c>
      <c r="O74" s="273">
        <f t="shared" si="19"/>
        <v>-411.46823950023679</v>
      </c>
      <c r="P74" s="273">
        <f t="shared" si="19"/>
        <v>-415.75735250027685</v>
      </c>
      <c r="Q74" s="273">
        <f t="shared" si="20"/>
        <v>-420.0348479078641</v>
      </c>
      <c r="R74" s="273">
        <f t="shared" si="20"/>
        <v>-424.30096825374545</v>
      </c>
      <c r="S74" s="273">
        <f t="shared" si="20"/>
        <v>-428.5559485524555</v>
      </c>
      <c r="T74" s="273">
        <f t="shared" si="20"/>
        <v>-432.80001660971891</v>
      </c>
      <c r="U74" s="273">
        <f t="shared" si="20"/>
        <v>-437.03339331429584</v>
      </c>
      <c r="V74" s="273">
        <f t="shared" si="20"/>
        <v>-441.2562929152067</v>
      </c>
      <c r="W74" s="273">
        <f t="shared" si="20"/>
        <v>-445.46892328520556</v>
      </c>
      <c r="X74" s="273">
        <f t="shared" si="20"/>
        <v>-449.67148617131403</v>
      </c>
      <c r="Y74" s="273">
        <f t="shared" si="20"/>
        <v>-453.86417743316923</v>
      </c>
      <c r="Z74" s="273">
        <f t="shared" si="20"/>
        <v>-458.04718726989137</v>
      </c>
      <c r="AA74" s="273">
        <f t="shared" si="21"/>
        <v>-462.22070043612769</v>
      </c>
      <c r="AB74" s="273">
        <f t="shared" si="21"/>
        <v>-466.38489644788677</v>
      </c>
      <c r="AC74" s="273">
        <f t="shared" si="21"/>
        <v>-470.5399497787368</v>
      </c>
      <c r="AD74" s="273">
        <f t="shared" si="21"/>
        <v>-474.68603004690317</v>
      </c>
      <c r="AE74" s="273">
        <f t="shared" si="21"/>
        <v>-478.82330219376985</v>
      </c>
      <c r="AF74" s="273">
        <f t="shared" si="21"/>
        <v>-482.95192665425026</v>
      </c>
      <c r="AG74" s="273">
        <f t="shared" si="21"/>
        <v>-487.07205951947162</v>
      </c>
      <c r="AH74" s="273">
        <f t="shared" si="21"/>
        <v>-491.18385269218419</v>
      </c>
      <c r="AI74" s="273">
        <f t="shared" si="21"/>
        <v>-495.28745403528023</v>
      </c>
      <c r="AJ74" s="273">
        <f t="shared" si="21"/>
        <v>-499.38300751378887</v>
      </c>
      <c r="AK74" s="273">
        <f t="shared" si="21"/>
        <v>0</v>
      </c>
      <c r="AL74" s="273">
        <f t="shared" si="21"/>
        <v>0</v>
      </c>
      <c r="AM74" s="273">
        <f t="shared" si="21"/>
        <v>0</v>
      </c>
      <c r="AN74" s="273">
        <f t="shared" si="21"/>
        <v>0</v>
      </c>
    </row>
    <row r="75" spans="3:40" outlineLevel="3">
      <c r="C75" s="266" t="str">
        <f>Inputs!C127</f>
        <v>Contribuição para Financiamento de Seguridade Social - (COFINS)</v>
      </c>
      <c r="D75" s="473">
        <f>Inputs!D127</f>
        <v>7.5999999999999998E-2</v>
      </c>
      <c r="E75" s="41" t="str">
        <f>Inputs!E127</f>
        <v>%</v>
      </c>
      <c r="F75" s="23">
        <f t="shared" ref="F75:F76" si="22">SUM(G75:AN75)</f>
        <v>-59366.928800998983</v>
      </c>
      <c r="G75" s="273">
        <f t="shared" si="19"/>
        <v>-1174.3305045679679</v>
      </c>
      <c r="H75" s="273">
        <f t="shared" si="19"/>
        <v>-1375.0928440875266</v>
      </c>
      <c r="I75" s="273">
        <f t="shared" si="19"/>
        <v>-1696.8725417690662</v>
      </c>
      <c r="J75" s="273">
        <f t="shared" si="19"/>
        <v>-1716.0789829745606</v>
      </c>
      <c r="K75" s="273">
        <f t="shared" si="19"/>
        <v>-1735.2243935896595</v>
      </c>
      <c r="L75" s="273">
        <f t="shared" si="19"/>
        <v>-1754.3101328241303</v>
      </c>
      <c r="M75" s="273">
        <f t="shared" si="19"/>
        <v>-1855.5706351731203</v>
      </c>
      <c r="N75" s="273">
        <f t="shared" si="19"/>
        <v>-1875.4370696241454</v>
      </c>
      <c r="O75" s="273">
        <f t="shared" si="19"/>
        <v>-1895.2476486071512</v>
      </c>
      <c r="P75" s="273">
        <f t="shared" si="19"/>
        <v>-1915.0035630315781</v>
      </c>
      <c r="Q75" s="273">
        <f t="shared" si="20"/>
        <v>-1934.705966121071</v>
      </c>
      <c r="R75" s="273">
        <f t="shared" si="20"/>
        <v>-1954.3559749869485</v>
      </c>
      <c r="S75" s="273">
        <f t="shared" si="20"/>
        <v>-1973.954672120401</v>
      </c>
      <c r="T75" s="273">
        <f t="shared" si="20"/>
        <v>-1993.5031068084022</v>
      </c>
      <c r="U75" s="273">
        <f t="shared" si="20"/>
        <v>-2013.0022964779687</v>
      </c>
      <c r="V75" s="273">
        <f t="shared" si="20"/>
        <v>-2032.4532279730731</v>
      </c>
      <c r="W75" s="273">
        <f t="shared" si="20"/>
        <v>-2051.8568587682194</v>
      </c>
      <c r="X75" s="273">
        <f t="shared" si="20"/>
        <v>-2071.214118122416</v>
      </c>
      <c r="Y75" s="273">
        <f t="shared" si="20"/>
        <v>-2090.5259081770218</v>
      </c>
      <c r="Z75" s="273">
        <f t="shared" si="20"/>
        <v>-2109.7931050007114</v>
      </c>
      <c r="AA75" s="273">
        <f t="shared" si="21"/>
        <v>-2129.0165595845879</v>
      </c>
      <c r="AB75" s="273">
        <f t="shared" si="21"/>
        <v>-2148.1970987902664</v>
      </c>
      <c r="AC75" s="273">
        <f t="shared" si="21"/>
        <v>-2167.3355262535756</v>
      </c>
      <c r="AD75" s="273">
        <f t="shared" si="21"/>
        <v>-2186.4326232463418</v>
      </c>
      <c r="AE75" s="273">
        <f t="shared" si="21"/>
        <v>-2205.4891494985759</v>
      </c>
      <c r="AF75" s="273">
        <f t="shared" si="21"/>
        <v>-2224.5058439832133</v>
      </c>
      <c r="AG75" s="273">
        <f t="shared" si="21"/>
        <v>-2243.4834256654449</v>
      </c>
      <c r="AH75" s="273">
        <f t="shared" si="21"/>
        <v>-2262.4225942185453</v>
      </c>
      <c r="AI75" s="273">
        <f t="shared" si="21"/>
        <v>-2281.3240307079573</v>
      </c>
      <c r="AJ75" s="273">
        <f t="shared" si="21"/>
        <v>-2300.1883982453305</v>
      </c>
      <c r="AK75" s="273">
        <f t="shared" si="21"/>
        <v>0</v>
      </c>
      <c r="AL75" s="273">
        <f t="shared" si="21"/>
        <v>0</v>
      </c>
      <c r="AM75" s="273">
        <f t="shared" si="21"/>
        <v>0</v>
      </c>
      <c r="AN75" s="273">
        <f t="shared" si="21"/>
        <v>0</v>
      </c>
    </row>
    <row r="76" spans="3:40" outlineLevel="3">
      <c r="C76" s="266" t="str">
        <f>DFs!C60</f>
        <v>IR / CSLL pagos</v>
      </c>
      <c r="D76"/>
      <c r="E76" s="41"/>
      <c r="F76" s="23">
        <f t="shared" si="22"/>
        <v>-36456.504633005454</v>
      </c>
      <c r="G76" s="273">
        <f>DFs!G60</f>
        <v>0</v>
      </c>
      <c r="H76" s="273">
        <f>DFs!H60</f>
        <v>0</v>
      </c>
      <c r="I76" s="273">
        <f>DFs!I60</f>
        <v>-22.884310585685178</v>
      </c>
      <c r="J76" s="273">
        <f>DFs!J60</f>
        <v>-72.053827437158276</v>
      </c>
      <c r="K76" s="273">
        <f>DFs!K60</f>
        <v>-139.53091082410057</v>
      </c>
      <c r="L76" s="273">
        <f>DFs!L60</f>
        <v>-594.61204565118589</v>
      </c>
      <c r="M76" s="273">
        <f>DFs!M60</f>
        <v>-408.23945179560337</v>
      </c>
      <c r="N76" s="273">
        <f>DFs!N60</f>
        <v>-513.92216117724206</v>
      </c>
      <c r="O76" s="273">
        <f>DFs!O60</f>
        <v>-426.02171899146708</v>
      </c>
      <c r="P76" s="273">
        <f>DFs!P60</f>
        <v>-416.09956507064663</v>
      </c>
      <c r="Q76" s="273">
        <f>DFs!Q60</f>
        <v>-467.46933695780581</v>
      </c>
      <c r="R76" s="273">
        <f>DFs!R60</f>
        <v>-515.46962401239261</v>
      </c>
      <c r="S76" s="273">
        <f>DFs!S60</f>
        <v>-1095.8312275820749</v>
      </c>
      <c r="T76" s="273">
        <f>DFs!T60</f>
        <v>-1399.9248853106196</v>
      </c>
      <c r="U76" s="273">
        <f>DFs!U60</f>
        <v>-1193.776093837999</v>
      </c>
      <c r="V76" s="273">
        <f>DFs!V60</f>
        <v>-1471.2916481386703</v>
      </c>
      <c r="W76" s="273">
        <f>DFs!W60</f>
        <v>-1467.1656788679866</v>
      </c>
      <c r="X76" s="273">
        <f>DFs!X60</f>
        <v>-1557.8374085797509</v>
      </c>
      <c r="Y76" s="273">
        <f>DFs!Y60</f>
        <v>-1494.3787613802472</v>
      </c>
      <c r="Z76" s="273">
        <f>DFs!Z60</f>
        <v>-2113.4845274971044</v>
      </c>
      <c r="AA76" s="273">
        <f>DFs!AA60</f>
        <v>-2167.7863889006931</v>
      </c>
      <c r="AB76" s="273">
        <f>DFs!AB60</f>
        <v>-1934.1278525401046</v>
      </c>
      <c r="AC76" s="273">
        <f>DFs!AC60</f>
        <v>-1711.9579165700106</v>
      </c>
      <c r="AD76" s="273">
        <f>DFs!AD60</f>
        <v>-1759.9756661364365</v>
      </c>
      <c r="AE76" s="273">
        <f>DFs!AE60</f>
        <v>-1805.7709786412724</v>
      </c>
      <c r="AF76" s="273">
        <f>DFs!AF60</f>
        <v>-1996.2617253262147</v>
      </c>
      <c r="AG76" s="273">
        <f>DFs!AG60</f>
        <v>-2519.2515572194047</v>
      </c>
      <c r="AH76" s="273">
        <f>DFs!AH60</f>
        <v>-2574.6114087161445</v>
      </c>
      <c r="AI76" s="273">
        <f>DFs!AI60</f>
        <v>-2375.431209969569</v>
      </c>
      <c r="AJ76" s="273">
        <f>DFs!AJ60</f>
        <v>-2241.3367452878674</v>
      </c>
      <c r="AK76" s="273">
        <f>DFs!AK60</f>
        <v>0</v>
      </c>
      <c r="AL76" s="273">
        <f>DFs!AL60</f>
        <v>0</v>
      </c>
      <c r="AM76" s="273">
        <f>DFs!AM60</f>
        <v>0</v>
      </c>
      <c r="AN76" s="273">
        <f>DFs!AN60</f>
        <v>0</v>
      </c>
    </row>
    <row r="77" spans="3:40" outlineLevel="3">
      <c r="C77"/>
      <c r="D77"/>
      <c r="E77" s="76"/>
      <c r="F77" s="266"/>
      <c r="G77" s="266"/>
      <c r="H77" s="266"/>
      <c r="I77" s="266"/>
      <c r="J77" s="266"/>
      <c r="K77" s="266"/>
      <c r="L77" s="266"/>
      <c r="M77" s="266"/>
      <c r="N77" s="266"/>
      <c r="O77" s="266"/>
      <c r="P77" s="266"/>
      <c r="Q77" s="266"/>
      <c r="R77" s="266"/>
      <c r="S77" s="266"/>
      <c r="T77" s="266"/>
      <c r="U77" s="266"/>
      <c r="V77" s="266"/>
      <c r="W77" s="266"/>
      <c r="X77" s="266"/>
      <c r="Y77" s="266"/>
      <c r="Z77" s="266"/>
      <c r="AA77" s="266"/>
      <c r="AB77" s="266"/>
      <c r="AC77" s="266"/>
      <c r="AD77" s="266"/>
      <c r="AE77" s="266"/>
      <c r="AF77" s="266"/>
      <c r="AG77" s="266"/>
      <c r="AH77" s="266"/>
      <c r="AI77" s="266"/>
      <c r="AJ77" s="266"/>
      <c r="AK77" s="266"/>
      <c r="AL77" s="266"/>
      <c r="AM77" s="266"/>
      <c r="AN77" s="266"/>
    </row>
    <row r="78" spans="3:40" ht="16.2" outlineLevel="3" thickBot="1">
      <c r="C78" s="357" t="s">
        <v>699</v>
      </c>
      <c r="D78" s="45"/>
      <c r="E78" s="130" t="s">
        <v>313</v>
      </c>
      <c r="F78" s="324">
        <f>SUM(F70:F76)</f>
        <v>648997.17987852893</v>
      </c>
      <c r="G78" s="324">
        <f t="shared" ref="G78:AN78" si="23">G70+SUM(G73:G76)</f>
        <v>13558.881812610418</v>
      </c>
      <c r="H78" s="324">
        <f t="shared" si="23"/>
        <v>15876.894351142168</v>
      </c>
      <c r="I78" s="324">
        <f t="shared" si="23"/>
        <v>19569.2953657611</v>
      </c>
      <c r="J78" s="324">
        <f t="shared" si="23"/>
        <v>19741.884429933591</v>
      </c>
      <c r="K78" s="324">
        <f t="shared" si="23"/>
        <v>19895.461265161772</v>
      </c>
      <c r="L78" s="324">
        <f t="shared" si="23"/>
        <v>19660.745080048477</v>
      </c>
      <c r="M78" s="324">
        <f t="shared" si="23"/>
        <v>21016.276763525624</v>
      </c>
      <c r="N78" s="324">
        <f t="shared" si="23"/>
        <v>21139.972951917331</v>
      </c>
      <c r="O78" s="324">
        <f t="shared" si="23"/>
        <v>21456.607381702943</v>
      </c>
      <c r="P78" s="324">
        <f t="shared" si="23"/>
        <v>21694.632363353165</v>
      </c>
      <c r="Q78" s="324">
        <f t="shared" si="23"/>
        <v>21870.747574505876</v>
      </c>
      <c r="R78" s="324">
        <f t="shared" si="23"/>
        <v>22049.627324027704</v>
      </c>
      <c r="S78" s="324">
        <f t="shared" si="23"/>
        <v>21695.553309071238</v>
      </c>
      <c r="T78" s="324">
        <f t="shared" si="23"/>
        <v>21617.166907115341</v>
      </c>
      <c r="U78" s="324">
        <f t="shared" si="23"/>
        <v>22048.454368785919</v>
      </c>
      <c r="V78" s="324">
        <f t="shared" si="23"/>
        <v>21995.520293260961</v>
      </c>
      <c r="W78" s="324">
        <f t="shared" si="23"/>
        <v>22223.68160493613</v>
      </c>
      <c r="X78" s="324">
        <f t="shared" si="23"/>
        <v>22356.509810531039</v>
      </c>
      <c r="Y78" s="324">
        <f t="shared" si="23"/>
        <v>22642.943402111025</v>
      </c>
      <c r="Z78" s="324">
        <f t="shared" si="23"/>
        <v>22246.297704583481</v>
      </c>
      <c r="AA78" s="324">
        <f t="shared" si="23"/>
        <v>22413.950861566096</v>
      </c>
      <c r="AB78" s="324">
        <f t="shared" si="23"/>
        <v>22869.068913097508</v>
      </c>
      <c r="AC78" s="324">
        <f t="shared" si="23"/>
        <v>23312.212139844625</v>
      </c>
      <c r="AD78" s="324">
        <f t="shared" si="23"/>
        <v>23484.69047726705</v>
      </c>
      <c r="AE78" s="324">
        <f t="shared" si="23"/>
        <v>23658.922819845578</v>
      </c>
      <c r="AF78" s="324">
        <f t="shared" si="23"/>
        <v>23687.99982855891</v>
      </c>
      <c r="AG78" s="324">
        <f t="shared" si="23"/>
        <v>23384.126153588855</v>
      </c>
      <c r="AH78" s="324">
        <f t="shared" si="23"/>
        <v>23547.438939004558</v>
      </c>
      <c r="AI78" s="324">
        <f t="shared" si="23"/>
        <v>23964.856118270334</v>
      </c>
      <c r="AJ78" s="324">
        <f t="shared" si="23"/>
        <v>24316.759563399995</v>
      </c>
      <c r="AK78" s="324">
        <f t="shared" si="23"/>
        <v>0</v>
      </c>
      <c r="AL78" s="324">
        <f t="shared" si="23"/>
        <v>0</v>
      </c>
      <c r="AM78" s="324">
        <f t="shared" si="23"/>
        <v>0</v>
      </c>
      <c r="AN78" s="324">
        <f t="shared" si="23"/>
        <v>0</v>
      </c>
    </row>
    <row r="79" spans="3:40" ht="16.2" outlineLevel="2" thickTop="1">
      <c r="C79"/>
      <c r="D79"/>
      <c r="E79" s="76"/>
      <c r="F79" s="278"/>
      <c r="G79" s="266"/>
      <c r="H79" s="266"/>
      <c r="I79" s="266"/>
      <c r="J79" s="266"/>
      <c r="K79" s="266"/>
      <c r="L79" s="266"/>
      <c r="M79" s="266"/>
      <c r="N79" s="266"/>
      <c r="O79" s="266"/>
      <c r="P79" s="266"/>
      <c r="Q79" s="266"/>
      <c r="R79" s="266"/>
      <c r="S79" s="266"/>
      <c r="T79" s="266"/>
      <c r="U79" s="266"/>
      <c r="V79" s="266"/>
      <c r="W79" s="266"/>
      <c r="X79" s="266"/>
      <c r="Y79" s="266"/>
      <c r="Z79" s="266"/>
      <c r="AA79" s="266"/>
      <c r="AB79" s="266"/>
      <c r="AC79" s="266"/>
      <c r="AD79" s="266"/>
      <c r="AE79" s="266"/>
      <c r="AF79" s="266"/>
      <c r="AG79" s="266"/>
      <c r="AH79" s="266"/>
      <c r="AI79" s="266"/>
      <c r="AJ79" s="266"/>
      <c r="AK79" s="266"/>
      <c r="AL79" s="266"/>
      <c r="AM79" s="266"/>
      <c r="AN79" s="266"/>
    </row>
    <row r="80" spans="3:40" outlineLevel="2">
      <c r="C80" s="11" t="s">
        <v>692</v>
      </c>
      <c r="E80" s="266"/>
      <c r="F80" s="266"/>
      <c r="G80" s="266"/>
      <c r="H80" s="266"/>
      <c r="I80" s="266"/>
      <c r="J80" s="266"/>
      <c r="K80" s="266"/>
      <c r="L80" s="266"/>
      <c r="M80" s="266"/>
      <c r="N80" s="266"/>
      <c r="O80" s="266"/>
      <c r="P80" s="266"/>
      <c r="Q80" s="266"/>
      <c r="R80" s="266"/>
      <c r="S80" s="266"/>
      <c r="T80" s="266"/>
      <c r="U80" s="266"/>
      <c r="V80" s="266"/>
      <c r="W80" s="266"/>
      <c r="X80" s="266"/>
      <c r="Y80" s="266"/>
      <c r="Z80" s="266"/>
      <c r="AA80" s="266"/>
      <c r="AB80" s="266"/>
      <c r="AC80" s="266"/>
      <c r="AD80" s="266"/>
      <c r="AE80" s="266"/>
      <c r="AF80" s="266"/>
      <c r="AG80" s="266"/>
      <c r="AH80" s="266"/>
      <c r="AI80" s="266"/>
      <c r="AJ80" s="266"/>
      <c r="AK80" s="266"/>
      <c r="AL80" s="266"/>
      <c r="AM80" s="266"/>
      <c r="AN80" s="266"/>
    </row>
    <row r="81" spans="3:40" outlineLevel="3">
      <c r="C81" s="266" t="s">
        <v>693</v>
      </c>
      <c r="E81" s="266"/>
      <c r="F81" s="266"/>
      <c r="G81" s="278">
        <f t="shared" ref="G81:AN81" si="24">(F81+G$45)*G$45</f>
        <v>1</v>
      </c>
      <c r="H81" s="278">
        <f t="shared" si="24"/>
        <v>2</v>
      </c>
      <c r="I81" s="278">
        <f t="shared" si="24"/>
        <v>3</v>
      </c>
      <c r="J81" s="278">
        <f t="shared" si="24"/>
        <v>4</v>
      </c>
      <c r="K81" s="278">
        <f t="shared" si="24"/>
        <v>5</v>
      </c>
      <c r="L81" s="278">
        <f t="shared" si="24"/>
        <v>6</v>
      </c>
      <c r="M81" s="278">
        <f t="shared" si="24"/>
        <v>7</v>
      </c>
      <c r="N81" s="278">
        <f t="shared" si="24"/>
        <v>8</v>
      </c>
      <c r="O81" s="278">
        <f t="shared" si="24"/>
        <v>9</v>
      </c>
      <c r="P81" s="278">
        <f t="shared" si="24"/>
        <v>10</v>
      </c>
      <c r="Q81" s="278">
        <f t="shared" si="24"/>
        <v>11</v>
      </c>
      <c r="R81" s="278">
        <f t="shared" si="24"/>
        <v>12</v>
      </c>
      <c r="S81" s="278">
        <f t="shared" si="24"/>
        <v>13</v>
      </c>
      <c r="T81" s="278">
        <f t="shared" si="24"/>
        <v>14</v>
      </c>
      <c r="U81" s="278">
        <f t="shared" si="24"/>
        <v>15</v>
      </c>
      <c r="V81" s="278">
        <f t="shared" si="24"/>
        <v>16</v>
      </c>
      <c r="W81" s="278">
        <f t="shared" si="24"/>
        <v>17</v>
      </c>
      <c r="X81" s="278">
        <f t="shared" si="24"/>
        <v>18</v>
      </c>
      <c r="Y81" s="278">
        <f t="shared" si="24"/>
        <v>19</v>
      </c>
      <c r="Z81" s="278">
        <f t="shared" si="24"/>
        <v>20</v>
      </c>
      <c r="AA81" s="278">
        <f t="shared" si="24"/>
        <v>21</v>
      </c>
      <c r="AB81" s="278">
        <f t="shared" si="24"/>
        <v>22</v>
      </c>
      <c r="AC81" s="278">
        <f t="shared" si="24"/>
        <v>23</v>
      </c>
      <c r="AD81" s="278">
        <f t="shared" si="24"/>
        <v>24</v>
      </c>
      <c r="AE81" s="278">
        <f t="shared" si="24"/>
        <v>25</v>
      </c>
      <c r="AF81" s="278">
        <f t="shared" si="24"/>
        <v>26</v>
      </c>
      <c r="AG81" s="278">
        <f t="shared" si="24"/>
        <v>27</v>
      </c>
      <c r="AH81" s="278">
        <f t="shared" si="24"/>
        <v>28</v>
      </c>
      <c r="AI81" s="278">
        <f t="shared" si="24"/>
        <v>29</v>
      </c>
      <c r="AJ81" s="278">
        <f t="shared" si="24"/>
        <v>30</v>
      </c>
      <c r="AK81" s="278">
        <f t="shared" si="24"/>
        <v>0</v>
      </c>
      <c r="AL81" s="278">
        <f t="shared" si="24"/>
        <v>0</v>
      </c>
      <c r="AM81" s="278">
        <f t="shared" si="24"/>
        <v>0</v>
      </c>
      <c r="AN81" s="278">
        <f t="shared" si="24"/>
        <v>0</v>
      </c>
    </row>
    <row r="82" spans="3:40" outlineLevel="3">
      <c r="C82" s="266" t="str">
        <f>Inputs!$C$356&amp;" - selecionada"</f>
        <v>Taxa de desconto Value for Money - selecionada</v>
      </c>
      <c r="D82">
        <f>Inputs!$D$356</f>
        <v>0</v>
      </c>
      <c r="E82" s="41" t="s">
        <v>169</v>
      </c>
      <c r="F82" s="266"/>
      <c r="G82" s="266"/>
      <c r="H82" s="266"/>
      <c r="I82" s="266"/>
      <c r="J82" s="266"/>
      <c r="K82" s="266"/>
      <c r="L82" s="266"/>
      <c r="M82" s="266"/>
      <c r="N82" s="266"/>
      <c r="O82" s="266"/>
      <c r="P82" s="266"/>
      <c r="Q82" s="266"/>
      <c r="R82" s="266"/>
      <c r="S82" s="266"/>
      <c r="T82" s="266"/>
      <c r="U82" s="266"/>
      <c r="V82" s="266"/>
      <c r="W82" s="266"/>
      <c r="X82" s="266"/>
      <c r="Y82" s="266"/>
      <c r="Z82" s="266"/>
      <c r="AA82" s="266"/>
      <c r="AB82" s="266"/>
      <c r="AC82" s="266"/>
      <c r="AD82" s="266"/>
      <c r="AE82" s="266"/>
      <c r="AF82" s="266"/>
      <c r="AG82" s="266"/>
      <c r="AH82" s="266"/>
      <c r="AI82" s="266"/>
      <c r="AJ82" s="266"/>
      <c r="AK82" s="266"/>
      <c r="AL82" s="266"/>
      <c r="AM82" s="266"/>
      <c r="AN82" s="266"/>
    </row>
    <row r="83" spans="3:40" outlineLevel="3">
      <c r="C83" s="266" t="str">
        <f>Inputs!$C$357</f>
        <v>Indexador</v>
      </c>
      <c r="D83" s="505" t="str">
        <f>Inputs!$D$357</f>
        <v>SELIC</v>
      </c>
      <c r="E83" s="41" t="s">
        <v>169</v>
      </c>
      <c r="F83" s="266"/>
      <c r="G83" s="266"/>
      <c r="H83" s="266"/>
      <c r="I83" s="266"/>
      <c r="J83" s="266"/>
      <c r="K83" s="266"/>
      <c r="L83" s="266"/>
      <c r="M83" s="266"/>
      <c r="N83" s="266"/>
      <c r="O83" s="266"/>
      <c r="P83" s="266"/>
      <c r="Q83" s="266"/>
      <c r="R83" s="266"/>
      <c r="S83" s="266"/>
      <c r="T83" s="266"/>
      <c r="U83" s="266"/>
      <c r="V83" s="266"/>
      <c r="W83" s="266"/>
      <c r="X83" s="266"/>
      <c r="Y83" s="266"/>
      <c r="Z83" s="266"/>
      <c r="AA83" s="266"/>
      <c r="AB83" s="266"/>
      <c r="AC83" s="266"/>
      <c r="AD83" s="266"/>
      <c r="AE83" s="266"/>
      <c r="AF83" s="266"/>
      <c r="AG83" s="266"/>
      <c r="AH83" s="266"/>
      <c r="AI83" s="266"/>
      <c r="AJ83" s="266"/>
      <c r="AK83" s="266"/>
      <c r="AL83" s="266"/>
      <c r="AM83" s="266"/>
      <c r="AN83" s="266"/>
    </row>
    <row r="84" spans="3:40" outlineLevel="3">
      <c r="C84" s="11"/>
      <c r="E84" s="266"/>
      <c r="F84" s="266"/>
      <c r="G84" s="266"/>
      <c r="H84" s="266"/>
      <c r="I84" s="266"/>
      <c r="J84" s="266"/>
      <c r="K84" s="266"/>
      <c r="L84" s="266"/>
      <c r="M84" s="266"/>
      <c r="N84" s="266"/>
      <c r="O84" s="266"/>
      <c r="P84" s="266"/>
      <c r="Q84" s="266"/>
      <c r="R84" s="266"/>
      <c r="S84" s="266"/>
      <c r="T84" s="266"/>
      <c r="U84" s="266"/>
      <c r="V84" s="266"/>
      <c r="W84" s="266"/>
      <c r="X84" s="266"/>
      <c r="Y84" s="266"/>
      <c r="Z84" s="266"/>
      <c r="AA84" s="266"/>
      <c r="AB84" s="266"/>
      <c r="AC84" s="266"/>
      <c r="AD84" s="266"/>
      <c r="AE84" s="266"/>
      <c r="AF84" s="266"/>
      <c r="AG84" s="266"/>
      <c r="AH84" s="266"/>
      <c r="AI84" s="266"/>
      <c r="AJ84" s="266"/>
      <c r="AK84" s="266"/>
      <c r="AL84" s="266"/>
      <c r="AM84" s="266"/>
      <c r="AN84" s="266"/>
    </row>
    <row r="85" spans="3:40" outlineLevel="3">
      <c r="C85" s="266" t="str">
        <f>Inputs!$C$359</f>
        <v>Taxa Social</v>
      </c>
      <c r="D85" s="473">
        <f>Inputs!$D$359</f>
        <v>0.09</v>
      </c>
      <c r="E85" s="41" t="s">
        <v>23</v>
      </c>
      <c r="F85" s="266"/>
      <c r="G85" s="266"/>
      <c r="H85" s="266"/>
      <c r="I85" s="266"/>
      <c r="J85" s="266"/>
      <c r="K85" s="266"/>
      <c r="L85" s="266"/>
      <c r="M85" s="266"/>
      <c r="N85" s="266"/>
      <c r="O85" s="266"/>
      <c r="P85" s="266"/>
      <c r="Q85" s="266"/>
      <c r="R85" s="266"/>
      <c r="S85" s="266"/>
      <c r="T85" s="266"/>
      <c r="U85" s="266"/>
      <c r="V85" s="266"/>
      <c r="W85" s="266"/>
      <c r="X85" s="266"/>
      <c r="Y85" s="266"/>
      <c r="Z85" s="266"/>
      <c r="AA85" s="266"/>
      <c r="AB85" s="266"/>
      <c r="AC85" s="266"/>
      <c r="AD85" s="266"/>
      <c r="AE85" s="266"/>
      <c r="AF85" s="266"/>
      <c r="AG85" s="266"/>
      <c r="AH85" s="266"/>
      <c r="AI85" s="266"/>
      <c r="AJ85" s="266"/>
      <c r="AK85" s="266"/>
      <c r="AL85" s="266"/>
      <c r="AM85" s="266"/>
      <c r="AN85" s="266"/>
    </row>
    <row r="86" spans="3:40" outlineLevel="3">
      <c r="C86" s="11"/>
      <c r="E86" s="266"/>
      <c r="F86" s="266"/>
      <c r="G86" s="266"/>
      <c r="H86" s="266"/>
      <c r="I86" s="266"/>
      <c r="J86" s="266"/>
      <c r="K86" s="266"/>
      <c r="L86" s="266"/>
      <c r="M86" s="266"/>
      <c r="N86" s="266"/>
      <c r="O86" s="266"/>
      <c r="P86" s="266"/>
      <c r="Q86" s="266"/>
      <c r="R86" s="266"/>
      <c r="S86" s="266"/>
      <c r="T86" s="266"/>
      <c r="U86" s="266"/>
      <c r="V86" s="266"/>
      <c r="W86" s="266"/>
      <c r="X86" s="266"/>
      <c r="Y86" s="266"/>
      <c r="Z86" s="266"/>
      <c r="AA86" s="266"/>
      <c r="AB86" s="266"/>
      <c r="AC86" s="266"/>
      <c r="AD86" s="266"/>
      <c r="AE86" s="266"/>
      <c r="AF86" s="266"/>
      <c r="AG86" s="266"/>
      <c r="AH86" s="266"/>
      <c r="AI86" s="266"/>
      <c r="AJ86" s="266"/>
      <c r="AK86" s="266"/>
      <c r="AL86" s="266"/>
      <c r="AM86" s="266"/>
      <c r="AN86" s="266"/>
    </row>
    <row r="87" spans="3:40" outlineLevel="3">
      <c r="C87" s="266" t="s">
        <v>692</v>
      </c>
      <c r="E87" s="266"/>
      <c r="F87" s="266"/>
      <c r="G87" s="473">
        <f>(1/(1+IF($D82&lt;&gt;1,$D85,INDEX(G$19:G$27,MATCH($D83,$C$19:$C$27,0))))^G81)*G$45</f>
        <v>0.9174311926605504</v>
      </c>
      <c r="H87" s="473">
        <f t="shared" ref="H87:AN87" si="25">(1/(1+IF($D82&lt;&gt;1,$D85,INDEX(H$19:H$27,MATCH($D83,$C$19:$C$27,0))))^H81)*H$45</f>
        <v>0.84167999326655996</v>
      </c>
      <c r="I87" s="473">
        <f t="shared" si="25"/>
        <v>0.77218348006106419</v>
      </c>
      <c r="J87" s="473">
        <f t="shared" si="25"/>
        <v>0.7084252110651964</v>
      </c>
      <c r="K87" s="473">
        <f t="shared" si="25"/>
        <v>0.64993138629834524</v>
      </c>
      <c r="L87" s="473">
        <f t="shared" si="25"/>
        <v>0.5962673268792158</v>
      </c>
      <c r="M87" s="473">
        <f t="shared" si="25"/>
        <v>0.54703424484331731</v>
      </c>
      <c r="N87" s="473">
        <f t="shared" si="25"/>
        <v>0.50186627967276809</v>
      </c>
      <c r="O87" s="473">
        <f t="shared" si="25"/>
        <v>0.46042777951630098</v>
      </c>
      <c r="P87" s="473">
        <f t="shared" si="25"/>
        <v>0.42241080689568894</v>
      </c>
      <c r="Q87" s="473">
        <f t="shared" si="25"/>
        <v>0.38753285036301738</v>
      </c>
      <c r="R87" s="473">
        <f t="shared" si="25"/>
        <v>0.35553472510368567</v>
      </c>
      <c r="S87" s="473">
        <f t="shared" si="25"/>
        <v>0.32617864688411524</v>
      </c>
      <c r="T87" s="473">
        <f t="shared" si="25"/>
        <v>0.29924646503129837</v>
      </c>
      <c r="U87" s="473">
        <f t="shared" si="25"/>
        <v>0.27453804131311776</v>
      </c>
      <c r="V87" s="473">
        <f t="shared" si="25"/>
        <v>0.2518697626725851</v>
      </c>
      <c r="W87" s="473">
        <f t="shared" si="25"/>
        <v>0.23107317676383954</v>
      </c>
      <c r="X87" s="473">
        <f t="shared" si="25"/>
        <v>0.21199374015031147</v>
      </c>
      <c r="Y87" s="473">
        <f t="shared" si="25"/>
        <v>0.19448966986267105</v>
      </c>
      <c r="Z87" s="473">
        <f t="shared" si="25"/>
        <v>0.17843088978226704</v>
      </c>
      <c r="AA87" s="473">
        <f t="shared" si="25"/>
        <v>0.16369806402042844</v>
      </c>
      <c r="AB87" s="473">
        <f t="shared" si="25"/>
        <v>0.15018171011048481</v>
      </c>
      <c r="AC87" s="473">
        <f t="shared" si="25"/>
        <v>0.13778138542246313</v>
      </c>
      <c r="AD87" s="473">
        <f t="shared" si="25"/>
        <v>0.12640494075455333</v>
      </c>
      <c r="AE87" s="473">
        <f t="shared" si="25"/>
        <v>0.11596783555463605</v>
      </c>
      <c r="AF87" s="473">
        <f t="shared" si="25"/>
        <v>0.10639250968315234</v>
      </c>
      <c r="AG87" s="473">
        <f t="shared" si="25"/>
        <v>9.7607807048763609E-2</v>
      </c>
      <c r="AH87" s="473">
        <f t="shared" si="25"/>
        <v>8.954844683372809E-2</v>
      </c>
      <c r="AI87" s="473">
        <f t="shared" si="25"/>
        <v>8.2154538379567044E-2</v>
      </c>
      <c r="AJ87" s="473">
        <f t="shared" si="25"/>
        <v>7.5371136128043151E-2</v>
      </c>
      <c r="AK87" s="473">
        <f t="shared" si="25"/>
        <v>0</v>
      </c>
      <c r="AL87" s="473">
        <f t="shared" si="25"/>
        <v>0</v>
      </c>
      <c r="AM87" s="473">
        <f t="shared" si="25"/>
        <v>0</v>
      </c>
      <c r="AN87" s="473">
        <f t="shared" si="25"/>
        <v>0</v>
      </c>
    </row>
    <row r="88" spans="3:40" outlineLevel="2">
      <c r="C88" s="266"/>
      <c r="D88" s="266"/>
      <c r="E88" s="266"/>
      <c r="F88" s="266"/>
      <c r="G88" s="266"/>
      <c r="H88" s="266"/>
      <c r="I88" s="266"/>
      <c r="J88" s="266"/>
      <c r="K88" s="266"/>
      <c r="L88" s="266"/>
      <c r="M88" s="266"/>
      <c r="N88" s="266"/>
      <c r="O88" s="266"/>
      <c r="P88" s="266"/>
      <c r="Q88" s="266"/>
      <c r="R88" s="266"/>
      <c r="S88" s="266"/>
      <c r="T88" s="266"/>
      <c r="U88" s="266"/>
      <c r="V88" s="266"/>
      <c r="W88" s="266"/>
      <c r="X88" s="266"/>
      <c r="Y88" s="266"/>
      <c r="Z88" s="266"/>
      <c r="AA88" s="266"/>
      <c r="AB88" s="266"/>
      <c r="AC88" s="266"/>
      <c r="AD88" s="266"/>
      <c r="AE88" s="266"/>
      <c r="AF88" s="266"/>
      <c r="AG88" s="266"/>
      <c r="AH88" s="266"/>
      <c r="AI88" s="266"/>
      <c r="AJ88" s="266"/>
      <c r="AK88" s="266"/>
      <c r="AL88" s="266"/>
      <c r="AM88" s="266"/>
      <c r="AN88" s="266"/>
    </row>
    <row r="89" spans="3:40" outlineLevel="2">
      <c r="C89" s="11" t="s">
        <v>694</v>
      </c>
      <c r="D89" s="266"/>
      <c r="E89" s="266"/>
      <c r="F89" s="266"/>
      <c r="G89" s="266"/>
      <c r="H89" s="266"/>
      <c r="I89" s="266"/>
      <c r="J89" s="266"/>
      <c r="K89" s="266"/>
      <c r="L89" s="266"/>
      <c r="M89" s="266"/>
      <c r="N89" s="266"/>
      <c r="O89" s="266"/>
      <c r="P89" s="266"/>
      <c r="Q89" s="266"/>
      <c r="R89" s="266"/>
      <c r="S89" s="266"/>
      <c r="T89" s="266"/>
      <c r="U89" s="266"/>
      <c r="V89" s="266"/>
      <c r="W89" s="266"/>
      <c r="X89" s="266"/>
      <c r="Y89" s="266"/>
      <c r="Z89" s="266"/>
      <c r="AA89" s="266"/>
      <c r="AB89" s="266"/>
      <c r="AC89" s="266"/>
      <c r="AD89" s="266"/>
      <c r="AE89" s="266"/>
      <c r="AF89" s="266"/>
      <c r="AG89" s="266"/>
      <c r="AH89" s="266"/>
      <c r="AI89" s="266"/>
      <c r="AJ89" s="266"/>
      <c r="AK89" s="266"/>
      <c r="AL89" s="266"/>
      <c r="AM89" s="266"/>
      <c r="AN89" s="266"/>
    </row>
    <row r="90" spans="3:40" outlineLevel="3">
      <c r="C90" s="266" t="s">
        <v>696</v>
      </c>
      <c r="D90" s="79">
        <f>SUM(G90:AN90)</f>
        <v>207144.88885427694</v>
      </c>
      <c r="E90" s="266"/>
      <c r="F90" s="266"/>
      <c r="G90" s="346">
        <f t="shared" ref="G90:AN90" si="26">G87*G78</f>
        <v>12439.341112486622</v>
      </c>
      <c r="H90" s="346">
        <f t="shared" si="26"/>
        <v>13363.264330563223</v>
      </c>
      <c r="I90" s="346">
        <f>I87*I78</f>
        <v>15111.086597876261</v>
      </c>
      <c r="J90" s="346">
        <f t="shared" si="26"/>
        <v>13985.648644100418</v>
      </c>
      <c r="K90" s="346">
        <f t="shared" si="26"/>
        <v>12930.68472111162</v>
      </c>
      <c r="L90" s="346">
        <f t="shared" si="26"/>
        <v>11723.059913334198</v>
      </c>
      <c r="M90" s="346">
        <f t="shared" si="26"/>
        <v>11496.623088753397</v>
      </c>
      <c r="N90" s="346">
        <f t="shared" si="26"/>
        <v>10609.439577761696</v>
      </c>
      <c r="O90" s="346">
        <f t="shared" si="26"/>
        <v>9879.2180927105583</v>
      </c>
      <c r="P90" s="346">
        <f t="shared" si="26"/>
        <v>9164.0471619093369</v>
      </c>
      <c r="Q90" s="346">
        <f t="shared" si="26"/>
        <v>8475.6331471183112</v>
      </c>
      <c r="R90" s="346">
        <f t="shared" si="26"/>
        <v>7839.4081892869062</v>
      </c>
      <c r="S90" s="346">
        <f t="shared" si="26"/>
        <v>7076.6262217550457</v>
      </c>
      <c r="T90" s="346">
        <f t="shared" si="26"/>
        <v>6468.8607809458308</v>
      </c>
      <c r="U90" s="346">
        <f t="shared" si="26"/>
        <v>6053.1394763881408</v>
      </c>
      <c r="V90" s="346">
        <f t="shared" si="26"/>
        <v>5540.0064761236672</v>
      </c>
      <c r="W90" s="346">
        <f t="shared" si="26"/>
        <v>5135.2967078406955</v>
      </c>
      <c r="X90" s="346">
        <f t="shared" si="26"/>
        <v>4739.4401314416064</v>
      </c>
      <c r="Y90" s="346">
        <f t="shared" si="26"/>
        <v>4403.8185869957188</v>
      </c>
      <c r="Z90" s="346">
        <f t="shared" si="26"/>
        <v>3969.4266937900352</v>
      </c>
      <c r="AA90" s="346">
        <f t="shared" si="26"/>
        <v>3669.1203630873838</v>
      </c>
      <c r="AB90" s="346">
        <f t="shared" si="26"/>
        <v>3434.5158780035099</v>
      </c>
      <c r="AC90" s="346">
        <f t="shared" si="26"/>
        <v>3211.9888858901563</v>
      </c>
      <c r="AD90" s="346">
        <f t="shared" si="26"/>
        <v>2968.5809084179641</v>
      </c>
      <c r="AE90" s="346">
        <f t="shared" si="26"/>
        <v>2743.6740709716782</v>
      </c>
      <c r="AF90" s="346">
        <f t="shared" si="26"/>
        <v>2520.2257511344646</v>
      </c>
      <c r="AG90" s="346">
        <f t="shared" si="26"/>
        <v>2282.4732736034475</v>
      </c>
      <c r="AH90" s="346">
        <f t="shared" si="26"/>
        <v>2108.6365838999081</v>
      </c>
      <c r="AI90" s="346">
        <f t="shared" si="26"/>
        <v>1968.8216917292423</v>
      </c>
      <c r="AJ90" s="346">
        <f t="shared" si="26"/>
        <v>1832.7817952459161</v>
      </c>
      <c r="AK90" s="346">
        <f t="shared" si="26"/>
        <v>0</v>
      </c>
      <c r="AL90" s="346">
        <f t="shared" si="26"/>
        <v>0</v>
      </c>
      <c r="AM90" s="346">
        <f t="shared" si="26"/>
        <v>0</v>
      </c>
      <c r="AN90" s="346">
        <f t="shared" si="26"/>
        <v>0</v>
      </c>
    </row>
    <row r="91" spans="3:40" outlineLevel="2">
      <c r="C91"/>
      <c r="D91"/>
      <c r="E91" s="76"/>
      <c r="F91" s="266"/>
      <c r="G91" s="266"/>
      <c r="H91" s="266"/>
      <c r="I91" s="266"/>
      <c r="J91" s="266"/>
      <c r="K91" s="266"/>
      <c r="L91" s="266"/>
      <c r="M91" s="266"/>
      <c r="N91" s="266"/>
      <c r="O91" s="266"/>
      <c r="P91" s="266"/>
      <c r="Q91" s="266"/>
      <c r="R91" s="266"/>
      <c r="S91" s="266"/>
      <c r="T91" s="266"/>
      <c r="U91" s="266"/>
      <c r="V91" s="266"/>
      <c r="W91" s="266"/>
      <c r="X91" s="266"/>
      <c r="Y91" s="266"/>
      <c r="Z91" s="266"/>
      <c r="AA91" s="266"/>
      <c r="AB91" s="266"/>
      <c r="AC91" s="266"/>
      <c r="AD91" s="266"/>
      <c r="AE91" s="266"/>
      <c r="AF91" s="266"/>
      <c r="AG91" s="266"/>
      <c r="AH91" s="266"/>
      <c r="AI91" s="266"/>
      <c r="AJ91" s="266"/>
      <c r="AK91" s="266"/>
      <c r="AL91" s="266"/>
      <c r="AM91" s="266"/>
      <c r="AN91" s="266"/>
    </row>
    <row r="92" spans="3:40" outlineLevel="1">
      <c r="C92" s="266"/>
      <c r="D92" s="266"/>
      <c r="E92" s="266"/>
      <c r="F92" s="266"/>
      <c r="G92" s="266"/>
      <c r="H92" s="266"/>
      <c r="I92" s="266"/>
      <c r="J92" s="266"/>
      <c r="K92" s="266"/>
      <c r="L92" s="266"/>
      <c r="M92" s="266"/>
      <c r="N92" s="266"/>
      <c r="O92" s="266"/>
      <c r="P92" s="266"/>
      <c r="Q92" s="266"/>
      <c r="R92" s="266"/>
      <c r="S92" s="266"/>
      <c r="T92" s="266"/>
      <c r="U92" s="266"/>
      <c r="V92" s="266"/>
      <c r="W92" s="266"/>
      <c r="X92" s="266"/>
      <c r="Y92" s="266"/>
      <c r="Z92" s="266"/>
      <c r="AA92" s="266"/>
      <c r="AB92" s="266"/>
      <c r="AC92" s="266"/>
      <c r="AD92" s="266"/>
      <c r="AE92" s="266"/>
      <c r="AF92" s="266"/>
      <c r="AG92" s="266"/>
      <c r="AH92" s="266"/>
      <c r="AI92" s="266"/>
      <c r="AJ92" s="266"/>
      <c r="AK92" s="266"/>
      <c r="AL92" s="266"/>
      <c r="AM92" s="266"/>
      <c r="AN92" s="266"/>
    </row>
    <row r="93" spans="3:40" outlineLevel="1">
      <c r="C93" s="11" t="s">
        <v>700</v>
      </c>
      <c r="D93" s="266"/>
      <c r="E93" s="266"/>
      <c r="F93" s="266"/>
      <c r="G93" s="266"/>
      <c r="H93" s="266"/>
      <c r="I93" s="266"/>
      <c r="J93" s="266"/>
      <c r="K93" s="266"/>
      <c r="L93" s="266"/>
      <c r="M93" s="266"/>
      <c r="N93" s="266"/>
      <c r="O93" s="266"/>
      <c r="P93" s="266"/>
      <c r="Q93" s="266"/>
      <c r="R93" s="266"/>
      <c r="S93" s="266"/>
      <c r="T93" s="266"/>
      <c r="U93" s="266"/>
      <c r="V93" s="266"/>
      <c r="W93" s="266"/>
      <c r="X93" s="266"/>
      <c r="Y93" s="266"/>
      <c r="Z93" s="266"/>
      <c r="AA93" s="266"/>
      <c r="AB93" s="266"/>
      <c r="AC93" s="266"/>
      <c r="AD93" s="266"/>
      <c r="AE93" s="266"/>
      <c r="AF93" s="266"/>
      <c r="AG93" s="266"/>
      <c r="AH93" s="266"/>
      <c r="AI93" s="266"/>
      <c r="AJ93" s="266"/>
      <c r="AK93" s="266"/>
      <c r="AL93" s="266"/>
      <c r="AM93" s="266"/>
      <c r="AN93" s="266"/>
    </row>
    <row r="94" spans="3:40" ht="16.2" outlineLevel="2" thickBot="1">
      <c r="C94" s="11"/>
      <c r="D94" s="266"/>
      <c r="E94" s="266"/>
      <c r="F94" s="266"/>
      <c r="G94" s="266"/>
      <c r="H94" s="266"/>
      <c r="I94" s="266"/>
      <c r="J94" s="266"/>
      <c r="K94" s="266"/>
      <c r="L94" s="266"/>
      <c r="M94" s="266"/>
      <c r="N94" s="266"/>
      <c r="O94" s="266"/>
      <c r="P94" s="266"/>
      <c r="Q94" s="266"/>
      <c r="R94" s="266"/>
      <c r="S94" s="266"/>
      <c r="T94" s="266"/>
      <c r="U94" s="266"/>
      <c r="V94" s="266"/>
      <c r="W94" s="266"/>
      <c r="X94" s="266"/>
      <c r="Y94" s="266"/>
      <c r="Z94" s="266"/>
      <c r="AA94" s="266"/>
      <c r="AB94" s="266"/>
      <c r="AC94" s="266"/>
      <c r="AD94" s="266"/>
      <c r="AE94" s="266"/>
      <c r="AF94" s="266"/>
      <c r="AG94" s="266"/>
      <c r="AH94" s="266"/>
      <c r="AI94" s="266"/>
      <c r="AJ94" s="266"/>
      <c r="AK94" s="266"/>
      <c r="AL94" s="266"/>
      <c r="AM94" s="266"/>
      <c r="AN94" s="266"/>
    </row>
    <row r="95" spans="3:40" outlineLevel="2">
      <c r="C95" s="131" t="str">
        <f>C62&amp;": "&amp;C63</f>
        <v>Valor Presente: Obra Pública + Operação Própria</v>
      </c>
      <c r="D95" s="358">
        <f ca="1">D63</f>
        <v>217402.69864399405</v>
      </c>
      <c r="E95" s="278"/>
      <c r="F95" s="266"/>
      <c r="G95" s="266"/>
      <c r="H95" s="266"/>
      <c r="I95" s="266"/>
      <c r="J95" s="266"/>
      <c r="K95" s="266"/>
      <c r="L95" s="266"/>
      <c r="M95" s="266"/>
      <c r="N95" s="266"/>
      <c r="O95" s="266"/>
      <c r="P95" s="266"/>
      <c r="Q95" s="266"/>
      <c r="R95" s="266"/>
      <c r="S95" s="266"/>
      <c r="T95" s="266"/>
      <c r="U95" s="266"/>
      <c r="V95" s="266"/>
      <c r="W95" s="266"/>
      <c r="X95" s="266"/>
      <c r="Y95" s="266"/>
      <c r="Z95" s="266"/>
      <c r="AA95" s="266"/>
      <c r="AB95" s="266"/>
      <c r="AC95" s="266"/>
      <c r="AD95" s="266"/>
      <c r="AE95" s="266"/>
      <c r="AF95" s="266"/>
      <c r="AG95" s="266"/>
      <c r="AH95" s="266"/>
      <c r="AI95" s="266"/>
      <c r="AJ95" s="266"/>
      <c r="AK95" s="266"/>
      <c r="AL95" s="266"/>
      <c r="AM95" s="266"/>
      <c r="AN95" s="266"/>
    </row>
    <row r="96" spans="3:40" outlineLevel="2">
      <c r="C96" s="132" t="str">
        <f>C89&amp;": "&amp;C90</f>
        <v>Valor Presente: Contraprestação</v>
      </c>
      <c r="D96" s="359">
        <f>D90</f>
        <v>207144.88885427694</v>
      </c>
      <c r="E96" s="278"/>
      <c r="F96" s="266"/>
      <c r="G96" s="266"/>
      <c r="H96" s="266"/>
      <c r="I96" s="266"/>
      <c r="J96" s="266"/>
      <c r="K96" s="266"/>
      <c r="L96" s="266"/>
      <c r="M96" s="266"/>
      <c r="N96" s="266"/>
      <c r="O96" s="266"/>
      <c r="P96" s="266"/>
      <c r="Q96" s="266"/>
      <c r="R96" s="266"/>
      <c r="S96" s="266"/>
      <c r="T96" s="266"/>
      <c r="U96" s="266"/>
      <c r="V96" s="266"/>
      <c r="W96" s="266"/>
      <c r="X96" s="266"/>
      <c r="Y96" s="266"/>
      <c r="Z96" s="266"/>
      <c r="AA96" s="266"/>
      <c r="AB96" s="266"/>
      <c r="AC96" s="266"/>
      <c r="AD96" s="266"/>
      <c r="AE96" s="266"/>
      <c r="AF96" s="266"/>
      <c r="AG96" s="266"/>
      <c r="AH96" s="266"/>
      <c r="AI96" s="266"/>
      <c r="AJ96" s="266"/>
      <c r="AK96" s="266"/>
      <c r="AL96" s="266"/>
      <c r="AM96" s="266"/>
      <c r="AN96" s="266"/>
    </row>
    <row r="97" spans="3:40" ht="16.2" outlineLevel="2" thickBot="1">
      <c r="C97" s="133" t="s">
        <v>701</v>
      </c>
      <c r="D97" s="360" t="str">
        <f ca="1">IF(D96&gt;D95,$C$42,$C$67)</f>
        <v>PPP</v>
      </c>
      <c r="E97" s="266"/>
      <c r="F97" s="266"/>
      <c r="G97" s="266"/>
      <c r="H97" s="266"/>
      <c r="I97" s="266"/>
      <c r="J97" s="266"/>
      <c r="K97" s="266"/>
      <c r="L97" s="266"/>
      <c r="M97" s="266"/>
      <c r="N97" s="266"/>
      <c r="O97" s="266"/>
      <c r="P97" s="266"/>
      <c r="Q97" s="266"/>
      <c r="R97" s="266"/>
      <c r="S97" s="266"/>
      <c r="T97" s="266"/>
      <c r="U97" s="266"/>
      <c r="V97" s="266"/>
      <c r="W97" s="266"/>
      <c r="X97" s="266"/>
      <c r="Y97" s="266"/>
      <c r="Z97" s="266"/>
      <c r="AA97" s="266"/>
      <c r="AB97" s="266"/>
      <c r="AC97" s="266"/>
      <c r="AD97" s="266"/>
      <c r="AE97" s="266"/>
      <c r="AF97" s="266"/>
      <c r="AG97" s="266"/>
      <c r="AH97" s="266"/>
      <c r="AI97" s="266"/>
      <c r="AJ97" s="266"/>
      <c r="AK97" s="266"/>
      <c r="AL97" s="266"/>
      <c r="AM97" s="266"/>
      <c r="AN97" s="266"/>
    </row>
    <row r="98" spans="3:40" outlineLevel="2">
      <c r="C98" s="11"/>
      <c r="D98" s="278"/>
      <c r="E98" s="266"/>
      <c r="F98" s="266"/>
      <c r="G98" s="266"/>
      <c r="H98" s="266"/>
      <c r="I98" s="266"/>
      <c r="J98" s="266"/>
      <c r="K98" s="266"/>
      <c r="L98" s="266"/>
      <c r="M98" s="266"/>
      <c r="N98" s="266"/>
      <c r="O98" s="266"/>
      <c r="P98" s="266"/>
      <c r="Q98" s="266"/>
      <c r="R98" s="266"/>
      <c r="S98" s="266"/>
      <c r="T98" s="266"/>
      <c r="U98" s="266"/>
      <c r="V98" s="266"/>
      <c r="W98" s="266"/>
      <c r="X98" s="266"/>
      <c r="Y98" s="266"/>
      <c r="Z98" s="266"/>
      <c r="AA98" s="266"/>
      <c r="AB98" s="266"/>
      <c r="AC98" s="266"/>
      <c r="AD98" s="266"/>
      <c r="AE98" s="266"/>
      <c r="AF98" s="266"/>
      <c r="AG98" s="266"/>
      <c r="AH98" s="266"/>
      <c r="AI98" s="266"/>
      <c r="AJ98" s="266"/>
      <c r="AK98" s="266"/>
      <c r="AL98" s="266"/>
      <c r="AM98" s="266"/>
      <c r="AN98" s="266"/>
    </row>
    <row r="99" spans="3:40" outlineLevel="1">
      <c r="C99" s="11"/>
      <c r="D99" s="266"/>
      <c r="E99" s="266"/>
      <c r="F99" s="266"/>
      <c r="G99" s="266"/>
      <c r="H99" s="266"/>
      <c r="I99" s="266"/>
      <c r="J99" s="266"/>
      <c r="K99" s="266"/>
      <c r="L99" s="266"/>
      <c r="M99" s="266"/>
      <c r="N99" s="266"/>
      <c r="O99" s="266"/>
      <c r="P99" s="266"/>
      <c r="Q99" s="266"/>
      <c r="R99" s="266"/>
      <c r="S99" s="266"/>
      <c r="T99" s="266"/>
      <c r="U99" s="266"/>
      <c r="V99" s="266"/>
      <c r="W99" s="266"/>
      <c r="X99" s="266"/>
      <c r="Y99" s="266"/>
      <c r="Z99" s="266"/>
      <c r="AA99" s="266"/>
      <c r="AB99" s="266"/>
      <c r="AC99" s="266"/>
      <c r="AD99" s="266"/>
      <c r="AE99" s="266"/>
      <c r="AF99" s="266"/>
      <c r="AG99" s="266"/>
      <c r="AH99" s="266"/>
      <c r="AI99" s="266"/>
      <c r="AJ99" s="266"/>
      <c r="AK99" s="266"/>
      <c r="AL99" s="266"/>
      <c r="AM99" s="266"/>
      <c r="AN99" s="266"/>
    </row>
    <row r="100" spans="3:40">
      <c r="C100" s="11"/>
      <c r="D100" s="266"/>
      <c r="E100" s="266"/>
      <c r="F100" s="266"/>
      <c r="G100" s="266"/>
      <c r="H100" s="266"/>
      <c r="I100" s="266"/>
      <c r="J100" s="266"/>
      <c r="K100" s="266"/>
      <c r="L100" s="266"/>
      <c r="M100" s="266"/>
      <c r="N100" s="266"/>
      <c r="O100" s="266"/>
      <c r="P100" s="266"/>
      <c r="Q100" s="266"/>
      <c r="R100" s="266"/>
      <c r="S100" s="266"/>
      <c r="T100" s="266"/>
      <c r="U100" s="266"/>
      <c r="V100" s="266"/>
      <c r="W100" s="266"/>
      <c r="X100" s="266"/>
      <c r="Y100" s="266"/>
      <c r="Z100" s="266"/>
      <c r="AA100" s="266"/>
      <c r="AB100" s="266"/>
      <c r="AC100" s="266"/>
      <c r="AD100" s="266"/>
      <c r="AE100" s="266"/>
      <c r="AF100" s="266"/>
      <c r="AG100" s="266"/>
      <c r="AH100" s="266"/>
      <c r="AI100" s="266"/>
      <c r="AJ100" s="266"/>
      <c r="AK100" s="266"/>
      <c r="AL100" s="266"/>
      <c r="AM100" s="266"/>
      <c r="AN100" s="266"/>
    </row>
    <row r="101" spans="3:40">
      <c r="C101" s="11"/>
      <c r="D101" s="266"/>
      <c r="E101" s="266"/>
      <c r="F101" s="266"/>
      <c r="G101" s="266"/>
      <c r="H101" s="266"/>
      <c r="I101" s="266"/>
      <c r="J101" s="266"/>
      <c r="K101" s="266"/>
      <c r="L101" s="266"/>
      <c r="M101" s="266"/>
      <c r="N101" s="266"/>
      <c r="O101" s="266"/>
      <c r="P101" s="266"/>
      <c r="Q101" s="266"/>
      <c r="R101" s="266"/>
      <c r="S101" s="266"/>
      <c r="T101" s="266"/>
      <c r="U101" s="266"/>
      <c r="V101" s="266"/>
      <c r="W101" s="266"/>
      <c r="X101" s="266"/>
      <c r="Y101" s="266"/>
      <c r="Z101" s="266"/>
      <c r="AA101" s="266"/>
      <c r="AB101" s="266"/>
      <c r="AC101" s="266"/>
      <c r="AD101" s="266"/>
      <c r="AE101" s="266"/>
      <c r="AF101" s="266"/>
      <c r="AG101" s="266"/>
      <c r="AH101" s="266"/>
      <c r="AI101" s="266"/>
      <c r="AJ101" s="266"/>
      <c r="AK101" s="266"/>
      <c r="AL101" s="266"/>
      <c r="AM101" s="266"/>
      <c r="AN101" s="266"/>
    </row>
    <row r="102" spans="3:40">
      <c r="C102" s="11"/>
      <c r="D102" s="266"/>
      <c r="E102" s="266"/>
      <c r="F102" s="266"/>
      <c r="G102" s="266"/>
      <c r="H102" s="266"/>
      <c r="I102" s="266"/>
      <c r="J102" s="266"/>
      <c r="K102" s="266"/>
      <c r="L102" s="266"/>
      <c r="M102" s="266"/>
      <c r="N102" s="266"/>
      <c r="O102" s="266"/>
      <c r="P102" s="266"/>
      <c r="Q102" s="266"/>
      <c r="R102" s="266"/>
      <c r="S102" s="266"/>
      <c r="T102" s="266"/>
      <c r="U102" s="266"/>
      <c r="V102" s="266"/>
      <c r="W102" s="266"/>
      <c r="X102" s="266"/>
      <c r="Y102" s="266"/>
      <c r="Z102" s="266"/>
      <c r="AA102" s="266"/>
      <c r="AB102" s="266"/>
      <c r="AC102" s="266"/>
      <c r="AD102" s="266"/>
      <c r="AE102" s="266"/>
      <c r="AF102" s="266"/>
      <c r="AG102" s="266"/>
      <c r="AH102" s="266"/>
      <c r="AI102" s="266"/>
      <c r="AJ102" s="266"/>
      <c r="AK102" s="266"/>
      <c r="AL102" s="266"/>
      <c r="AM102" s="266"/>
      <c r="AN102" s="266"/>
    </row>
    <row r="103" spans="3:40">
      <c r="C103" s="301"/>
      <c r="E103" s="41"/>
      <c r="F103" s="266"/>
      <c r="G103"/>
      <c r="H103"/>
      <c r="I103"/>
      <c r="J103"/>
      <c r="K103"/>
      <c r="L103"/>
      <c r="M103"/>
      <c r="N103"/>
      <c r="O103"/>
      <c r="P103"/>
      <c r="Q103"/>
      <c r="R103"/>
      <c r="S103" s="27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</row>
    <row r="104" spans="3:40">
      <c r="C104" s="266"/>
      <c r="D104" s="266"/>
      <c r="E104" s="266"/>
      <c r="F104" s="266"/>
      <c r="G104" s="266"/>
      <c r="H104" s="266"/>
      <c r="I104" s="266"/>
      <c r="J104" s="266"/>
      <c r="K104" s="266"/>
      <c r="L104" s="266"/>
      <c r="M104" s="266"/>
      <c r="N104" s="266"/>
      <c r="O104" s="266"/>
      <c r="P104" s="266"/>
      <c r="Q104" s="266"/>
      <c r="R104" s="266"/>
      <c r="S104" s="266"/>
      <c r="T104" s="266"/>
      <c r="U104" s="266"/>
      <c r="V104" s="266"/>
      <c r="W104" s="266"/>
      <c r="X104" s="266"/>
      <c r="Y104" s="266"/>
      <c r="Z104" s="266"/>
      <c r="AA104" s="266"/>
      <c r="AB104" s="266"/>
      <c r="AC104" s="266"/>
      <c r="AD104" s="266"/>
      <c r="AE104" s="266"/>
      <c r="AF104" s="266"/>
      <c r="AG104" s="266"/>
      <c r="AH104" s="266"/>
      <c r="AI104" s="266"/>
      <c r="AJ104" s="266"/>
      <c r="AK104" s="266"/>
      <c r="AL104" s="266"/>
      <c r="AM104" s="266"/>
      <c r="AN104" s="266"/>
    </row>
  </sheetData>
  <conditionalFormatting sqref="G45:AN45">
    <cfRule type="cellIs" dxfId="22" priority="1" operator="equal">
      <formula>1</formula>
    </cfRule>
  </conditionalFormatting>
  <pageMargins left="0.7" right="0.7" top="0.75" bottom="0.75" header="0.3" footer="0.3"/>
  <pageSetup paperSize="9" scale="25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7" operator="equal" id="{F5DD190F-3AF1-478F-A754-61F5F3D42228}">
            <xm:f>Flags!$C$89</xm:f>
            <x14:dxf>
              <fill>
                <patternFill patternType="mediumGray">
                  <fgColor theme="8" tint="-0.24994659260841701"/>
                </patternFill>
              </fill>
            </x14:dxf>
          </x14:cfRule>
          <x14:cfRule type="cellIs" priority="28" operator="equal" id="{785B5D3A-CD80-464F-BFF3-32590BE8951F}">
            <xm:f>Flags!$C$88</xm:f>
            <x14:dxf>
              <fill>
                <patternFill patternType="mediumGray">
                  <fgColor theme="9" tint="0.59996337778862885"/>
                </patternFill>
              </fill>
            </x14:dxf>
          </x14:cfRule>
          <x14:cfRule type="cellIs" priority="29" operator="equal" id="{336C7975-A56E-43AE-9A0A-DBA3F5691A7C}">
            <xm:f>Flags!$C$87</xm:f>
            <x14:dxf>
              <fill>
                <patternFill patternType="mediumGray">
                  <fgColor theme="5" tint="0.39994506668294322"/>
                </patternFill>
              </fill>
            </x14:dxf>
          </x14:cfRule>
          <x14:cfRule type="cellIs" priority="30" operator="equal" id="{90A99DFA-D30D-4B37-867E-F3CC8D5479BF}">
            <xm:f>Flags!$C$86</xm:f>
            <x14:dxf>
              <fill>
                <patternFill patternType="mediumGray">
                  <fgColor rgb="FF0070C0"/>
                </patternFill>
              </fill>
            </x14:dxf>
          </x14:cfRule>
          <x14:cfRule type="cellIs" priority="31" operator="equal" id="{8E0EEB07-238A-426A-AB42-063A02181EC3}">
            <xm:f>Flags!$C$85</xm:f>
            <x14:dxf>
              <fill>
                <patternFill patternType="mediumGray">
                  <fgColor theme="4" tint="0.39994506668294322"/>
                </patternFill>
              </fill>
            </x14:dxf>
          </x14:cfRule>
          <x14:cfRule type="cellIs" priority="228" operator="equal" id="{AC9DF33C-8A40-484C-949B-1A02193B2FA8}">
            <xm:f>Flags!#REF!</xm:f>
            <x14:dxf>
              <fill>
                <patternFill patternType="lightGray">
                  <bgColor theme="3" tint="0.79998168889431442"/>
                </patternFill>
              </fill>
            </x14:dxf>
          </x14:cfRule>
          <x14:cfRule type="cellIs" priority="229" operator="equal" id="{1893F648-826C-417D-8610-B6DC584371CD}">
            <xm:f>Flags!#REF!</xm:f>
            <x14:dxf>
              <fill>
                <patternFill patternType="mediumGray">
                  <fgColor theme="8" tint="-0.24994659260841701"/>
                </patternFill>
              </fill>
            </x14:dxf>
          </x14:cfRule>
          <x14:cfRule type="cellIs" priority="230" operator="equal" id="{C6A2203B-86E0-4273-8FF0-6B854ECCD690}">
            <xm:f>Flags!$C$88</xm:f>
            <x14:dxf>
              <fill>
                <patternFill patternType="mediumGray">
                  <fgColor theme="9" tint="0.59996337778862885"/>
                </patternFill>
              </fill>
            </x14:dxf>
          </x14:cfRule>
          <x14:cfRule type="cellIs" priority="231" operator="equal" id="{A6C1925A-781B-4FFB-ABB2-448F20D8BEE5}">
            <xm:f>Flags!$C$87</xm:f>
            <x14:dxf>
              <fill>
                <patternFill patternType="mediumGray">
                  <fgColor theme="5" tint="0.39994506668294322"/>
                </patternFill>
              </fill>
            </x14:dxf>
          </x14:cfRule>
          <x14:cfRule type="cellIs" priority="232" operator="equal" id="{658399E4-F84C-4627-9EB5-DFEB404B03B0}">
            <xm:f>Flags!$C$86</xm:f>
            <x14:dxf>
              <fill>
                <patternFill patternType="mediumGray">
                  <fgColor rgb="FF0070C0"/>
                </patternFill>
              </fill>
            </x14:dxf>
          </x14:cfRule>
          <x14:cfRule type="cellIs" priority="233" operator="equal" id="{24D6CD82-0EEF-4DC0-8DAB-B87C0C5BA5AD}">
            <xm:f>Flags!$C$85</xm:f>
            <x14:dxf>
              <fill>
                <patternFill patternType="mediumGray">
                  <fgColor theme="4" tint="0.39994506668294322"/>
                </patternFill>
              </fill>
            </x14:dxf>
          </x14:cfRule>
          <xm:sqref>G7:AN7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66BAF-F6E6-441D-9F72-76D47B0923F4}">
  <sheetPr>
    <tabColor rgb="FF0091DA"/>
  </sheetPr>
  <dimension ref="B3:Q34"/>
  <sheetViews>
    <sheetView showGridLines="0" view="pageBreakPreview" topLeftCell="C4" zoomScale="130" zoomScaleNormal="90" zoomScaleSheetLayoutView="130" workbookViewId="0">
      <selection activeCell="AM95" sqref="AM95"/>
    </sheetView>
  </sheetViews>
  <sheetFormatPr defaultColWidth="7.6640625" defaultRowHeight="15.6"/>
  <cols>
    <col min="1" max="1" width="4" style="863" customWidth="1"/>
    <col min="2" max="2" width="15.109375" style="863" bestFit="1" customWidth="1"/>
    <col min="3" max="3" width="34.44140625" style="863" bestFit="1" customWidth="1"/>
    <col min="4" max="4" width="9" style="863" bestFit="1" customWidth="1"/>
    <col min="5" max="5" width="50" style="863" bestFit="1" customWidth="1"/>
    <col min="6" max="16384" width="7.6640625" style="863"/>
  </cols>
  <sheetData>
    <row r="3" spans="2:17">
      <c r="B3" s="902" t="s">
        <v>1488</v>
      </c>
      <c r="C3" s="903"/>
      <c r="D3" s="903"/>
      <c r="E3" s="904"/>
    </row>
    <row r="4" spans="2:17">
      <c r="B4" s="864" t="s">
        <v>1489</v>
      </c>
      <c r="C4" s="865"/>
      <c r="D4" s="865" t="s">
        <v>1490</v>
      </c>
      <c r="E4" s="866" t="s">
        <v>1491</v>
      </c>
    </row>
    <row r="5" spans="2:17">
      <c r="B5" s="867" t="s">
        <v>1492</v>
      </c>
      <c r="C5" s="868" t="s">
        <v>1493</v>
      </c>
      <c r="D5" s="869">
        <v>0.79</v>
      </c>
      <c r="E5" s="863" t="s">
        <v>1494</v>
      </c>
    </row>
    <row r="6" spans="2:17">
      <c r="B6" s="867" t="s">
        <v>1495</v>
      </c>
      <c r="C6" s="868" t="s">
        <v>1496</v>
      </c>
      <c r="D6" s="882">
        <v>1.4709921524663676</v>
      </c>
      <c r="E6" s="863" t="s">
        <v>1497</v>
      </c>
    </row>
    <row r="7" spans="2:17">
      <c r="B7" s="867" t="s">
        <v>1498</v>
      </c>
      <c r="C7" s="868" t="s">
        <v>1499</v>
      </c>
      <c r="D7" s="882">
        <v>0.34</v>
      </c>
      <c r="E7" s="863" t="s">
        <v>1500</v>
      </c>
    </row>
    <row r="8" spans="2:17">
      <c r="B8" s="867" t="s">
        <v>1501</v>
      </c>
      <c r="C8" s="868" t="s">
        <v>1502</v>
      </c>
      <c r="D8" s="883">
        <f>D5*(1+(1-D7)*D6)</f>
        <v>1.5569753082959641</v>
      </c>
      <c r="E8" s="863" t="s">
        <v>1503</v>
      </c>
    </row>
    <row r="9" spans="2:17">
      <c r="B9" s="870"/>
      <c r="C9" s="871"/>
      <c r="D9" s="870"/>
      <c r="E9" s="872"/>
    </row>
    <row r="10" spans="2:17">
      <c r="B10" s="867" t="s">
        <v>1504</v>
      </c>
      <c r="C10" s="868" t="s">
        <v>1505</v>
      </c>
      <c r="D10" s="881">
        <v>5.6300000000000003E-2</v>
      </c>
      <c r="E10" s="863" t="s">
        <v>1506</v>
      </c>
    </row>
    <row r="11" spans="2:17">
      <c r="B11" s="867" t="s">
        <v>1501</v>
      </c>
      <c r="C11" s="868" t="s">
        <v>1502</v>
      </c>
      <c r="D11" s="874">
        <f>D8</f>
        <v>1.5569753082959641</v>
      </c>
      <c r="E11" s="863" t="s">
        <v>1503</v>
      </c>
      <c r="J11" s="894"/>
      <c r="K11" s="894"/>
      <c r="L11" s="894"/>
      <c r="M11" s="894"/>
      <c r="N11" s="894"/>
      <c r="O11" s="894"/>
      <c r="P11" s="894"/>
      <c r="Q11" s="894"/>
    </row>
    <row r="12" spans="2:17">
      <c r="B12" s="867" t="s">
        <v>1507</v>
      </c>
      <c r="C12" s="868" t="s">
        <v>1508</v>
      </c>
      <c r="D12" s="881">
        <v>3.0634482758620674E-2</v>
      </c>
      <c r="E12" s="863" t="s">
        <v>1540</v>
      </c>
      <c r="J12" s="894"/>
      <c r="K12" s="894"/>
      <c r="L12" s="894"/>
      <c r="M12" s="894"/>
      <c r="N12" s="894"/>
      <c r="O12" s="894"/>
      <c r="P12" s="894"/>
      <c r="Q12" s="894"/>
    </row>
    <row r="13" spans="2:17" hidden="1">
      <c r="B13" s="867" t="s">
        <v>1509</v>
      </c>
      <c r="C13" s="868" t="s">
        <v>1510</v>
      </c>
      <c r="D13" s="873">
        <v>0</v>
      </c>
      <c r="E13" s="863" t="s">
        <v>1511</v>
      </c>
    </row>
    <row r="14" spans="2:17">
      <c r="B14" s="867" t="s">
        <v>1512</v>
      </c>
      <c r="C14" s="868" t="s">
        <v>1513</v>
      </c>
      <c r="D14" s="881">
        <v>0.01</v>
      </c>
      <c r="E14" s="863" t="s">
        <v>1514</v>
      </c>
    </row>
    <row r="15" spans="2:17" hidden="1">
      <c r="B15" s="867" t="s">
        <v>1515</v>
      </c>
      <c r="C15" s="868" t="s">
        <v>1516</v>
      </c>
      <c r="D15" s="884">
        <v>0</v>
      </c>
      <c r="E15" s="863" t="s">
        <v>1541</v>
      </c>
    </row>
    <row r="16" spans="2:17">
      <c r="B16" s="867" t="s">
        <v>1517</v>
      </c>
      <c r="C16" s="868" t="s">
        <v>1518</v>
      </c>
      <c r="D16" s="873">
        <f>D10+(D11*(D12)+D13+D15+D14)</f>
        <v>0.11399713323759082</v>
      </c>
      <c r="E16" s="863" t="s">
        <v>1519</v>
      </c>
    </row>
    <row r="17" spans="2:5">
      <c r="B17" s="870"/>
      <c r="C17" s="871"/>
      <c r="D17" s="870"/>
      <c r="E17" s="872"/>
    </row>
    <row r="18" spans="2:5" hidden="1">
      <c r="B18" s="867" t="s">
        <v>1520</v>
      </c>
      <c r="C18" s="868" t="s">
        <v>1521</v>
      </c>
      <c r="D18" s="881">
        <v>0</v>
      </c>
      <c r="E18" s="863" t="s">
        <v>1522</v>
      </c>
    </row>
    <row r="19" spans="2:5">
      <c r="B19" s="867" t="s">
        <v>1517</v>
      </c>
      <c r="C19" s="868" t="s">
        <v>1523</v>
      </c>
      <c r="D19" s="873">
        <f>D16</f>
        <v>0.11399713323759082</v>
      </c>
      <c r="E19" s="863" t="s">
        <v>1524</v>
      </c>
    </row>
    <row r="20" spans="2:5">
      <c r="B20" s="867" t="s">
        <v>363</v>
      </c>
      <c r="C20" s="868" t="s">
        <v>1525</v>
      </c>
      <c r="D20" s="873">
        <v>0.05</v>
      </c>
      <c r="E20" s="863" t="s">
        <v>1526</v>
      </c>
    </row>
    <row r="21" spans="2:5">
      <c r="B21" s="875" t="s">
        <v>1517</v>
      </c>
      <c r="C21" s="876" t="s">
        <v>1523</v>
      </c>
      <c r="D21" s="880">
        <f>D19+D20-D18</f>
        <v>0.16399713323759083</v>
      </c>
      <c r="E21" s="877" t="s">
        <v>1542</v>
      </c>
    </row>
    <row r="22" spans="2:5">
      <c r="B22" s="867"/>
    </row>
    <row r="23" spans="2:5">
      <c r="B23" s="867" t="s">
        <v>1517</v>
      </c>
      <c r="C23" s="868" t="s">
        <v>1523</v>
      </c>
      <c r="D23" s="878">
        <f>D21</f>
        <v>0.16399713323759083</v>
      </c>
      <c r="E23" s="863" t="s">
        <v>1542</v>
      </c>
    </row>
    <row r="24" spans="2:5">
      <c r="B24" s="879" t="s">
        <v>1528</v>
      </c>
      <c r="C24" s="868" t="s">
        <v>1529</v>
      </c>
      <c r="D24" s="881">
        <f>(10%+2.85%)</f>
        <v>0.1285</v>
      </c>
      <c r="E24" s="863" t="s">
        <v>1530</v>
      </c>
    </row>
    <row r="25" spans="2:5">
      <c r="B25" s="867" t="s">
        <v>1528</v>
      </c>
      <c r="C25" s="868" t="s">
        <v>1529</v>
      </c>
      <c r="D25" s="873">
        <f>D24-D20</f>
        <v>7.85E-2</v>
      </c>
      <c r="E25" s="863" t="s">
        <v>1527</v>
      </c>
    </row>
    <row r="26" spans="2:5">
      <c r="B26" s="867" t="s">
        <v>1498</v>
      </c>
      <c r="C26" s="868" t="s">
        <v>1499</v>
      </c>
      <c r="D26" s="881">
        <v>0.34</v>
      </c>
      <c r="E26" s="863" t="s">
        <v>1500</v>
      </c>
    </row>
    <row r="27" spans="2:5">
      <c r="B27" s="867" t="s">
        <v>1531</v>
      </c>
      <c r="C27" s="868" t="s">
        <v>1532</v>
      </c>
      <c r="D27" s="881">
        <f>D24*(1-D26)</f>
        <v>8.4809999999999997E-2</v>
      </c>
      <c r="E27" s="863" t="s">
        <v>1542</v>
      </c>
    </row>
    <row r="28" spans="2:5">
      <c r="B28" s="867" t="s">
        <v>1531</v>
      </c>
      <c r="C28" s="868" t="s">
        <v>1532</v>
      </c>
      <c r="D28" s="881">
        <f>D25*(1-D26)</f>
        <v>5.1809999999999995E-2</v>
      </c>
      <c r="E28" s="863" t="s">
        <v>1527</v>
      </c>
    </row>
    <row r="29" spans="2:5">
      <c r="B29" s="870"/>
      <c r="C29" s="871"/>
      <c r="D29" s="870"/>
      <c r="E29" s="872"/>
    </row>
    <row r="30" spans="2:5">
      <c r="B30" s="867" t="s">
        <v>1533</v>
      </c>
      <c r="C30" s="868" t="s">
        <v>1534</v>
      </c>
      <c r="D30" s="873">
        <v>0.5</v>
      </c>
      <c r="E30" s="863" t="s">
        <v>1535</v>
      </c>
    </row>
    <row r="31" spans="2:5">
      <c r="B31" s="867" t="s">
        <v>1536</v>
      </c>
      <c r="C31" s="868" t="s">
        <v>1537</v>
      </c>
      <c r="D31" s="873">
        <v>0.5</v>
      </c>
    </row>
    <row r="32" spans="2:5">
      <c r="B32" s="867" t="s">
        <v>1528</v>
      </c>
      <c r="C32" s="868" t="s">
        <v>1538</v>
      </c>
      <c r="D32" s="873">
        <f>D28</f>
        <v>5.1809999999999995E-2</v>
      </c>
      <c r="E32" s="863" t="s">
        <v>1527</v>
      </c>
    </row>
    <row r="33" spans="2:5">
      <c r="B33" s="867" t="s">
        <v>1517</v>
      </c>
      <c r="C33" s="868" t="s">
        <v>1523</v>
      </c>
      <c r="D33" s="873">
        <f>D21</f>
        <v>0.16399713323759083</v>
      </c>
      <c r="E33" s="863" t="s">
        <v>1527</v>
      </c>
    </row>
    <row r="34" spans="2:5">
      <c r="B34" s="875" t="s">
        <v>347</v>
      </c>
      <c r="C34" s="876" t="s">
        <v>1539</v>
      </c>
      <c r="D34" s="880">
        <f>(D33*D31)+(D32*D30)</f>
        <v>0.10790356661879541</v>
      </c>
      <c r="E34" s="877" t="s">
        <v>1527</v>
      </c>
    </row>
  </sheetData>
  <mergeCells count="1">
    <mergeCell ref="B3:E3"/>
  </mergeCells>
  <pageMargins left="0.7" right="0.7" top="0.75" bottom="0.75" header="0.3" footer="0.3"/>
  <pageSetup paperSize="9" scale="2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E11BA-5C7E-4778-A803-C11F5D8EE172}">
  <sheetPr codeName="Sheet11">
    <tabColor rgb="FF0091DA"/>
  </sheetPr>
  <dimension ref="A1:AO91"/>
  <sheetViews>
    <sheetView showGridLines="0" view="pageBreakPreview" zoomScale="130" zoomScaleNormal="80" zoomScaleSheetLayoutView="130" workbookViewId="0">
      <pane ySplit="8" topLeftCell="A29" activePane="bottomLeft" state="frozen"/>
      <selection activeCell="AM95" sqref="AM95"/>
      <selection pane="bottomLeft" activeCell="AM95" sqref="AM95"/>
    </sheetView>
  </sheetViews>
  <sheetFormatPr defaultColWidth="0" defaultRowHeight="15.6" outlineLevelRow="2"/>
  <cols>
    <col min="1" max="1" width="7.33203125" style="1" bestFit="1" customWidth="1"/>
    <col min="2" max="2" width="2.6640625" style="1" customWidth="1"/>
    <col min="3" max="3" width="27.6640625" style="12" bestFit="1" customWidth="1"/>
    <col min="4" max="4" width="15.44140625" style="1" bestFit="1" customWidth="1"/>
    <col min="5" max="5" width="8.33203125" style="32" bestFit="1" customWidth="1"/>
    <col min="6" max="6" width="12.6640625" style="1" bestFit="1" customWidth="1"/>
    <col min="7" max="7" width="12.33203125" style="1" bestFit="1" customWidth="1"/>
    <col min="8" max="8" width="16" style="1" bestFit="1" customWidth="1"/>
    <col min="9" max="14" width="11.6640625" style="1" bestFit="1" customWidth="1"/>
    <col min="15" max="15" width="11.44140625" style="1" bestFit="1" customWidth="1"/>
    <col min="16" max="24" width="11.6640625" style="1" bestFit="1" customWidth="1"/>
    <col min="25" max="25" width="11.44140625" style="1" bestFit="1" customWidth="1"/>
    <col min="26" max="34" width="11.6640625" style="1" bestFit="1" customWidth="1"/>
    <col min="35" max="35" width="11.44140625" style="1" bestFit="1" customWidth="1"/>
    <col min="36" max="36" width="11.6640625" style="1" bestFit="1" customWidth="1"/>
    <col min="37" max="40" width="14" style="1" bestFit="1" customWidth="1"/>
    <col min="41" max="41" width="10" bestFit="1" customWidth="1"/>
    <col min="42" max="114" width="0" style="1" hidden="1" customWidth="1"/>
    <col min="115" max="16384" width="0" style="1" hidden="1"/>
  </cols>
  <sheetData>
    <row r="1" spans="1:41" s="6" customFormat="1">
      <c r="A1" s="386" t="s">
        <v>702</v>
      </c>
      <c r="B1" s="386"/>
      <c r="C1" s="430"/>
      <c r="D1" s="393" t="s">
        <v>33</v>
      </c>
      <c r="E1" s="393" t="s">
        <v>34</v>
      </c>
      <c r="F1" s="393" t="s">
        <v>35</v>
      </c>
      <c r="G1" s="393" t="s">
        <v>36</v>
      </c>
      <c r="H1" s="386" t="s">
        <v>37</v>
      </c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6"/>
      <c r="AD1" s="386"/>
      <c r="AE1" s="386"/>
      <c r="AF1" s="386"/>
      <c r="AG1" s="386"/>
      <c r="AH1" s="386"/>
      <c r="AI1" s="386"/>
      <c r="AJ1" s="386"/>
      <c r="AK1" s="386"/>
      <c r="AL1" s="386"/>
      <c r="AM1" s="386"/>
      <c r="AN1" s="386"/>
      <c r="AO1"/>
    </row>
    <row r="2" spans="1:41" s="7" customFormat="1">
      <c r="A2" s="280"/>
      <c r="B2" s="280"/>
      <c r="C2" s="361"/>
      <c r="D2" s="96">
        <f ca="1">CHECKS!$F$9</f>
        <v>0</v>
      </c>
      <c r="E2" s="128">
        <f ca="1">CHECKS!$F$15</f>
        <v>0</v>
      </c>
      <c r="F2" s="480">
        <f ca="1">Project_IRR</f>
        <v>0.10790613293647766</v>
      </c>
      <c r="G2" s="481">
        <f ca="1">Project_NPV</f>
        <v>0.44602648716568183</v>
      </c>
      <c r="H2" s="129">
        <f ca="1">Master_Check</f>
        <v>0</v>
      </c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0"/>
      <c r="AH2" s="280"/>
      <c r="AI2" s="280"/>
      <c r="AJ2" s="280"/>
      <c r="AK2" s="280"/>
      <c r="AL2" s="280"/>
      <c r="AM2" s="280"/>
      <c r="AN2" s="280"/>
      <c r="AO2"/>
    </row>
    <row r="3" spans="1:41">
      <c r="A3" s="266"/>
      <c r="B3" s="266"/>
      <c r="C3" s="303"/>
      <c r="D3" s="266"/>
      <c r="E3" s="309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6"/>
      <c r="R3" s="266"/>
      <c r="S3" s="266"/>
      <c r="T3" s="266"/>
      <c r="U3" s="266"/>
      <c r="V3" s="266"/>
      <c r="W3" s="266"/>
      <c r="X3" s="266"/>
      <c r="Y3" s="266"/>
      <c r="Z3" s="266"/>
      <c r="AA3" s="266"/>
      <c r="AB3" s="266"/>
      <c r="AC3" s="266"/>
      <c r="AD3" s="266"/>
      <c r="AE3" s="266"/>
      <c r="AF3" s="266"/>
      <c r="AG3" s="266"/>
      <c r="AH3" s="266"/>
      <c r="AI3" s="266"/>
      <c r="AJ3" s="266"/>
      <c r="AK3" s="266"/>
      <c r="AL3" s="266"/>
      <c r="AM3" s="266"/>
      <c r="AN3" s="266"/>
    </row>
    <row r="4" spans="1:41">
      <c r="A4" s="266"/>
      <c r="B4" s="266"/>
      <c r="C4" s="29" t="str">
        <f>C22</f>
        <v>Começo período</v>
      </c>
      <c r="D4" s="118"/>
      <c r="E4" s="309"/>
      <c r="F4" s="266"/>
      <c r="G4" s="281">
        <f t="shared" ref="G4:AH4" si="0">G22</f>
        <v>46388</v>
      </c>
      <c r="H4" s="281">
        <f t="shared" si="0"/>
        <v>46753</v>
      </c>
      <c r="I4" s="281">
        <f t="shared" si="0"/>
        <v>47119</v>
      </c>
      <c r="J4" s="281">
        <f t="shared" si="0"/>
        <v>47484</v>
      </c>
      <c r="K4" s="281">
        <f t="shared" si="0"/>
        <v>47849</v>
      </c>
      <c r="L4" s="281">
        <f t="shared" si="0"/>
        <v>48214</v>
      </c>
      <c r="M4" s="281">
        <f t="shared" si="0"/>
        <v>48580</v>
      </c>
      <c r="N4" s="281">
        <f t="shared" si="0"/>
        <v>48945</v>
      </c>
      <c r="O4" s="281">
        <f t="shared" si="0"/>
        <v>49310</v>
      </c>
      <c r="P4" s="281">
        <f t="shared" si="0"/>
        <v>49675</v>
      </c>
      <c r="Q4" s="281">
        <f t="shared" si="0"/>
        <v>50041</v>
      </c>
      <c r="R4" s="281">
        <f t="shared" si="0"/>
        <v>50406</v>
      </c>
      <c r="S4" s="281">
        <f t="shared" si="0"/>
        <v>50771</v>
      </c>
      <c r="T4" s="281">
        <f t="shared" si="0"/>
        <v>51136</v>
      </c>
      <c r="U4" s="281">
        <f t="shared" si="0"/>
        <v>51502</v>
      </c>
      <c r="V4" s="281">
        <f t="shared" si="0"/>
        <v>51867</v>
      </c>
      <c r="W4" s="281">
        <f t="shared" si="0"/>
        <v>52232</v>
      </c>
      <c r="X4" s="281">
        <f t="shared" si="0"/>
        <v>52597</v>
      </c>
      <c r="Y4" s="281">
        <f t="shared" si="0"/>
        <v>52963</v>
      </c>
      <c r="Z4" s="281">
        <f t="shared" si="0"/>
        <v>53328</v>
      </c>
      <c r="AA4" s="281">
        <f t="shared" si="0"/>
        <v>53693</v>
      </c>
      <c r="AB4" s="281">
        <f t="shared" si="0"/>
        <v>54058</v>
      </c>
      <c r="AC4" s="281">
        <f t="shared" si="0"/>
        <v>54424</v>
      </c>
      <c r="AD4" s="281">
        <f t="shared" si="0"/>
        <v>54789</v>
      </c>
      <c r="AE4" s="281">
        <f t="shared" si="0"/>
        <v>55154</v>
      </c>
      <c r="AF4" s="281">
        <f t="shared" si="0"/>
        <v>55519</v>
      </c>
      <c r="AG4" s="281">
        <f t="shared" si="0"/>
        <v>55885</v>
      </c>
      <c r="AH4" s="281">
        <f t="shared" si="0"/>
        <v>56250</v>
      </c>
      <c r="AI4" s="281">
        <f t="shared" ref="AI4:AN4" si="1">AI22</f>
        <v>56615</v>
      </c>
      <c r="AJ4" s="281">
        <f t="shared" si="1"/>
        <v>56980</v>
      </c>
      <c r="AK4" s="281">
        <f t="shared" si="1"/>
        <v>57346</v>
      </c>
      <c r="AL4" s="281">
        <f t="shared" si="1"/>
        <v>57711</v>
      </c>
      <c r="AM4" s="281">
        <f t="shared" si="1"/>
        <v>58076</v>
      </c>
      <c r="AN4" s="281">
        <f t="shared" si="1"/>
        <v>58441</v>
      </c>
    </row>
    <row r="5" spans="1:41">
      <c r="A5" s="266"/>
      <c r="B5" s="266"/>
      <c r="C5" s="29" t="str">
        <f>C23</f>
        <v>Fim período</v>
      </c>
      <c r="D5" s="266"/>
      <c r="E5" s="309"/>
      <c r="F5" s="266"/>
      <c r="G5" s="281">
        <f t="shared" ref="G5:AH5" si="2">G23</f>
        <v>46752</v>
      </c>
      <c r="H5" s="281">
        <f t="shared" si="2"/>
        <v>47118</v>
      </c>
      <c r="I5" s="281">
        <f t="shared" si="2"/>
        <v>47483</v>
      </c>
      <c r="J5" s="281">
        <f t="shared" si="2"/>
        <v>47848</v>
      </c>
      <c r="K5" s="281">
        <f t="shared" si="2"/>
        <v>48213</v>
      </c>
      <c r="L5" s="281">
        <f t="shared" si="2"/>
        <v>48579</v>
      </c>
      <c r="M5" s="281">
        <f t="shared" si="2"/>
        <v>48944</v>
      </c>
      <c r="N5" s="281">
        <f t="shared" si="2"/>
        <v>49309</v>
      </c>
      <c r="O5" s="281">
        <f t="shared" si="2"/>
        <v>49674</v>
      </c>
      <c r="P5" s="281">
        <f t="shared" si="2"/>
        <v>50040</v>
      </c>
      <c r="Q5" s="281">
        <f t="shared" si="2"/>
        <v>50405</v>
      </c>
      <c r="R5" s="281">
        <f t="shared" si="2"/>
        <v>50770</v>
      </c>
      <c r="S5" s="281">
        <f t="shared" si="2"/>
        <v>51135</v>
      </c>
      <c r="T5" s="281">
        <f t="shared" si="2"/>
        <v>51501</v>
      </c>
      <c r="U5" s="281">
        <f t="shared" si="2"/>
        <v>51866</v>
      </c>
      <c r="V5" s="281">
        <f t="shared" si="2"/>
        <v>52231</v>
      </c>
      <c r="W5" s="281">
        <f t="shared" si="2"/>
        <v>52596</v>
      </c>
      <c r="X5" s="281">
        <f t="shared" si="2"/>
        <v>52962</v>
      </c>
      <c r="Y5" s="281">
        <f t="shared" si="2"/>
        <v>53327</v>
      </c>
      <c r="Z5" s="281">
        <f t="shared" si="2"/>
        <v>53692</v>
      </c>
      <c r="AA5" s="281">
        <f t="shared" si="2"/>
        <v>54057</v>
      </c>
      <c r="AB5" s="281">
        <f t="shared" si="2"/>
        <v>54423</v>
      </c>
      <c r="AC5" s="281">
        <f t="shared" si="2"/>
        <v>54788</v>
      </c>
      <c r="AD5" s="281">
        <f t="shared" si="2"/>
        <v>55153</v>
      </c>
      <c r="AE5" s="281">
        <f t="shared" si="2"/>
        <v>55518</v>
      </c>
      <c r="AF5" s="281">
        <f t="shared" si="2"/>
        <v>55884</v>
      </c>
      <c r="AG5" s="281">
        <f t="shared" si="2"/>
        <v>56249</v>
      </c>
      <c r="AH5" s="281">
        <f t="shared" si="2"/>
        <v>56614</v>
      </c>
      <c r="AI5" s="281">
        <f t="shared" ref="AI5:AN5" si="3">AI23</f>
        <v>56979</v>
      </c>
      <c r="AJ5" s="281">
        <f t="shared" si="3"/>
        <v>57345</v>
      </c>
      <c r="AK5" s="281">
        <f t="shared" si="3"/>
        <v>57710</v>
      </c>
      <c r="AL5" s="281">
        <f t="shared" si="3"/>
        <v>58075</v>
      </c>
      <c r="AM5" s="281">
        <f t="shared" si="3"/>
        <v>58440</v>
      </c>
      <c r="AN5" s="281">
        <f t="shared" si="3"/>
        <v>58806</v>
      </c>
    </row>
    <row r="6" spans="1:41">
      <c r="A6" s="266"/>
      <c r="B6" s="266"/>
      <c r="C6" s="29" t="s">
        <v>703</v>
      </c>
      <c r="D6" s="266"/>
      <c r="E6" s="309"/>
      <c r="F6" s="266"/>
      <c r="G6" s="273" t="str">
        <f t="shared" ref="G6:AL6" si="4">G90</f>
        <v>Ops</v>
      </c>
      <c r="H6" s="273" t="str">
        <f t="shared" si="4"/>
        <v>Ops</v>
      </c>
      <c r="I6" s="273" t="str">
        <f t="shared" si="4"/>
        <v>Ops</v>
      </c>
      <c r="J6" s="273" t="str">
        <f t="shared" si="4"/>
        <v>Ops</v>
      </c>
      <c r="K6" s="273" t="str">
        <f t="shared" si="4"/>
        <v>Ops</v>
      </c>
      <c r="L6" s="273" t="str">
        <f t="shared" si="4"/>
        <v>Ops</v>
      </c>
      <c r="M6" s="273" t="str">
        <f t="shared" si="4"/>
        <v>Ops</v>
      </c>
      <c r="N6" s="273" t="str">
        <f t="shared" si="4"/>
        <v>Ops</v>
      </c>
      <c r="O6" s="273" t="str">
        <f t="shared" si="4"/>
        <v>Ops</v>
      </c>
      <c r="P6" s="273" t="str">
        <f t="shared" si="4"/>
        <v>Ops</v>
      </c>
      <c r="Q6" s="273" t="str">
        <f t="shared" si="4"/>
        <v>Ops</v>
      </c>
      <c r="R6" s="273" t="str">
        <f t="shared" si="4"/>
        <v>Ops</v>
      </c>
      <c r="S6" s="273" t="str">
        <f t="shared" si="4"/>
        <v>Ops</v>
      </c>
      <c r="T6" s="273" t="str">
        <f t="shared" si="4"/>
        <v>Ops</v>
      </c>
      <c r="U6" s="273" t="str">
        <f t="shared" si="4"/>
        <v>Ops</v>
      </c>
      <c r="V6" s="273" t="str">
        <f t="shared" si="4"/>
        <v>Ops</v>
      </c>
      <c r="W6" s="273" t="str">
        <f t="shared" si="4"/>
        <v>Ops</v>
      </c>
      <c r="X6" s="273" t="str">
        <f t="shared" si="4"/>
        <v>Ops</v>
      </c>
      <c r="Y6" s="273" t="str">
        <f t="shared" si="4"/>
        <v>Ops</v>
      </c>
      <c r="Z6" s="273" t="str">
        <f t="shared" si="4"/>
        <v>Ops</v>
      </c>
      <c r="AA6" s="273" t="str">
        <f t="shared" si="4"/>
        <v>Ops</v>
      </c>
      <c r="AB6" s="273" t="str">
        <f t="shared" si="4"/>
        <v>Ops</v>
      </c>
      <c r="AC6" s="273" t="str">
        <f t="shared" si="4"/>
        <v>Ops</v>
      </c>
      <c r="AD6" s="273" t="str">
        <f t="shared" si="4"/>
        <v>Ops</v>
      </c>
      <c r="AE6" s="273" t="str">
        <f t="shared" si="4"/>
        <v>Ops</v>
      </c>
      <c r="AF6" s="273" t="str">
        <f t="shared" si="4"/>
        <v>Ops</v>
      </c>
      <c r="AG6" s="273" t="str">
        <f t="shared" si="4"/>
        <v>Ops</v>
      </c>
      <c r="AH6" s="273" t="str">
        <f t="shared" si="4"/>
        <v>Ops</v>
      </c>
      <c r="AI6" s="273" t="str">
        <f t="shared" si="4"/>
        <v>Ops</v>
      </c>
      <c r="AJ6" s="273" t="str">
        <f t="shared" si="4"/>
        <v>Ops</v>
      </c>
      <c r="AK6" s="273" t="str">
        <f t="shared" si="4"/>
        <v>Post Ops.</v>
      </c>
      <c r="AL6" s="273" t="str">
        <f t="shared" si="4"/>
        <v>Post Ops.</v>
      </c>
      <c r="AM6" s="273" t="str">
        <f t="shared" ref="AM6:AN6" si="5">AM90</f>
        <v>Post Ops.</v>
      </c>
      <c r="AN6" s="273" t="str">
        <f t="shared" si="5"/>
        <v>Post Ops.</v>
      </c>
    </row>
    <row r="7" spans="1:41">
      <c r="A7" s="266"/>
      <c r="B7" s="266"/>
      <c r="C7" s="303"/>
      <c r="D7" s="266"/>
      <c r="E7" s="309"/>
      <c r="F7" s="266"/>
      <c r="G7" s="266"/>
      <c r="H7" s="266"/>
      <c r="I7" s="266"/>
      <c r="J7" s="266"/>
      <c r="K7" s="266"/>
      <c r="L7" s="266"/>
      <c r="M7" s="266"/>
      <c r="N7" s="266"/>
      <c r="O7" s="266"/>
      <c r="P7" s="266"/>
      <c r="Q7" s="266"/>
      <c r="R7" s="266"/>
      <c r="S7" s="266"/>
      <c r="T7" s="266"/>
      <c r="U7" s="266"/>
      <c r="V7" s="266"/>
      <c r="W7" s="266"/>
      <c r="X7" s="266"/>
      <c r="Y7" s="266"/>
      <c r="Z7" s="266"/>
      <c r="AA7" s="266"/>
      <c r="AB7" s="266"/>
      <c r="AC7" s="266"/>
      <c r="AD7" s="266"/>
      <c r="AE7" s="266"/>
      <c r="AF7" s="266"/>
      <c r="AG7" s="266"/>
      <c r="AH7" s="266"/>
      <c r="AI7" s="266"/>
      <c r="AJ7" s="266"/>
      <c r="AK7" s="266"/>
      <c r="AL7" s="266"/>
      <c r="AM7" s="266"/>
      <c r="AN7" s="266"/>
    </row>
    <row r="8" spans="1:41">
      <c r="A8" s="266"/>
      <c r="B8" s="266"/>
      <c r="C8" s="303"/>
      <c r="D8" s="5" t="s">
        <v>704</v>
      </c>
      <c r="E8" s="30" t="s">
        <v>705</v>
      </c>
      <c r="F8" s="5" t="s">
        <v>45</v>
      </c>
      <c r="G8" s="266"/>
      <c r="H8" s="266"/>
      <c r="I8" s="266"/>
      <c r="J8" s="266"/>
      <c r="K8" s="266"/>
      <c r="L8" s="266"/>
      <c r="M8" s="266"/>
      <c r="N8" s="266"/>
      <c r="O8" s="266"/>
      <c r="P8" s="266"/>
      <c r="Q8" s="266"/>
      <c r="R8" s="266"/>
      <c r="S8" s="266"/>
      <c r="T8" s="266"/>
      <c r="U8" s="266"/>
      <c r="V8" s="266"/>
      <c r="W8" s="266"/>
      <c r="X8" s="266"/>
      <c r="Y8" s="266"/>
      <c r="Z8" s="266"/>
      <c r="AA8" s="266"/>
      <c r="AB8" s="266"/>
      <c r="AC8" s="266"/>
      <c r="AD8" s="266"/>
      <c r="AE8" s="266"/>
      <c r="AF8" s="266"/>
      <c r="AG8" s="266"/>
      <c r="AH8" s="266"/>
      <c r="AI8" s="266"/>
      <c r="AJ8" s="266"/>
      <c r="AK8" s="266"/>
      <c r="AL8" s="266"/>
      <c r="AM8" s="266"/>
      <c r="AN8" s="266"/>
    </row>
    <row r="9" spans="1:41">
      <c r="A9" s="266"/>
      <c r="B9" s="266"/>
      <c r="C9" s="303"/>
      <c r="D9" s="266"/>
      <c r="E9" s="309"/>
      <c r="F9" s="266"/>
      <c r="G9" s="266"/>
      <c r="H9" s="266"/>
      <c r="I9" s="266"/>
      <c r="J9" s="266"/>
      <c r="K9" s="266"/>
      <c r="L9" s="266"/>
      <c r="M9" s="266"/>
      <c r="N9" s="266"/>
      <c r="O9" s="266"/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66"/>
      <c r="AD9" s="266"/>
      <c r="AE9" s="266"/>
      <c r="AF9" s="266"/>
      <c r="AG9" s="266"/>
      <c r="AH9" s="266"/>
      <c r="AI9" s="266"/>
      <c r="AJ9" s="266"/>
      <c r="AK9" s="266"/>
      <c r="AL9" s="266"/>
      <c r="AM9" s="266"/>
      <c r="AN9" s="266"/>
    </row>
    <row r="10" spans="1:41" s="266" customFormat="1" ht="16.2" thickBot="1">
      <c r="C10" s="394" t="s">
        <v>706</v>
      </c>
      <c r="D10" s="395"/>
      <c r="E10" s="396"/>
      <c r="F10" s="395"/>
      <c r="G10" s="395"/>
      <c r="H10" s="395"/>
      <c r="I10" s="395"/>
      <c r="J10" s="395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395"/>
      <c r="AJ10" s="395"/>
      <c r="AK10" s="8"/>
      <c r="AL10" s="8"/>
      <c r="AM10" s="8"/>
      <c r="AN10" s="8"/>
      <c r="AO10"/>
    </row>
    <row r="11" spans="1:41" outlineLevel="1">
      <c r="A11" s="266"/>
      <c r="B11" s="266"/>
      <c r="C11" s="303"/>
      <c r="D11" s="266"/>
      <c r="E11" s="309"/>
      <c r="F11" s="266"/>
      <c r="G11" s="266"/>
      <c r="H11" s="266"/>
      <c r="I11" s="266"/>
      <c r="J11" s="266"/>
      <c r="K11" s="266"/>
      <c r="L11" s="266"/>
      <c r="M11" s="266"/>
      <c r="N11" s="266"/>
      <c r="O11" s="266"/>
      <c r="P11" s="266"/>
      <c r="Q11" s="266"/>
      <c r="R11" s="266"/>
      <c r="S11" s="266"/>
      <c r="T11" s="266"/>
      <c r="U11" s="266"/>
      <c r="V11" s="266"/>
      <c r="W11" s="266"/>
      <c r="X11" s="266"/>
      <c r="Y11" s="266"/>
      <c r="Z11" s="266"/>
      <c r="AA11" s="266"/>
      <c r="AB11" s="266"/>
      <c r="AC11" s="266"/>
      <c r="AD11" s="266"/>
      <c r="AE11" s="266"/>
      <c r="AF11" s="266"/>
      <c r="AG11" s="266"/>
      <c r="AH11" s="266"/>
      <c r="AI11" s="266"/>
      <c r="AJ11" s="266"/>
      <c r="AK11" s="266"/>
      <c r="AL11" s="266"/>
      <c r="AM11" s="266"/>
      <c r="AN11" s="266"/>
    </row>
    <row r="12" spans="1:41" outlineLevel="1">
      <c r="A12" s="266"/>
      <c r="B12" s="266"/>
      <c r="C12" s="31" t="s">
        <v>707</v>
      </c>
      <c r="D12" s="266"/>
      <c r="E12" s="309"/>
      <c r="F12" s="266"/>
      <c r="G12" s="266"/>
      <c r="H12" s="266"/>
      <c r="I12" s="266"/>
      <c r="J12" s="266"/>
      <c r="K12" s="266"/>
      <c r="L12" s="266"/>
      <c r="M12" s="266"/>
      <c r="N12" s="266"/>
      <c r="O12" s="266"/>
      <c r="P12" s="266"/>
      <c r="Q12" s="266"/>
      <c r="R12" s="266"/>
      <c r="S12" s="266"/>
      <c r="T12" s="266"/>
      <c r="U12" s="266"/>
      <c r="V12" s="266"/>
      <c r="W12" s="266"/>
      <c r="X12" s="266"/>
      <c r="Y12" s="266"/>
      <c r="Z12" s="266"/>
      <c r="AA12" s="266"/>
      <c r="AB12" s="266"/>
      <c r="AC12" s="266"/>
      <c r="AD12" s="266"/>
      <c r="AE12" s="266"/>
      <c r="AF12" s="266"/>
      <c r="AG12" s="266"/>
      <c r="AH12" s="266"/>
      <c r="AI12" s="266"/>
      <c r="AJ12" s="266"/>
      <c r="AK12" s="266"/>
      <c r="AL12" s="266"/>
      <c r="AM12" s="266"/>
      <c r="AN12" s="266"/>
    </row>
    <row r="13" spans="1:41" outlineLevel="2">
      <c r="A13" s="266"/>
      <c r="B13" s="266"/>
      <c r="C13" s="303"/>
      <c r="D13" s="266"/>
      <c r="E13" s="309"/>
      <c r="F13" s="266"/>
      <c r="G13" s="266"/>
      <c r="H13" s="266"/>
      <c r="I13" s="266"/>
      <c r="J13" s="266"/>
      <c r="K13" s="266"/>
      <c r="L13" s="266"/>
      <c r="M13" s="266"/>
      <c r="N13" s="266"/>
      <c r="O13" s="266"/>
      <c r="P13" s="266"/>
      <c r="Q13" s="266"/>
      <c r="R13" s="266"/>
      <c r="S13" s="266"/>
      <c r="T13" s="266"/>
      <c r="U13" s="266"/>
      <c r="V13" s="266"/>
      <c r="W13" s="266"/>
      <c r="X13" s="266"/>
      <c r="Y13" s="266"/>
      <c r="Z13" s="266"/>
      <c r="AA13" s="266"/>
      <c r="AB13" s="266"/>
      <c r="AC13" s="266"/>
      <c r="AD13" s="266"/>
      <c r="AE13" s="266"/>
      <c r="AF13" s="266"/>
      <c r="AG13" s="266"/>
      <c r="AH13" s="266"/>
      <c r="AI13" s="266"/>
      <c r="AJ13" s="266"/>
      <c r="AK13" s="266"/>
      <c r="AL13" s="266"/>
      <c r="AM13" s="266"/>
      <c r="AN13" s="266"/>
    </row>
    <row r="14" spans="1:41" outlineLevel="2">
      <c r="A14" s="266"/>
      <c r="B14" s="266"/>
      <c r="C14" s="303" t="s">
        <v>564</v>
      </c>
      <c r="D14" s="266"/>
      <c r="E14" s="32" t="s">
        <v>564</v>
      </c>
      <c r="F14" s="266"/>
      <c r="G14" s="266">
        <f t="shared" ref="G14:AL14" si="6">F14+1</f>
        <v>1</v>
      </c>
      <c r="H14" s="266">
        <f t="shared" si="6"/>
        <v>2</v>
      </c>
      <c r="I14" s="266">
        <f t="shared" si="6"/>
        <v>3</v>
      </c>
      <c r="J14" s="266">
        <f t="shared" si="6"/>
        <v>4</v>
      </c>
      <c r="K14" s="266">
        <f t="shared" si="6"/>
        <v>5</v>
      </c>
      <c r="L14" s="266">
        <f t="shared" si="6"/>
        <v>6</v>
      </c>
      <c r="M14" s="266">
        <f t="shared" si="6"/>
        <v>7</v>
      </c>
      <c r="N14" s="266">
        <f t="shared" si="6"/>
        <v>8</v>
      </c>
      <c r="O14" s="266">
        <f t="shared" si="6"/>
        <v>9</v>
      </c>
      <c r="P14" s="266">
        <f t="shared" si="6"/>
        <v>10</v>
      </c>
      <c r="Q14" s="266">
        <f t="shared" si="6"/>
        <v>11</v>
      </c>
      <c r="R14" s="266">
        <f t="shared" si="6"/>
        <v>12</v>
      </c>
      <c r="S14" s="266">
        <f t="shared" si="6"/>
        <v>13</v>
      </c>
      <c r="T14" s="266">
        <f t="shared" si="6"/>
        <v>14</v>
      </c>
      <c r="U14" s="266">
        <f t="shared" si="6"/>
        <v>15</v>
      </c>
      <c r="V14" s="266">
        <f t="shared" si="6"/>
        <v>16</v>
      </c>
      <c r="W14" s="266">
        <f t="shared" si="6"/>
        <v>17</v>
      </c>
      <c r="X14" s="266">
        <f t="shared" si="6"/>
        <v>18</v>
      </c>
      <c r="Y14" s="266">
        <f t="shared" si="6"/>
        <v>19</v>
      </c>
      <c r="Z14" s="266">
        <f t="shared" si="6"/>
        <v>20</v>
      </c>
      <c r="AA14" s="266">
        <f t="shared" si="6"/>
        <v>21</v>
      </c>
      <c r="AB14" s="266">
        <f t="shared" si="6"/>
        <v>22</v>
      </c>
      <c r="AC14" s="266">
        <f t="shared" si="6"/>
        <v>23</v>
      </c>
      <c r="AD14" s="266">
        <f t="shared" si="6"/>
        <v>24</v>
      </c>
      <c r="AE14" s="266">
        <f t="shared" si="6"/>
        <v>25</v>
      </c>
      <c r="AF14" s="266">
        <f t="shared" si="6"/>
        <v>26</v>
      </c>
      <c r="AG14" s="266">
        <f t="shared" si="6"/>
        <v>27</v>
      </c>
      <c r="AH14" s="266">
        <f t="shared" si="6"/>
        <v>28</v>
      </c>
      <c r="AI14" s="266">
        <f t="shared" si="6"/>
        <v>29</v>
      </c>
      <c r="AJ14" s="266">
        <f t="shared" si="6"/>
        <v>30</v>
      </c>
      <c r="AK14" s="266">
        <f t="shared" si="6"/>
        <v>31</v>
      </c>
      <c r="AL14" s="266">
        <f t="shared" si="6"/>
        <v>32</v>
      </c>
      <c r="AM14" s="266">
        <f t="shared" ref="AM14:AN14" si="7">AL14+1</f>
        <v>33</v>
      </c>
      <c r="AN14" s="266">
        <f t="shared" si="7"/>
        <v>34</v>
      </c>
    </row>
    <row r="15" spans="1:41" outlineLevel="2">
      <c r="A15" s="266"/>
      <c r="B15" s="266"/>
      <c r="C15" s="303" t="s">
        <v>708</v>
      </c>
      <c r="D15" s="266"/>
      <c r="E15" s="32" t="s">
        <v>38</v>
      </c>
      <c r="F15" s="266"/>
      <c r="G15" s="326">
        <f t="shared" ref="G15:AN15" si="8">G14</f>
        <v>1</v>
      </c>
      <c r="H15" s="326">
        <f t="shared" si="8"/>
        <v>2</v>
      </c>
      <c r="I15" s="326">
        <f t="shared" si="8"/>
        <v>3</v>
      </c>
      <c r="J15" s="326">
        <f t="shared" si="8"/>
        <v>4</v>
      </c>
      <c r="K15" s="326">
        <f t="shared" si="8"/>
        <v>5</v>
      </c>
      <c r="L15" s="326">
        <f t="shared" si="8"/>
        <v>6</v>
      </c>
      <c r="M15" s="326">
        <f t="shared" si="8"/>
        <v>7</v>
      </c>
      <c r="N15" s="326">
        <f t="shared" si="8"/>
        <v>8</v>
      </c>
      <c r="O15" s="326">
        <f t="shared" si="8"/>
        <v>9</v>
      </c>
      <c r="P15" s="326">
        <f t="shared" si="8"/>
        <v>10</v>
      </c>
      <c r="Q15" s="326">
        <f t="shared" si="8"/>
        <v>11</v>
      </c>
      <c r="R15" s="326">
        <f t="shared" si="8"/>
        <v>12</v>
      </c>
      <c r="S15" s="326">
        <f t="shared" si="8"/>
        <v>13</v>
      </c>
      <c r="T15" s="326">
        <f t="shared" si="8"/>
        <v>14</v>
      </c>
      <c r="U15" s="326">
        <f t="shared" si="8"/>
        <v>15</v>
      </c>
      <c r="V15" s="326">
        <f t="shared" si="8"/>
        <v>16</v>
      </c>
      <c r="W15" s="326">
        <f t="shared" si="8"/>
        <v>17</v>
      </c>
      <c r="X15" s="326">
        <f t="shared" si="8"/>
        <v>18</v>
      </c>
      <c r="Y15" s="326">
        <f t="shared" si="8"/>
        <v>19</v>
      </c>
      <c r="Z15" s="326">
        <f t="shared" si="8"/>
        <v>20</v>
      </c>
      <c r="AA15" s="326">
        <f t="shared" si="8"/>
        <v>21</v>
      </c>
      <c r="AB15" s="326">
        <f t="shared" si="8"/>
        <v>22</v>
      </c>
      <c r="AC15" s="326">
        <f t="shared" si="8"/>
        <v>23</v>
      </c>
      <c r="AD15" s="326">
        <f t="shared" si="8"/>
        <v>24</v>
      </c>
      <c r="AE15" s="326">
        <f t="shared" si="8"/>
        <v>25</v>
      </c>
      <c r="AF15" s="326">
        <f t="shared" si="8"/>
        <v>26</v>
      </c>
      <c r="AG15" s="326">
        <f t="shared" si="8"/>
        <v>27</v>
      </c>
      <c r="AH15" s="326">
        <f t="shared" si="8"/>
        <v>28</v>
      </c>
      <c r="AI15" s="326">
        <f t="shared" si="8"/>
        <v>29</v>
      </c>
      <c r="AJ15" s="326">
        <f t="shared" si="8"/>
        <v>30</v>
      </c>
      <c r="AK15" s="326">
        <f t="shared" si="8"/>
        <v>31</v>
      </c>
      <c r="AL15" s="326">
        <f t="shared" si="8"/>
        <v>32</v>
      </c>
      <c r="AM15" s="326">
        <f t="shared" si="8"/>
        <v>33</v>
      </c>
      <c r="AN15" s="326">
        <f t="shared" si="8"/>
        <v>34</v>
      </c>
    </row>
    <row r="16" spans="1:41" outlineLevel="2">
      <c r="A16" s="266"/>
      <c r="B16" s="266"/>
      <c r="C16" s="303"/>
      <c r="D16" s="266"/>
      <c r="F16" s="266"/>
      <c r="G16" s="266"/>
      <c r="H16" s="266"/>
      <c r="I16" s="266"/>
      <c r="J16" s="266"/>
      <c r="K16" s="266"/>
      <c r="L16" s="266"/>
      <c r="M16" s="266"/>
      <c r="N16" s="266"/>
      <c r="O16" s="266"/>
      <c r="P16" s="266"/>
      <c r="Q16" s="266"/>
      <c r="R16" s="266"/>
      <c r="S16" s="266"/>
      <c r="T16" s="266"/>
      <c r="U16" s="266"/>
      <c r="V16" s="266"/>
      <c r="W16" s="266"/>
      <c r="X16" s="266"/>
      <c r="Y16" s="266"/>
      <c r="Z16" s="266"/>
      <c r="AA16" s="266"/>
      <c r="AB16" s="266"/>
      <c r="AC16" s="266"/>
      <c r="AD16" s="266"/>
      <c r="AE16" s="266"/>
      <c r="AF16" s="266"/>
      <c r="AG16" s="266"/>
      <c r="AH16" s="266"/>
      <c r="AI16" s="266"/>
      <c r="AJ16" s="266"/>
      <c r="AK16" s="266"/>
      <c r="AL16" s="266"/>
      <c r="AM16" s="266"/>
      <c r="AN16" s="266"/>
    </row>
    <row r="17" spans="3:41" outlineLevel="2">
      <c r="C17" s="303" t="s">
        <v>709</v>
      </c>
      <c r="D17" s="266"/>
      <c r="E17" s="32" t="s">
        <v>399</v>
      </c>
      <c r="F17" s="23">
        <f>SUM(G17:AO17)</f>
        <v>1</v>
      </c>
      <c r="G17" s="25">
        <f t="shared" ref="G17:AL17" si="9">IF(G14=1,1,0)</f>
        <v>1</v>
      </c>
      <c r="H17" s="25">
        <f t="shared" si="9"/>
        <v>0</v>
      </c>
      <c r="I17" s="25">
        <f t="shared" si="9"/>
        <v>0</v>
      </c>
      <c r="J17" s="25">
        <f t="shared" si="9"/>
        <v>0</v>
      </c>
      <c r="K17" s="25">
        <f t="shared" si="9"/>
        <v>0</v>
      </c>
      <c r="L17" s="25">
        <f t="shared" si="9"/>
        <v>0</v>
      </c>
      <c r="M17" s="25">
        <f t="shared" si="9"/>
        <v>0</v>
      </c>
      <c r="N17" s="25">
        <f t="shared" si="9"/>
        <v>0</v>
      </c>
      <c r="O17" s="25">
        <f t="shared" si="9"/>
        <v>0</v>
      </c>
      <c r="P17" s="25">
        <f t="shared" si="9"/>
        <v>0</v>
      </c>
      <c r="Q17" s="25">
        <f t="shared" si="9"/>
        <v>0</v>
      </c>
      <c r="R17" s="25">
        <f t="shared" si="9"/>
        <v>0</v>
      </c>
      <c r="S17" s="25">
        <f t="shared" si="9"/>
        <v>0</v>
      </c>
      <c r="T17" s="25">
        <f t="shared" si="9"/>
        <v>0</v>
      </c>
      <c r="U17" s="25">
        <f t="shared" si="9"/>
        <v>0</v>
      </c>
      <c r="V17" s="25">
        <f t="shared" si="9"/>
        <v>0</v>
      </c>
      <c r="W17" s="25">
        <f t="shared" si="9"/>
        <v>0</v>
      </c>
      <c r="X17" s="25">
        <f t="shared" si="9"/>
        <v>0</v>
      </c>
      <c r="Y17" s="25">
        <f t="shared" si="9"/>
        <v>0</v>
      </c>
      <c r="Z17" s="25">
        <f t="shared" si="9"/>
        <v>0</v>
      </c>
      <c r="AA17" s="25">
        <f t="shared" si="9"/>
        <v>0</v>
      </c>
      <c r="AB17" s="25">
        <f t="shared" si="9"/>
        <v>0</v>
      </c>
      <c r="AC17" s="25">
        <f t="shared" si="9"/>
        <v>0</v>
      </c>
      <c r="AD17" s="25">
        <f t="shared" si="9"/>
        <v>0</v>
      </c>
      <c r="AE17" s="25">
        <f t="shared" si="9"/>
        <v>0</v>
      </c>
      <c r="AF17" s="25">
        <f t="shared" si="9"/>
        <v>0</v>
      </c>
      <c r="AG17" s="25">
        <f t="shared" si="9"/>
        <v>0</v>
      </c>
      <c r="AH17" s="25">
        <f t="shared" si="9"/>
        <v>0</v>
      </c>
      <c r="AI17" s="25">
        <f t="shared" si="9"/>
        <v>0</v>
      </c>
      <c r="AJ17" s="25">
        <f t="shared" si="9"/>
        <v>0</v>
      </c>
      <c r="AK17" s="25">
        <f t="shared" si="9"/>
        <v>0</v>
      </c>
      <c r="AL17" s="25">
        <f t="shared" si="9"/>
        <v>0</v>
      </c>
      <c r="AM17" s="25">
        <f t="shared" ref="AM17:AN17" si="10">IF(AM14=1,1,0)</f>
        <v>0</v>
      </c>
      <c r="AN17" s="25">
        <f t="shared" si="10"/>
        <v>0</v>
      </c>
    </row>
    <row r="18" spans="3:41" outlineLevel="2">
      <c r="C18" s="303"/>
      <c r="D18" s="266"/>
      <c r="F18" s="266"/>
      <c r="G18" s="266"/>
      <c r="H18" s="266"/>
      <c r="I18" s="266"/>
      <c r="J18" s="266"/>
      <c r="K18" s="266"/>
      <c r="L18" s="266"/>
      <c r="M18" s="266"/>
      <c r="N18" s="266"/>
      <c r="O18" s="266"/>
      <c r="P18" s="266"/>
      <c r="Q18" s="266"/>
      <c r="R18" s="266"/>
      <c r="S18" s="266"/>
      <c r="T18" s="266"/>
      <c r="U18" s="266"/>
      <c r="V18" s="266"/>
      <c r="W18" s="266"/>
      <c r="X18" s="266"/>
      <c r="Y18" s="266"/>
      <c r="Z18" s="266"/>
      <c r="AA18" s="266"/>
      <c r="AB18" s="266"/>
      <c r="AC18" s="266"/>
      <c r="AD18" s="266"/>
      <c r="AE18" s="266"/>
      <c r="AF18" s="266"/>
      <c r="AG18" s="266"/>
      <c r="AH18" s="266"/>
      <c r="AI18" s="266"/>
      <c r="AJ18" s="266"/>
      <c r="AK18" s="266"/>
      <c r="AL18" s="266"/>
      <c r="AM18" s="266"/>
      <c r="AN18" s="266"/>
    </row>
    <row r="19" spans="3:41" outlineLevel="2">
      <c r="C19" s="303" t="s">
        <v>710</v>
      </c>
      <c r="D19" s="33">
        <f>Model_Start</f>
        <v>46388</v>
      </c>
      <c r="E19" s="32" t="s">
        <v>345</v>
      </c>
      <c r="F19" s="266"/>
      <c r="G19" s="266"/>
      <c r="H19" s="266"/>
      <c r="I19" s="266"/>
      <c r="J19" s="266"/>
      <c r="K19" s="266"/>
      <c r="L19" s="266"/>
      <c r="M19" s="266"/>
      <c r="N19" s="266"/>
      <c r="O19" s="266"/>
      <c r="P19" s="266"/>
      <c r="Q19" s="266"/>
      <c r="R19" s="266"/>
      <c r="S19" s="266"/>
      <c r="T19" s="266"/>
      <c r="U19" s="266"/>
      <c r="V19" s="266"/>
      <c r="W19" s="266"/>
      <c r="X19" s="266"/>
      <c r="Y19" s="266"/>
      <c r="Z19" s="266"/>
      <c r="AA19" s="266"/>
      <c r="AB19" s="266"/>
      <c r="AC19" s="266"/>
      <c r="AD19" s="266"/>
      <c r="AE19" s="266"/>
      <c r="AF19" s="266"/>
      <c r="AG19" s="266"/>
      <c r="AH19" s="266"/>
      <c r="AI19" s="266"/>
      <c r="AJ19" s="266"/>
      <c r="AK19" s="266"/>
      <c r="AL19" s="266"/>
      <c r="AM19" s="266"/>
      <c r="AN19" s="266"/>
    </row>
    <row r="20" spans="3:41" outlineLevel="2">
      <c r="C20" s="303" t="s">
        <v>711</v>
      </c>
      <c r="D20" s="34">
        <f>Inputs!E10</f>
        <v>12</v>
      </c>
      <c r="E20" s="32" t="s">
        <v>712</v>
      </c>
      <c r="F20" s="266"/>
      <c r="G20" s="266"/>
      <c r="H20" s="266"/>
      <c r="I20" s="266"/>
      <c r="J20" s="266"/>
      <c r="K20" s="266"/>
      <c r="L20" s="266"/>
      <c r="M20" s="266"/>
      <c r="N20" s="266"/>
      <c r="O20" s="266"/>
      <c r="P20" s="266"/>
      <c r="Q20" s="266"/>
      <c r="R20" s="266"/>
      <c r="S20" s="266"/>
      <c r="T20" s="266"/>
      <c r="U20" s="266"/>
      <c r="V20" s="266"/>
      <c r="W20" s="266"/>
      <c r="X20" s="266"/>
      <c r="Y20" s="266"/>
      <c r="Z20" s="266"/>
      <c r="AA20" s="266"/>
      <c r="AB20" s="266"/>
      <c r="AC20" s="266"/>
      <c r="AD20" s="266"/>
      <c r="AE20" s="266"/>
      <c r="AF20" s="266"/>
      <c r="AG20" s="266"/>
      <c r="AH20" s="266"/>
      <c r="AI20" s="266"/>
      <c r="AJ20" s="266"/>
      <c r="AK20" s="266"/>
      <c r="AL20" s="266"/>
      <c r="AM20" s="266"/>
      <c r="AN20" s="266"/>
    </row>
    <row r="21" spans="3:41" outlineLevel="2">
      <c r="C21" s="303"/>
      <c r="D21" s="266"/>
      <c r="E21" s="309"/>
      <c r="F21" s="266"/>
      <c r="G21" s="266"/>
      <c r="H21" s="266"/>
      <c r="I21" s="266"/>
      <c r="J21" s="266"/>
      <c r="K21" s="266"/>
      <c r="L21" s="266"/>
      <c r="M21" s="266"/>
      <c r="N21" s="266"/>
      <c r="O21" s="266"/>
      <c r="P21" s="266"/>
      <c r="Q21" s="266"/>
      <c r="R21" s="266"/>
      <c r="S21" s="266"/>
      <c r="T21" s="266"/>
      <c r="U21" s="266"/>
      <c r="V21" s="266"/>
      <c r="W21" s="266"/>
      <c r="X21" s="266"/>
      <c r="Y21" s="266"/>
      <c r="Z21" s="266"/>
      <c r="AA21" s="266"/>
      <c r="AB21" s="266"/>
      <c r="AC21" s="266"/>
      <c r="AD21" s="266"/>
      <c r="AE21" s="266"/>
      <c r="AF21" s="266"/>
      <c r="AG21" s="266"/>
      <c r="AH21" s="266"/>
      <c r="AI21" s="266"/>
      <c r="AJ21" s="266"/>
      <c r="AK21" s="266"/>
      <c r="AL21" s="266"/>
      <c r="AM21" s="266"/>
      <c r="AN21" s="266"/>
    </row>
    <row r="22" spans="3:41" outlineLevel="2">
      <c r="C22" s="303" t="s">
        <v>713</v>
      </c>
      <c r="D22" s="35">
        <f>D19</f>
        <v>46388</v>
      </c>
      <c r="E22" s="32" t="s">
        <v>345</v>
      </c>
      <c r="F22" s="266"/>
      <c r="G22" s="36">
        <f>IF(G17=1,$D$19,0)</f>
        <v>46388</v>
      </c>
      <c r="H22" s="353">
        <f t="shared" ref="H22:AM22" si="11">DATE(YEAR(G22),MONTH(G22)+$D$20,1)</f>
        <v>46753</v>
      </c>
      <c r="I22" s="353">
        <f t="shared" si="11"/>
        <v>47119</v>
      </c>
      <c r="J22" s="353">
        <f t="shared" si="11"/>
        <v>47484</v>
      </c>
      <c r="K22" s="353">
        <f t="shared" si="11"/>
        <v>47849</v>
      </c>
      <c r="L22" s="353">
        <f t="shared" si="11"/>
        <v>48214</v>
      </c>
      <c r="M22" s="353">
        <f t="shared" si="11"/>
        <v>48580</v>
      </c>
      <c r="N22" s="353">
        <f t="shared" si="11"/>
        <v>48945</v>
      </c>
      <c r="O22" s="353">
        <f t="shared" si="11"/>
        <v>49310</v>
      </c>
      <c r="P22" s="353">
        <f t="shared" si="11"/>
        <v>49675</v>
      </c>
      <c r="Q22" s="353">
        <f t="shared" si="11"/>
        <v>50041</v>
      </c>
      <c r="R22" s="353">
        <f t="shared" si="11"/>
        <v>50406</v>
      </c>
      <c r="S22" s="353">
        <f t="shared" si="11"/>
        <v>50771</v>
      </c>
      <c r="T22" s="353">
        <f t="shared" si="11"/>
        <v>51136</v>
      </c>
      <c r="U22" s="353">
        <f t="shared" si="11"/>
        <v>51502</v>
      </c>
      <c r="V22" s="353">
        <f t="shared" si="11"/>
        <v>51867</v>
      </c>
      <c r="W22" s="353">
        <f t="shared" si="11"/>
        <v>52232</v>
      </c>
      <c r="X22" s="353">
        <f t="shared" si="11"/>
        <v>52597</v>
      </c>
      <c r="Y22" s="353">
        <f t="shared" si="11"/>
        <v>52963</v>
      </c>
      <c r="Z22" s="353">
        <f t="shared" si="11"/>
        <v>53328</v>
      </c>
      <c r="AA22" s="353">
        <f t="shared" si="11"/>
        <v>53693</v>
      </c>
      <c r="AB22" s="353">
        <f t="shared" si="11"/>
        <v>54058</v>
      </c>
      <c r="AC22" s="353">
        <f t="shared" si="11"/>
        <v>54424</v>
      </c>
      <c r="AD22" s="353">
        <f t="shared" si="11"/>
        <v>54789</v>
      </c>
      <c r="AE22" s="353">
        <f t="shared" si="11"/>
        <v>55154</v>
      </c>
      <c r="AF22" s="353">
        <f t="shared" si="11"/>
        <v>55519</v>
      </c>
      <c r="AG22" s="353">
        <f t="shared" si="11"/>
        <v>55885</v>
      </c>
      <c r="AH22" s="353">
        <f t="shared" si="11"/>
        <v>56250</v>
      </c>
      <c r="AI22" s="353">
        <f t="shared" si="11"/>
        <v>56615</v>
      </c>
      <c r="AJ22" s="353">
        <f t="shared" si="11"/>
        <v>56980</v>
      </c>
      <c r="AK22" s="353">
        <f t="shared" si="11"/>
        <v>57346</v>
      </c>
      <c r="AL22" s="353">
        <f t="shared" si="11"/>
        <v>57711</v>
      </c>
      <c r="AM22" s="353">
        <f t="shared" si="11"/>
        <v>58076</v>
      </c>
      <c r="AN22" s="353">
        <f t="shared" ref="AN22" si="12">DATE(YEAR(AM22),MONTH(AM22)+$D$20,1)</f>
        <v>58441</v>
      </c>
    </row>
    <row r="23" spans="3:41" outlineLevel="2">
      <c r="C23" s="303" t="s">
        <v>666</v>
      </c>
      <c r="D23" s="266"/>
      <c r="E23" s="32" t="s">
        <v>345</v>
      </c>
      <c r="F23" s="266"/>
      <c r="G23" s="281">
        <f t="shared" ref="G23:AL23" si="13">EOMONTH(G22-1,$D$20)</f>
        <v>46752</v>
      </c>
      <c r="H23" s="281">
        <f t="shared" si="13"/>
        <v>47118</v>
      </c>
      <c r="I23" s="281">
        <f t="shared" si="13"/>
        <v>47483</v>
      </c>
      <c r="J23" s="281">
        <f t="shared" si="13"/>
        <v>47848</v>
      </c>
      <c r="K23" s="281">
        <f t="shared" si="13"/>
        <v>48213</v>
      </c>
      <c r="L23" s="281">
        <f t="shared" si="13"/>
        <v>48579</v>
      </c>
      <c r="M23" s="281">
        <f t="shared" si="13"/>
        <v>48944</v>
      </c>
      <c r="N23" s="281">
        <f t="shared" si="13"/>
        <v>49309</v>
      </c>
      <c r="O23" s="281">
        <f t="shared" si="13"/>
        <v>49674</v>
      </c>
      <c r="P23" s="281">
        <f t="shared" si="13"/>
        <v>50040</v>
      </c>
      <c r="Q23" s="281">
        <f t="shared" si="13"/>
        <v>50405</v>
      </c>
      <c r="R23" s="281">
        <f t="shared" si="13"/>
        <v>50770</v>
      </c>
      <c r="S23" s="281">
        <f t="shared" si="13"/>
        <v>51135</v>
      </c>
      <c r="T23" s="281">
        <f t="shared" si="13"/>
        <v>51501</v>
      </c>
      <c r="U23" s="281">
        <f t="shared" si="13"/>
        <v>51866</v>
      </c>
      <c r="V23" s="281">
        <f t="shared" si="13"/>
        <v>52231</v>
      </c>
      <c r="W23" s="281">
        <f t="shared" si="13"/>
        <v>52596</v>
      </c>
      <c r="X23" s="281">
        <f t="shared" si="13"/>
        <v>52962</v>
      </c>
      <c r="Y23" s="281">
        <f t="shared" si="13"/>
        <v>53327</v>
      </c>
      <c r="Z23" s="281">
        <f t="shared" si="13"/>
        <v>53692</v>
      </c>
      <c r="AA23" s="281">
        <f t="shared" si="13"/>
        <v>54057</v>
      </c>
      <c r="AB23" s="281">
        <f t="shared" si="13"/>
        <v>54423</v>
      </c>
      <c r="AC23" s="281">
        <f t="shared" si="13"/>
        <v>54788</v>
      </c>
      <c r="AD23" s="281">
        <f t="shared" si="13"/>
        <v>55153</v>
      </c>
      <c r="AE23" s="281">
        <f t="shared" si="13"/>
        <v>55518</v>
      </c>
      <c r="AF23" s="281">
        <f t="shared" si="13"/>
        <v>55884</v>
      </c>
      <c r="AG23" s="281">
        <f t="shared" si="13"/>
        <v>56249</v>
      </c>
      <c r="AH23" s="281">
        <f t="shared" si="13"/>
        <v>56614</v>
      </c>
      <c r="AI23" s="281">
        <f t="shared" si="13"/>
        <v>56979</v>
      </c>
      <c r="AJ23" s="281">
        <f t="shared" si="13"/>
        <v>57345</v>
      </c>
      <c r="AK23" s="281">
        <f t="shared" si="13"/>
        <v>57710</v>
      </c>
      <c r="AL23" s="281">
        <f t="shared" si="13"/>
        <v>58075</v>
      </c>
      <c r="AM23" s="281">
        <f t="shared" ref="AM23:AN23" si="14">EOMONTH(AM22-1,$D$20)</f>
        <v>58440</v>
      </c>
      <c r="AN23" s="281">
        <f t="shared" si="14"/>
        <v>58806</v>
      </c>
    </row>
    <row r="24" spans="3:41" outlineLevel="2">
      <c r="C24" s="303" t="s">
        <v>714</v>
      </c>
      <c r="D24" s="266"/>
      <c r="E24" s="32" t="s">
        <v>345</v>
      </c>
      <c r="F24" s="266"/>
      <c r="G24" s="281">
        <f t="shared" ref="G24:AN24" si="15">EOMONTH(G23,$D$20*-1)</f>
        <v>46387</v>
      </c>
      <c r="H24" s="281">
        <f t="shared" si="15"/>
        <v>46752</v>
      </c>
      <c r="I24" s="281">
        <f t="shared" si="15"/>
        <v>47118</v>
      </c>
      <c r="J24" s="281">
        <f t="shared" si="15"/>
        <v>47483</v>
      </c>
      <c r="K24" s="281">
        <f t="shared" si="15"/>
        <v>47848</v>
      </c>
      <c r="L24" s="281">
        <f t="shared" si="15"/>
        <v>48213</v>
      </c>
      <c r="M24" s="281">
        <f t="shared" si="15"/>
        <v>48579</v>
      </c>
      <c r="N24" s="281">
        <f t="shared" si="15"/>
        <v>48944</v>
      </c>
      <c r="O24" s="281">
        <f t="shared" si="15"/>
        <v>49309</v>
      </c>
      <c r="P24" s="281">
        <f t="shared" si="15"/>
        <v>49674</v>
      </c>
      <c r="Q24" s="281">
        <f t="shared" si="15"/>
        <v>50040</v>
      </c>
      <c r="R24" s="281">
        <f t="shared" si="15"/>
        <v>50405</v>
      </c>
      <c r="S24" s="281">
        <f t="shared" si="15"/>
        <v>50770</v>
      </c>
      <c r="T24" s="281">
        <f t="shared" si="15"/>
        <v>51135</v>
      </c>
      <c r="U24" s="281">
        <f t="shared" si="15"/>
        <v>51501</v>
      </c>
      <c r="V24" s="281">
        <f t="shared" si="15"/>
        <v>51866</v>
      </c>
      <c r="W24" s="281">
        <f t="shared" si="15"/>
        <v>52231</v>
      </c>
      <c r="X24" s="281">
        <f t="shared" si="15"/>
        <v>52596</v>
      </c>
      <c r="Y24" s="281">
        <f t="shared" si="15"/>
        <v>52962</v>
      </c>
      <c r="Z24" s="281">
        <f t="shared" si="15"/>
        <v>53327</v>
      </c>
      <c r="AA24" s="281">
        <f t="shared" si="15"/>
        <v>53692</v>
      </c>
      <c r="AB24" s="281">
        <f t="shared" si="15"/>
        <v>54057</v>
      </c>
      <c r="AC24" s="281">
        <f t="shared" si="15"/>
        <v>54423</v>
      </c>
      <c r="AD24" s="281">
        <f t="shared" si="15"/>
        <v>54788</v>
      </c>
      <c r="AE24" s="281">
        <f t="shared" si="15"/>
        <v>55153</v>
      </c>
      <c r="AF24" s="281">
        <f t="shared" si="15"/>
        <v>55518</v>
      </c>
      <c r="AG24" s="281">
        <f t="shared" si="15"/>
        <v>55884</v>
      </c>
      <c r="AH24" s="281">
        <f t="shared" si="15"/>
        <v>56249</v>
      </c>
      <c r="AI24" s="281">
        <f t="shared" si="15"/>
        <v>56614</v>
      </c>
      <c r="AJ24" s="281">
        <f t="shared" si="15"/>
        <v>56979</v>
      </c>
      <c r="AK24" s="281">
        <f t="shared" si="15"/>
        <v>57345</v>
      </c>
      <c r="AL24" s="281">
        <f t="shared" si="15"/>
        <v>57710</v>
      </c>
      <c r="AM24" s="281">
        <f t="shared" si="15"/>
        <v>58075</v>
      </c>
      <c r="AN24" s="281">
        <f t="shared" si="15"/>
        <v>58440</v>
      </c>
    </row>
    <row r="25" spans="3:41" outlineLevel="2">
      <c r="C25" s="303"/>
      <c r="D25" s="266"/>
      <c r="F25" s="266"/>
      <c r="G25" s="266"/>
      <c r="H25" s="266"/>
      <c r="I25" s="266"/>
      <c r="J25" s="266"/>
      <c r="K25" s="266"/>
      <c r="L25" s="266"/>
      <c r="M25" s="266"/>
      <c r="N25" s="266"/>
      <c r="O25" s="266"/>
      <c r="P25" s="266"/>
      <c r="Q25" s="266"/>
      <c r="R25" s="266"/>
      <c r="S25" s="266"/>
      <c r="T25" s="266"/>
      <c r="U25" s="266"/>
      <c r="V25" s="266"/>
      <c r="W25" s="266"/>
      <c r="X25" s="266"/>
      <c r="Y25" s="266"/>
      <c r="Z25" s="266"/>
      <c r="AA25" s="266"/>
      <c r="AB25" s="266"/>
      <c r="AC25" s="266"/>
      <c r="AD25" s="266"/>
      <c r="AE25" s="266"/>
      <c r="AF25" s="266"/>
      <c r="AG25" s="266"/>
      <c r="AH25" s="266"/>
      <c r="AI25" s="266"/>
      <c r="AJ25" s="266"/>
      <c r="AK25" s="266"/>
      <c r="AL25" s="266"/>
      <c r="AM25" s="266"/>
      <c r="AN25" s="266"/>
    </row>
    <row r="26" spans="3:41" outlineLevel="2">
      <c r="C26" s="303" t="s">
        <v>374</v>
      </c>
      <c r="D26" s="266"/>
      <c r="E26" s="32" t="s">
        <v>715</v>
      </c>
      <c r="F26" s="266"/>
      <c r="G26" s="266">
        <f t="shared" ref="G26:AL26" si="16">G23-G24</f>
        <v>365</v>
      </c>
      <c r="H26" s="266">
        <f t="shared" si="16"/>
        <v>366</v>
      </c>
      <c r="I26" s="266">
        <f t="shared" si="16"/>
        <v>365</v>
      </c>
      <c r="J26" s="266">
        <f t="shared" si="16"/>
        <v>365</v>
      </c>
      <c r="K26" s="266">
        <f t="shared" si="16"/>
        <v>365</v>
      </c>
      <c r="L26" s="266">
        <f t="shared" si="16"/>
        <v>366</v>
      </c>
      <c r="M26" s="266">
        <f t="shared" si="16"/>
        <v>365</v>
      </c>
      <c r="N26" s="266">
        <f t="shared" si="16"/>
        <v>365</v>
      </c>
      <c r="O26" s="266">
        <f t="shared" si="16"/>
        <v>365</v>
      </c>
      <c r="P26" s="266">
        <f t="shared" si="16"/>
        <v>366</v>
      </c>
      <c r="Q26" s="266">
        <f t="shared" si="16"/>
        <v>365</v>
      </c>
      <c r="R26" s="266">
        <f t="shared" si="16"/>
        <v>365</v>
      </c>
      <c r="S26" s="266">
        <f t="shared" si="16"/>
        <v>365</v>
      </c>
      <c r="T26" s="266">
        <f t="shared" si="16"/>
        <v>366</v>
      </c>
      <c r="U26" s="266">
        <f t="shared" si="16"/>
        <v>365</v>
      </c>
      <c r="V26" s="266">
        <f t="shared" si="16"/>
        <v>365</v>
      </c>
      <c r="W26" s="266">
        <f t="shared" si="16"/>
        <v>365</v>
      </c>
      <c r="X26" s="266">
        <f t="shared" si="16"/>
        <v>366</v>
      </c>
      <c r="Y26" s="266">
        <f t="shared" si="16"/>
        <v>365</v>
      </c>
      <c r="Z26" s="266">
        <f t="shared" si="16"/>
        <v>365</v>
      </c>
      <c r="AA26" s="266">
        <f t="shared" si="16"/>
        <v>365</v>
      </c>
      <c r="AB26" s="266">
        <f t="shared" si="16"/>
        <v>366</v>
      </c>
      <c r="AC26" s="266">
        <f t="shared" si="16"/>
        <v>365</v>
      </c>
      <c r="AD26" s="266">
        <f t="shared" si="16"/>
        <v>365</v>
      </c>
      <c r="AE26" s="266">
        <f t="shared" si="16"/>
        <v>365</v>
      </c>
      <c r="AF26" s="266">
        <f t="shared" si="16"/>
        <v>366</v>
      </c>
      <c r="AG26" s="266">
        <f t="shared" si="16"/>
        <v>365</v>
      </c>
      <c r="AH26" s="266">
        <f t="shared" si="16"/>
        <v>365</v>
      </c>
      <c r="AI26" s="266">
        <f t="shared" si="16"/>
        <v>365</v>
      </c>
      <c r="AJ26" s="266">
        <f t="shared" si="16"/>
        <v>366</v>
      </c>
      <c r="AK26" s="266">
        <f t="shared" si="16"/>
        <v>365</v>
      </c>
      <c r="AL26" s="266">
        <f t="shared" si="16"/>
        <v>365</v>
      </c>
      <c r="AM26" s="266">
        <f t="shared" ref="AM26:AN26" si="17">AM23-AM24</f>
        <v>365</v>
      </c>
      <c r="AN26" s="266">
        <f t="shared" si="17"/>
        <v>366</v>
      </c>
    </row>
    <row r="27" spans="3:41" outlineLevel="2">
      <c r="C27" s="303"/>
      <c r="D27" s="266"/>
      <c r="F27" s="266"/>
      <c r="G27" s="266"/>
      <c r="H27" s="266"/>
      <c r="I27" s="266"/>
      <c r="J27" s="266"/>
      <c r="K27" s="266"/>
      <c r="L27" s="266"/>
      <c r="M27" s="266"/>
      <c r="N27" s="266"/>
      <c r="O27" s="266"/>
      <c r="P27" s="266"/>
      <c r="Q27" s="266"/>
      <c r="R27" s="266"/>
      <c r="S27" s="266"/>
      <c r="T27" s="266"/>
      <c r="U27" s="266"/>
      <c r="V27" s="266"/>
      <c r="W27" s="266"/>
      <c r="X27" s="266"/>
      <c r="Y27" s="266"/>
      <c r="Z27" s="266"/>
      <c r="AA27" s="266"/>
      <c r="AB27" s="266"/>
      <c r="AC27" s="266"/>
      <c r="AD27" s="266"/>
      <c r="AE27" s="266"/>
      <c r="AF27" s="266"/>
      <c r="AG27" s="266"/>
      <c r="AH27" s="266"/>
      <c r="AI27" s="266"/>
      <c r="AJ27" s="266"/>
      <c r="AK27" s="266"/>
      <c r="AL27" s="266"/>
      <c r="AM27" s="266"/>
      <c r="AN27" s="266"/>
    </row>
    <row r="28" spans="3:41" outlineLevel="2">
      <c r="C28" s="303" t="s">
        <v>38</v>
      </c>
      <c r="D28" s="266"/>
      <c r="E28" s="32" t="s">
        <v>38</v>
      </c>
      <c r="F28" s="266"/>
      <c r="G28" s="266">
        <f t="shared" ref="G28:AL28" si="18">YEAR(G23)</f>
        <v>2027</v>
      </c>
      <c r="H28" s="266">
        <f t="shared" si="18"/>
        <v>2028</v>
      </c>
      <c r="I28" s="266">
        <f t="shared" si="18"/>
        <v>2029</v>
      </c>
      <c r="J28" s="266">
        <f t="shared" si="18"/>
        <v>2030</v>
      </c>
      <c r="K28" s="266">
        <f t="shared" si="18"/>
        <v>2031</v>
      </c>
      <c r="L28" s="266">
        <f t="shared" si="18"/>
        <v>2032</v>
      </c>
      <c r="M28" s="266">
        <f t="shared" si="18"/>
        <v>2033</v>
      </c>
      <c r="N28" s="266">
        <f t="shared" si="18"/>
        <v>2034</v>
      </c>
      <c r="O28" s="266">
        <f t="shared" si="18"/>
        <v>2035</v>
      </c>
      <c r="P28" s="266">
        <f t="shared" si="18"/>
        <v>2036</v>
      </c>
      <c r="Q28" s="266">
        <f t="shared" si="18"/>
        <v>2037</v>
      </c>
      <c r="R28" s="266">
        <f t="shared" si="18"/>
        <v>2038</v>
      </c>
      <c r="S28" s="266">
        <f t="shared" si="18"/>
        <v>2039</v>
      </c>
      <c r="T28" s="266">
        <f t="shared" si="18"/>
        <v>2040</v>
      </c>
      <c r="U28" s="266">
        <f t="shared" si="18"/>
        <v>2041</v>
      </c>
      <c r="V28" s="266">
        <f t="shared" si="18"/>
        <v>2042</v>
      </c>
      <c r="W28" s="266">
        <f t="shared" si="18"/>
        <v>2043</v>
      </c>
      <c r="X28" s="266">
        <f t="shared" si="18"/>
        <v>2044</v>
      </c>
      <c r="Y28" s="266">
        <f t="shared" si="18"/>
        <v>2045</v>
      </c>
      <c r="Z28" s="266">
        <f t="shared" si="18"/>
        <v>2046</v>
      </c>
      <c r="AA28" s="266">
        <f t="shared" si="18"/>
        <v>2047</v>
      </c>
      <c r="AB28" s="266">
        <f t="shared" si="18"/>
        <v>2048</v>
      </c>
      <c r="AC28" s="266">
        <f t="shared" si="18"/>
        <v>2049</v>
      </c>
      <c r="AD28" s="266">
        <f t="shared" si="18"/>
        <v>2050</v>
      </c>
      <c r="AE28" s="266">
        <f t="shared" si="18"/>
        <v>2051</v>
      </c>
      <c r="AF28" s="266">
        <f t="shared" si="18"/>
        <v>2052</v>
      </c>
      <c r="AG28" s="266">
        <f t="shared" si="18"/>
        <v>2053</v>
      </c>
      <c r="AH28" s="266">
        <f t="shared" si="18"/>
        <v>2054</v>
      </c>
      <c r="AI28" s="266">
        <f t="shared" si="18"/>
        <v>2055</v>
      </c>
      <c r="AJ28" s="266">
        <f t="shared" si="18"/>
        <v>2056</v>
      </c>
      <c r="AK28" s="266">
        <f t="shared" si="18"/>
        <v>2057</v>
      </c>
      <c r="AL28" s="266">
        <f t="shared" si="18"/>
        <v>2058</v>
      </c>
      <c r="AM28" s="266">
        <f t="shared" ref="AM28:AN28" si="19">YEAR(AM23)</f>
        <v>2059</v>
      </c>
      <c r="AN28" s="266">
        <f t="shared" si="19"/>
        <v>2060</v>
      </c>
    </row>
    <row r="29" spans="3:41" outlineLevel="1">
      <c r="C29" s="303"/>
      <c r="D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6"/>
      <c r="T29" s="266"/>
      <c r="U29" s="266"/>
      <c r="V29" s="266"/>
      <c r="W29" s="266"/>
      <c r="X29" s="266"/>
      <c r="Y29" s="266"/>
      <c r="Z29" s="266"/>
      <c r="AA29" s="266"/>
      <c r="AB29" s="266"/>
      <c r="AC29" s="266"/>
      <c r="AD29" s="266"/>
      <c r="AE29" s="266"/>
      <c r="AF29" s="266"/>
      <c r="AG29" s="266"/>
      <c r="AH29" s="266"/>
      <c r="AI29" s="266"/>
      <c r="AJ29" s="266"/>
      <c r="AK29" s="266"/>
      <c r="AL29" s="266"/>
      <c r="AM29" s="266"/>
      <c r="AN29" s="266"/>
    </row>
    <row r="30" spans="3:41">
      <c r="C30" s="303"/>
      <c r="D30" s="266"/>
      <c r="F30" s="266"/>
      <c r="G30" s="266"/>
      <c r="H30" s="266"/>
      <c r="I30" s="266"/>
      <c r="J30" s="266"/>
      <c r="K30" s="266"/>
      <c r="L30" s="266"/>
      <c r="M30" s="266"/>
      <c r="N30" s="266"/>
      <c r="O30" s="266"/>
      <c r="P30" s="266"/>
      <c r="Q30" s="266"/>
      <c r="R30" s="266"/>
      <c r="S30" s="266"/>
      <c r="T30" s="266"/>
      <c r="U30" s="266"/>
      <c r="V30" s="266"/>
      <c r="W30" s="266"/>
      <c r="X30" s="266"/>
      <c r="Y30" s="266"/>
      <c r="Z30" s="266"/>
      <c r="AA30" s="266"/>
      <c r="AB30" s="266"/>
      <c r="AC30" s="266"/>
      <c r="AD30" s="266"/>
      <c r="AE30" s="266"/>
      <c r="AF30" s="266"/>
      <c r="AG30" s="266"/>
      <c r="AH30" s="266"/>
      <c r="AI30" s="266"/>
      <c r="AJ30" s="266"/>
      <c r="AK30" s="266"/>
      <c r="AL30" s="266"/>
      <c r="AM30" s="266"/>
      <c r="AN30" s="266"/>
    </row>
    <row r="31" spans="3:41" s="266" customFormat="1" ht="16.2" thickBot="1">
      <c r="C31" s="394" t="s">
        <v>716</v>
      </c>
      <c r="D31" s="395"/>
      <c r="E31" s="396"/>
      <c r="F31" s="395"/>
      <c r="G31" s="395"/>
      <c r="H31" s="395"/>
      <c r="I31" s="395"/>
      <c r="J31" s="395"/>
      <c r="K31" s="395"/>
      <c r="L31" s="395"/>
      <c r="M31" s="395"/>
      <c r="N31" s="395"/>
      <c r="O31" s="395"/>
      <c r="P31" s="395"/>
      <c r="Q31" s="395"/>
      <c r="R31" s="395"/>
      <c r="S31" s="395"/>
      <c r="T31" s="395"/>
      <c r="U31" s="395"/>
      <c r="V31" s="395"/>
      <c r="W31" s="395"/>
      <c r="X31" s="395"/>
      <c r="Y31" s="395"/>
      <c r="Z31" s="395"/>
      <c r="AA31" s="395"/>
      <c r="AB31" s="395"/>
      <c r="AC31" s="395"/>
      <c r="AD31" s="395"/>
      <c r="AE31" s="395"/>
      <c r="AF31" s="395"/>
      <c r="AG31" s="395"/>
      <c r="AH31" s="395"/>
      <c r="AI31" s="395"/>
      <c r="AJ31" s="395"/>
      <c r="AK31" s="8"/>
      <c r="AL31" s="8"/>
      <c r="AM31" s="8"/>
      <c r="AN31" s="8"/>
      <c r="AO31"/>
    </row>
    <row r="32" spans="3:41" outlineLevel="1">
      <c r="C32" s="303"/>
      <c r="D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266"/>
      <c r="R32" s="266"/>
      <c r="S32" s="266"/>
      <c r="T32" s="266"/>
      <c r="U32" s="266"/>
      <c r="V32" s="266"/>
      <c r="W32" s="266"/>
      <c r="X32" s="266"/>
      <c r="Y32" s="266"/>
      <c r="Z32" s="266"/>
      <c r="AA32" s="266"/>
      <c r="AB32" s="266"/>
      <c r="AC32" s="266"/>
      <c r="AD32" s="266"/>
      <c r="AE32" s="266"/>
      <c r="AF32" s="266"/>
      <c r="AG32" s="266"/>
      <c r="AH32" s="266"/>
      <c r="AI32" s="266"/>
      <c r="AJ32" s="266"/>
      <c r="AK32" s="266"/>
      <c r="AL32" s="266"/>
      <c r="AM32" s="266"/>
      <c r="AN32" s="266"/>
    </row>
    <row r="33" spans="2:40" outlineLevel="1">
      <c r="B33" s="266"/>
      <c r="C33" s="31" t="s">
        <v>717</v>
      </c>
      <c r="D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6"/>
      <c r="R33" s="266"/>
      <c r="S33" s="266"/>
      <c r="T33" s="266"/>
      <c r="U33" s="266"/>
      <c r="V33" s="266"/>
      <c r="W33" s="266"/>
      <c r="X33" s="266"/>
      <c r="Y33" s="266"/>
      <c r="Z33" s="266"/>
      <c r="AA33" s="266"/>
      <c r="AB33" s="266"/>
      <c r="AC33" s="266"/>
      <c r="AD33" s="266"/>
      <c r="AE33" s="266"/>
      <c r="AF33" s="266"/>
      <c r="AG33" s="266"/>
      <c r="AH33" s="266"/>
      <c r="AI33" s="266"/>
      <c r="AJ33" s="266"/>
      <c r="AK33" s="266"/>
      <c r="AL33" s="266"/>
      <c r="AM33" s="266"/>
      <c r="AN33" s="266"/>
    </row>
    <row r="34" spans="2:40" outlineLevel="2">
      <c r="B34" s="266"/>
      <c r="C34" s="314" t="s">
        <v>718</v>
      </c>
      <c r="D34" s="33">
        <f>FinancialCloseDate</f>
        <v>46388</v>
      </c>
      <c r="E34" s="32" t="s">
        <v>345</v>
      </c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6"/>
      <c r="T34" s="266"/>
      <c r="U34" s="266"/>
      <c r="V34" s="266"/>
      <c r="W34" s="266"/>
      <c r="X34" s="266"/>
      <c r="Y34" s="266"/>
      <c r="Z34" s="266"/>
      <c r="AA34" s="266"/>
      <c r="AB34" s="266"/>
      <c r="AC34" s="266"/>
      <c r="AD34" s="266"/>
      <c r="AE34" s="266"/>
      <c r="AF34" s="266"/>
      <c r="AG34" s="266"/>
      <c r="AH34" s="266"/>
      <c r="AI34" s="266"/>
      <c r="AJ34" s="266"/>
      <c r="AK34" s="266"/>
      <c r="AL34" s="266"/>
      <c r="AM34" s="266"/>
      <c r="AN34" s="266"/>
    </row>
    <row r="35" spans="2:40" outlineLevel="2">
      <c r="B35" s="266"/>
      <c r="C35" s="314" t="s">
        <v>713</v>
      </c>
      <c r="D35" s="266"/>
      <c r="E35" s="32" t="s">
        <v>345</v>
      </c>
      <c r="F35" s="266"/>
      <c r="G35" s="353">
        <f t="shared" ref="G35:AN35" si="20">G22</f>
        <v>46388</v>
      </c>
      <c r="H35" s="353">
        <f t="shared" si="20"/>
        <v>46753</v>
      </c>
      <c r="I35" s="353">
        <f t="shared" si="20"/>
        <v>47119</v>
      </c>
      <c r="J35" s="353">
        <f t="shared" si="20"/>
        <v>47484</v>
      </c>
      <c r="K35" s="353">
        <f t="shared" si="20"/>
        <v>47849</v>
      </c>
      <c r="L35" s="353">
        <f t="shared" si="20"/>
        <v>48214</v>
      </c>
      <c r="M35" s="353">
        <f t="shared" si="20"/>
        <v>48580</v>
      </c>
      <c r="N35" s="353">
        <f t="shared" si="20"/>
        <v>48945</v>
      </c>
      <c r="O35" s="353">
        <f t="shared" si="20"/>
        <v>49310</v>
      </c>
      <c r="P35" s="353">
        <f t="shared" si="20"/>
        <v>49675</v>
      </c>
      <c r="Q35" s="353">
        <f t="shared" si="20"/>
        <v>50041</v>
      </c>
      <c r="R35" s="353">
        <f t="shared" si="20"/>
        <v>50406</v>
      </c>
      <c r="S35" s="353">
        <f t="shared" si="20"/>
        <v>50771</v>
      </c>
      <c r="T35" s="353">
        <f t="shared" si="20"/>
        <v>51136</v>
      </c>
      <c r="U35" s="353">
        <f t="shared" si="20"/>
        <v>51502</v>
      </c>
      <c r="V35" s="353">
        <f t="shared" si="20"/>
        <v>51867</v>
      </c>
      <c r="W35" s="353">
        <f t="shared" si="20"/>
        <v>52232</v>
      </c>
      <c r="X35" s="353">
        <f t="shared" si="20"/>
        <v>52597</v>
      </c>
      <c r="Y35" s="353">
        <f t="shared" si="20"/>
        <v>52963</v>
      </c>
      <c r="Z35" s="353">
        <f t="shared" si="20"/>
        <v>53328</v>
      </c>
      <c r="AA35" s="353">
        <f t="shared" si="20"/>
        <v>53693</v>
      </c>
      <c r="AB35" s="353">
        <f t="shared" si="20"/>
        <v>54058</v>
      </c>
      <c r="AC35" s="353">
        <f t="shared" si="20"/>
        <v>54424</v>
      </c>
      <c r="AD35" s="353">
        <f t="shared" si="20"/>
        <v>54789</v>
      </c>
      <c r="AE35" s="353">
        <f t="shared" si="20"/>
        <v>55154</v>
      </c>
      <c r="AF35" s="353">
        <f t="shared" si="20"/>
        <v>55519</v>
      </c>
      <c r="AG35" s="353">
        <f t="shared" si="20"/>
        <v>55885</v>
      </c>
      <c r="AH35" s="353">
        <f t="shared" si="20"/>
        <v>56250</v>
      </c>
      <c r="AI35" s="353">
        <f t="shared" si="20"/>
        <v>56615</v>
      </c>
      <c r="AJ35" s="353">
        <f t="shared" si="20"/>
        <v>56980</v>
      </c>
      <c r="AK35" s="353">
        <f t="shared" si="20"/>
        <v>57346</v>
      </c>
      <c r="AL35" s="353">
        <f t="shared" si="20"/>
        <v>57711</v>
      </c>
      <c r="AM35" s="353">
        <f t="shared" si="20"/>
        <v>58076</v>
      </c>
      <c r="AN35" s="353">
        <f t="shared" si="20"/>
        <v>58441</v>
      </c>
    </row>
    <row r="36" spans="2:40" outlineLevel="2">
      <c r="B36" s="266"/>
      <c r="C36" s="314" t="s">
        <v>666</v>
      </c>
      <c r="D36" s="266"/>
      <c r="E36" s="32" t="s">
        <v>345</v>
      </c>
      <c r="F36" s="266"/>
      <c r="G36" s="353">
        <f t="shared" ref="G36:AN36" si="21">G23</f>
        <v>46752</v>
      </c>
      <c r="H36" s="353">
        <f t="shared" si="21"/>
        <v>47118</v>
      </c>
      <c r="I36" s="353">
        <f t="shared" si="21"/>
        <v>47483</v>
      </c>
      <c r="J36" s="353">
        <f t="shared" si="21"/>
        <v>47848</v>
      </c>
      <c r="K36" s="353">
        <f t="shared" si="21"/>
        <v>48213</v>
      </c>
      <c r="L36" s="353">
        <f t="shared" si="21"/>
        <v>48579</v>
      </c>
      <c r="M36" s="353">
        <f t="shared" si="21"/>
        <v>48944</v>
      </c>
      <c r="N36" s="353">
        <f t="shared" si="21"/>
        <v>49309</v>
      </c>
      <c r="O36" s="353">
        <f t="shared" si="21"/>
        <v>49674</v>
      </c>
      <c r="P36" s="353">
        <f t="shared" si="21"/>
        <v>50040</v>
      </c>
      <c r="Q36" s="353">
        <f t="shared" si="21"/>
        <v>50405</v>
      </c>
      <c r="R36" s="353">
        <f t="shared" si="21"/>
        <v>50770</v>
      </c>
      <c r="S36" s="353">
        <f t="shared" si="21"/>
        <v>51135</v>
      </c>
      <c r="T36" s="353">
        <f t="shared" si="21"/>
        <v>51501</v>
      </c>
      <c r="U36" s="353">
        <f t="shared" si="21"/>
        <v>51866</v>
      </c>
      <c r="V36" s="353">
        <f t="shared" si="21"/>
        <v>52231</v>
      </c>
      <c r="W36" s="353">
        <f t="shared" si="21"/>
        <v>52596</v>
      </c>
      <c r="X36" s="353">
        <f t="shared" si="21"/>
        <v>52962</v>
      </c>
      <c r="Y36" s="353">
        <f t="shared" si="21"/>
        <v>53327</v>
      </c>
      <c r="Z36" s="353">
        <f t="shared" si="21"/>
        <v>53692</v>
      </c>
      <c r="AA36" s="353">
        <f t="shared" si="21"/>
        <v>54057</v>
      </c>
      <c r="AB36" s="353">
        <f t="shared" si="21"/>
        <v>54423</v>
      </c>
      <c r="AC36" s="353">
        <f t="shared" si="21"/>
        <v>54788</v>
      </c>
      <c r="AD36" s="353">
        <f t="shared" si="21"/>
        <v>55153</v>
      </c>
      <c r="AE36" s="353">
        <f t="shared" si="21"/>
        <v>55518</v>
      </c>
      <c r="AF36" s="353">
        <f t="shared" si="21"/>
        <v>55884</v>
      </c>
      <c r="AG36" s="353">
        <f t="shared" si="21"/>
        <v>56249</v>
      </c>
      <c r="AH36" s="353">
        <f t="shared" si="21"/>
        <v>56614</v>
      </c>
      <c r="AI36" s="353">
        <f t="shared" si="21"/>
        <v>56979</v>
      </c>
      <c r="AJ36" s="353">
        <f t="shared" si="21"/>
        <v>57345</v>
      </c>
      <c r="AK36" s="353">
        <f t="shared" si="21"/>
        <v>57710</v>
      </c>
      <c r="AL36" s="353">
        <f t="shared" si="21"/>
        <v>58075</v>
      </c>
      <c r="AM36" s="353">
        <f t="shared" si="21"/>
        <v>58440</v>
      </c>
      <c r="AN36" s="353">
        <f t="shared" si="21"/>
        <v>58806</v>
      </c>
    </row>
    <row r="37" spans="2:40" outlineLevel="2">
      <c r="B37" s="266"/>
      <c r="C37" s="314" t="s">
        <v>719</v>
      </c>
      <c r="D37" s="266"/>
      <c r="E37" s="32" t="s">
        <v>399</v>
      </c>
      <c r="F37" s="23">
        <f>SUM(G37:AO37)</f>
        <v>1</v>
      </c>
      <c r="G37" s="25">
        <f t="shared" ref="G37:AL37" si="22">IF(AND($D$34&gt;=G35,$D$34&lt;=G36),1,0)</f>
        <v>1</v>
      </c>
      <c r="H37" s="25">
        <f t="shared" si="22"/>
        <v>0</v>
      </c>
      <c r="I37" s="25">
        <f t="shared" si="22"/>
        <v>0</v>
      </c>
      <c r="J37" s="25">
        <f t="shared" si="22"/>
        <v>0</v>
      </c>
      <c r="K37" s="25">
        <f t="shared" si="22"/>
        <v>0</v>
      </c>
      <c r="L37" s="25">
        <f t="shared" si="22"/>
        <v>0</v>
      </c>
      <c r="M37" s="25">
        <f t="shared" si="22"/>
        <v>0</v>
      </c>
      <c r="N37" s="25">
        <f t="shared" si="22"/>
        <v>0</v>
      </c>
      <c r="O37" s="25">
        <f t="shared" si="22"/>
        <v>0</v>
      </c>
      <c r="P37" s="25">
        <f t="shared" si="22"/>
        <v>0</v>
      </c>
      <c r="Q37" s="25">
        <f t="shared" si="22"/>
        <v>0</v>
      </c>
      <c r="R37" s="25">
        <f t="shared" si="22"/>
        <v>0</v>
      </c>
      <c r="S37" s="25">
        <f t="shared" si="22"/>
        <v>0</v>
      </c>
      <c r="T37" s="25">
        <f t="shared" si="22"/>
        <v>0</v>
      </c>
      <c r="U37" s="25">
        <f t="shared" si="22"/>
        <v>0</v>
      </c>
      <c r="V37" s="25">
        <f t="shared" si="22"/>
        <v>0</v>
      </c>
      <c r="W37" s="25">
        <f t="shared" si="22"/>
        <v>0</v>
      </c>
      <c r="X37" s="25">
        <f t="shared" si="22"/>
        <v>0</v>
      </c>
      <c r="Y37" s="25">
        <f t="shared" si="22"/>
        <v>0</v>
      </c>
      <c r="Z37" s="25">
        <f t="shared" si="22"/>
        <v>0</v>
      </c>
      <c r="AA37" s="25">
        <f t="shared" si="22"/>
        <v>0</v>
      </c>
      <c r="AB37" s="25">
        <f t="shared" si="22"/>
        <v>0</v>
      </c>
      <c r="AC37" s="25">
        <f t="shared" si="22"/>
        <v>0</v>
      </c>
      <c r="AD37" s="25">
        <f t="shared" si="22"/>
        <v>0</v>
      </c>
      <c r="AE37" s="25">
        <f t="shared" si="22"/>
        <v>0</v>
      </c>
      <c r="AF37" s="25">
        <f t="shared" si="22"/>
        <v>0</v>
      </c>
      <c r="AG37" s="25">
        <f t="shared" si="22"/>
        <v>0</v>
      </c>
      <c r="AH37" s="25">
        <f t="shared" si="22"/>
        <v>0</v>
      </c>
      <c r="AI37" s="25">
        <f t="shared" si="22"/>
        <v>0</v>
      </c>
      <c r="AJ37" s="25">
        <f t="shared" si="22"/>
        <v>0</v>
      </c>
      <c r="AK37" s="25">
        <f t="shared" si="22"/>
        <v>0</v>
      </c>
      <c r="AL37" s="25">
        <f t="shared" si="22"/>
        <v>0</v>
      </c>
      <c r="AM37" s="25">
        <f t="shared" ref="AM37:AN37" si="23">IF(AND($D$34&gt;=AM35,$D$34&lt;=AM36),1,0)</f>
        <v>0</v>
      </c>
      <c r="AN37" s="25">
        <f t="shared" si="23"/>
        <v>0</v>
      </c>
    </row>
    <row r="38" spans="2:40" outlineLevel="1">
      <c r="B38" s="266"/>
      <c r="C38" s="303"/>
      <c r="D38" s="266"/>
      <c r="F38" s="266"/>
      <c r="G38" s="266"/>
      <c r="H38" s="266"/>
      <c r="I38" s="266"/>
      <c r="J38" s="266"/>
      <c r="K38" s="266"/>
      <c r="L38" s="266"/>
      <c r="M38" s="266"/>
      <c r="N38" s="266"/>
      <c r="O38" s="266"/>
      <c r="P38" s="266"/>
      <c r="Q38" s="266"/>
      <c r="R38" s="266"/>
      <c r="S38" s="266"/>
      <c r="T38" s="266"/>
      <c r="U38" s="266"/>
      <c r="V38" s="266"/>
      <c r="W38" s="266"/>
      <c r="X38" s="266"/>
      <c r="Y38" s="266"/>
      <c r="Z38" s="266"/>
      <c r="AA38" s="266"/>
      <c r="AB38" s="266"/>
      <c r="AC38" s="266"/>
      <c r="AD38" s="266"/>
      <c r="AE38" s="266"/>
      <c r="AF38" s="266"/>
      <c r="AG38" s="266"/>
      <c r="AH38" s="266"/>
      <c r="AI38" s="266"/>
      <c r="AJ38" s="266"/>
      <c r="AK38" s="266"/>
      <c r="AL38" s="266"/>
      <c r="AM38" s="266"/>
      <c r="AN38" s="266"/>
    </row>
    <row r="39" spans="2:40" outlineLevel="1">
      <c r="B39" s="266"/>
      <c r="C39" s="303"/>
      <c r="D39" s="266"/>
      <c r="F39" s="266"/>
      <c r="G39" s="266"/>
      <c r="H39" s="266"/>
      <c r="I39" s="266"/>
      <c r="J39" s="266"/>
      <c r="K39" s="266"/>
      <c r="L39" s="266"/>
      <c r="M39" s="266"/>
      <c r="N39" s="266"/>
      <c r="O39" s="266"/>
      <c r="P39" s="266"/>
      <c r="Q39" s="266"/>
      <c r="R39" s="266"/>
      <c r="S39" s="266"/>
      <c r="T39" s="266"/>
      <c r="U39" s="266"/>
      <c r="V39" s="266"/>
      <c r="W39" s="266"/>
      <c r="X39" s="266"/>
      <c r="Y39" s="266"/>
      <c r="Z39" s="266"/>
      <c r="AA39" s="266"/>
      <c r="AB39" s="266"/>
      <c r="AC39" s="266"/>
      <c r="AD39" s="266"/>
      <c r="AE39" s="266"/>
      <c r="AF39" s="266"/>
      <c r="AG39" s="266"/>
      <c r="AH39" s="266"/>
      <c r="AI39" s="266"/>
      <c r="AJ39" s="266"/>
      <c r="AK39" s="266"/>
      <c r="AL39" s="266"/>
      <c r="AM39" s="266"/>
      <c r="AN39" s="266"/>
    </row>
    <row r="40" spans="2:40" outlineLevel="1">
      <c r="B40" s="39"/>
      <c r="C40" s="31" t="s">
        <v>720</v>
      </c>
      <c r="D40" s="266"/>
      <c r="F40" s="266"/>
      <c r="G40" s="266"/>
      <c r="H40" s="266"/>
      <c r="I40" s="266"/>
      <c r="J40" s="266"/>
      <c r="K40" s="266"/>
      <c r="L40" s="266"/>
      <c r="M40" s="266"/>
      <c r="N40" s="266"/>
      <c r="O40" s="266"/>
      <c r="P40" s="266"/>
      <c r="Q40" s="266"/>
      <c r="R40" s="266"/>
      <c r="S40" s="266"/>
      <c r="T40" s="266"/>
      <c r="U40" s="266"/>
      <c r="V40" s="266"/>
      <c r="W40" s="266"/>
      <c r="X40" s="266"/>
      <c r="Y40" s="266"/>
      <c r="Z40" s="266"/>
      <c r="AA40" s="266"/>
      <c r="AB40" s="266"/>
      <c r="AC40" s="266"/>
      <c r="AD40" s="266"/>
      <c r="AE40" s="266"/>
      <c r="AF40" s="266"/>
      <c r="AG40" s="266"/>
      <c r="AH40" s="266"/>
      <c r="AI40" s="266"/>
      <c r="AJ40" s="266"/>
      <c r="AK40" s="266"/>
      <c r="AL40" s="266"/>
      <c r="AM40" s="266"/>
      <c r="AN40" s="266"/>
    </row>
    <row r="41" spans="2:40" outlineLevel="2">
      <c r="B41" s="266"/>
      <c r="C41" s="320" t="str">
        <f>C34</f>
        <v xml:space="preserve"> Financial close date  </v>
      </c>
      <c r="D41" s="37">
        <f>EOMONTH(D34,1)</f>
        <v>46446</v>
      </c>
      <c r="E41" s="32" t="s">
        <v>133</v>
      </c>
      <c r="F41" s="266"/>
      <c r="G41" s="266"/>
      <c r="H41" s="266"/>
      <c r="I41" s="266"/>
      <c r="J41" s="266"/>
      <c r="K41" s="266"/>
      <c r="L41" s="266"/>
      <c r="M41" s="266"/>
      <c r="N41" s="266"/>
      <c r="O41" s="266"/>
      <c r="P41" s="266"/>
      <c r="Q41" s="266"/>
      <c r="R41" s="266"/>
      <c r="S41" s="266"/>
      <c r="T41" s="266"/>
      <c r="U41" s="266"/>
      <c r="V41" s="266"/>
      <c r="W41" s="266"/>
      <c r="X41" s="266"/>
      <c r="Y41" s="266"/>
      <c r="Z41" s="266"/>
      <c r="AA41" s="266"/>
      <c r="AB41" s="266"/>
      <c r="AC41" s="266"/>
      <c r="AD41" s="266"/>
      <c r="AE41" s="266"/>
      <c r="AF41" s="266"/>
      <c r="AG41" s="266"/>
      <c r="AH41" s="266"/>
      <c r="AI41" s="266"/>
      <c r="AJ41" s="266"/>
      <c r="AK41" s="266"/>
      <c r="AL41" s="266"/>
      <c r="AM41" s="266"/>
      <c r="AN41" s="266"/>
    </row>
    <row r="42" spans="2:40" outlineLevel="2">
      <c r="B42" s="266"/>
      <c r="C42" s="320" t="s">
        <v>721</v>
      </c>
      <c r="D42" s="34">
        <f>Inputs!E32</f>
        <v>30</v>
      </c>
      <c r="E42" s="32" t="s">
        <v>24</v>
      </c>
      <c r="F42" s="266"/>
      <c r="G42" s="266"/>
      <c r="H42" s="266"/>
      <c r="I42" s="266"/>
      <c r="J42" s="266"/>
      <c r="K42" s="266"/>
      <c r="L42" s="266"/>
      <c r="M42" s="266"/>
      <c r="N42" s="266"/>
      <c r="O42" s="266"/>
      <c r="P42" s="266"/>
      <c r="Q42" s="266"/>
      <c r="R42" s="266"/>
      <c r="S42" s="266"/>
      <c r="T42" s="266"/>
      <c r="U42" s="266"/>
      <c r="V42" s="266"/>
      <c r="W42" s="266"/>
      <c r="X42" s="266"/>
      <c r="Y42" s="266"/>
      <c r="Z42" s="266"/>
      <c r="AA42" s="266"/>
      <c r="AB42" s="266"/>
      <c r="AC42" s="266"/>
      <c r="AD42" s="266"/>
      <c r="AE42" s="266"/>
      <c r="AF42" s="266"/>
      <c r="AG42" s="266"/>
      <c r="AH42" s="266"/>
      <c r="AI42" s="266"/>
      <c r="AJ42" s="266"/>
      <c r="AK42" s="266"/>
      <c r="AL42" s="266"/>
      <c r="AM42" s="266"/>
      <c r="AN42" s="266"/>
    </row>
    <row r="43" spans="2:40" outlineLevel="2">
      <c r="B43" s="266"/>
      <c r="C43" s="320" t="s">
        <v>722</v>
      </c>
      <c r="D43" s="40">
        <f>D42*12</f>
        <v>360</v>
      </c>
      <c r="E43" s="32" t="s">
        <v>332</v>
      </c>
      <c r="F43" s="266"/>
      <c r="G43" s="266"/>
      <c r="H43" s="266"/>
      <c r="I43" s="266"/>
      <c r="J43" s="266"/>
      <c r="K43" s="266"/>
      <c r="L43" s="266"/>
      <c r="M43" s="266"/>
      <c r="N43" s="266"/>
      <c r="O43" s="266"/>
      <c r="P43" s="266"/>
      <c r="Q43" s="266"/>
      <c r="R43" s="266"/>
      <c r="S43" s="266"/>
      <c r="T43" s="266"/>
      <c r="U43" s="266"/>
      <c r="V43" s="266"/>
      <c r="W43" s="266"/>
      <c r="X43" s="266"/>
      <c r="Y43" s="266"/>
      <c r="Z43" s="266"/>
      <c r="AA43" s="266"/>
      <c r="AB43" s="266"/>
      <c r="AC43" s="266"/>
      <c r="AD43" s="266"/>
      <c r="AE43" s="266"/>
      <c r="AF43" s="266"/>
      <c r="AG43" s="266"/>
      <c r="AH43" s="266"/>
      <c r="AI43" s="266"/>
      <c r="AJ43" s="266"/>
      <c r="AK43" s="266"/>
      <c r="AL43" s="266"/>
      <c r="AM43" s="266"/>
      <c r="AN43" s="266"/>
    </row>
    <row r="44" spans="2:40" outlineLevel="2">
      <c r="B44" s="266"/>
      <c r="C44" s="320" t="s">
        <v>723</v>
      </c>
      <c r="D44" s="10">
        <f>D20</f>
        <v>12</v>
      </c>
      <c r="E44" s="32" t="s">
        <v>334</v>
      </c>
      <c r="F44" s="266"/>
      <c r="G44" s="266"/>
      <c r="H44" s="266"/>
      <c r="I44" s="266"/>
      <c r="J44" s="266"/>
      <c r="K44" s="266"/>
      <c r="L44" s="266"/>
      <c r="M44" s="266"/>
      <c r="N44" s="266"/>
      <c r="O44" s="266"/>
      <c r="P44" s="266"/>
      <c r="Q44" s="266"/>
      <c r="R44" s="266"/>
      <c r="S44" s="266"/>
      <c r="T44" s="266"/>
      <c r="U44" s="266"/>
      <c r="V44" s="266"/>
      <c r="W44" s="266"/>
      <c r="X44" s="266"/>
      <c r="Y44" s="266"/>
      <c r="Z44" s="266"/>
      <c r="AA44" s="266"/>
      <c r="AB44" s="266"/>
      <c r="AC44" s="266"/>
      <c r="AD44" s="266"/>
      <c r="AE44" s="266"/>
      <c r="AF44" s="266"/>
      <c r="AG44" s="266"/>
      <c r="AH44" s="266"/>
      <c r="AI44" s="266"/>
      <c r="AJ44" s="266"/>
      <c r="AK44" s="266"/>
      <c r="AL44" s="266"/>
      <c r="AM44" s="266"/>
      <c r="AN44" s="266"/>
    </row>
    <row r="45" spans="2:40" outlineLevel="2">
      <c r="B45" s="266"/>
      <c r="C45" s="320" t="s">
        <v>724</v>
      </c>
      <c r="D45" s="37">
        <f>EOMONTH(D41-1,D43)</f>
        <v>57404</v>
      </c>
      <c r="E45" s="32" t="s">
        <v>133</v>
      </c>
      <c r="F45" s="266"/>
      <c r="G45" s="266"/>
      <c r="H45" s="266"/>
      <c r="I45" s="266"/>
      <c r="J45" s="266"/>
      <c r="K45" s="266"/>
      <c r="L45" s="266"/>
      <c r="M45" s="266"/>
      <c r="N45" s="266"/>
      <c r="O45" s="266"/>
      <c r="P45" s="266"/>
      <c r="Q45" s="266"/>
      <c r="R45" s="266"/>
      <c r="S45" s="266"/>
      <c r="T45" s="266"/>
      <c r="U45" s="266"/>
      <c r="V45" s="266"/>
      <c r="W45" s="266"/>
      <c r="X45" s="266"/>
      <c r="Y45" s="266"/>
      <c r="Z45" s="266"/>
      <c r="AA45" s="266"/>
      <c r="AB45" s="266"/>
      <c r="AC45" s="266"/>
      <c r="AD45" s="266"/>
      <c r="AE45" s="266"/>
      <c r="AF45" s="266"/>
      <c r="AG45" s="266"/>
      <c r="AH45" s="266"/>
      <c r="AI45" s="266"/>
      <c r="AJ45" s="266"/>
      <c r="AK45" s="266"/>
      <c r="AL45" s="266"/>
      <c r="AM45" s="266"/>
      <c r="AN45" s="266"/>
    </row>
    <row r="46" spans="2:40" outlineLevel="2">
      <c r="B46" s="266"/>
      <c r="C46" s="314"/>
      <c r="D46" s="266"/>
      <c r="E46" s="309"/>
      <c r="F46" s="266"/>
      <c r="G46" s="266"/>
      <c r="H46" s="266"/>
      <c r="I46" s="266"/>
      <c r="J46" s="266"/>
      <c r="K46" s="266"/>
      <c r="L46" s="266"/>
      <c r="M46" s="266"/>
      <c r="N46" s="266"/>
      <c r="O46" s="266"/>
      <c r="P46" s="266"/>
      <c r="Q46" s="266"/>
      <c r="R46" s="266"/>
      <c r="S46" s="266"/>
      <c r="T46" s="266"/>
      <c r="U46" s="266"/>
      <c r="V46" s="266"/>
      <c r="W46" s="266"/>
      <c r="X46" s="266"/>
      <c r="Y46" s="266"/>
      <c r="Z46" s="266"/>
      <c r="AA46" s="266"/>
      <c r="AB46" s="266"/>
      <c r="AC46" s="266"/>
      <c r="AD46" s="266"/>
      <c r="AE46" s="266"/>
      <c r="AF46" s="266"/>
      <c r="AG46" s="266"/>
      <c r="AH46" s="266"/>
      <c r="AI46" s="266"/>
      <c r="AJ46" s="266"/>
      <c r="AK46" s="266"/>
      <c r="AL46" s="266"/>
      <c r="AM46" s="266"/>
      <c r="AN46" s="266"/>
    </row>
    <row r="47" spans="2:40" outlineLevel="2">
      <c r="B47" s="266"/>
      <c r="C47" s="320" t="str">
        <f t="shared" ref="C47:E49" si="24">C41</f>
        <v xml:space="preserve"> Financial close date  </v>
      </c>
      <c r="D47" s="37">
        <f t="shared" si="24"/>
        <v>46446</v>
      </c>
      <c r="E47" s="41" t="str">
        <f t="shared" si="24"/>
        <v>Data</v>
      </c>
      <c r="F47" s="266"/>
      <c r="G47" s="266"/>
      <c r="H47" s="266"/>
      <c r="I47" s="266"/>
      <c r="J47" s="266"/>
      <c r="K47" s="266"/>
      <c r="L47" s="266"/>
      <c r="M47" s="266"/>
      <c r="N47" s="266"/>
      <c r="O47" s="266"/>
      <c r="P47" s="266"/>
      <c r="Q47" s="266"/>
      <c r="R47" s="266"/>
      <c r="S47" s="266"/>
      <c r="T47" s="266"/>
      <c r="U47" s="266"/>
      <c r="V47" s="266"/>
      <c r="W47" s="266"/>
      <c r="X47" s="266"/>
      <c r="Y47" s="266"/>
      <c r="Z47" s="266"/>
      <c r="AA47" s="266"/>
      <c r="AB47" s="266"/>
      <c r="AC47" s="266"/>
      <c r="AD47" s="266"/>
      <c r="AE47" s="266"/>
      <c r="AF47" s="266"/>
      <c r="AG47" s="266"/>
      <c r="AH47" s="266"/>
      <c r="AI47" s="266"/>
      <c r="AJ47" s="266"/>
      <c r="AK47" s="266"/>
      <c r="AL47" s="266"/>
      <c r="AM47" s="266"/>
      <c r="AN47" s="266"/>
    </row>
    <row r="48" spans="2:40" outlineLevel="2">
      <c r="B48" s="266"/>
      <c r="C48" s="320" t="str">
        <f>C45</f>
        <v>Fim da operação</v>
      </c>
      <c r="D48" s="37">
        <f>D45</f>
        <v>57404</v>
      </c>
      <c r="E48" s="41" t="s">
        <v>133</v>
      </c>
      <c r="F48" s="266"/>
      <c r="G48" s="266"/>
      <c r="H48" s="266"/>
      <c r="I48" s="266"/>
      <c r="J48" s="266"/>
      <c r="K48" s="266"/>
      <c r="L48" s="266"/>
      <c r="M48" s="266"/>
      <c r="N48" s="266"/>
      <c r="O48" s="266"/>
      <c r="P48" s="266"/>
      <c r="Q48" s="266"/>
      <c r="R48" s="266"/>
      <c r="S48" s="266"/>
      <c r="T48" s="266"/>
      <c r="U48" s="266"/>
      <c r="V48" s="266"/>
      <c r="W48" s="266"/>
      <c r="X48" s="266"/>
      <c r="Y48" s="266"/>
      <c r="Z48" s="266"/>
      <c r="AA48" s="266"/>
      <c r="AB48" s="266"/>
      <c r="AC48" s="266"/>
      <c r="AD48" s="266"/>
      <c r="AE48" s="266"/>
      <c r="AF48" s="266"/>
      <c r="AG48" s="266"/>
      <c r="AH48" s="266"/>
      <c r="AI48" s="266"/>
      <c r="AJ48" s="266"/>
      <c r="AK48" s="266"/>
      <c r="AL48" s="266"/>
      <c r="AM48" s="266"/>
      <c r="AN48" s="266"/>
    </row>
    <row r="49" spans="2:40" outlineLevel="2">
      <c r="B49" s="39"/>
      <c r="C49" s="320" t="str">
        <f>C36</f>
        <v>Fim período</v>
      </c>
      <c r="D49" s="266"/>
      <c r="E49" s="41" t="str">
        <f t="shared" si="24"/>
        <v>Meses</v>
      </c>
      <c r="F49" s="266"/>
      <c r="G49" s="281">
        <f t="shared" ref="G49:AN49" si="25">G36</f>
        <v>46752</v>
      </c>
      <c r="H49" s="281">
        <f t="shared" si="25"/>
        <v>47118</v>
      </c>
      <c r="I49" s="281">
        <f t="shared" si="25"/>
        <v>47483</v>
      </c>
      <c r="J49" s="281">
        <f t="shared" si="25"/>
        <v>47848</v>
      </c>
      <c r="K49" s="281">
        <f t="shared" si="25"/>
        <v>48213</v>
      </c>
      <c r="L49" s="281">
        <f t="shared" si="25"/>
        <v>48579</v>
      </c>
      <c r="M49" s="281">
        <f t="shared" si="25"/>
        <v>48944</v>
      </c>
      <c r="N49" s="281">
        <f t="shared" si="25"/>
        <v>49309</v>
      </c>
      <c r="O49" s="281">
        <f t="shared" si="25"/>
        <v>49674</v>
      </c>
      <c r="P49" s="281">
        <f t="shared" si="25"/>
        <v>50040</v>
      </c>
      <c r="Q49" s="281">
        <f t="shared" si="25"/>
        <v>50405</v>
      </c>
      <c r="R49" s="281">
        <f t="shared" si="25"/>
        <v>50770</v>
      </c>
      <c r="S49" s="281">
        <f t="shared" si="25"/>
        <v>51135</v>
      </c>
      <c r="T49" s="281">
        <f t="shared" si="25"/>
        <v>51501</v>
      </c>
      <c r="U49" s="281">
        <f t="shared" si="25"/>
        <v>51866</v>
      </c>
      <c r="V49" s="281">
        <f t="shared" si="25"/>
        <v>52231</v>
      </c>
      <c r="W49" s="281">
        <f t="shared" si="25"/>
        <v>52596</v>
      </c>
      <c r="X49" s="281">
        <f t="shared" si="25"/>
        <v>52962</v>
      </c>
      <c r="Y49" s="281">
        <f t="shared" si="25"/>
        <v>53327</v>
      </c>
      <c r="Z49" s="281">
        <f t="shared" si="25"/>
        <v>53692</v>
      </c>
      <c r="AA49" s="281">
        <f t="shared" si="25"/>
        <v>54057</v>
      </c>
      <c r="AB49" s="281">
        <f t="shared" si="25"/>
        <v>54423</v>
      </c>
      <c r="AC49" s="281">
        <f t="shared" si="25"/>
        <v>54788</v>
      </c>
      <c r="AD49" s="281">
        <f t="shared" si="25"/>
        <v>55153</v>
      </c>
      <c r="AE49" s="281">
        <f t="shared" si="25"/>
        <v>55518</v>
      </c>
      <c r="AF49" s="281">
        <f t="shared" si="25"/>
        <v>55884</v>
      </c>
      <c r="AG49" s="281">
        <f t="shared" si="25"/>
        <v>56249</v>
      </c>
      <c r="AH49" s="281">
        <f t="shared" si="25"/>
        <v>56614</v>
      </c>
      <c r="AI49" s="281">
        <f t="shared" si="25"/>
        <v>56979</v>
      </c>
      <c r="AJ49" s="281">
        <f t="shared" si="25"/>
        <v>57345</v>
      </c>
      <c r="AK49" s="281">
        <f t="shared" si="25"/>
        <v>57710</v>
      </c>
      <c r="AL49" s="281">
        <f t="shared" si="25"/>
        <v>58075</v>
      </c>
      <c r="AM49" s="281">
        <f t="shared" si="25"/>
        <v>58440</v>
      </c>
      <c r="AN49" s="281">
        <f t="shared" si="25"/>
        <v>58806</v>
      </c>
    </row>
    <row r="50" spans="2:40" outlineLevel="2">
      <c r="B50" s="266"/>
      <c r="C50" s="320" t="s">
        <v>725</v>
      </c>
      <c r="D50" s="266"/>
      <c r="E50" s="32" t="s">
        <v>399</v>
      </c>
      <c r="F50" s="23">
        <f>SUM(G50:AO50)</f>
        <v>29</v>
      </c>
      <c r="G50" s="25">
        <f t="shared" ref="G50:AN50" si="26">IF(G37=1,0,IF(AND(G49&gt;=$D$47,G49&lt;=$D$48),1,0))</f>
        <v>0</v>
      </c>
      <c r="H50" s="25">
        <f t="shared" si="26"/>
        <v>1</v>
      </c>
      <c r="I50" s="25">
        <f t="shared" si="26"/>
        <v>1</v>
      </c>
      <c r="J50" s="25">
        <f t="shared" si="26"/>
        <v>1</v>
      </c>
      <c r="K50" s="25">
        <f t="shared" si="26"/>
        <v>1</v>
      </c>
      <c r="L50" s="25">
        <f t="shared" si="26"/>
        <v>1</v>
      </c>
      <c r="M50" s="25">
        <f t="shared" si="26"/>
        <v>1</v>
      </c>
      <c r="N50" s="25">
        <f t="shared" si="26"/>
        <v>1</v>
      </c>
      <c r="O50" s="25">
        <f t="shared" si="26"/>
        <v>1</v>
      </c>
      <c r="P50" s="25">
        <f t="shared" si="26"/>
        <v>1</v>
      </c>
      <c r="Q50" s="25">
        <f t="shared" si="26"/>
        <v>1</v>
      </c>
      <c r="R50" s="25">
        <f t="shared" si="26"/>
        <v>1</v>
      </c>
      <c r="S50" s="25">
        <f t="shared" si="26"/>
        <v>1</v>
      </c>
      <c r="T50" s="25">
        <f t="shared" si="26"/>
        <v>1</v>
      </c>
      <c r="U50" s="25">
        <f t="shared" si="26"/>
        <v>1</v>
      </c>
      <c r="V50" s="25">
        <f t="shared" si="26"/>
        <v>1</v>
      </c>
      <c r="W50" s="25">
        <f t="shared" si="26"/>
        <v>1</v>
      </c>
      <c r="X50" s="25">
        <f t="shared" si="26"/>
        <v>1</v>
      </c>
      <c r="Y50" s="25">
        <f t="shared" si="26"/>
        <v>1</v>
      </c>
      <c r="Z50" s="25">
        <f t="shared" si="26"/>
        <v>1</v>
      </c>
      <c r="AA50" s="25">
        <f t="shared" si="26"/>
        <v>1</v>
      </c>
      <c r="AB50" s="25">
        <f t="shared" si="26"/>
        <v>1</v>
      </c>
      <c r="AC50" s="25">
        <f t="shared" si="26"/>
        <v>1</v>
      </c>
      <c r="AD50" s="25">
        <f t="shared" si="26"/>
        <v>1</v>
      </c>
      <c r="AE50" s="25">
        <f t="shared" si="26"/>
        <v>1</v>
      </c>
      <c r="AF50" s="25">
        <f t="shared" si="26"/>
        <v>1</v>
      </c>
      <c r="AG50" s="25">
        <f t="shared" si="26"/>
        <v>1</v>
      </c>
      <c r="AH50" s="25">
        <f t="shared" si="26"/>
        <v>1</v>
      </c>
      <c r="AI50" s="25">
        <f t="shared" si="26"/>
        <v>1</v>
      </c>
      <c r="AJ50" s="25">
        <f t="shared" si="26"/>
        <v>1</v>
      </c>
      <c r="AK50" s="25">
        <f t="shared" si="26"/>
        <v>0</v>
      </c>
      <c r="AL50" s="25">
        <f t="shared" si="26"/>
        <v>0</v>
      </c>
      <c r="AM50" s="25">
        <f t="shared" si="26"/>
        <v>0</v>
      </c>
      <c r="AN50" s="25">
        <f t="shared" si="26"/>
        <v>0</v>
      </c>
    </row>
    <row r="51" spans="2:40" outlineLevel="1">
      <c r="B51" s="266"/>
      <c r="C51" s="303"/>
      <c r="D51" s="266"/>
      <c r="F51" s="266"/>
      <c r="G51" s="266"/>
      <c r="H51" s="266"/>
      <c r="I51" s="266"/>
      <c r="J51" s="266"/>
      <c r="K51" s="266"/>
      <c r="L51" s="266"/>
      <c r="M51" s="266"/>
      <c r="N51" s="266"/>
      <c r="O51" s="266"/>
      <c r="P51" s="266"/>
      <c r="Q51" s="266"/>
      <c r="R51" s="266"/>
      <c r="S51" s="266"/>
      <c r="T51" s="266"/>
      <c r="U51" s="266"/>
      <c r="V51" s="266"/>
      <c r="W51" s="266"/>
      <c r="X51" s="266"/>
      <c r="Y51" s="266"/>
      <c r="Z51" s="266"/>
      <c r="AA51" s="266"/>
      <c r="AB51" s="266"/>
      <c r="AC51" s="266"/>
      <c r="AD51" s="266"/>
      <c r="AE51" s="266"/>
      <c r="AF51" s="266"/>
      <c r="AG51" s="266"/>
      <c r="AH51" s="266"/>
      <c r="AI51" s="266"/>
      <c r="AJ51" s="266"/>
      <c r="AK51" s="266"/>
      <c r="AL51" s="266"/>
      <c r="AM51" s="266"/>
      <c r="AN51" s="266"/>
    </row>
    <row r="52" spans="2:40" outlineLevel="1">
      <c r="B52" s="39"/>
      <c r="C52" s="31" t="s">
        <v>726</v>
      </c>
      <c r="D52" s="266"/>
      <c r="F52" s="266"/>
      <c r="G52" s="266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266"/>
      <c r="AE52" s="266"/>
      <c r="AF52" s="266"/>
      <c r="AG52" s="266"/>
      <c r="AH52" s="266"/>
      <c r="AI52" s="266"/>
      <c r="AJ52" s="266"/>
      <c r="AK52" s="266"/>
      <c r="AL52" s="266"/>
      <c r="AM52" s="266"/>
      <c r="AN52" s="266"/>
    </row>
    <row r="53" spans="2:40" outlineLevel="2">
      <c r="B53" s="266"/>
      <c r="C53" s="320" t="str">
        <f>C50</f>
        <v>Flag de operação</v>
      </c>
      <c r="D53" s="266"/>
      <c r="E53" s="32" t="s">
        <v>399</v>
      </c>
      <c r="F53" s="23">
        <f>SUM(G53:AO53)</f>
        <v>29</v>
      </c>
      <c r="G53" s="25">
        <f t="shared" ref="G53:AL53" si="27">G50</f>
        <v>0</v>
      </c>
      <c r="H53" s="25">
        <f t="shared" si="27"/>
        <v>1</v>
      </c>
      <c r="I53" s="25">
        <f t="shared" si="27"/>
        <v>1</v>
      </c>
      <c r="J53" s="25">
        <f t="shared" si="27"/>
        <v>1</v>
      </c>
      <c r="K53" s="25">
        <f t="shared" si="27"/>
        <v>1</v>
      </c>
      <c r="L53" s="25">
        <f t="shared" si="27"/>
        <v>1</v>
      </c>
      <c r="M53" s="25">
        <f t="shared" si="27"/>
        <v>1</v>
      </c>
      <c r="N53" s="25">
        <f t="shared" si="27"/>
        <v>1</v>
      </c>
      <c r="O53" s="25">
        <f t="shared" si="27"/>
        <v>1</v>
      </c>
      <c r="P53" s="25">
        <f t="shared" si="27"/>
        <v>1</v>
      </c>
      <c r="Q53" s="25">
        <f t="shared" si="27"/>
        <v>1</v>
      </c>
      <c r="R53" s="25">
        <f t="shared" si="27"/>
        <v>1</v>
      </c>
      <c r="S53" s="25">
        <f t="shared" si="27"/>
        <v>1</v>
      </c>
      <c r="T53" s="25">
        <f t="shared" si="27"/>
        <v>1</v>
      </c>
      <c r="U53" s="25">
        <f t="shared" si="27"/>
        <v>1</v>
      </c>
      <c r="V53" s="25">
        <f t="shared" si="27"/>
        <v>1</v>
      </c>
      <c r="W53" s="25">
        <f t="shared" si="27"/>
        <v>1</v>
      </c>
      <c r="X53" s="25">
        <f t="shared" si="27"/>
        <v>1</v>
      </c>
      <c r="Y53" s="25">
        <f t="shared" si="27"/>
        <v>1</v>
      </c>
      <c r="Z53" s="25">
        <f t="shared" si="27"/>
        <v>1</v>
      </c>
      <c r="AA53" s="25">
        <f t="shared" si="27"/>
        <v>1</v>
      </c>
      <c r="AB53" s="25">
        <f t="shared" si="27"/>
        <v>1</v>
      </c>
      <c r="AC53" s="25">
        <f t="shared" si="27"/>
        <v>1</v>
      </c>
      <c r="AD53" s="25">
        <f t="shared" si="27"/>
        <v>1</v>
      </c>
      <c r="AE53" s="25">
        <f t="shared" si="27"/>
        <v>1</v>
      </c>
      <c r="AF53" s="25">
        <f t="shared" si="27"/>
        <v>1</v>
      </c>
      <c r="AG53" s="25">
        <f t="shared" si="27"/>
        <v>1</v>
      </c>
      <c r="AH53" s="25">
        <f t="shared" si="27"/>
        <v>1</v>
      </c>
      <c r="AI53" s="25">
        <f t="shared" si="27"/>
        <v>1</v>
      </c>
      <c r="AJ53" s="25">
        <f t="shared" si="27"/>
        <v>1</v>
      </c>
      <c r="AK53" s="25">
        <f t="shared" si="27"/>
        <v>0</v>
      </c>
      <c r="AL53" s="25">
        <f t="shared" si="27"/>
        <v>0</v>
      </c>
      <c r="AM53" s="25">
        <f t="shared" ref="AM53:AN53" si="28">AM50</f>
        <v>0</v>
      </c>
      <c r="AN53" s="25">
        <f t="shared" si="28"/>
        <v>0</v>
      </c>
    </row>
    <row r="54" spans="2:40" outlineLevel="2">
      <c r="B54" s="266"/>
      <c r="C54" s="320" t="s">
        <v>727</v>
      </c>
      <c r="D54" s="266"/>
      <c r="E54" s="32" t="s">
        <v>564</v>
      </c>
      <c r="F54" s="266"/>
      <c r="G54" s="273">
        <f t="shared" ref="G54:AL54" si="29">IF(G53=1,F54+1,0)</f>
        <v>0</v>
      </c>
      <c r="H54" s="273">
        <f t="shared" si="29"/>
        <v>1</v>
      </c>
      <c r="I54" s="273">
        <f t="shared" si="29"/>
        <v>2</v>
      </c>
      <c r="J54" s="273">
        <f t="shared" si="29"/>
        <v>3</v>
      </c>
      <c r="K54" s="273">
        <f t="shared" si="29"/>
        <v>4</v>
      </c>
      <c r="L54" s="273">
        <f t="shared" si="29"/>
        <v>5</v>
      </c>
      <c r="M54" s="273">
        <f t="shared" si="29"/>
        <v>6</v>
      </c>
      <c r="N54" s="273">
        <f t="shared" si="29"/>
        <v>7</v>
      </c>
      <c r="O54" s="273">
        <f t="shared" si="29"/>
        <v>8</v>
      </c>
      <c r="P54" s="273">
        <f t="shared" si="29"/>
        <v>9</v>
      </c>
      <c r="Q54" s="273">
        <f t="shared" si="29"/>
        <v>10</v>
      </c>
      <c r="R54" s="273">
        <f t="shared" si="29"/>
        <v>11</v>
      </c>
      <c r="S54" s="273">
        <f t="shared" si="29"/>
        <v>12</v>
      </c>
      <c r="T54" s="273">
        <f t="shared" si="29"/>
        <v>13</v>
      </c>
      <c r="U54" s="273">
        <f t="shared" si="29"/>
        <v>14</v>
      </c>
      <c r="V54" s="273">
        <f t="shared" si="29"/>
        <v>15</v>
      </c>
      <c r="W54" s="273">
        <f t="shared" si="29"/>
        <v>16</v>
      </c>
      <c r="X54" s="273">
        <f t="shared" si="29"/>
        <v>17</v>
      </c>
      <c r="Y54" s="273">
        <f t="shared" si="29"/>
        <v>18</v>
      </c>
      <c r="Z54" s="273">
        <f t="shared" si="29"/>
        <v>19</v>
      </c>
      <c r="AA54" s="273">
        <f t="shared" si="29"/>
        <v>20</v>
      </c>
      <c r="AB54" s="273">
        <f t="shared" si="29"/>
        <v>21</v>
      </c>
      <c r="AC54" s="273">
        <f t="shared" si="29"/>
        <v>22</v>
      </c>
      <c r="AD54" s="273">
        <f t="shared" si="29"/>
        <v>23</v>
      </c>
      <c r="AE54" s="273">
        <f t="shared" si="29"/>
        <v>24</v>
      </c>
      <c r="AF54" s="273">
        <f t="shared" si="29"/>
        <v>25</v>
      </c>
      <c r="AG54" s="273">
        <f t="shared" si="29"/>
        <v>26</v>
      </c>
      <c r="AH54" s="273">
        <f t="shared" si="29"/>
        <v>27</v>
      </c>
      <c r="AI54" s="273">
        <f t="shared" si="29"/>
        <v>28</v>
      </c>
      <c r="AJ54" s="273">
        <f t="shared" si="29"/>
        <v>29</v>
      </c>
      <c r="AK54" s="273">
        <f t="shared" si="29"/>
        <v>0</v>
      </c>
      <c r="AL54" s="273">
        <f t="shared" si="29"/>
        <v>0</v>
      </c>
      <c r="AM54" s="273">
        <f t="shared" ref="AM54:AN54" si="30">IF(AM53=1,AL54+1,0)</f>
        <v>0</v>
      </c>
      <c r="AN54" s="273">
        <f t="shared" si="30"/>
        <v>0</v>
      </c>
    </row>
    <row r="55" spans="2:40" outlineLevel="1">
      <c r="B55" s="266"/>
      <c r="C55" s="303"/>
      <c r="D55" s="266"/>
      <c r="F55" s="266"/>
      <c r="G55" s="26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66"/>
      <c r="AE55" s="266"/>
      <c r="AF55" s="266"/>
      <c r="AG55" s="266"/>
      <c r="AH55" s="266"/>
      <c r="AI55" s="266"/>
      <c r="AJ55" s="266"/>
      <c r="AK55" s="266"/>
      <c r="AL55" s="266"/>
      <c r="AM55" s="266"/>
      <c r="AN55" s="266"/>
    </row>
    <row r="56" spans="2:40" outlineLevel="1">
      <c r="B56" s="39"/>
      <c r="C56" s="31" t="s">
        <v>728</v>
      </c>
      <c r="D56" s="266"/>
      <c r="F56" s="266"/>
      <c r="G56" s="266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6"/>
      <c r="AE56" s="266"/>
      <c r="AF56" s="266"/>
      <c r="AG56" s="266"/>
      <c r="AH56" s="266"/>
      <c r="AI56" s="266"/>
      <c r="AJ56" s="266"/>
      <c r="AK56" s="266"/>
      <c r="AL56" s="266"/>
      <c r="AM56" s="266"/>
      <c r="AN56" s="266"/>
    </row>
    <row r="57" spans="2:40" outlineLevel="2">
      <c r="B57" s="266"/>
      <c r="C57" s="320" t="str">
        <f>C48</f>
        <v>Fim da operação</v>
      </c>
      <c r="D57" s="37">
        <f>D48</f>
        <v>57404</v>
      </c>
      <c r="E57" s="32" t="s">
        <v>133</v>
      </c>
      <c r="F57" s="266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266"/>
      <c r="AE57" s="266"/>
      <c r="AF57" s="266"/>
      <c r="AG57" s="266"/>
      <c r="AH57" s="266"/>
      <c r="AI57" s="266"/>
      <c r="AJ57" s="266"/>
      <c r="AK57" s="266"/>
      <c r="AL57" s="266"/>
      <c r="AM57" s="266"/>
      <c r="AN57" s="266"/>
    </row>
    <row r="58" spans="2:40" outlineLevel="2">
      <c r="B58" s="39"/>
      <c r="C58" s="320" t="str">
        <f t="shared" ref="C58:AH58" si="31">C49</f>
        <v>Fim período</v>
      </c>
      <c r="D58" s="266"/>
      <c r="E58" s="32" t="s">
        <v>133</v>
      </c>
      <c r="F58" s="266"/>
      <c r="G58" s="281">
        <f t="shared" si="31"/>
        <v>46752</v>
      </c>
      <c r="H58" s="281">
        <f t="shared" si="31"/>
        <v>47118</v>
      </c>
      <c r="I58" s="281">
        <f t="shared" si="31"/>
        <v>47483</v>
      </c>
      <c r="J58" s="281">
        <f t="shared" si="31"/>
        <v>47848</v>
      </c>
      <c r="K58" s="281">
        <f t="shared" si="31"/>
        <v>48213</v>
      </c>
      <c r="L58" s="281">
        <f t="shared" si="31"/>
        <v>48579</v>
      </c>
      <c r="M58" s="281">
        <f t="shared" si="31"/>
        <v>48944</v>
      </c>
      <c r="N58" s="281">
        <f t="shared" si="31"/>
        <v>49309</v>
      </c>
      <c r="O58" s="281">
        <f t="shared" si="31"/>
        <v>49674</v>
      </c>
      <c r="P58" s="281">
        <f t="shared" si="31"/>
        <v>50040</v>
      </c>
      <c r="Q58" s="281">
        <f t="shared" si="31"/>
        <v>50405</v>
      </c>
      <c r="R58" s="281">
        <f t="shared" si="31"/>
        <v>50770</v>
      </c>
      <c r="S58" s="281">
        <f t="shared" si="31"/>
        <v>51135</v>
      </c>
      <c r="T58" s="281">
        <f t="shared" si="31"/>
        <v>51501</v>
      </c>
      <c r="U58" s="281">
        <f t="shared" si="31"/>
        <v>51866</v>
      </c>
      <c r="V58" s="281">
        <f t="shared" si="31"/>
        <v>52231</v>
      </c>
      <c r="W58" s="281">
        <f t="shared" si="31"/>
        <v>52596</v>
      </c>
      <c r="X58" s="281">
        <f t="shared" si="31"/>
        <v>52962</v>
      </c>
      <c r="Y58" s="281">
        <f t="shared" si="31"/>
        <v>53327</v>
      </c>
      <c r="Z58" s="281">
        <f t="shared" si="31"/>
        <v>53692</v>
      </c>
      <c r="AA58" s="281">
        <f t="shared" si="31"/>
        <v>54057</v>
      </c>
      <c r="AB58" s="281">
        <f t="shared" si="31"/>
        <v>54423</v>
      </c>
      <c r="AC58" s="281">
        <f t="shared" si="31"/>
        <v>54788</v>
      </c>
      <c r="AD58" s="281">
        <f t="shared" si="31"/>
        <v>55153</v>
      </c>
      <c r="AE58" s="281">
        <f t="shared" si="31"/>
        <v>55518</v>
      </c>
      <c r="AF58" s="281">
        <f t="shared" si="31"/>
        <v>55884</v>
      </c>
      <c r="AG58" s="281">
        <f t="shared" si="31"/>
        <v>56249</v>
      </c>
      <c r="AH58" s="281">
        <f t="shared" si="31"/>
        <v>56614</v>
      </c>
      <c r="AI58" s="281">
        <f t="shared" ref="AI58:AN58" si="32">AI49</f>
        <v>56979</v>
      </c>
      <c r="AJ58" s="281">
        <f t="shared" si="32"/>
        <v>57345</v>
      </c>
      <c r="AK58" s="281">
        <f t="shared" si="32"/>
        <v>57710</v>
      </c>
      <c r="AL58" s="281">
        <f t="shared" si="32"/>
        <v>58075</v>
      </c>
      <c r="AM58" s="281">
        <f t="shared" si="32"/>
        <v>58440</v>
      </c>
      <c r="AN58" s="281">
        <f t="shared" si="32"/>
        <v>58806</v>
      </c>
    </row>
    <row r="59" spans="2:40" outlineLevel="2">
      <c r="B59" s="266"/>
      <c r="C59" s="320" t="s">
        <v>729</v>
      </c>
      <c r="D59" s="266"/>
      <c r="E59" s="32" t="s">
        <v>399</v>
      </c>
      <c r="F59" s="23">
        <f>SUM(G59:AO59)</f>
        <v>1</v>
      </c>
      <c r="G59" s="25">
        <f t="shared" ref="G59:AN59" si="33">IF(H53=0,1,0)*G53</f>
        <v>0</v>
      </c>
      <c r="H59" s="25">
        <f t="shared" si="33"/>
        <v>0</v>
      </c>
      <c r="I59" s="25">
        <f t="shared" si="33"/>
        <v>0</v>
      </c>
      <c r="J59" s="25">
        <f t="shared" si="33"/>
        <v>0</v>
      </c>
      <c r="K59" s="25">
        <f t="shared" si="33"/>
        <v>0</v>
      </c>
      <c r="L59" s="25">
        <f t="shared" si="33"/>
        <v>0</v>
      </c>
      <c r="M59" s="25">
        <f t="shared" si="33"/>
        <v>0</v>
      </c>
      <c r="N59" s="25">
        <f t="shared" si="33"/>
        <v>0</v>
      </c>
      <c r="O59" s="25">
        <f t="shared" si="33"/>
        <v>0</v>
      </c>
      <c r="P59" s="25">
        <f t="shared" si="33"/>
        <v>0</v>
      </c>
      <c r="Q59" s="25">
        <f t="shared" si="33"/>
        <v>0</v>
      </c>
      <c r="R59" s="25">
        <f t="shared" si="33"/>
        <v>0</v>
      </c>
      <c r="S59" s="25">
        <f t="shared" si="33"/>
        <v>0</v>
      </c>
      <c r="T59" s="25">
        <f t="shared" si="33"/>
        <v>0</v>
      </c>
      <c r="U59" s="25">
        <f t="shared" si="33"/>
        <v>0</v>
      </c>
      <c r="V59" s="25">
        <f t="shared" si="33"/>
        <v>0</v>
      </c>
      <c r="W59" s="25">
        <f t="shared" si="33"/>
        <v>0</v>
      </c>
      <c r="X59" s="25">
        <f t="shared" si="33"/>
        <v>0</v>
      </c>
      <c r="Y59" s="25">
        <f t="shared" si="33"/>
        <v>0</v>
      </c>
      <c r="Z59" s="25">
        <f t="shared" si="33"/>
        <v>0</v>
      </c>
      <c r="AA59" s="25">
        <f t="shared" si="33"/>
        <v>0</v>
      </c>
      <c r="AB59" s="25">
        <f t="shared" si="33"/>
        <v>0</v>
      </c>
      <c r="AC59" s="25">
        <f t="shared" si="33"/>
        <v>0</v>
      </c>
      <c r="AD59" s="25">
        <f t="shared" si="33"/>
        <v>0</v>
      </c>
      <c r="AE59" s="25">
        <f t="shared" si="33"/>
        <v>0</v>
      </c>
      <c r="AF59" s="25">
        <f t="shared" si="33"/>
        <v>0</v>
      </c>
      <c r="AG59" s="25">
        <f t="shared" si="33"/>
        <v>0</v>
      </c>
      <c r="AH59" s="25">
        <f t="shared" si="33"/>
        <v>0</v>
      </c>
      <c r="AI59" s="25">
        <f t="shared" si="33"/>
        <v>0</v>
      </c>
      <c r="AJ59" s="25">
        <f t="shared" si="33"/>
        <v>1</v>
      </c>
      <c r="AK59" s="25">
        <f t="shared" si="33"/>
        <v>0</v>
      </c>
      <c r="AL59" s="25">
        <f t="shared" si="33"/>
        <v>0</v>
      </c>
      <c r="AM59" s="25">
        <f t="shared" si="33"/>
        <v>0</v>
      </c>
      <c r="AN59" s="25">
        <f t="shared" si="33"/>
        <v>0</v>
      </c>
    </row>
    <row r="60" spans="2:40" outlineLevel="1">
      <c r="B60" s="266"/>
      <c r="C60" s="303"/>
      <c r="D60" s="266"/>
      <c r="F60" s="266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6"/>
      <c r="AE60" s="266"/>
      <c r="AF60" s="266"/>
      <c r="AG60" s="266"/>
      <c r="AH60" s="266"/>
      <c r="AI60" s="266"/>
      <c r="AJ60" s="266"/>
      <c r="AK60" s="266"/>
      <c r="AL60" s="266"/>
      <c r="AM60" s="266"/>
      <c r="AN60" s="266"/>
    </row>
    <row r="61" spans="2:40" outlineLevel="1">
      <c r="B61" s="39"/>
      <c r="C61" s="31" t="s">
        <v>730</v>
      </c>
      <c r="D61" s="266"/>
      <c r="F61" s="266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6"/>
      <c r="AE61" s="266"/>
      <c r="AF61" s="266"/>
      <c r="AG61" s="266"/>
      <c r="AH61" s="266"/>
      <c r="AI61" s="266"/>
      <c r="AJ61" s="266"/>
      <c r="AK61" s="266"/>
      <c r="AL61" s="266"/>
      <c r="AM61" s="266"/>
      <c r="AN61" s="266"/>
    </row>
    <row r="62" spans="2:40" outlineLevel="2">
      <c r="B62" s="266"/>
      <c r="C62" s="320" t="str">
        <f t="shared" ref="C62:AH62" si="34">C59</f>
        <v>Flag último dia de operação</v>
      </c>
      <c r="D62" s="266"/>
      <c r="E62" s="32" t="s">
        <v>399</v>
      </c>
      <c r="F62" s="23"/>
      <c r="G62" s="25">
        <f t="shared" si="34"/>
        <v>0</v>
      </c>
      <c r="H62" s="25">
        <f t="shared" si="34"/>
        <v>0</v>
      </c>
      <c r="I62" s="25">
        <f t="shared" si="34"/>
        <v>0</v>
      </c>
      <c r="J62" s="25">
        <f t="shared" si="34"/>
        <v>0</v>
      </c>
      <c r="K62" s="25">
        <f t="shared" si="34"/>
        <v>0</v>
      </c>
      <c r="L62" s="25">
        <f t="shared" si="34"/>
        <v>0</v>
      </c>
      <c r="M62" s="25">
        <f t="shared" si="34"/>
        <v>0</v>
      </c>
      <c r="N62" s="25">
        <f t="shared" si="34"/>
        <v>0</v>
      </c>
      <c r="O62" s="25">
        <f t="shared" si="34"/>
        <v>0</v>
      </c>
      <c r="P62" s="25">
        <f t="shared" si="34"/>
        <v>0</v>
      </c>
      <c r="Q62" s="25">
        <f t="shared" si="34"/>
        <v>0</v>
      </c>
      <c r="R62" s="25">
        <f t="shared" si="34"/>
        <v>0</v>
      </c>
      <c r="S62" s="25">
        <f t="shared" si="34"/>
        <v>0</v>
      </c>
      <c r="T62" s="25">
        <f t="shared" si="34"/>
        <v>0</v>
      </c>
      <c r="U62" s="25">
        <f t="shared" si="34"/>
        <v>0</v>
      </c>
      <c r="V62" s="25">
        <f t="shared" si="34"/>
        <v>0</v>
      </c>
      <c r="W62" s="25">
        <f t="shared" si="34"/>
        <v>0</v>
      </c>
      <c r="X62" s="25">
        <f t="shared" si="34"/>
        <v>0</v>
      </c>
      <c r="Y62" s="25">
        <f t="shared" si="34"/>
        <v>0</v>
      </c>
      <c r="Z62" s="25">
        <f t="shared" si="34"/>
        <v>0</v>
      </c>
      <c r="AA62" s="25">
        <f t="shared" si="34"/>
        <v>0</v>
      </c>
      <c r="AB62" s="25">
        <f t="shared" si="34"/>
        <v>0</v>
      </c>
      <c r="AC62" s="25">
        <f t="shared" si="34"/>
        <v>0</v>
      </c>
      <c r="AD62" s="25">
        <f t="shared" si="34"/>
        <v>0</v>
      </c>
      <c r="AE62" s="25">
        <f t="shared" si="34"/>
        <v>0</v>
      </c>
      <c r="AF62" s="25">
        <f t="shared" si="34"/>
        <v>0</v>
      </c>
      <c r="AG62" s="25">
        <f t="shared" si="34"/>
        <v>0</v>
      </c>
      <c r="AH62" s="25">
        <f t="shared" si="34"/>
        <v>0</v>
      </c>
      <c r="AI62" s="25">
        <f t="shared" ref="AI62:AN62" si="35">AI59</f>
        <v>0</v>
      </c>
      <c r="AJ62" s="25">
        <f t="shared" si="35"/>
        <v>1</v>
      </c>
      <c r="AK62" s="25">
        <f t="shared" si="35"/>
        <v>0</v>
      </c>
      <c r="AL62" s="25">
        <f t="shared" si="35"/>
        <v>0</v>
      </c>
      <c r="AM62" s="25">
        <f t="shared" si="35"/>
        <v>0</v>
      </c>
      <c r="AN62" s="25">
        <f t="shared" si="35"/>
        <v>0</v>
      </c>
    </row>
    <row r="63" spans="2:40" outlineLevel="2">
      <c r="B63" s="266"/>
      <c r="C63" s="320" t="s">
        <v>731</v>
      </c>
      <c r="D63" s="266"/>
      <c r="E63" s="32" t="s">
        <v>399</v>
      </c>
      <c r="F63" s="23">
        <f>SUM(G63:AO63)</f>
        <v>1</v>
      </c>
      <c r="G63" s="25">
        <f t="shared" ref="G63:AL63" si="36">IF(F62=1,1,0)</f>
        <v>0</v>
      </c>
      <c r="H63" s="25">
        <f t="shared" si="36"/>
        <v>0</v>
      </c>
      <c r="I63" s="25">
        <f t="shared" si="36"/>
        <v>0</v>
      </c>
      <c r="J63" s="25">
        <f t="shared" si="36"/>
        <v>0</v>
      </c>
      <c r="K63" s="25">
        <f t="shared" si="36"/>
        <v>0</v>
      </c>
      <c r="L63" s="25">
        <f t="shared" si="36"/>
        <v>0</v>
      </c>
      <c r="M63" s="25">
        <f t="shared" si="36"/>
        <v>0</v>
      </c>
      <c r="N63" s="25">
        <f t="shared" si="36"/>
        <v>0</v>
      </c>
      <c r="O63" s="25">
        <f t="shared" si="36"/>
        <v>0</v>
      </c>
      <c r="P63" s="25">
        <f t="shared" si="36"/>
        <v>0</v>
      </c>
      <c r="Q63" s="25">
        <f t="shared" si="36"/>
        <v>0</v>
      </c>
      <c r="R63" s="25">
        <f t="shared" si="36"/>
        <v>0</v>
      </c>
      <c r="S63" s="25">
        <f t="shared" si="36"/>
        <v>0</v>
      </c>
      <c r="T63" s="25">
        <f t="shared" si="36"/>
        <v>0</v>
      </c>
      <c r="U63" s="25">
        <f t="shared" si="36"/>
        <v>0</v>
      </c>
      <c r="V63" s="25">
        <f t="shared" si="36"/>
        <v>0</v>
      </c>
      <c r="W63" s="25">
        <f t="shared" si="36"/>
        <v>0</v>
      </c>
      <c r="X63" s="25">
        <f t="shared" si="36"/>
        <v>0</v>
      </c>
      <c r="Y63" s="25">
        <f t="shared" si="36"/>
        <v>0</v>
      </c>
      <c r="Z63" s="25">
        <f t="shared" si="36"/>
        <v>0</v>
      </c>
      <c r="AA63" s="25">
        <f t="shared" si="36"/>
        <v>0</v>
      </c>
      <c r="AB63" s="25">
        <f t="shared" si="36"/>
        <v>0</v>
      </c>
      <c r="AC63" s="25">
        <f t="shared" si="36"/>
        <v>0</v>
      </c>
      <c r="AD63" s="25">
        <f t="shared" si="36"/>
        <v>0</v>
      </c>
      <c r="AE63" s="25">
        <f t="shared" si="36"/>
        <v>0</v>
      </c>
      <c r="AF63" s="25">
        <f t="shared" si="36"/>
        <v>0</v>
      </c>
      <c r="AG63" s="25">
        <f t="shared" si="36"/>
        <v>0</v>
      </c>
      <c r="AH63" s="25">
        <f t="shared" si="36"/>
        <v>0</v>
      </c>
      <c r="AI63" s="25">
        <f t="shared" si="36"/>
        <v>0</v>
      </c>
      <c r="AJ63" s="25">
        <f t="shared" si="36"/>
        <v>0</v>
      </c>
      <c r="AK63" s="25">
        <f t="shared" si="36"/>
        <v>1</v>
      </c>
      <c r="AL63" s="25">
        <f t="shared" si="36"/>
        <v>0</v>
      </c>
      <c r="AM63" s="25">
        <f t="shared" ref="AM63:AN63" si="37">IF(AL62=1,1,0)</f>
        <v>0</v>
      </c>
      <c r="AN63" s="25">
        <f t="shared" si="37"/>
        <v>0</v>
      </c>
    </row>
    <row r="64" spans="2:40" outlineLevel="1">
      <c r="B64" s="266"/>
      <c r="C64" s="303"/>
      <c r="D64" s="266"/>
      <c r="F64" s="266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6"/>
      <c r="AE64" s="266"/>
      <c r="AF64" s="266"/>
      <c r="AG64" s="266"/>
      <c r="AH64" s="266"/>
      <c r="AI64" s="266"/>
      <c r="AJ64" s="266"/>
      <c r="AK64" s="266"/>
      <c r="AL64" s="266"/>
      <c r="AM64" s="266"/>
      <c r="AN64" s="266"/>
    </row>
    <row r="65" spans="2:41" outlineLevel="1">
      <c r="B65" s="39"/>
      <c r="C65" s="31" t="s">
        <v>732</v>
      </c>
      <c r="D65" s="266"/>
      <c r="F65" s="266"/>
      <c r="G65" s="278"/>
      <c r="H65" s="266"/>
      <c r="I65" s="266"/>
      <c r="J65" s="266"/>
      <c r="K65" s="266"/>
      <c r="L65" s="266"/>
      <c r="M65" s="266"/>
      <c r="N65" s="266"/>
      <c r="O65" s="266"/>
      <c r="P65" s="266"/>
      <c r="Q65" s="266"/>
      <c r="R65" s="266"/>
      <c r="S65" s="266"/>
      <c r="T65" s="266"/>
      <c r="U65" s="266"/>
      <c r="V65" s="266"/>
      <c r="W65" s="266"/>
      <c r="X65" s="266"/>
      <c r="Y65" s="266"/>
      <c r="Z65" s="266"/>
      <c r="AA65" s="266"/>
      <c r="AB65" s="266"/>
      <c r="AC65" s="266"/>
      <c r="AD65" s="266"/>
      <c r="AE65" s="266"/>
      <c r="AF65" s="266"/>
      <c r="AG65" s="266"/>
      <c r="AH65" s="266"/>
      <c r="AI65" s="266"/>
      <c r="AJ65" s="266"/>
      <c r="AK65" s="266"/>
      <c r="AL65" s="266"/>
      <c r="AM65" s="266"/>
      <c r="AN65" s="266"/>
    </row>
    <row r="66" spans="2:41" outlineLevel="2">
      <c r="B66" s="266"/>
      <c r="C66" s="320" t="str">
        <f t="shared" ref="C66:AH67" si="38">C63</f>
        <v>1º dia após fim da operação</v>
      </c>
      <c r="D66" s="266"/>
      <c r="E66" s="41" t="str">
        <f t="shared" si="38"/>
        <v>Flag</v>
      </c>
      <c r="F66" s="23">
        <f t="shared" si="38"/>
        <v>1</v>
      </c>
      <c r="G66" s="25">
        <f t="shared" si="38"/>
        <v>0</v>
      </c>
      <c r="H66" s="25">
        <f t="shared" si="38"/>
        <v>0</v>
      </c>
      <c r="I66" s="25">
        <f t="shared" si="38"/>
        <v>0</v>
      </c>
      <c r="J66" s="25">
        <f t="shared" si="38"/>
        <v>0</v>
      </c>
      <c r="K66" s="25">
        <f t="shared" si="38"/>
        <v>0</v>
      </c>
      <c r="L66" s="25">
        <f t="shared" si="38"/>
        <v>0</v>
      </c>
      <c r="M66" s="25">
        <f t="shared" si="38"/>
        <v>0</v>
      </c>
      <c r="N66" s="25">
        <f t="shared" si="38"/>
        <v>0</v>
      </c>
      <c r="O66" s="25">
        <f t="shared" si="38"/>
        <v>0</v>
      </c>
      <c r="P66" s="25">
        <f t="shared" si="38"/>
        <v>0</v>
      </c>
      <c r="Q66" s="25">
        <f t="shared" si="38"/>
        <v>0</v>
      </c>
      <c r="R66" s="25">
        <f t="shared" si="38"/>
        <v>0</v>
      </c>
      <c r="S66" s="25">
        <f t="shared" si="38"/>
        <v>0</v>
      </c>
      <c r="T66" s="25">
        <f t="shared" si="38"/>
        <v>0</v>
      </c>
      <c r="U66" s="25">
        <f t="shared" si="38"/>
        <v>0</v>
      </c>
      <c r="V66" s="25">
        <f t="shared" si="38"/>
        <v>0</v>
      </c>
      <c r="W66" s="25">
        <f t="shared" si="38"/>
        <v>0</v>
      </c>
      <c r="X66" s="25">
        <f t="shared" si="38"/>
        <v>0</v>
      </c>
      <c r="Y66" s="25">
        <f t="shared" si="38"/>
        <v>0</v>
      </c>
      <c r="Z66" s="25">
        <f t="shared" si="38"/>
        <v>0</v>
      </c>
      <c r="AA66" s="25">
        <f t="shared" si="38"/>
        <v>0</v>
      </c>
      <c r="AB66" s="25">
        <f t="shared" si="38"/>
        <v>0</v>
      </c>
      <c r="AC66" s="25">
        <f t="shared" si="38"/>
        <v>0</v>
      </c>
      <c r="AD66" s="25">
        <f t="shared" si="38"/>
        <v>0</v>
      </c>
      <c r="AE66" s="25">
        <f t="shared" si="38"/>
        <v>0</v>
      </c>
      <c r="AF66" s="25">
        <f t="shared" si="38"/>
        <v>0</v>
      </c>
      <c r="AG66" s="25">
        <f t="shared" si="38"/>
        <v>0</v>
      </c>
      <c r="AH66" s="25">
        <f t="shared" si="38"/>
        <v>0</v>
      </c>
      <c r="AI66" s="25">
        <f t="shared" ref="AI66:AN66" si="39">AI63</f>
        <v>0</v>
      </c>
      <c r="AJ66" s="25">
        <f t="shared" si="39"/>
        <v>0</v>
      </c>
      <c r="AK66" s="25">
        <f t="shared" si="39"/>
        <v>1</v>
      </c>
      <c r="AL66" s="25">
        <f t="shared" si="39"/>
        <v>0</v>
      </c>
      <c r="AM66" s="25">
        <f t="shared" si="39"/>
        <v>0</v>
      </c>
      <c r="AN66" s="25">
        <f t="shared" si="39"/>
        <v>0</v>
      </c>
    </row>
    <row r="67" spans="2:41" outlineLevel="2">
      <c r="B67" s="266"/>
      <c r="C67" s="320" t="s">
        <v>733</v>
      </c>
      <c r="D67" s="266"/>
      <c r="E67" s="41" t="s">
        <v>399</v>
      </c>
      <c r="F67" s="23">
        <f t="shared" si="38"/>
        <v>0</v>
      </c>
      <c r="G67" s="25">
        <f t="shared" ref="G67:AL67" si="40">G66+F67</f>
        <v>0</v>
      </c>
      <c r="H67" s="25">
        <f t="shared" si="40"/>
        <v>0</v>
      </c>
      <c r="I67" s="25">
        <f t="shared" si="40"/>
        <v>0</v>
      </c>
      <c r="J67" s="25">
        <f t="shared" si="40"/>
        <v>0</v>
      </c>
      <c r="K67" s="25">
        <f t="shared" si="40"/>
        <v>0</v>
      </c>
      <c r="L67" s="25">
        <f t="shared" si="40"/>
        <v>0</v>
      </c>
      <c r="M67" s="25">
        <f t="shared" si="40"/>
        <v>0</v>
      </c>
      <c r="N67" s="25">
        <f t="shared" si="40"/>
        <v>0</v>
      </c>
      <c r="O67" s="25">
        <f t="shared" si="40"/>
        <v>0</v>
      </c>
      <c r="P67" s="25">
        <f t="shared" si="40"/>
        <v>0</v>
      </c>
      <c r="Q67" s="25">
        <f t="shared" si="40"/>
        <v>0</v>
      </c>
      <c r="R67" s="25">
        <f t="shared" si="40"/>
        <v>0</v>
      </c>
      <c r="S67" s="25">
        <f t="shared" si="40"/>
        <v>0</v>
      </c>
      <c r="T67" s="25">
        <f t="shared" si="40"/>
        <v>0</v>
      </c>
      <c r="U67" s="25">
        <f t="shared" si="40"/>
        <v>0</v>
      </c>
      <c r="V67" s="25">
        <f t="shared" si="40"/>
        <v>0</v>
      </c>
      <c r="W67" s="25">
        <f t="shared" si="40"/>
        <v>0</v>
      </c>
      <c r="X67" s="25">
        <f t="shared" si="40"/>
        <v>0</v>
      </c>
      <c r="Y67" s="25">
        <f t="shared" si="40"/>
        <v>0</v>
      </c>
      <c r="Z67" s="25">
        <f t="shared" si="40"/>
        <v>0</v>
      </c>
      <c r="AA67" s="25">
        <f t="shared" si="40"/>
        <v>0</v>
      </c>
      <c r="AB67" s="25">
        <f t="shared" si="40"/>
        <v>0</v>
      </c>
      <c r="AC67" s="25">
        <f t="shared" si="40"/>
        <v>0</v>
      </c>
      <c r="AD67" s="25">
        <f t="shared" si="40"/>
        <v>0</v>
      </c>
      <c r="AE67" s="25">
        <f t="shared" si="40"/>
        <v>0</v>
      </c>
      <c r="AF67" s="25">
        <f t="shared" si="40"/>
        <v>0</v>
      </c>
      <c r="AG67" s="25">
        <f t="shared" si="40"/>
        <v>0</v>
      </c>
      <c r="AH67" s="25">
        <f t="shared" si="40"/>
        <v>0</v>
      </c>
      <c r="AI67" s="25">
        <f t="shared" si="40"/>
        <v>0</v>
      </c>
      <c r="AJ67" s="25">
        <f t="shared" si="40"/>
        <v>0</v>
      </c>
      <c r="AK67" s="25">
        <f t="shared" si="40"/>
        <v>1</v>
      </c>
      <c r="AL67" s="25">
        <f t="shared" si="40"/>
        <v>1</v>
      </c>
      <c r="AM67" s="25">
        <f t="shared" ref="AM67:AN67" si="41">AM66+AL67</f>
        <v>1</v>
      </c>
      <c r="AN67" s="25">
        <f t="shared" si="41"/>
        <v>1</v>
      </c>
    </row>
    <row r="68" spans="2:41" outlineLevel="1">
      <c r="B68" s="266"/>
      <c r="C68" s="303"/>
      <c r="D68" s="266"/>
      <c r="F68" s="266"/>
      <c r="G68" s="266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6"/>
      <c r="S68" s="266"/>
      <c r="T68" s="266"/>
      <c r="U68" s="266"/>
      <c r="V68" s="266"/>
      <c r="W68" s="266"/>
      <c r="X68" s="266"/>
      <c r="Y68" s="266"/>
      <c r="Z68" s="266"/>
      <c r="AA68" s="266"/>
      <c r="AB68" s="266"/>
      <c r="AC68" s="266"/>
      <c r="AD68" s="266"/>
      <c r="AE68" s="266"/>
      <c r="AF68" s="266"/>
      <c r="AG68" s="266"/>
      <c r="AH68" s="266"/>
      <c r="AI68" s="266"/>
      <c r="AJ68" s="266"/>
      <c r="AK68" s="266"/>
      <c r="AL68" s="266"/>
      <c r="AM68" s="266"/>
      <c r="AN68" s="266"/>
    </row>
    <row r="69" spans="2:41" outlineLevel="1">
      <c r="B69" s="266"/>
      <c r="C69" s="31" t="s">
        <v>734</v>
      </c>
      <c r="D69" s="266"/>
      <c r="E69" s="266"/>
      <c r="F69" s="266"/>
      <c r="G69" s="266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6"/>
      <c r="S69" s="266"/>
      <c r="T69" s="266"/>
      <c r="U69" s="266"/>
      <c r="V69" s="266"/>
      <c r="W69" s="266"/>
      <c r="X69" s="266"/>
      <c r="Y69" s="266"/>
      <c r="Z69" s="266"/>
      <c r="AA69" s="266"/>
      <c r="AB69" s="266"/>
      <c r="AC69" s="266"/>
      <c r="AD69" s="266"/>
      <c r="AE69" s="266"/>
      <c r="AF69" s="266"/>
      <c r="AG69" s="266"/>
      <c r="AH69" s="266"/>
      <c r="AI69" s="266"/>
      <c r="AJ69" s="266"/>
      <c r="AK69" s="266"/>
      <c r="AL69" s="266"/>
      <c r="AM69" s="266"/>
      <c r="AN69" s="266"/>
    </row>
    <row r="70" spans="2:41" outlineLevel="2">
      <c r="B70" s="266"/>
      <c r="C70" s="278" t="str">
        <f>C37</f>
        <v xml:space="preserve"> Financial close date flag </v>
      </c>
      <c r="D70" s="278"/>
      <c r="E70" s="195" t="str">
        <f t="shared" ref="E70:AN70" si="42">E37</f>
        <v>Flag</v>
      </c>
      <c r="F70" s="23">
        <f t="shared" si="42"/>
        <v>1</v>
      </c>
      <c r="G70" s="25">
        <f t="shared" si="42"/>
        <v>1</v>
      </c>
      <c r="H70" s="25">
        <f t="shared" si="42"/>
        <v>0</v>
      </c>
      <c r="I70" s="25">
        <f t="shared" si="42"/>
        <v>0</v>
      </c>
      <c r="J70" s="25">
        <f t="shared" si="42"/>
        <v>0</v>
      </c>
      <c r="K70" s="25">
        <f t="shared" si="42"/>
        <v>0</v>
      </c>
      <c r="L70" s="25">
        <f t="shared" si="42"/>
        <v>0</v>
      </c>
      <c r="M70" s="25">
        <f t="shared" si="42"/>
        <v>0</v>
      </c>
      <c r="N70" s="25">
        <f t="shared" si="42"/>
        <v>0</v>
      </c>
      <c r="O70" s="25">
        <f t="shared" si="42"/>
        <v>0</v>
      </c>
      <c r="P70" s="25">
        <f t="shared" si="42"/>
        <v>0</v>
      </c>
      <c r="Q70" s="25">
        <f t="shared" si="42"/>
        <v>0</v>
      </c>
      <c r="R70" s="25">
        <f t="shared" si="42"/>
        <v>0</v>
      </c>
      <c r="S70" s="25">
        <f t="shared" si="42"/>
        <v>0</v>
      </c>
      <c r="T70" s="25">
        <f t="shared" si="42"/>
        <v>0</v>
      </c>
      <c r="U70" s="25">
        <f t="shared" si="42"/>
        <v>0</v>
      </c>
      <c r="V70" s="25">
        <f t="shared" si="42"/>
        <v>0</v>
      </c>
      <c r="W70" s="25">
        <f t="shared" si="42"/>
        <v>0</v>
      </c>
      <c r="X70" s="25">
        <f t="shared" si="42"/>
        <v>0</v>
      </c>
      <c r="Y70" s="25">
        <f t="shared" si="42"/>
        <v>0</v>
      </c>
      <c r="Z70" s="25">
        <f t="shared" si="42"/>
        <v>0</v>
      </c>
      <c r="AA70" s="25">
        <f t="shared" si="42"/>
        <v>0</v>
      </c>
      <c r="AB70" s="25">
        <f t="shared" si="42"/>
        <v>0</v>
      </c>
      <c r="AC70" s="25">
        <f t="shared" si="42"/>
        <v>0</v>
      </c>
      <c r="AD70" s="25">
        <f t="shared" si="42"/>
        <v>0</v>
      </c>
      <c r="AE70" s="25">
        <f t="shared" si="42"/>
        <v>0</v>
      </c>
      <c r="AF70" s="25">
        <f t="shared" si="42"/>
        <v>0</v>
      </c>
      <c r="AG70" s="25">
        <f t="shared" si="42"/>
        <v>0</v>
      </c>
      <c r="AH70" s="25">
        <f t="shared" si="42"/>
        <v>0</v>
      </c>
      <c r="AI70" s="25">
        <f t="shared" si="42"/>
        <v>0</v>
      </c>
      <c r="AJ70" s="25">
        <f t="shared" si="42"/>
        <v>0</v>
      </c>
      <c r="AK70" s="25">
        <f t="shared" si="42"/>
        <v>0</v>
      </c>
      <c r="AL70" s="25">
        <f t="shared" si="42"/>
        <v>0</v>
      </c>
      <c r="AM70" s="25">
        <f t="shared" si="42"/>
        <v>0</v>
      </c>
      <c r="AN70" s="25">
        <f t="shared" si="42"/>
        <v>0</v>
      </c>
    </row>
    <row r="71" spans="2:41" outlineLevel="2">
      <c r="B71" s="266"/>
      <c r="C71" s="266" t="str">
        <f>Flags!C53</f>
        <v>Flag de operação</v>
      </c>
      <c r="D71" s="266"/>
      <c r="E71" s="4" t="str">
        <f>Flags!E53</f>
        <v>Flag</v>
      </c>
      <c r="F71" s="22">
        <f>Flags!F53</f>
        <v>29</v>
      </c>
      <c r="G71" s="25">
        <f t="shared" ref="G71:AL71" si="43">G50</f>
        <v>0</v>
      </c>
      <c r="H71" s="25">
        <f t="shared" si="43"/>
        <v>1</v>
      </c>
      <c r="I71" s="25">
        <f t="shared" si="43"/>
        <v>1</v>
      </c>
      <c r="J71" s="25">
        <f t="shared" si="43"/>
        <v>1</v>
      </c>
      <c r="K71" s="25">
        <f t="shared" si="43"/>
        <v>1</v>
      </c>
      <c r="L71" s="25">
        <f t="shared" si="43"/>
        <v>1</v>
      </c>
      <c r="M71" s="25">
        <f t="shared" si="43"/>
        <v>1</v>
      </c>
      <c r="N71" s="25">
        <f t="shared" si="43"/>
        <v>1</v>
      </c>
      <c r="O71" s="25">
        <f t="shared" si="43"/>
        <v>1</v>
      </c>
      <c r="P71" s="25">
        <f t="shared" si="43"/>
        <v>1</v>
      </c>
      <c r="Q71" s="25">
        <f t="shared" si="43"/>
        <v>1</v>
      </c>
      <c r="R71" s="25">
        <f t="shared" si="43"/>
        <v>1</v>
      </c>
      <c r="S71" s="25">
        <f t="shared" si="43"/>
        <v>1</v>
      </c>
      <c r="T71" s="25">
        <f t="shared" si="43"/>
        <v>1</v>
      </c>
      <c r="U71" s="25">
        <f t="shared" si="43"/>
        <v>1</v>
      </c>
      <c r="V71" s="25">
        <f t="shared" si="43"/>
        <v>1</v>
      </c>
      <c r="W71" s="25">
        <f t="shared" si="43"/>
        <v>1</v>
      </c>
      <c r="X71" s="25">
        <f t="shared" si="43"/>
        <v>1</v>
      </c>
      <c r="Y71" s="25">
        <f t="shared" si="43"/>
        <v>1</v>
      </c>
      <c r="Z71" s="25">
        <f t="shared" si="43"/>
        <v>1</v>
      </c>
      <c r="AA71" s="25">
        <f t="shared" si="43"/>
        <v>1</v>
      </c>
      <c r="AB71" s="25">
        <f t="shared" si="43"/>
        <v>1</v>
      </c>
      <c r="AC71" s="25">
        <f t="shared" si="43"/>
        <v>1</v>
      </c>
      <c r="AD71" s="25">
        <f t="shared" si="43"/>
        <v>1</v>
      </c>
      <c r="AE71" s="25">
        <f t="shared" si="43"/>
        <v>1</v>
      </c>
      <c r="AF71" s="25">
        <f t="shared" si="43"/>
        <v>1</v>
      </c>
      <c r="AG71" s="25">
        <f t="shared" si="43"/>
        <v>1</v>
      </c>
      <c r="AH71" s="25">
        <f t="shared" si="43"/>
        <v>1</v>
      </c>
      <c r="AI71" s="25">
        <f t="shared" si="43"/>
        <v>1</v>
      </c>
      <c r="AJ71" s="25">
        <f t="shared" si="43"/>
        <v>1</v>
      </c>
      <c r="AK71" s="25">
        <f t="shared" si="43"/>
        <v>0</v>
      </c>
      <c r="AL71" s="25">
        <f t="shared" si="43"/>
        <v>0</v>
      </c>
      <c r="AM71" s="25">
        <f t="shared" ref="AM71:AN71" si="44">AM50</f>
        <v>0</v>
      </c>
      <c r="AN71" s="25">
        <f t="shared" si="44"/>
        <v>0</v>
      </c>
    </row>
    <row r="72" spans="2:41" outlineLevel="2">
      <c r="B72" s="266"/>
      <c r="C72" s="266" t="s">
        <v>735</v>
      </c>
      <c r="D72" s="266"/>
      <c r="E72" s="4" t="s">
        <v>399</v>
      </c>
      <c r="F72" s="23">
        <f>SUM(G72:AO72)</f>
        <v>30</v>
      </c>
      <c r="G72" s="25">
        <f t="shared" ref="G72:AN72" si="45">IF(SUM(G70:G71)=0,0,1)</f>
        <v>1</v>
      </c>
      <c r="H72" s="25">
        <f t="shared" si="45"/>
        <v>1</v>
      </c>
      <c r="I72" s="25">
        <f t="shared" si="45"/>
        <v>1</v>
      </c>
      <c r="J72" s="25">
        <f t="shared" si="45"/>
        <v>1</v>
      </c>
      <c r="K72" s="25">
        <f t="shared" si="45"/>
        <v>1</v>
      </c>
      <c r="L72" s="25">
        <f t="shared" si="45"/>
        <v>1</v>
      </c>
      <c r="M72" s="25">
        <f t="shared" si="45"/>
        <v>1</v>
      </c>
      <c r="N72" s="25">
        <f t="shared" si="45"/>
        <v>1</v>
      </c>
      <c r="O72" s="25">
        <f t="shared" si="45"/>
        <v>1</v>
      </c>
      <c r="P72" s="25">
        <f t="shared" si="45"/>
        <v>1</v>
      </c>
      <c r="Q72" s="25">
        <f t="shared" si="45"/>
        <v>1</v>
      </c>
      <c r="R72" s="25">
        <f t="shared" si="45"/>
        <v>1</v>
      </c>
      <c r="S72" s="25">
        <f t="shared" si="45"/>
        <v>1</v>
      </c>
      <c r="T72" s="25">
        <f t="shared" si="45"/>
        <v>1</v>
      </c>
      <c r="U72" s="25">
        <f t="shared" si="45"/>
        <v>1</v>
      </c>
      <c r="V72" s="25">
        <f t="shared" si="45"/>
        <v>1</v>
      </c>
      <c r="W72" s="25">
        <f t="shared" si="45"/>
        <v>1</v>
      </c>
      <c r="X72" s="25">
        <f t="shared" si="45"/>
        <v>1</v>
      </c>
      <c r="Y72" s="25">
        <f t="shared" si="45"/>
        <v>1</v>
      </c>
      <c r="Z72" s="25">
        <f t="shared" si="45"/>
        <v>1</v>
      </c>
      <c r="AA72" s="25">
        <f t="shared" si="45"/>
        <v>1</v>
      </c>
      <c r="AB72" s="25">
        <f t="shared" si="45"/>
        <v>1</v>
      </c>
      <c r="AC72" s="25">
        <f t="shared" si="45"/>
        <v>1</v>
      </c>
      <c r="AD72" s="25">
        <f t="shared" si="45"/>
        <v>1</v>
      </c>
      <c r="AE72" s="25">
        <f t="shared" si="45"/>
        <v>1</v>
      </c>
      <c r="AF72" s="25">
        <f t="shared" si="45"/>
        <v>1</v>
      </c>
      <c r="AG72" s="25">
        <f t="shared" si="45"/>
        <v>1</v>
      </c>
      <c r="AH72" s="25">
        <f t="shared" si="45"/>
        <v>1</v>
      </c>
      <c r="AI72" s="25">
        <f t="shared" si="45"/>
        <v>1</v>
      </c>
      <c r="AJ72" s="25">
        <f t="shared" si="45"/>
        <v>1</v>
      </c>
      <c r="AK72" s="25">
        <f t="shared" si="45"/>
        <v>0</v>
      </c>
      <c r="AL72" s="25">
        <f t="shared" si="45"/>
        <v>0</v>
      </c>
      <c r="AM72" s="25">
        <f t="shared" si="45"/>
        <v>0</v>
      </c>
      <c r="AN72" s="25">
        <f t="shared" si="45"/>
        <v>0</v>
      </c>
    </row>
    <row r="73" spans="2:41" outlineLevel="1">
      <c r="B73" s="266"/>
      <c r="C73" s="303"/>
      <c r="D73" s="266"/>
      <c r="F73" s="266"/>
      <c r="G73" s="266"/>
      <c r="H73" s="266"/>
      <c r="I73" s="266"/>
      <c r="J73" s="266"/>
      <c r="K73" s="266"/>
      <c r="L73" s="266"/>
      <c r="M73" s="266"/>
      <c r="N73" s="266"/>
      <c r="O73" s="266"/>
      <c r="P73" s="266"/>
      <c r="Q73" s="266"/>
      <c r="R73" s="266"/>
      <c r="S73" s="266"/>
      <c r="T73" s="266"/>
      <c r="U73" s="266"/>
      <c r="V73" s="266"/>
      <c r="W73" s="266"/>
      <c r="X73" s="266"/>
      <c r="Y73" s="266"/>
      <c r="Z73" s="266"/>
      <c r="AA73" s="266"/>
      <c r="AB73" s="266"/>
      <c r="AC73" s="266"/>
      <c r="AD73" s="266"/>
      <c r="AE73" s="266"/>
      <c r="AF73" s="266"/>
      <c r="AG73" s="266"/>
      <c r="AH73" s="266"/>
      <c r="AI73" s="266"/>
      <c r="AJ73" s="266"/>
      <c r="AK73" s="266"/>
      <c r="AL73" s="266"/>
      <c r="AM73" s="266"/>
      <c r="AN73" s="266"/>
    </row>
    <row r="74" spans="2:41" customFormat="1" ht="14.4"/>
    <row r="75" spans="2:41" s="266" customFormat="1" ht="16.2" thickBot="1">
      <c r="C75" s="394" t="s">
        <v>703</v>
      </c>
      <c r="D75" s="395"/>
      <c r="E75" s="396"/>
      <c r="F75" s="395"/>
      <c r="G75" s="395"/>
      <c r="H75" s="395"/>
      <c r="I75" s="395"/>
      <c r="J75" s="395"/>
      <c r="K75" s="395"/>
      <c r="L75" s="395"/>
      <c r="M75" s="395"/>
      <c r="N75" s="395"/>
      <c r="O75" s="395"/>
      <c r="P75" s="395"/>
      <c r="Q75" s="395"/>
      <c r="R75" s="395"/>
      <c r="S75" s="395"/>
      <c r="T75" s="395"/>
      <c r="U75" s="395"/>
      <c r="V75" s="395"/>
      <c r="W75" s="395"/>
      <c r="X75" s="395"/>
      <c r="Y75" s="395"/>
      <c r="Z75" s="395"/>
      <c r="AA75" s="395"/>
      <c r="AB75" s="395"/>
      <c r="AC75" s="395"/>
      <c r="AD75" s="395"/>
      <c r="AE75" s="395"/>
      <c r="AF75" s="395"/>
      <c r="AG75" s="395"/>
      <c r="AH75" s="395"/>
      <c r="AI75" s="395"/>
      <c r="AJ75" s="395"/>
      <c r="AK75" s="8"/>
      <c r="AL75" s="8"/>
      <c r="AM75" s="8"/>
      <c r="AN75" s="8"/>
      <c r="AO75"/>
    </row>
    <row r="76" spans="2:41" outlineLevel="1">
      <c r="B76" s="266"/>
      <c r="C76" s="303"/>
      <c r="D76" s="266"/>
      <c r="F76" s="266"/>
      <c r="G76" s="266"/>
      <c r="H76" s="266"/>
      <c r="I76" s="266"/>
      <c r="J76" s="266"/>
      <c r="K76" s="266"/>
      <c r="L76" s="266"/>
      <c r="M76" s="266"/>
      <c r="N76" s="266"/>
      <c r="O76" s="266"/>
      <c r="P76" s="266"/>
      <c r="Q76" s="266"/>
      <c r="R76" s="266"/>
      <c r="S76" s="266"/>
      <c r="T76" s="266"/>
      <c r="U76" s="266"/>
      <c r="V76" s="266"/>
      <c r="W76" s="266"/>
      <c r="X76" s="266"/>
      <c r="Y76" s="266"/>
      <c r="Z76" s="266"/>
      <c r="AA76" s="266"/>
      <c r="AB76" s="266"/>
      <c r="AC76" s="266"/>
      <c r="AD76" s="266"/>
      <c r="AE76" s="266"/>
      <c r="AF76" s="266"/>
      <c r="AG76" s="266"/>
      <c r="AH76" s="266"/>
      <c r="AI76" s="266"/>
      <c r="AJ76" s="266"/>
      <c r="AK76" s="266"/>
      <c r="AL76" s="266"/>
      <c r="AM76" s="266"/>
      <c r="AN76" s="266"/>
    </row>
    <row r="77" spans="2:41" outlineLevel="1">
      <c r="B77" s="266"/>
      <c r="C77" s="303"/>
      <c r="D77" s="266"/>
      <c r="F77" s="266"/>
      <c r="G77" s="266"/>
      <c r="H77" s="266"/>
      <c r="I77" s="266"/>
      <c r="J77" s="266"/>
      <c r="K77" s="266"/>
      <c r="L77" s="266"/>
      <c r="M77" s="266"/>
      <c r="N77" s="266"/>
      <c r="O77" s="266"/>
      <c r="P77" s="266"/>
      <c r="Q77" s="266"/>
      <c r="R77" s="266"/>
      <c r="S77" s="266"/>
      <c r="T77" s="266"/>
      <c r="U77" s="266"/>
      <c r="V77" s="266"/>
      <c r="W77" s="266"/>
      <c r="X77" s="266"/>
      <c r="Y77" s="266"/>
      <c r="Z77" s="266"/>
      <c r="AA77" s="266"/>
      <c r="AB77" s="266"/>
      <c r="AC77" s="266"/>
      <c r="AD77" s="266"/>
      <c r="AE77" s="266"/>
      <c r="AF77" s="266"/>
      <c r="AG77" s="266"/>
      <c r="AH77" s="266"/>
      <c r="AI77" s="266"/>
      <c r="AJ77" s="266"/>
      <c r="AK77" s="266"/>
      <c r="AL77" s="266"/>
      <c r="AM77" s="266"/>
      <c r="AN77" s="266"/>
    </row>
    <row r="78" spans="2:41" outlineLevel="1">
      <c r="B78" s="266"/>
      <c r="C78" s="303" t="str">
        <f>C37</f>
        <v xml:space="preserve"> Financial close date flag </v>
      </c>
      <c r="D78" s="266"/>
      <c r="E78" s="32" t="str">
        <f>E37</f>
        <v>Flag</v>
      </c>
      <c r="F78" s="23">
        <f t="shared" ref="F78:F83" si="46">SUM(G78:AO78)</f>
        <v>1</v>
      </c>
      <c r="G78" s="25">
        <f t="shared" ref="G78:AN78" si="47">G37</f>
        <v>1</v>
      </c>
      <c r="H78" s="25">
        <f t="shared" si="47"/>
        <v>0</v>
      </c>
      <c r="I78" s="25">
        <f t="shared" si="47"/>
        <v>0</v>
      </c>
      <c r="J78" s="25">
        <f t="shared" si="47"/>
        <v>0</v>
      </c>
      <c r="K78" s="25">
        <f t="shared" si="47"/>
        <v>0</v>
      </c>
      <c r="L78" s="25">
        <f t="shared" si="47"/>
        <v>0</v>
      </c>
      <c r="M78" s="25">
        <f t="shared" si="47"/>
        <v>0</v>
      </c>
      <c r="N78" s="25">
        <f t="shared" si="47"/>
        <v>0</v>
      </c>
      <c r="O78" s="25">
        <f t="shared" si="47"/>
        <v>0</v>
      </c>
      <c r="P78" s="25">
        <f t="shared" si="47"/>
        <v>0</v>
      </c>
      <c r="Q78" s="25">
        <f t="shared" si="47"/>
        <v>0</v>
      </c>
      <c r="R78" s="25">
        <f t="shared" si="47"/>
        <v>0</v>
      </c>
      <c r="S78" s="25">
        <f t="shared" si="47"/>
        <v>0</v>
      </c>
      <c r="T78" s="25">
        <f t="shared" si="47"/>
        <v>0</v>
      </c>
      <c r="U78" s="25">
        <f t="shared" si="47"/>
        <v>0</v>
      </c>
      <c r="V78" s="25">
        <f t="shared" si="47"/>
        <v>0</v>
      </c>
      <c r="W78" s="25">
        <f t="shared" si="47"/>
        <v>0</v>
      </c>
      <c r="X78" s="25">
        <f t="shared" si="47"/>
        <v>0</v>
      </c>
      <c r="Y78" s="25">
        <f t="shared" si="47"/>
        <v>0</v>
      </c>
      <c r="Z78" s="25">
        <f t="shared" si="47"/>
        <v>0</v>
      </c>
      <c r="AA78" s="25">
        <f t="shared" si="47"/>
        <v>0</v>
      </c>
      <c r="AB78" s="25">
        <f t="shared" si="47"/>
        <v>0</v>
      </c>
      <c r="AC78" s="25">
        <f t="shared" si="47"/>
        <v>0</v>
      </c>
      <c r="AD78" s="25">
        <f t="shared" si="47"/>
        <v>0</v>
      </c>
      <c r="AE78" s="25">
        <f t="shared" si="47"/>
        <v>0</v>
      </c>
      <c r="AF78" s="25">
        <f t="shared" si="47"/>
        <v>0</v>
      </c>
      <c r="AG78" s="25">
        <f t="shared" si="47"/>
        <v>0</v>
      </c>
      <c r="AH78" s="25">
        <f t="shared" si="47"/>
        <v>0</v>
      </c>
      <c r="AI78" s="25">
        <f t="shared" si="47"/>
        <v>0</v>
      </c>
      <c r="AJ78" s="25">
        <f t="shared" si="47"/>
        <v>0</v>
      </c>
      <c r="AK78" s="25">
        <f t="shared" si="47"/>
        <v>0</v>
      </c>
      <c r="AL78" s="25">
        <f t="shared" si="47"/>
        <v>0</v>
      </c>
      <c r="AM78" s="25">
        <f t="shared" si="47"/>
        <v>0</v>
      </c>
      <c r="AN78" s="25">
        <f t="shared" si="47"/>
        <v>0</v>
      </c>
    </row>
    <row r="79" spans="2:41" outlineLevel="1">
      <c r="B79" s="266"/>
      <c r="C79" s="303" t="str">
        <f>C50</f>
        <v>Flag de operação</v>
      </c>
      <c r="D79" s="319"/>
      <c r="E79" s="41" t="str">
        <f>E50</f>
        <v>Flag</v>
      </c>
      <c r="F79" s="23">
        <f t="shared" si="46"/>
        <v>29</v>
      </c>
      <c r="G79" s="25">
        <f t="shared" ref="G79:AN79" si="48">G50</f>
        <v>0</v>
      </c>
      <c r="H79" s="25">
        <f t="shared" si="48"/>
        <v>1</v>
      </c>
      <c r="I79" s="25">
        <f t="shared" si="48"/>
        <v>1</v>
      </c>
      <c r="J79" s="25">
        <f t="shared" si="48"/>
        <v>1</v>
      </c>
      <c r="K79" s="25">
        <f t="shared" si="48"/>
        <v>1</v>
      </c>
      <c r="L79" s="25">
        <f t="shared" si="48"/>
        <v>1</v>
      </c>
      <c r="M79" s="25">
        <f t="shared" si="48"/>
        <v>1</v>
      </c>
      <c r="N79" s="25">
        <f t="shared" si="48"/>
        <v>1</v>
      </c>
      <c r="O79" s="25">
        <f t="shared" si="48"/>
        <v>1</v>
      </c>
      <c r="P79" s="25">
        <f t="shared" si="48"/>
        <v>1</v>
      </c>
      <c r="Q79" s="25">
        <f t="shared" si="48"/>
        <v>1</v>
      </c>
      <c r="R79" s="25">
        <f t="shared" si="48"/>
        <v>1</v>
      </c>
      <c r="S79" s="25">
        <f t="shared" si="48"/>
        <v>1</v>
      </c>
      <c r="T79" s="25">
        <f t="shared" si="48"/>
        <v>1</v>
      </c>
      <c r="U79" s="25">
        <f t="shared" si="48"/>
        <v>1</v>
      </c>
      <c r="V79" s="25">
        <f t="shared" si="48"/>
        <v>1</v>
      </c>
      <c r="W79" s="25">
        <f t="shared" si="48"/>
        <v>1</v>
      </c>
      <c r="X79" s="25">
        <f t="shared" si="48"/>
        <v>1</v>
      </c>
      <c r="Y79" s="25">
        <f t="shared" si="48"/>
        <v>1</v>
      </c>
      <c r="Z79" s="25">
        <f t="shared" si="48"/>
        <v>1</v>
      </c>
      <c r="AA79" s="25">
        <f t="shared" si="48"/>
        <v>1</v>
      </c>
      <c r="AB79" s="25">
        <f t="shared" si="48"/>
        <v>1</v>
      </c>
      <c r="AC79" s="25">
        <f t="shared" si="48"/>
        <v>1</v>
      </c>
      <c r="AD79" s="25">
        <f t="shared" si="48"/>
        <v>1</v>
      </c>
      <c r="AE79" s="25">
        <f t="shared" si="48"/>
        <v>1</v>
      </c>
      <c r="AF79" s="25">
        <f t="shared" si="48"/>
        <v>1</v>
      </c>
      <c r="AG79" s="25">
        <f t="shared" si="48"/>
        <v>1</v>
      </c>
      <c r="AH79" s="25">
        <f t="shared" si="48"/>
        <v>1</v>
      </c>
      <c r="AI79" s="25">
        <f t="shared" si="48"/>
        <v>1</v>
      </c>
      <c r="AJ79" s="25">
        <f t="shared" si="48"/>
        <v>1</v>
      </c>
      <c r="AK79" s="25">
        <f t="shared" si="48"/>
        <v>0</v>
      </c>
      <c r="AL79" s="25">
        <f t="shared" si="48"/>
        <v>0</v>
      </c>
      <c r="AM79" s="25">
        <f t="shared" si="48"/>
        <v>0</v>
      </c>
      <c r="AN79" s="25">
        <f t="shared" si="48"/>
        <v>0</v>
      </c>
    </row>
    <row r="80" spans="2:41" outlineLevel="1">
      <c r="B80" s="266"/>
      <c r="C80" s="303" t="str">
        <f>C59</f>
        <v>Flag último dia de operação</v>
      </c>
      <c r="D80" s="319"/>
      <c r="E80" s="41" t="str">
        <f>E59</f>
        <v>Flag</v>
      </c>
      <c r="F80" s="23">
        <f t="shared" si="46"/>
        <v>1</v>
      </c>
      <c r="G80" s="25">
        <f t="shared" ref="G80:AN80" si="49">G59</f>
        <v>0</v>
      </c>
      <c r="H80" s="25">
        <f t="shared" si="49"/>
        <v>0</v>
      </c>
      <c r="I80" s="25">
        <f t="shared" si="49"/>
        <v>0</v>
      </c>
      <c r="J80" s="25">
        <f t="shared" si="49"/>
        <v>0</v>
      </c>
      <c r="K80" s="25">
        <f t="shared" si="49"/>
        <v>0</v>
      </c>
      <c r="L80" s="25">
        <f t="shared" si="49"/>
        <v>0</v>
      </c>
      <c r="M80" s="25">
        <f t="shared" si="49"/>
        <v>0</v>
      </c>
      <c r="N80" s="25">
        <f t="shared" si="49"/>
        <v>0</v>
      </c>
      <c r="O80" s="25">
        <f t="shared" si="49"/>
        <v>0</v>
      </c>
      <c r="P80" s="25">
        <f t="shared" si="49"/>
        <v>0</v>
      </c>
      <c r="Q80" s="25">
        <f t="shared" si="49"/>
        <v>0</v>
      </c>
      <c r="R80" s="25">
        <f t="shared" si="49"/>
        <v>0</v>
      </c>
      <c r="S80" s="25">
        <f t="shared" si="49"/>
        <v>0</v>
      </c>
      <c r="T80" s="25">
        <f t="shared" si="49"/>
        <v>0</v>
      </c>
      <c r="U80" s="25">
        <f t="shared" si="49"/>
        <v>0</v>
      </c>
      <c r="V80" s="25">
        <f t="shared" si="49"/>
        <v>0</v>
      </c>
      <c r="W80" s="25">
        <f t="shared" si="49"/>
        <v>0</v>
      </c>
      <c r="X80" s="25">
        <f t="shared" si="49"/>
        <v>0</v>
      </c>
      <c r="Y80" s="25">
        <f t="shared" si="49"/>
        <v>0</v>
      </c>
      <c r="Z80" s="25">
        <f t="shared" si="49"/>
        <v>0</v>
      </c>
      <c r="AA80" s="25">
        <f t="shared" si="49"/>
        <v>0</v>
      </c>
      <c r="AB80" s="25">
        <f t="shared" si="49"/>
        <v>0</v>
      </c>
      <c r="AC80" s="25">
        <f t="shared" si="49"/>
        <v>0</v>
      </c>
      <c r="AD80" s="25">
        <f t="shared" si="49"/>
        <v>0</v>
      </c>
      <c r="AE80" s="25">
        <f t="shared" si="49"/>
        <v>0</v>
      </c>
      <c r="AF80" s="25">
        <f t="shared" si="49"/>
        <v>0</v>
      </c>
      <c r="AG80" s="25">
        <f t="shared" si="49"/>
        <v>0</v>
      </c>
      <c r="AH80" s="25">
        <f t="shared" si="49"/>
        <v>0</v>
      </c>
      <c r="AI80" s="25">
        <f t="shared" si="49"/>
        <v>0</v>
      </c>
      <c r="AJ80" s="25">
        <f t="shared" si="49"/>
        <v>1</v>
      </c>
      <c r="AK80" s="25">
        <f t="shared" si="49"/>
        <v>0</v>
      </c>
      <c r="AL80" s="25">
        <f t="shared" si="49"/>
        <v>0</v>
      </c>
      <c r="AM80" s="25">
        <f t="shared" si="49"/>
        <v>0</v>
      </c>
      <c r="AN80" s="25">
        <f t="shared" si="49"/>
        <v>0</v>
      </c>
    </row>
    <row r="81" spans="3:40" outlineLevel="1">
      <c r="C81" s="303" t="str">
        <f>C63</f>
        <v>1º dia após fim da operação</v>
      </c>
      <c r="D81" s="319"/>
      <c r="E81" s="41" t="str">
        <f>E63</f>
        <v>Flag</v>
      </c>
      <c r="F81" s="23">
        <f t="shared" si="46"/>
        <v>1</v>
      </c>
      <c r="G81" s="25">
        <f t="shared" ref="G81:AN81" si="50">G63</f>
        <v>0</v>
      </c>
      <c r="H81" s="25">
        <f t="shared" si="50"/>
        <v>0</v>
      </c>
      <c r="I81" s="25">
        <f t="shared" si="50"/>
        <v>0</v>
      </c>
      <c r="J81" s="25">
        <f t="shared" si="50"/>
        <v>0</v>
      </c>
      <c r="K81" s="25">
        <f t="shared" si="50"/>
        <v>0</v>
      </c>
      <c r="L81" s="25">
        <f t="shared" si="50"/>
        <v>0</v>
      </c>
      <c r="M81" s="25">
        <f t="shared" si="50"/>
        <v>0</v>
      </c>
      <c r="N81" s="25">
        <f t="shared" si="50"/>
        <v>0</v>
      </c>
      <c r="O81" s="25">
        <f t="shared" si="50"/>
        <v>0</v>
      </c>
      <c r="P81" s="25">
        <f t="shared" si="50"/>
        <v>0</v>
      </c>
      <c r="Q81" s="25">
        <f t="shared" si="50"/>
        <v>0</v>
      </c>
      <c r="R81" s="25">
        <f t="shared" si="50"/>
        <v>0</v>
      </c>
      <c r="S81" s="25">
        <f t="shared" si="50"/>
        <v>0</v>
      </c>
      <c r="T81" s="25">
        <f t="shared" si="50"/>
        <v>0</v>
      </c>
      <c r="U81" s="25">
        <f t="shared" si="50"/>
        <v>0</v>
      </c>
      <c r="V81" s="25">
        <f t="shared" si="50"/>
        <v>0</v>
      </c>
      <c r="W81" s="25">
        <f t="shared" si="50"/>
        <v>0</v>
      </c>
      <c r="X81" s="25">
        <f t="shared" si="50"/>
        <v>0</v>
      </c>
      <c r="Y81" s="25">
        <f t="shared" si="50"/>
        <v>0</v>
      </c>
      <c r="Z81" s="25">
        <f t="shared" si="50"/>
        <v>0</v>
      </c>
      <c r="AA81" s="25">
        <f t="shared" si="50"/>
        <v>0</v>
      </c>
      <c r="AB81" s="25">
        <f t="shared" si="50"/>
        <v>0</v>
      </c>
      <c r="AC81" s="25">
        <f t="shared" si="50"/>
        <v>0</v>
      </c>
      <c r="AD81" s="25">
        <f t="shared" si="50"/>
        <v>0</v>
      </c>
      <c r="AE81" s="25">
        <f t="shared" si="50"/>
        <v>0</v>
      </c>
      <c r="AF81" s="25">
        <f t="shared" si="50"/>
        <v>0</v>
      </c>
      <c r="AG81" s="25">
        <f t="shared" si="50"/>
        <v>0</v>
      </c>
      <c r="AH81" s="25">
        <f t="shared" si="50"/>
        <v>0</v>
      </c>
      <c r="AI81" s="25">
        <f t="shared" si="50"/>
        <v>0</v>
      </c>
      <c r="AJ81" s="25">
        <f t="shared" si="50"/>
        <v>0</v>
      </c>
      <c r="AK81" s="25">
        <f t="shared" si="50"/>
        <v>1</v>
      </c>
      <c r="AL81" s="25">
        <f t="shared" si="50"/>
        <v>0</v>
      </c>
      <c r="AM81" s="25">
        <f t="shared" si="50"/>
        <v>0</v>
      </c>
      <c r="AN81" s="25">
        <f t="shared" si="50"/>
        <v>0</v>
      </c>
    </row>
    <row r="82" spans="3:40" outlineLevel="1">
      <c r="C82" s="303" t="str">
        <f>C67</f>
        <v>Flag pós operações</v>
      </c>
      <c r="D82" s="319"/>
      <c r="E82" s="41" t="str">
        <f>E67</f>
        <v>Flag</v>
      </c>
      <c r="F82" s="23">
        <f t="shared" si="46"/>
        <v>4</v>
      </c>
      <c r="G82" s="25">
        <f t="shared" ref="G82:AN82" si="51">G67</f>
        <v>0</v>
      </c>
      <c r="H82" s="25">
        <f t="shared" si="51"/>
        <v>0</v>
      </c>
      <c r="I82" s="25">
        <f t="shared" si="51"/>
        <v>0</v>
      </c>
      <c r="J82" s="25">
        <f t="shared" si="51"/>
        <v>0</v>
      </c>
      <c r="K82" s="25">
        <f t="shared" si="51"/>
        <v>0</v>
      </c>
      <c r="L82" s="25">
        <f t="shared" si="51"/>
        <v>0</v>
      </c>
      <c r="M82" s="25">
        <f t="shared" si="51"/>
        <v>0</v>
      </c>
      <c r="N82" s="25">
        <f t="shared" si="51"/>
        <v>0</v>
      </c>
      <c r="O82" s="25">
        <f t="shared" si="51"/>
        <v>0</v>
      </c>
      <c r="P82" s="25">
        <f t="shared" si="51"/>
        <v>0</v>
      </c>
      <c r="Q82" s="25">
        <f t="shared" si="51"/>
        <v>0</v>
      </c>
      <c r="R82" s="25">
        <f t="shared" si="51"/>
        <v>0</v>
      </c>
      <c r="S82" s="25">
        <f t="shared" si="51"/>
        <v>0</v>
      </c>
      <c r="T82" s="25">
        <f t="shared" si="51"/>
        <v>0</v>
      </c>
      <c r="U82" s="25">
        <f t="shared" si="51"/>
        <v>0</v>
      </c>
      <c r="V82" s="25">
        <f t="shared" si="51"/>
        <v>0</v>
      </c>
      <c r="W82" s="25">
        <f t="shared" si="51"/>
        <v>0</v>
      </c>
      <c r="X82" s="25">
        <f t="shared" si="51"/>
        <v>0</v>
      </c>
      <c r="Y82" s="25">
        <f t="shared" si="51"/>
        <v>0</v>
      </c>
      <c r="Z82" s="25">
        <f t="shared" si="51"/>
        <v>0</v>
      </c>
      <c r="AA82" s="25">
        <f t="shared" si="51"/>
        <v>0</v>
      </c>
      <c r="AB82" s="25">
        <f t="shared" si="51"/>
        <v>0</v>
      </c>
      <c r="AC82" s="25">
        <f t="shared" si="51"/>
        <v>0</v>
      </c>
      <c r="AD82" s="25">
        <f t="shared" si="51"/>
        <v>0</v>
      </c>
      <c r="AE82" s="25">
        <f t="shared" si="51"/>
        <v>0</v>
      </c>
      <c r="AF82" s="25">
        <f t="shared" si="51"/>
        <v>0</v>
      </c>
      <c r="AG82" s="25">
        <f t="shared" si="51"/>
        <v>0</v>
      </c>
      <c r="AH82" s="25">
        <f t="shared" si="51"/>
        <v>0</v>
      </c>
      <c r="AI82" s="25">
        <f t="shared" si="51"/>
        <v>0</v>
      </c>
      <c r="AJ82" s="25">
        <f t="shared" si="51"/>
        <v>0</v>
      </c>
      <c r="AK82" s="25">
        <f t="shared" si="51"/>
        <v>1</v>
      </c>
      <c r="AL82" s="25">
        <f t="shared" si="51"/>
        <v>1</v>
      </c>
      <c r="AM82" s="25">
        <f t="shared" si="51"/>
        <v>1</v>
      </c>
      <c r="AN82" s="25">
        <f t="shared" si="51"/>
        <v>1</v>
      </c>
    </row>
    <row r="83" spans="3:40" outlineLevel="1">
      <c r="C83" s="303" t="s">
        <v>564</v>
      </c>
      <c r="D83" s="319"/>
      <c r="E83" s="41">
        <f>E68</f>
        <v>0</v>
      </c>
      <c r="F83" s="23">
        <f t="shared" si="46"/>
        <v>34</v>
      </c>
      <c r="G83" s="25">
        <f t="shared" ref="G83:AN83" si="52">IF(SUM(G78:G82)&gt;=1,1,0)</f>
        <v>1</v>
      </c>
      <c r="H83" s="25">
        <f t="shared" si="52"/>
        <v>1</v>
      </c>
      <c r="I83" s="25">
        <f t="shared" si="52"/>
        <v>1</v>
      </c>
      <c r="J83" s="25">
        <f t="shared" si="52"/>
        <v>1</v>
      </c>
      <c r="K83" s="25">
        <f t="shared" si="52"/>
        <v>1</v>
      </c>
      <c r="L83" s="25">
        <f t="shared" si="52"/>
        <v>1</v>
      </c>
      <c r="M83" s="25">
        <f t="shared" si="52"/>
        <v>1</v>
      </c>
      <c r="N83" s="25">
        <f t="shared" si="52"/>
        <v>1</v>
      </c>
      <c r="O83" s="25">
        <f t="shared" si="52"/>
        <v>1</v>
      </c>
      <c r="P83" s="25">
        <f t="shared" si="52"/>
        <v>1</v>
      </c>
      <c r="Q83" s="25">
        <f t="shared" si="52"/>
        <v>1</v>
      </c>
      <c r="R83" s="25">
        <f t="shared" si="52"/>
        <v>1</v>
      </c>
      <c r="S83" s="25">
        <f t="shared" si="52"/>
        <v>1</v>
      </c>
      <c r="T83" s="25">
        <f t="shared" si="52"/>
        <v>1</v>
      </c>
      <c r="U83" s="25">
        <f t="shared" si="52"/>
        <v>1</v>
      </c>
      <c r="V83" s="25">
        <f t="shared" si="52"/>
        <v>1</v>
      </c>
      <c r="W83" s="25">
        <f t="shared" si="52"/>
        <v>1</v>
      </c>
      <c r="X83" s="25">
        <f t="shared" si="52"/>
        <v>1</v>
      </c>
      <c r="Y83" s="25">
        <f t="shared" si="52"/>
        <v>1</v>
      </c>
      <c r="Z83" s="25">
        <f t="shared" si="52"/>
        <v>1</v>
      </c>
      <c r="AA83" s="25">
        <f t="shared" si="52"/>
        <v>1</v>
      </c>
      <c r="AB83" s="25">
        <f t="shared" si="52"/>
        <v>1</v>
      </c>
      <c r="AC83" s="25">
        <f t="shared" si="52"/>
        <v>1</v>
      </c>
      <c r="AD83" s="25">
        <f t="shared" si="52"/>
        <v>1</v>
      </c>
      <c r="AE83" s="25">
        <f t="shared" si="52"/>
        <v>1</v>
      </c>
      <c r="AF83" s="25">
        <f t="shared" si="52"/>
        <v>1</v>
      </c>
      <c r="AG83" s="25">
        <f t="shared" si="52"/>
        <v>1</v>
      </c>
      <c r="AH83" s="25">
        <f t="shared" si="52"/>
        <v>1</v>
      </c>
      <c r="AI83" s="25">
        <f t="shared" si="52"/>
        <v>1</v>
      </c>
      <c r="AJ83" s="25">
        <f t="shared" si="52"/>
        <v>1</v>
      </c>
      <c r="AK83" s="25">
        <f t="shared" si="52"/>
        <v>1</v>
      </c>
      <c r="AL83" s="25">
        <f t="shared" si="52"/>
        <v>1</v>
      </c>
      <c r="AM83" s="25">
        <f t="shared" si="52"/>
        <v>1</v>
      </c>
      <c r="AN83" s="25">
        <f t="shared" si="52"/>
        <v>1</v>
      </c>
    </row>
    <row r="84" spans="3:40" outlineLevel="1">
      <c r="C84" s="303"/>
      <c r="D84" s="266"/>
      <c r="F84" s="266"/>
      <c r="G84" s="266"/>
      <c r="H84" s="266"/>
      <c r="I84" s="266"/>
      <c r="J84" s="266"/>
      <c r="K84" s="266"/>
      <c r="L84" s="266"/>
      <c r="M84" s="266"/>
      <c r="N84" s="266"/>
      <c r="O84" s="266"/>
      <c r="P84" s="266"/>
      <c r="Q84" s="266"/>
      <c r="R84" s="266"/>
      <c r="S84" s="266"/>
      <c r="T84" s="266"/>
      <c r="U84" s="266"/>
      <c r="V84" s="266"/>
      <c r="W84" s="266"/>
      <c r="X84" s="266"/>
      <c r="Y84" s="266"/>
      <c r="Z84" s="266"/>
      <c r="AA84" s="266"/>
      <c r="AB84" s="266"/>
      <c r="AC84" s="266"/>
      <c r="AD84" s="266"/>
      <c r="AE84" s="266"/>
      <c r="AF84" s="266"/>
      <c r="AG84" s="266"/>
      <c r="AH84" s="266"/>
      <c r="AI84" s="266"/>
      <c r="AJ84" s="266"/>
      <c r="AK84" s="266"/>
      <c r="AL84" s="266"/>
      <c r="AM84" s="266"/>
      <c r="AN84" s="266"/>
    </row>
    <row r="85" spans="3:40" outlineLevel="1">
      <c r="C85" s="303" t="s">
        <v>736</v>
      </c>
      <c r="D85" s="266"/>
      <c r="F85" s="266"/>
      <c r="G85" s="266"/>
      <c r="H85" s="266"/>
      <c r="I85" s="266"/>
      <c r="J85" s="266"/>
      <c r="K85" s="266"/>
      <c r="L85" s="266"/>
      <c r="M85" s="266"/>
      <c r="N85" s="266"/>
      <c r="O85" s="266"/>
      <c r="P85" s="266"/>
      <c r="Q85" s="266"/>
      <c r="R85" s="266"/>
      <c r="S85" s="266"/>
      <c r="T85" s="266"/>
      <c r="U85" s="266"/>
      <c r="V85" s="266"/>
      <c r="W85" s="266"/>
      <c r="X85" s="266"/>
      <c r="Y85" s="266"/>
      <c r="Z85" s="266"/>
      <c r="AA85" s="266"/>
      <c r="AB85" s="266"/>
      <c r="AC85" s="266"/>
      <c r="AD85" s="266"/>
      <c r="AE85" s="266"/>
      <c r="AF85" s="266"/>
      <c r="AG85" s="266"/>
      <c r="AH85" s="266"/>
      <c r="AI85" s="266"/>
      <c r="AJ85" s="266"/>
      <c r="AK85" s="266"/>
      <c r="AL85" s="266"/>
      <c r="AM85" s="266"/>
      <c r="AN85" s="266"/>
    </row>
    <row r="86" spans="3:40" outlineLevel="1">
      <c r="C86" s="303" t="s">
        <v>737</v>
      </c>
      <c r="D86" s="266"/>
      <c r="F86" s="266"/>
      <c r="G86" s="266"/>
      <c r="H86" s="266"/>
      <c r="I86" s="266"/>
      <c r="J86" s="266"/>
      <c r="K86" s="266"/>
      <c r="L86" s="266"/>
      <c r="M86" s="266"/>
      <c r="N86" s="266"/>
      <c r="O86" s="266"/>
      <c r="P86" s="266"/>
      <c r="Q86" s="266"/>
      <c r="R86" s="266"/>
      <c r="S86" s="266"/>
      <c r="T86" s="266"/>
      <c r="U86" s="266"/>
      <c r="V86" s="266"/>
      <c r="W86" s="266"/>
      <c r="X86" s="266"/>
      <c r="Y86" s="266"/>
      <c r="Z86" s="266"/>
      <c r="AA86" s="266"/>
      <c r="AB86" s="266"/>
      <c r="AC86" s="266"/>
      <c r="AD86" s="266"/>
      <c r="AE86" s="266"/>
      <c r="AF86" s="266"/>
      <c r="AG86" s="266"/>
      <c r="AH86" s="266"/>
      <c r="AI86" s="266"/>
      <c r="AJ86" s="266"/>
      <c r="AK86" s="266"/>
      <c r="AL86" s="266"/>
      <c r="AM86" s="266"/>
      <c r="AN86" s="266"/>
    </row>
    <row r="87" spans="3:40" outlineLevel="1">
      <c r="C87" s="303" t="s">
        <v>738</v>
      </c>
      <c r="D87" s="266"/>
      <c r="F87" s="266"/>
      <c r="G87" s="266"/>
      <c r="H87" s="266"/>
      <c r="I87" s="266"/>
      <c r="J87" s="266"/>
      <c r="K87" s="266"/>
      <c r="L87" s="266"/>
      <c r="M87" s="266"/>
      <c r="N87" s="266"/>
      <c r="O87" s="266"/>
      <c r="P87" s="266"/>
      <c r="Q87" s="266"/>
      <c r="R87" s="266"/>
      <c r="S87" s="266"/>
      <c r="T87" s="266"/>
      <c r="U87" s="266"/>
      <c r="V87" s="266"/>
      <c r="W87" s="266"/>
      <c r="X87" s="266"/>
      <c r="Y87" s="266"/>
      <c r="Z87" s="266"/>
      <c r="AA87" s="266"/>
      <c r="AB87" s="266"/>
      <c r="AC87" s="266"/>
      <c r="AD87" s="266"/>
      <c r="AE87" s="266"/>
      <c r="AF87" s="266"/>
      <c r="AG87" s="266"/>
      <c r="AH87" s="266"/>
      <c r="AI87" s="266"/>
      <c r="AJ87" s="266"/>
      <c r="AK87" s="266"/>
      <c r="AL87" s="266"/>
      <c r="AM87" s="266"/>
      <c r="AN87" s="266"/>
    </row>
    <row r="88" spans="3:40" outlineLevel="1">
      <c r="C88" s="303" t="s">
        <v>739</v>
      </c>
      <c r="D88" s="266"/>
      <c r="F88" s="266"/>
      <c r="G88" s="266"/>
      <c r="H88" s="266"/>
      <c r="I88" s="266"/>
      <c r="J88" s="266"/>
      <c r="K88" s="266"/>
      <c r="L88" s="266"/>
      <c r="M88" s="266"/>
      <c r="N88" s="266"/>
      <c r="O88" s="266"/>
      <c r="P88" s="266"/>
      <c r="Q88" s="266"/>
      <c r="R88" s="266"/>
      <c r="S88" s="266"/>
      <c r="T88" s="266"/>
      <c r="U88" s="266"/>
      <c r="V88" s="266"/>
      <c r="W88" s="266"/>
      <c r="X88" s="266"/>
      <c r="Y88" s="266"/>
      <c r="Z88" s="266"/>
      <c r="AA88" s="266"/>
      <c r="AB88" s="266"/>
      <c r="AC88" s="266"/>
      <c r="AD88" s="266"/>
      <c r="AE88" s="266"/>
      <c r="AF88" s="266"/>
      <c r="AG88" s="266"/>
      <c r="AH88" s="266"/>
      <c r="AI88" s="266"/>
      <c r="AJ88" s="266"/>
      <c r="AK88" s="266"/>
      <c r="AL88" s="266"/>
      <c r="AM88" s="266"/>
      <c r="AN88" s="266"/>
    </row>
    <row r="89" spans="3:40" outlineLevel="1">
      <c r="C89" s="303" t="s">
        <v>740</v>
      </c>
      <c r="D89" s="266"/>
      <c r="F89" s="266"/>
      <c r="G89" s="266"/>
      <c r="H89" s="266"/>
      <c r="I89" s="266"/>
      <c r="J89" s="266"/>
      <c r="K89" s="266"/>
      <c r="L89" s="266"/>
      <c r="M89" s="266"/>
      <c r="N89" s="266"/>
      <c r="O89" s="266"/>
      <c r="P89" s="266"/>
      <c r="Q89" s="266"/>
      <c r="R89" s="266"/>
      <c r="S89" s="266"/>
      <c r="T89" s="266"/>
      <c r="U89" s="266"/>
      <c r="V89" s="266"/>
      <c r="W89" s="266"/>
      <c r="X89" s="266"/>
      <c r="Y89" s="266"/>
      <c r="Z89" s="266"/>
      <c r="AA89" s="266"/>
      <c r="AB89" s="266"/>
      <c r="AC89" s="266"/>
      <c r="AD89" s="266"/>
      <c r="AE89" s="266"/>
      <c r="AF89" s="266"/>
      <c r="AG89" s="266"/>
      <c r="AH89" s="266"/>
      <c r="AI89" s="266"/>
      <c r="AJ89" s="266"/>
      <c r="AK89" s="266"/>
      <c r="AL89" s="266"/>
      <c r="AM89" s="266"/>
      <c r="AN89" s="266"/>
    </row>
    <row r="90" spans="3:40" outlineLevel="1">
      <c r="C90" s="29" t="s">
        <v>703</v>
      </c>
      <c r="D90" s="266"/>
      <c r="F90" s="266"/>
      <c r="G90" s="273" t="str">
        <f t="shared" ref="G90:AN90" si="53">IF(SUM(G80:G83)&gt;1,$C$89,$C$88)</f>
        <v>Ops</v>
      </c>
      <c r="H90" s="273" t="str">
        <f t="shared" si="53"/>
        <v>Ops</v>
      </c>
      <c r="I90" s="273" t="str">
        <f t="shared" si="53"/>
        <v>Ops</v>
      </c>
      <c r="J90" s="273" t="str">
        <f t="shared" si="53"/>
        <v>Ops</v>
      </c>
      <c r="K90" s="273" t="str">
        <f t="shared" si="53"/>
        <v>Ops</v>
      </c>
      <c r="L90" s="273" t="str">
        <f t="shared" si="53"/>
        <v>Ops</v>
      </c>
      <c r="M90" s="273" t="str">
        <f t="shared" si="53"/>
        <v>Ops</v>
      </c>
      <c r="N90" s="273" t="str">
        <f t="shared" si="53"/>
        <v>Ops</v>
      </c>
      <c r="O90" s="273" t="str">
        <f t="shared" si="53"/>
        <v>Ops</v>
      </c>
      <c r="P90" s="273" t="str">
        <f t="shared" si="53"/>
        <v>Ops</v>
      </c>
      <c r="Q90" s="273" t="str">
        <f t="shared" si="53"/>
        <v>Ops</v>
      </c>
      <c r="R90" s="273" t="str">
        <f t="shared" si="53"/>
        <v>Ops</v>
      </c>
      <c r="S90" s="273" t="str">
        <f t="shared" si="53"/>
        <v>Ops</v>
      </c>
      <c r="T90" s="273" t="str">
        <f t="shared" si="53"/>
        <v>Ops</v>
      </c>
      <c r="U90" s="273" t="str">
        <f t="shared" si="53"/>
        <v>Ops</v>
      </c>
      <c r="V90" s="273" t="str">
        <f t="shared" si="53"/>
        <v>Ops</v>
      </c>
      <c r="W90" s="273" t="str">
        <f t="shared" si="53"/>
        <v>Ops</v>
      </c>
      <c r="X90" s="273" t="str">
        <f t="shared" si="53"/>
        <v>Ops</v>
      </c>
      <c r="Y90" s="273" t="str">
        <f t="shared" si="53"/>
        <v>Ops</v>
      </c>
      <c r="Z90" s="273" t="str">
        <f t="shared" si="53"/>
        <v>Ops</v>
      </c>
      <c r="AA90" s="273" t="str">
        <f t="shared" si="53"/>
        <v>Ops</v>
      </c>
      <c r="AB90" s="273" t="str">
        <f t="shared" si="53"/>
        <v>Ops</v>
      </c>
      <c r="AC90" s="273" t="str">
        <f t="shared" si="53"/>
        <v>Ops</v>
      </c>
      <c r="AD90" s="273" t="str">
        <f t="shared" si="53"/>
        <v>Ops</v>
      </c>
      <c r="AE90" s="273" t="str">
        <f t="shared" si="53"/>
        <v>Ops</v>
      </c>
      <c r="AF90" s="273" t="str">
        <f t="shared" si="53"/>
        <v>Ops</v>
      </c>
      <c r="AG90" s="273" t="str">
        <f t="shared" si="53"/>
        <v>Ops</v>
      </c>
      <c r="AH90" s="273" t="str">
        <f t="shared" si="53"/>
        <v>Ops</v>
      </c>
      <c r="AI90" s="273" t="str">
        <f t="shared" si="53"/>
        <v>Ops</v>
      </c>
      <c r="AJ90" s="273" t="str">
        <f>IF(SUM(AJ79)&gt;1,$C$89,$C$88)</f>
        <v>Ops</v>
      </c>
      <c r="AK90" s="273" t="str">
        <f t="shared" si="53"/>
        <v>Post Ops.</v>
      </c>
      <c r="AL90" s="273" t="str">
        <f t="shared" si="53"/>
        <v>Post Ops.</v>
      </c>
      <c r="AM90" s="273" t="str">
        <f t="shared" si="53"/>
        <v>Post Ops.</v>
      </c>
      <c r="AN90" s="273" t="str">
        <f t="shared" si="53"/>
        <v>Post Ops.</v>
      </c>
    </row>
    <row r="91" spans="3:40">
      <c r="C91" s="303"/>
      <c r="D91" s="266"/>
      <c r="F91" s="266"/>
      <c r="G91" s="266"/>
      <c r="H91" s="266"/>
      <c r="I91" s="266"/>
      <c r="J91" s="266"/>
      <c r="K91" s="266"/>
      <c r="L91" s="266"/>
      <c r="M91" s="266"/>
      <c r="N91" s="266"/>
      <c r="O91" s="266"/>
      <c r="P91" s="266"/>
      <c r="Q91" s="266"/>
      <c r="R91" s="266"/>
      <c r="S91" s="266"/>
      <c r="T91" s="266"/>
      <c r="U91" s="266"/>
      <c r="V91" s="266"/>
      <c r="W91" s="266"/>
      <c r="X91" s="266"/>
      <c r="Y91" s="266"/>
      <c r="Z91" s="266"/>
      <c r="AA91" s="266"/>
      <c r="AB91" s="266"/>
      <c r="AC91" s="266"/>
      <c r="AD91" s="266"/>
      <c r="AE91" s="266"/>
      <c r="AF91" s="266"/>
      <c r="AG91" s="266"/>
      <c r="AH91" s="266"/>
      <c r="AI91" s="266"/>
      <c r="AJ91" s="266"/>
      <c r="AK91" s="266"/>
      <c r="AL91" s="266"/>
      <c r="AM91" s="266"/>
      <c r="AN91" s="266"/>
    </row>
  </sheetData>
  <conditionalFormatting sqref="G6:AN6">
    <cfRule type="cellIs" dxfId="21" priority="8" operator="equal">
      <formula>$C$89</formula>
    </cfRule>
    <cfRule type="cellIs" dxfId="20" priority="9" operator="equal">
      <formula>$C$88</formula>
    </cfRule>
    <cfRule type="cellIs" dxfId="19" priority="10" operator="equal">
      <formula>$C$87</formula>
    </cfRule>
    <cfRule type="cellIs" dxfId="18" priority="11" operator="equal">
      <formula>$C$86</formula>
    </cfRule>
    <cfRule type="cellIs" dxfId="17" priority="12" operator="equal">
      <formula>$C$85</formula>
    </cfRule>
    <cfRule type="cellIs" dxfId="16" priority="32" operator="equal">
      <formula>#REF!</formula>
    </cfRule>
  </conditionalFormatting>
  <conditionalFormatting sqref="G17:AN17 G78:AN83">
    <cfRule type="cellIs" dxfId="15" priority="51" operator="equal">
      <formula>1</formula>
    </cfRule>
  </conditionalFormatting>
  <conditionalFormatting sqref="G37:AN37">
    <cfRule type="cellIs" dxfId="14" priority="49" operator="equal">
      <formula>1</formula>
    </cfRule>
  </conditionalFormatting>
  <conditionalFormatting sqref="G50:AN50">
    <cfRule type="cellIs" dxfId="13" priority="43" operator="equal">
      <formula>1</formula>
    </cfRule>
  </conditionalFormatting>
  <conditionalFormatting sqref="G53:AN53">
    <cfRule type="cellIs" dxfId="12" priority="42" operator="equal">
      <formula>1</formula>
    </cfRule>
  </conditionalFormatting>
  <conditionalFormatting sqref="G59:AN59">
    <cfRule type="cellIs" dxfId="11" priority="41" operator="equal">
      <formula>1</formula>
    </cfRule>
  </conditionalFormatting>
  <conditionalFormatting sqref="G62:AN63">
    <cfRule type="cellIs" dxfId="10" priority="39" operator="equal">
      <formula>1</formula>
    </cfRule>
  </conditionalFormatting>
  <conditionalFormatting sqref="G66:AN67">
    <cfRule type="cellIs" dxfId="9" priority="37" operator="equal">
      <formula>1</formula>
    </cfRule>
  </conditionalFormatting>
  <conditionalFormatting sqref="G70:AN72">
    <cfRule type="cellIs" dxfId="8" priority="2" operator="equal">
      <formula>1</formula>
    </cfRule>
  </conditionalFormatting>
  <conditionalFormatting sqref="G90:AN90">
    <cfRule type="cellIs" dxfId="7" priority="14" operator="equal">
      <formula>$C$89</formula>
    </cfRule>
    <cfRule type="cellIs" dxfId="6" priority="15" operator="equal">
      <formula>$C$88</formula>
    </cfRule>
    <cfRule type="cellIs" dxfId="5" priority="16" operator="equal">
      <formula>$C$87</formula>
    </cfRule>
    <cfRule type="cellIs" dxfId="4" priority="17" operator="equal">
      <formula>$C$86</formula>
    </cfRule>
    <cfRule type="cellIs" dxfId="3" priority="18" operator="equal">
      <formula>$C$85</formula>
    </cfRule>
    <cfRule type="cellIs" dxfId="2" priority="19" operator="equal">
      <formula>#REF!</formula>
    </cfRule>
  </conditionalFormatting>
  <pageMargins left="0.7" right="0.7" top="0.75" bottom="0.75" header="0.3" footer="0.3"/>
  <pageSetup paperSize="9" scale="25" orientation="landscape" r:id="rId1"/>
  <rowBreaks count="1" manualBreakCount="1">
    <brk id="55" max="39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0FAB9-2958-44CF-8D27-62AC18C758E3}">
  <sheetPr codeName="Sheet4">
    <tabColor rgb="FF00A3A1"/>
  </sheetPr>
  <dimension ref="A3:AD88"/>
  <sheetViews>
    <sheetView showGridLines="0" topLeftCell="C3" workbookViewId="0">
      <selection activeCell="K14" sqref="K14"/>
    </sheetView>
  </sheetViews>
  <sheetFormatPr defaultColWidth="8.6640625" defaultRowHeight="14.4" zeroHeight="1"/>
  <cols>
    <col min="1" max="2" width="8.6640625" hidden="1" customWidth="1"/>
    <col min="3" max="3" width="4.6640625" customWidth="1"/>
    <col min="4" max="4" width="9.5546875" bestFit="1" customWidth="1"/>
    <col min="5" max="5" width="12.44140625" bestFit="1" customWidth="1"/>
    <col min="6" max="6" width="11.5546875" bestFit="1" customWidth="1"/>
    <col min="7" max="7" width="16.6640625" customWidth="1"/>
    <col min="8" max="8" width="12.5546875" bestFit="1" customWidth="1"/>
    <col min="9" max="9" width="16.6640625" customWidth="1"/>
    <col min="10" max="10" width="12" bestFit="1" customWidth="1"/>
    <col min="11" max="12" width="11.5546875" bestFit="1" customWidth="1"/>
    <col min="13" max="13" width="7.5546875" bestFit="1" customWidth="1"/>
    <col min="14" max="14" width="7.6640625" bestFit="1" customWidth="1"/>
    <col min="15" max="15" width="9.33203125" bestFit="1" customWidth="1"/>
    <col min="16" max="22" width="11.5546875" bestFit="1" customWidth="1"/>
    <col min="23" max="23" width="9.44140625" customWidth="1"/>
    <col min="24" max="30" width="11.6640625" bestFit="1" customWidth="1"/>
    <col min="31" max="31" width="9.33203125" customWidth="1"/>
    <col min="32" max="32" width="9.5546875" customWidth="1"/>
    <col min="33" max="33" width="10.33203125" customWidth="1"/>
    <col min="34" max="34" width="9.44140625" customWidth="1"/>
    <col min="35" max="35" width="9.33203125" customWidth="1"/>
    <col min="36" max="36" width="9.5546875" customWidth="1"/>
    <col min="37" max="37" width="10.33203125" customWidth="1"/>
    <col min="38" max="38" width="9.44140625" customWidth="1"/>
    <col min="39" max="39" width="9.33203125" customWidth="1"/>
    <col min="40" max="40" width="9.5546875" customWidth="1"/>
    <col min="41" max="41" width="10.33203125" customWidth="1"/>
    <col min="42" max="42" width="9.44140625" customWidth="1"/>
    <col min="43" max="43" width="9.33203125" customWidth="1"/>
    <col min="44" max="44" width="9.5546875" customWidth="1"/>
    <col min="45" max="45" width="10.33203125" customWidth="1"/>
    <col min="46" max="46" width="9.44140625" customWidth="1"/>
    <col min="47" max="47" width="9.33203125" customWidth="1"/>
    <col min="48" max="48" width="9.5546875" customWidth="1"/>
    <col min="49" max="49" width="10.33203125" customWidth="1"/>
    <col min="50" max="50" width="9.44140625" customWidth="1"/>
    <col min="51" max="51" width="9.33203125" customWidth="1"/>
    <col min="52" max="62" width="12.5546875" customWidth="1"/>
  </cols>
  <sheetData>
    <row r="3" spans="4:30" ht="15" thickBot="1"/>
    <row r="4" spans="4:30" ht="15" thickBot="1">
      <c r="D4" s="905" t="str">
        <f ca="1">"Aumento "&amp;Inputs!F19&amp;" na Tarifa com base na taxa de desconto de "&amp;ROUND(Summary!D52,4)*100&amp;"% a.a."</f>
        <v>Aumento Real na Tarifa com base na taxa de desconto de 10,79% a.a.</v>
      </c>
      <c r="E4" s="905"/>
      <c r="F4" s="905"/>
      <c r="G4" s="905"/>
      <c r="H4" s="905"/>
      <c r="I4" s="905"/>
      <c r="J4" s="905"/>
      <c r="K4" s="905"/>
      <c r="L4" s="905"/>
    </row>
    <row r="5" spans="4:30">
      <c r="D5" s="431" t="s">
        <v>78</v>
      </c>
      <c r="E5" s="432"/>
      <c r="F5" s="433"/>
      <c r="G5" s="433"/>
      <c r="H5" s="433"/>
      <c r="I5" s="433"/>
      <c r="J5" s="433"/>
      <c r="K5" s="433"/>
      <c r="L5" s="434"/>
    </row>
    <row r="6" spans="4:30">
      <c r="D6" s="906" t="s">
        <v>79</v>
      </c>
      <c r="E6" s="435">
        <f>Aumento_real</f>
        <v>0.40350000000000003</v>
      </c>
      <c r="F6" s="436">
        <f>G6-5%</f>
        <v>-0.15000000000000002</v>
      </c>
      <c r="G6" s="436">
        <f>H6-5%</f>
        <v>-0.1</v>
      </c>
      <c r="H6" s="436">
        <f>I6-5%</f>
        <v>-0.05</v>
      </c>
      <c r="I6" s="436">
        <v>0</v>
      </c>
      <c r="J6" s="436">
        <v>0.05</v>
      </c>
      <c r="K6" s="436">
        <f>J6+5%</f>
        <v>0.1</v>
      </c>
      <c r="L6" s="437">
        <f>K6+5%</f>
        <v>0.15000000000000002</v>
      </c>
    </row>
    <row r="7" spans="4:30">
      <c r="D7" s="906"/>
      <c r="E7" s="436">
        <f>E8-5%</f>
        <v>-0.15000000000000002</v>
      </c>
      <c r="F7" s="473">
        <v>-0.17679710928614714</v>
      </c>
      <c r="G7" s="473">
        <v>-0.13002207235440091</v>
      </c>
      <c r="H7" s="473">
        <v>-8.8271177332051198E-2</v>
      </c>
      <c r="I7" s="473">
        <v>-4.0485308447260393E-2</v>
      </c>
      <c r="J7" s="473">
        <v>2.7614164700790741E-2</v>
      </c>
      <c r="K7" s="473">
        <v>0.10401725474703495</v>
      </c>
      <c r="L7" s="473">
        <v>0.18482226655568276</v>
      </c>
      <c r="X7" s="142"/>
      <c r="Y7" s="142"/>
      <c r="Z7" s="142"/>
      <c r="AA7" s="142"/>
      <c r="AB7" s="142"/>
      <c r="AC7" s="142"/>
      <c r="AD7" s="142"/>
    </row>
    <row r="8" spans="4:30">
      <c r="D8" s="906"/>
      <c r="E8" s="436">
        <f>E9-5%</f>
        <v>-0.1</v>
      </c>
      <c r="F8" s="473">
        <v>-0.16055045522030953</v>
      </c>
      <c r="G8" s="473">
        <v>-0.11451360877931904</v>
      </c>
      <c r="H8" s="473">
        <v>-7.2485657571379314E-2</v>
      </c>
      <c r="I8" s="473">
        <v>-2.6263181545866206E-2</v>
      </c>
      <c r="J8" s="473">
        <v>3.8809219303985454E-2</v>
      </c>
      <c r="K8" s="473">
        <v>0.1144291756653821</v>
      </c>
      <c r="L8" s="473">
        <v>0.19505722515007351</v>
      </c>
      <c r="X8" s="142"/>
      <c r="Y8" s="142"/>
      <c r="Z8" s="142"/>
      <c r="AA8" s="142"/>
      <c r="AB8" s="142"/>
      <c r="AC8" s="142"/>
      <c r="AD8" s="142"/>
    </row>
    <row r="9" spans="4:30">
      <c r="D9" s="906"/>
      <c r="E9" s="436">
        <f>E10-5%</f>
        <v>-0.05</v>
      </c>
      <c r="F9" s="473">
        <v>-0.14445278884316587</v>
      </c>
      <c r="G9" s="473">
        <v>-9.8685096600826069E-2</v>
      </c>
      <c r="H9" s="473">
        <v>-5.7025347958055181E-2</v>
      </c>
      <c r="I9" s="473">
        <v>-1.2970160282852519E-2</v>
      </c>
      <c r="J9" s="473">
        <v>5.0019303113985378E-2</v>
      </c>
      <c r="K9" s="473">
        <v>0.12488467393111537</v>
      </c>
      <c r="L9" s="473">
        <v>0.20527820650866435</v>
      </c>
      <c r="X9" s="142"/>
      <c r="Y9" s="142"/>
      <c r="Z9" s="142"/>
      <c r="AA9" s="142"/>
      <c r="AB9" s="142"/>
      <c r="AC9" s="142"/>
      <c r="AD9" s="142"/>
    </row>
    <row r="10" spans="4:30">
      <c r="D10" s="906"/>
      <c r="E10" s="436">
        <v>0</v>
      </c>
      <c r="F10" s="473">
        <v>-0.12891615962622632</v>
      </c>
      <c r="G10" s="473">
        <v>-8.2854247340908058E-2</v>
      </c>
      <c r="H10" s="473">
        <v>-4.1664587019221891E-2</v>
      </c>
      <c r="I10" s="473">
        <v>5.2632745253045413E-4</v>
      </c>
      <c r="J10" s="473">
        <v>6.1348911877363632E-2</v>
      </c>
      <c r="K10" s="473">
        <v>0.13544603854523846</v>
      </c>
      <c r="L10" s="473">
        <v>0.21550293679157753</v>
      </c>
      <c r="X10" s="142"/>
      <c r="Y10" s="142"/>
      <c r="Z10" s="142"/>
      <c r="AA10" s="142"/>
      <c r="AB10" s="142"/>
      <c r="AC10" s="142"/>
      <c r="AD10" s="142"/>
    </row>
    <row r="11" spans="4:30">
      <c r="D11" s="906"/>
      <c r="E11" s="436">
        <f>E10+5%</f>
        <v>0.05</v>
      </c>
      <c r="F11" s="473">
        <v>-0.11306275909608078</v>
      </c>
      <c r="G11" s="473">
        <v>-6.702243113576159E-2</v>
      </c>
      <c r="H11" s="473">
        <v>-2.6213097993807187E-2</v>
      </c>
      <c r="I11" s="473">
        <v>1.4388365565470285E-2</v>
      </c>
      <c r="J11" s="473">
        <v>7.2784260794079444E-2</v>
      </c>
      <c r="K11" s="473">
        <v>0.14612236058199607</v>
      </c>
      <c r="L11" s="473">
        <v>0.22573745204466217</v>
      </c>
      <c r="X11" s="142"/>
      <c r="Y11" s="142"/>
      <c r="Z11" s="142"/>
      <c r="AA11" s="142"/>
      <c r="AB11" s="142"/>
      <c r="AC11" s="142"/>
      <c r="AD11" s="142"/>
    </row>
    <row r="12" spans="4:30">
      <c r="D12" s="906"/>
      <c r="E12" s="436">
        <f>E11+5%</f>
        <v>0.1</v>
      </c>
      <c r="F12" s="473">
        <v>-9.7211685803556269E-2</v>
      </c>
      <c r="G12" s="473">
        <v>-4.9929637549812861E-2</v>
      </c>
      <c r="H12" s="473">
        <v>-1.0656377120495449E-2</v>
      </c>
      <c r="I12" s="473">
        <v>2.869474615522339E-2</v>
      </c>
      <c r="J12" s="473">
        <v>8.4303763743769924E-2</v>
      </c>
      <c r="K12" s="473">
        <v>0.15681000187376154</v>
      </c>
      <c r="L12" s="473">
        <v>0.23602228707196887</v>
      </c>
      <c r="X12" s="142"/>
      <c r="Y12" s="142"/>
      <c r="Z12" s="142"/>
      <c r="AA12" s="142"/>
      <c r="AB12" s="142"/>
      <c r="AC12" s="142"/>
      <c r="AD12" s="142"/>
    </row>
    <row r="13" spans="4:30" ht="15" thickBot="1">
      <c r="D13" s="907"/>
      <c r="E13" s="438">
        <f>E12+5%</f>
        <v>0.15000000000000002</v>
      </c>
      <c r="F13" s="473">
        <v>-8.1363515159227101E-2</v>
      </c>
      <c r="G13" s="473">
        <v>-3.4356250592286454E-2</v>
      </c>
      <c r="H13" s="473">
        <v>4.998300867057234E-3</v>
      </c>
      <c r="I13" s="473">
        <v>4.3133507746505373E-2</v>
      </c>
      <c r="J13" s="473">
        <v>9.6433090647122882E-2</v>
      </c>
      <c r="K13" s="473">
        <v>0.16909791529948354</v>
      </c>
      <c r="L13" s="473">
        <v>0.24630264804715998</v>
      </c>
      <c r="X13" s="142"/>
      <c r="Y13" s="142"/>
      <c r="Z13" s="142"/>
      <c r="AA13" s="142"/>
      <c r="AB13" s="142"/>
      <c r="AC13" s="142"/>
      <c r="AD13" s="142"/>
    </row>
    <row r="14" spans="4:30"/>
    <row r="15" spans="4:30">
      <c r="E15" s="126" t="s">
        <v>79</v>
      </c>
      <c r="F15" s="439">
        <v>0</v>
      </c>
      <c r="H15" s="126" t="s">
        <v>78</v>
      </c>
      <c r="I15" s="440">
        <v>0</v>
      </c>
    </row>
    <row r="16" spans="4:30"/>
    <row r="17" spans="4:20" s="110" customFormat="1">
      <c r="D17" s="441" t="s">
        <v>741</v>
      </c>
      <c r="E17" s="441">
        <v>5</v>
      </c>
      <c r="G17" s="442" t="s">
        <v>742</v>
      </c>
      <c r="H17" s="442">
        <v>1</v>
      </c>
      <c r="I17" s="442">
        <f t="shared" ref="I17:L17" si="0">H17+1</f>
        <v>2</v>
      </c>
      <c r="J17" s="442">
        <f t="shared" si="0"/>
        <v>3</v>
      </c>
      <c r="K17" s="442">
        <f t="shared" si="0"/>
        <v>4</v>
      </c>
      <c r="L17" s="442">
        <f t="shared" si="0"/>
        <v>5</v>
      </c>
      <c r="M17"/>
      <c r="N17"/>
      <c r="O17"/>
      <c r="P17"/>
      <c r="Q17"/>
      <c r="R17"/>
      <c r="S17"/>
      <c r="T17"/>
    </row>
    <row r="18" spans="4:20" s="110" customFormat="1" ht="15.6">
      <c r="D18" s="110" t="str">
        <f>Inputs!C330</f>
        <v xml:space="preserve">TIR Meta </v>
      </c>
      <c r="E18" s="422" cm="1">
        <f t="array" ref="E18:E23">INDEX(H18:$L$23,,$E$17)</f>
        <v>0.1079</v>
      </c>
      <c r="F18" s="266"/>
      <c r="G18" s="110" t="str">
        <f>Inputs!C330</f>
        <v xml:space="preserve">TIR Meta </v>
      </c>
      <c r="H18" s="134">
        <f t="shared" ref="H18:J18" si="1">I18-0.5%</f>
        <v>8.7899999999999978E-2</v>
      </c>
      <c r="I18" s="134">
        <f t="shared" si="1"/>
        <v>9.2899999999999983E-2</v>
      </c>
      <c r="J18" s="134">
        <f t="shared" si="1"/>
        <v>9.7899999999999987E-2</v>
      </c>
      <c r="K18" s="134">
        <f>L18-0.5%</f>
        <v>0.10289999999999999</v>
      </c>
      <c r="L18" s="134">
        <v>0.1079</v>
      </c>
      <c r="M18"/>
      <c r="N18"/>
      <c r="O18" s="134"/>
      <c r="P18"/>
      <c r="Q18"/>
      <c r="R18"/>
      <c r="S18"/>
      <c r="T18"/>
    </row>
    <row r="19" spans="4:20" s="110" customFormat="1" ht="13.8" hidden="1">
      <c r="E19" s="110">
        <v>0</v>
      </c>
    </row>
    <row r="20" spans="4:20" s="110" customFormat="1" ht="13.8" hidden="1">
      <c r="E20" s="110">
        <v>0</v>
      </c>
    </row>
    <row r="21" spans="4:20" s="110" customFormat="1" ht="13.8" hidden="1">
      <c r="E21" s="110">
        <v>0</v>
      </c>
    </row>
    <row r="22" spans="4:20" s="110" customFormat="1" ht="13.8" hidden="1">
      <c r="E22" s="110">
        <v>0</v>
      </c>
    </row>
    <row r="23" spans="4:20" s="110" customFormat="1" ht="13.8" hidden="1">
      <c r="E23" s="110">
        <v>0</v>
      </c>
    </row>
    <row r="24" spans="4:20" s="110" customFormat="1" ht="13.8"/>
    <row r="25" spans="4:20" s="110" customFormat="1" ht="13.8"/>
    <row r="26" spans="4:20" s="110" customFormat="1" ht="42.6" customHeight="1">
      <c r="F26" s="139"/>
      <c r="G26" s="443" t="s">
        <v>7</v>
      </c>
      <c r="H26" s="443" t="s">
        <v>743</v>
      </c>
      <c r="I26" s="444" t="s">
        <v>744</v>
      </c>
      <c r="J26"/>
    </row>
    <row r="27" spans="4:20" s="110" customFormat="1" ht="6" customHeight="1">
      <c r="F27" s="139"/>
      <c r="G27" s="138">
        <f>E17</f>
        <v>5</v>
      </c>
      <c r="H27" s="138">
        <f>E18</f>
        <v>0.1079</v>
      </c>
      <c r="I27" s="138">
        <f>Aumento_real</f>
        <v>0.40350000000000003</v>
      </c>
      <c r="J27"/>
    </row>
    <row r="28" spans="4:20" s="110" customFormat="1">
      <c r="F28" s="138">
        <v>1</v>
      </c>
      <c r="G28" s="137">
        <v>1</v>
      </c>
      <c r="H28" s="473">
        <f>H18</f>
        <v>8.7899999999999978E-2</v>
      </c>
      <c r="I28" s="472">
        <v>0.27524785234899324</v>
      </c>
      <c r="J28"/>
    </row>
    <row r="29" spans="4:20" s="110" customFormat="1">
      <c r="F29" s="138">
        <f>F28+1</f>
        <v>2</v>
      </c>
      <c r="G29" s="137">
        <v>2</v>
      </c>
      <c r="H29" s="473">
        <f>I18</f>
        <v>9.2899999999999983E-2</v>
      </c>
      <c r="I29" s="472">
        <v>0.2950783892617449</v>
      </c>
      <c r="J29"/>
    </row>
    <row r="30" spans="4:20" s="110" customFormat="1">
      <c r="F30" s="138">
        <f>F29+1</f>
        <v>3</v>
      </c>
      <c r="G30" s="137">
        <v>3</v>
      </c>
      <c r="H30" s="473">
        <f>J18</f>
        <v>9.7899999999999987E-2</v>
      </c>
      <c r="I30" s="472">
        <v>0.31490892617449662</v>
      </c>
      <c r="J30"/>
    </row>
    <row r="31" spans="4:20" s="110" customFormat="1">
      <c r="F31" s="138">
        <f>F30+1</f>
        <v>4</v>
      </c>
      <c r="G31" s="137">
        <v>4</v>
      </c>
      <c r="H31" s="473">
        <f>K18</f>
        <v>0.10289999999999999</v>
      </c>
      <c r="I31" s="472">
        <v>0.33473946308724828</v>
      </c>
      <c r="J31"/>
    </row>
    <row r="32" spans="4:20" s="110" customFormat="1">
      <c r="F32" s="138">
        <f>F31+1</f>
        <v>5</v>
      </c>
      <c r="G32" s="137">
        <v>5</v>
      </c>
      <c r="H32" s="473">
        <f>L18</f>
        <v>0.1079</v>
      </c>
      <c r="I32" s="472">
        <v>0.35457</v>
      </c>
      <c r="J32"/>
    </row>
    <row r="33" spans="6:6" s="110" customFormat="1" ht="13.8">
      <c r="F33" s="135"/>
    </row>
    <row r="34" spans="6:6" s="110" customFormat="1">
      <c r="F34"/>
    </row>
    <row r="35" spans="6:6" s="110" customFormat="1" ht="13.8">
      <c r="F35" s="136" t="s">
        <v>745</v>
      </c>
    </row>
    <row r="36" spans="6:6" s="110" customFormat="1">
      <c r="F36">
        <f>MAX(F28:F32)</f>
        <v>5</v>
      </c>
    </row>
    <row r="37" spans="6:6" s="110" customFormat="1" ht="13.8"/>
    <row r="38" spans="6:6" s="110" customFormat="1" ht="13.8"/>
    <row r="39" spans="6:6" s="110" customFormat="1" ht="13.8"/>
    <row r="40" spans="6:6" s="110" customFormat="1" ht="13.8"/>
    <row r="41" spans="6:6"/>
    <row r="42" spans="6:6"/>
    <row r="43" spans="6:6"/>
    <row r="44" spans="6:6"/>
    <row r="45" spans="6:6"/>
    <row r="46" spans="6:6"/>
    <row r="47" spans="6:6"/>
    <row r="48" spans="6:6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</sheetData>
  <mergeCells count="2">
    <mergeCell ref="D4:L4"/>
    <mergeCell ref="D6:D13"/>
  </mergeCells>
  <dataValidations disablePrompts="1" count="1">
    <dataValidation type="list" allowBlank="1" showInputMessage="1" showErrorMessage="1" sqref="E17" xr:uid="{9421D894-7480-4CF8-A85F-ACC83163E7EF}">
      <formula1>$H$17:$T$17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3489" r:id="rId4" name="Button 1">
              <controlPr defaultSize="0" print="0" autoFill="0" autoPict="0" macro="[0]!Sensibilidade_CP_OPEX_CaPeX">
                <anchor moveWithCells="1" sizeWithCells="1">
                  <from>
                    <xdr:col>9</xdr:col>
                    <xdr:colOff>487680</xdr:colOff>
                    <xdr:row>14</xdr:row>
                    <xdr:rowOff>0</xdr:rowOff>
                  </from>
                  <to>
                    <xdr:col>11</xdr:col>
                    <xdr:colOff>601980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93" r:id="rId5" name="Button 5">
              <controlPr defaultSize="0" print="0" autoFill="0" autoPict="0" macro="[0]!Sensibilidade_TIR">
                <anchor moveWithCells="1" sizeWithCells="1">
                  <from>
                    <xdr:col>11</xdr:col>
                    <xdr:colOff>182880</xdr:colOff>
                    <xdr:row>24</xdr:row>
                    <xdr:rowOff>137160</xdr:rowOff>
                  </from>
                  <to>
                    <xdr:col>13</xdr:col>
                    <xdr:colOff>480060</xdr:colOff>
                    <xdr:row>27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3C79D-52C7-4B64-B2B9-442A43F72CD3}">
  <sheetPr codeName="Sheet5">
    <tabColor rgb="FF00A3A1"/>
  </sheetPr>
  <dimension ref="A1:DI16"/>
  <sheetViews>
    <sheetView showGridLines="0" workbookViewId="0">
      <selection activeCell="B11" sqref="B11"/>
    </sheetView>
  </sheetViews>
  <sheetFormatPr defaultColWidth="0" defaultRowHeight="15.6"/>
  <cols>
    <col min="1" max="1" width="14.33203125" style="1" bestFit="1" customWidth="1"/>
    <col min="2" max="2" width="25.44140625" style="1" bestFit="1" customWidth="1"/>
    <col min="3" max="3" width="14.6640625" style="4" bestFit="1" customWidth="1"/>
    <col min="4" max="4" width="12.33203125" style="1" bestFit="1" customWidth="1"/>
    <col min="5" max="5" width="14.5546875" style="1" customWidth="1"/>
    <col min="6" max="6" width="13.6640625" style="1" bestFit="1" customWidth="1"/>
    <col min="7" max="7" width="12.33203125" style="1" bestFit="1" customWidth="1"/>
    <col min="8" max="8" width="10.5546875" style="1" bestFit="1" customWidth="1"/>
    <col min="9" max="105" width="4.44140625" style="1" bestFit="1" customWidth="1"/>
    <col min="106" max="106" width="8.6640625" style="1" bestFit="1" customWidth="1"/>
    <col min="107" max="107" width="9.33203125" style="1" bestFit="1" customWidth="1"/>
    <col min="108" max="110" width="8.6640625" style="1" bestFit="1" customWidth="1"/>
    <col min="111" max="111" width="9.33203125" style="1" bestFit="1" customWidth="1"/>
    <col min="112" max="112" width="8.6640625" style="1" customWidth="1"/>
    <col min="113" max="113" width="8.6640625" style="1" bestFit="1" customWidth="1"/>
    <col min="114" max="16384" width="8.6640625" style="1" hidden="1"/>
  </cols>
  <sheetData>
    <row r="1" spans="1:113" s="120" customFormat="1">
      <c r="A1" s="386" t="s">
        <v>746</v>
      </c>
      <c r="B1" s="386"/>
      <c r="C1" s="445"/>
      <c r="D1" s="445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6"/>
      <c r="AD1" s="386"/>
      <c r="AE1" s="386"/>
      <c r="AF1" s="386"/>
      <c r="AG1" s="386"/>
      <c r="AH1" s="386"/>
      <c r="AI1" s="386"/>
      <c r="AJ1" s="386"/>
      <c r="AK1" s="386"/>
      <c r="AL1" s="386"/>
      <c r="AM1" s="386"/>
      <c r="AN1" s="386"/>
      <c r="AO1" s="386"/>
      <c r="AP1" s="386"/>
      <c r="AQ1" s="386"/>
      <c r="AR1" s="386"/>
      <c r="AS1" s="386"/>
      <c r="AT1" s="386"/>
      <c r="AU1" s="386"/>
      <c r="AV1" s="386"/>
      <c r="AW1" s="386"/>
      <c r="AX1" s="386"/>
      <c r="AY1" s="386"/>
      <c r="AZ1" s="386"/>
      <c r="BA1" s="386"/>
      <c r="BB1" s="386"/>
      <c r="BC1" s="386"/>
      <c r="BD1" s="386"/>
      <c r="BE1" s="386"/>
      <c r="BF1" s="386"/>
      <c r="BG1" s="386"/>
      <c r="BH1" s="386"/>
      <c r="BI1" s="386"/>
      <c r="BJ1" s="386"/>
      <c r="BK1" s="386"/>
      <c r="BL1" s="386"/>
      <c r="BM1" s="386"/>
      <c r="BN1" s="386"/>
      <c r="BO1" s="386"/>
      <c r="BP1" s="386"/>
      <c r="BQ1" s="386"/>
      <c r="BR1" s="386"/>
      <c r="BS1" s="386"/>
      <c r="BT1" s="386"/>
      <c r="BU1" s="386"/>
      <c r="BV1" s="386"/>
      <c r="BW1" s="386"/>
      <c r="BX1" s="386"/>
      <c r="BY1" s="386"/>
      <c r="BZ1" s="386"/>
      <c r="CA1" s="386"/>
      <c r="CB1" s="386"/>
      <c r="CC1" s="386"/>
      <c r="CD1" s="386"/>
      <c r="CE1" s="386"/>
      <c r="CF1" s="386"/>
      <c r="CG1" s="386"/>
      <c r="CH1" s="386"/>
      <c r="CI1" s="386"/>
      <c r="CJ1" s="386"/>
      <c r="CK1" s="386"/>
      <c r="CL1" s="386"/>
      <c r="CM1" s="386"/>
      <c r="CN1" s="386"/>
      <c r="CO1" s="386"/>
      <c r="CP1" s="386"/>
      <c r="CQ1" s="386"/>
      <c r="CR1" s="386"/>
      <c r="CS1" s="386"/>
      <c r="CT1" s="386"/>
      <c r="CU1" s="386"/>
      <c r="CV1" s="386"/>
      <c r="CW1" s="386"/>
      <c r="CX1" s="386"/>
      <c r="CY1" s="386"/>
      <c r="CZ1" s="386"/>
      <c r="DA1" s="386"/>
      <c r="DB1" s="386"/>
      <c r="DC1" s="386"/>
      <c r="DD1" s="386"/>
      <c r="DE1" s="386"/>
      <c r="DF1" s="386"/>
      <c r="DG1" s="386"/>
      <c r="DH1" s="386"/>
      <c r="DI1" s="386"/>
    </row>
    <row r="2" spans="1:113">
      <c r="A2" s="266"/>
      <c r="B2" s="266"/>
      <c r="D2" s="266"/>
      <c r="E2" s="362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6"/>
      <c r="AD2" s="266"/>
      <c r="AE2" s="266"/>
      <c r="AF2" s="266"/>
      <c r="AG2" s="266"/>
      <c r="AH2" s="266"/>
      <c r="AI2" s="266"/>
      <c r="AJ2" s="266"/>
      <c r="AK2" s="266"/>
      <c r="AL2" s="266"/>
      <c r="AM2" s="266"/>
      <c r="AN2" s="266"/>
      <c r="AO2" s="266"/>
      <c r="AP2" s="266"/>
      <c r="AQ2" s="266"/>
      <c r="AR2" s="266"/>
      <c r="AS2" s="266"/>
      <c r="AT2" s="266"/>
      <c r="AU2" s="266"/>
      <c r="AV2" s="266"/>
      <c r="AW2" s="266"/>
      <c r="AX2" s="266"/>
      <c r="AY2" s="266"/>
      <c r="AZ2" s="266"/>
      <c r="BA2" s="266"/>
      <c r="BB2" s="266"/>
      <c r="BC2" s="266"/>
      <c r="BD2" s="266"/>
      <c r="BE2" s="266"/>
      <c r="BF2" s="266"/>
      <c r="BG2" s="266"/>
      <c r="BH2" s="266"/>
      <c r="BI2" s="266"/>
      <c r="BJ2" s="266"/>
      <c r="BK2" s="266"/>
      <c r="BL2" s="266"/>
      <c r="BM2" s="266"/>
      <c r="BN2" s="266"/>
      <c r="BO2" s="266"/>
      <c r="BP2" s="266"/>
      <c r="BQ2" s="266"/>
      <c r="BR2" s="266"/>
      <c r="BS2" s="266"/>
      <c r="BT2" s="266"/>
      <c r="BU2" s="266"/>
      <c r="BV2" s="266"/>
      <c r="BW2" s="266"/>
      <c r="BX2" s="266"/>
      <c r="BY2" s="266"/>
      <c r="BZ2" s="266"/>
      <c r="CA2" s="266"/>
      <c r="CB2" s="266"/>
      <c r="CC2" s="266"/>
      <c r="CD2" s="266"/>
      <c r="CE2" s="266"/>
      <c r="CF2" s="266"/>
      <c r="CG2" s="266"/>
      <c r="CH2" s="266"/>
      <c r="CI2" s="266"/>
      <c r="CJ2" s="266"/>
      <c r="CK2" s="266"/>
      <c r="CL2" s="266"/>
      <c r="CM2" s="266"/>
      <c r="CN2" s="266"/>
      <c r="CO2" s="266"/>
      <c r="CP2" s="266"/>
      <c r="CQ2" s="266"/>
      <c r="CR2" s="266"/>
      <c r="CS2" s="266"/>
      <c r="CT2" s="266"/>
      <c r="CU2" s="266"/>
      <c r="CV2" s="266"/>
      <c r="CW2" s="266"/>
      <c r="CX2" s="266"/>
      <c r="CY2" s="266"/>
      <c r="CZ2" s="266"/>
      <c r="DA2" s="266"/>
      <c r="DB2" s="266"/>
      <c r="DC2" s="266"/>
      <c r="DD2" s="266"/>
      <c r="DE2" s="266"/>
      <c r="DF2" s="266"/>
      <c r="DG2" s="266"/>
      <c r="DH2" s="266"/>
      <c r="DI2" s="266"/>
    </row>
    <row r="4" spans="1:113">
      <c r="A4" s="266"/>
      <c r="B4" s="3"/>
      <c r="C4" s="87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266"/>
      <c r="T4" s="266"/>
      <c r="U4" s="266"/>
      <c r="V4" s="266"/>
      <c r="W4" s="266"/>
      <c r="X4" s="266"/>
      <c r="Y4" s="266"/>
      <c r="Z4" s="266"/>
      <c r="AA4" s="266"/>
      <c r="AB4" s="266"/>
      <c r="AC4" s="266"/>
      <c r="AD4" s="266"/>
      <c r="AE4" s="266"/>
      <c r="AF4" s="266"/>
      <c r="AG4" s="266"/>
      <c r="AH4" s="266"/>
      <c r="AI4" s="266"/>
      <c r="AJ4" s="266"/>
      <c r="AK4" s="266"/>
      <c r="AL4" s="266"/>
      <c r="AM4" s="266"/>
      <c r="AN4" s="266"/>
      <c r="AO4" s="266"/>
      <c r="AP4" s="266"/>
      <c r="AQ4" s="266"/>
      <c r="AR4" s="266"/>
      <c r="AS4" s="266"/>
      <c r="AT4" s="266"/>
      <c r="AU4" s="266"/>
      <c r="AV4" s="266"/>
      <c r="AW4" s="266"/>
      <c r="AX4" s="266"/>
      <c r="AY4" s="266"/>
      <c r="AZ4" s="266"/>
      <c r="BA4" s="266"/>
      <c r="BB4" s="266"/>
      <c r="BC4" s="266"/>
      <c r="BD4" s="266"/>
      <c r="BE4" s="266"/>
      <c r="BF4" s="266"/>
      <c r="BG4" s="266"/>
      <c r="BH4" s="266"/>
      <c r="BI4" s="266"/>
      <c r="BJ4" s="266"/>
      <c r="BK4" s="266"/>
      <c r="BL4" s="266"/>
      <c r="BM4" s="266"/>
      <c r="BN4" s="266"/>
      <c r="BO4" s="266"/>
      <c r="BP4" s="266"/>
      <c r="BQ4" s="266"/>
      <c r="BR4" s="266"/>
      <c r="BS4" s="266"/>
      <c r="BT4" s="266"/>
      <c r="BU4" s="266"/>
      <c r="BV4" s="266"/>
      <c r="BW4" s="266"/>
      <c r="BX4" s="266"/>
      <c r="BY4" s="266"/>
      <c r="BZ4" s="266"/>
      <c r="CA4" s="266"/>
      <c r="CB4" s="266"/>
      <c r="CC4" s="266"/>
      <c r="CD4" s="266"/>
      <c r="CE4" s="266"/>
      <c r="CF4" s="266"/>
      <c r="CG4" s="266"/>
      <c r="CH4" s="266"/>
      <c r="CI4" s="266"/>
      <c r="CJ4" s="266"/>
      <c r="CK4" s="266"/>
      <c r="CL4" s="266"/>
      <c r="CM4" s="266"/>
      <c r="CN4" s="266"/>
      <c r="CO4" s="266"/>
      <c r="CP4" s="266"/>
      <c r="CQ4" s="266"/>
      <c r="CR4" s="266"/>
      <c r="CS4" s="266"/>
      <c r="CT4" s="266"/>
      <c r="CU4" s="266"/>
      <c r="CV4" s="266"/>
      <c r="CW4" s="266"/>
      <c r="CX4" s="266"/>
      <c r="CY4" s="266"/>
      <c r="CZ4" s="266"/>
      <c r="DA4" s="266"/>
      <c r="DB4" s="266"/>
      <c r="DC4" s="266"/>
      <c r="DD4" s="266"/>
      <c r="DE4" s="266"/>
      <c r="DF4" s="266"/>
      <c r="DG4" s="266"/>
      <c r="DH4" s="266"/>
      <c r="DI4" s="266"/>
    </row>
    <row r="6" spans="1:113" ht="16.2" thickBot="1">
      <c r="A6" s="266"/>
      <c r="B6" s="11" t="s">
        <v>524</v>
      </c>
      <c r="D6" s="446" t="s">
        <v>747</v>
      </c>
      <c r="E6" s="408" t="s">
        <v>748</v>
      </c>
      <c r="F6" s="447" t="s">
        <v>749</v>
      </c>
      <c r="G6" s="266"/>
      <c r="H6" s="266"/>
      <c r="I6" s="266"/>
      <c r="J6" s="266"/>
      <c r="K6" s="266"/>
      <c r="L6" s="266"/>
      <c r="M6" s="266"/>
      <c r="N6" s="266"/>
      <c r="O6" s="266"/>
      <c r="P6" s="266"/>
      <c r="Q6" s="266"/>
      <c r="R6" s="266"/>
      <c r="S6" s="266"/>
      <c r="T6" s="266"/>
      <c r="U6" s="266"/>
      <c r="V6" s="266"/>
      <c r="W6" s="266"/>
      <c r="X6" s="266"/>
      <c r="Y6" s="266"/>
      <c r="Z6" s="266"/>
      <c r="AA6" s="266"/>
      <c r="AB6" s="266"/>
      <c r="AC6" s="266"/>
      <c r="AD6" s="266"/>
      <c r="AE6" s="266"/>
      <c r="AF6" s="266"/>
      <c r="AG6" s="266"/>
      <c r="AH6" s="266"/>
      <c r="AI6" s="266"/>
      <c r="AJ6" s="266"/>
      <c r="AK6" s="266"/>
      <c r="AL6" s="266"/>
      <c r="AM6" s="266"/>
      <c r="AN6" s="266"/>
      <c r="AO6" s="266"/>
      <c r="AP6" s="266"/>
      <c r="AQ6" s="266"/>
      <c r="AR6" s="266"/>
      <c r="AS6" s="266"/>
      <c r="AT6" s="266"/>
      <c r="AU6" s="266"/>
      <c r="AV6" s="266"/>
      <c r="AW6" s="266"/>
      <c r="AX6" s="266"/>
      <c r="AY6" s="266"/>
      <c r="AZ6" s="266"/>
      <c r="BA6" s="266"/>
      <c r="BB6" s="266"/>
      <c r="BC6" s="266"/>
      <c r="BD6" s="266"/>
      <c r="BE6" s="266"/>
      <c r="BF6" s="266"/>
      <c r="BG6" s="266"/>
      <c r="BH6" s="266"/>
      <c r="BI6" s="266"/>
      <c r="BJ6" s="266"/>
      <c r="BK6" s="266"/>
      <c r="BL6" s="266"/>
      <c r="BM6" s="266"/>
      <c r="BN6" s="266"/>
      <c r="BO6" s="266"/>
      <c r="BP6" s="266"/>
      <c r="BQ6" s="266"/>
      <c r="BR6" s="266"/>
      <c r="BS6" s="266"/>
      <c r="BT6" s="266"/>
      <c r="BU6" s="266"/>
      <c r="BV6" s="266"/>
      <c r="BW6" s="266"/>
      <c r="BX6" s="266"/>
      <c r="BY6" s="266"/>
      <c r="BZ6" s="266"/>
      <c r="CA6" s="266"/>
      <c r="CB6" s="266"/>
      <c r="CC6" s="266"/>
      <c r="CD6" s="266"/>
      <c r="CE6" s="266"/>
      <c r="CF6" s="266"/>
      <c r="CG6" s="266"/>
      <c r="CH6" s="266"/>
      <c r="CI6" s="266"/>
      <c r="CJ6" s="266"/>
      <c r="CK6" s="266"/>
      <c r="CL6" s="266"/>
      <c r="CM6" s="266"/>
      <c r="CN6" s="266"/>
      <c r="CO6" s="266"/>
      <c r="CP6" s="266"/>
      <c r="CQ6" s="266"/>
      <c r="CR6" s="266"/>
      <c r="CS6" s="266"/>
      <c r="CT6" s="266"/>
      <c r="CU6" s="266"/>
      <c r="CV6" s="266"/>
      <c r="CW6" s="266"/>
      <c r="CX6" s="266"/>
      <c r="CY6" s="266"/>
      <c r="CZ6" s="266"/>
      <c r="DA6" s="266"/>
      <c r="DB6" s="266"/>
      <c r="DC6" s="266"/>
      <c r="DD6" s="266"/>
      <c r="DE6" s="266"/>
      <c r="DF6" s="266"/>
      <c r="DG6" s="266"/>
      <c r="DH6" s="266"/>
      <c r="DI6" s="266"/>
    </row>
    <row r="7" spans="1:113" ht="16.2" thickBot="1">
      <c r="A7" s="266"/>
      <c r="B7" s="266" t="s">
        <v>21</v>
      </c>
      <c r="C7" s="69"/>
      <c r="D7" s="506">
        <f ca="1">E11</f>
        <v>0.10790613293647766</v>
      </c>
      <c r="E7" s="506">
        <v>0.1003105461597443</v>
      </c>
      <c r="F7" s="469">
        <f ca="1">E7-D7</f>
        <v>-7.5955867767333596E-3</v>
      </c>
      <c r="G7" s="266"/>
      <c r="H7" s="266"/>
      <c r="I7" s="266"/>
      <c r="J7" s="266"/>
      <c r="K7" s="266"/>
      <c r="L7" s="266"/>
      <c r="M7" s="266"/>
      <c r="N7" s="266"/>
      <c r="O7" s="266"/>
      <c r="P7" s="266"/>
      <c r="Q7" s="266"/>
      <c r="R7" s="266"/>
      <c r="S7" s="266"/>
      <c r="T7" s="266"/>
      <c r="U7" s="266"/>
      <c r="V7" s="266"/>
      <c r="W7" s="266"/>
      <c r="X7" s="266"/>
      <c r="Y7" s="266"/>
      <c r="Z7" s="266"/>
      <c r="AA7" s="266"/>
      <c r="AB7" s="266"/>
      <c r="AC7" s="266"/>
      <c r="AD7" s="266"/>
      <c r="AE7" s="266"/>
      <c r="AF7" s="266"/>
      <c r="AG7" s="266"/>
      <c r="AH7" s="266"/>
      <c r="AI7" s="266"/>
      <c r="AJ7" s="266"/>
      <c r="AK7" s="266"/>
      <c r="AL7" s="266"/>
      <c r="AM7" s="266"/>
      <c r="AN7" s="266"/>
      <c r="AO7" s="266"/>
      <c r="AP7" s="266"/>
      <c r="AQ7" s="266"/>
      <c r="AR7" s="266"/>
      <c r="AS7" s="266"/>
      <c r="AT7" s="266"/>
      <c r="AU7" s="266"/>
      <c r="AV7" s="266"/>
      <c r="AW7" s="266"/>
      <c r="AX7" s="266"/>
      <c r="AY7" s="266"/>
      <c r="AZ7" s="266"/>
      <c r="BA7" s="266"/>
      <c r="BB7" s="266"/>
      <c r="BC7" s="266"/>
      <c r="BD7" s="266"/>
      <c r="BE7" s="266"/>
      <c r="BF7" s="266"/>
      <c r="BG7" s="266"/>
      <c r="BH7" s="266"/>
      <c r="BI7" s="266"/>
      <c r="BJ7" s="266"/>
      <c r="BK7" s="266"/>
      <c r="BL7" s="266"/>
      <c r="BM7" s="266"/>
      <c r="BN7" s="266"/>
      <c r="BO7" s="266"/>
      <c r="BP7" s="266"/>
      <c r="BQ7" s="266"/>
      <c r="BR7" s="266"/>
      <c r="BS7" s="266"/>
      <c r="BT7" s="266"/>
      <c r="BU7" s="266"/>
      <c r="BV7" s="266"/>
      <c r="BW7" s="266"/>
      <c r="BX7" s="266"/>
      <c r="BY7" s="266"/>
      <c r="BZ7" s="266"/>
      <c r="CA7" s="266"/>
      <c r="CB7" s="266"/>
      <c r="CC7" s="266"/>
      <c r="CD7" s="266"/>
      <c r="CE7" s="266"/>
      <c r="CF7" s="266"/>
      <c r="CG7" s="266"/>
      <c r="CH7" s="266"/>
      <c r="CI7" s="266"/>
      <c r="CJ7" s="266"/>
      <c r="CK7" s="266"/>
      <c r="CL7" s="266"/>
      <c r="CM7" s="266"/>
      <c r="CN7" s="266"/>
      <c r="CO7" s="266"/>
      <c r="CP7" s="266"/>
      <c r="CQ7" s="266"/>
      <c r="CR7" s="266"/>
      <c r="CS7" s="266"/>
      <c r="CT7" s="266"/>
      <c r="CU7" s="266"/>
      <c r="CV7" s="266"/>
      <c r="CW7" s="266"/>
      <c r="CX7" s="266"/>
      <c r="CY7" s="266"/>
      <c r="CZ7" s="266"/>
      <c r="DA7" s="266"/>
      <c r="DB7" s="266"/>
      <c r="DC7" s="266"/>
      <c r="DD7" s="266"/>
      <c r="DE7" s="266"/>
      <c r="DF7" s="266"/>
      <c r="DG7" s="266"/>
      <c r="DH7" s="266"/>
      <c r="DI7" s="266"/>
    </row>
    <row r="8" spans="1:113">
      <c r="A8" s="266"/>
      <c r="B8" s="266"/>
      <c r="D8" s="363"/>
      <c r="E8" s="363" t="s">
        <v>750</v>
      </c>
      <c r="F8" s="278">
        <f ca="1">ROUND(SUM(F7:F7),0)</f>
        <v>0</v>
      </c>
      <c r="G8" s="266"/>
      <c r="H8" s="266"/>
      <c r="I8" s="266"/>
      <c r="J8" s="266"/>
      <c r="K8" s="266"/>
      <c r="L8" s="266"/>
      <c r="M8" s="266"/>
      <c r="N8" s="266"/>
      <c r="O8" s="266"/>
      <c r="P8" s="266"/>
      <c r="Q8" s="266"/>
      <c r="R8" s="266"/>
      <c r="S8" s="266"/>
      <c r="T8" s="266"/>
      <c r="U8" s="266"/>
      <c r="V8" s="266"/>
      <c r="W8" s="266"/>
      <c r="X8" s="266"/>
      <c r="Y8" s="266"/>
      <c r="Z8" s="266"/>
      <c r="AA8" s="266"/>
      <c r="AB8" s="266"/>
      <c r="AC8" s="266"/>
      <c r="AD8" s="266"/>
      <c r="AE8" s="266"/>
      <c r="AF8" s="266"/>
      <c r="AG8" s="266"/>
      <c r="AH8" s="266"/>
      <c r="AI8" s="266"/>
      <c r="AJ8" s="266"/>
      <c r="AK8" s="266"/>
      <c r="AL8" s="266"/>
      <c r="AM8" s="266"/>
      <c r="AN8" s="266"/>
      <c r="AO8" s="266"/>
      <c r="AP8" s="266"/>
      <c r="AQ8" s="266"/>
      <c r="AR8" s="266"/>
      <c r="AS8" s="266"/>
      <c r="AT8" s="266"/>
      <c r="AU8" s="266"/>
      <c r="AV8" s="266"/>
      <c r="AW8" s="266"/>
      <c r="AX8" s="266"/>
      <c r="AY8" s="266"/>
      <c r="AZ8" s="266"/>
      <c r="BA8" s="266"/>
      <c r="BB8" s="266"/>
      <c r="BC8" s="266"/>
      <c r="BD8" s="266"/>
      <c r="BE8" s="266"/>
      <c r="BF8" s="266"/>
      <c r="BG8" s="266"/>
      <c r="BH8" s="266"/>
      <c r="BI8" s="266"/>
      <c r="BJ8" s="266"/>
      <c r="BK8" s="266"/>
      <c r="BL8" s="266"/>
      <c r="BM8" s="266"/>
      <c r="BN8" s="266"/>
      <c r="BO8" s="266"/>
      <c r="BP8" s="266"/>
      <c r="BQ8" s="266"/>
      <c r="BR8" s="266"/>
      <c r="BS8" s="266"/>
      <c r="BT8" s="266"/>
      <c r="BU8" s="266"/>
      <c r="BV8" s="266"/>
      <c r="BW8" s="266"/>
      <c r="BX8" s="266"/>
      <c r="BY8" s="266"/>
      <c r="BZ8" s="266"/>
      <c r="CA8" s="266"/>
      <c r="CB8" s="266"/>
      <c r="CC8" s="266"/>
      <c r="CD8" s="266"/>
      <c r="CE8" s="266"/>
      <c r="CF8" s="266"/>
      <c r="CG8" s="266"/>
      <c r="CH8" s="266"/>
      <c r="CI8" s="266"/>
      <c r="CJ8" s="266"/>
      <c r="CK8" s="266"/>
      <c r="CL8" s="266"/>
      <c r="CM8" s="266"/>
      <c r="CN8" s="266"/>
      <c r="CO8" s="266"/>
      <c r="CP8" s="266"/>
      <c r="CQ8" s="266"/>
      <c r="CR8" s="266"/>
      <c r="CS8" s="266"/>
      <c r="CT8" s="266"/>
      <c r="CU8" s="266"/>
      <c r="CV8" s="266"/>
      <c r="CW8" s="266"/>
      <c r="CX8" s="266"/>
      <c r="CY8" s="266"/>
      <c r="CZ8" s="266"/>
      <c r="DA8" s="266"/>
      <c r="DB8" s="266"/>
      <c r="DC8" s="266"/>
      <c r="DD8" s="266"/>
      <c r="DE8" s="266"/>
      <c r="DF8" s="266"/>
      <c r="DG8" s="266"/>
      <c r="DH8" s="266"/>
      <c r="DI8" s="266"/>
    </row>
    <row r="9" spans="1:113">
      <c r="A9" s="266"/>
      <c r="B9" s="266"/>
      <c r="D9" s="363"/>
      <c r="E9" s="363"/>
      <c r="F9" s="266"/>
      <c r="G9" s="266"/>
      <c r="H9" s="266"/>
      <c r="I9" s="266"/>
      <c r="J9" s="266"/>
      <c r="K9" s="266"/>
      <c r="L9" s="266"/>
      <c r="M9" s="266"/>
      <c r="N9" s="266"/>
      <c r="O9" s="266"/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66"/>
      <c r="AD9" s="266"/>
      <c r="AE9" s="266"/>
      <c r="AF9" s="266"/>
      <c r="AG9" s="266"/>
      <c r="AH9" s="266"/>
      <c r="AI9" s="266"/>
      <c r="AJ9" s="266"/>
      <c r="AK9" s="266"/>
      <c r="AL9" s="266"/>
      <c r="AM9" s="266"/>
      <c r="AN9" s="266"/>
      <c r="AO9" s="266"/>
      <c r="AP9" s="266"/>
      <c r="AQ9" s="266"/>
      <c r="AR9" s="266"/>
      <c r="AS9" s="266"/>
      <c r="AT9" s="266"/>
      <c r="AU9" s="266"/>
      <c r="AV9" s="266"/>
      <c r="AW9" s="266"/>
      <c r="AX9" s="266"/>
      <c r="AY9" s="266"/>
      <c r="AZ9" s="266"/>
      <c r="BA9" s="266"/>
      <c r="BB9" s="266"/>
      <c r="BC9" s="266"/>
      <c r="BD9" s="266"/>
      <c r="BE9" s="266"/>
      <c r="BF9" s="266"/>
      <c r="BG9" s="266"/>
      <c r="BH9" s="266"/>
      <c r="BI9" s="266"/>
      <c r="BJ9" s="266"/>
      <c r="BK9" s="266"/>
      <c r="BL9" s="266"/>
      <c r="BM9" s="266"/>
      <c r="BN9" s="266"/>
      <c r="BO9" s="266"/>
      <c r="BP9" s="266"/>
      <c r="BQ9" s="266"/>
      <c r="BR9" s="266"/>
      <c r="BS9" s="266"/>
      <c r="BT9" s="266"/>
      <c r="BU9" s="266"/>
      <c r="BV9" s="266"/>
      <c r="BW9" s="266"/>
      <c r="BX9" s="266"/>
      <c r="BY9" s="266"/>
      <c r="BZ9" s="266"/>
      <c r="CA9" s="266"/>
      <c r="CB9" s="266"/>
      <c r="CC9" s="266"/>
      <c r="CD9" s="266"/>
      <c r="CE9" s="266"/>
      <c r="CF9" s="266"/>
      <c r="CG9" s="266"/>
      <c r="CH9" s="266"/>
      <c r="CI9" s="266"/>
      <c r="CJ9" s="266"/>
      <c r="CK9" s="266"/>
      <c r="CL9" s="266"/>
      <c r="CM9" s="266"/>
      <c r="CN9" s="266"/>
      <c r="CO9" s="266"/>
      <c r="CP9" s="266"/>
      <c r="CQ9" s="266"/>
      <c r="CR9" s="266"/>
      <c r="CS9" s="266"/>
      <c r="CT9" s="266"/>
      <c r="CU9" s="266"/>
      <c r="CV9" s="266"/>
      <c r="CW9" s="266"/>
      <c r="CX9" s="266"/>
      <c r="CY9" s="266"/>
      <c r="CZ9" s="266"/>
      <c r="DA9" s="266"/>
      <c r="DB9" s="266"/>
      <c r="DC9" s="266"/>
      <c r="DD9" s="266"/>
      <c r="DE9" s="266"/>
      <c r="DF9" s="266"/>
      <c r="DG9" s="266"/>
      <c r="DH9" s="266"/>
      <c r="DI9" s="266"/>
    </row>
    <row r="10" spans="1:113" ht="16.2" thickBot="1">
      <c r="A10" s="266"/>
      <c r="B10" s="11" t="s">
        <v>751</v>
      </c>
      <c r="D10" s="448" t="s">
        <v>747</v>
      </c>
      <c r="E10" s="449" t="s">
        <v>748</v>
      </c>
      <c r="F10" s="447" t="s">
        <v>749</v>
      </c>
      <c r="G10" s="266"/>
      <c r="H10" s="266"/>
      <c r="I10" s="266"/>
      <c r="J10" s="266"/>
      <c r="K10" s="266"/>
      <c r="L10" s="266"/>
      <c r="M10" s="266"/>
      <c r="N10" s="266"/>
      <c r="O10" s="266"/>
      <c r="P10" s="266"/>
      <c r="Q10" s="266"/>
      <c r="R10" s="266"/>
      <c r="S10" s="266"/>
      <c r="T10" s="266"/>
      <c r="U10" s="266"/>
      <c r="V10" s="266"/>
      <c r="W10" s="266"/>
      <c r="X10" s="266"/>
      <c r="Y10" s="266"/>
      <c r="Z10" s="266"/>
      <c r="AA10" s="266"/>
      <c r="AB10" s="266"/>
      <c r="AC10" s="266"/>
      <c r="AD10" s="266"/>
      <c r="AE10" s="266"/>
      <c r="AF10" s="266"/>
      <c r="AG10" s="266"/>
      <c r="AH10" s="266"/>
      <c r="AI10" s="266"/>
      <c r="AJ10" s="266"/>
      <c r="AK10" s="266"/>
      <c r="AL10" s="266"/>
      <c r="AM10" s="266"/>
      <c r="AN10" s="266"/>
      <c r="AO10" s="266"/>
      <c r="AP10" s="266"/>
      <c r="AQ10" s="266"/>
      <c r="AR10" s="266"/>
      <c r="AS10" s="266"/>
      <c r="AT10" s="266"/>
      <c r="AU10" s="266"/>
      <c r="AV10" s="266"/>
      <c r="AW10" s="266"/>
      <c r="AX10" s="266"/>
      <c r="AY10" s="266"/>
      <c r="AZ10" s="266"/>
      <c r="BA10" s="266"/>
      <c r="BB10" s="266"/>
      <c r="BC10" s="266"/>
      <c r="BD10" s="266"/>
      <c r="BE10" s="266"/>
      <c r="BF10" s="266"/>
      <c r="BG10" s="266"/>
      <c r="BH10" s="266"/>
      <c r="BI10" s="266"/>
      <c r="BJ10" s="266"/>
      <c r="BK10" s="266"/>
      <c r="BL10" s="266"/>
      <c r="BM10" s="266"/>
      <c r="BN10" s="266"/>
      <c r="BO10" s="266"/>
      <c r="BP10" s="266"/>
      <c r="BQ10" s="266"/>
      <c r="BR10" s="266"/>
      <c r="BS10" s="266"/>
      <c r="BT10" s="266"/>
      <c r="BU10" s="266"/>
      <c r="BV10" s="266"/>
      <c r="BW10" s="266"/>
      <c r="BX10" s="266"/>
      <c r="BY10" s="266"/>
      <c r="BZ10" s="266"/>
      <c r="CA10" s="266"/>
      <c r="CB10" s="266"/>
      <c r="CC10" s="266"/>
      <c r="CD10" s="266"/>
      <c r="CE10" s="266"/>
      <c r="CF10" s="266"/>
      <c r="CG10" s="266"/>
      <c r="CH10" s="266"/>
      <c r="CI10" s="266"/>
      <c r="CJ10" s="266"/>
      <c r="CK10" s="266"/>
      <c r="CL10" s="266"/>
      <c r="CM10" s="266"/>
      <c r="CN10" s="266"/>
      <c r="CO10" s="266"/>
      <c r="CP10" s="266"/>
      <c r="CQ10" s="266"/>
      <c r="CR10" s="266"/>
      <c r="CS10" s="266"/>
      <c r="CT10" s="266"/>
      <c r="CU10" s="266"/>
      <c r="CV10" s="266"/>
      <c r="CW10" s="266"/>
      <c r="CX10" s="266"/>
      <c r="CY10" s="266"/>
      <c r="CZ10" s="266"/>
      <c r="DA10" s="266"/>
      <c r="DB10" s="266"/>
      <c r="DC10" s="266"/>
      <c r="DD10" s="266"/>
      <c r="DE10" s="266"/>
      <c r="DF10" s="266"/>
      <c r="DG10" s="266"/>
      <c r="DH10" s="266"/>
      <c r="DI10" s="266"/>
    </row>
    <row r="11" spans="1:113" ht="16.2" thickBot="1">
      <c r="A11" s="266"/>
      <c r="B11" s="266" t="s">
        <v>21</v>
      </c>
      <c r="C11" s="69"/>
      <c r="D11" s="506">
        <f>TIR_meta</f>
        <v>0.1079</v>
      </c>
      <c r="E11" s="506">
        <f ca="1">Project_IRR</f>
        <v>0.10790613293647766</v>
      </c>
      <c r="F11" s="469">
        <f ca="1">E11-D11</f>
        <v>6.1329364776652184E-6</v>
      </c>
      <c r="G11" s="266"/>
      <c r="H11" s="266"/>
      <c r="I11" s="266"/>
      <c r="J11" s="266"/>
      <c r="K11" s="266"/>
      <c r="L11" s="266"/>
      <c r="M11" s="266"/>
      <c r="N11"/>
      <c r="O11" s="266"/>
      <c r="P11" s="266"/>
      <c r="Q11" s="266"/>
      <c r="R11" s="266"/>
      <c r="S11" s="266"/>
      <c r="T11" s="266"/>
      <c r="U11" s="266"/>
      <c r="V11" s="266"/>
      <c r="W11" s="266"/>
      <c r="X11" s="266"/>
      <c r="Y11" s="266"/>
      <c r="Z11" s="266"/>
      <c r="AA11" s="266"/>
      <c r="AB11" s="266"/>
      <c r="AC11" s="266"/>
      <c r="AD11" s="266"/>
      <c r="AE11" s="266"/>
      <c r="AF11" s="266"/>
      <c r="AG11" s="266"/>
      <c r="AH11" s="266"/>
      <c r="AI11" s="266"/>
      <c r="AJ11" s="266"/>
      <c r="AK11" s="266"/>
      <c r="AL11" s="266"/>
      <c r="AM11" s="266"/>
      <c r="AN11" s="266"/>
      <c r="AO11" s="266"/>
      <c r="AP11" s="266"/>
      <c r="AQ11" s="266"/>
      <c r="AR11" s="266"/>
      <c r="AS11" s="266"/>
      <c r="AT11" s="266"/>
      <c r="AU11" s="266"/>
      <c r="AV11" s="266"/>
      <c r="AW11" s="266"/>
      <c r="AX11" s="266"/>
      <c r="AY11" s="266"/>
      <c r="AZ11" s="266"/>
      <c r="BA11" s="266"/>
      <c r="BB11" s="266"/>
      <c r="BC11" s="266"/>
      <c r="BD11" s="266"/>
      <c r="BE11" s="266"/>
      <c r="BF11" s="266"/>
      <c r="BG11" s="266"/>
      <c r="BH11" s="266"/>
      <c r="BI11" s="266"/>
      <c r="BJ11" s="266"/>
      <c r="BK11" s="266"/>
      <c r="BL11" s="266"/>
      <c r="BM11" s="266"/>
      <c r="BN11" s="266"/>
      <c r="BO11" s="266"/>
      <c r="BP11" s="266"/>
      <c r="BQ11" s="266"/>
      <c r="BR11" s="266"/>
      <c r="BS11" s="266"/>
      <c r="BT11" s="266"/>
      <c r="BU11" s="266"/>
      <c r="BV11" s="266"/>
      <c r="BW11" s="266"/>
      <c r="BX11" s="266"/>
      <c r="BY11" s="266"/>
      <c r="BZ11" s="266"/>
      <c r="CA11" s="266"/>
      <c r="CB11" s="266"/>
      <c r="CC11" s="266"/>
      <c r="CD11" s="266"/>
      <c r="CE11" s="266"/>
      <c r="CF11" s="266"/>
      <c r="CG11" s="266"/>
      <c r="CH11" s="266"/>
      <c r="CI11" s="266"/>
      <c r="CJ11" s="266"/>
      <c r="CK11" s="266"/>
      <c r="CL11" s="266"/>
      <c r="CM11" s="266"/>
      <c r="CN11" s="266"/>
      <c r="CO11" s="266"/>
      <c r="CP11" s="266"/>
      <c r="CQ11" s="266"/>
      <c r="CR11" s="266"/>
      <c r="CS11" s="266"/>
      <c r="CT11" s="266"/>
      <c r="CU11" s="266"/>
      <c r="CV11" s="266"/>
      <c r="CW11" s="266"/>
      <c r="CX11" s="266"/>
      <c r="CY11" s="266"/>
      <c r="CZ11" s="266"/>
      <c r="DA11" s="266"/>
      <c r="DB11" s="266"/>
      <c r="DC11" s="266"/>
      <c r="DD11" s="266"/>
      <c r="DE11" s="266"/>
      <c r="DF11" s="266"/>
      <c r="DG11" s="266"/>
      <c r="DH11" s="266"/>
      <c r="DI11" s="266"/>
    </row>
    <row r="12" spans="1:113">
      <c r="A12" s="266"/>
      <c r="B12" s="266"/>
      <c r="D12" s="266"/>
      <c r="E12" s="266" t="s">
        <v>750</v>
      </c>
      <c r="F12" s="278">
        <f ca="1">SUM(F11:F11)</f>
        <v>6.1329364776652184E-6</v>
      </c>
      <c r="G12" s="266"/>
      <c r="H12" s="266"/>
      <c r="I12" s="266"/>
      <c r="J12" s="266"/>
      <c r="K12" s="266"/>
      <c r="L12" s="266"/>
      <c r="M12" s="266"/>
      <c r="N12" s="266"/>
      <c r="O12" s="266"/>
      <c r="P12" s="266"/>
      <c r="Q12" s="266"/>
      <c r="R12" s="266"/>
      <c r="S12" s="266"/>
      <c r="T12" s="266"/>
      <c r="U12" s="266"/>
      <c r="V12" s="266"/>
      <c r="W12" s="266"/>
      <c r="X12" s="266"/>
      <c r="Y12" s="266"/>
      <c r="Z12" s="266"/>
      <c r="AA12" s="266"/>
      <c r="AB12" s="266"/>
      <c r="AC12" s="266"/>
      <c r="AD12" s="266"/>
      <c r="AE12" s="266"/>
      <c r="AF12" s="266"/>
      <c r="AG12" s="266"/>
      <c r="AH12" s="266"/>
      <c r="AI12" s="266"/>
      <c r="AJ12" s="266"/>
      <c r="AK12" s="266"/>
      <c r="AL12" s="266"/>
      <c r="AM12" s="266"/>
      <c r="AN12" s="266"/>
      <c r="AO12" s="266"/>
      <c r="AP12" s="266"/>
      <c r="AQ12" s="266"/>
      <c r="AR12" s="266"/>
      <c r="AS12" s="266"/>
      <c r="AT12" s="266"/>
      <c r="AU12" s="266"/>
      <c r="AV12" s="266"/>
      <c r="AW12" s="266"/>
      <c r="AX12" s="266"/>
      <c r="AY12" s="266"/>
      <c r="AZ12" s="266"/>
      <c r="BA12" s="266"/>
      <c r="BB12" s="266"/>
      <c r="BC12" s="266"/>
      <c r="BD12" s="266"/>
      <c r="BE12" s="266"/>
      <c r="BF12" s="266"/>
      <c r="BG12" s="266"/>
      <c r="BH12" s="266"/>
      <c r="BI12" s="266"/>
      <c r="BJ12" s="266"/>
      <c r="BK12" s="266"/>
      <c r="BL12" s="266"/>
      <c r="BM12" s="266"/>
      <c r="BN12" s="266"/>
      <c r="BO12" s="266"/>
      <c r="BP12" s="266"/>
      <c r="BQ12" s="266"/>
      <c r="BR12" s="266"/>
      <c r="BS12" s="266"/>
      <c r="BT12" s="266"/>
      <c r="BU12" s="266"/>
      <c r="BV12" s="266"/>
      <c r="BW12" s="266"/>
      <c r="BX12" s="266"/>
      <c r="BY12" s="266"/>
      <c r="BZ12" s="266"/>
      <c r="CA12" s="266"/>
      <c r="CB12" s="266"/>
      <c r="CC12" s="266"/>
      <c r="CD12" s="266"/>
      <c r="CE12" s="266"/>
      <c r="CF12" s="266"/>
      <c r="CG12" s="266"/>
      <c r="CH12" s="266"/>
      <c r="CI12" s="266"/>
      <c r="CJ12" s="266"/>
      <c r="CK12" s="266"/>
      <c r="CL12" s="266"/>
      <c r="CM12" s="266"/>
      <c r="CN12" s="266"/>
      <c r="CO12" s="266"/>
      <c r="CP12" s="266"/>
      <c r="CQ12" s="266"/>
      <c r="CR12" s="266"/>
      <c r="CS12" s="266"/>
      <c r="CT12" s="266"/>
      <c r="CU12" s="266"/>
      <c r="CV12" s="266"/>
      <c r="CW12" s="266"/>
      <c r="CX12" s="266"/>
      <c r="CY12" s="266"/>
      <c r="CZ12" s="266"/>
      <c r="DA12" s="266"/>
      <c r="DB12" s="266"/>
      <c r="DC12" s="266"/>
      <c r="DD12" s="266"/>
      <c r="DE12" s="266"/>
      <c r="DF12" s="266"/>
      <c r="DG12" s="266"/>
      <c r="DH12" s="266"/>
      <c r="DI12" s="266"/>
    </row>
    <row r="13" spans="1:113">
      <c r="A13" s="266"/>
      <c r="B13" s="266"/>
      <c r="D13" s="266"/>
      <c r="E13" s="266"/>
      <c r="F13" s="266"/>
      <c r="G13" s="266"/>
      <c r="H13" s="266"/>
      <c r="I13" s="266"/>
      <c r="J13" s="266"/>
      <c r="K13" s="266"/>
      <c r="L13" s="266"/>
      <c r="M13" s="266"/>
      <c r="N13" s="266"/>
      <c r="O13" s="266"/>
      <c r="P13" s="266"/>
      <c r="Q13" s="266"/>
      <c r="R13" s="266"/>
      <c r="S13" s="266"/>
      <c r="T13" s="266"/>
      <c r="U13" s="266"/>
      <c r="V13" s="266"/>
      <c r="W13" s="266"/>
      <c r="X13" s="266"/>
      <c r="Y13" s="266"/>
      <c r="Z13" s="266"/>
      <c r="AA13" s="266"/>
      <c r="AB13" s="266"/>
      <c r="AC13" s="266"/>
      <c r="AD13" s="266"/>
      <c r="AE13" s="266"/>
      <c r="AF13" s="266"/>
      <c r="AG13" s="266"/>
      <c r="AH13" s="266"/>
      <c r="AI13" s="266"/>
      <c r="AJ13" s="266"/>
      <c r="AK13" s="266"/>
      <c r="AL13" s="266"/>
      <c r="AM13" s="266"/>
      <c r="AN13" s="266"/>
      <c r="AO13" s="266"/>
      <c r="AP13" s="266"/>
      <c r="AQ13" s="266"/>
      <c r="AR13" s="266"/>
      <c r="AS13" s="266"/>
      <c r="AT13" s="266"/>
      <c r="AU13" s="266"/>
      <c r="AV13" s="266"/>
      <c r="AW13" s="266"/>
      <c r="AX13" s="266"/>
      <c r="AY13" s="266"/>
      <c r="AZ13" s="266"/>
      <c r="BA13" s="266"/>
      <c r="BB13" s="266"/>
      <c r="BC13" s="266"/>
      <c r="BD13" s="266"/>
      <c r="BE13" s="266"/>
      <c r="BF13" s="266"/>
      <c r="BG13" s="266"/>
      <c r="BH13" s="266"/>
      <c r="BI13" s="266"/>
      <c r="BJ13" s="266"/>
      <c r="BK13" s="266"/>
      <c r="BL13" s="266"/>
      <c r="BM13" s="266"/>
      <c r="BN13" s="266"/>
      <c r="BO13" s="266"/>
      <c r="BP13" s="266"/>
      <c r="BQ13" s="266"/>
      <c r="BR13" s="266"/>
      <c r="BS13" s="266"/>
      <c r="BT13" s="266"/>
      <c r="BU13" s="266"/>
      <c r="BV13" s="266"/>
      <c r="BW13" s="266"/>
      <c r="BX13" s="266"/>
      <c r="BY13" s="266"/>
      <c r="BZ13" s="266"/>
      <c r="CA13" s="266"/>
      <c r="CB13" s="266"/>
      <c r="CC13" s="266"/>
      <c r="CD13" s="266"/>
      <c r="CE13" s="266"/>
      <c r="CF13" s="266"/>
      <c r="CG13" s="266"/>
      <c r="CH13" s="266"/>
      <c r="CI13" s="266"/>
      <c r="CJ13" s="266"/>
      <c r="CK13" s="266"/>
      <c r="CL13" s="266"/>
      <c r="CM13" s="266"/>
      <c r="CN13" s="266"/>
      <c r="CO13" s="266"/>
      <c r="CP13" s="266"/>
      <c r="CQ13" s="266"/>
      <c r="CR13" s="266"/>
      <c r="CS13" s="266"/>
      <c r="CT13" s="266"/>
      <c r="CU13" s="266"/>
      <c r="CV13" s="266"/>
      <c r="CW13" s="266"/>
      <c r="CX13" s="266"/>
      <c r="CY13" s="266"/>
      <c r="CZ13" s="266"/>
      <c r="DA13" s="266"/>
      <c r="DB13" s="266"/>
      <c r="DC13" s="266"/>
      <c r="DD13" s="266"/>
      <c r="DE13" s="266"/>
      <c r="DF13" s="266"/>
      <c r="DG13" s="266"/>
      <c r="DH13" s="266"/>
      <c r="DI13" s="266"/>
    </row>
    <row r="14" spans="1:113">
      <c r="A14" s="266"/>
      <c r="B14" s="266"/>
      <c r="D14" s="266"/>
      <c r="E14" s="266" t="s">
        <v>752</v>
      </c>
      <c r="F14">
        <v>1</v>
      </c>
      <c r="G14" s="266"/>
      <c r="H14" s="266"/>
      <c r="I14" s="266"/>
      <c r="J14" s="266"/>
      <c r="K14" s="266"/>
      <c r="L14" s="266"/>
      <c r="M14" s="266"/>
      <c r="N14" s="266"/>
      <c r="O14" s="266"/>
      <c r="P14" s="266"/>
      <c r="Q14" s="266"/>
      <c r="R14" s="266"/>
      <c r="S14" s="266"/>
      <c r="T14" s="266"/>
      <c r="U14" s="266"/>
      <c r="V14" s="266"/>
      <c r="W14" s="266"/>
      <c r="X14" s="266"/>
      <c r="Y14" s="266"/>
      <c r="Z14" s="266"/>
      <c r="AA14" s="266"/>
      <c r="AB14" s="266"/>
      <c r="AC14" s="266"/>
      <c r="AD14" s="266"/>
      <c r="AE14" s="266"/>
      <c r="AF14" s="266"/>
      <c r="AG14" s="266"/>
      <c r="AH14" s="266"/>
      <c r="AI14" s="266"/>
      <c r="AJ14" s="266"/>
      <c r="AK14" s="266"/>
      <c r="AL14" s="266"/>
      <c r="AM14" s="266"/>
      <c r="AN14" s="266"/>
      <c r="AO14" s="266"/>
      <c r="AP14" s="266"/>
      <c r="AQ14" s="266"/>
      <c r="AR14" s="266"/>
      <c r="AS14" s="266"/>
      <c r="AT14" s="266"/>
      <c r="AU14" s="266"/>
      <c r="AV14" s="266"/>
      <c r="AW14" s="266"/>
      <c r="AX14" s="266"/>
      <c r="AY14" s="266"/>
      <c r="AZ14" s="266"/>
      <c r="BA14" s="266"/>
      <c r="BB14" s="266"/>
      <c r="BC14" s="266"/>
      <c r="BD14" s="266"/>
      <c r="BE14" s="266"/>
      <c r="BF14" s="266"/>
      <c r="BG14" s="266"/>
      <c r="BH14" s="266"/>
      <c r="BI14" s="266"/>
      <c r="BJ14" s="266"/>
      <c r="BK14" s="266"/>
      <c r="BL14" s="266"/>
      <c r="BM14" s="266"/>
      <c r="BN14" s="266"/>
      <c r="BO14" s="266"/>
      <c r="BP14" s="266"/>
      <c r="BQ14" s="266"/>
      <c r="BR14" s="266"/>
      <c r="BS14" s="266"/>
      <c r="BT14" s="266"/>
      <c r="BU14" s="266"/>
      <c r="BV14" s="266"/>
      <c r="BW14" s="266"/>
      <c r="BX14" s="266"/>
      <c r="BY14" s="266"/>
      <c r="BZ14" s="266"/>
      <c r="CA14" s="266"/>
      <c r="CB14" s="266"/>
      <c r="CC14" s="266"/>
      <c r="CD14" s="266"/>
      <c r="CE14" s="266"/>
      <c r="CF14" s="266"/>
      <c r="CG14" s="266"/>
      <c r="CH14" s="266"/>
      <c r="CI14" s="266"/>
      <c r="CJ14" s="266"/>
      <c r="CK14" s="266"/>
      <c r="CL14" s="266"/>
      <c r="CM14" s="266"/>
      <c r="CN14" s="266"/>
      <c r="CO14" s="266"/>
      <c r="CP14" s="266"/>
      <c r="CQ14" s="266"/>
      <c r="CR14" s="266"/>
      <c r="CS14" s="266"/>
      <c r="CT14" s="266"/>
      <c r="CU14" s="266"/>
      <c r="CV14" s="266"/>
      <c r="CW14" s="266"/>
      <c r="CX14" s="266"/>
      <c r="CY14" s="266"/>
      <c r="CZ14" s="266"/>
      <c r="DA14" s="266"/>
      <c r="DB14" s="266"/>
      <c r="DC14" s="266"/>
      <c r="DD14" s="266"/>
      <c r="DE14" s="266"/>
      <c r="DF14" s="266"/>
      <c r="DG14" s="266"/>
      <c r="DH14" s="266"/>
      <c r="DI14" s="266"/>
    </row>
    <row r="15" spans="1:113">
      <c r="A15" s="266"/>
      <c r="B15" s="266"/>
      <c r="D15" s="266"/>
      <c r="E15" s="266" t="s">
        <v>753</v>
      </c>
      <c r="F15">
        <v>1.0000000000000001E-5</v>
      </c>
      <c r="G15" s="266"/>
      <c r="H15" s="266"/>
      <c r="I15" s="266"/>
      <c r="J15" s="266"/>
      <c r="K15" s="266"/>
      <c r="L15" s="266"/>
      <c r="M15" s="266"/>
      <c r="N15" s="266"/>
      <c r="O15" s="266"/>
      <c r="P15" s="266"/>
      <c r="Q15" s="266"/>
      <c r="R15" s="266"/>
      <c r="S15" s="266"/>
      <c r="T15" s="266"/>
      <c r="U15" s="266"/>
      <c r="V15" s="266"/>
      <c r="W15" s="266"/>
      <c r="X15" s="266"/>
      <c r="Y15" s="266"/>
      <c r="Z15" s="266"/>
      <c r="AA15" s="266"/>
      <c r="AB15" s="266"/>
      <c r="AC15" s="266"/>
      <c r="AD15" s="266"/>
      <c r="AE15" s="266"/>
      <c r="AF15" s="266"/>
      <c r="AG15" s="266"/>
      <c r="AH15" s="266"/>
      <c r="AI15" s="266"/>
      <c r="AJ15" s="266"/>
      <c r="AK15" s="266"/>
      <c r="AL15" s="266"/>
      <c r="AM15" s="266"/>
      <c r="AN15" s="266"/>
      <c r="AO15" s="266"/>
      <c r="AP15" s="266"/>
      <c r="AQ15" s="266"/>
      <c r="AR15" s="266"/>
      <c r="AS15" s="266"/>
      <c r="AT15" s="266"/>
      <c r="AU15" s="266"/>
      <c r="AV15" s="266"/>
      <c r="AW15" s="266"/>
      <c r="AX15" s="266"/>
      <c r="AY15" s="266"/>
      <c r="AZ15" s="266"/>
      <c r="BA15" s="266"/>
      <c r="BB15" s="266"/>
      <c r="BC15" s="266"/>
      <c r="BD15" s="266"/>
      <c r="BE15" s="266"/>
      <c r="BF15" s="266"/>
      <c r="BG15" s="266"/>
      <c r="BH15" s="266"/>
      <c r="BI15" s="266"/>
      <c r="BJ15" s="266"/>
      <c r="BK15" s="266"/>
      <c r="BL15" s="266"/>
      <c r="BM15" s="266"/>
      <c r="BN15" s="266"/>
      <c r="BO15" s="266"/>
      <c r="BP15" s="266"/>
      <c r="BQ15" s="266"/>
      <c r="BR15" s="266"/>
      <c r="BS15" s="266"/>
      <c r="BT15" s="266"/>
      <c r="BU15" s="266"/>
      <c r="BV15" s="266"/>
      <c r="BW15" s="266"/>
      <c r="BX15" s="266"/>
      <c r="BY15" s="266"/>
      <c r="BZ15" s="266"/>
      <c r="CA15" s="266"/>
      <c r="CB15" s="266"/>
      <c r="CC15" s="266"/>
      <c r="CD15" s="266"/>
      <c r="CE15" s="266"/>
      <c r="CF15" s="266"/>
      <c r="CG15" s="266"/>
      <c r="CH15" s="266"/>
      <c r="CI15" s="266"/>
      <c r="CJ15" s="266"/>
      <c r="CK15" s="266"/>
      <c r="CL15" s="266"/>
      <c r="CM15" s="266"/>
      <c r="CN15" s="266"/>
      <c r="CO15" s="266"/>
      <c r="CP15" s="266"/>
      <c r="CQ15" s="266"/>
      <c r="CR15" s="266"/>
      <c r="CS15" s="266"/>
      <c r="CT15" s="266"/>
      <c r="CU15" s="266"/>
      <c r="CV15" s="266"/>
      <c r="CW15" s="266"/>
      <c r="CX15" s="266"/>
      <c r="CY15" s="266"/>
      <c r="CZ15" s="266"/>
      <c r="DA15" s="266"/>
      <c r="DB15" s="266"/>
      <c r="DC15" s="266"/>
      <c r="DD15" s="266"/>
      <c r="DE15" s="266"/>
      <c r="DF15" s="266"/>
      <c r="DG15" s="266"/>
      <c r="DH15" s="266"/>
      <c r="DI15" s="266"/>
    </row>
    <row r="16" spans="1:113">
      <c r="A16" s="266"/>
      <c r="B16" s="266"/>
      <c r="D16" s="266"/>
      <c r="E16" s="266" t="s">
        <v>754</v>
      </c>
      <c r="F16">
        <v>1</v>
      </c>
      <c r="G16" s="266"/>
      <c r="H16" s="266"/>
      <c r="I16" s="266"/>
      <c r="J16" s="266"/>
      <c r="K16" s="266"/>
      <c r="L16" s="266"/>
      <c r="M16" s="266"/>
      <c r="N16" s="266"/>
      <c r="O16" s="266"/>
      <c r="P16" s="266"/>
      <c r="Q16" s="266"/>
      <c r="R16" s="266"/>
      <c r="S16" s="266"/>
      <c r="T16" s="266"/>
      <c r="U16" s="266"/>
      <c r="V16" s="266"/>
      <c r="W16" s="266"/>
      <c r="X16" s="266"/>
      <c r="Y16" s="266"/>
      <c r="Z16" s="266"/>
      <c r="AA16" s="266"/>
      <c r="AB16" s="266"/>
      <c r="AC16" s="266"/>
      <c r="AD16" s="266"/>
      <c r="AE16" s="266"/>
      <c r="AF16" s="266"/>
      <c r="AG16" s="266"/>
      <c r="AH16" s="266"/>
      <c r="AI16" s="266"/>
      <c r="AJ16" s="266"/>
      <c r="AK16" s="266"/>
      <c r="AL16" s="266"/>
      <c r="AM16" s="266"/>
      <c r="AN16" s="266"/>
      <c r="AO16" s="266"/>
      <c r="AP16" s="266"/>
      <c r="AQ16" s="266"/>
      <c r="AR16" s="266"/>
      <c r="AS16" s="266"/>
      <c r="AT16" s="266"/>
      <c r="AU16" s="266"/>
      <c r="AV16" s="266"/>
      <c r="AW16" s="266"/>
      <c r="AX16" s="266"/>
      <c r="AY16" s="266"/>
      <c r="AZ16" s="266"/>
      <c r="BA16" s="266"/>
      <c r="BB16" s="266"/>
      <c r="BC16" s="266"/>
      <c r="BD16" s="266"/>
      <c r="BE16" s="266"/>
      <c r="BF16" s="266"/>
      <c r="BG16" s="266"/>
      <c r="BH16" s="266"/>
      <c r="BI16" s="266"/>
      <c r="BJ16" s="266"/>
      <c r="BK16" s="266"/>
      <c r="BL16" s="266"/>
      <c r="BM16" s="266"/>
      <c r="BN16" s="266"/>
      <c r="BO16" s="266"/>
      <c r="BP16" s="266"/>
      <c r="BQ16" s="266"/>
      <c r="BR16" s="266"/>
      <c r="BS16" s="266"/>
      <c r="BT16" s="266"/>
      <c r="BU16" s="266"/>
      <c r="BV16" s="266"/>
      <c r="BW16" s="266"/>
      <c r="BX16" s="266"/>
      <c r="BY16" s="266"/>
      <c r="BZ16" s="266"/>
      <c r="CA16" s="266"/>
      <c r="CB16" s="266"/>
      <c r="CC16" s="266"/>
      <c r="CD16" s="266"/>
      <c r="CE16" s="266"/>
      <c r="CF16" s="266"/>
      <c r="CG16" s="266"/>
      <c r="CH16" s="266"/>
      <c r="CI16" s="266"/>
      <c r="CJ16" s="266"/>
      <c r="CK16" s="266"/>
      <c r="CL16" s="266"/>
      <c r="CM16" s="266"/>
      <c r="CN16" s="266"/>
      <c r="CO16" s="266"/>
      <c r="CP16" s="266"/>
      <c r="CQ16" s="266"/>
      <c r="CR16" s="266"/>
      <c r="CS16" s="266"/>
      <c r="CT16" s="266"/>
      <c r="CU16" s="266"/>
      <c r="CV16" s="266"/>
      <c r="CW16" s="266"/>
      <c r="CX16" s="266"/>
      <c r="CY16" s="266"/>
      <c r="CZ16" s="266"/>
      <c r="DA16" s="266"/>
      <c r="DB16" s="266"/>
      <c r="DC16" s="266"/>
      <c r="DD16" s="266"/>
      <c r="DE16" s="266"/>
      <c r="DF16" s="266"/>
      <c r="DG16" s="266"/>
      <c r="DH16" s="266"/>
      <c r="DI16" s="266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71" r:id="rId4" name="Button 3">
              <controlPr defaultSize="0" print="0" autoFill="0" autoPict="0" macro="[0]!IFRIC12_Macro">
                <anchor moveWithCells="1" sizeWithCells="1">
                  <from>
                    <xdr:col>7</xdr:col>
                    <xdr:colOff>22860</xdr:colOff>
                    <xdr:row>6</xdr:row>
                    <xdr:rowOff>30480</xdr:rowOff>
                  </from>
                  <to>
                    <xdr:col>8</xdr:col>
                    <xdr:colOff>441960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2" r:id="rId5" name="Button 4">
              <controlPr defaultSize="0" print="0" autoFill="0" autoPict="0" macro="[0]!CP_meta">
                <anchor moveWithCells="1" sizeWithCells="1">
                  <from>
                    <xdr:col>7</xdr:col>
                    <xdr:colOff>22860</xdr:colOff>
                    <xdr:row>11</xdr:row>
                    <xdr:rowOff>30480</xdr:rowOff>
                  </from>
                  <to>
                    <xdr:col>9</xdr:col>
                    <xdr:colOff>0</xdr:colOff>
                    <xdr:row>12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7B6C5-6DF7-4563-BD09-EF0F744082B2}">
  <sheetPr codeName="Sheet10">
    <tabColor rgb="FF00A3A1"/>
  </sheetPr>
  <dimension ref="A1:P29"/>
  <sheetViews>
    <sheetView showGridLines="0" workbookViewId="0">
      <selection activeCell="E5" sqref="E5"/>
    </sheetView>
  </sheetViews>
  <sheetFormatPr defaultColWidth="0" defaultRowHeight="15.6"/>
  <cols>
    <col min="1" max="2" width="3.33203125" style="1" customWidth="1"/>
    <col min="3" max="3" width="17" style="1" customWidth="1"/>
    <col min="4" max="4" width="11.33203125" style="1" customWidth="1"/>
    <col min="5" max="5" width="31.6640625" style="1" bestFit="1" customWidth="1"/>
    <col min="6" max="8" width="9" style="1" customWidth="1"/>
    <col min="9" max="16" width="0" style="1" hidden="1" customWidth="1"/>
    <col min="17" max="16384" width="9" style="1" hidden="1"/>
  </cols>
  <sheetData>
    <row r="1" spans="1:8" s="6" customFormat="1">
      <c r="A1" s="386" t="s">
        <v>755</v>
      </c>
      <c r="B1" s="386"/>
      <c r="C1" s="386"/>
      <c r="D1" s="386"/>
      <c r="E1" s="386"/>
      <c r="F1" s="386"/>
      <c r="G1" s="386"/>
      <c r="H1" s="386"/>
    </row>
    <row r="3" spans="1:8">
      <c r="A3" s="266"/>
      <c r="B3" s="266"/>
      <c r="C3" s="18" t="s">
        <v>756</v>
      </c>
      <c r="D3" s="266"/>
      <c r="E3" s="266"/>
      <c r="F3" s="266"/>
      <c r="G3" s="266"/>
      <c r="H3" s="266"/>
    </row>
    <row r="4" spans="1:8">
      <c r="A4" s="266"/>
      <c r="B4" s="266"/>
      <c r="C4" s="5" t="s">
        <v>757</v>
      </c>
      <c r="D4" s="266"/>
      <c r="E4" s="266"/>
      <c r="F4" s="266"/>
      <c r="G4" s="266"/>
      <c r="H4" s="266"/>
    </row>
    <row r="5" spans="1:8">
      <c r="A5" s="266"/>
      <c r="B5" s="266"/>
      <c r="C5" s="266" t="s">
        <v>758</v>
      </c>
      <c r="D5" s="266"/>
      <c r="E5" s="67" t="s">
        <v>759</v>
      </c>
      <c r="F5" s="266"/>
      <c r="G5" s="266"/>
      <c r="H5" s="266"/>
    </row>
    <row r="6" spans="1:8">
      <c r="A6" s="266"/>
      <c r="B6" s="266"/>
      <c r="C6" s="266" t="s">
        <v>760</v>
      </c>
      <c r="D6" s="266"/>
      <c r="E6" s="67" t="s">
        <v>761</v>
      </c>
      <c r="F6" s="266"/>
      <c r="G6" s="266"/>
      <c r="H6" s="266"/>
    </row>
    <row r="8" spans="1:8">
      <c r="A8" s="266"/>
      <c r="B8" s="266"/>
      <c r="C8" s="5" t="s">
        <v>762</v>
      </c>
      <c r="D8" s="266"/>
      <c r="E8" s="266"/>
      <c r="F8" s="266"/>
      <c r="G8" s="266"/>
      <c r="H8" s="266"/>
    </row>
    <row r="9" spans="1:8">
      <c r="A9" s="266"/>
      <c r="B9" s="266"/>
      <c r="C9" s="266" t="s">
        <v>763</v>
      </c>
      <c r="D9" s="266"/>
      <c r="E9" s="68">
        <v>365</v>
      </c>
      <c r="F9" s="266"/>
      <c r="G9" s="266"/>
      <c r="H9" s="266"/>
    </row>
    <row r="10" spans="1:8">
      <c r="A10" s="266"/>
      <c r="B10" s="266"/>
      <c r="C10" s="266" t="s">
        <v>764</v>
      </c>
      <c r="D10" s="266"/>
      <c r="E10" s="68">
        <v>12</v>
      </c>
      <c r="F10" s="266"/>
      <c r="G10" s="266"/>
      <c r="H10" s="266"/>
    </row>
    <row r="11" spans="1:8">
      <c r="A11" s="266"/>
      <c r="B11" s="266"/>
      <c r="C11" s="266" t="s">
        <v>765</v>
      </c>
      <c r="D11" s="266"/>
      <c r="E11" s="68">
        <v>6</v>
      </c>
      <c r="F11" s="266"/>
      <c r="G11" s="266"/>
      <c r="H11" s="266"/>
    </row>
    <row r="12" spans="1:8">
      <c r="A12" s="266"/>
      <c r="B12" s="266"/>
      <c r="C12" s="266" t="s">
        <v>766</v>
      </c>
      <c r="D12" s="266"/>
      <c r="E12" s="68">
        <v>4</v>
      </c>
      <c r="F12" s="266"/>
      <c r="G12" s="266"/>
      <c r="H12" s="266"/>
    </row>
    <row r="13" spans="1:8">
      <c r="A13" s="266"/>
      <c r="B13" s="266"/>
      <c r="C13" s="266" t="s">
        <v>767</v>
      </c>
      <c r="D13" s="266"/>
      <c r="E13" s="68">
        <v>2.83</v>
      </c>
      <c r="F13" s="266"/>
      <c r="G13" s="266"/>
      <c r="H13" s="266"/>
    </row>
    <row r="14" spans="1:8">
      <c r="A14" s="266"/>
      <c r="B14" s="266"/>
      <c r="C14" s="266" t="s">
        <v>768</v>
      </c>
      <c r="D14" s="266"/>
      <c r="E14" s="68">
        <v>31</v>
      </c>
      <c r="F14" s="266"/>
      <c r="G14" s="266"/>
      <c r="H14" s="266"/>
    </row>
    <row r="16" spans="1:8">
      <c r="A16" s="266"/>
      <c r="B16" s="266"/>
      <c r="C16" s="266" t="s">
        <v>769</v>
      </c>
      <c r="D16" s="266"/>
      <c r="E16" s="68">
        <v>1000000</v>
      </c>
      <c r="F16" s="266"/>
      <c r="G16" s="266"/>
      <c r="H16" s="266"/>
    </row>
    <row r="17" spans="3:5">
      <c r="C17" s="266" t="s">
        <v>770</v>
      </c>
      <c r="D17" s="266"/>
      <c r="E17" s="68">
        <v>1000</v>
      </c>
    </row>
    <row r="18" spans="3:5">
      <c r="C18" s="266" t="s">
        <v>771</v>
      </c>
      <c r="D18" s="266"/>
      <c r="E18" s="67">
        <v>9.9999999999999995E-7</v>
      </c>
    </row>
    <row r="20" spans="3:5">
      <c r="C20" s="5" t="s">
        <v>772</v>
      </c>
      <c r="D20" s="266"/>
      <c r="E20" s="266"/>
    </row>
    <row r="21" spans="3:5">
      <c r="C21" s="266" t="s">
        <v>773</v>
      </c>
      <c r="D21" s="266"/>
      <c r="E21" s="68">
        <v>1</v>
      </c>
    </row>
    <row r="22" spans="3:5">
      <c r="C22" s="266" t="s">
        <v>774</v>
      </c>
      <c r="D22" s="266"/>
      <c r="E22" s="68">
        <v>3</v>
      </c>
    </row>
    <row r="23" spans="3:5">
      <c r="C23" s="266" t="s">
        <v>775</v>
      </c>
      <c r="D23" s="266"/>
      <c r="E23" s="68">
        <v>6</v>
      </c>
    </row>
    <row r="24" spans="3:5">
      <c r="C24" s="266" t="s">
        <v>776</v>
      </c>
      <c r="D24" s="266"/>
      <c r="E24" s="68">
        <v>12</v>
      </c>
    </row>
    <row r="26" spans="3:5">
      <c r="C26" s="5" t="s">
        <v>777</v>
      </c>
      <c r="D26" s="266"/>
      <c r="E26" s="266"/>
    </row>
    <row r="27" spans="3:5">
      <c r="C27" s="266" t="s">
        <v>589</v>
      </c>
      <c r="D27" s="266"/>
      <c r="E27" s="68">
        <v>1</v>
      </c>
    </row>
    <row r="28" spans="3:5">
      <c r="C28" s="266" t="s">
        <v>329</v>
      </c>
      <c r="D28" s="266"/>
      <c r="E28" s="68">
        <v>2</v>
      </c>
    </row>
    <row r="29" spans="3:5">
      <c r="C29" s="266" t="s">
        <v>778</v>
      </c>
      <c r="D29" s="266"/>
      <c r="E29" s="68">
        <v>3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AFF23-B01F-44AB-9A3C-48311D9BDE9B}">
  <sheetPr codeName="Sheet15">
    <tabColor rgb="FF00A3A1"/>
  </sheetPr>
  <dimension ref="A1:P26"/>
  <sheetViews>
    <sheetView showGridLines="0" workbookViewId="0">
      <selection activeCell="E15" sqref="E15"/>
    </sheetView>
  </sheetViews>
  <sheetFormatPr defaultColWidth="0" defaultRowHeight="15.6"/>
  <cols>
    <col min="1" max="2" width="3.33203125" style="1" customWidth="1"/>
    <col min="3" max="3" width="26.6640625" style="1" bestFit="1" customWidth="1"/>
    <col min="4" max="4" width="13.6640625" style="1" customWidth="1"/>
    <col min="5" max="5" width="13.6640625" style="1" bestFit="1" customWidth="1"/>
    <col min="6" max="8" width="9" style="1" customWidth="1"/>
    <col min="9" max="16" width="0" style="1" hidden="1" customWidth="1"/>
    <col min="17" max="16384" width="9" style="1" hidden="1"/>
  </cols>
  <sheetData>
    <row r="1" spans="1:8" s="6" customFormat="1">
      <c r="A1" s="386" t="s">
        <v>779</v>
      </c>
      <c r="B1" s="386"/>
      <c r="C1" s="386"/>
      <c r="D1" s="386"/>
      <c r="E1" s="386"/>
      <c r="F1" s="386"/>
      <c r="G1" s="386"/>
      <c r="H1" s="386"/>
    </row>
    <row r="3" spans="1:8">
      <c r="A3" s="266"/>
      <c r="B3" s="266"/>
      <c r="C3" s="18" t="s">
        <v>780</v>
      </c>
      <c r="D3" s="266"/>
      <c r="E3" s="266"/>
      <c r="F3" s="266"/>
      <c r="G3" s="266"/>
      <c r="H3" s="266"/>
    </row>
    <row r="4" spans="1:8">
      <c r="A4" s="266"/>
      <c r="B4" s="266"/>
      <c r="C4" s="419" t="s">
        <v>781</v>
      </c>
      <c r="D4" s="118"/>
      <c r="E4" s="266"/>
      <c r="F4" s="266"/>
      <c r="G4" s="266"/>
      <c r="H4" s="266"/>
    </row>
    <row r="5" spans="1:8">
      <c r="A5" s="266"/>
      <c r="B5" s="266"/>
      <c r="C5" s="266"/>
      <c r="D5" s="266"/>
      <c r="E5" s="447" t="s">
        <v>782</v>
      </c>
      <c r="F5" s="447" t="s">
        <v>33</v>
      </c>
      <c r="G5" s="266"/>
      <c r="H5" s="266"/>
    </row>
    <row r="6" spans="1:8">
      <c r="A6" s="266"/>
      <c r="B6" s="266"/>
      <c r="C6" s="424" t="s">
        <v>783</v>
      </c>
      <c r="D6" s="4" t="s">
        <v>784</v>
      </c>
      <c r="E6" s="100">
        <f ca="1">Debt!D377</f>
        <v>0</v>
      </c>
      <c r="F6" s="101">
        <f t="shared" ref="F6:F8" ca="1" si="0">E6</f>
        <v>0</v>
      </c>
      <c r="G6" s="266"/>
      <c r="H6" s="266"/>
    </row>
    <row r="7" spans="1:8">
      <c r="A7" s="266"/>
      <c r="B7" s="266"/>
      <c r="C7" s="424" t="s">
        <v>785</v>
      </c>
      <c r="D7" s="4" t="s">
        <v>784</v>
      </c>
      <c r="E7" s="100">
        <f ca="1">SUM(DFs!G89:AO89)</f>
        <v>0</v>
      </c>
      <c r="F7" s="102">
        <f t="shared" ca="1" si="0"/>
        <v>0</v>
      </c>
      <c r="G7" s="266"/>
      <c r="H7" s="266"/>
    </row>
    <row r="8" spans="1:8">
      <c r="A8" s="266"/>
      <c r="B8" s="266"/>
      <c r="C8" s="424" t="s">
        <v>786</v>
      </c>
      <c r="D8" s="4" t="s">
        <v>784</v>
      </c>
      <c r="E8" s="100">
        <f ca="1">Debt!D384</f>
        <v>0</v>
      </c>
      <c r="F8" s="101">
        <f t="shared" ca="1" si="0"/>
        <v>0</v>
      </c>
      <c r="G8" s="266"/>
      <c r="H8" s="266"/>
    </row>
    <row r="9" spans="1:8">
      <c r="A9" s="266"/>
      <c r="B9" s="266"/>
      <c r="C9" s="266" t="s">
        <v>787</v>
      </c>
      <c r="D9" s="4"/>
      <c r="E9" s="447" t="s">
        <v>788</v>
      </c>
      <c r="F9" s="103">
        <f ca="1">SUM(F6:F8)</f>
        <v>0</v>
      </c>
      <c r="G9" s="266"/>
      <c r="H9" s="266"/>
    </row>
    <row r="10" spans="1:8">
      <c r="A10" s="266"/>
      <c r="B10" s="266"/>
      <c r="C10" s="266"/>
      <c r="D10" s="4"/>
      <c r="E10" s="266"/>
      <c r="F10" s="266"/>
      <c r="G10" s="266"/>
      <c r="H10" s="266"/>
    </row>
    <row r="11" spans="1:8">
      <c r="A11" s="266"/>
      <c r="B11" s="266"/>
      <c r="C11" s="2" t="s">
        <v>789</v>
      </c>
      <c r="D11" s="4"/>
      <c r="E11" s="266"/>
      <c r="F11" s="266"/>
      <c r="G11" s="266"/>
      <c r="H11" s="266"/>
    </row>
    <row r="12" spans="1:8">
      <c r="A12" s="266"/>
      <c r="B12" s="266"/>
      <c r="C12" s="419" t="s">
        <v>790</v>
      </c>
      <c r="D12" s="4"/>
      <c r="E12" s="447" t="s">
        <v>782</v>
      </c>
      <c r="F12" s="447" t="s">
        <v>34</v>
      </c>
      <c r="G12" s="266"/>
      <c r="H12" s="266"/>
    </row>
    <row r="13" spans="1:8">
      <c r="A13" s="266"/>
      <c r="B13" s="266"/>
      <c r="C13" s="424" t="s">
        <v>791</v>
      </c>
      <c r="D13" s="4" t="s">
        <v>792</v>
      </c>
      <c r="E13" s="100">
        <f ca="1">DFs!F193</f>
        <v>0</v>
      </c>
      <c r="F13" s="102">
        <f ca="1">E13</f>
        <v>0</v>
      </c>
      <c r="G13" s="266"/>
      <c r="H13" s="266"/>
    </row>
    <row r="14" spans="1:8">
      <c r="A14" s="266"/>
      <c r="B14" s="266"/>
      <c r="C14" s="424" t="s">
        <v>793</v>
      </c>
      <c r="D14" s="4" t="s">
        <v>792</v>
      </c>
      <c r="E14" s="100">
        <f ca="1">IFRIC12_Check</f>
        <v>0</v>
      </c>
      <c r="F14" s="102">
        <f t="shared" ref="F14" ca="1" si="1">E14</f>
        <v>0</v>
      </c>
      <c r="G14" s="266"/>
      <c r="H14" s="266"/>
    </row>
    <row r="15" spans="1:8">
      <c r="A15" s="266"/>
      <c r="B15" s="266"/>
      <c r="C15" s="266" t="s">
        <v>787</v>
      </c>
      <c r="D15" s="4"/>
      <c r="E15" s="447" t="s">
        <v>34</v>
      </c>
      <c r="F15" s="104">
        <f ca="1">SUM(F13:F14)</f>
        <v>0</v>
      </c>
      <c r="G15" s="266"/>
      <c r="H15" s="266"/>
    </row>
    <row r="16" spans="1:8">
      <c r="A16" s="266"/>
      <c r="B16" s="266"/>
      <c r="C16" s="266"/>
      <c r="D16" s="4"/>
      <c r="E16" s="266"/>
      <c r="F16" s="266"/>
      <c r="G16" s="266"/>
      <c r="H16" s="266"/>
    </row>
    <row r="17" spans="4:4">
      <c r="D17" s="4"/>
    </row>
    <row r="18" spans="4:4">
      <c r="D18" s="4"/>
    </row>
    <row r="19" spans="4:4">
      <c r="D19" s="4"/>
    </row>
    <row r="20" spans="4:4">
      <c r="D20" s="4"/>
    </row>
    <row r="21" spans="4:4">
      <c r="D21" s="4"/>
    </row>
    <row r="22" spans="4:4">
      <c r="D22" s="4"/>
    </row>
    <row r="23" spans="4:4">
      <c r="D23" s="4"/>
    </row>
    <row r="24" spans="4:4">
      <c r="D24" s="4"/>
    </row>
    <row r="25" spans="4:4">
      <c r="D25" s="4"/>
    </row>
    <row r="26" spans="4:4">
      <c r="D26" s="4"/>
    </row>
  </sheetData>
  <pageMargins left="0.7" right="0.7" top="0.75" bottom="0.75" header="0.3" footer="0.3"/>
  <pageSetup paperSize="9" orientation="portrait" horizontalDpi="1200" verticalDpi="12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9AD2A-C0F7-46F6-96AF-42983C87D88E}">
  <sheetPr codeName="Sheet6">
    <tabColor theme="1"/>
  </sheetPr>
  <dimension ref="A1:I14"/>
  <sheetViews>
    <sheetView showGridLines="0" workbookViewId="0"/>
  </sheetViews>
  <sheetFormatPr defaultColWidth="0" defaultRowHeight="14.7" customHeight="1" zeroHeight="1"/>
  <cols>
    <col min="1" max="1" width="3.44140625" customWidth="1"/>
    <col min="2" max="3" width="8.6640625" customWidth="1"/>
    <col min="4" max="4" width="14.5546875" bestFit="1" customWidth="1"/>
    <col min="5" max="5" width="53.33203125" bestFit="1" customWidth="1"/>
    <col min="6" max="6" width="28.44140625" bestFit="1" customWidth="1"/>
    <col min="7" max="7" width="8.6640625" customWidth="1"/>
    <col min="8" max="8" width="3.6640625" customWidth="1"/>
    <col min="9" max="9" width="0" hidden="1" customWidth="1"/>
    <col min="10" max="16384" width="8.6640625" hidden="1"/>
  </cols>
  <sheetData>
    <row r="1" spans="1:8" s="110" customFormat="1" ht="13.8">
      <c r="A1" s="380"/>
      <c r="B1" s="380"/>
      <c r="C1" s="380"/>
      <c r="D1" s="380"/>
      <c r="E1" s="380"/>
      <c r="F1" s="380"/>
      <c r="G1" s="380"/>
      <c r="H1" s="380"/>
    </row>
    <row r="2" spans="1:8" s="110" customFormat="1" ht="44.4">
      <c r="A2" s="380"/>
      <c r="C2" s="450" t="s">
        <v>794</v>
      </c>
      <c r="H2" s="380"/>
    </row>
    <row r="3" spans="1:8" s="110" customFormat="1" ht="13.8">
      <c r="A3" s="380"/>
      <c r="H3" s="380"/>
    </row>
    <row r="4" spans="1:8" s="110" customFormat="1" ht="24.6">
      <c r="A4" s="380"/>
      <c r="C4" s="382" t="s">
        <v>795</v>
      </c>
      <c r="D4" s="118"/>
      <c r="H4" s="380"/>
    </row>
    <row r="5" spans="1:8" s="110" customFormat="1" ht="13.8">
      <c r="A5" s="380"/>
      <c r="C5" s="383" t="s">
        <v>796</v>
      </c>
      <c r="D5" s="384"/>
      <c r="E5" s="384"/>
      <c r="F5" s="385"/>
      <c r="H5" s="380"/>
    </row>
    <row r="6" spans="1:8" s="110" customFormat="1" ht="13.2" customHeight="1">
      <c r="A6" s="380"/>
      <c r="C6" s="897" t="s">
        <v>797</v>
      </c>
      <c r="D6" s="908"/>
      <c r="E6" s="908"/>
      <c r="F6" s="909"/>
      <c r="H6" s="380"/>
    </row>
    <row r="7" spans="1:8" s="110" customFormat="1" ht="13.8">
      <c r="A7" s="380"/>
      <c r="C7" s="910"/>
      <c r="D7" s="908"/>
      <c r="E7" s="908"/>
      <c r="F7" s="909"/>
      <c r="H7" s="380"/>
    </row>
    <row r="8" spans="1:8" s="110" customFormat="1" ht="13.8">
      <c r="A8" s="380"/>
      <c r="C8" s="910"/>
      <c r="D8" s="908"/>
      <c r="E8" s="908"/>
      <c r="F8" s="909"/>
      <c r="H8" s="380"/>
    </row>
    <row r="9" spans="1:8" s="110" customFormat="1" ht="13.8">
      <c r="A9" s="380"/>
      <c r="C9" s="910"/>
      <c r="D9" s="908"/>
      <c r="E9" s="908"/>
      <c r="F9" s="909"/>
      <c r="H9" s="380"/>
    </row>
    <row r="10" spans="1:8" s="110" customFormat="1" ht="13.8">
      <c r="A10" s="380"/>
      <c r="C10" s="910"/>
      <c r="D10" s="908"/>
      <c r="E10" s="908"/>
      <c r="F10" s="909"/>
      <c r="H10" s="380"/>
    </row>
    <row r="11" spans="1:8" s="110" customFormat="1" ht="13.8">
      <c r="A11" s="380"/>
      <c r="C11" s="111"/>
      <c r="D11" s="112"/>
      <c r="E11" s="113"/>
      <c r="F11" s="114"/>
      <c r="H11" s="380"/>
    </row>
    <row r="12" spans="1:8" s="110" customFormat="1" ht="13.8">
      <c r="A12" s="380"/>
      <c r="H12" s="380"/>
    </row>
    <row r="13" spans="1:8" s="110" customFormat="1" ht="13.8">
      <c r="A13" s="380"/>
      <c r="H13" s="380"/>
    </row>
    <row r="14" spans="1:8" s="110" customFormat="1" ht="13.8">
      <c r="A14" s="380"/>
      <c r="B14" s="380"/>
      <c r="C14" s="380"/>
      <c r="D14" s="380"/>
      <c r="E14" s="380"/>
      <c r="F14" s="380"/>
      <c r="G14" s="380"/>
      <c r="H14" s="380"/>
    </row>
  </sheetData>
  <mergeCells count="1">
    <mergeCell ref="C6:F10"/>
  </mergeCells>
  <conditionalFormatting sqref="B1:G1 A1:A14 H1:H14 C2 B14:G14">
    <cfRule type="cellIs" dxfId="1" priority="2" operator="lessThan">
      <formula>0</formula>
    </cfRule>
  </conditionalFormatting>
  <conditionalFormatting sqref="C4">
    <cfRule type="cellIs" dxfId="0" priority="1" operator="lessThan">
      <formula>0</formula>
    </cfRule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AC686-1176-47E0-B49E-082117FFF5F1}">
  <sheetPr codeName="Sheet12">
    <tabColor theme="1"/>
    <outlinePr summaryBelow="0"/>
  </sheetPr>
  <dimension ref="A1:AN231"/>
  <sheetViews>
    <sheetView showGridLines="0" zoomScale="85" zoomScaleNormal="85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C226" sqref="C226"/>
    </sheetView>
  </sheetViews>
  <sheetFormatPr defaultColWidth="18.6640625" defaultRowHeight="14.4" outlineLevelRow="2"/>
  <cols>
    <col min="1" max="1" width="3.44140625" style="162" customWidth="1"/>
    <col min="2" max="2" width="70.6640625" style="193" customWidth="1"/>
    <col min="3" max="4" width="18.44140625" style="162" bestFit="1" customWidth="1"/>
    <col min="5" max="5" width="20.33203125" style="155" bestFit="1" customWidth="1"/>
    <col min="6" max="7" width="12.5546875" style="155" bestFit="1" customWidth="1"/>
    <col min="8" max="8" width="12.33203125" style="155" customWidth="1"/>
    <col min="9" max="10" width="12.5546875" style="155" bestFit="1" customWidth="1"/>
    <col min="11" max="12" width="13.6640625" style="155" bestFit="1" customWidth="1"/>
    <col min="13" max="13" width="12.5546875" style="155" bestFit="1" customWidth="1"/>
    <col min="14" max="15" width="13.5546875" style="155" bestFit="1" customWidth="1"/>
    <col min="16" max="17" width="12.5546875" style="155" bestFit="1" customWidth="1"/>
    <col min="18" max="19" width="13.5546875" style="155" bestFit="1" customWidth="1"/>
    <col min="20" max="20" width="12.33203125" style="155" bestFit="1" customWidth="1"/>
    <col min="21" max="22" width="12.5546875" style="155" bestFit="1" customWidth="1"/>
    <col min="23" max="23" width="13.6640625" style="155" bestFit="1" customWidth="1"/>
    <col min="24" max="24" width="13.33203125" style="155" bestFit="1" customWidth="1"/>
    <col min="25" max="25" width="13.5546875" style="155" bestFit="1" customWidth="1"/>
    <col min="26" max="26" width="12.5546875" style="155" customWidth="1"/>
    <col min="27" max="32" width="12.5546875" style="155" bestFit="1" customWidth="1"/>
    <col min="33" max="33" width="1.33203125" style="162" customWidth="1"/>
    <col min="34" max="34" width="12.33203125" style="155" bestFit="1" customWidth="1"/>
    <col min="35" max="16384" width="18.6640625" style="155"/>
  </cols>
  <sheetData>
    <row r="1" spans="1:40">
      <c r="B1" s="191"/>
      <c r="AG1" s="155"/>
      <c r="AH1" s="162"/>
      <c r="AK1" s="241"/>
      <c r="AM1" s="242"/>
    </row>
    <row r="2" spans="1:40">
      <c r="A2" s="154"/>
      <c r="B2" s="184"/>
      <c r="C2" s="370">
        <f>C7/$AH$7</f>
        <v>0.1403428528864536</v>
      </c>
      <c r="D2" s="370">
        <f>D7/$AH$7</f>
        <v>1.9178213023636016E-2</v>
      </c>
      <c r="E2" s="370">
        <f>E7/$AH$7</f>
        <v>2.2708498135621008E-2</v>
      </c>
      <c r="F2" s="370">
        <f t="shared" ref="F2:AF2" si="0">F7/$AH$7</f>
        <v>5.1742956842332202E-3</v>
      </c>
      <c r="G2" s="370">
        <f t="shared" si="0"/>
        <v>9.9399188283525643E-3</v>
      </c>
      <c r="H2" s="370">
        <f t="shared" si="0"/>
        <v>0.16027710732266789</v>
      </c>
      <c r="I2" s="370">
        <f t="shared" si="0"/>
        <v>3.1467307846353744E-3</v>
      </c>
      <c r="J2" s="370">
        <f t="shared" si="0"/>
        <v>0.1066626386165766</v>
      </c>
      <c r="K2" s="370">
        <f t="shared" si="0"/>
        <v>5.653363909987162E-4</v>
      </c>
      <c r="L2" s="370">
        <f t="shared" si="0"/>
        <v>1.1016120722838111E-2</v>
      </c>
      <c r="M2" s="370">
        <f t="shared" si="0"/>
        <v>1.8924523310196083E-2</v>
      </c>
      <c r="N2" s="370">
        <f t="shared" si="0"/>
        <v>1.4324744935753869E-2</v>
      </c>
      <c r="O2" s="370">
        <f t="shared" si="0"/>
        <v>1.0392946573064154E-2</v>
      </c>
      <c r="P2" s="370">
        <f t="shared" si="0"/>
        <v>2.3289620505889752E-3</v>
      </c>
      <c r="Q2" s="370">
        <f t="shared" si="0"/>
        <v>0.10655013333771968</v>
      </c>
      <c r="R2" s="370">
        <f t="shared" si="0"/>
        <v>3.4490149053600996E-2</v>
      </c>
      <c r="S2" s="370">
        <f t="shared" si="0"/>
        <v>1.020534136829985E-2</v>
      </c>
      <c r="T2" s="370">
        <f t="shared" si="0"/>
        <v>4.5801757628528318E-3</v>
      </c>
      <c r="U2" s="370">
        <f t="shared" si="0"/>
        <v>1.0758487156167373E-2</v>
      </c>
      <c r="V2" s="370">
        <f t="shared" si="0"/>
        <v>6.4247589406781771E-4</v>
      </c>
      <c r="W2" s="370">
        <f t="shared" si="0"/>
        <v>1.6554396367581849E-2</v>
      </c>
      <c r="X2" s="370">
        <f t="shared" si="0"/>
        <v>0.1121683032014264</v>
      </c>
      <c r="Y2" s="370">
        <f t="shared" si="0"/>
        <v>9.5772411009309947E-3</v>
      </c>
      <c r="Z2" s="370">
        <f t="shared" si="0"/>
        <v>9.862779325283462E-3</v>
      </c>
      <c r="AA2" s="370">
        <f t="shared" si="0"/>
        <v>5.1828842512781784E-3</v>
      </c>
      <c r="AB2" s="370">
        <f t="shared" si="0"/>
        <v>4.323561674256763E-2</v>
      </c>
      <c r="AC2" s="370">
        <f t="shared" si="0"/>
        <v>8.3075893094600119E-4</v>
      </c>
      <c r="AD2" s="370">
        <f t="shared" si="0"/>
        <v>2.6015746479224087E-2</v>
      </c>
      <c r="AE2" s="370">
        <f t="shared" si="0"/>
        <v>8.3536788949085547E-2</v>
      </c>
      <c r="AF2" s="370">
        <f t="shared" si="0"/>
        <v>8.2583281335110639E-4</v>
      </c>
      <c r="AG2" s="154"/>
      <c r="AH2" s="152"/>
      <c r="AI2" s="152"/>
    </row>
    <row r="3" spans="1:40">
      <c r="A3" s="154"/>
      <c r="B3" s="153" t="s">
        <v>798</v>
      </c>
      <c r="C3" s="153">
        <v>1</v>
      </c>
      <c r="D3" s="153">
        <v>1</v>
      </c>
      <c r="E3" s="153">
        <v>1</v>
      </c>
      <c r="F3" s="153">
        <v>1</v>
      </c>
      <c r="G3" s="153">
        <v>1</v>
      </c>
      <c r="H3" s="153">
        <v>1</v>
      </c>
      <c r="I3" s="153">
        <v>1</v>
      </c>
      <c r="J3" s="153">
        <v>1</v>
      </c>
      <c r="K3" s="153">
        <v>1</v>
      </c>
      <c r="L3" s="153">
        <v>1</v>
      </c>
      <c r="M3" s="153">
        <v>1</v>
      </c>
      <c r="N3" s="153">
        <v>1</v>
      </c>
      <c r="O3" s="153">
        <v>1</v>
      </c>
      <c r="P3" s="153">
        <v>1</v>
      </c>
      <c r="Q3" s="153">
        <v>1</v>
      </c>
      <c r="R3" s="153">
        <v>1</v>
      </c>
      <c r="S3" s="153">
        <v>1</v>
      </c>
      <c r="T3" s="153">
        <v>1</v>
      </c>
      <c r="U3" s="153">
        <v>1</v>
      </c>
      <c r="V3" s="153">
        <v>1</v>
      </c>
      <c r="W3" s="153">
        <v>1</v>
      </c>
      <c r="X3" s="153">
        <v>1</v>
      </c>
      <c r="Y3" s="153">
        <v>1</v>
      </c>
      <c r="Z3" s="153">
        <v>1</v>
      </c>
      <c r="AA3" s="153">
        <v>1</v>
      </c>
      <c r="AB3" s="153">
        <v>1</v>
      </c>
      <c r="AC3" s="153">
        <v>1</v>
      </c>
      <c r="AD3" s="153">
        <v>1</v>
      </c>
      <c r="AE3" s="153">
        <v>1</v>
      </c>
      <c r="AF3" s="153">
        <v>1</v>
      </c>
      <c r="AG3" s="154"/>
      <c r="AH3" s="152"/>
      <c r="AI3" s="152"/>
    </row>
    <row r="4" spans="1:40">
      <c r="A4" s="154"/>
      <c r="B4" s="156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2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2"/>
      <c r="AE4" s="152"/>
      <c r="AF4" s="152"/>
      <c r="AG4" s="154"/>
      <c r="AH4" s="152"/>
      <c r="AI4" s="152"/>
    </row>
    <row r="5" spans="1:40">
      <c r="A5" s="154"/>
      <c r="B5" s="451" t="s">
        <v>799</v>
      </c>
      <c r="C5" s="451">
        <v>1</v>
      </c>
      <c r="D5" s="451">
        <f t="shared" ref="D5:AF5" si="1">C5+1</f>
        <v>2</v>
      </c>
      <c r="E5" s="451">
        <f t="shared" si="1"/>
        <v>3</v>
      </c>
      <c r="F5" s="451">
        <f t="shared" si="1"/>
        <v>4</v>
      </c>
      <c r="G5" s="451">
        <f t="shared" si="1"/>
        <v>5</v>
      </c>
      <c r="H5" s="451">
        <f t="shared" si="1"/>
        <v>6</v>
      </c>
      <c r="I5" s="451">
        <f t="shared" si="1"/>
        <v>7</v>
      </c>
      <c r="J5" s="451">
        <f t="shared" si="1"/>
        <v>8</v>
      </c>
      <c r="K5" s="451">
        <f t="shared" si="1"/>
        <v>9</v>
      </c>
      <c r="L5" s="451">
        <f t="shared" si="1"/>
        <v>10</v>
      </c>
      <c r="M5" s="451">
        <f t="shared" si="1"/>
        <v>11</v>
      </c>
      <c r="N5" s="451">
        <f t="shared" si="1"/>
        <v>12</v>
      </c>
      <c r="O5" s="451">
        <f t="shared" si="1"/>
        <v>13</v>
      </c>
      <c r="P5" s="451">
        <f t="shared" si="1"/>
        <v>14</v>
      </c>
      <c r="Q5" s="451">
        <f t="shared" si="1"/>
        <v>15</v>
      </c>
      <c r="R5" s="451">
        <f t="shared" si="1"/>
        <v>16</v>
      </c>
      <c r="S5" s="451">
        <f t="shared" si="1"/>
        <v>17</v>
      </c>
      <c r="T5" s="451">
        <f t="shared" si="1"/>
        <v>18</v>
      </c>
      <c r="U5" s="451">
        <f t="shared" si="1"/>
        <v>19</v>
      </c>
      <c r="V5" s="451">
        <f t="shared" si="1"/>
        <v>20</v>
      </c>
      <c r="W5" s="451">
        <f t="shared" si="1"/>
        <v>21</v>
      </c>
      <c r="X5" s="451">
        <f t="shared" si="1"/>
        <v>22</v>
      </c>
      <c r="Y5" s="451">
        <f t="shared" si="1"/>
        <v>23</v>
      </c>
      <c r="Z5" s="451">
        <f t="shared" si="1"/>
        <v>24</v>
      </c>
      <c r="AA5" s="451">
        <f t="shared" si="1"/>
        <v>25</v>
      </c>
      <c r="AB5" s="451">
        <f t="shared" si="1"/>
        <v>26</v>
      </c>
      <c r="AC5" s="451">
        <f t="shared" si="1"/>
        <v>27</v>
      </c>
      <c r="AD5" s="451">
        <f t="shared" si="1"/>
        <v>28</v>
      </c>
      <c r="AE5" s="451">
        <f t="shared" si="1"/>
        <v>29</v>
      </c>
      <c r="AF5" s="451">
        <f t="shared" si="1"/>
        <v>30</v>
      </c>
      <c r="AG5" s="452"/>
      <c r="AH5" s="162" t="s">
        <v>800</v>
      </c>
      <c r="AJ5" s="185"/>
      <c r="AK5" s="243"/>
      <c r="AL5" s="244"/>
      <c r="AM5" s="245"/>
      <c r="AN5" s="245"/>
    </row>
    <row r="6" spans="1:40" s="162" customFormat="1">
      <c r="A6" s="154"/>
      <c r="B6" s="158"/>
      <c r="C6" s="160"/>
      <c r="D6" s="160"/>
      <c r="E6" s="160"/>
      <c r="F6" s="160"/>
      <c r="G6" s="160"/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60"/>
      <c r="AB6" s="160"/>
      <c r="AC6" s="160"/>
      <c r="AD6" s="160"/>
      <c r="AE6" s="160"/>
      <c r="AF6" s="160"/>
      <c r="AG6" s="160"/>
      <c r="AH6" s="161"/>
      <c r="AI6" s="154"/>
    </row>
    <row r="7" spans="1:40">
      <c r="A7" s="154"/>
      <c r="B7" s="163" t="s">
        <v>801</v>
      </c>
      <c r="C7" s="164">
        <f t="shared" ref="C7:AF7" si="2">SUM(C9,C31,C44,C53,C62,C75,C92,C108,C183,C189,C210,C219)</f>
        <v>10775.031120895997</v>
      </c>
      <c r="D7" s="164">
        <f t="shared" si="2"/>
        <v>1472.4358093250448</v>
      </c>
      <c r="E7" s="164">
        <f t="shared" si="2"/>
        <v>1743.4786958342002</v>
      </c>
      <c r="F7" s="164">
        <f t="shared" si="2"/>
        <v>397.26424167420004</v>
      </c>
      <c r="G7" s="164">
        <f t="shared" si="2"/>
        <v>763.15204167420006</v>
      </c>
      <c r="H7" s="164">
        <f t="shared" si="2"/>
        <v>12305.51313337047</v>
      </c>
      <c r="I7" s="164">
        <f t="shared" si="2"/>
        <v>241.59493295294402</v>
      </c>
      <c r="J7" s="164">
        <f t="shared" si="2"/>
        <v>8189.1826116742004</v>
      </c>
      <c r="K7" s="164">
        <f t="shared" si="2"/>
        <v>43.404541674200004</v>
      </c>
      <c r="L7" s="164">
        <f t="shared" si="2"/>
        <v>845.77904167420013</v>
      </c>
      <c r="M7" s="164">
        <f t="shared" si="2"/>
        <v>1452.9584045185597</v>
      </c>
      <c r="N7" s="164">
        <f t="shared" si="2"/>
        <v>1099.803583204369</v>
      </c>
      <c r="O7" s="164">
        <f t="shared" si="2"/>
        <v>797.93392010620016</v>
      </c>
      <c r="P7" s="164">
        <f t="shared" si="2"/>
        <v>178.80952295294401</v>
      </c>
      <c r="Q7" s="164">
        <f t="shared" si="2"/>
        <v>8180.5448516742008</v>
      </c>
      <c r="R7" s="164">
        <f t="shared" si="2"/>
        <v>2648.0324560422537</v>
      </c>
      <c r="S7" s="164">
        <f t="shared" si="2"/>
        <v>783.53025167420014</v>
      </c>
      <c r="T7" s="164">
        <f t="shared" si="2"/>
        <v>351.64980167419998</v>
      </c>
      <c r="U7" s="164">
        <f t="shared" si="2"/>
        <v>825.99884167420009</v>
      </c>
      <c r="V7" s="164">
        <f t="shared" si="2"/>
        <v>49.327041674200004</v>
      </c>
      <c r="W7" s="164">
        <f t="shared" si="2"/>
        <v>1270.9883857973036</v>
      </c>
      <c r="X7" s="164">
        <f t="shared" si="2"/>
        <v>8611.8881932043714</v>
      </c>
      <c r="Y7" s="164">
        <f t="shared" si="2"/>
        <v>735.3069201062001</v>
      </c>
      <c r="Z7" s="164">
        <f t="shared" si="2"/>
        <v>757.22954167420005</v>
      </c>
      <c r="AA7" s="164">
        <f t="shared" si="2"/>
        <v>397.92364167420004</v>
      </c>
      <c r="AB7" s="164">
        <f t="shared" si="2"/>
        <v>3319.4787361862536</v>
      </c>
      <c r="AC7" s="164">
        <f t="shared" si="2"/>
        <v>63.7827516742</v>
      </c>
      <c r="AD7" s="164">
        <f t="shared" si="2"/>
        <v>1997.3976029529438</v>
      </c>
      <c r="AE7" s="164">
        <f t="shared" si="2"/>
        <v>6413.6611316742001</v>
      </c>
      <c r="AF7" s="164">
        <f t="shared" si="2"/>
        <v>63.404541674200004</v>
      </c>
      <c r="AG7" s="165"/>
      <c r="AH7" s="166">
        <f>SUM(C7:AF7)</f>
        <v>76776.486292563059</v>
      </c>
      <c r="AI7" s="152">
        <f>AH7*1000</f>
        <v>76776486.292563066</v>
      </c>
      <c r="AJ7" s="155">
        <f>AI7*0.1</f>
        <v>7677648.6292563071</v>
      </c>
    </row>
    <row r="8" spans="1:40" s="162" customFormat="1">
      <c r="A8" s="154"/>
      <c r="B8" s="15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N8" s="168"/>
      <c r="O8" s="168"/>
      <c r="P8" s="168"/>
      <c r="Q8" s="168"/>
      <c r="R8" s="168"/>
      <c r="S8" s="168"/>
      <c r="T8" s="168"/>
      <c r="U8" s="168"/>
      <c r="V8" s="168"/>
      <c r="W8" s="168"/>
      <c r="X8" s="168"/>
      <c r="Y8" s="168"/>
      <c r="Z8" s="168"/>
      <c r="AA8" s="168"/>
      <c r="AB8" s="168"/>
      <c r="AC8" s="168"/>
      <c r="AD8" s="168"/>
      <c r="AE8" s="168"/>
      <c r="AF8" s="168"/>
      <c r="AG8" s="160"/>
      <c r="AH8" s="161"/>
      <c r="AI8" s="154">
        <v>76101522.398828104</v>
      </c>
      <c r="AJ8" s="162">
        <f>AJ7/2</f>
        <v>3838824.3146281536</v>
      </c>
    </row>
    <row r="9" spans="1:40">
      <c r="A9" s="154"/>
      <c r="B9" s="453" t="s">
        <v>802</v>
      </c>
      <c r="C9" s="454">
        <f t="shared" ref="C9:AF9" si="3">SUM(C10,C14,C21)</f>
        <v>4510.7923900000005</v>
      </c>
      <c r="D9" s="454">
        <f t="shared" si="3"/>
        <v>0</v>
      </c>
      <c r="E9" s="454">
        <f t="shared" si="3"/>
        <v>713.82500000000005</v>
      </c>
      <c r="F9" s="454">
        <f t="shared" si="3"/>
        <v>0</v>
      </c>
      <c r="G9" s="454">
        <f t="shared" si="3"/>
        <v>713.82500000000005</v>
      </c>
      <c r="H9" s="454">
        <f t="shared" si="3"/>
        <v>30</v>
      </c>
      <c r="I9" s="454">
        <f t="shared" si="3"/>
        <v>0</v>
      </c>
      <c r="J9" s="454">
        <f t="shared" si="3"/>
        <v>4459.6323900000007</v>
      </c>
      <c r="K9" s="454">
        <f t="shared" si="3"/>
        <v>0</v>
      </c>
      <c r="L9" s="454">
        <f t="shared" si="3"/>
        <v>713.82500000000005</v>
      </c>
      <c r="M9" s="454">
        <f t="shared" si="3"/>
        <v>51.16</v>
      </c>
      <c r="N9" s="454">
        <f t="shared" si="3"/>
        <v>713.82500000000005</v>
      </c>
      <c r="O9" s="454">
        <f t="shared" si="3"/>
        <v>0</v>
      </c>
      <c r="P9" s="454">
        <f t="shared" si="3"/>
        <v>0</v>
      </c>
      <c r="Q9" s="454">
        <f t="shared" si="3"/>
        <v>4459.6323900000007</v>
      </c>
      <c r="R9" s="454">
        <f t="shared" si="3"/>
        <v>30</v>
      </c>
      <c r="S9" s="454">
        <f t="shared" si="3"/>
        <v>713.82500000000005</v>
      </c>
      <c r="T9" s="454">
        <f t="shared" si="3"/>
        <v>0</v>
      </c>
      <c r="U9" s="454">
        <f t="shared" si="3"/>
        <v>713.82500000000005</v>
      </c>
      <c r="V9" s="454">
        <f t="shared" si="3"/>
        <v>0</v>
      </c>
      <c r="W9" s="454">
        <f t="shared" si="3"/>
        <v>51.16</v>
      </c>
      <c r="X9" s="454">
        <f t="shared" si="3"/>
        <v>4459.6323900000007</v>
      </c>
      <c r="Y9" s="454">
        <f t="shared" si="3"/>
        <v>0</v>
      </c>
      <c r="Z9" s="454">
        <f t="shared" si="3"/>
        <v>713.82500000000005</v>
      </c>
      <c r="AA9" s="454">
        <f t="shared" si="3"/>
        <v>0</v>
      </c>
      <c r="AB9" s="454">
        <f t="shared" si="3"/>
        <v>743.82500000000005</v>
      </c>
      <c r="AC9" s="454">
        <f t="shared" si="3"/>
        <v>0</v>
      </c>
      <c r="AD9" s="454">
        <f t="shared" si="3"/>
        <v>0</v>
      </c>
      <c r="AE9" s="454">
        <f t="shared" si="3"/>
        <v>4459.6323900000007</v>
      </c>
      <c r="AF9" s="454">
        <f t="shared" si="3"/>
        <v>0</v>
      </c>
      <c r="AG9" s="169"/>
      <c r="AH9" s="455">
        <f>SUM(C9:AF9)</f>
        <v>28252.241950000003</v>
      </c>
      <c r="AI9" s="152" t="s">
        <v>803</v>
      </c>
    </row>
    <row r="10" spans="1:40" s="162" customFormat="1" outlineLevel="1">
      <c r="A10" s="154"/>
      <c r="B10" s="225" t="s">
        <v>296</v>
      </c>
      <c r="C10" s="226">
        <f>C11/10^3</f>
        <v>30</v>
      </c>
      <c r="D10" s="226">
        <f t="shared" ref="D10:U10" si="4">D11/10^3</f>
        <v>0</v>
      </c>
      <c r="E10" s="226">
        <f t="shared" si="4"/>
        <v>0</v>
      </c>
      <c r="F10" s="226">
        <f t="shared" si="4"/>
        <v>0</v>
      </c>
      <c r="G10" s="226">
        <f t="shared" si="4"/>
        <v>0</v>
      </c>
      <c r="H10" s="226">
        <f t="shared" si="4"/>
        <v>30</v>
      </c>
      <c r="I10" s="226">
        <f t="shared" si="4"/>
        <v>0</v>
      </c>
      <c r="J10" s="226">
        <f t="shared" si="4"/>
        <v>0</v>
      </c>
      <c r="K10" s="226">
        <f t="shared" si="4"/>
        <v>0</v>
      </c>
      <c r="L10" s="226">
        <f t="shared" si="4"/>
        <v>0</v>
      </c>
      <c r="M10" s="226">
        <f t="shared" si="4"/>
        <v>30</v>
      </c>
      <c r="N10" s="226">
        <f t="shared" si="4"/>
        <v>0</v>
      </c>
      <c r="O10" s="226">
        <f t="shared" si="4"/>
        <v>0</v>
      </c>
      <c r="P10" s="226">
        <f t="shared" si="4"/>
        <v>0</v>
      </c>
      <c r="Q10" s="226">
        <f t="shared" si="4"/>
        <v>0</v>
      </c>
      <c r="R10" s="226">
        <f t="shared" si="4"/>
        <v>30</v>
      </c>
      <c r="S10" s="226">
        <f t="shared" si="4"/>
        <v>0</v>
      </c>
      <c r="T10" s="226">
        <f t="shared" si="4"/>
        <v>0</v>
      </c>
      <c r="U10" s="226">
        <f t="shared" si="4"/>
        <v>0</v>
      </c>
      <c r="V10" s="226">
        <f>V11/10^3</f>
        <v>0</v>
      </c>
      <c r="W10" s="226">
        <f t="shared" ref="W10:AF10" si="5">W11/10^3</f>
        <v>30</v>
      </c>
      <c r="X10" s="226">
        <f t="shared" si="5"/>
        <v>0</v>
      </c>
      <c r="Y10" s="226">
        <f t="shared" si="5"/>
        <v>0</v>
      </c>
      <c r="Z10" s="226">
        <f t="shared" si="5"/>
        <v>0</v>
      </c>
      <c r="AA10" s="226">
        <f t="shared" si="5"/>
        <v>0</v>
      </c>
      <c r="AB10" s="226">
        <f t="shared" si="5"/>
        <v>30</v>
      </c>
      <c r="AC10" s="226">
        <f t="shared" si="5"/>
        <v>0</v>
      </c>
      <c r="AD10" s="226">
        <f t="shared" si="5"/>
        <v>0</v>
      </c>
      <c r="AE10" s="226">
        <f t="shared" si="5"/>
        <v>0</v>
      </c>
      <c r="AF10" s="226">
        <f t="shared" si="5"/>
        <v>0</v>
      </c>
      <c r="AG10" s="227"/>
      <c r="AH10" s="365">
        <f>SUM(C10:AF10)</f>
        <v>180</v>
      </c>
      <c r="AI10" s="154"/>
    </row>
    <row r="11" spans="1:40" s="162" customFormat="1" outlineLevel="2">
      <c r="A11" s="154"/>
      <c r="B11" s="258" t="s">
        <v>804</v>
      </c>
      <c r="C11" s="176">
        <f>C12*C13</f>
        <v>30000</v>
      </c>
      <c r="D11" s="176">
        <f t="shared" ref="D11:AF11" si="6">D12*D13</f>
        <v>0</v>
      </c>
      <c r="E11" s="176">
        <f t="shared" si="6"/>
        <v>0</v>
      </c>
      <c r="F11" s="176">
        <f t="shared" si="6"/>
        <v>0</v>
      </c>
      <c r="G11" s="176">
        <f t="shared" si="6"/>
        <v>0</v>
      </c>
      <c r="H11" s="176">
        <f t="shared" si="6"/>
        <v>30000</v>
      </c>
      <c r="I11" s="176">
        <f t="shared" si="6"/>
        <v>0</v>
      </c>
      <c r="J11" s="176">
        <f t="shared" si="6"/>
        <v>0</v>
      </c>
      <c r="K11" s="176">
        <f t="shared" si="6"/>
        <v>0</v>
      </c>
      <c r="L11" s="176">
        <f t="shared" si="6"/>
        <v>0</v>
      </c>
      <c r="M11" s="176">
        <f t="shared" si="6"/>
        <v>30000</v>
      </c>
      <c r="N11" s="176">
        <f t="shared" si="6"/>
        <v>0</v>
      </c>
      <c r="O11" s="176">
        <f t="shared" si="6"/>
        <v>0</v>
      </c>
      <c r="P11" s="176">
        <f t="shared" si="6"/>
        <v>0</v>
      </c>
      <c r="Q11" s="176">
        <f t="shared" si="6"/>
        <v>0</v>
      </c>
      <c r="R11" s="176">
        <f t="shared" si="6"/>
        <v>30000</v>
      </c>
      <c r="S11" s="176">
        <f t="shared" si="6"/>
        <v>0</v>
      </c>
      <c r="T11" s="176">
        <f t="shared" si="6"/>
        <v>0</v>
      </c>
      <c r="U11" s="176">
        <f t="shared" si="6"/>
        <v>0</v>
      </c>
      <c r="V11" s="176">
        <f t="shared" si="6"/>
        <v>0</v>
      </c>
      <c r="W11" s="176">
        <f t="shared" si="6"/>
        <v>30000</v>
      </c>
      <c r="X11" s="176">
        <f t="shared" si="6"/>
        <v>0</v>
      </c>
      <c r="Y11" s="176">
        <f t="shared" si="6"/>
        <v>0</v>
      </c>
      <c r="Z11" s="176">
        <f t="shared" si="6"/>
        <v>0</v>
      </c>
      <c r="AA11" s="176">
        <f t="shared" si="6"/>
        <v>0</v>
      </c>
      <c r="AB11" s="176">
        <f t="shared" si="6"/>
        <v>30000</v>
      </c>
      <c r="AC11" s="176">
        <f t="shared" si="6"/>
        <v>0</v>
      </c>
      <c r="AD11" s="176">
        <f t="shared" si="6"/>
        <v>0</v>
      </c>
      <c r="AE11" s="176">
        <f t="shared" si="6"/>
        <v>0</v>
      </c>
      <c r="AF11" s="176">
        <f t="shared" si="6"/>
        <v>0</v>
      </c>
      <c r="AG11" s="227"/>
      <c r="AH11" s="252"/>
      <c r="AI11" s="154"/>
    </row>
    <row r="12" spans="1:40" s="514" customFormat="1" ht="16.5" customHeight="1" outlineLevel="1">
      <c r="A12" s="510"/>
      <c r="B12" s="258" t="s">
        <v>805</v>
      </c>
      <c r="C12" s="508">
        <v>1</v>
      </c>
      <c r="D12" s="508">
        <v>0</v>
      </c>
      <c r="E12" s="508">
        <v>0</v>
      </c>
      <c r="F12" s="508">
        <v>0</v>
      </c>
      <c r="G12" s="508">
        <v>0</v>
      </c>
      <c r="H12" s="508">
        <v>1</v>
      </c>
      <c r="I12" s="508">
        <v>0</v>
      </c>
      <c r="J12" s="508">
        <v>0</v>
      </c>
      <c r="K12" s="508">
        <v>0</v>
      </c>
      <c r="L12" s="508">
        <v>0</v>
      </c>
      <c r="M12" s="508">
        <v>1</v>
      </c>
      <c r="N12" s="508">
        <v>0</v>
      </c>
      <c r="O12" s="508">
        <v>0</v>
      </c>
      <c r="P12" s="508">
        <v>0</v>
      </c>
      <c r="Q12" s="508">
        <v>0</v>
      </c>
      <c r="R12" s="508">
        <v>1</v>
      </c>
      <c r="S12" s="508">
        <v>0</v>
      </c>
      <c r="T12" s="508">
        <v>0</v>
      </c>
      <c r="U12" s="508">
        <v>0</v>
      </c>
      <c r="V12" s="508">
        <v>0</v>
      </c>
      <c r="W12" s="508">
        <v>1</v>
      </c>
      <c r="X12" s="508">
        <v>0</v>
      </c>
      <c r="Y12" s="508">
        <v>0</v>
      </c>
      <c r="Z12" s="508">
        <v>0</v>
      </c>
      <c r="AA12" s="508">
        <v>0</v>
      </c>
      <c r="AB12" s="508">
        <v>1</v>
      </c>
      <c r="AC12" s="508">
        <v>0</v>
      </c>
      <c r="AD12" s="508">
        <v>0</v>
      </c>
      <c r="AE12" s="508">
        <v>0</v>
      </c>
      <c r="AF12" s="508">
        <v>0</v>
      </c>
      <c r="AG12" s="703"/>
      <c r="AH12" s="704"/>
      <c r="AI12" s="512"/>
    </row>
    <row r="13" spans="1:40" s="255" customFormat="1" outlineLevel="2">
      <c r="A13" s="154"/>
      <c r="B13" s="181" t="s">
        <v>272</v>
      </c>
      <c r="C13" s="227">
        <f>Insumos!$E$23</f>
        <v>30000</v>
      </c>
      <c r="D13" s="227">
        <f>C13</f>
        <v>30000</v>
      </c>
      <c r="E13" s="227">
        <f t="shared" ref="E13:AF13" si="7">D13</f>
        <v>30000</v>
      </c>
      <c r="F13" s="227">
        <f t="shared" si="7"/>
        <v>30000</v>
      </c>
      <c r="G13" s="227">
        <f t="shared" si="7"/>
        <v>30000</v>
      </c>
      <c r="H13" s="227">
        <f t="shared" si="7"/>
        <v>30000</v>
      </c>
      <c r="I13" s="227">
        <f t="shared" si="7"/>
        <v>30000</v>
      </c>
      <c r="J13" s="227">
        <f t="shared" si="7"/>
        <v>30000</v>
      </c>
      <c r="K13" s="227">
        <f t="shared" si="7"/>
        <v>30000</v>
      </c>
      <c r="L13" s="227">
        <f t="shared" si="7"/>
        <v>30000</v>
      </c>
      <c r="M13" s="227">
        <f t="shared" si="7"/>
        <v>30000</v>
      </c>
      <c r="N13" s="227">
        <f t="shared" si="7"/>
        <v>30000</v>
      </c>
      <c r="O13" s="227">
        <f t="shared" si="7"/>
        <v>30000</v>
      </c>
      <c r="P13" s="227">
        <f t="shared" si="7"/>
        <v>30000</v>
      </c>
      <c r="Q13" s="227">
        <f t="shared" si="7"/>
        <v>30000</v>
      </c>
      <c r="R13" s="227">
        <f t="shared" si="7"/>
        <v>30000</v>
      </c>
      <c r="S13" s="227">
        <f t="shared" si="7"/>
        <v>30000</v>
      </c>
      <c r="T13" s="227">
        <f t="shared" si="7"/>
        <v>30000</v>
      </c>
      <c r="U13" s="227">
        <f t="shared" si="7"/>
        <v>30000</v>
      </c>
      <c r="V13" s="227">
        <f t="shared" si="7"/>
        <v>30000</v>
      </c>
      <c r="W13" s="227">
        <f t="shared" si="7"/>
        <v>30000</v>
      </c>
      <c r="X13" s="227">
        <f t="shared" si="7"/>
        <v>30000</v>
      </c>
      <c r="Y13" s="227">
        <f t="shared" si="7"/>
        <v>30000</v>
      </c>
      <c r="Z13" s="227">
        <f t="shared" si="7"/>
        <v>30000</v>
      </c>
      <c r="AA13" s="227">
        <f t="shared" si="7"/>
        <v>30000</v>
      </c>
      <c r="AB13" s="227">
        <f t="shared" si="7"/>
        <v>30000</v>
      </c>
      <c r="AC13" s="227">
        <f t="shared" si="7"/>
        <v>30000</v>
      </c>
      <c r="AD13" s="227">
        <f t="shared" si="7"/>
        <v>30000</v>
      </c>
      <c r="AE13" s="227">
        <f t="shared" si="7"/>
        <v>30000</v>
      </c>
      <c r="AF13" s="227">
        <f t="shared" si="7"/>
        <v>30000</v>
      </c>
      <c r="AG13" s="227"/>
      <c r="AH13" s="253"/>
      <c r="AI13" s="254"/>
    </row>
    <row r="14" spans="1:40" s="162" customFormat="1" outlineLevel="1">
      <c r="A14" s="154"/>
      <c r="B14" s="225" t="s">
        <v>297</v>
      </c>
      <c r="C14" s="226">
        <f>SUM(C15,C18)/10^3</f>
        <v>4424.8905500000001</v>
      </c>
      <c r="D14" s="226">
        <f t="shared" ref="D14:AF14" si="8">SUM(D15,D18)/10^3</f>
        <v>0</v>
      </c>
      <c r="E14" s="226">
        <f t="shared" si="8"/>
        <v>0</v>
      </c>
      <c r="F14" s="226">
        <f t="shared" si="8"/>
        <v>0</v>
      </c>
      <c r="G14" s="226">
        <f t="shared" si="8"/>
        <v>0</v>
      </c>
      <c r="H14" s="226">
        <f t="shared" si="8"/>
        <v>0</v>
      </c>
      <c r="I14" s="226">
        <f t="shared" si="8"/>
        <v>0</v>
      </c>
      <c r="J14" s="226">
        <f t="shared" si="8"/>
        <v>4403.7305500000002</v>
      </c>
      <c r="K14" s="226">
        <f t="shared" si="8"/>
        <v>0</v>
      </c>
      <c r="L14" s="226">
        <f t="shared" si="8"/>
        <v>0</v>
      </c>
      <c r="M14" s="226">
        <f t="shared" si="8"/>
        <v>21.16</v>
      </c>
      <c r="N14" s="226">
        <f t="shared" si="8"/>
        <v>0</v>
      </c>
      <c r="O14" s="226">
        <f t="shared" si="8"/>
        <v>0</v>
      </c>
      <c r="P14" s="226">
        <f t="shared" si="8"/>
        <v>0</v>
      </c>
      <c r="Q14" s="226">
        <f t="shared" si="8"/>
        <v>4403.7305500000002</v>
      </c>
      <c r="R14" s="226">
        <f t="shared" si="8"/>
        <v>0</v>
      </c>
      <c r="S14" s="226">
        <f t="shared" si="8"/>
        <v>0</v>
      </c>
      <c r="T14" s="226">
        <f t="shared" si="8"/>
        <v>0</v>
      </c>
      <c r="U14" s="226">
        <f t="shared" si="8"/>
        <v>0</v>
      </c>
      <c r="V14" s="226">
        <f t="shared" si="8"/>
        <v>0</v>
      </c>
      <c r="W14" s="226">
        <f t="shared" si="8"/>
        <v>21.16</v>
      </c>
      <c r="X14" s="226">
        <f t="shared" si="8"/>
        <v>4403.7305500000002</v>
      </c>
      <c r="Y14" s="226">
        <f t="shared" si="8"/>
        <v>0</v>
      </c>
      <c r="Z14" s="226">
        <f t="shared" si="8"/>
        <v>0</v>
      </c>
      <c r="AA14" s="226">
        <f t="shared" si="8"/>
        <v>0</v>
      </c>
      <c r="AB14" s="226">
        <f t="shared" si="8"/>
        <v>0</v>
      </c>
      <c r="AC14" s="226">
        <f t="shared" si="8"/>
        <v>0</v>
      </c>
      <c r="AD14" s="226">
        <f t="shared" si="8"/>
        <v>0</v>
      </c>
      <c r="AE14" s="226">
        <f t="shared" si="8"/>
        <v>4403.7305500000002</v>
      </c>
      <c r="AF14" s="226">
        <f t="shared" si="8"/>
        <v>0</v>
      </c>
      <c r="AG14" s="227"/>
      <c r="AH14" s="365">
        <f>SUM(C14:AF14)</f>
        <v>22082.132750000001</v>
      </c>
      <c r="AI14" s="154"/>
    </row>
    <row r="15" spans="1:40" s="162" customFormat="1" outlineLevel="2">
      <c r="A15" s="154"/>
      <c r="B15" s="256" t="s">
        <v>806</v>
      </c>
      <c r="C15" s="174">
        <f>C16*C17</f>
        <v>4403730.55</v>
      </c>
      <c r="D15" s="174">
        <f t="shared" ref="D15:AF15" si="9">D16*D17</f>
        <v>0</v>
      </c>
      <c r="E15" s="174">
        <f t="shared" si="9"/>
        <v>0</v>
      </c>
      <c r="F15" s="174">
        <f t="shared" si="9"/>
        <v>0</v>
      </c>
      <c r="G15" s="174">
        <f t="shared" si="9"/>
        <v>0</v>
      </c>
      <c r="H15" s="174">
        <f t="shared" si="9"/>
        <v>0</v>
      </c>
      <c r="I15" s="174">
        <f t="shared" si="9"/>
        <v>0</v>
      </c>
      <c r="J15" s="174">
        <f t="shared" si="9"/>
        <v>4403730.55</v>
      </c>
      <c r="K15" s="174">
        <f t="shared" si="9"/>
        <v>0</v>
      </c>
      <c r="L15" s="174">
        <f t="shared" si="9"/>
        <v>0</v>
      </c>
      <c r="M15" s="174">
        <f t="shared" si="9"/>
        <v>0</v>
      </c>
      <c r="N15" s="174">
        <f t="shared" si="9"/>
        <v>0</v>
      </c>
      <c r="O15" s="174">
        <f t="shared" si="9"/>
        <v>0</v>
      </c>
      <c r="P15" s="174">
        <f t="shared" si="9"/>
        <v>0</v>
      </c>
      <c r="Q15" s="174">
        <f t="shared" si="9"/>
        <v>4403730.55</v>
      </c>
      <c r="R15" s="174">
        <f t="shared" si="9"/>
        <v>0</v>
      </c>
      <c r="S15" s="174">
        <f t="shared" si="9"/>
        <v>0</v>
      </c>
      <c r="T15" s="174">
        <f t="shared" si="9"/>
        <v>0</v>
      </c>
      <c r="U15" s="174">
        <f t="shared" si="9"/>
        <v>0</v>
      </c>
      <c r="V15" s="174">
        <f t="shared" si="9"/>
        <v>0</v>
      </c>
      <c r="W15" s="174">
        <f t="shared" si="9"/>
        <v>0</v>
      </c>
      <c r="X15" s="174">
        <f t="shared" si="9"/>
        <v>4403730.55</v>
      </c>
      <c r="Y15" s="174">
        <f t="shared" si="9"/>
        <v>0</v>
      </c>
      <c r="Z15" s="174">
        <f t="shared" si="9"/>
        <v>0</v>
      </c>
      <c r="AA15" s="174">
        <f t="shared" si="9"/>
        <v>0</v>
      </c>
      <c r="AB15" s="174">
        <f t="shared" si="9"/>
        <v>0</v>
      </c>
      <c r="AC15" s="174">
        <f t="shared" si="9"/>
        <v>0</v>
      </c>
      <c r="AD15" s="174">
        <f t="shared" si="9"/>
        <v>0</v>
      </c>
      <c r="AE15" s="174">
        <f t="shared" si="9"/>
        <v>4403730.55</v>
      </c>
      <c r="AF15" s="174">
        <f t="shared" si="9"/>
        <v>0</v>
      </c>
      <c r="AG15" s="174"/>
      <c r="AH15" s="161"/>
      <c r="AI15" s="154"/>
    </row>
    <row r="16" spans="1:40" s="162" customFormat="1" outlineLevel="2">
      <c r="A16" s="154"/>
      <c r="B16" s="150" t="s">
        <v>805</v>
      </c>
      <c r="C16" s="172">
        <v>5</v>
      </c>
      <c r="D16" s="172">
        <v>0</v>
      </c>
      <c r="E16" s="172">
        <v>0</v>
      </c>
      <c r="F16" s="172">
        <v>0</v>
      </c>
      <c r="G16" s="172">
        <v>0</v>
      </c>
      <c r="H16" s="172">
        <v>0</v>
      </c>
      <c r="I16" s="172">
        <v>0</v>
      </c>
      <c r="J16" s="172">
        <v>5</v>
      </c>
      <c r="K16" s="172">
        <v>0</v>
      </c>
      <c r="L16" s="172">
        <v>0</v>
      </c>
      <c r="M16" s="172">
        <v>0</v>
      </c>
      <c r="N16" s="172">
        <v>0</v>
      </c>
      <c r="O16" s="172">
        <v>0</v>
      </c>
      <c r="P16" s="172">
        <v>0</v>
      </c>
      <c r="Q16" s="172">
        <v>5</v>
      </c>
      <c r="R16" s="172">
        <v>0</v>
      </c>
      <c r="S16" s="172">
        <v>0</v>
      </c>
      <c r="T16" s="172">
        <v>0</v>
      </c>
      <c r="U16" s="172">
        <v>0</v>
      </c>
      <c r="V16" s="172">
        <v>0</v>
      </c>
      <c r="W16" s="172">
        <v>0</v>
      </c>
      <c r="X16" s="172">
        <v>5</v>
      </c>
      <c r="Y16" s="172">
        <v>0</v>
      </c>
      <c r="Z16" s="172">
        <v>0</v>
      </c>
      <c r="AA16" s="172">
        <v>0</v>
      </c>
      <c r="AB16" s="172">
        <v>0</v>
      </c>
      <c r="AC16" s="172">
        <v>0</v>
      </c>
      <c r="AD16" s="172">
        <v>0</v>
      </c>
      <c r="AE16" s="172">
        <v>5</v>
      </c>
      <c r="AF16" s="172">
        <v>0</v>
      </c>
      <c r="AG16" s="175">
        <v>5</v>
      </c>
      <c r="AH16" s="161"/>
      <c r="AI16" s="154"/>
    </row>
    <row r="17" spans="1:35" s="162" customFormat="1" outlineLevel="2">
      <c r="A17" s="154"/>
      <c r="B17" s="150" t="s">
        <v>807</v>
      </c>
      <c r="C17" s="176">
        <f>Insumos!$E$15+Insumos!$E$18</f>
        <v>880746.11</v>
      </c>
      <c r="D17" s="176">
        <f>C17</f>
        <v>880746.11</v>
      </c>
      <c r="E17" s="176">
        <f t="shared" ref="E17:AF17" si="10">D17</f>
        <v>880746.11</v>
      </c>
      <c r="F17" s="176">
        <f t="shared" si="10"/>
        <v>880746.11</v>
      </c>
      <c r="G17" s="176">
        <f t="shared" si="10"/>
        <v>880746.11</v>
      </c>
      <c r="H17" s="176">
        <f t="shared" si="10"/>
        <v>880746.11</v>
      </c>
      <c r="I17" s="176">
        <f t="shared" si="10"/>
        <v>880746.11</v>
      </c>
      <c r="J17" s="176">
        <f t="shared" si="10"/>
        <v>880746.11</v>
      </c>
      <c r="K17" s="176">
        <f t="shared" si="10"/>
        <v>880746.11</v>
      </c>
      <c r="L17" s="176">
        <f t="shared" si="10"/>
        <v>880746.11</v>
      </c>
      <c r="M17" s="176">
        <f t="shared" si="10"/>
        <v>880746.11</v>
      </c>
      <c r="N17" s="176">
        <f t="shared" si="10"/>
        <v>880746.11</v>
      </c>
      <c r="O17" s="176">
        <f t="shared" si="10"/>
        <v>880746.11</v>
      </c>
      <c r="P17" s="176">
        <f t="shared" si="10"/>
        <v>880746.11</v>
      </c>
      <c r="Q17" s="176">
        <f t="shared" si="10"/>
        <v>880746.11</v>
      </c>
      <c r="R17" s="176">
        <f t="shared" si="10"/>
        <v>880746.11</v>
      </c>
      <c r="S17" s="176">
        <f t="shared" si="10"/>
        <v>880746.11</v>
      </c>
      <c r="T17" s="176">
        <f t="shared" si="10"/>
        <v>880746.11</v>
      </c>
      <c r="U17" s="176">
        <f t="shared" si="10"/>
        <v>880746.11</v>
      </c>
      <c r="V17" s="176">
        <f t="shared" si="10"/>
        <v>880746.11</v>
      </c>
      <c r="W17" s="176">
        <f t="shared" si="10"/>
        <v>880746.11</v>
      </c>
      <c r="X17" s="176">
        <f t="shared" si="10"/>
        <v>880746.11</v>
      </c>
      <c r="Y17" s="176">
        <f t="shared" si="10"/>
        <v>880746.11</v>
      </c>
      <c r="Z17" s="176">
        <f t="shared" si="10"/>
        <v>880746.11</v>
      </c>
      <c r="AA17" s="176">
        <f t="shared" si="10"/>
        <v>880746.11</v>
      </c>
      <c r="AB17" s="176">
        <f t="shared" si="10"/>
        <v>880746.11</v>
      </c>
      <c r="AC17" s="176">
        <f t="shared" si="10"/>
        <v>880746.11</v>
      </c>
      <c r="AD17" s="176">
        <f t="shared" si="10"/>
        <v>880746.11</v>
      </c>
      <c r="AE17" s="176">
        <f t="shared" si="10"/>
        <v>880746.11</v>
      </c>
      <c r="AF17" s="176">
        <f t="shared" si="10"/>
        <v>880746.11</v>
      </c>
      <c r="AG17" s="175"/>
      <c r="AH17" s="257"/>
      <c r="AI17" s="154"/>
    </row>
    <row r="18" spans="1:35" s="162" customFormat="1" outlineLevel="2">
      <c r="A18" s="154"/>
      <c r="B18" s="256" t="s">
        <v>808</v>
      </c>
      <c r="C18" s="174">
        <f>C19*C20</f>
        <v>21160</v>
      </c>
      <c r="D18" s="174">
        <f t="shared" ref="D18:AF18" si="11">D19*D20</f>
        <v>0</v>
      </c>
      <c r="E18" s="174">
        <f t="shared" si="11"/>
        <v>0</v>
      </c>
      <c r="F18" s="174">
        <f t="shared" si="11"/>
        <v>0</v>
      </c>
      <c r="G18" s="174">
        <f t="shared" si="11"/>
        <v>0</v>
      </c>
      <c r="H18" s="174">
        <f t="shared" si="11"/>
        <v>0</v>
      </c>
      <c r="I18" s="174">
        <f t="shared" si="11"/>
        <v>0</v>
      </c>
      <c r="J18" s="174">
        <f t="shared" si="11"/>
        <v>0</v>
      </c>
      <c r="K18" s="174">
        <f t="shared" si="11"/>
        <v>0</v>
      </c>
      <c r="L18" s="174">
        <f t="shared" si="11"/>
        <v>0</v>
      </c>
      <c r="M18" s="174">
        <f t="shared" si="11"/>
        <v>21160</v>
      </c>
      <c r="N18" s="174">
        <f t="shared" si="11"/>
        <v>0</v>
      </c>
      <c r="O18" s="174">
        <f t="shared" si="11"/>
        <v>0</v>
      </c>
      <c r="P18" s="174">
        <f t="shared" si="11"/>
        <v>0</v>
      </c>
      <c r="Q18" s="174">
        <f t="shared" si="11"/>
        <v>0</v>
      </c>
      <c r="R18" s="174">
        <f t="shared" si="11"/>
        <v>0</v>
      </c>
      <c r="S18" s="174">
        <f t="shared" si="11"/>
        <v>0</v>
      </c>
      <c r="T18" s="174">
        <f t="shared" si="11"/>
        <v>0</v>
      </c>
      <c r="U18" s="174">
        <f t="shared" si="11"/>
        <v>0</v>
      </c>
      <c r="V18" s="174">
        <f t="shared" si="11"/>
        <v>0</v>
      </c>
      <c r="W18" s="174">
        <f t="shared" si="11"/>
        <v>21160</v>
      </c>
      <c r="X18" s="174">
        <f t="shared" si="11"/>
        <v>0</v>
      </c>
      <c r="Y18" s="174">
        <f t="shared" si="11"/>
        <v>0</v>
      </c>
      <c r="Z18" s="174">
        <f t="shared" si="11"/>
        <v>0</v>
      </c>
      <c r="AA18" s="174">
        <f t="shared" si="11"/>
        <v>0</v>
      </c>
      <c r="AB18" s="174">
        <f t="shared" si="11"/>
        <v>0</v>
      </c>
      <c r="AC18" s="174">
        <f t="shared" si="11"/>
        <v>0</v>
      </c>
      <c r="AD18" s="174">
        <f t="shared" si="11"/>
        <v>0</v>
      </c>
      <c r="AE18" s="174">
        <f t="shared" si="11"/>
        <v>0</v>
      </c>
      <c r="AF18" s="174">
        <f t="shared" si="11"/>
        <v>0</v>
      </c>
      <c r="AG18" s="174"/>
      <c r="AH18" s="161"/>
      <c r="AI18" s="154"/>
    </row>
    <row r="19" spans="1:35" s="162" customFormat="1" outlineLevel="2">
      <c r="A19" s="154"/>
      <c r="B19" s="150" t="s">
        <v>805</v>
      </c>
      <c r="C19" s="172">
        <v>1</v>
      </c>
      <c r="D19" s="172">
        <v>0</v>
      </c>
      <c r="E19" s="172">
        <v>0</v>
      </c>
      <c r="F19" s="172">
        <v>0</v>
      </c>
      <c r="G19" s="172">
        <v>0</v>
      </c>
      <c r="H19" s="172">
        <v>0</v>
      </c>
      <c r="I19" s="172">
        <v>0</v>
      </c>
      <c r="J19" s="172">
        <v>0</v>
      </c>
      <c r="K19" s="172">
        <v>0</v>
      </c>
      <c r="L19" s="172">
        <v>0</v>
      </c>
      <c r="M19" s="172">
        <v>1</v>
      </c>
      <c r="N19" s="172">
        <v>0</v>
      </c>
      <c r="O19" s="172">
        <v>0</v>
      </c>
      <c r="P19" s="172">
        <v>0</v>
      </c>
      <c r="Q19" s="172">
        <v>0</v>
      </c>
      <c r="R19" s="172">
        <v>0</v>
      </c>
      <c r="S19" s="172">
        <v>0</v>
      </c>
      <c r="T19" s="172">
        <v>0</v>
      </c>
      <c r="U19" s="172">
        <v>0</v>
      </c>
      <c r="V19" s="172">
        <v>0</v>
      </c>
      <c r="W19" s="172">
        <v>1</v>
      </c>
      <c r="X19" s="172">
        <v>0</v>
      </c>
      <c r="Y19" s="172">
        <v>0</v>
      </c>
      <c r="Z19" s="172">
        <v>0</v>
      </c>
      <c r="AA19" s="172">
        <v>0</v>
      </c>
      <c r="AB19" s="172">
        <v>0</v>
      </c>
      <c r="AC19" s="172">
        <v>0</v>
      </c>
      <c r="AD19" s="172">
        <v>0</v>
      </c>
      <c r="AE19" s="172">
        <v>0</v>
      </c>
      <c r="AF19" s="172">
        <v>0</v>
      </c>
      <c r="AG19" s="175"/>
      <c r="AH19" s="161"/>
      <c r="AI19" s="154"/>
    </row>
    <row r="20" spans="1:35" s="162" customFormat="1" outlineLevel="2">
      <c r="A20" s="154"/>
      <c r="B20" s="150" t="s">
        <v>807</v>
      </c>
      <c r="C20" s="176">
        <f>Insumos!$E$26</f>
        <v>21160</v>
      </c>
      <c r="D20" s="176">
        <f>C20</f>
        <v>21160</v>
      </c>
      <c r="E20" s="176">
        <f t="shared" ref="E20:AF20" si="12">D20</f>
        <v>21160</v>
      </c>
      <c r="F20" s="176">
        <f t="shared" si="12"/>
        <v>21160</v>
      </c>
      <c r="G20" s="176">
        <f t="shared" si="12"/>
        <v>21160</v>
      </c>
      <c r="H20" s="176">
        <f t="shared" si="12"/>
        <v>21160</v>
      </c>
      <c r="I20" s="176">
        <f t="shared" si="12"/>
        <v>21160</v>
      </c>
      <c r="J20" s="176">
        <f t="shared" si="12"/>
        <v>21160</v>
      </c>
      <c r="K20" s="176">
        <f t="shared" si="12"/>
        <v>21160</v>
      </c>
      <c r="L20" s="176">
        <f t="shared" si="12"/>
        <v>21160</v>
      </c>
      <c r="M20" s="176">
        <f t="shared" si="12"/>
        <v>21160</v>
      </c>
      <c r="N20" s="176">
        <f t="shared" si="12"/>
        <v>21160</v>
      </c>
      <c r="O20" s="176">
        <f t="shared" si="12"/>
        <v>21160</v>
      </c>
      <c r="P20" s="176">
        <f t="shared" si="12"/>
        <v>21160</v>
      </c>
      <c r="Q20" s="176">
        <f t="shared" si="12"/>
        <v>21160</v>
      </c>
      <c r="R20" s="176">
        <f t="shared" si="12"/>
        <v>21160</v>
      </c>
      <c r="S20" s="176">
        <f t="shared" si="12"/>
        <v>21160</v>
      </c>
      <c r="T20" s="176">
        <f t="shared" si="12"/>
        <v>21160</v>
      </c>
      <c r="U20" s="176">
        <f t="shared" si="12"/>
        <v>21160</v>
      </c>
      <c r="V20" s="176">
        <f t="shared" si="12"/>
        <v>21160</v>
      </c>
      <c r="W20" s="176">
        <f t="shared" si="12"/>
        <v>21160</v>
      </c>
      <c r="X20" s="176">
        <f t="shared" si="12"/>
        <v>21160</v>
      </c>
      <c r="Y20" s="176">
        <f t="shared" si="12"/>
        <v>21160</v>
      </c>
      <c r="Z20" s="176">
        <f t="shared" si="12"/>
        <v>21160</v>
      </c>
      <c r="AA20" s="176">
        <f t="shared" si="12"/>
        <v>21160</v>
      </c>
      <c r="AB20" s="176">
        <f t="shared" si="12"/>
        <v>21160</v>
      </c>
      <c r="AC20" s="176">
        <f t="shared" si="12"/>
        <v>21160</v>
      </c>
      <c r="AD20" s="176">
        <f t="shared" si="12"/>
        <v>21160</v>
      </c>
      <c r="AE20" s="176">
        <f t="shared" si="12"/>
        <v>21160</v>
      </c>
      <c r="AF20" s="176">
        <f t="shared" si="12"/>
        <v>21160</v>
      </c>
      <c r="AG20" s="173"/>
      <c r="AH20" s="161"/>
      <c r="AI20" s="154"/>
    </row>
    <row r="21" spans="1:35" outlineLevel="1">
      <c r="A21" s="154"/>
      <c r="B21" s="225" t="s">
        <v>299</v>
      </c>
      <c r="C21" s="705">
        <f>((C22*C23)+(C24*C25)+(C26*C27)+(C28*C29))/10^3</f>
        <v>55.90184</v>
      </c>
      <c r="D21" s="705">
        <f t="shared" ref="D21:AF21" si="13">((D22*D23)+(D24*D25)+(D26*D27)+(D28*D29))/10^3</f>
        <v>0</v>
      </c>
      <c r="E21" s="705">
        <f t="shared" si="13"/>
        <v>713.82500000000005</v>
      </c>
      <c r="F21" s="705">
        <f t="shared" si="13"/>
        <v>0</v>
      </c>
      <c r="G21" s="705">
        <f t="shared" si="13"/>
        <v>713.82500000000005</v>
      </c>
      <c r="H21" s="705">
        <f t="shared" si="13"/>
        <v>0</v>
      </c>
      <c r="I21" s="705">
        <f t="shared" si="13"/>
        <v>0</v>
      </c>
      <c r="J21" s="705">
        <f t="shared" si="13"/>
        <v>55.90184</v>
      </c>
      <c r="K21" s="705">
        <f t="shared" si="13"/>
        <v>0</v>
      </c>
      <c r="L21" s="705">
        <f t="shared" si="13"/>
        <v>713.82500000000005</v>
      </c>
      <c r="M21" s="705">
        <f t="shared" si="13"/>
        <v>0</v>
      </c>
      <c r="N21" s="705">
        <f t="shared" si="13"/>
        <v>713.82500000000005</v>
      </c>
      <c r="O21" s="705">
        <f t="shared" si="13"/>
        <v>0</v>
      </c>
      <c r="P21" s="705">
        <f t="shared" si="13"/>
        <v>0</v>
      </c>
      <c r="Q21" s="705">
        <f t="shared" si="13"/>
        <v>55.90184</v>
      </c>
      <c r="R21" s="705">
        <f t="shared" si="13"/>
        <v>0</v>
      </c>
      <c r="S21" s="705">
        <f t="shared" si="13"/>
        <v>713.82500000000005</v>
      </c>
      <c r="T21" s="705">
        <f t="shared" si="13"/>
        <v>0</v>
      </c>
      <c r="U21" s="705">
        <f t="shared" si="13"/>
        <v>713.82500000000005</v>
      </c>
      <c r="V21" s="705">
        <f t="shared" si="13"/>
        <v>0</v>
      </c>
      <c r="W21" s="705">
        <f t="shared" si="13"/>
        <v>0</v>
      </c>
      <c r="X21" s="705">
        <f t="shared" si="13"/>
        <v>55.90184</v>
      </c>
      <c r="Y21" s="705">
        <f t="shared" si="13"/>
        <v>0</v>
      </c>
      <c r="Z21" s="705">
        <f t="shared" si="13"/>
        <v>713.82500000000005</v>
      </c>
      <c r="AA21" s="705">
        <f t="shared" si="13"/>
        <v>0</v>
      </c>
      <c r="AB21" s="705">
        <f t="shared" si="13"/>
        <v>713.82500000000005</v>
      </c>
      <c r="AC21" s="705">
        <f t="shared" si="13"/>
        <v>0</v>
      </c>
      <c r="AD21" s="705">
        <f t="shared" si="13"/>
        <v>0</v>
      </c>
      <c r="AE21" s="705">
        <f t="shared" si="13"/>
        <v>55.90184</v>
      </c>
      <c r="AF21" s="705">
        <f t="shared" si="13"/>
        <v>0</v>
      </c>
      <c r="AG21" s="227"/>
      <c r="AH21" s="365">
        <f>SUM(C21:AF21)</f>
        <v>5990.1092000000008</v>
      </c>
      <c r="AI21" s="152"/>
    </row>
    <row r="22" spans="1:35" s="514" customFormat="1" ht="16.5" customHeight="1" outlineLevel="2" collapsed="1">
      <c r="A22" s="154"/>
      <c r="B22" s="258" t="s">
        <v>805</v>
      </c>
      <c r="C22" s="508">
        <f>C16+C28</f>
        <v>5</v>
      </c>
      <c r="D22" s="508">
        <f t="shared" ref="D22:AF22" si="14">D16+D28</f>
        <v>0</v>
      </c>
      <c r="E22" s="508">
        <f t="shared" si="14"/>
        <v>5</v>
      </c>
      <c r="F22" s="508">
        <f t="shared" si="14"/>
        <v>0</v>
      </c>
      <c r="G22" s="508">
        <f t="shared" si="14"/>
        <v>5</v>
      </c>
      <c r="H22" s="508">
        <f t="shared" si="14"/>
        <v>0</v>
      </c>
      <c r="I22" s="508">
        <f t="shared" si="14"/>
        <v>0</v>
      </c>
      <c r="J22" s="508">
        <f t="shared" si="14"/>
        <v>5</v>
      </c>
      <c r="K22" s="508">
        <f t="shared" si="14"/>
        <v>0</v>
      </c>
      <c r="L22" s="508">
        <f t="shared" si="14"/>
        <v>5</v>
      </c>
      <c r="M22" s="508">
        <f t="shared" si="14"/>
        <v>0</v>
      </c>
      <c r="N22" s="508">
        <f t="shared" si="14"/>
        <v>5</v>
      </c>
      <c r="O22" s="508">
        <f t="shared" si="14"/>
        <v>0</v>
      </c>
      <c r="P22" s="508">
        <f t="shared" si="14"/>
        <v>0</v>
      </c>
      <c r="Q22" s="508">
        <f t="shared" si="14"/>
        <v>5</v>
      </c>
      <c r="R22" s="508">
        <f t="shared" si="14"/>
        <v>0</v>
      </c>
      <c r="S22" s="508">
        <f t="shared" si="14"/>
        <v>5</v>
      </c>
      <c r="T22" s="508">
        <f t="shared" si="14"/>
        <v>0</v>
      </c>
      <c r="U22" s="508">
        <f t="shared" si="14"/>
        <v>5</v>
      </c>
      <c r="V22" s="508">
        <f t="shared" si="14"/>
        <v>0</v>
      </c>
      <c r="W22" s="508">
        <f t="shared" si="14"/>
        <v>0</v>
      </c>
      <c r="X22" s="508">
        <f t="shared" si="14"/>
        <v>5</v>
      </c>
      <c r="Y22" s="508">
        <f t="shared" si="14"/>
        <v>0</v>
      </c>
      <c r="Z22" s="508">
        <f t="shared" si="14"/>
        <v>5</v>
      </c>
      <c r="AA22" s="508">
        <f t="shared" si="14"/>
        <v>0</v>
      </c>
      <c r="AB22" s="508">
        <f t="shared" si="14"/>
        <v>5</v>
      </c>
      <c r="AC22" s="508">
        <f t="shared" si="14"/>
        <v>0</v>
      </c>
      <c r="AD22" s="508">
        <f t="shared" si="14"/>
        <v>0</v>
      </c>
      <c r="AE22" s="508">
        <f t="shared" si="14"/>
        <v>5</v>
      </c>
      <c r="AF22" s="508">
        <f t="shared" si="14"/>
        <v>0</v>
      </c>
      <c r="AG22" s="703"/>
      <c r="AH22" s="704"/>
      <c r="AI22" s="512"/>
    </row>
    <row r="23" spans="1:35" s="162" customFormat="1" outlineLevel="2">
      <c r="A23" s="154"/>
      <c r="B23" s="256" t="s">
        <v>809</v>
      </c>
      <c r="C23" s="174">
        <f>Insumos!$E$10</f>
        <v>2765</v>
      </c>
      <c r="D23" s="174">
        <f>C23</f>
        <v>2765</v>
      </c>
      <c r="E23" s="174">
        <f t="shared" ref="E23:AF23" si="15">D23</f>
        <v>2765</v>
      </c>
      <c r="F23" s="174">
        <f t="shared" si="15"/>
        <v>2765</v>
      </c>
      <c r="G23" s="174">
        <f t="shared" si="15"/>
        <v>2765</v>
      </c>
      <c r="H23" s="174">
        <f t="shared" si="15"/>
        <v>2765</v>
      </c>
      <c r="I23" s="174">
        <f t="shared" si="15"/>
        <v>2765</v>
      </c>
      <c r="J23" s="174">
        <f t="shared" si="15"/>
        <v>2765</v>
      </c>
      <c r="K23" s="174">
        <f t="shared" si="15"/>
        <v>2765</v>
      </c>
      <c r="L23" s="174">
        <f t="shared" si="15"/>
        <v>2765</v>
      </c>
      <c r="M23" s="174">
        <f t="shared" si="15"/>
        <v>2765</v>
      </c>
      <c r="N23" s="174">
        <f t="shared" si="15"/>
        <v>2765</v>
      </c>
      <c r="O23" s="174">
        <f t="shared" si="15"/>
        <v>2765</v>
      </c>
      <c r="P23" s="174">
        <f t="shared" si="15"/>
        <v>2765</v>
      </c>
      <c r="Q23" s="174">
        <f t="shared" si="15"/>
        <v>2765</v>
      </c>
      <c r="R23" s="174">
        <f t="shared" si="15"/>
        <v>2765</v>
      </c>
      <c r="S23" s="174">
        <f t="shared" si="15"/>
        <v>2765</v>
      </c>
      <c r="T23" s="174">
        <f t="shared" si="15"/>
        <v>2765</v>
      </c>
      <c r="U23" s="174">
        <f t="shared" si="15"/>
        <v>2765</v>
      </c>
      <c r="V23" s="174">
        <f t="shared" si="15"/>
        <v>2765</v>
      </c>
      <c r="W23" s="174">
        <f t="shared" si="15"/>
        <v>2765</v>
      </c>
      <c r="X23" s="174">
        <f t="shared" si="15"/>
        <v>2765</v>
      </c>
      <c r="Y23" s="174">
        <f t="shared" si="15"/>
        <v>2765</v>
      </c>
      <c r="Z23" s="174">
        <f t="shared" si="15"/>
        <v>2765</v>
      </c>
      <c r="AA23" s="174">
        <f t="shared" si="15"/>
        <v>2765</v>
      </c>
      <c r="AB23" s="174">
        <f t="shared" si="15"/>
        <v>2765</v>
      </c>
      <c r="AC23" s="174">
        <f t="shared" si="15"/>
        <v>2765</v>
      </c>
      <c r="AD23" s="174">
        <f t="shared" si="15"/>
        <v>2765</v>
      </c>
      <c r="AE23" s="174">
        <f t="shared" si="15"/>
        <v>2765</v>
      </c>
      <c r="AF23" s="174">
        <f t="shared" si="15"/>
        <v>2765</v>
      </c>
      <c r="AG23" s="174"/>
      <c r="AH23" s="161"/>
      <c r="AI23" s="154"/>
    </row>
    <row r="24" spans="1:35" s="514" customFormat="1" ht="16.5" customHeight="1" outlineLevel="2" collapsed="1">
      <c r="A24" s="154"/>
      <c r="B24" s="258" t="s">
        <v>805</v>
      </c>
      <c r="C24" s="508">
        <v>2</v>
      </c>
      <c r="D24" s="508">
        <v>0</v>
      </c>
      <c r="E24" s="508">
        <v>0</v>
      </c>
      <c r="F24" s="508">
        <v>0</v>
      </c>
      <c r="G24" s="508">
        <v>0</v>
      </c>
      <c r="H24" s="508">
        <v>0</v>
      </c>
      <c r="I24" s="508">
        <v>0</v>
      </c>
      <c r="J24" s="508">
        <v>2</v>
      </c>
      <c r="K24" s="508">
        <v>0</v>
      </c>
      <c r="L24" s="508">
        <v>0</v>
      </c>
      <c r="M24" s="508">
        <v>0</v>
      </c>
      <c r="N24" s="508">
        <v>0</v>
      </c>
      <c r="O24" s="508">
        <v>0</v>
      </c>
      <c r="P24" s="508">
        <v>0</v>
      </c>
      <c r="Q24" s="508">
        <v>2</v>
      </c>
      <c r="R24" s="508">
        <v>0</v>
      </c>
      <c r="S24" s="508">
        <v>0</v>
      </c>
      <c r="T24" s="508">
        <v>0</v>
      </c>
      <c r="U24" s="508">
        <v>0</v>
      </c>
      <c r="V24" s="508">
        <v>0</v>
      </c>
      <c r="W24" s="508">
        <v>0</v>
      </c>
      <c r="X24" s="508">
        <v>2</v>
      </c>
      <c r="Y24" s="508">
        <v>0</v>
      </c>
      <c r="Z24" s="508">
        <v>0</v>
      </c>
      <c r="AA24" s="508">
        <v>0</v>
      </c>
      <c r="AB24" s="508">
        <v>0</v>
      </c>
      <c r="AC24" s="508">
        <v>0</v>
      </c>
      <c r="AD24" s="508">
        <v>0</v>
      </c>
      <c r="AE24" s="508">
        <v>2</v>
      </c>
      <c r="AF24" s="508">
        <v>0</v>
      </c>
      <c r="AG24" s="703"/>
      <c r="AH24" s="704"/>
      <c r="AI24" s="512"/>
    </row>
    <row r="25" spans="1:35" s="162" customFormat="1" outlineLevel="2">
      <c r="A25" s="154"/>
      <c r="B25" s="256" t="s">
        <v>810</v>
      </c>
      <c r="C25" s="174">
        <f>Insumos!$E$19</f>
        <v>13808.42</v>
      </c>
      <c r="D25" s="174">
        <f>C25</f>
        <v>13808.42</v>
      </c>
      <c r="E25" s="174">
        <f t="shared" ref="E25:AF25" si="16">D25</f>
        <v>13808.42</v>
      </c>
      <c r="F25" s="174">
        <f t="shared" si="16"/>
        <v>13808.42</v>
      </c>
      <c r="G25" s="174">
        <f t="shared" si="16"/>
        <v>13808.42</v>
      </c>
      <c r="H25" s="174">
        <f t="shared" si="16"/>
        <v>13808.42</v>
      </c>
      <c r="I25" s="174">
        <f t="shared" si="16"/>
        <v>13808.42</v>
      </c>
      <c r="J25" s="174">
        <f t="shared" si="16"/>
        <v>13808.42</v>
      </c>
      <c r="K25" s="174">
        <f t="shared" si="16"/>
        <v>13808.42</v>
      </c>
      <c r="L25" s="174">
        <f t="shared" si="16"/>
        <v>13808.42</v>
      </c>
      <c r="M25" s="174">
        <f t="shared" si="16"/>
        <v>13808.42</v>
      </c>
      <c r="N25" s="174">
        <f t="shared" si="16"/>
        <v>13808.42</v>
      </c>
      <c r="O25" s="174">
        <f t="shared" si="16"/>
        <v>13808.42</v>
      </c>
      <c r="P25" s="174">
        <f t="shared" si="16"/>
        <v>13808.42</v>
      </c>
      <c r="Q25" s="174">
        <f t="shared" si="16"/>
        <v>13808.42</v>
      </c>
      <c r="R25" s="174">
        <f t="shared" si="16"/>
        <v>13808.42</v>
      </c>
      <c r="S25" s="174">
        <f t="shared" si="16"/>
        <v>13808.42</v>
      </c>
      <c r="T25" s="174">
        <f t="shared" si="16"/>
        <v>13808.42</v>
      </c>
      <c r="U25" s="174">
        <f t="shared" si="16"/>
        <v>13808.42</v>
      </c>
      <c r="V25" s="174">
        <f t="shared" si="16"/>
        <v>13808.42</v>
      </c>
      <c r="W25" s="174">
        <f t="shared" si="16"/>
        <v>13808.42</v>
      </c>
      <c r="X25" s="174">
        <f t="shared" si="16"/>
        <v>13808.42</v>
      </c>
      <c r="Y25" s="174">
        <f t="shared" si="16"/>
        <v>13808.42</v>
      </c>
      <c r="Z25" s="174">
        <f t="shared" si="16"/>
        <v>13808.42</v>
      </c>
      <c r="AA25" s="174">
        <f t="shared" si="16"/>
        <v>13808.42</v>
      </c>
      <c r="AB25" s="174">
        <f t="shared" si="16"/>
        <v>13808.42</v>
      </c>
      <c r="AC25" s="174">
        <f t="shared" si="16"/>
        <v>13808.42</v>
      </c>
      <c r="AD25" s="174">
        <f t="shared" si="16"/>
        <v>13808.42</v>
      </c>
      <c r="AE25" s="174">
        <f t="shared" si="16"/>
        <v>13808.42</v>
      </c>
      <c r="AF25" s="174">
        <f t="shared" si="16"/>
        <v>13808.42</v>
      </c>
      <c r="AG25" s="174"/>
      <c r="AH25" s="161"/>
      <c r="AI25" s="154"/>
    </row>
    <row r="26" spans="1:35" s="514" customFormat="1" ht="16.5" customHeight="1" outlineLevel="2" collapsed="1">
      <c r="A26" s="154"/>
      <c r="B26" s="258" t="s">
        <v>805</v>
      </c>
      <c r="C26" s="508">
        <f t="shared" ref="C26:AF26" si="17">C16</f>
        <v>5</v>
      </c>
      <c r="D26" s="508">
        <f t="shared" si="17"/>
        <v>0</v>
      </c>
      <c r="E26" s="508">
        <f t="shared" si="17"/>
        <v>0</v>
      </c>
      <c r="F26" s="508">
        <f t="shared" si="17"/>
        <v>0</v>
      </c>
      <c r="G26" s="508">
        <f t="shared" si="17"/>
        <v>0</v>
      </c>
      <c r="H26" s="508">
        <f t="shared" si="17"/>
        <v>0</v>
      </c>
      <c r="I26" s="508">
        <f t="shared" si="17"/>
        <v>0</v>
      </c>
      <c r="J26" s="508">
        <f t="shared" si="17"/>
        <v>5</v>
      </c>
      <c r="K26" s="508">
        <f t="shared" si="17"/>
        <v>0</v>
      </c>
      <c r="L26" s="508">
        <f t="shared" si="17"/>
        <v>0</v>
      </c>
      <c r="M26" s="508">
        <f t="shared" si="17"/>
        <v>0</v>
      </c>
      <c r="N26" s="508">
        <f t="shared" si="17"/>
        <v>0</v>
      </c>
      <c r="O26" s="508">
        <f t="shared" si="17"/>
        <v>0</v>
      </c>
      <c r="P26" s="508">
        <f t="shared" si="17"/>
        <v>0</v>
      </c>
      <c r="Q26" s="508">
        <f t="shared" si="17"/>
        <v>5</v>
      </c>
      <c r="R26" s="508">
        <f t="shared" si="17"/>
        <v>0</v>
      </c>
      <c r="S26" s="508">
        <f t="shared" si="17"/>
        <v>0</v>
      </c>
      <c r="T26" s="508">
        <f t="shared" si="17"/>
        <v>0</v>
      </c>
      <c r="U26" s="508">
        <f t="shared" si="17"/>
        <v>0</v>
      </c>
      <c r="V26" s="508">
        <f t="shared" si="17"/>
        <v>0</v>
      </c>
      <c r="W26" s="508">
        <f t="shared" si="17"/>
        <v>0</v>
      </c>
      <c r="X26" s="508">
        <f t="shared" si="17"/>
        <v>5</v>
      </c>
      <c r="Y26" s="508">
        <f t="shared" si="17"/>
        <v>0</v>
      </c>
      <c r="Z26" s="508">
        <f t="shared" si="17"/>
        <v>0</v>
      </c>
      <c r="AA26" s="508">
        <f t="shared" si="17"/>
        <v>0</v>
      </c>
      <c r="AB26" s="508">
        <f t="shared" si="17"/>
        <v>0</v>
      </c>
      <c r="AC26" s="508">
        <f t="shared" si="17"/>
        <v>0</v>
      </c>
      <c r="AD26" s="508">
        <f t="shared" si="17"/>
        <v>0</v>
      </c>
      <c r="AE26" s="508">
        <f t="shared" si="17"/>
        <v>5</v>
      </c>
      <c r="AF26" s="508">
        <f t="shared" si="17"/>
        <v>0</v>
      </c>
      <c r="AG26" s="703"/>
      <c r="AH26" s="704"/>
      <c r="AI26" s="512"/>
    </row>
    <row r="27" spans="1:35" s="513" customFormat="1" outlineLevel="2">
      <c r="A27" s="154"/>
      <c r="B27" s="256" t="s">
        <v>811</v>
      </c>
      <c r="C27" s="174">
        <f>Insumos!$E$32</f>
        <v>2892</v>
      </c>
      <c r="D27" s="174">
        <f>C27</f>
        <v>2892</v>
      </c>
      <c r="E27" s="174">
        <f t="shared" ref="E27:AF27" si="18">D27</f>
        <v>2892</v>
      </c>
      <c r="F27" s="174">
        <f t="shared" si="18"/>
        <v>2892</v>
      </c>
      <c r="G27" s="174">
        <f t="shared" si="18"/>
        <v>2892</v>
      </c>
      <c r="H27" s="174">
        <f t="shared" si="18"/>
        <v>2892</v>
      </c>
      <c r="I27" s="174">
        <f t="shared" si="18"/>
        <v>2892</v>
      </c>
      <c r="J27" s="174">
        <f t="shared" si="18"/>
        <v>2892</v>
      </c>
      <c r="K27" s="174">
        <f t="shared" si="18"/>
        <v>2892</v>
      </c>
      <c r="L27" s="174">
        <f t="shared" si="18"/>
        <v>2892</v>
      </c>
      <c r="M27" s="174">
        <f t="shared" si="18"/>
        <v>2892</v>
      </c>
      <c r="N27" s="174">
        <f t="shared" si="18"/>
        <v>2892</v>
      </c>
      <c r="O27" s="174">
        <f t="shared" si="18"/>
        <v>2892</v>
      </c>
      <c r="P27" s="174">
        <f t="shared" si="18"/>
        <v>2892</v>
      </c>
      <c r="Q27" s="174">
        <f t="shared" si="18"/>
        <v>2892</v>
      </c>
      <c r="R27" s="174">
        <f t="shared" si="18"/>
        <v>2892</v>
      </c>
      <c r="S27" s="174">
        <f t="shared" si="18"/>
        <v>2892</v>
      </c>
      <c r="T27" s="174">
        <f t="shared" si="18"/>
        <v>2892</v>
      </c>
      <c r="U27" s="174">
        <f t="shared" si="18"/>
        <v>2892</v>
      </c>
      <c r="V27" s="174">
        <f t="shared" si="18"/>
        <v>2892</v>
      </c>
      <c r="W27" s="174">
        <f t="shared" si="18"/>
        <v>2892</v>
      </c>
      <c r="X27" s="174">
        <f t="shared" si="18"/>
        <v>2892</v>
      </c>
      <c r="Y27" s="174">
        <f t="shared" si="18"/>
        <v>2892</v>
      </c>
      <c r="Z27" s="174">
        <f t="shared" si="18"/>
        <v>2892</v>
      </c>
      <c r="AA27" s="174">
        <f t="shared" si="18"/>
        <v>2892</v>
      </c>
      <c r="AB27" s="174">
        <f t="shared" si="18"/>
        <v>2892</v>
      </c>
      <c r="AC27" s="174">
        <f t="shared" si="18"/>
        <v>2892</v>
      </c>
      <c r="AD27" s="174">
        <f t="shared" si="18"/>
        <v>2892</v>
      </c>
      <c r="AE27" s="174">
        <f t="shared" si="18"/>
        <v>2892</v>
      </c>
      <c r="AF27" s="174">
        <f t="shared" si="18"/>
        <v>2892</v>
      </c>
      <c r="AG27" s="174"/>
      <c r="AH27" s="699"/>
      <c r="AI27" s="510"/>
    </row>
    <row r="28" spans="1:35" s="514" customFormat="1" ht="16.5" customHeight="1" outlineLevel="2" collapsed="1">
      <c r="A28" s="154"/>
      <c r="B28" s="706" t="s">
        <v>805</v>
      </c>
      <c r="C28" s="508">
        <v>0</v>
      </c>
      <c r="D28" s="508">
        <v>0</v>
      </c>
      <c r="E28" s="508">
        <v>5</v>
      </c>
      <c r="F28" s="508">
        <v>0</v>
      </c>
      <c r="G28" s="508">
        <v>5</v>
      </c>
      <c r="H28" s="508">
        <v>0</v>
      </c>
      <c r="I28" s="508">
        <v>0</v>
      </c>
      <c r="J28" s="508">
        <v>0</v>
      </c>
      <c r="K28" s="508">
        <v>0</v>
      </c>
      <c r="L28" s="508">
        <v>5</v>
      </c>
      <c r="M28" s="508">
        <v>0</v>
      </c>
      <c r="N28" s="508">
        <v>5</v>
      </c>
      <c r="O28" s="508">
        <v>0</v>
      </c>
      <c r="P28" s="508">
        <v>0</v>
      </c>
      <c r="Q28" s="508">
        <v>0</v>
      </c>
      <c r="R28" s="508">
        <v>0</v>
      </c>
      <c r="S28" s="508">
        <v>5</v>
      </c>
      <c r="T28" s="508">
        <v>0</v>
      </c>
      <c r="U28" s="508">
        <v>5</v>
      </c>
      <c r="V28" s="508">
        <v>0</v>
      </c>
      <c r="W28" s="508">
        <v>0</v>
      </c>
      <c r="X28" s="508">
        <v>0</v>
      </c>
      <c r="Y28" s="508">
        <v>0</v>
      </c>
      <c r="Z28" s="508">
        <v>5</v>
      </c>
      <c r="AA28" s="508">
        <v>0</v>
      </c>
      <c r="AB28" s="508">
        <v>5</v>
      </c>
      <c r="AC28" s="508">
        <v>0</v>
      </c>
      <c r="AD28" s="508">
        <v>0</v>
      </c>
      <c r="AE28" s="508">
        <v>0</v>
      </c>
      <c r="AF28" s="508">
        <v>0</v>
      </c>
      <c r="AG28" s="703"/>
      <c r="AH28" s="704"/>
      <c r="AI28" s="512"/>
    </row>
    <row r="29" spans="1:35" s="513" customFormat="1" outlineLevel="2">
      <c r="A29" s="154"/>
      <c r="B29" s="608" t="s">
        <v>812</v>
      </c>
      <c r="C29" s="174">
        <f>Insumos!$E$30</f>
        <v>140000</v>
      </c>
      <c r="D29" s="174">
        <f>C29</f>
        <v>140000</v>
      </c>
      <c r="E29" s="174">
        <f t="shared" ref="E29:AF29" si="19">D29</f>
        <v>140000</v>
      </c>
      <c r="F29" s="174">
        <f t="shared" si="19"/>
        <v>140000</v>
      </c>
      <c r="G29" s="174">
        <f t="shared" si="19"/>
        <v>140000</v>
      </c>
      <c r="H29" s="174">
        <f t="shared" si="19"/>
        <v>140000</v>
      </c>
      <c r="I29" s="174">
        <f t="shared" si="19"/>
        <v>140000</v>
      </c>
      <c r="J29" s="174">
        <f t="shared" si="19"/>
        <v>140000</v>
      </c>
      <c r="K29" s="174">
        <f t="shared" si="19"/>
        <v>140000</v>
      </c>
      <c r="L29" s="174">
        <f t="shared" si="19"/>
        <v>140000</v>
      </c>
      <c r="M29" s="174">
        <f t="shared" si="19"/>
        <v>140000</v>
      </c>
      <c r="N29" s="174">
        <f t="shared" si="19"/>
        <v>140000</v>
      </c>
      <c r="O29" s="174">
        <f t="shared" si="19"/>
        <v>140000</v>
      </c>
      <c r="P29" s="174">
        <f t="shared" si="19"/>
        <v>140000</v>
      </c>
      <c r="Q29" s="174">
        <f t="shared" si="19"/>
        <v>140000</v>
      </c>
      <c r="R29" s="174">
        <f t="shared" si="19"/>
        <v>140000</v>
      </c>
      <c r="S29" s="174">
        <f t="shared" si="19"/>
        <v>140000</v>
      </c>
      <c r="T29" s="174">
        <f t="shared" si="19"/>
        <v>140000</v>
      </c>
      <c r="U29" s="174">
        <f t="shared" si="19"/>
        <v>140000</v>
      </c>
      <c r="V29" s="174">
        <f t="shared" si="19"/>
        <v>140000</v>
      </c>
      <c r="W29" s="174">
        <f t="shared" si="19"/>
        <v>140000</v>
      </c>
      <c r="X29" s="174">
        <f t="shared" si="19"/>
        <v>140000</v>
      </c>
      <c r="Y29" s="174">
        <f t="shared" si="19"/>
        <v>140000</v>
      </c>
      <c r="Z29" s="174">
        <f t="shared" si="19"/>
        <v>140000</v>
      </c>
      <c r="AA29" s="174">
        <f t="shared" si="19"/>
        <v>140000</v>
      </c>
      <c r="AB29" s="174">
        <f t="shared" si="19"/>
        <v>140000</v>
      </c>
      <c r="AC29" s="174">
        <f t="shared" si="19"/>
        <v>140000</v>
      </c>
      <c r="AD29" s="174">
        <f t="shared" si="19"/>
        <v>140000</v>
      </c>
      <c r="AE29" s="174">
        <f t="shared" si="19"/>
        <v>140000</v>
      </c>
      <c r="AF29" s="174">
        <f t="shared" si="19"/>
        <v>140000</v>
      </c>
      <c r="AG29" s="174"/>
      <c r="AH29" s="699"/>
      <c r="AI29" s="510"/>
    </row>
    <row r="30" spans="1:35">
      <c r="A30" s="154"/>
      <c r="B30" s="229"/>
      <c r="C30" s="179"/>
      <c r="D30" s="179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8"/>
      <c r="T30" s="178"/>
      <c r="U30" s="178"/>
      <c r="V30" s="178"/>
      <c r="W30" s="178"/>
      <c r="X30" s="178"/>
      <c r="Y30" s="178"/>
      <c r="Z30" s="178"/>
      <c r="AA30" s="178"/>
      <c r="AB30" s="178"/>
      <c r="AC30" s="178"/>
      <c r="AD30" s="178"/>
      <c r="AE30" s="178"/>
      <c r="AF30" s="178"/>
      <c r="AG30" s="154"/>
      <c r="AH30" s="246"/>
      <c r="AI30" s="152"/>
    </row>
    <row r="31" spans="1:35">
      <c r="A31" s="154"/>
      <c r="B31" s="453" t="s">
        <v>813</v>
      </c>
      <c r="C31" s="454">
        <f t="shared" ref="C31:AF31" si="20">SUM(C32,C36)</f>
        <v>1772.8062199999999</v>
      </c>
      <c r="D31" s="454">
        <f t="shared" si="20"/>
        <v>0</v>
      </c>
      <c r="E31" s="454">
        <f t="shared" si="20"/>
        <v>0</v>
      </c>
      <c r="F31" s="454">
        <f t="shared" si="20"/>
        <v>285.52999999999997</v>
      </c>
      <c r="G31" s="454">
        <f t="shared" si="20"/>
        <v>0</v>
      </c>
      <c r="H31" s="454">
        <f t="shared" si="20"/>
        <v>0</v>
      </c>
      <c r="I31" s="454">
        <f t="shared" si="20"/>
        <v>0</v>
      </c>
      <c r="J31" s="454">
        <f t="shared" si="20"/>
        <v>1772.8062199999999</v>
      </c>
      <c r="K31" s="454">
        <f t="shared" si="20"/>
        <v>0</v>
      </c>
      <c r="L31" s="454">
        <f t="shared" si="20"/>
        <v>0</v>
      </c>
      <c r="M31" s="454">
        <f t="shared" si="20"/>
        <v>285.52999999999997</v>
      </c>
      <c r="N31" s="454">
        <f t="shared" si="20"/>
        <v>0</v>
      </c>
      <c r="O31" s="454">
        <f t="shared" si="20"/>
        <v>0</v>
      </c>
      <c r="P31" s="454">
        <f t="shared" si="20"/>
        <v>0</v>
      </c>
      <c r="Q31" s="454">
        <f t="shared" si="20"/>
        <v>1772.8062199999999</v>
      </c>
      <c r="R31" s="454">
        <f t="shared" si="20"/>
        <v>0</v>
      </c>
      <c r="S31" s="454">
        <f t="shared" si="20"/>
        <v>0</v>
      </c>
      <c r="T31" s="454">
        <f t="shared" si="20"/>
        <v>285.52999999999997</v>
      </c>
      <c r="U31" s="454">
        <f t="shared" si="20"/>
        <v>0</v>
      </c>
      <c r="V31" s="454">
        <f t="shared" si="20"/>
        <v>0</v>
      </c>
      <c r="W31" s="454">
        <f t="shared" si="20"/>
        <v>0</v>
      </c>
      <c r="X31" s="454">
        <f t="shared" si="20"/>
        <v>1772.8062199999999</v>
      </c>
      <c r="Y31" s="454">
        <f t="shared" si="20"/>
        <v>0</v>
      </c>
      <c r="Z31" s="454">
        <f t="shared" si="20"/>
        <v>0</v>
      </c>
      <c r="AA31" s="454">
        <f t="shared" si="20"/>
        <v>285.52999999999997</v>
      </c>
      <c r="AB31" s="454">
        <f t="shared" si="20"/>
        <v>0</v>
      </c>
      <c r="AC31" s="454">
        <f t="shared" si="20"/>
        <v>0</v>
      </c>
      <c r="AD31" s="454">
        <f t="shared" si="20"/>
        <v>1772.8062199999999</v>
      </c>
      <c r="AE31" s="454">
        <f t="shared" si="20"/>
        <v>0</v>
      </c>
      <c r="AF31" s="454">
        <f t="shared" si="20"/>
        <v>0</v>
      </c>
      <c r="AG31" s="169"/>
      <c r="AH31" s="455">
        <f>SUM(C31:AF31)</f>
        <v>10006.151100000001</v>
      </c>
      <c r="AI31" s="152" t="s">
        <v>803</v>
      </c>
    </row>
    <row r="32" spans="1:35" outlineLevel="1">
      <c r="A32" s="154"/>
      <c r="B32" s="225" t="s">
        <v>297</v>
      </c>
      <c r="C32" s="226">
        <f>SUM(C33)/10^3</f>
        <v>1761.4922199999999</v>
      </c>
      <c r="D32" s="226">
        <f t="shared" ref="D32:AF32" si="21">SUM(D33)/10^3</f>
        <v>0</v>
      </c>
      <c r="E32" s="226">
        <f t="shared" si="21"/>
        <v>0</v>
      </c>
      <c r="F32" s="226">
        <f t="shared" si="21"/>
        <v>0</v>
      </c>
      <c r="G32" s="226">
        <f t="shared" si="21"/>
        <v>0</v>
      </c>
      <c r="H32" s="226">
        <f t="shared" si="21"/>
        <v>0</v>
      </c>
      <c r="I32" s="226">
        <f t="shared" si="21"/>
        <v>0</v>
      </c>
      <c r="J32" s="226">
        <f t="shared" si="21"/>
        <v>1761.4922199999999</v>
      </c>
      <c r="K32" s="226">
        <f t="shared" si="21"/>
        <v>0</v>
      </c>
      <c r="L32" s="226">
        <f t="shared" si="21"/>
        <v>0</v>
      </c>
      <c r="M32" s="226">
        <f t="shared" si="21"/>
        <v>0</v>
      </c>
      <c r="N32" s="226">
        <f t="shared" si="21"/>
        <v>0</v>
      </c>
      <c r="O32" s="226">
        <f t="shared" si="21"/>
        <v>0</v>
      </c>
      <c r="P32" s="226">
        <f t="shared" si="21"/>
        <v>0</v>
      </c>
      <c r="Q32" s="226">
        <f t="shared" si="21"/>
        <v>1761.4922199999999</v>
      </c>
      <c r="R32" s="226">
        <f t="shared" si="21"/>
        <v>0</v>
      </c>
      <c r="S32" s="226">
        <f t="shared" si="21"/>
        <v>0</v>
      </c>
      <c r="T32" s="226">
        <f t="shared" si="21"/>
        <v>0</v>
      </c>
      <c r="U32" s="226">
        <f t="shared" si="21"/>
        <v>0</v>
      </c>
      <c r="V32" s="226">
        <f t="shared" si="21"/>
        <v>0</v>
      </c>
      <c r="W32" s="226">
        <f t="shared" si="21"/>
        <v>0</v>
      </c>
      <c r="X32" s="226">
        <f t="shared" si="21"/>
        <v>1761.4922199999999</v>
      </c>
      <c r="Y32" s="226">
        <f t="shared" si="21"/>
        <v>0</v>
      </c>
      <c r="Z32" s="226">
        <f t="shared" si="21"/>
        <v>0</v>
      </c>
      <c r="AA32" s="226">
        <f t="shared" si="21"/>
        <v>0</v>
      </c>
      <c r="AB32" s="226">
        <f t="shared" si="21"/>
        <v>0</v>
      </c>
      <c r="AC32" s="226">
        <f t="shared" si="21"/>
        <v>0</v>
      </c>
      <c r="AD32" s="226">
        <f t="shared" si="21"/>
        <v>1761.4922199999999</v>
      </c>
      <c r="AE32" s="226">
        <f t="shared" si="21"/>
        <v>0</v>
      </c>
      <c r="AF32" s="226">
        <f t="shared" si="21"/>
        <v>0</v>
      </c>
      <c r="AG32" s="227"/>
      <c r="AH32" s="365">
        <f>SUM(C32:AF32)</f>
        <v>8807.4610999999986</v>
      </c>
      <c r="AI32" s="152"/>
    </row>
    <row r="33" spans="1:35" s="162" customFormat="1" outlineLevel="2">
      <c r="A33" s="154"/>
      <c r="B33" s="256" t="s">
        <v>814</v>
      </c>
      <c r="C33" s="174">
        <f>C34*C35</f>
        <v>1761492.22</v>
      </c>
      <c r="D33" s="174">
        <f t="shared" ref="D33:AF33" si="22">D34*D35</f>
        <v>0</v>
      </c>
      <c r="E33" s="174">
        <f t="shared" si="22"/>
        <v>0</v>
      </c>
      <c r="F33" s="174">
        <f t="shared" si="22"/>
        <v>0</v>
      </c>
      <c r="G33" s="174">
        <f t="shared" si="22"/>
        <v>0</v>
      </c>
      <c r="H33" s="174">
        <f t="shared" si="22"/>
        <v>0</v>
      </c>
      <c r="I33" s="174">
        <f t="shared" si="22"/>
        <v>0</v>
      </c>
      <c r="J33" s="174">
        <f t="shared" si="22"/>
        <v>1761492.22</v>
      </c>
      <c r="K33" s="174">
        <f t="shared" si="22"/>
        <v>0</v>
      </c>
      <c r="L33" s="174">
        <f t="shared" si="22"/>
        <v>0</v>
      </c>
      <c r="M33" s="174">
        <f t="shared" si="22"/>
        <v>0</v>
      </c>
      <c r="N33" s="174">
        <f t="shared" si="22"/>
        <v>0</v>
      </c>
      <c r="O33" s="174">
        <f t="shared" si="22"/>
        <v>0</v>
      </c>
      <c r="P33" s="174">
        <f t="shared" si="22"/>
        <v>0</v>
      </c>
      <c r="Q33" s="174">
        <f t="shared" si="22"/>
        <v>1761492.22</v>
      </c>
      <c r="R33" s="174">
        <f t="shared" si="22"/>
        <v>0</v>
      </c>
      <c r="S33" s="174">
        <f t="shared" si="22"/>
        <v>0</v>
      </c>
      <c r="T33" s="174">
        <f t="shared" si="22"/>
        <v>0</v>
      </c>
      <c r="U33" s="174">
        <f t="shared" si="22"/>
        <v>0</v>
      </c>
      <c r="V33" s="174">
        <f t="shared" si="22"/>
        <v>0</v>
      </c>
      <c r="W33" s="174">
        <f t="shared" si="22"/>
        <v>0</v>
      </c>
      <c r="X33" s="174">
        <f t="shared" si="22"/>
        <v>1761492.22</v>
      </c>
      <c r="Y33" s="174">
        <f t="shared" si="22"/>
        <v>0</v>
      </c>
      <c r="Z33" s="174">
        <f t="shared" si="22"/>
        <v>0</v>
      </c>
      <c r="AA33" s="174">
        <f t="shared" si="22"/>
        <v>0</v>
      </c>
      <c r="AB33" s="174">
        <f t="shared" si="22"/>
        <v>0</v>
      </c>
      <c r="AC33" s="174">
        <f t="shared" si="22"/>
        <v>0</v>
      </c>
      <c r="AD33" s="174">
        <f t="shared" si="22"/>
        <v>1761492.22</v>
      </c>
      <c r="AE33" s="174">
        <f t="shared" si="22"/>
        <v>0</v>
      </c>
      <c r="AF33" s="174">
        <f t="shared" si="22"/>
        <v>0</v>
      </c>
      <c r="AG33" s="174"/>
      <c r="AH33" s="161"/>
      <c r="AI33" s="154"/>
    </row>
    <row r="34" spans="1:35" s="162" customFormat="1" outlineLevel="2">
      <c r="A34" s="154"/>
      <c r="B34" s="150" t="s">
        <v>805</v>
      </c>
      <c r="C34" s="172">
        <v>2</v>
      </c>
      <c r="D34" s="172">
        <v>0</v>
      </c>
      <c r="E34" s="172">
        <v>0</v>
      </c>
      <c r="F34" s="172">
        <v>0</v>
      </c>
      <c r="G34" s="172">
        <v>0</v>
      </c>
      <c r="H34" s="172">
        <v>0</v>
      </c>
      <c r="I34" s="172">
        <v>0</v>
      </c>
      <c r="J34" s="172">
        <v>2</v>
      </c>
      <c r="K34" s="172">
        <v>0</v>
      </c>
      <c r="L34" s="172">
        <v>0</v>
      </c>
      <c r="M34" s="172">
        <v>0</v>
      </c>
      <c r="N34" s="172">
        <v>0</v>
      </c>
      <c r="O34" s="172">
        <v>0</v>
      </c>
      <c r="P34" s="172">
        <v>0</v>
      </c>
      <c r="Q34" s="172">
        <v>2</v>
      </c>
      <c r="R34" s="172">
        <v>0</v>
      </c>
      <c r="S34" s="172">
        <v>0</v>
      </c>
      <c r="T34" s="172">
        <v>0</v>
      </c>
      <c r="U34" s="172">
        <v>0</v>
      </c>
      <c r="V34" s="172">
        <v>0</v>
      </c>
      <c r="W34" s="172">
        <v>0</v>
      </c>
      <c r="X34" s="172">
        <v>2</v>
      </c>
      <c r="Y34" s="172">
        <v>0</v>
      </c>
      <c r="Z34" s="172">
        <v>0</v>
      </c>
      <c r="AA34" s="172">
        <v>0</v>
      </c>
      <c r="AB34" s="172">
        <v>0</v>
      </c>
      <c r="AC34" s="172">
        <v>0</v>
      </c>
      <c r="AD34" s="172">
        <v>2</v>
      </c>
      <c r="AE34" s="172">
        <v>0</v>
      </c>
      <c r="AF34" s="172">
        <v>0</v>
      </c>
      <c r="AG34" s="175"/>
      <c r="AH34" s="161"/>
      <c r="AI34" s="154"/>
    </row>
    <row r="35" spans="1:35" s="162" customFormat="1" outlineLevel="2">
      <c r="A35" s="154"/>
      <c r="B35" s="150" t="s">
        <v>807</v>
      </c>
      <c r="C35" s="176">
        <f>Insumos!$E$15+Insumos!$E$18</f>
        <v>880746.11</v>
      </c>
      <c r="D35" s="176">
        <f>C35</f>
        <v>880746.11</v>
      </c>
      <c r="E35" s="176">
        <f t="shared" ref="E35:AF35" si="23">D35</f>
        <v>880746.11</v>
      </c>
      <c r="F35" s="176">
        <f t="shared" si="23"/>
        <v>880746.11</v>
      </c>
      <c r="G35" s="176">
        <f t="shared" si="23"/>
        <v>880746.11</v>
      </c>
      <c r="H35" s="176">
        <f t="shared" si="23"/>
        <v>880746.11</v>
      </c>
      <c r="I35" s="176">
        <f t="shared" si="23"/>
        <v>880746.11</v>
      </c>
      <c r="J35" s="176">
        <f t="shared" si="23"/>
        <v>880746.11</v>
      </c>
      <c r="K35" s="176">
        <f t="shared" si="23"/>
        <v>880746.11</v>
      </c>
      <c r="L35" s="176">
        <f t="shared" si="23"/>
        <v>880746.11</v>
      </c>
      <c r="M35" s="176">
        <f t="shared" si="23"/>
        <v>880746.11</v>
      </c>
      <c r="N35" s="176">
        <f t="shared" si="23"/>
        <v>880746.11</v>
      </c>
      <c r="O35" s="176">
        <f t="shared" si="23"/>
        <v>880746.11</v>
      </c>
      <c r="P35" s="176">
        <f t="shared" si="23"/>
        <v>880746.11</v>
      </c>
      <c r="Q35" s="176">
        <f t="shared" si="23"/>
        <v>880746.11</v>
      </c>
      <c r="R35" s="176">
        <f t="shared" si="23"/>
        <v>880746.11</v>
      </c>
      <c r="S35" s="176">
        <f t="shared" si="23"/>
        <v>880746.11</v>
      </c>
      <c r="T35" s="176">
        <f t="shared" si="23"/>
        <v>880746.11</v>
      </c>
      <c r="U35" s="176">
        <f t="shared" si="23"/>
        <v>880746.11</v>
      </c>
      <c r="V35" s="176">
        <f t="shared" si="23"/>
        <v>880746.11</v>
      </c>
      <c r="W35" s="176">
        <f t="shared" si="23"/>
        <v>880746.11</v>
      </c>
      <c r="X35" s="176">
        <f t="shared" si="23"/>
        <v>880746.11</v>
      </c>
      <c r="Y35" s="176">
        <f t="shared" si="23"/>
        <v>880746.11</v>
      </c>
      <c r="Z35" s="176">
        <f t="shared" si="23"/>
        <v>880746.11</v>
      </c>
      <c r="AA35" s="176">
        <f t="shared" si="23"/>
        <v>880746.11</v>
      </c>
      <c r="AB35" s="176">
        <f t="shared" si="23"/>
        <v>880746.11</v>
      </c>
      <c r="AC35" s="176">
        <f t="shared" si="23"/>
        <v>880746.11</v>
      </c>
      <c r="AD35" s="176">
        <f t="shared" si="23"/>
        <v>880746.11</v>
      </c>
      <c r="AE35" s="176">
        <f t="shared" si="23"/>
        <v>880746.11</v>
      </c>
      <c r="AF35" s="176">
        <f t="shared" si="23"/>
        <v>880746.11</v>
      </c>
      <c r="AG35" s="175"/>
      <c r="AH35" s="257"/>
      <c r="AI35" s="154"/>
    </row>
    <row r="36" spans="1:35" outlineLevel="1">
      <c r="A36" s="154"/>
      <c r="B36" s="225" t="s">
        <v>299</v>
      </c>
      <c r="C36" s="707">
        <f>((C37*C38)+(C39*C40)+(C41*C42))/10^3</f>
        <v>11.314</v>
      </c>
      <c r="D36" s="707">
        <f t="shared" ref="D36:AF36" si="24">((D37*D38)+(D39*D40)+(D41*D42))/10^3</f>
        <v>0</v>
      </c>
      <c r="E36" s="707">
        <f t="shared" si="24"/>
        <v>0</v>
      </c>
      <c r="F36" s="707">
        <f t="shared" si="24"/>
        <v>285.52999999999997</v>
      </c>
      <c r="G36" s="707">
        <f t="shared" si="24"/>
        <v>0</v>
      </c>
      <c r="H36" s="707">
        <f t="shared" si="24"/>
        <v>0</v>
      </c>
      <c r="I36" s="707">
        <f t="shared" si="24"/>
        <v>0</v>
      </c>
      <c r="J36" s="707">
        <f t="shared" si="24"/>
        <v>11.314</v>
      </c>
      <c r="K36" s="707">
        <f t="shared" si="24"/>
        <v>0</v>
      </c>
      <c r="L36" s="707">
        <f t="shared" si="24"/>
        <v>0</v>
      </c>
      <c r="M36" s="707">
        <f t="shared" si="24"/>
        <v>285.52999999999997</v>
      </c>
      <c r="N36" s="707">
        <f t="shared" si="24"/>
        <v>0</v>
      </c>
      <c r="O36" s="707">
        <f t="shared" si="24"/>
        <v>0</v>
      </c>
      <c r="P36" s="707">
        <f t="shared" si="24"/>
        <v>0</v>
      </c>
      <c r="Q36" s="707">
        <f t="shared" si="24"/>
        <v>11.314</v>
      </c>
      <c r="R36" s="707">
        <f t="shared" si="24"/>
        <v>0</v>
      </c>
      <c r="S36" s="707">
        <f t="shared" si="24"/>
        <v>0</v>
      </c>
      <c r="T36" s="707">
        <f t="shared" si="24"/>
        <v>285.52999999999997</v>
      </c>
      <c r="U36" s="707">
        <f t="shared" si="24"/>
        <v>0</v>
      </c>
      <c r="V36" s="707">
        <f t="shared" si="24"/>
        <v>0</v>
      </c>
      <c r="W36" s="707">
        <f t="shared" si="24"/>
        <v>0</v>
      </c>
      <c r="X36" s="707">
        <f t="shared" si="24"/>
        <v>11.314</v>
      </c>
      <c r="Y36" s="707">
        <f t="shared" si="24"/>
        <v>0</v>
      </c>
      <c r="Z36" s="707">
        <f t="shared" si="24"/>
        <v>0</v>
      </c>
      <c r="AA36" s="707">
        <f t="shared" si="24"/>
        <v>285.52999999999997</v>
      </c>
      <c r="AB36" s="707">
        <f t="shared" si="24"/>
        <v>0</v>
      </c>
      <c r="AC36" s="707">
        <f t="shared" si="24"/>
        <v>0</v>
      </c>
      <c r="AD36" s="707">
        <f t="shared" si="24"/>
        <v>11.314</v>
      </c>
      <c r="AE36" s="707">
        <f t="shared" si="24"/>
        <v>0</v>
      </c>
      <c r="AF36" s="707">
        <f t="shared" si="24"/>
        <v>0</v>
      </c>
      <c r="AG36" s="227"/>
      <c r="AH36" s="365">
        <f>SUM(C36:AF36)</f>
        <v>1198.6899999999998</v>
      </c>
      <c r="AI36" s="152"/>
    </row>
    <row r="37" spans="1:35" s="514" customFormat="1" ht="16.5" customHeight="1" outlineLevel="2">
      <c r="A37" s="154"/>
      <c r="B37" s="706" t="s">
        <v>805</v>
      </c>
      <c r="C37" s="740">
        <f>C34+C41</f>
        <v>2</v>
      </c>
      <c r="D37" s="740">
        <f t="shared" ref="D37:AF37" si="25">D34+D41</f>
        <v>0</v>
      </c>
      <c r="E37" s="740">
        <f t="shared" si="25"/>
        <v>0</v>
      </c>
      <c r="F37" s="740">
        <f t="shared" si="25"/>
        <v>2</v>
      </c>
      <c r="G37" s="740">
        <f t="shared" si="25"/>
        <v>0</v>
      </c>
      <c r="H37" s="740">
        <f t="shared" si="25"/>
        <v>0</v>
      </c>
      <c r="I37" s="740">
        <f t="shared" si="25"/>
        <v>0</v>
      </c>
      <c r="J37" s="740">
        <f t="shared" si="25"/>
        <v>2</v>
      </c>
      <c r="K37" s="740">
        <f t="shared" si="25"/>
        <v>0</v>
      </c>
      <c r="L37" s="740">
        <f t="shared" si="25"/>
        <v>0</v>
      </c>
      <c r="M37" s="740">
        <f t="shared" si="25"/>
        <v>2</v>
      </c>
      <c r="N37" s="740">
        <f t="shared" si="25"/>
        <v>0</v>
      </c>
      <c r="O37" s="740">
        <f t="shared" si="25"/>
        <v>0</v>
      </c>
      <c r="P37" s="740">
        <f t="shared" si="25"/>
        <v>0</v>
      </c>
      <c r="Q37" s="740">
        <f t="shared" si="25"/>
        <v>2</v>
      </c>
      <c r="R37" s="740">
        <f t="shared" si="25"/>
        <v>0</v>
      </c>
      <c r="S37" s="740">
        <f t="shared" si="25"/>
        <v>0</v>
      </c>
      <c r="T37" s="740">
        <f t="shared" si="25"/>
        <v>2</v>
      </c>
      <c r="U37" s="740">
        <f t="shared" si="25"/>
        <v>0</v>
      </c>
      <c r="V37" s="740">
        <f t="shared" si="25"/>
        <v>0</v>
      </c>
      <c r="W37" s="740">
        <f t="shared" si="25"/>
        <v>0</v>
      </c>
      <c r="X37" s="740">
        <f t="shared" si="25"/>
        <v>2</v>
      </c>
      <c r="Y37" s="740">
        <f t="shared" si="25"/>
        <v>0</v>
      </c>
      <c r="Z37" s="740">
        <f t="shared" si="25"/>
        <v>0</v>
      </c>
      <c r="AA37" s="740">
        <f t="shared" si="25"/>
        <v>2</v>
      </c>
      <c r="AB37" s="740">
        <f t="shared" si="25"/>
        <v>0</v>
      </c>
      <c r="AC37" s="740">
        <f t="shared" si="25"/>
        <v>0</v>
      </c>
      <c r="AD37" s="740">
        <f t="shared" si="25"/>
        <v>2</v>
      </c>
      <c r="AE37" s="740">
        <f t="shared" si="25"/>
        <v>0</v>
      </c>
      <c r="AF37" s="740">
        <f t="shared" si="25"/>
        <v>0</v>
      </c>
      <c r="AG37" s="703" t="e">
        <v>#REF!</v>
      </c>
      <c r="AH37" s="704"/>
      <c r="AI37" s="512"/>
    </row>
    <row r="38" spans="1:35" s="162" customFormat="1" outlineLevel="2">
      <c r="A38" s="154"/>
      <c r="B38" s="256" t="s">
        <v>815</v>
      </c>
      <c r="C38" s="174">
        <f>Insumos!$E$10</f>
        <v>2765</v>
      </c>
      <c r="D38" s="174">
        <f>C38</f>
        <v>2765</v>
      </c>
      <c r="E38" s="174">
        <f t="shared" ref="E38:AF38" si="26">D38</f>
        <v>2765</v>
      </c>
      <c r="F38" s="174">
        <f t="shared" si="26"/>
        <v>2765</v>
      </c>
      <c r="G38" s="174">
        <f t="shared" si="26"/>
        <v>2765</v>
      </c>
      <c r="H38" s="174">
        <f t="shared" si="26"/>
        <v>2765</v>
      </c>
      <c r="I38" s="174">
        <f t="shared" si="26"/>
        <v>2765</v>
      </c>
      <c r="J38" s="174">
        <f t="shared" si="26"/>
        <v>2765</v>
      </c>
      <c r="K38" s="174">
        <f t="shared" si="26"/>
        <v>2765</v>
      </c>
      <c r="L38" s="174">
        <f t="shared" si="26"/>
        <v>2765</v>
      </c>
      <c r="M38" s="174">
        <f t="shared" si="26"/>
        <v>2765</v>
      </c>
      <c r="N38" s="174">
        <f t="shared" si="26"/>
        <v>2765</v>
      </c>
      <c r="O38" s="174">
        <f t="shared" si="26"/>
        <v>2765</v>
      </c>
      <c r="P38" s="174">
        <f t="shared" si="26"/>
        <v>2765</v>
      </c>
      <c r="Q38" s="174">
        <f t="shared" si="26"/>
        <v>2765</v>
      </c>
      <c r="R38" s="174">
        <f t="shared" si="26"/>
        <v>2765</v>
      </c>
      <c r="S38" s="174">
        <f t="shared" si="26"/>
        <v>2765</v>
      </c>
      <c r="T38" s="174">
        <f t="shared" si="26"/>
        <v>2765</v>
      </c>
      <c r="U38" s="174">
        <f t="shared" si="26"/>
        <v>2765</v>
      </c>
      <c r="V38" s="174">
        <f t="shared" si="26"/>
        <v>2765</v>
      </c>
      <c r="W38" s="174">
        <f t="shared" si="26"/>
        <v>2765</v>
      </c>
      <c r="X38" s="174">
        <f t="shared" si="26"/>
        <v>2765</v>
      </c>
      <c r="Y38" s="174">
        <f t="shared" si="26"/>
        <v>2765</v>
      </c>
      <c r="Z38" s="174">
        <f t="shared" si="26"/>
        <v>2765</v>
      </c>
      <c r="AA38" s="174">
        <f t="shared" si="26"/>
        <v>2765</v>
      </c>
      <c r="AB38" s="174">
        <f t="shared" si="26"/>
        <v>2765</v>
      </c>
      <c r="AC38" s="174">
        <f t="shared" si="26"/>
        <v>2765</v>
      </c>
      <c r="AD38" s="174">
        <f t="shared" si="26"/>
        <v>2765</v>
      </c>
      <c r="AE38" s="174">
        <f t="shared" si="26"/>
        <v>2765</v>
      </c>
      <c r="AF38" s="174">
        <f t="shared" si="26"/>
        <v>2765</v>
      </c>
      <c r="AG38" s="174"/>
      <c r="AH38" s="161"/>
      <c r="AI38" s="154"/>
    </row>
    <row r="39" spans="1:35" s="514" customFormat="1" ht="16.5" customHeight="1" outlineLevel="2">
      <c r="A39" s="154"/>
      <c r="B39" s="706" t="s">
        <v>805</v>
      </c>
      <c r="C39" s="740">
        <f>C34</f>
        <v>2</v>
      </c>
      <c r="D39" s="740">
        <f t="shared" ref="D39:AF39" si="27">D34</f>
        <v>0</v>
      </c>
      <c r="E39" s="740">
        <f t="shared" si="27"/>
        <v>0</v>
      </c>
      <c r="F39" s="740">
        <f t="shared" si="27"/>
        <v>0</v>
      </c>
      <c r="G39" s="740">
        <f t="shared" si="27"/>
        <v>0</v>
      </c>
      <c r="H39" s="740">
        <f t="shared" si="27"/>
        <v>0</v>
      </c>
      <c r="I39" s="740">
        <f t="shared" si="27"/>
        <v>0</v>
      </c>
      <c r="J39" s="740">
        <f t="shared" si="27"/>
        <v>2</v>
      </c>
      <c r="K39" s="740">
        <f t="shared" si="27"/>
        <v>0</v>
      </c>
      <c r="L39" s="740">
        <f t="shared" si="27"/>
        <v>0</v>
      </c>
      <c r="M39" s="740">
        <f t="shared" si="27"/>
        <v>0</v>
      </c>
      <c r="N39" s="740">
        <f t="shared" si="27"/>
        <v>0</v>
      </c>
      <c r="O39" s="740">
        <f t="shared" si="27"/>
        <v>0</v>
      </c>
      <c r="P39" s="740">
        <f t="shared" si="27"/>
        <v>0</v>
      </c>
      <c r="Q39" s="740">
        <f t="shared" si="27"/>
        <v>2</v>
      </c>
      <c r="R39" s="740">
        <f t="shared" si="27"/>
        <v>0</v>
      </c>
      <c r="S39" s="740">
        <f t="shared" si="27"/>
        <v>0</v>
      </c>
      <c r="T39" s="740">
        <f t="shared" si="27"/>
        <v>0</v>
      </c>
      <c r="U39" s="740">
        <f t="shared" si="27"/>
        <v>0</v>
      </c>
      <c r="V39" s="740">
        <f t="shared" si="27"/>
        <v>0</v>
      </c>
      <c r="W39" s="740">
        <f t="shared" si="27"/>
        <v>0</v>
      </c>
      <c r="X39" s="740">
        <f t="shared" si="27"/>
        <v>2</v>
      </c>
      <c r="Y39" s="740">
        <f t="shared" si="27"/>
        <v>0</v>
      </c>
      <c r="Z39" s="740">
        <f t="shared" si="27"/>
        <v>0</v>
      </c>
      <c r="AA39" s="740">
        <f t="shared" si="27"/>
        <v>0</v>
      </c>
      <c r="AB39" s="740">
        <f t="shared" si="27"/>
        <v>0</v>
      </c>
      <c r="AC39" s="740">
        <f t="shared" si="27"/>
        <v>0</v>
      </c>
      <c r="AD39" s="740">
        <f t="shared" si="27"/>
        <v>2</v>
      </c>
      <c r="AE39" s="740">
        <f t="shared" si="27"/>
        <v>0</v>
      </c>
      <c r="AF39" s="740">
        <f t="shared" si="27"/>
        <v>0</v>
      </c>
      <c r="AG39" s="703"/>
      <c r="AH39" s="704"/>
      <c r="AI39" s="512"/>
    </row>
    <row r="40" spans="1:35" s="162" customFormat="1" outlineLevel="2">
      <c r="A40" s="154"/>
      <c r="B40" s="256" t="s">
        <v>811</v>
      </c>
      <c r="C40" s="174">
        <f>Insumos!$E$32</f>
        <v>2892</v>
      </c>
      <c r="D40" s="174">
        <f>C40</f>
        <v>2892</v>
      </c>
      <c r="E40" s="174">
        <f t="shared" ref="E40:AF40" si="28">D40</f>
        <v>2892</v>
      </c>
      <c r="F40" s="174">
        <f t="shared" si="28"/>
        <v>2892</v>
      </c>
      <c r="G40" s="174">
        <f t="shared" si="28"/>
        <v>2892</v>
      </c>
      <c r="H40" s="174">
        <f t="shared" si="28"/>
        <v>2892</v>
      </c>
      <c r="I40" s="174">
        <f t="shared" si="28"/>
        <v>2892</v>
      </c>
      <c r="J40" s="174">
        <f t="shared" si="28"/>
        <v>2892</v>
      </c>
      <c r="K40" s="174">
        <f t="shared" si="28"/>
        <v>2892</v>
      </c>
      <c r="L40" s="174">
        <f t="shared" si="28"/>
        <v>2892</v>
      </c>
      <c r="M40" s="174">
        <f t="shared" si="28"/>
        <v>2892</v>
      </c>
      <c r="N40" s="174">
        <f t="shared" si="28"/>
        <v>2892</v>
      </c>
      <c r="O40" s="174">
        <f t="shared" si="28"/>
        <v>2892</v>
      </c>
      <c r="P40" s="174">
        <f t="shared" si="28"/>
        <v>2892</v>
      </c>
      <c r="Q40" s="174">
        <f t="shared" si="28"/>
        <v>2892</v>
      </c>
      <c r="R40" s="174">
        <f t="shared" si="28"/>
        <v>2892</v>
      </c>
      <c r="S40" s="174">
        <f t="shared" si="28"/>
        <v>2892</v>
      </c>
      <c r="T40" s="174">
        <f t="shared" si="28"/>
        <v>2892</v>
      </c>
      <c r="U40" s="174">
        <f t="shared" si="28"/>
        <v>2892</v>
      </c>
      <c r="V40" s="174">
        <f t="shared" si="28"/>
        <v>2892</v>
      </c>
      <c r="W40" s="174">
        <f t="shared" si="28"/>
        <v>2892</v>
      </c>
      <c r="X40" s="174">
        <f t="shared" si="28"/>
        <v>2892</v>
      </c>
      <c r="Y40" s="174">
        <f t="shared" si="28"/>
        <v>2892</v>
      </c>
      <c r="Z40" s="174">
        <f t="shared" si="28"/>
        <v>2892</v>
      </c>
      <c r="AA40" s="174">
        <f t="shared" si="28"/>
        <v>2892</v>
      </c>
      <c r="AB40" s="174">
        <f t="shared" si="28"/>
        <v>2892</v>
      </c>
      <c r="AC40" s="174">
        <f t="shared" si="28"/>
        <v>2892</v>
      </c>
      <c r="AD40" s="174">
        <f t="shared" si="28"/>
        <v>2892</v>
      </c>
      <c r="AE40" s="174">
        <f t="shared" si="28"/>
        <v>2892</v>
      </c>
      <c r="AF40" s="174">
        <f t="shared" si="28"/>
        <v>2892</v>
      </c>
      <c r="AG40" s="174"/>
      <c r="AH40" s="161"/>
      <c r="AI40" s="154"/>
    </row>
    <row r="41" spans="1:35" s="514" customFormat="1" ht="16.5" customHeight="1" outlineLevel="2">
      <c r="A41" s="154"/>
      <c r="B41" s="706" t="s">
        <v>805</v>
      </c>
      <c r="C41" s="740">
        <v>0</v>
      </c>
      <c r="D41" s="740">
        <v>0</v>
      </c>
      <c r="E41" s="740">
        <v>0</v>
      </c>
      <c r="F41" s="740">
        <f t="shared" ref="F41:AF41" si="29">C34</f>
        <v>2</v>
      </c>
      <c r="G41" s="740">
        <f t="shared" si="29"/>
        <v>0</v>
      </c>
      <c r="H41" s="740">
        <f t="shared" si="29"/>
        <v>0</v>
      </c>
      <c r="I41" s="740">
        <f t="shared" si="29"/>
        <v>0</v>
      </c>
      <c r="J41" s="740">
        <f t="shared" si="29"/>
        <v>0</v>
      </c>
      <c r="K41" s="740">
        <f t="shared" si="29"/>
        <v>0</v>
      </c>
      <c r="L41" s="740">
        <f t="shared" si="29"/>
        <v>0</v>
      </c>
      <c r="M41" s="740">
        <f t="shared" si="29"/>
        <v>2</v>
      </c>
      <c r="N41" s="740">
        <f t="shared" si="29"/>
        <v>0</v>
      </c>
      <c r="O41" s="740">
        <f t="shared" si="29"/>
        <v>0</v>
      </c>
      <c r="P41" s="740">
        <f t="shared" si="29"/>
        <v>0</v>
      </c>
      <c r="Q41" s="740">
        <f t="shared" si="29"/>
        <v>0</v>
      </c>
      <c r="R41" s="740">
        <f t="shared" si="29"/>
        <v>0</v>
      </c>
      <c r="S41" s="740">
        <f t="shared" si="29"/>
        <v>0</v>
      </c>
      <c r="T41" s="740">
        <f t="shared" si="29"/>
        <v>2</v>
      </c>
      <c r="U41" s="740">
        <f t="shared" si="29"/>
        <v>0</v>
      </c>
      <c r="V41" s="740">
        <f t="shared" si="29"/>
        <v>0</v>
      </c>
      <c r="W41" s="740">
        <f t="shared" si="29"/>
        <v>0</v>
      </c>
      <c r="X41" s="740">
        <f t="shared" si="29"/>
        <v>0</v>
      </c>
      <c r="Y41" s="740">
        <f t="shared" si="29"/>
        <v>0</v>
      </c>
      <c r="Z41" s="740">
        <f t="shared" si="29"/>
        <v>0</v>
      </c>
      <c r="AA41" s="740">
        <f t="shared" si="29"/>
        <v>2</v>
      </c>
      <c r="AB41" s="740">
        <f t="shared" si="29"/>
        <v>0</v>
      </c>
      <c r="AC41" s="740">
        <f t="shared" si="29"/>
        <v>0</v>
      </c>
      <c r="AD41" s="740">
        <f t="shared" si="29"/>
        <v>0</v>
      </c>
      <c r="AE41" s="740">
        <f t="shared" si="29"/>
        <v>0</v>
      </c>
      <c r="AF41" s="740">
        <f t="shared" si="29"/>
        <v>0</v>
      </c>
      <c r="AG41" s="703"/>
      <c r="AH41" s="704"/>
      <c r="AI41" s="512"/>
    </row>
    <row r="42" spans="1:35" s="513" customFormat="1" outlineLevel="2">
      <c r="A42" s="154"/>
      <c r="B42" s="608" t="s">
        <v>812</v>
      </c>
      <c r="C42" s="174">
        <f>Insumos!$E$30</f>
        <v>140000</v>
      </c>
      <c r="D42" s="174">
        <f>C42</f>
        <v>140000</v>
      </c>
      <c r="E42" s="174">
        <f t="shared" ref="E42:AF42" si="30">D42</f>
        <v>140000</v>
      </c>
      <c r="F42" s="174">
        <f t="shared" si="30"/>
        <v>140000</v>
      </c>
      <c r="G42" s="174">
        <f t="shared" si="30"/>
        <v>140000</v>
      </c>
      <c r="H42" s="174">
        <f t="shared" si="30"/>
        <v>140000</v>
      </c>
      <c r="I42" s="174">
        <f t="shared" si="30"/>
        <v>140000</v>
      </c>
      <c r="J42" s="174">
        <f t="shared" si="30"/>
        <v>140000</v>
      </c>
      <c r="K42" s="174">
        <f t="shared" si="30"/>
        <v>140000</v>
      </c>
      <c r="L42" s="174">
        <f t="shared" si="30"/>
        <v>140000</v>
      </c>
      <c r="M42" s="174">
        <f t="shared" si="30"/>
        <v>140000</v>
      </c>
      <c r="N42" s="174">
        <f t="shared" si="30"/>
        <v>140000</v>
      </c>
      <c r="O42" s="174">
        <f t="shared" si="30"/>
        <v>140000</v>
      </c>
      <c r="P42" s="174">
        <f t="shared" si="30"/>
        <v>140000</v>
      </c>
      <c r="Q42" s="174">
        <f t="shared" si="30"/>
        <v>140000</v>
      </c>
      <c r="R42" s="174">
        <f t="shared" si="30"/>
        <v>140000</v>
      </c>
      <c r="S42" s="174">
        <f t="shared" si="30"/>
        <v>140000</v>
      </c>
      <c r="T42" s="174">
        <f t="shared" si="30"/>
        <v>140000</v>
      </c>
      <c r="U42" s="174">
        <f t="shared" si="30"/>
        <v>140000</v>
      </c>
      <c r="V42" s="174">
        <f t="shared" si="30"/>
        <v>140000</v>
      </c>
      <c r="W42" s="174">
        <f t="shared" si="30"/>
        <v>140000</v>
      </c>
      <c r="X42" s="174">
        <f t="shared" si="30"/>
        <v>140000</v>
      </c>
      <c r="Y42" s="174">
        <f t="shared" si="30"/>
        <v>140000</v>
      </c>
      <c r="Z42" s="174">
        <f t="shared" si="30"/>
        <v>140000</v>
      </c>
      <c r="AA42" s="174">
        <f t="shared" si="30"/>
        <v>140000</v>
      </c>
      <c r="AB42" s="174">
        <f t="shared" si="30"/>
        <v>140000</v>
      </c>
      <c r="AC42" s="174">
        <f t="shared" si="30"/>
        <v>140000</v>
      </c>
      <c r="AD42" s="174">
        <f t="shared" si="30"/>
        <v>140000</v>
      </c>
      <c r="AE42" s="174">
        <f t="shared" si="30"/>
        <v>140000</v>
      </c>
      <c r="AF42" s="174">
        <f t="shared" si="30"/>
        <v>140000</v>
      </c>
      <c r="AG42" s="174"/>
      <c r="AH42" s="699"/>
      <c r="AI42" s="510"/>
    </row>
    <row r="43" spans="1:35" s="162" customFormat="1">
      <c r="A43" s="154"/>
      <c r="B43" s="150"/>
      <c r="C43" s="176"/>
      <c r="D43" s="176"/>
      <c r="E43" s="176"/>
      <c r="F43" s="176"/>
      <c r="G43" s="176"/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6"/>
      <c r="AC43" s="176"/>
      <c r="AD43" s="176"/>
      <c r="AE43" s="176"/>
      <c r="AF43" s="176"/>
      <c r="AG43" s="173"/>
      <c r="AH43" s="161"/>
      <c r="AI43" s="154"/>
    </row>
    <row r="44" spans="1:35">
      <c r="A44" s="154"/>
      <c r="B44" s="453" t="s">
        <v>816</v>
      </c>
      <c r="C44" s="710">
        <f t="shared" ref="C44:AF44" si="31">C45+C49</f>
        <v>0</v>
      </c>
      <c r="D44" s="710">
        <f t="shared" si="31"/>
        <v>0</v>
      </c>
      <c r="E44" s="710">
        <f t="shared" si="31"/>
        <v>651.48476000000005</v>
      </c>
      <c r="F44" s="710">
        <f t="shared" si="31"/>
        <v>0</v>
      </c>
      <c r="G44" s="710">
        <f t="shared" si="31"/>
        <v>0</v>
      </c>
      <c r="H44" s="710">
        <f t="shared" si="31"/>
        <v>0</v>
      </c>
      <c r="I44" s="710">
        <f t="shared" si="31"/>
        <v>0</v>
      </c>
      <c r="J44" s="710">
        <f t="shared" si="31"/>
        <v>0</v>
      </c>
      <c r="K44" s="710">
        <f t="shared" si="31"/>
        <v>0</v>
      </c>
      <c r="L44" s="710">
        <f t="shared" si="31"/>
        <v>0</v>
      </c>
      <c r="M44" s="710">
        <f t="shared" si="31"/>
        <v>0</v>
      </c>
      <c r="N44" s="710">
        <f t="shared" si="31"/>
        <v>0</v>
      </c>
      <c r="O44" s="710">
        <f t="shared" si="31"/>
        <v>651.48476000000005</v>
      </c>
      <c r="P44" s="710">
        <f t="shared" si="31"/>
        <v>0</v>
      </c>
      <c r="Q44" s="710">
        <f t="shared" si="31"/>
        <v>0</v>
      </c>
      <c r="R44" s="710">
        <f t="shared" si="31"/>
        <v>0</v>
      </c>
      <c r="S44" s="710">
        <f t="shared" si="31"/>
        <v>0</v>
      </c>
      <c r="T44" s="710">
        <f t="shared" si="31"/>
        <v>0</v>
      </c>
      <c r="U44" s="710">
        <f t="shared" si="31"/>
        <v>0</v>
      </c>
      <c r="V44" s="710">
        <f t="shared" si="31"/>
        <v>0</v>
      </c>
      <c r="W44" s="710">
        <f t="shared" si="31"/>
        <v>0</v>
      </c>
      <c r="X44" s="710">
        <f t="shared" si="31"/>
        <v>0</v>
      </c>
      <c r="Y44" s="710">
        <f t="shared" si="31"/>
        <v>651.48476000000005</v>
      </c>
      <c r="Z44" s="710">
        <f t="shared" si="31"/>
        <v>0</v>
      </c>
      <c r="AA44" s="710">
        <f t="shared" si="31"/>
        <v>0</v>
      </c>
      <c r="AB44" s="710">
        <f t="shared" si="31"/>
        <v>0</v>
      </c>
      <c r="AC44" s="710">
        <f t="shared" si="31"/>
        <v>0</v>
      </c>
      <c r="AD44" s="710">
        <f t="shared" si="31"/>
        <v>0</v>
      </c>
      <c r="AE44" s="710">
        <f t="shared" si="31"/>
        <v>0</v>
      </c>
      <c r="AF44" s="710">
        <f t="shared" si="31"/>
        <v>0</v>
      </c>
      <c r="AG44" s="169"/>
      <c r="AH44" s="455">
        <f>SUM(C44:AF44)</f>
        <v>1954.4542800000002</v>
      </c>
      <c r="AI44" s="152" t="s">
        <v>803</v>
      </c>
    </row>
    <row r="45" spans="1:35" outlineLevel="1">
      <c r="A45" s="154"/>
      <c r="B45" s="225" t="s">
        <v>297</v>
      </c>
      <c r="C45" s="226">
        <f>SUM(C46)/10^3</f>
        <v>0</v>
      </c>
      <c r="D45" s="226">
        <f t="shared" ref="D45:AF45" si="32">SUM(D46)/10^3</f>
        <v>0</v>
      </c>
      <c r="E45" s="226">
        <f t="shared" si="32"/>
        <v>648.71976000000006</v>
      </c>
      <c r="F45" s="226">
        <f t="shared" si="32"/>
        <v>0</v>
      </c>
      <c r="G45" s="226">
        <f t="shared" si="32"/>
        <v>0</v>
      </c>
      <c r="H45" s="226">
        <f t="shared" si="32"/>
        <v>0</v>
      </c>
      <c r="I45" s="226">
        <f t="shared" si="32"/>
        <v>0</v>
      </c>
      <c r="J45" s="226">
        <f t="shared" si="32"/>
        <v>0</v>
      </c>
      <c r="K45" s="226">
        <f t="shared" si="32"/>
        <v>0</v>
      </c>
      <c r="L45" s="226">
        <f t="shared" si="32"/>
        <v>0</v>
      </c>
      <c r="M45" s="226">
        <f t="shared" si="32"/>
        <v>0</v>
      </c>
      <c r="N45" s="226">
        <f t="shared" si="32"/>
        <v>0</v>
      </c>
      <c r="O45" s="226">
        <f t="shared" si="32"/>
        <v>648.71976000000006</v>
      </c>
      <c r="P45" s="226">
        <f t="shared" si="32"/>
        <v>0</v>
      </c>
      <c r="Q45" s="226">
        <f t="shared" si="32"/>
        <v>0</v>
      </c>
      <c r="R45" s="226">
        <f t="shared" si="32"/>
        <v>0</v>
      </c>
      <c r="S45" s="226">
        <f t="shared" si="32"/>
        <v>0</v>
      </c>
      <c r="T45" s="226">
        <f t="shared" si="32"/>
        <v>0</v>
      </c>
      <c r="U45" s="226">
        <f t="shared" si="32"/>
        <v>0</v>
      </c>
      <c r="V45" s="226">
        <f t="shared" si="32"/>
        <v>0</v>
      </c>
      <c r="W45" s="226">
        <f t="shared" si="32"/>
        <v>0</v>
      </c>
      <c r="X45" s="226">
        <f t="shared" si="32"/>
        <v>0</v>
      </c>
      <c r="Y45" s="226">
        <f t="shared" si="32"/>
        <v>648.71976000000006</v>
      </c>
      <c r="Z45" s="226">
        <f t="shared" si="32"/>
        <v>0</v>
      </c>
      <c r="AA45" s="226">
        <f t="shared" si="32"/>
        <v>0</v>
      </c>
      <c r="AB45" s="226">
        <f t="shared" si="32"/>
        <v>0</v>
      </c>
      <c r="AC45" s="226">
        <f t="shared" si="32"/>
        <v>0</v>
      </c>
      <c r="AD45" s="226">
        <f t="shared" si="32"/>
        <v>0</v>
      </c>
      <c r="AE45" s="226">
        <f t="shared" si="32"/>
        <v>0</v>
      </c>
      <c r="AF45" s="226">
        <f t="shared" si="32"/>
        <v>0</v>
      </c>
      <c r="AG45" s="227"/>
      <c r="AH45" s="365">
        <f>SUM(C45:AF45)</f>
        <v>1946.1592800000003</v>
      </c>
      <c r="AI45" s="152"/>
    </row>
    <row r="46" spans="1:35" s="162" customFormat="1" outlineLevel="2">
      <c r="A46" s="154"/>
      <c r="B46" s="256" t="s">
        <v>817</v>
      </c>
      <c r="C46" s="174">
        <f t="shared" ref="C46:AF46" si="33">C47*C48</f>
        <v>0</v>
      </c>
      <c r="D46" s="174">
        <f t="shared" ref="D46" si="34">D47*D48</f>
        <v>0</v>
      </c>
      <c r="E46" s="174">
        <f t="shared" si="33"/>
        <v>648719.76</v>
      </c>
      <c r="F46" s="174">
        <f t="shared" si="33"/>
        <v>0</v>
      </c>
      <c r="G46" s="174">
        <v>0</v>
      </c>
      <c r="H46" s="174">
        <f t="shared" si="33"/>
        <v>0</v>
      </c>
      <c r="I46" s="174">
        <f t="shared" si="33"/>
        <v>0</v>
      </c>
      <c r="J46" s="174">
        <f t="shared" si="33"/>
        <v>0</v>
      </c>
      <c r="K46" s="174">
        <f t="shared" si="33"/>
        <v>0</v>
      </c>
      <c r="L46" s="174">
        <f t="shared" si="33"/>
        <v>0</v>
      </c>
      <c r="M46" s="174">
        <f t="shared" si="33"/>
        <v>0</v>
      </c>
      <c r="N46" s="174">
        <f t="shared" si="33"/>
        <v>0</v>
      </c>
      <c r="O46" s="174">
        <f t="shared" si="33"/>
        <v>648719.76</v>
      </c>
      <c r="P46" s="174">
        <f t="shared" si="33"/>
        <v>0</v>
      </c>
      <c r="Q46" s="174">
        <f t="shared" si="33"/>
        <v>0</v>
      </c>
      <c r="R46" s="174">
        <f t="shared" si="33"/>
        <v>0</v>
      </c>
      <c r="S46" s="174">
        <f t="shared" si="33"/>
        <v>0</v>
      </c>
      <c r="T46" s="174">
        <f t="shared" si="33"/>
        <v>0</v>
      </c>
      <c r="U46" s="174">
        <f t="shared" si="33"/>
        <v>0</v>
      </c>
      <c r="V46" s="174">
        <f t="shared" si="33"/>
        <v>0</v>
      </c>
      <c r="W46" s="174">
        <f t="shared" si="33"/>
        <v>0</v>
      </c>
      <c r="X46" s="174">
        <f t="shared" si="33"/>
        <v>0</v>
      </c>
      <c r="Y46" s="174">
        <f t="shared" si="33"/>
        <v>648719.76</v>
      </c>
      <c r="Z46" s="174">
        <f t="shared" si="33"/>
        <v>0</v>
      </c>
      <c r="AA46" s="174">
        <v>0</v>
      </c>
      <c r="AB46" s="174">
        <f t="shared" si="33"/>
        <v>0</v>
      </c>
      <c r="AC46" s="174">
        <f t="shared" si="33"/>
        <v>0</v>
      </c>
      <c r="AD46" s="174">
        <f t="shared" si="33"/>
        <v>0</v>
      </c>
      <c r="AE46" s="174">
        <f t="shared" si="33"/>
        <v>0</v>
      </c>
      <c r="AF46" s="174">
        <f t="shared" si="33"/>
        <v>0</v>
      </c>
      <c r="AG46" s="174"/>
      <c r="AH46" s="161"/>
      <c r="AI46" s="154"/>
    </row>
    <row r="47" spans="1:35" s="162" customFormat="1" outlineLevel="2">
      <c r="A47" s="154"/>
      <c r="B47" s="150" t="s">
        <v>805</v>
      </c>
      <c r="C47" s="172">
        <v>0</v>
      </c>
      <c r="D47" s="172">
        <v>0</v>
      </c>
      <c r="E47" s="508">
        <v>1</v>
      </c>
      <c r="F47" s="172">
        <v>0</v>
      </c>
      <c r="G47" s="172">
        <v>0</v>
      </c>
      <c r="H47" s="172">
        <v>0</v>
      </c>
      <c r="I47" s="172">
        <v>0</v>
      </c>
      <c r="J47" s="172">
        <v>0</v>
      </c>
      <c r="K47" s="172">
        <v>0</v>
      </c>
      <c r="L47" s="172">
        <v>0</v>
      </c>
      <c r="M47" s="172">
        <v>0</v>
      </c>
      <c r="N47" s="172">
        <v>0</v>
      </c>
      <c r="O47" s="172">
        <v>1</v>
      </c>
      <c r="P47" s="172">
        <v>0</v>
      </c>
      <c r="Q47" s="172">
        <v>0</v>
      </c>
      <c r="R47" s="172">
        <v>0</v>
      </c>
      <c r="S47" s="172">
        <v>0</v>
      </c>
      <c r="T47" s="172">
        <v>0</v>
      </c>
      <c r="U47" s="172">
        <v>0</v>
      </c>
      <c r="V47" s="172">
        <v>0</v>
      </c>
      <c r="W47" s="172">
        <v>0</v>
      </c>
      <c r="X47" s="172">
        <v>0</v>
      </c>
      <c r="Y47" s="172">
        <v>1</v>
      </c>
      <c r="Z47" s="172">
        <v>0</v>
      </c>
      <c r="AA47" s="172">
        <v>0</v>
      </c>
      <c r="AB47" s="172">
        <v>0</v>
      </c>
      <c r="AC47" s="172">
        <v>0</v>
      </c>
      <c r="AD47" s="172">
        <v>0</v>
      </c>
      <c r="AE47" s="172">
        <v>0</v>
      </c>
      <c r="AF47" s="172">
        <v>0</v>
      </c>
      <c r="AG47" s="175"/>
      <c r="AH47" s="161"/>
      <c r="AI47" s="154"/>
    </row>
    <row r="48" spans="1:35" s="162" customFormat="1" outlineLevel="2">
      <c r="A48" s="154"/>
      <c r="B48" s="150" t="s">
        <v>807</v>
      </c>
      <c r="C48" s="176">
        <f>Insumos!$E$15+Insumos!$E$28</f>
        <v>648719.76</v>
      </c>
      <c r="D48" s="176">
        <f>C48</f>
        <v>648719.76</v>
      </c>
      <c r="E48" s="176">
        <f t="shared" ref="E48:AF48" si="35">D48</f>
        <v>648719.76</v>
      </c>
      <c r="F48" s="176">
        <f t="shared" si="35"/>
        <v>648719.76</v>
      </c>
      <c r="G48" s="176">
        <f t="shared" si="35"/>
        <v>648719.76</v>
      </c>
      <c r="H48" s="176">
        <f t="shared" si="35"/>
        <v>648719.76</v>
      </c>
      <c r="I48" s="176">
        <f t="shared" si="35"/>
        <v>648719.76</v>
      </c>
      <c r="J48" s="176">
        <f t="shared" si="35"/>
        <v>648719.76</v>
      </c>
      <c r="K48" s="176">
        <f t="shared" si="35"/>
        <v>648719.76</v>
      </c>
      <c r="L48" s="176">
        <f t="shared" si="35"/>
        <v>648719.76</v>
      </c>
      <c r="M48" s="176">
        <f t="shared" si="35"/>
        <v>648719.76</v>
      </c>
      <c r="N48" s="176">
        <f t="shared" si="35"/>
        <v>648719.76</v>
      </c>
      <c r="O48" s="176">
        <f t="shared" si="35"/>
        <v>648719.76</v>
      </c>
      <c r="P48" s="176">
        <f t="shared" si="35"/>
        <v>648719.76</v>
      </c>
      <c r="Q48" s="176">
        <f t="shared" si="35"/>
        <v>648719.76</v>
      </c>
      <c r="R48" s="176">
        <f t="shared" si="35"/>
        <v>648719.76</v>
      </c>
      <c r="S48" s="176">
        <f t="shared" si="35"/>
        <v>648719.76</v>
      </c>
      <c r="T48" s="176">
        <f t="shared" si="35"/>
        <v>648719.76</v>
      </c>
      <c r="U48" s="176">
        <f t="shared" si="35"/>
        <v>648719.76</v>
      </c>
      <c r="V48" s="176">
        <f t="shared" si="35"/>
        <v>648719.76</v>
      </c>
      <c r="W48" s="176">
        <f t="shared" si="35"/>
        <v>648719.76</v>
      </c>
      <c r="X48" s="176">
        <f t="shared" si="35"/>
        <v>648719.76</v>
      </c>
      <c r="Y48" s="176">
        <f t="shared" si="35"/>
        <v>648719.76</v>
      </c>
      <c r="Z48" s="176">
        <f t="shared" si="35"/>
        <v>648719.76</v>
      </c>
      <c r="AA48" s="176">
        <f t="shared" si="35"/>
        <v>648719.76</v>
      </c>
      <c r="AB48" s="176">
        <f t="shared" si="35"/>
        <v>648719.76</v>
      </c>
      <c r="AC48" s="176">
        <f t="shared" si="35"/>
        <v>648719.76</v>
      </c>
      <c r="AD48" s="176">
        <f t="shared" si="35"/>
        <v>648719.76</v>
      </c>
      <c r="AE48" s="176">
        <f t="shared" si="35"/>
        <v>648719.76</v>
      </c>
      <c r="AF48" s="176">
        <f t="shared" si="35"/>
        <v>648719.76</v>
      </c>
      <c r="AG48" s="175"/>
      <c r="AH48" s="257"/>
      <c r="AI48" s="154"/>
    </row>
    <row r="49" spans="1:35" s="514" customFormat="1" ht="16.5" customHeight="1" outlineLevel="1">
      <c r="A49" s="154"/>
      <c r="B49" s="709" t="s">
        <v>299</v>
      </c>
      <c r="C49" s="707">
        <f>(C50*C51)/10^3</f>
        <v>0</v>
      </c>
      <c r="D49" s="707">
        <f t="shared" ref="D49:AF49" si="36">(D50*D51)/10^3</f>
        <v>0</v>
      </c>
      <c r="E49" s="707">
        <f t="shared" si="36"/>
        <v>2.7650000000000001</v>
      </c>
      <c r="F49" s="707">
        <f t="shared" si="36"/>
        <v>0</v>
      </c>
      <c r="G49" s="707">
        <f t="shared" si="36"/>
        <v>0</v>
      </c>
      <c r="H49" s="707">
        <f t="shared" si="36"/>
        <v>0</v>
      </c>
      <c r="I49" s="707">
        <f t="shared" si="36"/>
        <v>0</v>
      </c>
      <c r="J49" s="707">
        <f t="shared" si="36"/>
        <v>0</v>
      </c>
      <c r="K49" s="707">
        <f t="shared" si="36"/>
        <v>0</v>
      </c>
      <c r="L49" s="707">
        <f t="shared" si="36"/>
        <v>0</v>
      </c>
      <c r="M49" s="707">
        <f t="shared" si="36"/>
        <v>0</v>
      </c>
      <c r="N49" s="707">
        <f t="shared" si="36"/>
        <v>0</v>
      </c>
      <c r="O49" s="707">
        <f t="shared" si="36"/>
        <v>2.7650000000000001</v>
      </c>
      <c r="P49" s="707">
        <f t="shared" si="36"/>
        <v>0</v>
      </c>
      <c r="Q49" s="707">
        <f t="shared" si="36"/>
        <v>0</v>
      </c>
      <c r="R49" s="707">
        <f t="shared" si="36"/>
        <v>0</v>
      </c>
      <c r="S49" s="707">
        <f t="shared" si="36"/>
        <v>0</v>
      </c>
      <c r="T49" s="707">
        <f t="shared" si="36"/>
        <v>0</v>
      </c>
      <c r="U49" s="707">
        <f t="shared" si="36"/>
        <v>0</v>
      </c>
      <c r="V49" s="707">
        <f t="shared" si="36"/>
        <v>0</v>
      </c>
      <c r="W49" s="707">
        <f t="shared" si="36"/>
        <v>0</v>
      </c>
      <c r="X49" s="707">
        <f t="shared" si="36"/>
        <v>0</v>
      </c>
      <c r="Y49" s="707">
        <f t="shared" si="36"/>
        <v>2.7650000000000001</v>
      </c>
      <c r="Z49" s="707">
        <f t="shared" si="36"/>
        <v>0</v>
      </c>
      <c r="AA49" s="707">
        <f t="shared" si="36"/>
        <v>0</v>
      </c>
      <c r="AB49" s="707">
        <f t="shared" si="36"/>
        <v>0</v>
      </c>
      <c r="AC49" s="707">
        <f t="shared" si="36"/>
        <v>0</v>
      </c>
      <c r="AD49" s="707">
        <f t="shared" si="36"/>
        <v>0</v>
      </c>
      <c r="AE49" s="707">
        <f t="shared" si="36"/>
        <v>0</v>
      </c>
      <c r="AF49" s="707">
        <f t="shared" si="36"/>
        <v>0</v>
      </c>
      <c r="AG49" s="703"/>
      <c r="AH49" s="708">
        <f>SUM(C49:AF49)</f>
        <v>8.2949999999999999</v>
      </c>
      <c r="AI49" s="512"/>
    </row>
    <row r="50" spans="1:35" s="514" customFormat="1" ht="16.5" customHeight="1" outlineLevel="2">
      <c r="A50" s="154"/>
      <c r="B50" s="706" t="s">
        <v>805</v>
      </c>
      <c r="C50" s="509">
        <f>C47</f>
        <v>0</v>
      </c>
      <c r="D50" s="509">
        <f t="shared" ref="D50:AF50" si="37">D47</f>
        <v>0</v>
      </c>
      <c r="E50" s="509">
        <f t="shared" si="37"/>
        <v>1</v>
      </c>
      <c r="F50" s="509">
        <f t="shared" si="37"/>
        <v>0</v>
      </c>
      <c r="G50" s="509">
        <f t="shared" si="37"/>
        <v>0</v>
      </c>
      <c r="H50" s="509">
        <f t="shared" si="37"/>
        <v>0</v>
      </c>
      <c r="I50" s="509">
        <f t="shared" si="37"/>
        <v>0</v>
      </c>
      <c r="J50" s="509">
        <f t="shared" si="37"/>
        <v>0</v>
      </c>
      <c r="K50" s="509">
        <f t="shared" si="37"/>
        <v>0</v>
      </c>
      <c r="L50" s="509">
        <f t="shared" si="37"/>
        <v>0</v>
      </c>
      <c r="M50" s="509">
        <f t="shared" si="37"/>
        <v>0</v>
      </c>
      <c r="N50" s="509">
        <f t="shared" si="37"/>
        <v>0</v>
      </c>
      <c r="O50" s="509">
        <f t="shared" si="37"/>
        <v>1</v>
      </c>
      <c r="P50" s="509">
        <f t="shared" si="37"/>
        <v>0</v>
      </c>
      <c r="Q50" s="509">
        <f t="shared" si="37"/>
        <v>0</v>
      </c>
      <c r="R50" s="509">
        <f t="shared" si="37"/>
        <v>0</v>
      </c>
      <c r="S50" s="509">
        <f t="shared" si="37"/>
        <v>0</v>
      </c>
      <c r="T50" s="509">
        <f t="shared" si="37"/>
        <v>0</v>
      </c>
      <c r="U50" s="509">
        <f t="shared" si="37"/>
        <v>0</v>
      </c>
      <c r="V50" s="509">
        <f t="shared" si="37"/>
        <v>0</v>
      </c>
      <c r="W50" s="509">
        <f t="shared" si="37"/>
        <v>0</v>
      </c>
      <c r="X50" s="509">
        <f t="shared" si="37"/>
        <v>0</v>
      </c>
      <c r="Y50" s="509">
        <f t="shared" si="37"/>
        <v>1</v>
      </c>
      <c r="Z50" s="509">
        <f t="shared" si="37"/>
        <v>0</v>
      </c>
      <c r="AA50" s="509">
        <f t="shared" si="37"/>
        <v>0</v>
      </c>
      <c r="AB50" s="509">
        <f t="shared" si="37"/>
        <v>0</v>
      </c>
      <c r="AC50" s="509">
        <f t="shared" si="37"/>
        <v>0</v>
      </c>
      <c r="AD50" s="509">
        <f t="shared" si="37"/>
        <v>0</v>
      </c>
      <c r="AE50" s="509">
        <f t="shared" si="37"/>
        <v>0</v>
      </c>
      <c r="AF50" s="509">
        <f t="shared" si="37"/>
        <v>0</v>
      </c>
      <c r="AG50" s="703">
        <v>0</v>
      </c>
      <c r="AH50" s="704"/>
      <c r="AI50" s="512"/>
    </row>
    <row r="51" spans="1:35" s="513" customFormat="1" ht="16.5" customHeight="1" outlineLevel="2">
      <c r="A51" s="154"/>
      <c r="B51" s="608" t="s">
        <v>818</v>
      </c>
      <c r="C51" s="174">
        <f>Insumos!$E$10</f>
        <v>2765</v>
      </c>
      <c r="D51" s="174">
        <f>C51</f>
        <v>2765</v>
      </c>
      <c r="E51" s="174">
        <f t="shared" ref="E51:AF51" si="38">D51</f>
        <v>2765</v>
      </c>
      <c r="F51" s="174">
        <f t="shared" si="38"/>
        <v>2765</v>
      </c>
      <c r="G51" s="174">
        <f t="shared" si="38"/>
        <v>2765</v>
      </c>
      <c r="H51" s="174">
        <f t="shared" si="38"/>
        <v>2765</v>
      </c>
      <c r="I51" s="174">
        <f t="shared" si="38"/>
        <v>2765</v>
      </c>
      <c r="J51" s="174">
        <f t="shared" si="38"/>
        <v>2765</v>
      </c>
      <c r="K51" s="174">
        <f t="shared" si="38"/>
        <v>2765</v>
      </c>
      <c r="L51" s="174">
        <f t="shared" si="38"/>
        <v>2765</v>
      </c>
      <c r="M51" s="174">
        <f t="shared" si="38"/>
        <v>2765</v>
      </c>
      <c r="N51" s="174">
        <f t="shared" si="38"/>
        <v>2765</v>
      </c>
      <c r="O51" s="174">
        <f t="shared" si="38"/>
        <v>2765</v>
      </c>
      <c r="P51" s="174">
        <f t="shared" si="38"/>
        <v>2765</v>
      </c>
      <c r="Q51" s="174">
        <f t="shared" si="38"/>
        <v>2765</v>
      </c>
      <c r="R51" s="174">
        <f t="shared" si="38"/>
        <v>2765</v>
      </c>
      <c r="S51" s="174">
        <f t="shared" si="38"/>
        <v>2765</v>
      </c>
      <c r="T51" s="174">
        <f t="shared" si="38"/>
        <v>2765</v>
      </c>
      <c r="U51" s="174">
        <f t="shared" si="38"/>
        <v>2765</v>
      </c>
      <c r="V51" s="174">
        <f t="shared" si="38"/>
        <v>2765</v>
      </c>
      <c r="W51" s="174">
        <f t="shared" si="38"/>
        <v>2765</v>
      </c>
      <c r="X51" s="174">
        <f t="shared" si="38"/>
        <v>2765</v>
      </c>
      <c r="Y51" s="174">
        <f t="shared" si="38"/>
        <v>2765</v>
      </c>
      <c r="Z51" s="174">
        <f t="shared" si="38"/>
        <v>2765</v>
      </c>
      <c r="AA51" s="174">
        <f t="shared" si="38"/>
        <v>2765</v>
      </c>
      <c r="AB51" s="174">
        <f t="shared" si="38"/>
        <v>2765</v>
      </c>
      <c r="AC51" s="174">
        <f t="shared" si="38"/>
        <v>2765</v>
      </c>
      <c r="AD51" s="174">
        <f t="shared" si="38"/>
        <v>2765</v>
      </c>
      <c r="AE51" s="174">
        <f t="shared" si="38"/>
        <v>2765</v>
      </c>
      <c r="AF51" s="174">
        <f t="shared" si="38"/>
        <v>2765</v>
      </c>
      <c r="AG51" s="174"/>
      <c r="AH51" s="699"/>
      <c r="AI51" s="510"/>
    </row>
    <row r="52" spans="1:35" s="162" customFormat="1">
      <c r="A52" s="154"/>
      <c r="B52" s="150"/>
      <c r="C52" s="187"/>
      <c r="D52" s="187"/>
      <c r="E52" s="187"/>
      <c r="F52" s="187"/>
      <c r="G52" s="187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7"/>
      <c r="AE52" s="187"/>
      <c r="AF52" s="187"/>
      <c r="AG52" s="173"/>
      <c r="AH52" s="161"/>
      <c r="AI52" s="154"/>
    </row>
    <row r="53" spans="1:35">
      <c r="A53" s="154"/>
      <c r="B53" s="453" t="s">
        <v>819</v>
      </c>
      <c r="C53" s="710">
        <f t="shared" ref="C53:AF53" si="39">SUM(C54,C58)</f>
        <v>1904.7016999999998</v>
      </c>
      <c r="D53" s="710">
        <f t="shared" si="39"/>
        <v>0</v>
      </c>
      <c r="E53" s="710">
        <f t="shared" si="39"/>
        <v>0</v>
      </c>
      <c r="F53" s="710">
        <f t="shared" si="39"/>
        <v>0</v>
      </c>
      <c r="G53" s="710">
        <f t="shared" si="39"/>
        <v>0</v>
      </c>
      <c r="H53" s="710">
        <f t="shared" si="39"/>
        <v>0</v>
      </c>
      <c r="I53" s="710">
        <f t="shared" si="39"/>
        <v>0</v>
      </c>
      <c r="J53" s="710">
        <f t="shared" si="39"/>
        <v>1904.7016999999998</v>
      </c>
      <c r="K53" s="710">
        <f t="shared" si="39"/>
        <v>0</v>
      </c>
      <c r="L53" s="710">
        <f t="shared" si="39"/>
        <v>0</v>
      </c>
      <c r="M53" s="710">
        <f t="shared" si="39"/>
        <v>0</v>
      </c>
      <c r="N53" s="710">
        <f t="shared" si="39"/>
        <v>0</v>
      </c>
      <c r="O53" s="710">
        <f t="shared" si="39"/>
        <v>0</v>
      </c>
      <c r="P53" s="710">
        <f t="shared" si="39"/>
        <v>0</v>
      </c>
      <c r="Q53" s="710">
        <f t="shared" si="39"/>
        <v>1904.7016999999998</v>
      </c>
      <c r="R53" s="710">
        <f t="shared" si="39"/>
        <v>0</v>
      </c>
      <c r="S53" s="710">
        <f t="shared" si="39"/>
        <v>0</v>
      </c>
      <c r="T53" s="710">
        <f t="shared" si="39"/>
        <v>0</v>
      </c>
      <c r="U53" s="710">
        <f t="shared" si="39"/>
        <v>0</v>
      </c>
      <c r="V53" s="710">
        <f t="shared" si="39"/>
        <v>0</v>
      </c>
      <c r="W53" s="710">
        <f t="shared" si="39"/>
        <v>0</v>
      </c>
      <c r="X53" s="710">
        <f t="shared" si="39"/>
        <v>1904.7016999999998</v>
      </c>
      <c r="Y53" s="710">
        <f t="shared" si="39"/>
        <v>0</v>
      </c>
      <c r="Z53" s="710">
        <f t="shared" si="39"/>
        <v>0</v>
      </c>
      <c r="AA53" s="710">
        <f t="shared" si="39"/>
        <v>0</v>
      </c>
      <c r="AB53" s="710">
        <f t="shared" si="39"/>
        <v>0</v>
      </c>
      <c r="AC53" s="710">
        <f t="shared" si="39"/>
        <v>0</v>
      </c>
      <c r="AD53" s="710">
        <f t="shared" si="39"/>
        <v>0</v>
      </c>
      <c r="AE53" s="710">
        <f t="shared" si="39"/>
        <v>1904.7016999999998</v>
      </c>
      <c r="AF53" s="710">
        <f t="shared" si="39"/>
        <v>0</v>
      </c>
      <c r="AG53" s="169"/>
      <c r="AH53" s="455">
        <f>SUM(C53:AF53)</f>
        <v>9523.5084999999999</v>
      </c>
      <c r="AI53" s="152" t="s">
        <v>803</v>
      </c>
    </row>
    <row r="54" spans="1:35" outlineLevel="1">
      <c r="A54" s="154"/>
      <c r="B54" s="225" t="s">
        <v>297</v>
      </c>
      <c r="C54" s="226">
        <f>SUM(C55)/10^3</f>
        <v>1899.1716999999999</v>
      </c>
      <c r="D54" s="226">
        <f t="shared" ref="D54:AF54" si="40">SUM(D55)/10^3</f>
        <v>0</v>
      </c>
      <c r="E54" s="226">
        <f t="shared" si="40"/>
        <v>0</v>
      </c>
      <c r="F54" s="226">
        <f t="shared" si="40"/>
        <v>0</v>
      </c>
      <c r="G54" s="226">
        <f t="shared" si="40"/>
        <v>0</v>
      </c>
      <c r="H54" s="226">
        <f t="shared" si="40"/>
        <v>0</v>
      </c>
      <c r="I54" s="226">
        <f t="shared" si="40"/>
        <v>0</v>
      </c>
      <c r="J54" s="226">
        <f t="shared" si="40"/>
        <v>1899.1716999999999</v>
      </c>
      <c r="K54" s="226">
        <f t="shared" si="40"/>
        <v>0</v>
      </c>
      <c r="L54" s="226">
        <f t="shared" si="40"/>
        <v>0</v>
      </c>
      <c r="M54" s="226">
        <f t="shared" si="40"/>
        <v>0</v>
      </c>
      <c r="N54" s="226">
        <f t="shared" si="40"/>
        <v>0</v>
      </c>
      <c r="O54" s="226">
        <f t="shared" si="40"/>
        <v>0</v>
      </c>
      <c r="P54" s="226">
        <f t="shared" si="40"/>
        <v>0</v>
      </c>
      <c r="Q54" s="226">
        <f t="shared" si="40"/>
        <v>1899.1716999999999</v>
      </c>
      <c r="R54" s="226">
        <f t="shared" si="40"/>
        <v>0</v>
      </c>
      <c r="S54" s="226">
        <f t="shared" si="40"/>
        <v>0</v>
      </c>
      <c r="T54" s="226">
        <f t="shared" si="40"/>
        <v>0</v>
      </c>
      <c r="U54" s="226">
        <f t="shared" si="40"/>
        <v>0</v>
      </c>
      <c r="V54" s="226">
        <f t="shared" si="40"/>
        <v>0</v>
      </c>
      <c r="W54" s="226">
        <f t="shared" si="40"/>
        <v>0</v>
      </c>
      <c r="X54" s="226">
        <f t="shared" si="40"/>
        <v>1899.1716999999999</v>
      </c>
      <c r="Y54" s="226">
        <f t="shared" si="40"/>
        <v>0</v>
      </c>
      <c r="Z54" s="226">
        <f t="shared" si="40"/>
        <v>0</v>
      </c>
      <c r="AA54" s="226">
        <f t="shared" si="40"/>
        <v>0</v>
      </c>
      <c r="AB54" s="226">
        <f t="shared" si="40"/>
        <v>0</v>
      </c>
      <c r="AC54" s="226">
        <f t="shared" si="40"/>
        <v>0</v>
      </c>
      <c r="AD54" s="226">
        <f t="shared" si="40"/>
        <v>0</v>
      </c>
      <c r="AE54" s="226">
        <f t="shared" si="40"/>
        <v>1899.1716999999999</v>
      </c>
      <c r="AF54" s="226">
        <f t="shared" si="40"/>
        <v>0</v>
      </c>
      <c r="AG54" s="227"/>
      <c r="AH54" s="365">
        <f>SUM(C54:AF54)</f>
        <v>9495.8584999999985</v>
      </c>
      <c r="AI54" s="152"/>
    </row>
    <row r="55" spans="1:35" s="162" customFormat="1" outlineLevel="2">
      <c r="A55" s="154"/>
      <c r="B55" s="608" t="s">
        <v>820</v>
      </c>
      <c r="C55" s="174">
        <f>C56*C57</f>
        <v>1899171.7</v>
      </c>
      <c r="D55" s="174">
        <f t="shared" ref="D55:AF55" si="41">D56*D57</f>
        <v>0</v>
      </c>
      <c r="E55" s="174">
        <f t="shared" si="41"/>
        <v>0</v>
      </c>
      <c r="F55" s="174">
        <f t="shared" si="41"/>
        <v>0</v>
      </c>
      <c r="G55" s="174">
        <f t="shared" si="41"/>
        <v>0</v>
      </c>
      <c r="H55" s="174">
        <f t="shared" si="41"/>
        <v>0</v>
      </c>
      <c r="I55" s="174">
        <f t="shared" si="41"/>
        <v>0</v>
      </c>
      <c r="J55" s="174">
        <f t="shared" si="41"/>
        <v>1899171.7</v>
      </c>
      <c r="K55" s="174">
        <f t="shared" si="41"/>
        <v>0</v>
      </c>
      <c r="L55" s="174">
        <f t="shared" si="41"/>
        <v>0</v>
      </c>
      <c r="M55" s="174">
        <f t="shared" si="41"/>
        <v>0</v>
      </c>
      <c r="N55" s="174">
        <f t="shared" si="41"/>
        <v>0</v>
      </c>
      <c r="O55" s="174">
        <f t="shared" si="41"/>
        <v>0</v>
      </c>
      <c r="P55" s="174">
        <f t="shared" si="41"/>
        <v>0</v>
      </c>
      <c r="Q55" s="174">
        <f t="shared" si="41"/>
        <v>1899171.7</v>
      </c>
      <c r="R55" s="174">
        <f t="shared" si="41"/>
        <v>0</v>
      </c>
      <c r="S55" s="174">
        <f t="shared" si="41"/>
        <v>0</v>
      </c>
      <c r="T55" s="174">
        <f t="shared" si="41"/>
        <v>0</v>
      </c>
      <c r="U55" s="174">
        <f t="shared" si="41"/>
        <v>0</v>
      </c>
      <c r="V55" s="174">
        <f t="shared" si="41"/>
        <v>0</v>
      </c>
      <c r="W55" s="174">
        <f t="shared" si="41"/>
        <v>0</v>
      </c>
      <c r="X55" s="174">
        <f t="shared" si="41"/>
        <v>1899171.7</v>
      </c>
      <c r="Y55" s="174">
        <f t="shared" si="41"/>
        <v>0</v>
      </c>
      <c r="Z55" s="174">
        <f t="shared" si="41"/>
        <v>0</v>
      </c>
      <c r="AA55" s="174">
        <f t="shared" si="41"/>
        <v>0</v>
      </c>
      <c r="AB55" s="174">
        <f t="shared" si="41"/>
        <v>0</v>
      </c>
      <c r="AC55" s="174">
        <f t="shared" si="41"/>
        <v>0</v>
      </c>
      <c r="AD55" s="174">
        <f t="shared" si="41"/>
        <v>0</v>
      </c>
      <c r="AE55" s="174">
        <f t="shared" si="41"/>
        <v>1899171.7</v>
      </c>
      <c r="AF55" s="174">
        <f t="shared" si="41"/>
        <v>0</v>
      </c>
      <c r="AG55" s="174"/>
      <c r="AH55" s="161"/>
      <c r="AI55" s="154"/>
    </row>
    <row r="56" spans="1:35" s="162" customFormat="1" outlineLevel="2">
      <c r="A56" s="154"/>
      <c r="B56" s="585" t="s">
        <v>805</v>
      </c>
      <c r="C56" s="172">
        <v>2</v>
      </c>
      <c r="D56" s="172">
        <v>0</v>
      </c>
      <c r="E56" s="172">
        <v>0</v>
      </c>
      <c r="F56" s="172">
        <v>0</v>
      </c>
      <c r="G56" s="172">
        <v>0</v>
      </c>
      <c r="H56" s="172">
        <v>0</v>
      </c>
      <c r="I56" s="172">
        <v>0</v>
      </c>
      <c r="J56" s="172">
        <v>2</v>
      </c>
      <c r="K56" s="172">
        <v>0</v>
      </c>
      <c r="L56" s="172">
        <v>0</v>
      </c>
      <c r="M56" s="172">
        <v>0</v>
      </c>
      <c r="N56" s="172">
        <v>0</v>
      </c>
      <c r="O56" s="172">
        <v>0</v>
      </c>
      <c r="P56" s="172">
        <v>0</v>
      </c>
      <c r="Q56" s="172">
        <v>2</v>
      </c>
      <c r="R56" s="172">
        <v>0</v>
      </c>
      <c r="S56" s="172">
        <v>0</v>
      </c>
      <c r="T56" s="172">
        <v>0</v>
      </c>
      <c r="U56" s="172">
        <v>0</v>
      </c>
      <c r="V56" s="172">
        <v>0</v>
      </c>
      <c r="W56" s="172">
        <v>0</v>
      </c>
      <c r="X56" s="172">
        <v>2</v>
      </c>
      <c r="Y56" s="172">
        <v>0</v>
      </c>
      <c r="Z56" s="172">
        <v>0</v>
      </c>
      <c r="AA56" s="172">
        <v>0</v>
      </c>
      <c r="AB56" s="172">
        <v>0</v>
      </c>
      <c r="AC56" s="172">
        <v>0</v>
      </c>
      <c r="AD56" s="172">
        <v>0</v>
      </c>
      <c r="AE56" s="172">
        <v>2</v>
      </c>
      <c r="AF56" s="172">
        <v>0</v>
      </c>
      <c r="AG56" s="175"/>
      <c r="AH56" s="161"/>
      <c r="AI56" s="154"/>
    </row>
    <row r="57" spans="1:35" s="162" customFormat="1" outlineLevel="2">
      <c r="A57" s="154"/>
      <c r="B57" s="585" t="s">
        <v>807</v>
      </c>
      <c r="C57" s="176">
        <f>Insumos!$E$17+Insumos!$E$29+Insumos!$E$13</f>
        <v>949585.85</v>
      </c>
      <c r="D57" s="176">
        <f>C57</f>
        <v>949585.85</v>
      </c>
      <c r="E57" s="176">
        <f t="shared" ref="E57:AF57" si="42">D57</f>
        <v>949585.85</v>
      </c>
      <c r="F57" s="176">
        <f t="shared" si="42"/>
        <v>949585.85</v>
      </c>
      <c r="G57" s="176">
        <f t="shared" si="42"/>
        <v>949585.85</v>
      </c>
      <c r="H57" s="176">
        <f t="shared" si="42"/>
        <v>949585.85</v>
      </c>
      <c r="I57" s="176">
        <f t="shared" si="42"/>
        <v>949585.85</v>
      </c>
      <c r="J57" s="176">
        <f t="shared" si="42"/>
        <v>949585.85</v>
      </c>
      <c r="K57" s="176">
        <f t="shared" si="42"/>
        <v>949585.85</v>
      </c>
      <c r="L57" s="176">
        <f t="shared" si="42"/>
        <v>949585.85</v>
      </c>
      <c r="M57" s="176">
        <f t="shared" si="42"/>
        <v>949585.85</v>
      </c>
      <c r="N57" s="176">
        <f t="shared" si="42"/>
        <v>949585.85</v>
      </c>
      <c r="O57" s="176">
        <f t="shared" si="42"/>
        <v>949585.85</v>
      </c>
      <c r="P57" s="176">
        <f t="shared" si="42"/>
        <v>949585.85</v>
      </c>
      <c r="Q57" s="176">
        <f t="shared" si="42"/>
        <v>949585.85</v>
      </c>
      <c r="R57" s="176">
        <f t="shared" si="42"/>
        <v>949585.85</v>
      </c>
      <c r="S57" s="176">
        <f t="shared" si="42"/>
        <v>949585.85</v>
      </c>
      <c r="T57" s="176">
        <f t="shared" si="42"/>
        <v>949585.85</v>
      </c>
      <c r="U57" s="176">
        <f t="shared" si="42"/>
        <v>949585.85</v>
      </c>
      <c r="V57" s="176">
        <f t="shared" si="42"/>
        <v>949585.85</v>
      </c>
      <c r="W57" s="176">
        <f t="shared" si="42"/>
        <v>949585.85</v>
      </c>
      <c r="X57" s="176">
        <f t="shared" si="42"/>
        <v>949585.85</v>
      </c>
      <c r="Y57" s="176">
        <f t="shared" si="42"/>
        <v>949585.85</v>
      </c>
      <c r="Z57" s="176">
        <f t="shared" si="42"/>
        <v>949585.85</v>
      </c>
      <c r="AA57" s="176">
        <f t="shared" si="42"/>
        <v>949585.85</v>
      </c>
      <c r="AB57" s="176">
        <f t="shared" si="42"/>
        <v>949585.85</v>
      </c>
      <c r="AC57" s="176">
        <f t="shared" si="42"/>
        <v>949585.85</v>
      </c>
      <c r="AD57" s="176">
        <f t="shared" si="42"/>
        <v>949585.85</v>
      </c>
      <c r="AE57" s="176">
        <f t="shared" si="42"/>
        <v>949585.85</v>
      </c>
      <c r="AF57" s="176">
        <f t="shared" si="42"/>
        <v>949585.85</v>
      </c>
      <c r="AG57" s="175"/>
      <c r="AH57" s="257"/>
      <c r="AI57" s="154"/>
    </row>
    <row r="58" spans="1:35" s="514" customFormat="1" ht="16.5" customHeight="1" outlineLevel="1">
      <c r="A58" s="154"/>
      <c r="B58" s="709" t="s">
        <v>299</v>
      </c>
      <c r="C58" s="707">
        <f>(C59*C60)/10^3</f>
        <v>5.53</v>
      </c>
      <c r="D58" s="707">
        <f t="shared" ref="D58:AF58" si="43">(D59*D60)/10^3</f>
        <v>0</v>
      </c>
      <c r="E58" s="707">
        <f t="shared" si="43"/>
        <v>0</v>
      </c>
      <c r="F58" s="707">
        <f t="shared" si="43"/>
        <v>0</v>
      </c>
      <c r="G58" s="707">
        <f t="shared" si="43"/>
        <v>0</v>
      </c>
      <c r="H58" s="707">
        <f t="shared" si="43"/>
        <v>0</v>
      </c>
      <c r="I58" s="707">
        <f t="shared" si="43"/>
        <v>0</v>
      </c>
      <c r="J58" s="707">
        <f t="shared" si="43"/>
        <v>5.53</v>
      </c>
      <c r="K58" s="707">
        <f t="shared" si="43"/>
        <v>0</v>
      </c>
      <c r="L58" s="707">
        <f t="shared" si="43"/>
        <v>0</v>
      </c>
      <c r="M58" s="707">
        <f t="shared" si="43"/>
        <v>0</v>
      </c>
      <c r="N58" s="707">
        <f t="shared" si="43"/>
        <v>0</v>
      </c>
      <c r="O58" s="707">
        <f t="shared" si="43"/>
        <v>0</v>
      </c>
      <c r="P58" s="707">
        <f t="shared" si="43"/>
        <v>0</v>
      </c>
      <c r="Q58" s="707">
        <f t="shared" si="43"/>
        <v>5.53</v>
      </c>
      <c r="R58" s="707">
        <f t="shared" si="43"/>
        <v>0</v>
      </c>
      <c r="S58" s="707">
        <f t="shared" si="43"/>
        <v>0</v>
      </c>
      <c r="T58" s="707">
        <f t="shared" si="43"/>
        <v>0</v>
      </c>
      <c r="U58" s="707">
        <f t="shared" si="43"/>
        <v>0</v>
      </c>
      <c r="V58" s="707">
        <f t="shared" si="43"/>
        <v>0</v>
      </c>
      <c r="W58" s="707">
        <f t="shared" si="43"/>
        <v>0</v>
      </c>
      <c r="X58" s="707">
        <f t="shared" si="43"/>
        <v>5.53</v>
      </c>
      <c r="Y58" s="707">
        <f t="shared" si="43"/>
        <v>0</v>
      </c>
      <c r="Z58" s="707">
        <f t="shared" si="43"/>
        <v>0</v>
      </c>
      <c r="AA58" s="707">
        <f t="shared" si="43"/>
        <v>0</v>
      </c>
      <c r="AB58" s="707">
        <f t="shared" si="43"/>
        <v>0</v>
      </c>
      <c r="AC58" s="707">
        <f t="shared" si="43"/>
        <v>0</v>
      </c>
      <c r="AD58" s="707">
        <f t="shared" si="43"/>
        <v>0</v>
      </c>
      <c r="AE58" s="707">
        <f t="shared" si="43"/>
        <v>5.53</v>
      </c>
      <c r="AF58" s="707">
        <f t="shared" si="43"/>
        <v>0</v>
      </c>
      <c r="AG58" s="703"/>
      <c r="AH58" s="708">
        <f>SUM(C58:AF58)</f>
        <v>27.650000000000002</v>
      </c>
      <c r="AI58" s="512"/>
    </row>
    <row r="59" spans="1:35" s="514" customFormat="1" ht="16.5" customHeight="1" outlineLevel="2">
      <c r="A59" s="154"/>
      <c r="B59" s="706" t="s">
        <v>805</v>
      </c>
      <c r="C59" s="509">
        <f t="shared" ref="C59:AF59" si="44">C56</f>
        <v>2</v>
      </c>
      <c r="D59" s="509">
        <f t="shared" si="44"/>
        <v>0</v>
      </c>
      <c r="E59" s="509">
        <f t="shared" si="44"/>
        <v>0</v>
      </c>
      <c r="F59" s="509">
        <f t="shared" si="44"/>
        <v>0</v>
      </c>
      <c r="G59" s="509">
        <f t="shared" si="44"/>
        <v>0</v>
      </c>
      <c r="H59" s="509">
        <f t="shared" si="44"/>
        <v>0</v>
      </c>
      <c r="I59" s="509">
        <f t="shared" si="44"/>
        <v>0</v>
      </c>
      <c r="J59" s="509">
        <f t="shared" si="44"/>
        <v>2</v>
      </c>
      <c r="K59" s="509">
        <f t="shared" si="44"/>
        <v>0</v>
      </c>
      <c r="L59" s="509">
        <f t="shared" si="44"/>
        <v>0</v>
      </c>
      <c r="M59" s="509">
        <f t="shared" si="44"/>
        <v>0</v>
      </c>
      <c r="N59" s="509">
        <f t="shared" si="44"/>
        <v>0</v>
      </c>
      <c r="O59" s="509">
        <f t="shared" si="44"/>
        <v>0</v>
      </c>
      <c r="P59" s="509">
        <f t="shared" si="44"/>
        <v>0</v>
      </c>
      <c r="Q59" s="509">
        <f t="shared" si="44"/>
        <v>2</v>
      </c>
      <c r="R59" s="509">
        <f t="shared" si="44"/>
        <v>0</v>
      </c>
      <c r="S59" s="509">
        <f t="shared" si="44"/>
        <v>0</v>
      </c>
      <c r="T59" s="509">
        <f t="shared" si="44"/>
        <v>0</v>
      </c>
      <c r="U59" s="509">
        <f t="shared" si="44"/>
        <v>0</v>
      </c>
      <c r="V59" s="509">
        <f t="shared" si="44"/>
        <v>0</v>
      </c>
      <c r="W59" s="509">
        <f t="shared" si="44"/>
        <v>0</v>
      </c>
      <c r="X59" s="509">
        <f t="shared" si="44"/>
        <v>2</v>
      </c>
      <c r="Y59" s="509">
        <f t="shared" si="44"/>
        <v>0</v>
      </c>
      <c r="Z59" s="509">
        <f t="shared" si="44"/>
        <v>0</v>
      </c>
      <c r="AA59" s="509">
        <f t="shared" si="44"/>
        <v>0</v>
      </c>
      <c r="AB59" s="509">
        <f t="shared" si="44"/>
        <v>0</v>
      </c>
      <c r="AC59" s="509">
        <f t="shared" si="44"/>
        <v>0</v>
      </c>
      <c r="AD59" s="509">
        <f t="shared" si="44"/>
        <v>0</v>
      </c>
      <c r="AE59" s="509">
        <f t="shared" si="44"/>
        <v>2</v>
      </c>
      <c r="AF59" s="509">
        <f t="shared" si="44"/>
        <v>0</v>
      </c>
      <c r="AG59" s="703" t="e">
        <f>#REF!+AG51</f>
        <v>#REF!</v>
      </c>
      <c r="AH59" s="704"/>
      <c r="AI59" s="512"/>
    </row>
    <row r="60" spans="1:35" s="513" customFormat="1" ht="16.5" customHeight="1" outlineLevel="2">
      <c r="A60" s="154"/>
      <c r="B60" s="608" t="s">
        <v>821</v>
      </c>
      <c r="C60" s="174">
        <f>Insumos!$E$10</f>
        <v>2765</v>
      </c>
      <c r="D60" s="174">
        <f>C60</f>
        <v>2765</v>
      </c>
      <c r="E60" s="174">
        <f t="shared" ref="E60:AF60" si="45">D60</f>
        <v>2765</v>
      </c>
      <c r="F60" s="174">
        <f t="shared" si="45"/>
        <v>2765</v>
      </c>
      <c r="G60" s="174">
        <f t="shared" si="45"/>
        <v>2765</v>
      </c>
      <c r="H60" s="174">
        <f t="shared" si="45"/>
        <v>2765</v>
      </c>
      <c r="I60" s="174">
        <f t="shared" si="45"/>
        <v>2765</v>
      </c>
      <c r="J60" s="174">
        <f t="shared" si="45"/>
        <v>2765</v>
      </c>
      <c r="K60" s="174">
        <f t="shared" si="45"/>
        <v>2765</v>
      </c>
      <c r="L60" s="174">
        <f t="shared" si="45"/>
        <v>2765</v>
      </c>
      <c r="M60" s="174">
        <f t="shared" si="45"/>
        <v>2765</v>
      </c>
      <c r="N60" s="174">
        <f t="shared" si="45"/>
        <v>2765</v>
      </c>
      <c r="O60" s="174">
        <f t="shared" si="45"/>
        <v>2765</v>
      </c>
      <c r="P60" s="174">
        <f t="shared" si="45"/>
        <v>2765</v>
      </c>
      <c r="Q60" s="174">
        <f t="shared" si="45"/>
        <v>2765</v>
      </c>
      <c r="R60" s="174">
        <f t="shared" si="45"/>
        <v>2765</v>
      </c>
      <c r="S60" s="174">
        <f t="shared" si="45"/>
        <v>2765</v>
      </c>
      <c r="T60" s="174">
        <f t="shared" si="45"/>
        <v>2765</v>
      </c>
      <c r="U60" s="174">
        <f t="shared" si="45"/>
        <v>2765</v>
      </c>
      <c r="V60" s="174">
        <f t="shared" si="45"/>
        <v>2765</v>
      </c>
      <c r="W60" s="174">
        <f t="shared" si="45"/>
        <v>2765</v>
      </c>
      <c r="X60" s="174">
        <f t="shared" si="45"/>
        <v>2765</v>
      </c>
      <c r="Y60" s="174">
        <f t="shared" si="45"/>
        <v>2765</v>
      </c>
      <c r="Z60" s="174">
        <f t="shared" si="45"/>
        <v>2765</v>
      </c>
      <c r="AA60" s="174">
        <f t="shared" si="45"/>
        <v>2765</v>
      </c>
      <c r="AB60" s="174">
        <f t="shared" si="45"/>
        <v>2765</v>
      </c>
      <c r="AC60" s="174">
        <f t="shared" si="45"/>
        <v>2765</v>
      </c>
      <c r="AD60" s="174">
        <f t="shared" si="45"/>
        <v>2765</v>
      </c>
      <c r="AE60" s="174">
        <f t="shared" si="45"/>
        <v>2765</v>
      </c>
      <c r="AF60" s="174">
        <f t="shared" si="45"/>
        <v>2765</v>
      </c>
      <c r="AG60" s="174"/>
      <c r="AH60" s="699"/>
      <c r="AI60" s="510"/>
    </row>
    <row r="61" spans="1:35" s="162" customFormat="1">
      <c r="A61" s="154"/>
      <c r="B61" s="150"/>
      <c r="C61" s="176"/>
      <c r="D61" s="176"/>
      <c r="E61" s="176"/>
      <c r="F61" s="176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6"/>
      <c r="AE61" s="176"/>
      <c r="AF61" s="176"/>
      <c r="AG61" s="173"/>
      <c r="AH61" s="161"/>
      <c r="AI61" s="154"/>
    </row>
    <row r="62" spans="1:35">
      <c r="A62" s="154"/>
      <c r="B62" s="453" t="s">
        <v>822</v>
      </c>
      <c r="C62" s="454">
        <f t="shared" ref="C62:AF62" si="46">SUM(C63,C67)</f>
        <v>47.486600000000003</v>
      </c>
      <c r="D62" s="454">
        <f t="shared" si="46"/>
        <v>0</v>
      </c>
      <c r="E62" s="454">
        <f t="shared" si="46"/>
        <v>0</v>
      </c>
      <c r="F62" s="454">
        <f t="shared" si="46"/>
        <v>3.0772000000000004</v>
      </c>
      <c r="G62" s="454">
        <f t="shared" si="46"/>
        <v>0</v>
      </c>
      <c r="H62" s="454">
        <f t="shared" si="46"/>
        <v>23.249400000000001</v>
      </c>
      <c r="I62" s="454">
        <f t="shared" si="46"/>
        <v>3.0772000000000004</v>
      </c>
      <c r="J62" s="454">
        <f t="shared" si="46"/>
        <v>0</v>
      </c>
      <c r="K62" s="454">
        <f t="shared" si="46"/>
        <v>0</v>
      </c>
      <c r="L62" s="454">
        <f t="shared" si="46"/>
        <v>3.2970000000000002</v>
      </c>
      <c r="M62" s="454">
        <f t="shared" si="46"/>
        <v>44.409400000000005</v>
      </c>
      <c r="N62" s="454">
        <f t="shared" si="46"/>
        <v>0</v>
      </c>
      <c r="O62" s="454">
        <f t="shared" si="46"/>
        <v>3.2970000000000002</v>
      </c>
      <c r="P62" s="454">
        <f t="shared" si="46"/>
        <v>0</v>
      </c>
      <c r="Q62" s="454">
        <f t="shared" si="46"/>
        <v>0</v>
      </c>
      <c r="R62" s="454">
        <f t="shared" si="46"/>
        <v>26.546400000000002</v>
      </c>
      <c r="S62" s="454">
        <f t="shared" si="46"/>
        <v>0</v>
      </c>
      <c r="T62" s="454">
        <f t="shared" si="46"/>
        <v>0</v>
      </c>
      <c r="U62" s="454">
        <f t="shared" si="46"/>
        <v>3.5168000000000004</v>
      </c>
      <c r="V62" s="454">
        <f t="shared" si="46"/>
        <v>0</v>
      </c>
      <c r="W62" s="454">
        <f t="shared" si="46"/>
        <v>44.409400000000005</v>
      </c>
      <c r="X62" s="454">
        <f t="shared" si="46"/>
        <v>3.5168000000000004</v>
      </c>
      <c r="Y62" s="454">
        <f t="shared" si="46"/>
        <v>0</v>
      </c>
      <c r="Z62" s="454">
        <f t="shared" si="46"/>
        <v>0</v>
      </c>
      <c r="AA62" s="454">
        <f t="shared" si="46"/>
        <v>3.7366000000000001</v>
      </c>
      <c r="AB62" s="454">
        <f t="shared" si="46"/>
        <v>23.249400000000001</v>
      </c>
      <c r="AC62" s="454">
        <f t="shared" si="46"/>
        <v>0</v>
      </c>
      <c r="AD62" s="454">
        <f t="shared" si="46"/>
        <v>3.7366000000000001</v>
      </c>
      <c r="AE62" s="454">
        <f t="shared" si="46"/>
        <v>0</v>
      </c>
      <c r="AF62" s="454">
        <f t="shared" si="46"/>
        <v>0</v>
      </c>
      <c r="AG62" s="169"/>
      <c r="AH62" s="455">
        <f>SUM(C62:AF62)</f>
        <v>236.60580000000002</v>
      </c>
      <c r="AI62" s="152" t="s">
        <v>803</v>
      </c>
    </row>
    <row r="63" spans="1:35" outlineLevel="1">
      <c r="A63" s="154"/>
      <c r="B63" s="225" t="s">
        <v>297</v>
      </c>
      <c r="C63" s="226">
        <f>SUM(C64)/10^3</f>
        <v>21.16</v>
      </c>
      <c r="D63" s="226">
        <f t="shared" ref="D63:AF63" si="47">SUM(D64)/10^3</f>
        <v>0</v>
      </c>
      <c r="E63" s="226">
        <f t="shared" si="47"/>
        <v>0</v>
      </c>
      <c r="F63" s="226">
        <f t="shared" si="47"/>
        <v>0</v>
      </c>
      <c r="G63" s="226">
        <f t="shared" si="47"/>
        <v>0</v>
      </c>
      <c r="H63" s="226">
        <f t="shared" si="47"/>
        <v>0</v>
      </c>
      <c r="I63" s="226">
        <f t="shared" si="47"/>
        <v>0</v>
      </c>
      <c r="J63" s="226">
        <f t="shared" si="47"/>
        <v>0</v>
      </c>
      <c r="K63" s="226">
        <f t="shared" si="47"/>
        <v>0</v>
      </c>
      <c r="L63" s="226">
        <f t="shared" si="47"/>
        <v>0</v>
      </c>
      <c r="M63" s="226">
        <f t="shared" si="47"/>
        <v>21.16</v>
      </c>
      <c r="N63" s="226">
        <f t="shared" si="47"/>
        <v>0</v>
      </c>
      <c r="O63" s="226">
        <f t="shared" si="47"/>
        <v>0</v>
      </c>
      <c r="P63" s="226">
        <f t="shared" si="47"/>
        <v>0</v>
      </c>
      <c r="Q63" s="226">
        <f t="shared" si="47"/>
        <v>0</v>
      </c>
      <c r="R63" s="226">
        <f t="shared" si="47"/>
        <v>0</v>
      </c>
      <c r="S63" s="226">
        <f t="shared" si="47"/>
        <v>0</v>
      </c>
      <c r="T63" s="226">
        <f t="shared" si="47"/>
        <v>0</v>
      </c>
      <c r="U63" s="226">
        <f t="shared" si="47"/>
        <v>0</v>
      </c>
      <c r="V63" s="226">
        <f t="shared" si="47"/>
        <v>0</v>
      </c>
      <c r="W63" s="226">
        <f t="shared" si="47"/>
        <v>21.16</v>
      </c>
      <c r="X63" s="226">
        <f t="shared" si="47"/>
        <v>0</v>
      </c>
      <c r="Y63" s="226">
        <f t="shared" si="47"/>
        <v>0</v>
      </c>
      <c r="Z63" s="226">
        <f t="shared" si="47"/>
        <v>0</v>
      </c>
      <c r="AA63" s="226">
        <f t="shared" si="47"/>
        <v>0</v>
      </c>
      <c r="AB63" s="226">
        <f t="shared" si="47"/>
        <v>0</v>
      </c>
      <c r="AC63" s="226">
        <f t="shared" si="47"/>
        <v>0</v>
      </c>
      <c r="AD63" s="226">
        <f t="shared" si="47"/>
        <v>0</v>
      </c>
      <c r="AE63" s="226">
        <f t="shared" si="47"/>
        <v>0</v>
      </c>
      <c r="AF63" s="226">
        <f t="shared" si="47"/>
        <v>0</v>
      </c>
      <c r="AG63" s="227"/>
      <c r="AH63" s="365">
        <f>SUM(C63:AF63)</f>
        <v>63.480000000000004</v>
      </c>
      <c r="AI63" s="152"/>
    </row>
    <row r="64" spans="1:35" s="162" customFormat="1" outlineLevel="2">
      <c r="A64" s="154"/>
      <c r="B64" s="608" t="s">
        <v>808</v>
      </c>
      <c r="C64" s="174">
        <f t="shared" ref="C64:AF64" si="48">C65*C66</f>
        <v>21160</v>
      </c>
      <c r="D64" s="174">
        <f t="shared" si="48"/>
        <v>0</v>
      </c>
      <c r="E64" s="174">
        <f t="shared" si="48"/>
        <v>0</v>
      </c>
      <c r="F64" s="174">
        <f t="shared" si="48"/>
        <v>0</v>
      </c>
      <c r="G64" s="174">
        <f t="shared" si="48"/>
        <v>0</v>
      </c>
      <c r="H64" s="174">
        <f t="shared" si="48"/>
        <v>0</v>
      </c>
      <c r="I64" s="174">
        <f t="shared" si="48"/>
        <v>0</v>
      </c>
      <c r="J64" s="174">
        <f t="shared" si="48"/>
        <v>0</v>
      </c>
      <c r="K64" s="174">
        <f t="shared" si="48"/>
        <v>0</v>
      </c>
      <c r="L64" s="174">
        <f t="shared" si="48"/>
        <v>0</v>
      </c>
      <c r="M64" s="174">
        <f t="shared" si="48"/>
        <v>21160</v>
      </c>
      <c r="N64" s="174">
        <f t="shared" si="48"/>
        <v>0</v>
      </c>
      <c r="O64" s="174">
        <f t="shared" si="48"/>
        <v>0</v>
      </c>
      <c r="P64" s="174">
        <f t="shared" si="48"/>
        <v>0</v>
      </c>
      <c r="Q64" s="174">
        <f t="shared" si="48"/>
        <v>0</v>
      </c>
      <c r="R64" s="174">
        <f t="shared" si="48"/>
        <v>0</v>
      </c>
      <c r="S64" s="174">
        <f t="shared" si="48"/>
        <v>0</v>
      </c>
      <c r="T64" s="174">
        <f t="shared" si="48"/>
        <v>0</v>
      </c>
      <c r="U64" s="174">
        <f t="shared" si="48"/>
        <v>0</v>
      </c>
      <c r="V64" s="174">
        <f t="shared" si="48"/>
        <v>0</v>
      </c>
      <c r="W64" s="174">
        <f t="shared" si="48"/>
        <v>21160</v>
      </c>
      <c r="X64" s="174">
        <f t="shared" si="48"/>
        <v>0</v>
      </c>
      <c r="Y64" s="174">
        <f t="shared" si="48"/>
        <v>0</v>
      </c>
      <c r="Z64" s="174">
        <f t="shared" si="48"/>
        <v>0</v>
      </c>
      <c r="AA64" s="174">
        <f t="shared" si="48"/>
        <v>0</v>
      </c>
      <c r="AB64" s="174">
        <f t="shared" si="48"/>
        <v>0</v>
      </c>
      <c r="AC64" s="174">
        <f t="shared" si="48"/>
        <v>0</v>
      </c>
      <c r="AD64" s="174">
        <f t="shared" si="48"/>
        <v>0</v>
      </c>
      <c r="AE64" s="174">
        <f t="shared" si="48"/>
        <v>0</v>
      </c>
      <c r="AF64" s="174">
        <f t="shared" si="48"/>
        <v>0</v>
      </c>
      <c r="AG64" s="174"/>
      <c r="AH64" s="161"/>
      <c r="AI64" s="154"/>
    </row>
    <row r="65" spans="1:35" s="162" customFormat="1" outlineLevel="2">
      <c r="A65" s="154"/>
      <c r="B65" s="585" t="s">
        <v>805</v>
      </c>
      <c r="C65" s="172">
        <v>1</v>
      </c>
      <c r="D65" s="172">
        <v>0</v>
      </c>
      <c r="E65" s="172">
        <v>0</v>
      </c>
      <c r="F65" s="172">
        <v>0</v>
      </c>
      <c r="G65" s="172">
        <v>0</v>
      </c>
      <c r="H65" s="172">
        <v>0</v>
      </c>
      <c r="I65" s="172">
        <v>0</v>
      </c>
      <c r="J65" s="172">
        <v>0</v>
      </c>
      <c r="K65" s="172">
        <v>0</v>
      </c>
      <c r="L65" s="172">
        <v>0</v>
      </c>
      <c r="M65" s="172">
        <v>1</v>
      </c>
      <c r="N65" s="172">
        <v>0</v>
      </c>
      <c r="O65" s="172">
        <v>0</v>
      </c>
      <c r="P65" s="172">
        <v>0</v>
      </c>
      <c r="Q65" s="172">
        <v>0</v>
      </c>
      <c r="R65" s="172">
        <v>0</v>
      </c>
      <c r="S65" s="172">
        <v>0</v>
      </c>
      <c r="T65" s="172">
        <v>0</v>
      </c>
      <c r="U65" s="172">
        <v>0</v>
      </c>
      <c r="V65" s="172">
        <v>0</v>
      </c>
      <c r="W65" s="172">
        <v>1</v>
      </c>
      <c r="X65" s="172">
        <v>0</v>
      </c>
      <c r="Y65" s="172">
        <v>0</v>
      </c>
      <c r="Z65" s="172">
        <v>0</v>
      </c>
      <c r="AA65" s="172">
        <v>0</v>
      </c>
      <c r="AB65" s="172">
        <v>0</v>
      </c>
      <c r="AC65" s="172">
        <v>0</v>
      </c>
      <c r="AD65" s="172">
        <v>0</v>
      </c>
      <c r="AE65" s="172">
        <v>0</v>
      </c>
      <c r="AF65" s="172">
        <v>0</v>
      </c>
      <c r="AG65" s="175"/>
      <c r="AH65" s="161"/>
      <c r="AI65" s="154"/>
    </row>
    <row r="66" spans="1:35" s="162" customFormat="1" outlineLevel="2">
      <c r="A66" s="154"/>
      <c r="B66" s="585" t="s">
        <v>807</v>
      </c>
      <c r="C66" s="176">
        <f>Insumos!$E$26</f>
        <v>21160</v>
      </c>
      <c r="D66" s="176">
        <f>C66</f>
        <v>21160</v>
      </c>
      <c r="E66" s="176">
        <f t="shared" ref="E66:AF66" si="49">D66</f>
        <v>21160</v>
      </c>
      <c r="F66" s="176">
        <f t="shared" si="49"/>
        <v>21160</v>
      </c>
      <c r="G66" s="176">
        <f t="shared" si="49"/>
        <v>21160</v>
      </c>
      <c r="H66" s="176">
        <f t="shared" si="49"/>
        <v>21160</v>
      </c>
      <c r="I66" s="176">
        <f t="shared" si="49"/>
        <v>21160</v>
      </c>
      <c r="J66" s="176">
        <f t="shared" si="49"/>
        <v>21160</v>
      </c>
      <c r="K66" s="176">
        <f t="shared" si="49"/>
        <v>21160</v>
      </c>
      <c r="L66" s="176">
        <f t="shared" si="49"/>
        <v>21160</v>
      </c>
      <c r="M66" s="176">
        <f t="shared" si="49"/>
        <v>21160</v>
      </c>
      <c r="N66" s="176">
        <f t="shared" si="49"/>
        <v>21160</v>
      </c>
      <c r="O66" s="176">
        <f t="shared" si="49"/>
        <v>21160</v>
      </c>
      <c r="P66" s="176">
        <f t="shared" si="49"/>
        <v>21160</v>
      </c>
      <c r="Q66" s="176">
        <f t="shared" si="49"/>
        <v>21160</v>
      </c>
      <c r="R66" s="176">
        <f t="shared" si="49"/>
        <v>21160</v>
      </c>
      <c r="S66" s="176">
        <f t="shared" si="49"/>
        <v>21160</v>
      </c>
      <c r="T66" s="176">
        <f t="shared" si="49"/>
        <v>21160</v>
      </c>
      <c r="U66" s="176">
        <f t="shared" si="49"/>
        <v>21160</v>
      </c>
      <c r="V66" s="176">
        <f t="shared" si="49"/>
        <v>21160</v>
      </c>
      <c r="W66" s="176">
        <f t="shared" si="49"/>
        <v>21160</v>
      </c>
      <c r="X66" s="176">
        <f t="shared" si="49"/>
        <v>21160</v>
      </c>
      <c r="Y66" s="176">
        <f t="shared" si="49"/>
        <v>21160</v>
      </c>
      <c r="Z66" s="176">
        <f t="shared" si="49"/>
        <v>21160</v>
      </c>
      <c r="AA66" s="176">
        <f t="shared" si="49"/>
        <v>21160</v>
      </c>
      <c r="AB66" s="176">
        <f t="shared" si="49"/>
        <v>21160</v>
      </c>
      <c r="AC66" s="176">
        <f t="shared" si="49"/>
        <v>21160</v>
      </c>
      <c r="AD66" s="176">
        <f t="shared" si="49"/>
        <v>21160</v>
      </c>
      <c r="AE66" s="176">
        <f t="shared" si="49"/>
        <v>21160</v>
      </c>
      <c r="AF66" s="176">
        <f t="shared" si="49"/>
        <v>21160</v>
      </c>
      <c r="AG66" s="173"/>
      <c r="AH66" s="161"/>
      <c r="AI66" s="154"/>
    </row>
    <row r="67" spans="1:35" outlineLevel="1">
      <c r="A67" s="154"/>
      <c r="B67" s="709" t="s">
        <v>298</v>
      </c>
      <c r="C67" s="226">
        <f t="shared" ref="C67:AF67" si="50">(C68+C71)/10^3</f>
        <v>26.326600000000003</v>
      </c>
      <c r="D67" s="226">
        <f t="shared" si="50"/>
        <v>0</v>
      </c>
      <c r="E67" s="226">
        <f t="shared" si="50"/>
        <v>0</v>
      </c>
      <c r="F67" s="226">
        <f t="shared" si="50"/>
        <v>3.0772000000000004</v>
      </c>
      <c r="G67" s="226">
        <f t="shared" si="50"/>
        <v>0</v>
      </c>
      <c r="H67" s="226">
        <f t="shared" si="50"/>
        <v>23.249400000000001</v>
      </c>
      <c r="I67" s="226">
        <f t="shared" si="50"/>
        <v>3.0772000000000004</v>
      </c>
      <c r="J67" s="226">
        <f t="shared" si="50"/>
        <v>0</v>
      </c>
      <c r="K67" s="226">
        <f t="shared" si="50"/>
        <v>0</v>
      </c>
      <c r="L67" s="226">
        <f t="shared" si="50"/>
        <v>3.2970000000000002</v>
      </c>
      <c r="M67" s="226">
        <f t="shared" si="50"/>
        <v>23.249400000000001</v>
      </c>
      <c r="N67" s="226">
        <f t="shared" si="50"/>
        <v>0</v>
      </c>
      <c r="O67" s="226">
        <f t="shared" si="50"/>
        <v>3.2970000000000002</v>
      </c>
      <c r="P67" s="226">
        <f t="shared" si="50"/>
        <v>0</v>
      </c>
      <c r="Q67" s="226">
        <f t="shared" si="50"/>
        <v>0</v>
      </c>
      <c r="R67" s="226">
        <f t="shared" si="50"/>
        <v>26.546400000000002</v>
      </c>
      <c r="S67" s="226">
        <f t="shared" si="50"/>
        <v>0</v>
      </c>
      <c r="T67" s="226">
        <f t="shared" si="50"/>
        <v>0</v>
      </c>
      <c r="U67" s="226">
        <f t="shared" si="50"/>
        <v>3.5168000000000004</v>
      </c>
      <c r="V67" s="226">
        <f t="shared" si="50"/>
        <v>0</v>
      </c>
      <c r="W67" s="226">
        <f t="shared" si="50"/>
        <v>23.249400000000001</v>
      </c>
      <c r="X67" s="226">
        <f t="shared" si="50"/>
        <v>3.5168000000000004</v>
      </c>
      <c r="Y67" s="226">
        <f t="shared" si="50"/>
        <v>0</v>
      </c>
      <c r="Z67" s="226">
        <f t="shared" si="50"/>
        <v>0</v>
      </c>
      <c r="AA67" s="226">
        <f t="shared" si="50"/>
        <v>3.7366000000000001</v>
      </c>
      <c r="AB67" s="226">
        <f t="shared" si="50"/>
        <v>23.249400000000001</v>
      </c>
      <c r="AC67" s="226">
        <f t="shared" si="50"/>
        <v>0</v>
      </c>
      <c r="AD67" s="226">
        <f t="shared" si="50"/>
        <v>3.7366000000000001</v>
      </c>
      <c r="AE67" s="226">
        <f t="shared" si="50"/>
        <v>0</v>
      </c>
      <c r="AF67" s="226">
        <f t="shared" si="50"/>
        <v>0</v>
      </c>
      <c r="AG67" s="227"/>
      <c r="AH67" s="365">
        <f>SUM(C67:AF67)</f>
        <v>173.12580000000003</v>
      </c>
      <c r="AI67" s="152"/>
    </row>
    <row r="68" spans="1:35" s="162" customFormat="1" outlineLevel="2">
      <c r="A68" s="154"/>
      <c r="B68" s="551" t="s">
        <v>823</v>
      </c>
      <c r="C68" s="174">
        <f>C69*C70</f>
        <v>3077.2000000000003</v>
      </c>
      <c r="D68" s="174">
        <f t="shared" ref="D68:AF68" si="51">D69*D70</f>
        <v>0</v>
      </c>
      <c r="E68" s="174">
        <f t="shared" si="51"/>
        <v>0</v>
      </c>
      <c r="F68" s="174">
        <f t="shared" si="51"/>
        <v>3077.2000000000003</v>
      </c>
      <c r="G68" s="174">
        <f t="shared" si="51"/>
        <v>0</v>
      </c>
      <c r="H68" s="174">
        <f t="shared" si="51"/>
        <v>0</v>
      </c>
      <c r="I68" s="174">
        <f t="shared" si="51"/>
        <v>3077.2000000000003</v>
      </c>
      <c r="J68" s="174">
        <f t="shared" si="51"/>
        <v>0</v>
      </c>
      <c r="K68" s="174">
        <f t="shared" si="51"/>
        <v>0</v>
      </c>
      <c r="L68" s="174">
        <f t="shared" si="51"/>
        <v>3297</v>
      </c>
      <c r="M68" s="174">
        <f t="shared" si="51"/>
        <v>0</v>
      </c>
      <c r="N68" s="174">
        <f t="shared" si="51"/>
        <v>0</v>
      </c>
      <c r="O68" s="174">
        <f t="shared" si="51"/>
        <v>3297</v>
      </c>
      <c r="P68" s="174">
        <f t="shared" si="51"/>
        <v>0</v>
      </c>
      <c r="Q68" s="174">
        <f t="shared" si="51"/>
        <v>0</v>
      </c>
      <c r="R68" s="174">
        <f t="shared" si="51"/>
        <v>3297</v>
      </c>
      <c r="S68" s="174">
        <f t="shared" si="51"/>
        <v>0</v>
      </c>
      <c r="T68" s="174">
        <f t="shared" si="51"/>
        <v>0</v>
      </c>
      <c r="U68" s="174">
        <f t="shared" si="51"/>
        <v>3516.8</v>
      </c>
      <c r="V68" s="174">
        <f t="shared" si="51"/>
        <v>0</v>
      </c>
      <c r="W68" s="174">
        <f t="shared" si="51"/>
        <v>0</v>
      </c>
      <c r="X68" s="174">
        <f t="shared" si="51"/>
        <v>3516.8</v>
      </c>
      <c r="Y68" s="174">
        <f t="shared" si="51"/>
        <v>0</v>
      </c>
      <c r="Z68" s="174">
        <f t="shared" si="51"/>
        <v>0</v>
      </c>
      <c r="AA68" s="174">
        <f t="shared" si="51"/>
        <v>3736.6000000000004</v>
      </c>
      <c r="AB68" s="174">
        <f t="shared" si="51"/>
        <v>0</v>
      </c>
      <c r="AC68" s="174">
        <f t="shared" si="51"/>
        <v>0</v>
      </c>
      <c r="AD68" s="174">
        <f t="shared" si="51"/>
        <v>3736.6000000000004</v>
      </c>
      <c r="AE68" s="174">
        <f t="shared" si="51"/>
        <v>0</v>
      </c>
      <c r="AF68" s="174">
        <f t="shared" si="51"/>
        <v>0</v>
      </c>
      <c r="AG68" s="174"/>
      <c r="AH68" s="161"/>
      <c r="AI68" s="154"/>
    </row>
    <row r="69" spans="1:35" s="162" customFormat="1" outlineLevel="2">
      <c r="A69" s="154"/>
      <c r="B69" s="585" t="s">
        <v>805</v>
      </c>
      <c r="C69" s="187">
        <v>14</v>
      </c>
      <c r="D69" s="187">
        <v>0</v>
      </c>
      <c r="E69" s="187">
        <v>0</v>
      </c>
      <c r="F69" s="187">
        <v>14</v>
      </c>
      <c r="G69" s="187">
        <v>0</v>
      </c>
      <c r="H69" s="187">
        <v>0</v>
      </c>
      <c r="I69" s="187">
        <v>14</v>
      </c>
      <c r="J69" s="187">
        <v>0</v>
      </c>
      <c r="K69" s="187">
        <v>0</v>
      </c>
      <c r="L69" s="187">
        <v>15</v>
      </c>
      <c r="M69" s="187">
        <v>0</v>
      </c>
      <c r="N69" s="187">
        <v>0</v>
      </c>
      <c r="O69" s="187">
        <v>15</v>
      </c>
      <c r="P69" s="187">
        <v>0</v>
      </c>
      <c r="Q69" s="187">
        <v>0</v>
      </c>
      <c r="R69" s="187">
        <v>15</v>
      </c>
      <c r="S69" s="187">
        <v>0</v>
      </c>
      <c r="T69" s="187">
        <v>0</v>
      </c>
      <c r="U69" s="187">
        <v>16</v>
      </c>
      <c r="V69" s="187">
        <v>0</v>
      </c>
      <c r="W69" s="187">
        <v>0</v>
      </c>
      <c r="X69" s="187">
        <v>16</v>
      </c>
      <c r="Y69" s="187">
        <v>0</v>
      </c>
      <c r="Z69" s="187">
        <v>0</v>
      </c>
      <c r="AA69" s="187">
        <v>17</v>
      </c>
      <c r="AB69" s="187">
        <v>0</v>
      </c>
      <c r="AC69" s="187">
        <v>0</v>
      </c>
      <c r="AD69" s="187">
        <v>17</v>
      </c>
      <c r="AE69" s="187">
        <v>0</v>
      </c>
      <c r="AF69" s="187">
        <v>0</v>
      </c>
      <c r="AG69" s="173"/>
      <c r="AH69" s="161"/>
      <c r="AI69" s="154"/>
    </row>
    <row r="70" spans="1:35" s="162" customFormat="1" outlineLevel="2">
      <c r="A70" s="154"/>
      <c r="B70" s="585" t="s">
        <v>807</v>
      </c>
      <c r="C70" s="176">
        <f>Insumos!$E$24</f>
        <v>219.8</v>
      </c>
      <c r="D70" s="176">
        <f>C70</f>
        <v>219.8</v>
      </c>
      <c r="E70" s="176">
        <f t="shared" ref="E70:AF70" si="52">D70</f>
        <v>219.8</v>
      </c>
      <c r="F70" s="176">
        <f t="shared" si="52"/>
        <v>219.8</v>
      </c>
      <c r="G70" s="176">
        <f t="shared" si="52"/>
        <v>219.8</v>
      </c>
      <c r="H70" s="176">
        <f t="shared" si="52"/>
        <v>219.8</v>
      </c>
      <c r="I70" s="176">
        <f t="shared" si="52"/>
        <v>219.8</v>
      </c>
      <c r="J70" s="176">
        <f t="shared" si="52"/>
        <v>219.8</v>
      </c>
      <c r="K70" s="176">
        <f t="shared" si="52"/>
        <v>219.8</v>
      </c>
      <c r="L70" s="176">
        <f t="shared" si="52"/>
        <v>219.8</v>
      </c>
      <c r="M70" s="176">
        <f t="shared" si="52"/>
        <v>219.8</v>
      </c>
      <c r="N70" s="176">
        <f t="shared" si="52"/>
        <v>219.8</v>
      </c>
      <c r="O70" s="176">
        <f t="shared" si="52"/>
        <v>219.8</v>
      </c>
      <c r="P70" s="176">
        <f t="shared" si="52"/>
        <v>219.8</v>
      </c>
      <c r="Q70" s="176">
        <f t="shared" si="52"/>
        <v>219.8</v>
      </c>
      <c r="R70" s="176">
        <f t="shared" si="52"/>
        <v>219.8</v>
      </c>
      <c r="S70" s="176">
        <f t="shared" si="52"/>
        <v>219.8</v>
      </c>
      <c r="T70" s="176">
        <f t="shared" si="52"/>
        <v>219.8</v>
      </c>
      <c r="U70" s="176">
        <f t="shared" si="52"/>
        <v>219.8</v>
      </c>
      <c r="V70" s="176">
        <f t="shared" si="52"/>
        <v>219.8</v>
      </c>
      <c r="W70" s="176">
        <f t="shared" si="52"/>
        <v>219.8</v>
      </c>
      <c r="X70" s="176">
        <f t="shared" si="52"/>
        <v>219.8</v>
      </c>
      <c r="Y70" s="176">
        <f t="shared" si="52"/>
        <v>219.8</v>
      </c>
      <c r="Z70" s="176">
        <f t="shared" si="52"/>
        <v>219.8</v>
      </c>
      <c r="AA70" s="176">
        <f t="shared" si="52"/>
        <v>219.8</v>
      </c>
      <c r="AB70" s="176">
        <f t="shared" si="52"/>
        <v>219.8</v>
      </c>
      <c r="AC70" s="176">
        <f t="shared" si="52"/>
        <v>219.8</v>
      </c>
      <c r="AD70" s="176">
        <f t="shared" si="52"/>
        <v>219.8</v>
      </c>
      <c r="AE70" s="176">
        <f t="shared" si="52"/>
        <v>219.8</v>
      </c>
      <c r="AF70" s="176">
        <f t="shared" si="52"/>
        <v>219.8</v>
      </c>
      <c r="AG70" s="173"/>
      <c r="AH70" s="161"/>
      <c r="AI70" s="154"/>
    </row>
    <row r="71" spans="1:35" s="162" customFormat="1" outlineLevel="2">
      <c r="A71" s="154"/>
      <c r="B71" s="551" t="s">
        <v>824</v>
      </c>
      <c r="C71" s="174">
        <f>C72*C73</f>
        <v>23249.4</v>
      </c>
      <c r="D71" s="174">
        <f t="shared" ref="D71:AF71" si="53">D72*D73</f>
        <v>0</v>
      </c>
      <c r="E71" s="174">
        <f t="shared" si="53"/>
        <v>0</v>
      </c>
      <c r="F71" s="174">
        <f t="shared" si="53"/>
        <v>0</v>
      </c>
      <c r="G71" s="174">
        <f t="shared" si="53"/>
        <v>0</v>
      </c>
      <c r="H71" s="174">
        <f t="shared" si="53"/>
        <v>23249.4</v>
      </c>
      <c r="I71" s="174">
        <f t="shared" si="53"/>
        <v>0</v>
      </c>
      <c r="J71" s="174">
        <f t="shared" si="53"/>
        <v>0</v>
      </c>
      <c r="K71" s="174">
        <f t="shared" si="53"/>
        <v>0</v>
      </c>
      <c r="L71" s="174">
        <f t="shared" si="53"/>
        <v>0</v>
      </c>
      <c r="M71" s="174">
        <f t="shared" si="53"/>
        <v>23249.4</v>
      </c>
      <c r="N71" s="174">
        <f t="shared" si="53"/>
        <v>0</v>
      </c>
      <c r="O71" s="174">
        <f t="shared" si="53"/>
        <v>0</v>
      </c>
      <c r="P71" s="174">
        <f t="shared" si="53"/>
        <v>0</v>
      </c>
      <c r="Q71" s="174">
        <f t="shared" si="53"/>
        <v>0</v>
      </c>
      <c r="R71" s="174">
        <f t="shared" si="53"/>
        <v>23249.4</v>
      </c>
      <c r="S71" s="174">
        <f t="shared" si="53"/>
        <v>0</v>
      </c>
      <c r="T71" s="174">
        <f t="shared" si="53"/>
        <v>0</v>
      </c>
      <c r="U71" s="174">
        <f t="shared" si="53"/>
        <v>0</v>
      </c>
      <c r="V71" s="174">
        <f t="shared" si="53"/>
        <v>0</v>
      </c>
      <c r="W71" s="174">
        <f t="shared" si="53"/>
        <v>23249.4</v>
      </c>
      <c r="X71" s="174">
        <f t="shared" si="53"/>
        <v>0</v>
      </c>
      <c r="Y71" s="174">
        <f t="shared" si="53"/>
        <v>0</v>
      </c>
      <c r="Z71" s="174">
        <f t="shared" si="53"/>
        <v>0</v>
      </c>
      <c r="AA71" s="174">
        <f t="shared" si="53"/>
        <v>0</v>
      </c>
      <c r="AB71" s="174">
        <f t="shared" si="53"/>
        <v>23249.4</v>
      </c>
      <c r="AC71" s="174">
        <f t="shared" si="53"/>
        <v>0</v>
      </c>
      <c r="AD71" s="174">
        <f t="shared" si="53"/>
        <v>0</v>
      </c>
      <c r="AE71" s="174">
        <f t="shared" si="53"/>
        <v>0</v>
      </c>
      <c r="AF71" s="174">
        <f t="shared" si="53"/>
        <v>0</v>
      </c>
      <c r="AG71" s="174"/>
      <c r="AH71" s="161"/>
      <c r="AI71" s="154"/>
    </row>
    <row r="72" spans="1:35" s="162" customFormat="1" outlineLevel="2">
      <c r="A72" s="154"/>
      <c r="B72" s="585" t="s">
        <v>805</v>
      </c>
      <c r="C72" s="187">
        <v>60</v>
      </c>
      <c r="D72" s="187">
        <v>0</v>
      </c>
      <c r="E72" s="187">
        <v>0</v>
      </c>
      <c r="F72" s="187">
        <v>0</v>
      </c>
      <c r="G72" s="187">
        <v>0</v>
      </c>
      <c r="H72" s="187">
        <v>60</v>
      </c>
      <c r="I72" s="187">
        <v>0</v>
      </c>
      <c r="J72" s="187">
        <v>0</v>
      </c>
      <c r="K72" s="187">
        <v>0</v>
      </c>
      <c r="L72" s="187">
        <v>0</v>
      </c>
      <c r="M72" s="187">
        <v>60</v>
      </c>
      <c r="N72" s="187">
        <v>0</v>
      </c>
      <c r="O72" s="187">
        <v>0</v>
      </c>
      <c r="P72" s="187">
        <v>0</v>
      </c>
      <c r="Q72" s="187">
        <v>0</v>
      </c>
      <c r="R72" s="187">
        <v>60</v>
      </c>
      <c r="S72" s="187">
        <v>0</v>
      </c>
      <c r="T72" s="187">
        <v>0</v>
      </c>
      <c r="U72" s="187">
        <v>0</v>
      </c>
      <c r="V72" s="187">
        <v>0</v>
      </c>
      <c r="W72" s="187">
        <v>60</v>
      </c>
      <c r="X72" s="187">
        <v>0</v>
      </c>
      <c r="Y72" s="187">
        <v>0</v>
      </c>
      <c r="Z72" s="187">
        <v>0</v>
      </c>
      <c r="AA72" s="187">
        <v>0</v>
      </c>
      <c r="AB72" s="187">
        <v>60</v>
      </c>
      <c r="AC72" s="187">
        <v>0</v>
      </c>
      <c r="AD72" s="187">
        <v>0</v>
      </c>
      <c r="AE72" s="187">
        <v>0</v>
      </c>
      <c r="AF72" s="187">
        <v>0</v>
      </c>
      <c r="AG72" s="173"/>
      <c r="AH72" s="161"/>
      <c r="AI72" s="154"/>
    </row>
    <row r="73" spans="1:35" s="162" customFormat="1" outlineLevel="2">
      <c r="A73" s="154"/>
      <c r="B73" s="585" t="s">
        <v>807</v>
      </c>
      <c r="C73" s="176">
        <f>Insumos!$E$14</f>
        <v>387.49</v>
      </c>
      <c r="D73" s="176">
        <f>C73</f>
        <v>387.49</v>
      </c>
      <c r="E73" s="176">
        <f t="shared" ref="E73:AF73" si="54">D73</f>
        <v>387.49</v>
      </c>
      <c r="F73" s="176">
        <f t="shared" si="54"/>
        <v>387.49</v>
      </c>
      <c r="G73" s="176">
        <f t="shared" si="54"/>
        <v>387.49</v>
      </c>
      <c r="H73" s="176">
        <f t="shared" si="54"/>
        <v>387.49</v>
      </c>
      <c r="I73" s="176">
        <f t="shared" si="54"/>
        <v>387.49</v>
      </c>
      <c r="J73" s="176">
        <f t="shared" si="54"/>
        <v>387.49</v>
      </c>
      <c r="K73" s="176">
        <f t="shared" si="54"/>
        <v>387.49</v>
      </c>
      <c r="L73" s="176">
        <f t="shared" si="54"/>
        <v>387.49</v>
      </c>
      <c r="M73" s="176">
        <f t="shared" si="54"/>
        <v>387.49</v>
      </c>
      <c r="N73" s="176">
        <f t="shared" si="54"/>
        <v>387.49</v>
      </c>
      <c r="O73" s="176">
        <f t="shared" si="54"/>
        <v>387.49</v>
      </c>
      <c r="P73" s="176">
        <f t="shared" si="54"/>
        <v>387.49</v>
      </c>
      <c r="Q73" s="176">
        <f t="shared" si="54"/>
        <v>387.49</v>
      </c>
      <c r="R73" s="176">
        <f t="shared" si="54"/>
        <v>387.49</v>
      </c>
      <c r="S73" s="176">
        <f t="shared" si="54"/>
        <v>387.49</v>
      </c>
      <c r="T73" s="176">
        <f t="shared" si="54"/>
        <v>387.49</v>
      </c>
      <c r="U73" s="176">
        <f t="shared" si="54"/>
        <v>387.49</v>
      </c>
      <c r="V73" s="176">
        <f t="shared" si="54"/>
        <v>387.49</v>
      </c>
      <c r="W73" s="176">
        <f t="shared" si="54"/>
        <v>387.49</v>
      </c>
      <c r="X73" s="176">
        <f t="shared" si="54"/>
        <v>387.49</v>
      </c>
      <c r="Y73" s="176">
        <f t="shared" si="54"/>
        <v>387.49</v>
      </c>
      <c r="Z73" s="176">
        <f t="shared" si="54"/>
        <v>387.49</v>
      </c>
      <c r="AA73" s="176">
        <f t="shared" si="54"/>
        <v>387.49</v>
      </c>
      <c r="AB73" s="176">
        <f t="shared" si="54"/>
        <v>387.49</v>
      </c>
      <c r="AC73" s="176">
        <f t="shared" si="54"/>
        <v>387.49</v>
      </c>
      <c r="AD73" s="176">
        <f t="shared" si="54"/>
        <v>387.49</v>
      </c>
      <c r="AE73" s="176">
        <f t="shared" si="54"/>
        <v>387.49</v>
      </c>
      <c r="AF73" s="176">
        <f t="shared" si="54"/>
        <v>387.49</v>
      </c>
      <c r="AG73" s="173"/>
      <c r="AH73" s="161"/>
      <c r="AI73" s="154"/>
    </row>
    <row r="74" spans="1:35">
      <c r="A74" s="154"/>
      <c r="B74" s="223"/>
      <c r="C74" s="171"/>
      <c r="D74" s="171"/>
      <c r="E74" s="171"/>
      <c r="F74" s="171"/>
      <c r="G74" s="171"/>
      <c r="H74" s="171"/>
      <c r="I74" s="171"/>
      <c r="J74" s="171"/>
      <c r="K74" s="171"/>
      <c r="L74" s="171"/>
      <c r="M74" s="171"/>
      <c r="N74" s="171"/>
      <c r="O74" s="171"/>
      <c r="P74" s="171"/>
      <c r="Q74" s="171"/>
      <c r="R74" s="171"/>
      <c r="S74" s="171"/>
      <c r="T74" s="171"/>
      <c r="U74" s="171"/>
      <c r="V74" s="171"/>
      <c r="W74" s="171"/>
      <c r="X74" s="171"/>
      <c r="Y74" s="171"/>
      <c r="Z74" s="171"/>
      <c r="AA74" s="171"/>
      <c r="AB74" s="171"/>
      <c r="AC74" s="171"/>
      <c r="AD74" s="171"/>
      <c r="AE74" s="171"/>
      <c r="AF74" s="171"/>
      <c r="AG74" s="249"/>
      <c r="AH74" s="161"/>
      <c r="AI74" s="152"/>
    </row>
    <row r="75" spans="1:35">
      <c r="A75" s="154"/>
      <c r="B75" s="453" t="s">
        <v>825</v>
      </c>
      <c r="C75" s="454">
        <f t="shared" ref="C75:AF75" si="55">SUM(C77,C84)</f>
        <v>415.93299999999999</v>
      </c>
      <c r="D75" s="454">
        <f t="shared" si="55"/>
        <v>0</v>
      </c>
      <c r="E75" s="454">
        <f t="shared" si="55"/>
        <v>0</v>
      </c>
      <c r="F75" s="454">
        <f t="shared" si="55"/>
        <v>10.47</v>
      </c>
      <c r="G75" s="454">
        <f t="shared" si="55"/>
        <v>0</v>
      </c>
      <c r="H75" s="454">
        <f t="shared" si="55"/>
        <v>0</v>
      </c>
      <c r="I75" s="454">
        <f t="shared" si="55"/>
        <v>10.47</v>
      </c>
      <c r="J75" s="454">
        <f t="shared" si="55"/>
        <v>0</v>
      </c>
      <c r="K75" s="454">
        <f t="shared" si="55"/>
        <v>0</v>
      </c>
      <c r="L75" s="454">
        <f t="shared" si="55"/>
        <v>10.47</v>
      </c>
      <c r="M75" s="454">
        <f t="shared" si="55"/>
        <v>405.46300000000002</v>
      </c>
      <c r="N75" s="454">
        <f t="shared" si="55"/>
        <v>0</v>
      </c>
      <c r="O75" s="454">
        <f t="shared" si="55"/>
        <v>10.47</v>
      </c>
      <c r="P75" s="454">
        <f t="shared" si="55"/>
        <v>0</v>
      </c>
      <c r="Q75" s="454">
        <f t="shared" si="55"/>
        <v>0</v>
      </c>
      <c r="R75" s="454">
        <f t="shared" si="55"/>
        <v>10.47</v>
      </c>
      <c r="S75" s="454">
        <f t="shared" si="55"/>
        <v>0</v>
      </c>
      <c r="T75" s="454">
        <f t="shared" si="55"/>
        <v>0</v>
      </c>
      <c r="U75" s="454">
        <f t="shared" si="55"/>
        <v>10.47</v>
      </c>
      <c r="V75" s="454">
        <f t="shared" si="55"/>
        <v>0</v>
      </c>
      <c r="W75" s="454">
        <f t="shared" si="55"/>
        <v>405.46300000000002</v>
      </c>
      <c r="X75" s="454">
        <f t="shared" si="55"/>
        <v>10.47</v>
      </c>
      <c r="Y75" s="454">
        <f t="shared" si="55"/>
        <v>0</v>
      </c>
      <c r="Z75" s="454">
        <f t="shared" si="55"/>
        <v>0</v>
      </c>
      <c r="AA75" s="454">
        <f t="shared" si="55"/>
        <v>10.47</v>
      </c>
      <c r="AB75" s="454">
        <f t="shared" si="55"/>
        <v>0</v>
      </c>
      <c r="AC75" s="454">
        <f t="shared" si="55"/>
        <v>0</v>
      </c>
      <c r="AD75" s="454">
        <f t="shared" si="55"/>
        <v>10.47</v>
      </c>
      <c r="AE75" s="454">
        <f t="shared" si="55"/>
        <v>0</v>
      </c>
      <c r="AF75" s="454">
        <f t="shared" si="55"/>
        <v>0</v>
      </c>
      <c r="AG75" s="169"/>
      <c r="AH75" s="455">
        <f>SUM(C75:AF75)</f>
        <v>1321.0890000000002</v>
      </c>
      <c r="AI75" s="152" t="s">
        <v>803</v>
      </c>
    </row>
    <row r="76" spans="1:35" s="162" customFormat="1">
      <c r="A76" s="154"/>
      <c r="B76" s="223"/>
      <c r="C76" s="170"/>
      <c r="D76" s="170"/>
      <c r="E76" s="171"/>
      <c r="F76" s="171"/>
      <c r="G76" s="171"/>
      <c r="H76" s="171"/>
      <c r="I76" s="171"/>
      <c r="J76" s="171"/>
      <c r="K76" s="171"/>
      <c r="L76" s="171"/>
      <c r="M76" s="171"/>
      <c r="N76" s="171"/>
      <c r="O76" s="171"/>
      <c r="P76" s="171"/>
      <c r="Q76" s="171"/>
      <c r="R76" s="171"/>
      <c r="S76" s="171"/>
      <c r="T76" s="171"/>
      <c r="U76" s="171"/>
      <c r="V76" s="171"/>
      <c r="W76" s="171"/>
      <c r="X76" s="171"/>
      <c r="Y76" s="171"/>
      <c r="Z76" s="171"/>
      <c r="AA76" s="171"/>
      <c r="AB76" s="171"/>
      <c r="AC76" s="171"/>
      <c r="AD76" s="171"/>
      <c r="AE76" s="171"/>
      <c r="AF76" s="171"/>
      <c r="AG76" s="249"/>
      <c r="AH76" s="161"/>
      <c r="AI76" s="154"/>
    </row>
    <row r="77" spans="1:35" s="162" customFormat="1" outlineLevel="1">
      <c r="A77" s="154"/>
      <c r="B77" s="225" t="s">
        <v>297</v>
      </c>
      <c r="C77" s="226">
        <f>SUM(C78,C81)/10^3</f>
        <v>402.66500000000002</v>
      </c>
      <c r="D77" s="226">
        <f t="shared" ref="D77:AF77" si="56">SUM(D78,D81)/10^3</f>
        <v>0</v>
      </c>
      <c r="E77" s="226">
        <f t="shared" si="56"/>
        <v>0</v>
      </c>
      <c r="F77" s="226">
        <f t="shared" si="56"/>
        <v>0</v>
      </c>
      <c r="G77" s="226">
        <f t="shared" si="56"/>
        <v>0</v>
      </c>
      <c r="H77" s="226">
        <f t="shared" si="56"/>
        <v>0</v>
      </c>
      <c r="I77" s="226">
        <f t="shared" si="56"/>
        <v>0</v>
      </c>
      <c r="J77" s="226">
        <f t="shared" si="56"/>
        <v>0</v>
      </c>
      <c r="K77" s="226">
        <f t="shared" si="56"/>
        <v>0</v>
      </c>
      <c r="L77" s="226">
        <f t="shared" si="56"/>
        <v>0</v>
      </c>
      <c r="M77" s="226">
        <f t="shared" si="56"/>
        <v>402.66500000000002</v>
      </c>
      <c r="N77" s="226">
        <f t="shared" si="56"/>
        <v>0</v>
      </c>
      <c r="O77" s="226">
        <f t="shared" si="56"/>
        <v>0</v>
      </c>
      <c r="P77" s="226">
        <f t="shared" si="56"/>
        <v>0</v>
      </c>
      <c r="Q77" s="226">
        <f t="shared" si="56"/>
        <v>0</v>
      </c>
      <c r="R77" s="226">
        <f t="shared" si="56"/>
        <v>0</v>
      </c>
      <c r="S77" s="226">
        <f t="shared" si="56"/>
        <v>0</v>
      </c>
      <c r="T77" s="226">
        <f t="shared" si="56"/>
        <v>0</v>
      </c>
      <c r="U77" s="226">
        <f t="shared" si="56"/>
        <v>0</v>
      </c>
      <c r="V77" s="226">
        <f t="shared" si="56"/>
        <v>0</v>
      </c>
      <c r="W77" s="226">
        <f t="shared" si="56"/>
        <v>402.66500000000002</v>
      </c>
      <c r="X77" s="226">
        <f t="shared" si="56"/>
        <v>0</v>
      </c>
      <c r="Y77" s="226">
        <f t="shared" si="56"/>
        <v>0</v>
      </c>
      <c r="Z77" s="226">
        <f t="shared" si="56"/>
        <v>0</v>
      </c>
      <c r="AA77" s="226">
        <f t="shared" si="56"/>
        <v>0</v>
      </c>
      <c r="AB77" s="226">
        <f t="shared" si="56"/>
        <v>0</v>
      </c>
      <c r="AC77" s="226">
        <f t="shared" si="56"/>
        <v>0</v>
      </c>
      <c r="AD77" s="226">
        <f t="shared" si="56"/>
        <v>0</v>
      </c>
      <c r="AE77" s="226">
        <f t="shared" si="56"/>
        <v>0</v>
      </c>
      <c r="AF77" s="226">
        <f t="shared" si="56"/>
        <v>0</v>
      </c>
      <c r="AG77" s="227"/>
      <c r="AH77" s="250">
        <f>SUM(C77:AF77)</f>
        <v>1207.9950000000001</v>
      </c>
      <c r="AI77" s="154"/>
    </row>
    <row r="78" spans="1:35" s="162" customFormat="1" outlineLevel="2">
      <c r="A78" s="154"/>
      <c r="B78" s="608" t="s">
        <v>826</v>
      </c>
      <c r="C78" s="174">
        <f t="shared" ref="C78:AF78" si="57">C79*C80</f>
        <v>399900</v>
      </c>
      <c r="D78" s="174">
        <f t="shared" si="57"/>
        <v>0</v>
      </c>
      <c r="E78" s="174">
        <f t="shared" si="57"/>
        <v>0</v>
      </c>
      <c r="F78" s="174">
        <f t="shared" si="57"/>
        <v>0</v>
      </c>
      <c r="G78" s="174">
        <f t="shared" si="57"/>
        <v>0</v>
      </c>
      <c r="H78" s="174">
        <f t="shared" si="57"/>
        <v>0</v>
      </c>
      <c r="I78" s="174">
        <f t="shared" si="57"/>
        <v>0</v>
      </c>
      <c r="J78" s="174">
        <f t="shared" si="57"/>
        <v>0</v>
      </c>
      <c r="K78" s="174">
        <f t="shared" si="57"/>
        <v>0</v>
      </c>
      <c r="L78" s="174">
        <f t="shared" si="57"/>
        <v>0</v>
      </c>
      <c r="M78" s="174">
        <f t="shared" si="57"/>
        <v>399900</v>
      </c>
      <c r="N78" s="174">
        <f t="shared" si="57"/>
        <v>0</v>
      </c>
      <c r="O78" s="174">
        <f t="shared" si="57"/>
        <v>0</v>
      </c>
      <c r="P78" s="174">
        <f t="shared" si="57"/>
        <v>0</v>
      </c>
      <c r="Q78" s="174">
        <f t="shared" si="57"/>
        <v>0</v>
      </c>
      <c r="R78" s="174">
        <f t="shared" si="57"/>
        <v>0</v>
      </c>
      <c r="S78" s="174">
        <f t="shared" si="57"/>
        <v>0</v>
      </c>
      <c r="T78" s="174">
        <f t="shared" si="57"/>
        <v>0</v>
      </c>
      <c r="U78" s="174">
        <f t="shared" si="57"/>
        <v>0</v>
      </c>
      <c r="V78" s="174">
        <f t="shared" si="57"/>
        <v>0</v>
      </c>
      <c r="W78" s="174">
        <f t="shared" si="57"/>
        <v>399900</v>
      </c>
      <c r="X78" s="174">
        <f t="shared" si="57"/>
        <v>0</v>
      </c>
      <c r="Y78" s="174">
        <f t="shared" si="57"/>
        <v>0</v>
      </c>
      <c r="Z78" s="174">
        <f t="shared" si="57"/>
        <v>0</v>
      </c>
      <c r="AA78" s="174">
        <f t="shared" si="57"/>
        <v>0</v>
      </c>
      <c r="AB78" s="174">
        <f t="shared" si="57"/>
        <v>0</v>
      </c>
      <c r="AC78" s="174">
        <f t="shared" si="57"/>
        <v>0</v>
      </c>
      <c r="AD78" s="174">
        <f t="shared" si="57"/>
        <v>0</v>
      </c>
      <c r="AE78" s="174">
        <f t="shared" si="57"/>
        <v>0</v>
      </c>
      <c r="AF78" s="174">
        <f t="shared" si="57"/>
        <v>0</v>
      </c>
      <c r="AG78" s="174"/>
      <c r="AH78" s="161"/>
      <c r="AI78" s="154"/>
    </row>
    <row r="79" spans="1:35" s="162" customFormat="1" outlineLevel="2">
      <c r="A79" s="154"/>
      <c r="B79" s="585" t="s">
        <v>805</v>
      </c>
      <c r="C79" s="172">
        <v>1</v>
      </c>
      <c r="D79" s="172">
        <v>0</v>
      </c>
      <c r="E79" s="172">
        <v>0</v>
      </c>
      <c r="F79" s="172">
        <v>0</v>
      </c>
      <c r="G79" s="172">
        <v>0</v>
      </c>
      <c r="H79" s="172">
        <v>0</v>
      </c>
      <c r="I79" s="172">
        <v>0</v>
      </c>
      <c r="J79" s="172">
        <v>0</v>
      </c>
      <c r="K79" s="172">
        <v>0</v>
      </c>
      <c r="L79" s="172">
        <v>0</v>
      </c>
      <c r="M79" s="172">
        <v>1</v>
      </c>
      <c r="N79" s="172">
        <v>0</v>
      </c>
      <c r="O79" s="172">
        <v>0</v>
      </c>
      <c r="P79" s="172">
        <v>0</v>
      </c>
      <c r="Q79" s="172">
        <v>0</v>
      </c>
      <c r="R79" s="172">
        <v>0</v>
      </c>
      <c r="S79" s="172">
        <v>0</v>
      </c>
      <c r="T79" s="172">
        <v>0</v>
      </c>
      <c r="U79" s="172">
        <v>0</v>
      </c>
      <c r="V79" s="172">
        <v>0</v>
      </c>
      <c r="W79" s="172">
        <v>1</v>
      </c>
      <c r="X79" s="172">
        <v>0</v>
      </c>
      <c r="Y79" s="172">
        <v>0</v>
      </c>
      <c r="Z79" s="172">
        <v>0</v>
      </c>
      <c r="AA79" s="172">
        <v>0</v>
      </c>
      <c r="AB79" s="172">
        <v>0</v>
      </c>
      <c r="AC79" s="172">
        <v>0</v>
      </c>
      <c r="AD79" s="172">
        <v>0</v>
      </c>
      <c r="AE79" s="172">
        <v>0</v>
      </c>
      <c r="AF79" s="172">
        <v>0</v>
      </c>
      <c r="AG79" s="175"/>
      <c r="AH79" s="161"/>
      <c r="AI79" s="154"/>
    </row>
    <row r="80" spans="1:35" s="162" customFormat="1" outlineLevel="2">
      <c r="A80" s="154"/>
      <c r="B80" s="585" t="s">
        <v>807</v>
      </c>
      <c r="C80" s="176">
        <f>Insumos!$E$25</f>
        <v>399900</v>
      </c>
      <c r="D80" s="176">
        <f>C80</f>
        <v>399900</v>
      </c>
      <c r="E80" s="176">
        <f t="shared" ref="E80:AF80" si="58">D80</f>
        <v>399900</v>
      </c>
      <c r="F80" s="176">
        <f t="shared" si="58"/>
        <v>399900</v>
      </c>
      <c r="G80" s="176">
        <f t="shared" si="58"/>
        <v>399900</v>
      </c>
      <c r="H80" s="176">
        <f t="shared" si="58"/>
        <v>399900</v>
      </c>
      <c r="I80" s="176">
        <f t="shared" si="58"/>
        <v>399900</v>
      </c>
      <c r="J80" s="176">
        <f t="shared" si="58"/>
        <v>399900</v>
      </c>
      <c r="K80" s="176">
        <f t="shared" si="58"/>
        <v>399900</v>
      </c>
      <c r="L80" s="176">
        <f t="shared" si="58"/>
        <v>399900</v>
      </c>
      <c r="M80" s="176">
        <f t="shared" si="58"/>
        <v>399900</v>
      </c>
      <c r="N80" s="176">
        <f t="shared" si="58"/>
        <v>399900</v>
      </c>
      <c r="O80" s="176">
        <f t="shared" si="58"/>
        <v>399900</v>
      </c>
      <c r="P80" s="176">
        <f t="shared" si="58"/>
        <v>399900</v>
      </c>
      <c r="Q80" s="176">
        <f t="shared" si="58"/>
        <v>399900</v>
      </c>
      <c r="R80" s="176">
        <f t="shared" si="58"/>
        <v>399900</v>
      </c>
      <c r="S80" s="176">
        <f t="shared" si="58"/>
        <v>399900</v>
      </c>
      <c r="T80" s="176">
        <f t="shared" si="58"/>
        <v>399900</v>
      </c>
      <c r="U80" s="176">
        <f t="shared" si="58"/>
        <v>399900</v>
      </c>
      <c r="V80" s="176">
        <f t="shared" si="58"/>
        <v>399900</v>
      </c>
      <c r="W80" s="176">
        <f t="shared" si="58"/>
        <v>399900</v>
      </c>
      <c r="X80" s="176">
        <f t="shared" si="58"/>
        <v>399900</v>
      </c>
      <c r="Y80" s="176">
        <f t="shared" si="58"/>
        <v>399900</v>
      </c>
      <c r="Z80" s="176">
        <f t="shared" si="58"/>
        <v>399900</v>
      </c>
      <c r="AA80" s="176">
        <f t="shared" si="58"/>
        <v>399900</v>
      </c>
      <c r="AB80" s="176">
        <f t="shared" si="58"/>
        <v>399900</v>
      </c>
      <c r="AC80" s="176">
        <f t="shared" si="58"/>
        <v>399900</v>
      </c>
      <c r="AD80" s="176">
        <f t="shared" si="58"/>
        <v>399900</v>
      </c>
      <c r="AE80" s="176">
        <f t="shared" si="58"/>
        <v>399900</v>
      </c>
      <c r="AF80" s="176">
        <f t="shared" si="58"/>
        <v>399900</v>
      </c>
      <c r="AG80" s="173"/>
      <c r="AH80" s="161"/>
      <c r="AI80" s="154"/>
    </row>
    <row r="81" spans="1:35" s="162" customFormat="1" outlineLevel="2">
      <c r="A81" s="154"/>
      <c r="B81" s="551" t="s">
        <v>827</v>
      </c>
      <c r="C81" s="174">
        <f t="shared" ref="C81:AF81" si="59">C82*C83</f>
        <v>2765</v>
      </c>
      <c r="D81" s="174">
        <f t="shared" si="59"/>
        <v>0</v>
      </c>
      <c r="E81" s="174">
        <f t="shared" si="59"/>
        <v>0</v>
      </c>
      <c r="F81" s="174">
        <f t="shared" si="59"/>
        <v>0</v>
      </c>
      <c r="G81" s="174">
        <f t="shared" si="59"/>
        <v>0</v>
      </c>
      <c r="H81" s="174">
        <f t="shared" si="59"/>
        <v>0</v>
      </c>
      <c r="I81" s="174">
        <f t="shared" si="59"/>
        <v>0</v>
      </c>
      <c r="J81" s="174">
        <f t="shared" si="59"/>
        <v>0</v>
      </c>
      <c r="K81" s="174">
        <f t="shared" si="59"/>
        <v>0</v>
      </c>
      <c r="L81" s="174">
        <f t="shared" si="59"/>
        <v>0</v>
      </c>
      <c r="M81" s="174">
        <f t="shared" si="59"/>
        <v>2765</v>
      </c>
      <c r="N81" s="174">
        <f t="shared" si="59"/>
        <v>0</v>
      </c>
      <c r="O81" s="174">
        <f t="shared" si="59"/>
        <v>0</v>
      </c>
      <c r="P81" s="174">
        <f t="shared" si="59"/>
        <v>0</v>
      </c>
      <c r="Q81" s="174">
        <f t="shared" si="59"/>
        <v>0</v>
      </c>
      <c r="R81" s="174">
        <f t="shared" si="59"/>
        <v>0</v>
      </c>
      <c r="S81" s="174">
        <f t="shared" si="59"/>
        <v>0</v>
      </c>
      <c r="T81" s="174">
        <f t="shared" si="59"/>
        <v>0</v>
      </c>
      <c r="U81" s="174">
        <f t="shared" si="59"/>
        <v>0</v>
      </c>
      <c r="V81" s="174">
        <f t="shared" si="59"/>
        <v>0</v>
      </c>
      <c r="W81" s="174">
        <f t="shared" si="59"/>
        <v>2765</v>
      </c>
      <c r="X81" s="174">
        <f t="shared" si="59"/>
        <v>0</v>
      </c>
      <c r="Y81" s="174">
        <f t="shared" si="59"/>
        <v>0</v>
      </c>
      <c r="Z81" s="174">
        <f t="shared" si="59"/>
        <v>0</v>
      </c>
      <c r="AA81" s="174">
        <f t="shared" si="59"/>
        <v>0</v>
      </c>
      <c r="AB81" s="174">
        <f t="shared" si="59"/>
        <v>0</v>
      </c>
      <c r="AC81" s="174">
        <f t="shared" si="59"/>
        <v>0</v>
      </c>
      <c r="AD81" s="174">
        <f t="shared" si="59"/>
        <v>0</v>
      </c>
      <c r="AE81" s="174">
        <f t="shared" si="59"/>
        <v>0</v>
      </c>
      <c r="AF81" s="174">
        <f t="shared" si="59"/>
        <v>0</v>
      </c>
      <c r="AG81" s="174"/>
      <c r="AH81" s="161"/>
      <c r="AI81" s="154"/>
    </row>
    <row r="82" spans="1:35" s="162" customFormat="1" outlineLevel="2">
      <c r="A82" s="154"/>
      <c r="B82" s="585" t="s">
        <v>805</v>
      </c>
      <c r="C82" s="172">
        <f>C79</f>
        <v>1</v>
      </c>
      <c r="D82" s="172">
        <f t="shared" ref="D82:AF82" si="60">D79</f>
        <v>0</v>
      </c>
      <c r="E82" s="172">
        <f t="shared" si="60"/>
        <v>0</v>
      </c>
      <c r="F82" s="172">
        <f t="shared" si="60"/>
        <v>0</v>
      </c>
      <c r="G82" s="172">
        <f t="shared" si="60"/>
        <v>0</v>
      </c>
      <c r="H82" s="172">
        <f t="shared" si="60"/>
        <v>0</v>
      </c>
      <c r="I82" s="172">
        <f t="shared" si="60"/>
        <v>0</v>
      </c>
      <c r="J82" s="172">
        <f t="shared" si="60"/>
        <v>0</v>
      </c>
      <c r="K82" s="172">
        <f t="shared" si="60"/>
        <v>0</v>
      </c>
      <c r="L82" s="172">
        <f t="shared" si="60"/>
        <v>0</v>
      </c>
      <c r="M82" s="172">
        <f t="shared" si="60"/>
        <v>1</v>
      </c>
      <c r="N82" s="172">
        <f t="shared" si="60"/>
        <v>0</v>
      </c>
      <c r="O82" s="172">
        <f t="shared" si="60"/>
        <v>0</v>
      </c>
      <c r="P82" s="172">
        <f t="shared" si="60"/>
        <v>0</v>
      </c>
      <c r="Q82" s="172">
        <f t="shared" si="60"/>
        <v>0</v>
      </c>
      <c r="R82" s="172">
        <f t="shared" si="60"/>
        <v>0</v>
      </c>
      <c r="S82" s="172">
        <f t="shared" si="60"/>
        <v>0</v>
      </c>
      <c r="T82" s="172">
        <f t="shared" si="60"/>
        <v>0</v>
      </c>
      <c r="U82" s="172">
        <f t="shared" si="60"/>
        <v>0</v>
      </c>
      <c r="V82" s="172">
        <f t="shared" si="60"/>
        <v>0</v>
      </c>
      <c r="W82" s="172">
        <f t="shared" si="60"/>
        <v>1</v>
      </c>
      <c r="X82" s="172">
        <f t="shared" si="60"/>
        <v>0</v>
      </c>
      <c r="Y82" s="172">
        <f t="shared" si="60"/>
        <v>0</v>
      </c>
      <c r="Z82" s="172">
        <f t="shared" si="60"/>
        <v>0</v>
      </c>
      <c r="AA82" s="172">
        <f t="shared" si="60"/>
        <v>0</v>
      </c>
      <c r="AB82" s="172">
        <f t="shared" si="60"/>
        <v>0</v>
      </c>
      <c r="AC82" s="172">
        <f t="shared" si="60"/>
        <v>0</v>
      </c>
      <c r="AD82" s="172">
        <f t="shared" si="60"/>
        <v>0</v>
      </c>
      <c r="AE82" s="172">
        <f t="shared" si="60"/>
        <v>0</v>
      </c>
      <c r="AF82" s="172">
        <f t="shared" si="60"/>
        <v>0</v>
      </c>
      <c r="AG82" s="175"/>
      <c r="AH82" s="161"/>
      <c r="AI82" s="154"/>
    </row>
    <row r="83" spans="1:35" s="162" customFormat="1" outlineLevel="2">
      <c r="A83" s="154"/>
      <c r="B83" s="585" t="s">
        <v>807</v>
      </c>
      <c r="C83" s="174">
        <f>Insumos!$E$10</f>
        <v>2765</v>
      </c>
      <c r="D83" s="176">
        <f>C83</f>
        <v>2765</v>
      </c>
      <c r="E83" s="176">
        <f t="shared" ref="E83:AE83" si="61">D83</f>
        <v>2765</v>
      </c>
      <c r="F83" s="176">
        <f t="shared" si="61"/>
        <v>2765</v>
      </c>
      <c r="G83" s="176">
        <f t="shared" si="61"/>
        <v>2765</v>
      </c>
      <c r="H83" s="176">
        <f t="shared" si="61"/>
        <v>2765</v>
      </c>
      <c r="I83" s="176">
        <f t="shared" si="61"/>
        <v>2765</v>
      </c>
      <c r="J83" s="176">
        <f t="shared" si="61"/>
        <v>2765</v>
      </c>
      <c r="K83" s="176">
        <f t="shared" si="61"/>
        <v>2765</v>
      </c>
      <c r="L83" s="176">
        <f t="shared" si="61"/>
        <v>2765</v>
      </c>
      <c r="M83" s="176">
        <f t="shared" si="61"/>
        <v>2765</v>
      </c>
      <c r="N83" s="176">
        <f t="shared" si="61"/>
        <v>2765</v>
      </c>
      <c r="O83" s="176">
        <f t="shared" si="61"/>
        <v>2765</v>
      </c>
      <c r="P83" s="176">
        <f t="shared" si="61"/>
        <v>2765</v>
      </c>
      <c r="Q83" s="176">
        <f t="shared" si="61"/>
        <v>2765</v>
      </c>
      <c r="R83" s="176">
        <f t="shared" si="61"/>
        <v>2765</v>
      </c>
      <c r="S83" s="176">
        <f t="shared" si="61"/>
        <v>2765</v>
      </c>
      <c r="T83" s="176">
        <f t="shared" si="61"/>
        <v>2765</v>
      </c>
      <c r="U83" s="176">
        <f t="shared" si="61"/>
        <v>2765</v>
      </c>
      <c r="V83" s="176">
        <f t="shared" si="61"/>
        <v>2765</v>
      </c>
      <c r="W83" s="176">
        <f t="shared" si="61"/>
        <v>2765</v>
      </c>
      <c r="X83" s="176">
        <f t="shared" si="61"/>
        <v>2765</v>
      </c>
      <c r="Y83" s="176">
        <f t="shared" si="61"/>
        <v>2765</v>
      </c>
      <c r="Z83" s="176">
        <f t="shared" si="61"/>
        <v>2765</v>
      </c>
      <c r="AA83" s="176">
        <f t="shared" si="61"/>
        <v>2765</v>
      </c>
      <c r="AB83" s="176">
        <f t="shared" si="61"/>
        <v>2765</v>
      </c>
      <c r="AC83" s="176">
        <f t="shared" si="61"/>
        <v>2765</v>
      </c>
      <c r="AD83" s="176">
        <f t="shared" si="61"/>
        <v>2765</v>
      </c>
      <c r="AE83" s="176">
        <f t="shared" si="61"/>
        <v>2765</v>
      </c>
      <c r="AF83" s="176">
        <f>AE83</f>
        <v>2765</v>
      </c>
      <c r="AG83" s="173"/>
      <c r="AH83" s="161"/>
      <c r="AI83" s="154"/>
    </row>
    <row r="84" spans="1:35" s="162" customFormat="1" outlineLevel="1">
      <c r="A84" s="154"/>
      <c r="B84" s="225" t="s">
        <v>298</v>
      </c>
      <c r="C84" s="226">
        <f>(C85+C88)/10^3</f>
        <v>13.268000000000001</v>
      </c>
      <c r="D84" s="226">
        <f t="shared" ref="D84:AF84" si="62">(D85+D88)/10^3</f>
        <v>0</v>
      </c>
      <c r="E84" s="226">
        <f t="shared" si="62"/>
        <v>0</v>
      </c>
      <c r="F84" s="226">
        <f t="shared" si="62"/>
        <v>10.47</v>
      </c>
      <c r="G84" s="226">
        <f t="shared" si="62"/>
        <v>0</v>
      </c>
      <c r="H84" s="226">
        <f t="shared" si="62"/>
        <v>0</v>
      </c>
      <c r="I84" s="226">
        <f t="shared" si="62"/>
        <v>10.47</v>
      </c>
      <c r="J84" s="226">
        <f t="shared" si="62"/>
        <v>0</v>
      </c>
      <c r="K84" s="226">
        <f t="shared" si="62"/>
        <v>0</v>
      </c>
      <c r="L84" s="226">
        <f t="shared" si="62"/>
        <v>10.47</v>
      </c>
      <c r="M84" s="226">
        <f t="shared" si="62"/>
        <v>2.798</v>
      </c>
      <c r="N84" s="226">
        <f t="shared" si="62"/>
        <v>0</v>
      </c>
      <c r="O84" s="226">
        <f t="shared" si="62"/>
        <v>10.47</v>
      </c>
      <c r="P84" s="226">
        <f t="shared" si="62"/>
        <v>0</v>
      </c>
      <c r="Q84" s="226">
        <f t="shared" si="62"/>
        <v>0</v>
      </c>
      <c r="R84" s="226">
        <f t="shared" si="62"/>
        <v>10.47</v>
      </c>
      <c r="S84" s="226">
        <f t="shared" si="62"/>
        <v>0</v>
      </c>
      <c r="T84" s="226">
        <f t="shared" si="62"/>
        <v>0</v>
      </c>
      <c r="U84" s="226">
        <f t="shared" si="62"/>
        <v>10.47</v>
      </c>
      <c r="V84" s="226">
        <f t="shared" si="62"/>
        <v>0</v>
      </c>
      <c r="W84" s="226">
        <f t="shared" si="62"/>
        <v>2.798</v>
      </c>
      <c r="X84" s="226">
        <f t="shared" si="62"/>
        <v>10.47</v>
      </c>
      <c r="Y84" s="226">
        <f t="shared" si="62"/>
        <v>0</v>
      </c>
      <c r="Z84" s="226">
        <f t="shared" si="62"/>
        <v>0</v>
      </c>
      <c r="AA84" s="226">
        <f t="shared" si="62"/>
        <v>10.47</v>
      </c>
      <c r="AB84" s="226">
        <f t="shared" si="62"/>
        <v>0</v>
      </c>
      <c r="AC84" s="226">
        <f t="shared" si="62"/>
        <v>0</v>
      </c>
      <c r="AD84" s="226">
        <f t="shared" si="62"/>
        <v>10.47</v>
      </c>
      <c r="AE84" s="226">
        <f t="shared" si="62"/>
        <v>0</v>
      </c>
      <c r="AF84" s="226">
        <f t="shared" si="62"/>
        <v>0</v>
      </c>
      <c r="AG84" s="227"/>
      <c r="AH84" s="250">
        <f>SUM(C84:AF84)</f>
        <v>113.09399999999999</v>
      </c>
      <c r="AI84" s="154"/>
    </row>
    <row r="85" spans="1:35" s="162" customFormat="1" outlineLevel="2">
      <c r="A85" s="154"/>
      <c r="B85" s="256" t="s">
        <v>828</v>
      </c>
      <c r="C85" s="174">
        <f t="shared" ref="C85:AF85" si="63">C86*C87</f>
        <v>10470</v>
      </c>
      <c r="D85" s="174">
        <f t="shared" si="63"/>
        <v>0</v>
      </c>
      <c r="E85" s="174">
        <f t="shared" si="63"/>
        <v>0</v>
      </c>
      <c r="F85" s="174">
        <f t="shared" si="63"/>
        <v>10470</v>
      </c>
      <c r="G85" s="174">
        <f t="shared" si="63"/>
        <v>0</v>
      </c>
      <c r="H85" s="174">
        <f t="shared" si="63"/>
        <v>0</v>
      </c>
      <c r="I85" s="174">
        <f t="shared" si="63"/>
        <v>10470</v>
      </c>
      <c r="J85" s="174">
        <f t="shared" si="63"/>
        <v>0</v>
      </c>
      <c r="K85" s="174">
        <f t="shared" si="63"/>
        <v>0</v>
      </c>
      <c r="L85" s="174">
        <f t="shared" si="63"/>
        <v>10470</v>
      </c>
      <c r="M85" s="174">
        <f t="shared" si="63"/>
        <v>0</v>
      </c>
      <c r="N85" s="174">
        <f t="shared" si="63"/>
        <v>0</v>
      </c>
      <c r="O85" s="174">
        <f t="shared" si="63"/>
        <v>10470</v>
      </c>
      <c r="P85" s="174">
        <f t="shared" si="63"/>
        <v>0</v>
      </c>
      <c r="Q85" s="174">
        <f t="shared" si="63"/>
        <v>0</v>
      </c>
      <c r="R85" s="174">
        <f t="shared" si="63"/>
        <v>10470</v>
      </c>
      <c r="S85" s="174">
        <f t="shared" si="63"/>
        <v>0</v>
      </c>
      <c r="T85" s="174">
        <f t="shared" si="63"/>
        <v>0</v>
      </c>
      <c r="U85" s="174">
        <f t="shared" si="63"/>
        <v>10470</v>
      </c>
      <c r="V85" s="174">
        <f t="shared" si="63"/>
        <v>0</v>
      </c>
      <c r="W85" s="174">
        <f t="shared" si="63"/>
        <v>0</v>
      </c>
      <c r="X85" s="174">
        <f t="shared" si="63"/>
        <v>10470</v>
      </c>
      <c r="Y85" s="174">
        <f t="shared" si="63"/>
        <v>0</v>
      </c>
      <c r="Z85" s="174">
        <f t="shared" si="63"/>
        <v>0</v>
      </c>
      <c r="AA85" s="174">
        <f t="shared" si="63"/>
        <v>10470</v>
      </c>
      <c r="AB85" s="174">
        <f t="shared" si="63"/>
        <v>0</v>
      </c>
      <c r="AC85" s="174">
        <f t="shared" si="63"/>
        <v>0</v>
      </c>
      <c r="AD85" s="174">
        <f t="shared" si="63"/>
        <v>10470</v>
      </c>
      <c r="AE85" s="174">
        <f t="shared" si="63"/>
        <v>0</v>
      </c>
      <c r="AF85" s="174">
        <f t="shared" si="63"/>
        <v>0</v>
      </c>
      <c r="AG85" s="174"/>
      <c r="AH85" s="161"/>
      <c r="AI85" s="154"/>
    </row>
    <row r="86" spans="1:35" s="162" customFormat="1" outlineLevel="2">
      <c r="A86" s="154"/>
      <c r="B86" s="150" t="s">
        <v>805</v>
      </c>
      <c r="C86" s="172">
        <v>3</v>
      </c>
      <c r="D86" s="172">
        <v>0</v>
      </c>
      <c r="E86" s="172">
        <v>0</v>
      </c>
      <c r="F86" s="172">
        <v>3</v>
      </c>
      <c r="G86" s="172">
        <v>0</v>
      </c>
      <c r="H86" s="172">
        <v>0</v>
      </c>
      <c r="I86" s="172">
        <v>3</v>
      </c>
      <c r="J86" s="172">
        <v>0</v>
      </c>
      <c r="K86" s="172">
        <v>0</v>
      </c>
      <c r="L86" s="172">
        <v>3</v>
      </c>
      <c r="M86" s="172">
        <v>0</v>
      </c>
      <c r="N86" s="172">
        <v>0</v>
      </c>
      <c r="O86" s="172">
        <v>3</v>
      </c>
      <c r="P86" s="172">
        <v>0</v>
      </c>
      <c r="Q86" s="172">
        <v>0</v>
      </c>
      <c r="R86" s="172">
        <v>3</v>
      </c>
      <c r="S86" s="172">
        <v>0</v>
      </c>
      <c r="T86" s="172">
        <v>0</v>
      </c>
      <c r="U86" s="172">
        <v>3</v>
      </c>
      <c r="V86" s="172">
        <v>0</v>
      </c>
      <c r="W86" s="172">
        <v>0</v>
      </c>
      <c r="X86" s="172">
        <v>3</v>
      </c>
      <c r="Y86" s="172">
        <v>0</v>
      </c>
      <c r="Z86" s="172">
        <v>0</v>
      </c>
      <c r="AA86" s="172">
        <v>3</v>
      </c>
      <c r="AB86" s="172">
        <v>0</v>
      </c>
      <c r="AC86" s="172">
        <v>0</v>
      </c>
      <c r="AD86" s="172">
        <v>3</v>
      </c>
      <c r="AE86" s="172">
        <v>0</v>
      </c>
      <c r="AF86" s="172">
        <v>0</v>
      </c>
      <c r="AG86" s="173"/>
      <c r="AH86" s="161"/>
      <c r="AI86" s="154"/>
    </row>
    <row r="87" spans="1:35" s="162" customFormat="1" outlineLevel="2">
      <c r="A87" s="154"/>
      <c r="B87" s="150" t="s">
        <v>807</v>
      </c>
      <c r="C87" s="176">
        <f>Insumos!$E$31</f>
        <v>3490</v>
      </c>
      <c r="D87" s="176">
        <f>C87</f>
        <v>3490</v>
      </c>
      <c r="E87" s="176">
        <f t="shared" ref="E87:AF87" si="64">D87</f>
        <v>3490</v>
      </c>
      <c r="F87" s="176">
        <f t="shared" si="64"/>
        <v>3490</v>
      </c>
      <c r="G87" s="176">
        <f t="shared" si="64"/>
        <v>3490</v>
      </c>
      <c r="H87" s="176">
        <f t="shared" si="64"/>
        <v>3490</v>
      </c>
      <c r="I87" s="176">
        <f t="shared" si="64"/>
        <v>3490</v>
      </c>
      <c r="J87" s="176">
        <f t="shared" si="64"/>
        <v>3490</v>
      </c>
      <c r="K87" s="176">
        <f t="shared" si="64"/>
        <v>3490</v>
      </c>
      <c r="L87" s="176">
        <f t="shared" si="64"/>
        <v>3490</v>
      </c>
      <c r="M87" s="176">
        <f t="shared" si="64"/>
        <v>3490</v>
      </c>
      <c r="N87" s="176">
        <f t="shared" si="64"/>
        <v>3490</v>
      </c>
      <c r="O87" s="176">
        <f t="shared" si="64"/>
        <v>3490</v>
      </c>
      <c r="P87" s="176">
        <f t="shared" si="64"/>
        <v>3490</v>
      </c>
      <c r="Q87" s="176">
        <f t="shared" si="64"/>
        <v>3490</v>
      </c>
      <c r="R87" s="176">
        <f t="shared" si="64"/>
        <v>3490</v>
      </c>
      <c r="S87" s="176">
        <f t="shared" si="64"/>
        <v>3490</v>
      </c>
      <c r="T87" s="176">
        <f t="shared" si="64"/>
        <v>3490</v>
      </c>
      <c r="U87" s="176">
        <f t="shared" si="64"/>
        <v>3490</v>
      </c>
      <c r="V87" s="176">
        <f t="shared" si="64"/>
        <v>3490</v>
      </c>
      <c r="W87" s="176">
        <f t="shared" si="64"/>
        <v>3490</v>
      </c>
      <c r="X87" s="176">
        <f t="shared" si="64"/>
        <v>3490</v>
      </c>
      <c r="Y87" s="176">
        <f t="shared" si="64"/>
        <v>3490</v>
      </c>
      <c r="Z87" s="176">
        <f t="shared" si="64"/>
        <v>3490</v>
      </c>
      <c r="AA87" s="176">
        <f t="shared" si="64"/>
        <v>3490</v>
      </c>
      <c r="AB87" s="176">
        <f t="shared" si="64"/>
        <v>3490</v>
      </c>
      <c r="AC87" s="176">
        <f t="shared" si="64"/>
        <v>3490</v>
      </c>
      <c r="AD87" s="176">
        <f t="shared" si="64"/>
        <v>3490</v>
      </c>
      <c r="AE87" s="176">
        <f t="shared" si="64"/>
        <v>3490</v>
      </c>
      <c r="AF87" s="176">
        <f t="shared" si="64"/>
        <v>3490</v>
      </c>
      <c r="AG87" s="173"/>
      <c r="AH87" s="161"/>
      <c r="AI87" s="154"/>
    </row>
    <row r="88" spans="1:35" s="162" customFormat="1" outlineLevel="2">
      <c r="A88" s="154"/>
      <c r="B88" s="256" t="s">
        <v>829</v>
      </c>
      <c r="C88" s="174">
        <f t="shared" ref="C88:AF88" si="65">C89*C90</f>
        <v>2798</v>
      </c>
      <c r="D88" s="174">
        <f t="shared" si="65"/>
        <v>0</v>
      </c>
      <c r="E88" s="174">
        <f t="shared" si="65"/>
        <v>0</v>
      </c>
      <c r="F88" s="174">
        <f t="shared" si="65"/>
        <v>0</v>
      </c>
      <c r="G88" s="174">
        <f t="shared" si="65"/>
        <v>0</v>
      </c>
      <c r="H88" s="174">
        <f t="shared" si="65"/>
        <v>0</v>
      </c>
      <c r="I88" s="174">
        <f t="shared" si="65"/>
        <v>0</v>
      </c>
      <c r="J88" s="174">
        <f t="shared" si="65"/>
        <v>0</v>
      </c>
      <c r="K88" s="174">
        <f t="shared" si="65"/>
        <v>0</v>
      </c>
      <c r="L88" s="174">
        <f t="shared" si="65"/>
        <v>0</v>
      </c>
      <c r="M88" s="174">
        <f t="shared" si="65"/>
        <v>2798</v>
      </c>
      <c r="N88" s="174">
        <f t="shared" si="65"/>
        <v>0</v>
      </c>
      <c r="O88" s="174">
        <f t="shared" si="65"/>
        <v>0</v>
      </c>
      <c r="P88" s="174">
        <f t="shared" si="65"/>
        <v>0</v>
      </c>
      <c r="Q88" s="174">
        <f t="shared" si="65"/>
        <v>0</v>
      </c>
      <c r="R88" s="174">
        <f t="shared" si="65"/>
        <v>0</v>
      </c>
      <c r="S88" s="174">
        <f t="shared" si="65"/>
        <v>0</v>
      </c>
      <c r="T88" s="174">
        <f t="shared" si="65"/>
        <v>0</v>
      </c>
      <c r="U88" s="174">
        <f t="shared" si="65"/>
        <v>0</v>
      </c>
      <c r="V88" s="174">
        <f t="shared" si="65"/>
        <v>0</v>
      </c>
      <c r="W88" s="174">
        <f t="shared" si="65"/>
        <v>2798</v>
      </c>
      <c r="X88" s="174">
        <f t="shared" si="65"/>
        <v>0</v>
      </c>
      <c r="Y88" s="174">
        <f t="shared" si="65"/>
        <v>0</v>
      </c>
      <c r="Z88" s="174">
        <f t="shared" si="65"/>
        <v>0</v>
      </c>
      <c r="AA88" s="174">
        <f t="shared" si="65"/>
        <v>0</v>
      </c>
      <c r="AB88" s="174">
        <f t="shared" si="65"/>
        <v>0</v>
      </c>
      <c r="AC88" s="174">
        <f t="shared" si="65"/>
        <v>0</v>
      </c>
      <c r="AD88" s="174">
        <f t="shared" si="65"/>
        <v>0</v>
      </c>
      <c r="AE88" s="174">
        <f t="shared" si="65"/>
        <v>0</v>
      </c>
      <c r="AF88" s="174">
        <f t="shared" si="65"/>
        <v>0</v>
      </c>
      <c r="AG88" s="174"/>
      <c r="AH88" s="161"/>
      <c r="AI88" s="154"/>
    </row>
    <row r="89" spans="1:35" s="162" customFormat="1" outlineLevel="2">
      <c r="A89" s="154"/>
      <c r="B89" s="150" t="s">
        <v>805</v>
      </c>
      <c r="C89" s="172">
        <v>2</v>
      </c>
      <c r="D89" s="172">
        <v>0</v>
      </c>
      <c r="E89" s="172">
        <v>0</v>
      </c>
      <c r="F89" s="172">
        <v>0</v>
      </c>
      <c r="G89" s="172">
        <v>0</v>
      </c>
      <c r="H89" s="172">
        <v>0</v>
      </c>
      <c r="I89" s="172">
        <v>0</v>
      </c>
      <c r="J89" s="172">
        <v>0</v>
      </c>
      <c r="K89" s="172">
        <v>0</v>
      </c>
      <c r="L89" s="172">
        <v>0</v>
      </c>
      <c r="M89" s="172">
        <v>2</v>
      </c>
      <c r="N89" s="172">
        <v>0</v>
      </c>
      <c r="O89" s="172">
        <v>0</v>
      </c>
      <c r="P89" s="172">
        <v>0</v>
      </c>
      <c r="Q89" s="172">
        <v>0</v>
      </c>
      <c r="R89" s="172">
        <v>0</v>
      </c>
      <c r="S89" s="172">
        <v>0</v>
      </c>
      <c r="T89" s="172">
        <v>0</v>
      </c>
      <c r="U89" s="172">
        <v>0</v>
      </c>
      <c r="V89" s="172">
        <v>0</v>
      </c>
      <c r="W89" s="172">
        <v>2</v>
      </c>
      <c r="X89" s="172">
        <v>0</v>
      </c>
      <c r="Y89" s="172">
        <v>0</v>
      </c>
      <c r="Z89" s="172">
        <v>0</v>
      </c>
      <c r="AA89" s="172">
        <v>0</v>
      </c>
      <c r="AB89" s="172">
        <v>0</v>
      </c>
      <c r="AC89" s="172">
        <v>0</v>
      </c>
      <c r="AD89" s="172">
        <v>0</v>
      </c>
      <c r="AE89" s="172">
        <v>0</v>
      </c>
      <c r="AF89" s="172">
        <v>0</v>
      </c>
      <c r="AG89" s="173"/>
      <c r="AH89" s="161"/>
      <c r="AI89" s="154"/>
    </row>
    <row r="90" spans="1:35" s="162" customFormat="1" outlineLevel="2">
      <c r="A90" s="154"/>
      <c r="B90" s="150" t="s">
        <v>807</v>
      </c>
      <c r="C90" s="176">
        <f>Insumos!$E$33</f>
        <v>1399</v>
      </c>
      <c r="D90" s="176">
        <f>C90</f>
        <v>1399</v>
      </c>
      <c r="E90" s="176">
        <f t="shared" ref="E90:AF90" si="66">D90</f>
        <v>1399</v>
      </c>
      <c r="F90" s="176">
        <f t="shared" si="66"/>
        <v>1399</v>
      </c>
      <c r="G90" s="176">
        <f t="shared" si="66"/>
        <v>1399</v>
      </c>
      <c r="H90" s="176">
        <f t="shared" si="66"/>
        <v>1399</v>
      </c>
      <c r="I90" s="176">
        <f t="shared" si="66"/>
        <v>1399</v>
      </c>
      <c r="J90" s="176">
        <f t="shared" si="66"/>
        <v>1399</v>
      </c>
      <c r="K90" s="176">
        <f t="shared" si="66"/>
        <v>1399</v>
      </c>
      <c r="L90" s="176">
        <f t="shared" si="66"/>
        <v>1399</v>
      </c>
      <c r="M90" s="176">
        <f t="shared" si="66"/>
        <v>1399</v>
      </c>
      <c r="N90" s="176">
        <f t="shared" si="66"/>
        <v>1399</v>
      </c>
      <c r="O90" s="176">
        <f t="shared" si="66"/>
        <v>1399</v>
      </c>
      <c r="P90" s="176">
        <f t="shared" si="66"/>
        <v>1399</v>
      </c>
      <c r="Q90" s="176">
        <f t="shared" si="66"/>
        <v>1399</v>
      </c>
      <c r="R90" s="176">
        <f t="shared" si="66"/>
        <v>1399</v>
      </c>
      <c r="S90" s="176">
        <f t="shared" si="66"/>
        <v>1399</v>
      </c>
      <c r="T90" s="176">
        <f t="shared" si="66"/>
        <v>1399</v>
      </c>
      <c r="U90" s="176">
        <f t="shared" si="66"/>
        <v>1399</v>
      </c>
      <c r="V90" s="176">
        <f t="shared" si="66"/>
        <v>1399</v>
      </c>
      <c r="W90" s="176">
        <f t="shared" si="66"/>
        <v>1399</v>
      </c>
      <c r="X90" s="176">
        <f t="shared" si="66"/>
        <v>1399</v>
      </c>
      <c r="Y90" s="176">
        <f t="shared" si="66"/>
        <v>1399</v>
      </c>
      <c r="Z90" s="176">
        <f t="shared" si="66"/>
        <v>1399</v>
      </c>
      <c r="AA90" s="176">
        <f t="shared" si="66"/>
        <v>1399</v>
      </c>
      <c r="AB90" s="176">
        <f t="shared" si="66"/>
        <v>1399</v>
      </c>
      <c r="AC90" s="176">
        <f t="shared" si="66"/>
        <v>1399</v>
      </c>
      <c r="AD90" s="176">
        <f t="shared" si="66"/>
        <v>1399</v>
      </c>
      <c r="AE90" s="176">
        <f t="shared" si="66"/>
        <v>1399</v>
      </c>
      <c r="AF90" s="176">
        <f t="shared" si="66"/>
        <v>1399</v>
      </c>
      <c r="AG90" s="176"/>
      <c r="AH90" s="161"/>
      <c r="AI90" s="154"/>
    </row>
    <row r="91" spans="1:35" s="162" customFormat="1">
      <c r="A91" s="154"/>
      <c r="B91" s="150"/>
      <c r="C91" s="187"/>
      <c r="D91" s="187"/>
      <c r="E91" s="187"/>
      <c r="F91" s="187"/>
      <c r="G91" s="187"/>
      <c r="H91" s="187"/>
      <c r="I91" s="187"/>
      <c r="J91" s="187"/>
      <c r="K91" s="187"/>
      <c r="L91" s="187"/>
      <c r="M91" s="187"/>
      <c r="N91" s="187"/>
      <c r="O91" s="187"/>
      <c r="P91" s="187"/>
      <c r="Q91" s="187"/>
      <c r="R91" s="187"/>
      <c r="S91" s="187"/>
      <c r="T91" s="187"/>
      <c r="U91" s="187"/>
      <c r="V91" s="187"/>
      <c r="W91" s="187"/>
      <c r="X91" s="187"/>
      <c r="Y91" s="187"/>
      <c r="Z91" s="187"/>
      <c r="AA91" s="187"/>
      <c r="AB91" s="187"/>
      <c r="AC91" s="187"/>
      <c r="AD91" s="187"/>
      <c r="AE91" s="187"/>
      <c r="AF91" s="187"/>
      <c r="AG91" s="173"/>
      <c r="AH91" s="161"/>
      <c r="AI91" s="154"/>
    </row>
    <row r="92" spans="1:35" ht="16.5" customHeight="1">
      <c r="A92" s="154"/>
      <c r="B92" s="453" t="s">
        <v>830</v>
      </c>
      <c r="C92" s="454">
        <f t="shared" ref="C92:AF92" si="67">SUM(C93,C100)</f>
        <v>455.72200000000004</v>
      </c>
      <c r="D92" s="454">
        <f t="shared" si="67"/>
        <v>0</v>
      </c>
      <c r="E92" s="454">
        <f t="shared" si="67"/>
        <v>0</v>
      </c>
      <c r="F92" s="454">
        <f t="shared" si="67"/>
        <v>48.86</v>
      </c>
      <c r="G92" s="454">
        <f t="shared" si="67"/>
        <v>0</v>
      </c>
      <c r="H92" s="454">
        <f t="shared" si="67"/>
        <v>0</v>
      </c>
      <c r="I92" s="454">
        <f t="shared" si="67"/>
        <v>48.86</v>
      </c>
      <c r="J92" s="454">
        <f t="shared" si="67"/>
        <v>0</v>
      </c>
      <c r="K92" s="454">
        <f t="shared" si="67"/>
        <v>0</v>
      </c>
      <c r="L92" s="454">
        <f t="shared" si="67"/>
        <v>48.86</v>
      </c>
      <c r="M92" s="454">
        <f t="shared" si="67"/>
        <v>406.86200000000002</v>
      </c>
      <c r="N92" s="454">
        <f t="shared" si="67"/>
        <v>0</v>
      </c>
      <c r="O92" s="454">
        <f t="shared" si="67"/>
        <v>48.86</v>
      </c>
      <c r="P92" s="454">
        <f t="shared" si="67"/>
        <v>0</v>
      </c>
      <c r="Q92" s="454">
        <f t="shared" si="67"/>
        <v>0</v>
      </c>
      <c r="R92" s="454">
        <f t="shared" si="67"/>
        <v>48.86</v>
      </c>
      <c r="S92" s="454">
        <f t="shared" si="67"/>
        <v>0</v>
      </c>
      <c r="T92" s="454">
        <f t="shared" si="67"/>
        <v>0</v>
      </c>
      <c r="U92" s="454">
        <f t="shared" si="67"/>
        <v>48.86</v>
      </c>
      <c r="V92" s="454">
        <f t="shared" si="67"/>
        <v>0</v>
      </c>
      <c r="W92" s="454">
        <f t="shared" si="67"/>
        <v>406.86200000000002</v>
      </c>
      <c r="X92" s="454">
        <f t="shared" si="67"/>
        <v>48.86</v>
      </c>
      <c r="Y92" s="454">
        <f t="shared" si="67"/>
        <v>0</v>
      </c>
      <c r="Z92" s="454">
        <f t="shared" si="67"/>
        <v>0</v>
      </c>
      <c r="AA92" s="454">
        <f t="shared" si="67"/>
        <v>48.86</v>
      </c>
      <c r="AB92" s="454">
        <f t="shared" si="67"/>
        <v>0</v>
      </c>
      <c r="AC92" s="454">
        <f t="shared" si="67"/>
        <v>0</v>
      </c>
      <c r="AD92" s="454">
        <f t="shared" si="67"/>
        <v>48.86</v>
      </c>
      <c r="AE92" s="454">
        <f t="shared" si="67"/>
        <v>0</v>
      </c>
      <c r="AF92" s="454">
        <f t="shared" si="67"/>
        <v>0</v>
      </c>
      <c r="AG92" s="169"/>
      <c r="AH92" s="455">
        <f>SUM(C92:AF92)</f>
        <v>1709.1859999999995</v>
      </c>
      <c r="AI92" s="152" t="s">
        <v>803</v>
      </c>
    </row>
    <row r="93" spans="1:35" s="162" customFormat="1" ht="16.5" customHeight="1" outlineLevel="1">
      <c r="A93" s="154"/>
      <c r="B93" s="225" t="s">
        <v>297</v>
      </c>
      <c r="C93" s="226">
        <f>SUM(C94,C97)/10^3</f>
        <v>402.66500000000002</v>
      </c>
      <c r="D93" s="226">
        <f t="shared" ref="D93:AF93" si="68">SUM(D94,D97)/10^3</f>
        <v>0</v>
      </c>
      <c r="E93" s="226">
        <f t="shared" si="68"/>
        <v>0</v>
      </c>
      <c r="F93" s="226">
        <f t="shared" si="68"/>
        <v>0</v>
      </c>
      <c r="G93" s="226">
        <f t="shared" si="68"/>
        <v>0</v>
      </c>
      <c r="H93" s="226">
        <f t="shared" si="68"/>
        <v>0</v>
      </c>
      <c r="I93" s="226">
        <f t="shared" si="68"/>
        <v>0</v>
      </c>
      <c r="J93" s="226">
        <f t="shared" si="68"/>
        <v>0</v>
      </c>
      <c r="K93" s="226">
        <f t="shared" si="68"/>
        <v>0</v>
      </c>
      <c r="L93" s="226">
        <f t="shared" si="68"/>
        <v>0</v>
      </c>
      <c r="M93" s="226">
        <f t="shared" si="68"/>
        <v>402.66500000000002</v>
      </c>
      <c r="N93" s="226">
        <f t="shared" si="68"/>
        <v>0</v>
      </c>
      <c r="O93" s="226">
        <f t="shared" si="68"/>
        <v>0</v>
      </c>
      <c r="P93" s="226">
        <f t="shared" si="68"/>
        <v>0</v>
      </c>
      <c r="Q93" s="226">
        <f t="shared" si="68"/>
        <v>0</v>
      </c>
      <c r="R93" s="226">
        <f t="shared" si="68"/>
        <v>0</v>
      </c>
      <c r="S93" s="226">
        <f t="shared" si="68"/>
        <v>0</v>
      </c>
      <c r="T93" s="226">
        <f t="shared" si="68"/>
        <v>0</v>
      </c>
      <c r="U93" s="226">
        <f t="shared" si="68"/>
        <v>0</v>
      </c>
      <c r="V93" s="226">
        <f t="shared" si="68"/>
        <v>0</v>
      </c>
      <c r="W93" s="226">
        <f t="shared" si="68"/>
        <v>402.66500000000002</v>
      </c>
      <c r="X93" s="226">
        <f t="shared" si="68"/>
        <v>0</v>
      </c>
      <c r="Y93" s="226">
        <f t="shared" si="68"/>
        <v>0</v>
      </c>
      <c r="Z93" s="226">
        <f t="shared" si="68"/>
        <v>0</v>
      </c>
      <c r="AA93" s="226">
        <f t="shared" si="68"/>
        <v>0</v>
      </c>
      <c r="AB93" s="226">
        <f t="shared" si="68"/>
        <v>0</v>
      </c>
      <c r="AC93" s="226">
        <f t="shared" si="68"/>
        <v>0</v>
      </c>
      <c r="AD93" s="226">
        <f t="shared" si="68"/>
        <v>0</v>
      </c>
      <c r="AE93" s="226">
        <f t="shared" si="68"/>
        <v>0</v>
      </c>
      <c r="AF93" s="226">
        <f t="shared" si="68"/>
        <v>0</v>
      </c>
      <c r="AG93" s="227"/>
      <c r="AH93" s="250">
        <f>SUM(C93:AF93)</f>
        <v>1207.9950000000001</v>
      </c>
      <c r="AI93" s="154"/>
    </row>
    <row r="94" spans="1:35" s="162" customFormat="1" ht="16.5" customHeight="1" outlineLevel="2">
      <c r="A94" s="154"/>
      <c r="B94" s="608" t="str">
        <f>B78</f>
        <v>Van Minibus</v>
      </c>
      <c r="C94" s="174">
        <f t="shared" ref="C94:AF94" si="69">C95*C96</f>
        <v>399900</v>
      </c>
      <c r="D94" s="174">
        <f t="shared" si="69"/>
        <v>0</v>
      </c>
      <c r="E94" s="174">
        <f t="shared" si="69"/>
        <v>0</v>
      </c>
      <c r="F94" s="174">
        <f t="shared" si="69"/>
        <v>0</v>
      </c>
      <c r="G94" s="174">
        <f t="shared" si="69"/>
        <v>0</v>
      </c>
      <c r="H94" s="174">
        <f t="shared" si="69"/>
        <v>0</v>
      </c>
      <c r="I94" s="174">
        <f t="shared" si="69"/>
        <v>0</v>
      </c>
      <c r="J94" s="174">
        <f t="shared" si="69"/>
        <v>0</v>
      </c>
      <c r="K94" s="174">
        <f t="shared" si="69"/>
        <v>0</v>
      </c>
      <c r="L94" s="174">
        <f t="shared" si="69"/>
        <v>0</v>
      </c>
      <c r="M94" s="174">
        <f t="shared" si="69"/>
        <v>399900</v>
      </c>
      <c r="N94" s="174">
        <f t="shared" si="69"/>
        <v>0</v>
      </c>
      <c r="O94" s="174">
        <f t="shared" si="69"/>
        <v>0</v>
      </c>
      <c r="P94" s="174">
        <f t="shared" si="69"/>
        <v>0</v>
      </c>
      <c r="Q94" s="174">
        <f t="shared" si="69"/>
        <v>0</v>
      </c>
      <c r="R94" s="174">
        <f t="shared" si="69"/>
        <v>0</v>
      </c>
      <c r="S94" s="174">
        <f t="shared" si="69"/>
        <v>0</v>
      </c>
      <c r="T94" s="174">
        <f t="shared" si="69"/>
        <v>0</v>
      </c>
      <c r="U94" s="174">
        <f t="shared" si="69"/>
        <v>0</v>
      </c>
      <c r="V94" s="174">
        <f t="shared" si="69"/>
        <v>0</v>
      </c>
      <c r="W94" s="174">
        <f t="shared" si="69"/>
        <v>399900</v>
      </c>
      <c r="X94" s="174">
        <f t="shared" si="69"/>
        <v>0</v>
      </c>
      <c r="Y94" s="174">
        <f t="shared" si="69"/>
        <v>0</v>
      </c>
      <c r="Z94" s="174">
        <f t="shared" si="69"/>
        <v>0</v>
      </c>
      <c r="AA94" s="174">
        <f t="shared" si="69"/>
        <v>0</v>
      </c>
      <c r="AB94" s="174">
        <f t="shared" si="69"/>
        <v>0</v>
      </c>
      <c r="AC94" s="174">
        <f t="shared" si="69"/>
        <v>0</v>
      </c>
      <c r="AD94" s="174">
        <f t="shared" si="69"/>
        <v>0</v>
      </c>
      <c r="AE94" s="174">
        <f t="shared" si="69"/>
        <v>0</v>
      </c>
      <c r="AF94" s="174">
        <f t="shared" si="69"/>
        <v>0</v>
      </c>
      <c r="AG94" s="174"/>
      <c r="AH94" s="161"/>
      <c r="AI94" s="154"/>
    </row>
    <row r="95" spans="1:35" s="162" customFormat="1" ht="16.5" customHeight="1" outlineLevel="2">
      <c r="A95" s="154"/>
      <c r="B95" s="585" t="s">
        <v>805</v>
      </c>
      <c r="C95" s="172">
        <v>1</v>
      </c>
      <c r="D95" s="172">
        <v>0</v>
      </c>
      <c r="E95" s="172">
        <v>0</v>
      </c>
      <c r="F95" s="172">
        <v>0</v>
      </c>
      <c r="G95" s="172">
        <v>0</v>
      </c>
      <c r="H95" s="172">
        <v>0</v>
      </c>
      <c r="I95" s="172">
        <v>0</v>
      </c>
      <c r="J95" s="172">
        <v>0</v>
      </c>
      <c r="K95" s="172">
        <v>0</v>
      </c>
      <c r="L95" s="172">
        <v>0</v>
      </c>
      <c r="M95" s="172">
        <v>1</v>
      </c>
      <c r="N95" s="172">
        <v>0</v>
      </c>
      <c r="O95" s="172">
        <v>0</v>
      </c>
      <c r="P95" s="172">
        <v>0</v>
      </c>
      <c r="Q95" s="172">
        <v>0</v>
      </c>
      <c r="R95" s="172">
        <v>0</v>
      </c>
      <c r="S95" s="172">
        <v>0</v>
      </c>
      <c r="T95" s="172">
        <v>0</v>
      </c>
      <c r="U95" s="172">
        <v>0</v>
      </c>
      <c r="V95" s="172">
        <v>0</v>
      </c>
      <c r="W95" s="172">
        <v>1</v>
      </c>
      <c r="X95" s="172">
        <v>0</v>
      </c>
      <c r="Y95" s="172">
        <v>0</v>
      </c>
      <c r="Z95" s="172">
        <v>0</v>
      </c>
      <c r="AA95" s="172">
        <v>0</v>
      </c>
      <c r="AB95" s="172">
        <v>0</v>
      </c>
      <c r="AC95" s="172">
        <v>0</v>
      </c>
      <c r="AD95" s="172">
        <v>0</v>
      </c>
      <c r="AE95" s="172">
        <v>0</v>
      </c>
      <c r="AF95" s="172">
        <v>0</v>
      </c>
      <c r="AG95" s="175"/>
      <c r="AH95" s="161"/>
      <c r="AI95" s="154"/>
    </row>
    <row r="96" spans="1:35" s="162" customFormat="1" ht="16.5" customHeight="1" outlineLevel="2">
      <c r="A96" s="154"/>
      <c r="B96" s="585" t="s">
        <v>807</v>
      </c>
      <c r="C96" s="176">
        <f>Insumos!$E$25</f>
        <v>399900</v>
      </c>
      <c r="D96" s="176">
        <f>C96</f>
        <v>399900</v>
      </c>
      <c r="E96" s="176">
        <f t="shared" ref="E96:AF96" si="70">D96</f>
        <v>399900</v>
      </c>
      <c r="F96" s="176">
        <f t="shared" si="70"/>
        <v>399900</v>
      </c>
      <c r="G96" s="176">
        <f t="shared" si="70"/>
        <v>399900</v>
      </c>
      <c r="H96" s="176">
        <f t="shared" si="70"/>
        <v>399900</v>
      </c>
      <c r="I96" s="176">
        <f t="shared" si="70"/>
        <v>399900</v>
      </c>
      <c r="J96" s="176">
        <f t="shared" si="70"/>
        <v>399900</v>
      </c>
      <c r="K96" s="176">
        <f t="shared" si="70"/>
        <v>399900</v>
      </c>
      <c r="L96" s="176">
        <f t="shared" si="70"/>
        <v>399900</v>
      </c>
      <c r="M96" s="176">
        <f t="shared" si="70"/>
        <v>399900</v>
      </c>
      <c r="N96" s="176">
        <f t="shared" si="70"/>
        <v>399900</v>
      </c>
      <c r="O96" s="176">
        <f t="shared" si="70"/>
        <v>399900</v>
      </c>
      <c r="P96" s="176">
        <f t="shared" si="70"/>
        <v>399900</v>
      </c>
      <c r="Q96" s="176">
        <f t="shared" si="70"/>
        <v>399900</v>
      </c>
      <c r="R96" s="176">
        <f t="shared" si="70"/>
        <v>399900</v>
      </c>
      <c r="S96" s="176">
        <f t="shared" si="70"/>
        <v>399900</v>
      </c>
      <c r="T96" s="176">
        <f t="shared" si="70"/>
        <v>399900</v>
      </c>
      <c r="U96" s="176">
        <f t="shared" si="70"/>
        <v>399900</v>
      </c>
      <c r="V96" s="176">
        <f t="shared" si="70"/>
        <v>399900</v>
      </c>
      <c r="W96" s="176">
        <f t="shared" si="70"/>
        <v>399900</v>
      </c>
      <c r="X96" s="176">
        <f t="shared" si="70"/>
        <v>399900</v>
      </c>
      <c r="Y96" s="176">
        <f t="shared" si="70"/>
        <v>399900</v>
      </c>
      <c r="Z96" s="176">
        <f t="shared" si="70"/>
        <v>399900</v>
      </c>
      <c r="AA96" s="176">
        <f t="shared" si="70"/>
        <v>399900</v>
      </c>
      <c r="AB96" s="176">
        <f t="shared" si="70"/>
        <v>399900</v>
      </c>
      <c r="AC96" s="176">
        <f t="shared" si="70"/>
        <v>399900</v>
      </c>
      <c r="AD96" s="176">
        <f t="shared" si="70"/>
        <v>399900</v>
      </c>
      <c r="AE96" s="176">
        <f t="shared" si="70"/>
        <v>399900</v>
      </c>
      <c r="AF96" s="176">
        <f t="shared" si="70"/>
        <v>399900</v>
      </c>
      <c r="AG96" s="173"/>
      <c r="AH96" s="161"/>
      <c r="AI96" s="154"/>
    </row>
    <row r="97" spans="1:35" s="162" customFormat="1" ht="16.5" customHeight="1" outlineLevel="2">
      <c r="A97" s="154"/>
      <c r="B97" s="551" t="s">
        <v>827</v>
      </c>
      <c r="C97" s="174">
        <f t="shared" ref="C97:AF97" si="71">C98*C99</f>
        <v>2765</v>
      </c>
      <c r="D97" s="174">
        <f t="shared" si="71"/>
        <v>0</v>
      </c>
      <c r="E97" s="174">
        <f t="shared" si="71"/>
        <v>0</v>
      </c>
      <c r="F97" s="174">
        <f t="shared" si="71"/>
        <v>0</v>
      </c>
      <c r="G97" s="174">
        <f t="shared" si="71"/>
        <v>0</v>
      </c>
      <c r="H97" s="174">
        <f t="shared" si="71"/>
        <v>0</v>
      </c>
      <c r="I97" s="174">
        <f t="shared" si="71"/>
        <v>0</v>
      </c>
      <c r="J97" s="174">
        <f t="shared" si="71"/>
        <v>0</v>
      </c>
      <c r="K97" s="174">
        <f t="shared" si="71"/>
        <v>0</v>
      </c>
      <c r="L97" s="174">
        <f t="shared" si="71"/>
        <v>0</v>
      </c>
      <c r="M97" s="174">
        <f t="shared" si="71"/>
        <v>2765</v>
      </c>
      <c r="N97" s="174">
        <f t="shared" si="71"/>
        <v>0</v>
      </c>
      <c r="O97" s="174">
        <f t="shared" si="71"/>
        <v>0</v>
      </c>
      <c r="P97" s="174">
        <f t="shared" si="71"/>
        <v>0</v>
      </c>
      <c r="Q97" s="174">
        <f t="shared" si="71"/>
        <v>0</v>
      </c>
      <c r="R97" s="174">
        <f t="shared" si="71"/>
        <v>0</v>
      </c>
      <c r="S97" s="174">
        <f t="shared" si="71"/>
        <v>0</v>
      </c>
      <c r="T97" s="174">
        <f t="shared" si="71"/>
        <v>0</v>
      </c>
      <c r="U97" s="174">
        <f t="shared" si="71"/>
        <v>0</v>
      </c>
      <c r="V97" s="174">
        <f t="shared" si="71"/>
        <v>0</v>
      </c>
      <c r="W97" s="174">
        <f t="shared" si="71"/>
        <v>2765</v>
      </c>
      <c r="X97" s="174">
        <f t="shared" si="71"/>
        <v>0</v>
      </c>
      <c r="Y97" s="174">
        <f t="shared" si="71"/>
        <v>0</v>
      </c>
      <c r="Z97" s="174">
        <f t="shared" si="71"/>
        <v>0</v>
      </c>
      <c r="AA97" s="174">
        <f t="shared" si="71"/>
        <v>0</v>
      </c>
      <c r="AB97" s="174">
        <f t="shared" si="71"/>
        <v>0</v>
      </c>
      <c r="AC97" s="174">
        <f t="shared" si="71"/>
        <v>0</v>
      </c>
      <c r="AD97" s="174">
        <f t="shared" si="71"/>
        <v>0</v>
      </c>
      <c r="AE97" s="174">
        <f t="shared" si="71"/>
        <v>0</v>
      </c>
      <c r="AF97" s="174">
        <f t="shared" si="71"/>
        <v>0</v>
      </c>
      <c r="AG97" s="174"/>
      <c r="AH97" s="161"/>
      <c r="AI97" s="154"/>
    </row>
    <row r="98" spans="1:35" s="162" customFormat="1" ht="16.5" customHeight="1" outlineLevel="2">
      <c r="A98" s="154"/>
      <c r="B98" s="585" t="s">
        <v>805</v>
      </c>
      <c r="C98" s="172">
        <f>C95</f>
        <v>1</v>
      </c>
      <c r="D98" s="172">
        <f t="shared" ref="D98:AF98" si="72">D95</f>
        <v>0</v>
      </c>
      <c r="E98" s="172">
        <f t="shared" si="72"/>
        <v>0</v>
      </c>
      <c r="F98" s="172">
        <f t="shared" si="72"/>
        <v>0</v>
      </c>
      <c r="G98" s="172">
        <f t="shared" si="72"/>
        <v>0</v>
      </c>
      <c r="H98" s="172">
        <f t="shared" si="72"/>
        <v>0</v>
      </c>
      <c r="I98" s="172">
        <f t="shared" si="72"/>
        <v>0</v>
      </c>
      <c r="J98" s="172">
        <f t="shared" si="72"/>
        <v>0</v>
      </c>
      <c r="K98" s="172">
        <f t="shared" si="72"/>
        <v>0</v>
      </c>
      <c r="L98" s="172">
        <f t="shared" si="72"/>
        <v>0</v>
      </c>
      <c r="M98" s="172">
        <f t="shared" si="72"/>
        <v>1</v>
      </c>
      <c r="N98" s="172">
        <f t="shared" si="72"/>
        <v>0</v>
      </c>
      <c r="O98" s="172">
        <f t="shared" si="72"/>
        <v>0</v>
      </c>
      <c r="P98" s="172">
        <f t="shared" si="72"/>
        <v>0</v>
      </c>
      <c r="Q98" s="172">
        <f t="shared" si="72"/>
        <v>0</v>
      </c>
      <c r="R98" s="172">
        <f t="shared" si="72"/>
        <v>0</v>
      </c>
      <c r="S98" s="172">
        <f t="shared" si="72"/>
        <v>0</v>
      </c>
      <c r="T98" s="172">
        <f t="shared" si="72"/>
        <v>0</v>
      </c>
      <c r="U98" s="172">
        <f t="shared" si="72"/>
        <v>0</v>
      </c>
      <c r="V98" s="172">
        <f t="shared" si="72"/>
        <v>0</v>
      </c>
      <c r="W98" s="172">
        <f t="shared" si="72"/>
        <v>1</v>
      </c>
      <c r="X98" s="172">
        <f t="shared" si="72"/>
        <v>0</v>
      </c>
      <c r="Y98" s="172">
        <f t="shared" si="72"/>
        <v>0</v>
      </c>
      <c r="Z98" s="172">
        <f t="shared" si="72"/>
        <v>0</v>
      </c>
      <c r="AA98" s="172">
        <f t="shared" si="72"/>
        <v>0</v>
      </c>
      <c r="AB98" s="172">
        <f t="shared" si="72"/>
        <v>0</v>
      </c>
      <c r="AC98" s="172">
        <f t="shared" si="72"/>
        <v>0</v>
      </c>
      <c r="AD98" s="172">
        <f t="shared" si="72"/>
        <v>0</v>
      </c>
      <c r="AE98" s="172">
        <f t="shared" si="72"/>
        <v>0</v>
      </c>
      <c r="AF98" s="172">
        <f t="shared" si="72"/>
        <v>0</v>
      </c>
      <c r="AG98" s="175"/>
      <c r="AH98" s="161"/>
      <c r="AI98" s="154"/>
    </row>
    <row r="99" spans="1:35" s="162" customFormat="1" ht="16.5" customHeight="1" outlineLevel="2">
      <c r="A99" s="154"/>
      <c r="B99" s="585" t="s">
        <v>807</v>
      </c>
      <c r="C99" s="174">
        <f>Insumos!$E$10</f>
        <v>2765</v>
      </c>
      <c r="D99" s="176">
        <f>C99</f>
        <v>2765</v>
      </c>
      <c r="E99" s="176">
        <f t="shared" ref="E99:AF99" si="73">D99</f>
        <v>2765</v>
      </c>
      <c r="F99" s="176">
        <f t="shared" si="73"/>
        <v>2765</v>
      </c>
      <c r="G99" s="176">
        <f t="shared" si="73"/>
        <v>2765</v>
      </c>
      <c r="H99" s="176">
        <f t="shared" si="73"/>
        <v>2765</v>
      </c>
      <c r="I99" s="176">
        <f t="shared" si="73"/>
        <v>2765</v>
      </c>
      <c r="J99" s="176">
        <f t="shared" si="73"/>
        <v>2765</v>
      </c>
      <c r="K99" s="176">
        <f t="shared" si="73"/>
        <v>2765</v>
      </c>
      <c r="L99" s="176">
        <f t="shared" si="73"/>
        <v>2765</v>
      </c>
      <c r="M99" s="176">
        <f t="shared" si="73"/>
        <v>2765</v>
      </c>
      <c r="N99" s="176">
        <f t="shared" si="73"/>
        <v>2765</v>
      </c>
      <c r="O99" s="176">
        <f t="shared" si="73"/>
        <v>2765</v>
      </c>
      <c r="P99" s="176">
        <f t="shared" si="73"/>
        <v>2765</v>
      </c>
      <c r="Q99" s="176">
        <f t="shared" si="73"/>
        <v>2765</v>
      </c>
      <c r="R99" s="176">
        <f t="shared" si="73"/>
        <v>2765</v>
      </c>
      <c r="S99" s="176">
        <f t="shared" si="73"/>
        <v>2765</v>
      </c>
      <c r="T99" s="176">
        <f t="shared" si="73"/>
        <v>2765</v>
      </c>
      <c r="U99" s="176">
        <f t="shared" si="73"/>
        <v>2765</v>
      </c>
      <c r="V99" s="176">
        <f t="shared" si="73"/>
        <v>2765</v>
      </c>
      <c r="W99" s="176">
        <f t="shared" si="73"/>
        <v>2765</v>
      </c>
      <c r="X99" s="176">
        <f t="shared" si="73"/>
        <v>2765</v>
      </c>
      <c r="Y99" s="176">
        <f t="shared" si="73"/>
        <v>2765</v>
      </c>
      <c r="Z99" s="176">
        <f t="shared" si="73"/>
        <v>2765</v>
      </c>
      <c r="AA99" s="176">
        <f t="shared" si="73"/>
        <v>2765</v>
      </c>
      <c r="AB99" s="176">
        <f t="shared" si="73"/>
        <v>2765</v>
      </c>
      <c r="AC99" s="176">
        <f t="shared" si="73"/>
        <v>2765</v>
      </c>
      <c r="AD99" s="176">
        <f t="shared" si="73"/>
        <v>2765</v>
      </c>
      <c r="AE99" s="176">
        <f t="shared" si="73"/>
        <v>2765</v>
      </c>
      <c r="AF99" s="176">
        <f t="shared" si="73"/>
        <v>2765</v>
      </c>
      <c r="AG99" s="173"/>
      <c r="AH99" s="161"/>
      <c r="AI99" s="154"/>
    </row>
    <row r="100" spans="1:35" s="162" customFormat="1" ht="16.5" customHeight="1" outlineLevel="1">
      <c r="A100" s="154"/>
      <c r="B100" s="709" t="s">
        <v>298</v>
      </c>
      <c r="C100" s="226">
        <f>(C101+C104)/10^3</f>
        <v>53.057000000000002</v>
      </c>
      <c r="D100" s="226">
        <f t="shared" ref="D100:AF100" si="74">(D101+D104)/10^3</f>
        <v>0</v>
      </c>
      <c r="E100" s="226">
        <f t="shared" si="74"/>
        <v>0</v>
      </c>
      <c r="F100" s="226">
        <f t="shared" si="74"/>
        <v>48.86</v>
      </c>
      <c r="G100" s="226">
        <f t="shared" si="74"/>
        <v>0</v>
      </c>
      <c r="H100" s="226">
        <f t="shared" si="74"/>
        <v>0</v>
      </c>
      <c r="I100" s="226">
        <f t="shared" si="74"/>
        <v>48.86</v>
      </c>
      <c r="J100" s="226">
        <f t="shared" si="74"/>
        <v>0</v>
      </c>
      <c r="K100" s="226">
        <f t="shared" si="74"/>
        <v>0</v>
      </c>
      <c r="L100" s="226">
        <f t="shared" si="74"/>
        <v>48.86</v>
      </c>
      <c r="M100" s="226">
        <f t="shared" si="74"/>
        <v>4.1970000000000001</v>
      </c>
      <c r="N100" s="226">
        <f t="shared" si="74"/>
        <v>0</v>
      </c>
      <c r="O100" s="226">
        <f t="shared" si="74"/>
        <v>48.86</v>
      </c>
      <c r="P100" s="226">
        <f t="shared" si="74"/>
        <v>0</v>
      </c>
      <c r="Q100" s="226">
        <f t="shared" si="74"/>
        <v>0</v>
      </c>
      <c r="R100" s="226">
        <f t="shared" si="74"/>
        <v>48.86</v>
      </c>
      <c r="S100" s="226">
        <f t="shared" si="74"/>
        <v>0</v>
      </c>
      <c r="T100" s="226">
        <f t="shared" si="74"/>
        <v>0</v>
      </c>
      <c r="U100" s="226">
        <f t="shared" si="74"/>
        <v>48.86</v>
      </c>
      <c r="V100" s="226">
        <f t="shared" si="74"/>
        <v>0</v>
      </c>
      <c r="W100" s="226">
        <f t="shared" si="74"/>
        <v>4.1970000000000001</v>
      </c>
      <c r="X100" s="226">
        <f t="shared" si="74"/>
        <v>48.86</v>
      </c>
      <c r="Y100" s="226">
        <f t="shared" si="74"/>
        <v>0</v>
      </c>
      <c r="Z100" s="226">
        <f t="shared" si="74"/>
        <v>0</v>
      </c>
      <c r="AA100" s="226">
        <f t="shared" si="74"/>
        <v>48.86</v>
      </c>
      <c r="AB100" s="226">
        <f t="shared" si="74"/>
        <v>0</v>
      </c>
      <c r="AC100" s="226">
        <f t="shared" si="74"/>
        <v>0</v>
      </c>
      <c r="AD100" s="226">
        <f t="shared" si="74"/>
        <v>48.86</v>
      </c>
      <c r="AE100" s="226">
        <f t="shared" si="74"/>
        <v>0</v>
      </c>
      <c r="AF100" s="226">
        <f t="shared" si="74"/>
        <v>0</v>
      </c>
      <c r="AG100" s="227"/>
      <c r="AH100" s="250">
        <f>SUM(C100:AF100)</f>
        <v>501.19100000000009</v>
      </c>
      <c r="AI100" s="154"/>
    </row>
    <row r="101" spans="1:35" s="162" customFormat="1" ht="16.5" customHeight="1" outlineLevel="2">
      <c r="A101" s="154"/>
      <c r="B101" s="608" t="s">
        <v>828</v>
      </c>
      <c r="C101" s="174">
        <f t="shared" ref="C101:AF101" si="75">C102*C103</f>
        <v>48860</v>
      </c>
      <c r="D101" s="174">
        <f t="shared" si="75"/>
        <v>0</v>
      </c>
      <c r="E101" s="174">
        <f t="shared" si="75"/>
        <v>0</v>
      </c>
      <c r="F101" s="174">
        <f t="shared" si="75"/>
        <v>48860</v>
      </c>
      <c r="G101" s="174">
        <f t="shared" si="75"/>
        <v>0</v>
      </c>
      <c r="H101" s="174">
        <f t="shared" si="75"/>
        <v>0</v>
      </c>
      <c r="I101" s="174">
        <f t="shared" si="75"/>
        <v>48860</v>
      </c>
      <c r="J101" s="174">
        <f t="shared" si="75"/>
        <v>0</v>
      </c>
      <c r="K101" s="174">
        <f t="shared" si="75"/>
        <v>0</v>
      </c>
      <c r="L101" s="174">
        <f t="shared" si="75"/>
        <v>48860</v>
      </c>
      <c r="M101" s="174">
        <f t="shared" si="75"/>
        <v>0</v>
      </c>
      <c r="N101" s="174">
        <f t="shared" si="75"/>
        <v>0</v>
      </c>
      <c r="O101" s="174">
        <f t="shared" si="75"/>
        <v>48860</v>
      </c>
      <c r="P101" s="174">
        <f t="shared" si="75"/>
        <v>0</v>
      </c>
      <c r="Q101" s="174">
        <f t="shared" si="75"/>
        <v>0</v>
      </c>
      <c r="R101" s="174">
        <f t="shared" si="75"/>
        <v>48860</v>
      </c>
      <c r="S101" s="174">
        <f t="shared" si="75"/>
        <v>0</v>
      </c>
      <c r="T101" s="174">
        <f t="shared" si="75"/>
        <v>0</v>
      </c>
      <c r="U101" s="174">
        <f t="shared" si="75"/>
        <v>48860</v>
      </c>
      <c r="V101" s="174">
        <f t="shared" si="75"/>
        <v>0</v>
      </c>
      <c r="W101" s="174">
        <f t="shared" si="75"/>
        <v>0</v>
      </c>
      <c r="X101" s="174">
        <f t="shared" si="75"/>
        <v>48860</v>
      </c>
      <c r="Y101" s="174">
        <f t="shared" si="75"/>
        <v>0</v>
      </c>
      <c r="Z101" s="174">
        <f t="shared" si="75"/>
        <v>0</v>
      </c>
      <c r="AA101" s="174">
        <f t="shared" si="75"/>
        <v>48860</v>
      </c>
      <c r="AB101" s="174">
        <f t="shared" si="75"/>
        <v>0</v>
      </c>
      <c r="AC101" s="174">
        <f t="shared" si="75"/>
        <v>0</v>
      </c>
      <c r="AD101" s="174">
        <f t="shared" si="75"/>
        <v>48860</v>
      </c>
      <c r="AE101" s="174">
        <f t="shared" si="75"/>
        <v>0</v>
      </c>
      <c r="AF101" s="174">
        <f t="shared" si="75"/>
        <v>0</v>
      </c>
      <c r="AG101" s="174"/>
      <c r="AH101" s="161"/>
      <c r="AI101" s="154"/>
    </row>
    <row r="102" spans="1:35" s="162" customFormat="1" ht="16.5" customHeight="1" outlineLevel="2">
      <c r="A102" s="154"/>
      <c r="B102" s="585" t="s">
        <v>805</v>
      </c>
      <c r="C102" s="172">
        <v>14</v>
      </c>
      <c r="D102" s="172">
        <v>0</v>
      </c>
      <c r="E102" s="177">
        <v>0</v>
      </c>
      <c r="F102" s="172">
        <v>14</v>
      </c>
      <c r="G102" s="172">
        <v>0</v>
      </c>
      <c r="H102" s="172">
        <v>0</v>
      </c>
      <c r="I102" s="172">
        <v>14</v>
      </c>
      <c r="J102" s="172">
        <v>0</v>
      </c>
      <c r="K102" s="172">
        <v>0</v>
      </c>
      <c r="L102" s="172">
        <v>14</v>
      </c>
      <c r="M102" s="172">
        <v>0</v>
      </c>
      <c r="N102" s="172">
        <v>0</v>
      </c>
      <c r="O102" s="172">
        <v>14</v>
      </c>
      <c r="P102" s="172">
        <v>0</v>
      </c>
      <c r="Q102" s="172">
        <v>0</v>
      </c>
      <c r="R102" s="172">
        <v>14</v>
      </c>
      <c r="S102" s="172">
        <v>0</v>
      </c>
      <c r="T102" s="172">
        <v>0</v>
      </c>
      <c r="U102" s="172">
        <v>14</v>
      </c>
      <c r="V102" s="172">
        <v>0</v>
      </c>
      <c r="W102" s="172">
        <v>0</v>
      </c>
      <c r="X102" s="172">
        <v>14</v>
      </c>
      <c r="Y102" s="172">
        <v>0</v>
      </c>
      <c r="Z102" s="172">
        <v>0</v>
      </c>
      <c r="AA102" s="172">
        <v>14</v>
      </c>
      <c r="AB102" s="172">
        <v>0</v>
      </c>
      <c r="AC102" s="172">
        <v>0</v>
      </c>
      <c r="AD102" s="172">
        <v>14</v>
      </c>
      <c r="AE102" s="172">
        <v>0</v>
      </c>
      <c r="AF102" s="172">
        <v>0</v>
      </c>
      <c r="AG102" s="173"/>
      <c r="AH102" s="161"/>
      <c r="AI102" s="154"/>
    </row>
    <row r="103" spans="1:35" s="162" customFormat="1" ht="16.5" customHeight="1" outlineLevel="2">
      <c r="A103" s="154"/>
      <c r="B103" s="585" t="s">
        <v>807</v>
      </c>
      <c r="C103" s="176">
        <f>Insumos!$E$31</f>
        <v>3490</v>
      </c>
      <c r="D103" s="176">
        <f>C103</f>
        <v>3490</v>
      </c>
      <c r="E103" s="176">
        <f t="shared" ref="E103:AF103" si="76">D103</f>
        <v>3490</v>
      </c>
      <c r="F103" s="176">
        <f t="shared" si="76"/>
        <v>3490</v>
      </c>
      <c r="G103" s="176">
        <f t="shared" si="76"/>
        <v>3490</v>
      </c>
      <c r="H103" s="176">
        <f t="shared" si="76"/>
        <v>3490</v>
      </c>
      <c r="I103" s="176">
        <f t="shared" si="76"/>
        <v>3490</v>
      </c>
      <c r="J103" s="176">
        <f t="shared" si="76"/>
        <v>3490</v>
      </c>
      <c r="K103" s="176">
        <f t="shared" si="76"/>
        <v>3490</v>
      </c>
      <c r="L103" s="176">
        <f t="shared" si="76"/>
        <v>3490</v>
      </c>
      <c r="M103" s="176">
        <f t="shared" si="76"/>
        <v>3490</v>
      </c>
      <c r="N103" s="176">
        <f t="shared" si="76"/>
        <v>3490</v>
      </c>
      <c r="O103" s="176">
        <f t="shared" si="76"/>
        <v>3490</v>
      </c>
      <c r="P103" s="176">
        <f t="shared" si="76"/>
        <v>3490</v>
      </c>
      <c r="Q103" s="176">
        <f t="shared" si="76"/>
        <v>3490</v>
      </c>
      <c r="R103" s="176">
        <f t="shared" si="76"/>
        <v>3490</v>
      </c>
      <c r="S103" s="176">
        <f t="shared" si="76"/>
        <v>3490</v>
      </c>
      <c r="T103" s="176">
        <f t="shared" si="76"/>
        <v>3490</v>
      </c>
      <c r="U103" s="176">
        <f t="shared" si="76"/>
        <v>3490</v>
      </c>
      <c r="V103" s="176">
        <f t="shared" si="76"/>
        <v>3490</v>
      </c>
      <c r="W103" s="176">
        <f t="shared" si="76"/>
        <v>3490</v>
      </c>
      <c r="X103" s="176">
        <f t="shared" si="76"/>
        <v>3490</v>
      </c>
      <c r="Y103" s="176">
        <f t="shared" si="76"/>
        <v>3490</v>
      </c>
      <c r="Z103" s="176">
        <f t="shared" si="76"/>
        <v>3490</v>
      </c>
      <c r="AA103" s="176">
        <f t="shared" si="76"/>
        <v>3490</v>
      </c>
      <c r="AB103" s="176">
        <f t="shared" si="76"/>
        <v>3490</v>
      </c>
      <c r="AC103" s="176">
        <f t="shared" si="76"/>
        <v>3490</v>
      </c>
      <c r="AD103" s="176">
        <f t="shared" si="76"/>
        <v>3490</v>
      </c>
      <c r="AE103" s="176">
        <f t="shared" si="76"/>
        <v>3490</v>
      </c>
      <c r="AF103" s="176">
        <f t="shared" si="76"/>
        <v>3490</v>
      </c>
      <c r="AG103" s="173"/>
      <c r="AH103" s="161"/>
      <c r="AI103" s="154"/>
    </row>
    <row r="104" spans="1:35" s="162" customFormat="1" ht="16.5" customHeight="1" outlineLevel="2">
      <c r="A104" s="154"/>
      <c r="B104" s="608" t="s">
        <v>829</v>
      </c>
      <c r="C104" s="174">
        <f t="shared" ref="C104:AF104" si="77">C105*C106</f>
        <v>4197</v>
      </c>
      <c r="D104" s="174">
        <f t="shared" si="77"/>
        <v>0</v>
      </c>
      <c r="E104" s="174">
        <f t="shared" si="77"/>
        <v>0</v>
      </c>
      <c r="F104" s="174">
        <f t="shared" si="77"/>
        <v>0</v>
      </c>
      <c r="G104" s="174">
        <f t="shared" si="77"/>
        <v>0</v>
      </c>
      <c r="H104" s="174">
        <f t="shared" si="77"/>
        <v>0</v>
      </c>
      <c r="I104" s="174">
        <f t="shared" si="77"/>
        <v>0</v>
      </c>
      <c r="J104" s="174">
        <f t="shared" si="77"/>
        <v>0</v>
      </c>
      <c r="K104" s="174">
        <f t="shared" si="77"/>
        <v>0</v>
      </c>
      <c r="L104" s="174">
        <f t="shared" si="77"/>
        <v>0</v>
      </c>
      <c r="M104" s="174">
        <f t="shared" si="77"/>
        <v>4197</v>
      </c>
      <c r="N104" s="174">
        <f t="shared" si="77"/>
        <v>0</v>
      </c>
      <c r="O104" s="174">
        <f t="shared" si="77"/>
        <v>0</v>
      </c>
      <c r="P104" s="174">
        <f t="shared" si="77"/>
        <v>0</v>
      </c>
      <c r="Q104" s="174">
        <f t="shared" si="77"/>
        <v>0</v>
      </c>
      <c r="R104" s="174">
        <f t="shared" si="77"/>
        <v>0</v>
      </c>
      <c r="S104" s="174">
        <f t="shared" si="77"/>
        <v>0</v>
      </c>
      <c r="T104" s="174">
        <f t="shared" si="77"/>
        <v>0</v>
      </c>
      <c r="U104" s="174">
        <f t="shared" si="77"/>
        <v>0</v>
      </c>
      <c r="V104" s="174">
        <f t="shared" si="77"/>
        <v>0</v>
      </c>
      <c r="W104" s="174">
        <f t="shared" si="77"/>
        <v>4197</v>
      </c>
      <c r="X104" s="174">
        <f t="shared" si="77"/>
        <v>0</v>
      </c>
      <c r="Y104" s="174">
        <f t="shared" si="77"/>
        <v>0</v>
      </c>
      <c r="Z104" s="174">
        <f t="shared" si="77"/>
        <v>0</v>
      </c>
      <c r="AA104" s="174">
        <f t="shared" si="77"/>
        <v>0</v>
      </c>
      <c r="AB104" s="174">
        <f t="shared" si="77"/>
        <v>0</v>
      </c>
      <c r="AC104" s="174">
        <f t="shared" si="77"/>
        <v>0</v>
      </c>
      <c r="AD104" s="174">
        <f t="shared" si="77"/>
        <v>0</v>
      </c>
      <c r="AE104" s="174">
        <f t="shared" si="77"/>
        <v>0</v>
      </c>
      <c r="AF104" s="174">
        <f t="shared" si="77"/>
        <v>0</v>
      </c>
      <c r="AG104" s="174"/>
      <c r="AH104" s="161"/>
      <c r="AI104" s="154"/>
    </row>
    <row r="105" spans="1:35" s="162" customFormat="1" ht="16.5" customHeight="1" outlineLevel="2">
      <c r="A105" s="154"/>
      <c r="B105" s="585" t="s">
        <v>805</v>
      </c>
      <c r="C105" s="172">
        <v>3</v>
      </c>
      <c r="D105" s="172">
        <v>0</v>
      </c>
      <c r="E105" s="177">
        <v>0</v>
      </c>
      <c r="F105" s="172">
        <v>0</v>
      </c>
      <c r="G105" s="172">
        <v>0</v>
      </c>
      <c r="H105" s="172">
        <v>0</v>
      </c>
      <c r="I105" s="172">
        <v>0</v>
      </c>
      <c r="J105" s="172">
        <v>0</v>
      </c>
      <c r="K105" s="172">
        <v>0</v>
      </c>
      <c r="L105" s="172">
        <v>0</v>
      </c>
      <c r="M105" s="172">
        <v>3</v>
      </c>
      <c r="N105" s="172">
        <v>0</v>
      </c>
      <c r="O105" s="172">
        <v>0</v>
      </c>
      <c r="P105" s="172">
        <v>0</v>
      </c>
      <c r="Q105" s="172">
        <v>0</v>
      </c>
      <c r="R105" s="172">
        <v>0</v>
      </c>
      <c r="S105" s="172">
        <v>0</v>
      </c>
      <c r="T105" s="172">
        <v>0</v>
      </c>
      <c r="U105" s="172">
        <v>0</v>
      </c>
      <c r="V105" s="172">
        <v>0</v>
      </c>
      <c r="W105" s="172">
        <v>3</v>
      </c>
      <c r="X105" s="172">
        <v>0</v>
      </c>
      <c r="Y105" s="172">
        <v>0</v>
      </c>
      <c r="Z105" s="172">
        <v>0</v>
      </c>
      <c r="AA105" s="172">
        <v>0</v>
      </c>
      <c r="AB105" s="172">
        <v>0</v>
      </c>
      <c r="AC105" s="172">
        <v>0</v>
      </c>
      <c r="AD105" s="172">
        <v>0</v>
      </c>
      <c r="AE105" s="172">
        <v>0</v>
      </c>
      <c r="AF105" s="172">
        <v>0</v>
      </c>
      <c r="AG105" s="173"/>
      <c r="AH105" s="161"/>
      <c r="AI105" s="154"/>
    </row>
    <row r="106" spans="1:35" s="162" customFormat="1" ht="16.5" customHeight="1" outlineLevel="2">
      <c r="A106" s="154"/>
      <c r="B106" s="585" t="s">
        <v>807</v>
      </c>
      <c r="C106" s="176">
        <f>Insumos!$E$33</f>
        <v>1399</v>
      </c>
      <c r="D106" s="176">
        <f>C106</f>
        <v>1399</v>
      </c>
      <c r="E106" s="176">
        <f t="shared" ref="E106:AF106" si="78">D106</f>
        <v>1399</v>
      </c>
      <c r="F106" s="176">
        <f t="shared" si="78"/>
        <v>1399</v>
      </c>
      <c r="G106" s="176">
        <f t="shared" si="78"/>
        <v>1399</v>
      </c>
      <c r="H106" s="176">
        <f t="shared" si="78"/>
        <v>1399</v>
      </c>
      <c r="I106" s="176">
        <f t="shared" si="78"/>
        <v>1399</v>
      </c>
      <c r="J106" s="176">
        <f t="shared" si="78"/>
        <v>1399</v>
      </c>
      <c r="K106" s="176">
        <f t="shared" si="78"/>
        <v>1399</v>
      </c>
      <c r="L106" s="176">
        <f t="shared" si="78"/>
        <v>1399</v>
      </c>
      <c r="M106" s="176">
        <f t="shared" si="78"/>
        <v>1399</v>
      </c>
      <c r="N106" s="176">
        <f t="shared" si="78"/>
        <v>1399</v>
      </c>
      <c r="O106" s="176">
        <f t="shared" si="78"/>
        <v>1399</v>
      </c>
      <c r="P106" s="176">
        <f t="shared" si="78"/>
        <v>1399</v>
      </c>
      <c r="Q106" s="176">
        <f t="shared" si="78"/>
        <v>1399</v>
      </c>
      <c r="R106" s="176">
        <f t="shared" si="78"/>
        <v>1399</v>
      </c>
      <c r="S106" s="176">
        <f t="shared" si="78"/>
        <v>1399</v>
      </c>
      <c r="T106" s="176">
        <f t="shared" si="78"/>
        <v>1399</v>
      </c>
      <c r="U106" s="176">
        <f t="shared" si="78"/>
        <v>1399</v>
      </c>
      <c r="V106" s="176">
        <f t="shared" si="78"/>
        <v>1399</v>
      </c>
      <c r="W106" s="176">
        <f t="shared" si="78"/>
        <v>1399</v>
      </c>
      <c r="X106" s="176">
        <f t="shared" si="78"/>
        <v>1399</v>
      </c>
      <c r="Y106" s="176">
        <f t="shared" si="78"/>
        <v>1399</v>
      </c>
      <c r="Z106" s="176">
        <f t="shared" si="78"/>
        <v>1399</v>
      </c>
      <c r="AA106" s="176">
        <f t="shared" si="78"/>
        <v>1399</v>
      </c>
      <c r="AB106" s="176">
        <f t="shared" si="78"/>
        <v>1399</v>
      </c>
      <c r="AC106" s="176">
        <f t="shared" si="78"/>
        <v>1399</v>
      </c>
      <c r="AD106" s="176">
        <f t="shared" si="78"/>
        <v>1399</v>
      </c>
      <c r="AE106" s="176">
        <f t="shared" si="78"/>
        <v>1399</v>
      </c>
      <c r="AF106" s="176">
        <f t="shared" si="78"/>
        <v>1399</v>
      </c>
      <c r="AG106" s="173"/>
      <c r="AH106" s="161"/>
      <c r="AI106" s="154"/>
    </row>
    <row r="107" spans="1:35">
      <c r="A107" s="154"/>
      <c r="B107" s="231"/>
      <c r="C107" s="171"/>
      <c r="D107" s="171"/>
      <c r="E107" s="171"/>
      <c r="F107" s="171"/>
      <c r="G107" s="171"/>
      <c r="H107" s="171"/>
      <c r="I107" s="171"/>
      <c r="J107" s="171"/>
      <c r="K107" s="171"/>
      <c r="L107" s="171"/>
      <c r="M107" s="171"/>
      <c r="N107" s="171"/>
      <c r="O107" s="171"/>
      <c r="P107" s="171"/>
      <c r="Q107" s="171"/>
      <c r="R107" s="171"/>
      <c r="S107" s="171"/>
      <c r="T107" s="171"/>
      <c r="U107" s="171"/>
      <c r="V107" s="171"/>
      <c r="W107" s="171"/>
      <c r="X107" s="171"/>
      <c r="Y107" s="171"/>
      <c r="Z107" s="171"/>
      <c r="AA107" s="171"/>
      <c r="AB107" s="171"/>
      <c r="AC107" s="171"/>
      <c r="AD107" s="171"/>
      <c r="AE107" s="171"/>
      <c r="AF107" s="171"/>
      <c r="AG107" s="249"/>
      <c r="AH107" s="161"/>
      <c r="AI107" s="152"/>
    </row>
    <row r="108" spans="1:35">
      <c r="A108" s="154"/>
      <c r="B108" s="453" t="s">
        <v>831</v>
      </c>
      <c r="C108" s="454">
        <f t="shared" ref="C108:AF108" si="79">SUM(C109,C156)</f>
        <v>365.43042089599805</v>
      </c>
      <c r="D108" s="454">
        <f t="shared" si="79"/>
        <v>1410.9263993250449</v>
      </c>
      <c r="E108" s="454">
        <f>SUM(E109,E156)</f>
        <v>378.16893583420006</v>
      </c>
      <c r="F108" s="454">
        <f t="shared" si="79"/>
        <v>49.327041674200004</v>
      </c>
      <c r="G108" s="454">
        <f t="shared" si="79"/>
        <v>49.327041674200004</v>
      </c>
      <c r="H108" s="454">
        <f t="shared" si="79"/>
        <v>12201.004333370471</v>
      </c>
      <c r="I108" s="454">
        <f t="shared" si="79"/>
        <v>168.31293295294401</v>
      </c>
      <c r="J108" s="454">
        <f t="shared" si="79"/>
        <v>52.042301674200004</v>
      </c>
      <c r="K108" s="454">
        <f t="shared" si="79"/>
        <v>43.404541674200004</v>
      </c>
      <c r="L108" s="454">
        <f t="shared" si="79"/>
        <v>69.327041674200004</v>
      </c>
      <c r="M108" s="454">
        <f t="shared" si="79"/>
        <v>107.3752145185596</v>
      </c>
      <c r="N108" s="454">
        <f t="shared" si="79"/>
        <v>347.06917320436901</v>
      </c>
      <c r="O108" s="454">
        <f t="shared" si="79"/>
        <v>83.822160106200016</v>
      </c>
      <c r="P108" s="454">
        <f t="shared" si="79"/>
        <v>178.80952295294401</v>
      </c>
      <c r="Q108" s="454">
        <f t="shared" si="79"/>
        <v>43.404541674200004</v>
      </c>
      <c r="R108" s="454">
        <f t="shared" si="79"/>
        <v>2480.8966560422537</v>
      </c>
      <c r="S108" s="454">
        <f t="shared" si="79"/>
        <v>58.830451674199999</v>
      </c>
      <c r="T108" s="454">
        <f t="shared" si="79"/>
        <v>66.119801674200005</v>
      </c>
      <c r="U108" s="454">
        <f t="shared" si="79"/>
        <v>49.327041674200004</v>
      </c>
      <c r="V108" s="454">
        <f t="shared" si="79"/>
        <v>49.327041674200004</v>
      </c>
      <c r="W108" s="454">
        <f t="shared" si="79"/>
        <v>210.93519579730363</v>
      </c>
      <c r="X108" s="454">
        <f t="shared" si="79"/>
        <v>372.99167320436902</v>
      </c>
      <c r="Y108" s="454">
        <f t="shared" si="79"/>
        <v>83.822160106200016</v>
      </c>
      <c r="Z108" s="454">
        <f t="shared" si="79"/>
        <v>43.404541674200004</v>
      </c>
      <c r="AA108" s="454">
        <f t="shared" si="79"/>
        <v>49.327041674200004</v>
      </c>
      <c r="AB108" s="454">
        <f t="shared" si="79"/>
        <v>2501.1449361862537</v>
      </c>
      <c r="AC108" s="454">
        <f t="shared" si="79"/>
        <v>52.9079516742</v>
      </c>
      <c r="AD108" s="454">
        <f t="shared" si="79"/>
        <v>161.52478295294401</v>
      </c>
      <c r="AE108" s="454">
        <f t="shared" si="79"/>
        <v>49.327041674200004</v>
      </c>
      <c r="AF108" s="454">
        <f t="shared" si="79"/>
        <v>63.404541674200004</v>
      </c>
      <c r="AG108" s="169"/>
      <c r="AH108" s="455">
        <f>SUM(C108:AF108)</f>
        <v>21841.042462563055</v>
      </c>
      <c r="AI108" s="152" t="s">
        <v>803</v>
      </c>
    </row>
    <row r="109" spans="1:35" outlineLevel="1">
      <c r="A109" s="154"/>
      <c r="B109" s="225" t="s">
        <v>832</v>
      </c>
      <c r="C109" s="705">
        <f>SUM(C110,C115,C120,C125,C130,C135,C140,C144,C148,C152)/10^3</f>
        <v>316.10337922179804</v>
      </c>
      <c r="D109" s="705">
        <f t="shared" ref="D109:AF109" si="80">SUM(D110,D115,D120,D125,D130,D135,D140,D144,D148,D152)/10^3</f>
        <v>1318.8112076508448</v>
      </c>
      <c r="E109" s="705">
        <f>SUM(E110,E115,E120,E125,E130,E135,E140,E144,E148,E152)/10^3</f>
        <v>334.76439416000005</v>
      </c>
      <c r="F109" s="705">
        <f t="shared" si="80"/>
        <v>0</v>
      </c>
      <c r="G109" s="705">
        <f t="shared" si="80"/>
        <v>0</v>
      </c>
      <c r="H109" s="705">
        <f t="shared" si="80"/>
        <v>12157.53772166027</v>
      </c>
      <c r="I109" s="705">
        <f t="shared" si="80"/>
        <v>0</v>
      </c>
      <c r="J109" s="705">
        <f t="shared" si="80"/>
        <v>0</v>
      </c>
      <c r="K109" s="705">
        <f t="shared" si="80"/>
        <v>0</v>
      </c>
      <c r="L109" s="705">
        <f t="shared" si="80"/>
        <v>20</v>
      </c>
      <c r="M109" s="705">
        <f t="shared" si="80"/>
        <v>58.048172844359605</v>
      </c>
      <c r="N109" s="705">
        <f t="shared" si="80"/>
        <v>258.16122153016903</v>
      </c>
      <c r="O109" s="705">
        <f t="shared" si="80"/>
        <v>31.779858432000005</v>
      </c>
      <c r="P109" s="705">
        <f t="shared" si="80"/>
        <v>20</v>
      </c>
      <c r="Q109" s="705">
        <f t="shared" si="80"/>
        <v>0</v>
      </c>
      <c r="R109" s="705">
        <f t="shared" si="80"/>
        <v>2431.5075443320538</v>
      </c>
      <c r="S109" s="705">
        <f t="shared" si="80"/>
        <v>0</v>
      </c>
      <c r="T109" s="705">
        <f t="shared" si="80"/>
        <v>20</v>
      </c>
      <c r="U109" s="705">
        <f t="shared" si="80"/>
        <v>0</v>
      </c>
      <c r="V109" s="705">
        <f t="shared" si="80"/>
        <v>0</v>
      </c>
      <c r="W109" s="705">
        <f t="shared" si="80"/>
        <v>58.048172844359605</v>
      </c>
      <c r="X109" s="705">
        <f t="shared" si="80"/>
        <v>278.16122153016903</v>
      </c>
      <c r="Y109" s="705">
        <f t="shared" si="80"/>
        <v>31.779858432000005</v>
      </c>
      <c r="Z109" s="705">
        <f t="shared" si="80"/>
        <v>0</v>
      </c>
      <c r="AA109" s="705">
        <f t="shared" si="80"/>
        <v>0</v>
      </c>
      <c r="AB109" s="705">
        <f t="shared" si="80"/>
        <v>2451.5075443320538</v>
      </c>
      <c r="AC109" s="705">
        <f t="shared" si="80"/>
        <v>0</v>
      </c>
      <c r="AD109" s="705">
        <f t="shared" si="80"/>
        <v>0</v>
      </c>
      <c r="AE109" s="705">
        <f t="shared" si="80"/>
        <v>0</v>
      </c>
      <c r="AF109" s="705">
        <f t="shared" si="80"/>
        <v>20</v>
      </c>
      <c r="AG109" s="227"/>
      <c r="AH109" s="226">
        <f>SUM(C109:AF109)</f>
        <v>19806.210296970075</v>
      </c>
      <c r="AI109" s="152"/>
    </row>
    <row r="110" spans="1:35" outlineLevel="2">
      <c r="A110" s="154"/>
      <c r="B110" s="260" t="s">
        <v>833</v>
      </c>
      <c r="C110" s="261">
        <f>C112*C113</f>
        <v>0</v>
      </c>
      <c r="D110" s="261">
        <f>D112*D113</f>
        <v>1090940.5917308449</v>
      </c>
      <c r="E110" s="261">
        <f t="shared" ref="E110:AF110" si="81">E112*E113</f>
        <v>0</v>
      </c>
      <c r="F110" s="261">
        <f t="shared" si="81"/>
        <v>0</v>
      </c>
      <c r="G110" s="261">
        <f t="shared" si="81"/>
        <v>0</v>
      </c>
      <c r="H110" s="261">
        <f t="shared" si="81"/>
        <v>0</v>
      </c>
      <c r="I110" s="261">
        <f t="shared" si="81"/>
        <v>0</v>
      </c>
      <c r="J110" s="261">
        <f t="shared" si="81"/>
        <v>0</v>
      </c>
      <c r="K110" s="261">
        <f t="shared" si="81"/>
        <v>0</v>
      </c>
      <c r="L110" s="261">
        <f t="shared" si="81"/>
        <v>0</v>
      </c>
      <c r="M110" s="261">
        <f t="shared" si="81"/>
        <v>0</v>
      </c>
      <c r="N110" s="261">
        <f t="shared" si="81"/>
        <v>218188.11834616901</v>
      </c>
      <c r="O110" s="261">
        <f t="shared" si="81"/>
        <v>0</v>
      </c>
      <c r="P110" s="261">
        <f t="shared" si="81"/>
        <v>0</v>
      </c>
      <c r="Q110" s="261">
        <f t="shared" si="81"/>
        <v>0</v>
      </c>
      <c r="R110" s="261">
        <f t="shared" si="81"/>
        <v>0</v>
      </c>
      <c r="S110" s="261">
        <f t="shared" si="81"/>
        <v>0</v>
      </c>
      <c r="T110" s="261">
        <f t="shared" si="81"/>
        <v>0</v>
      </c>
      <c r="U110" s="261">
        <f t="shared" si="81"/>
        <v>0</v>
      </c>
      <c r="V110" s="261">
        <f t="shared" si="81"/>
        <v>0</v>
      </c>
      <c r="W110" s="261">
        <f t="shared" si="81"/>
        <v>0</v>
      </c>
      <c r="X110" s="261">
        <f t="shared" si="81"/>
        <v>218188.11834616901</v>
      </c>
      <c r="Y110" s="261">
        <f t="shared" si="81"/>
        <v>0</v>
      </c>
      <c r="Z110" s="261">
        <f t="shared" si="81"/>
        <v>0</v>
      </c>
      <c r="AA110" s="261">
        <f t="shared" si="81"/>
        <v>0</v>
      </c>
      <c r="AB110" s="261">
        <f t="shared" si="81"/>
        <v>0</v>
      </c>
      <c r="AC110" s="261">
        <f t="shared" si="81"/>
        <v>0</v>
      </c>
      <c r="AD110" s="261">
        <f t="shared" si="81"/>
        <v>0</v>
      </c>
      <c r="AE110" s="261">
        <f t="shared" si="81"/>
        <v>0</v>
      </c>
      <c r="AF110" s="261">
        <f t="shared" si="81"/>
        <v>0</v>
      </c>
      <c r="AG110" s="261">
        <f t="shared" ref="AG110" si="82">AG112</f>
        <v>0</v>
      </c>
      <c r="AH110" s="154"/>
      <c r="AI110" s="152"/>
    </row>
    <row r="111" spans="1:35" outlineLevel="2">
      <c r="A111" s="154"/>
      <c r="B111" s="190" t="s">
        <v>834</v>
      </c>
      <c r="C111" s="261">
        <f>SUM(C110:AF110)</f>
        <v>1527316.8284231829</v>
      </c>
      <c r="D111" s="261"/>
      <c r="E111" s="261"/>
      <c r="F111" s="261"/>
      <c r="G111" s="261"/>
      <c r="H111" s="261"/>
      <c r="I111" s="261"/>
      <c r="J111" s="261"/>
      <c r="K111" s="261"/>
      <c r="L111" s="261"/>
      <c r="M111" s="261"/>
      <c r="N111" s="261"/>
      <c r="O111" s="261"/>
      <c r="P111" s="261"/>
      <c r="Q111" s="261"/>
      <c r="R111" s="261"/>
      <c r="S111" s="261"/>
      <c r="T111" s="261"/>
      <c r="U111" s="261"/>
      <c r="V111" s="261"/>
      <c r="W111" s="261"/>
      <c r="X111" s="261"/>
      <c r="Y111" s="261"/>
      <c r="Z111" s="261"/>
      <c r="AA111" s="261"/>
      <c r="AB111" s="261"/>
      <c r="AC111" s="261"/>
      <c r="AD111" s="261"/>
      <c r="AE111" s="261"/>
      <c r="AF111" s="261"/>
      <c r="AG111" s="261"/>
      <c r="AH111" s="154"/>
      <c r="AI111" s="152"/>
    </row>
    <row r="112" spans="1:35" outlineLevel="2">
      <c r="A112" s="154"/>
      <c r="B112" s="150" t="s">
        <v>835</v>
      </c>
      <c r="C112" s="509">
        <v>0</v>
      </c>
      <c r="D112" s="509">
        <f>Insumos!$E$182</f>
        <v>1090940.5917308449</v>
      </c>
      <c r="E112" s="509">
        <v>0</v>
      </c>
      <c r="F112" s="747">
        <v>0</v>
      </c>
      <c r="G112" s="747">
        <v>0</v>
      </c>
      <c r="H112" s="747">
        <v>0</v>
      </c>
      <c r="I112" s="747">
        <v>0</v>
      </c>
      <c r="J112" s="747">
        <v>0</v>
      </c>
      <c r="K112" s="747">
        <v>0</v>
      </c>
      <c r="L112" s="747">
        <v>0</v>
      </c>
      <c r="M112" s="747">
        <v>0</v>
      </c>
      <c r="N112" s="747">
        <f>D112*20%</f>
        <v>218188.11834616901</v>
      </c>
      <c r="O112" s="747">
        <v>0</v>
      </c>
      <c r="P112" s="747">
        <v>0</v>
      </c>
      <c r="Q112" s="747">
        <v>0</v>
      </c>
      <c r="R112" s="747">
        <v>0</v>
      </c>
      <c r="S112" s="747">
        <v>0</v>
      </c>
      <c r="T112" s="747">
        <v>0</v>
      </c>
      <c r="U112" s="747">
        <v>0</v>
      </c>
      <c r="V112" s="747">
        <v>0</v>
      </c>
      <c r="W112" s="747">
        <v>0</v>
      </c>
      <c r="X112" s="747">
        <f>N112</f>
        <v>218188.11834616901</v>
      </c>
      <c r="Y112" s="747">
        <v>0</v>
      </c>
      <c r="Z112" s="747">
        <v>0</v>
      </c>
      <c r="AA112" s="747">
        <v>0</v>
      </c>
      <c r="AB112" s="747">
        <v>0</v>
      </c>
      <c r="AC112" s="747">
        <v>0</v>
      </c>
      <c r="AD112" s="747">
        <v>0</v>
      </c>
      <c r="AE112" s="747">
        <v>0</v>
      </c>
      <c r="AF112" s="747">
        <v>0</v>
      </c>
      <c r="AG112" s="175"/>
      <c r="AH112" s="154"/>
      <c r="AI112" s="152"/>
    </row>
    <row r="113" spans="1:35" outlineLevel="2">
      <c r="A113" s="154"/>
      <c r="B113" s="150" t="s">
        <v>805</v>
      </c>
      <c r="C113" s="702">
        <v>0</v>
      </c>
      <c r="D113" s="702">
        <v>1</v>
      </c>
      <c r="E113" s="714">
        <v>0</v>
      </c>
      <c r="F113" s="176">
        <v>0</v>
      </c>
      <c r="G113" s="176">
        <v>0</v>
      </c>
      <c r="H113" s="176">
        <v>0</v>
      </c>
      <c r="I113" s="176">
        <v>0</v>
      </c>
      <c r="J113" s="176">
        <v>0</v>
      </c>
      <c r="K113" s="176">
        <v>0</v>
      </c>
      <c r="L113" s="176">
        <v>0</v>
      </c>
      <c r="M113" s="251">
        <v>0</v>
      </c>
      <c r="N113" s="251">
        <v>1</v>
      </c>
      <c r="O113" s="251">
        <v>0</v>
      </c>
      <c r="P113" s="251">
        <v>0</v>
      </c>
      <c r="Q113" s="251">
        <v>0</v>
      </c>
      <c r="R113" s="251">
        <v>0</v>
      </c>
      <c r="S113" s="251">
        <v>0</v>
      </c>
      <c r="T113" s="251">
        <v>0</v>
      </c>
      <c r="U113" s="251">
        <v>0</v>
      </c>
      <c r="V113" s="251">
        <v>0</v>
      </c>
      <c r="W113" s="251">
        <v>0</v>
      </c>
      <c r="X113" s="251">
        <v>1</v>
      </c>
      <c r="Y113" s="251">
        <v>0</v>
      </c>
      <c r="Z113" s="251">
        <v>0</v>
      </c>
      <c r="AA113" s="251">
        <v>0</v>
      </c>
      <c r="AB113" s="251">
        <v>0</v>
      </c>
      <c r="AC113" s="251">
        <v>0</v>
      </c>
      <c r="AD113" s="251">
        <v>0</v>
      </c>
      <c r="AE113" s="251">
        <v>0</v>
      </c>
      <c r="AF113" s="251">
        <v>0</v>
      </c>
      <c r="AG113" s="175"/>
      <c r="AH113" s="154"/>
      <c r="AI113" s="152"/>
    </row>
    <row r="114" spans="1:35" outlineLevel="2">
      <c r="A114" s="154"/>
      <c r="B114" s="181" t="s">
        <v>836</v>
      </c>
      <c r="C114" s="717">
        <v>0</v>
      </c>
      <c r="D114" s="717">
        <v>0.71428571428571419</v>
      </c>
      <c r="E114" s="717">
        <v>0</v>
      </c>
      <c r="F114" s="364">
        <v>0</v>
      </c>
      <c r="G114" s="364">
        <v>0</v>
      </c>
      <c r="H114" s="364">
        <v>0</v>
      </c>
      <c r="I114" s="364">
        <v>0</v>
      </c>
      <c r="J114" s="364">
        <v>0</v>
      </c>
      <c r="K114" s="364">
        <v>0</v>
      </c>
      <c r="L114" s="364">
        <v>0</v>
      </c>
      <c r="M114" s="364">
        <v>0</v>
      </c>
      <c r="N114" s="364">
        <v>0.14285714285714285</v>
      </c>
      <c r="O114" s="364">
        <v>0</v>
      </c>
      <c r="P114" s="364">
        <v>0</v>
      </c>
      <c r="Q114" s="364">
        <v>0</v>
      </c>
      <c r="R114" s="364">
        <v>0</v>
      </c>
      <c r="S114" s="364">
        <v>0</v>
      </c>
      <c r="T114" s="364">
        <v>0</v>
      </c>
      <c r="U114" s="364">
        <v>0</v>
      </c>
      <c r="V114" s="364">
        <v>0</v>
      </c>
      <c r="W114" s="364">
        <v>0</v>
      </c>
      <c r="X114" s="364">
        <v>0.14285714285714285</v>
      </c>
      <c r="Y114" s="364">
        <v>0</v>
      </c>
      <c r="Z114" s="364">
        <v>0</v>
      </c>
      <c r="AA114" s="364">
        <v>0</v>
      </c>
      <c r="AB114" s="364">
        <v>0</v>
      </c>
      <c r="AC114" s="364">
        <v>0</v>
      </c>
      <c r="AD114" s="364">
        <v>0</v>
      </c>
      <c r="AE114" s="364">
        <v>0</v>
      </c>
      <c r="AF114" s="364">
        <v>0</v>
      </c>
      <c r="AG114" s="262"/>
      <c r="AH114" s="154"/>
      <c r="AI114" s="152"/>
    </row>
    <row r="115" spans="1:35" outlineLevel="2">
      <c r="A115" s="154"/>
      <c r="B115" s="260" t="s">
        <v>837</v>
      </c>
      <c r="C115" s="261">
        <f>C117*C118</f>
        <v>0</v>
      </c>
      <c r="D115" s="261">
        <f t="shared" ref="D115:AF115" si="83">D117*D118</f>
        <v>28005.1</v>
      </c>
      <c r="E115" s="261">
        <f t="shared" si="83"/>
        <v>0</v>
      </c>
      <c r="F115" s="261">
        <f t="shared" si="83"/>
        <v>0</v>
      </c>
      <c r="G115" s="261">
        <f t="shared" si="83"/>
        <v>0</v>
      </c>
      <c r="H115" s="261">
        <f t="shared" si="83"/>
        <v>0</v>
      </c>
      <c r="I115" s="261">
        <f t="shared" si="83"/>
        <v>0</v>
      </c>
      <c r="J115" s="261">
        <f t="shared" si="83"/>
        <v>0</v>
      </c>
      <c r="K115" s="261">
        <f t="shared" si="83"/>
        <v>0</v>
      </c>
      <c r="L115" s="261">
        <f t="shared" si="83"/>
        <v>0</v>
      </c>
      <c r="M115" s="261">
        <f t="shared" si="83"/>
        <v>0</v>
      </c>
      <c r="N115" s="261">
        <f t="shared" si="83"/>
        <v>0</v>
      </c>
      <c r="O115" s="261">
        <f t="shared" si="83"/>
        <v>0</v>
      </c>
      <c r="P115" s="261">
        <f t="shared" si="83"/>
        <v>0</v>
      </c>
      <c r="Q115" s="261">
        <f t="shared" si="83"/>
        <v>0</v>
      </c>
      <c r="R115" s="261">
        <f t="shared" si="83"/>
        <v>0</v>
      </c>
      <c r="S115" s="261">
        <f t="shared" si="83"/>
        <v>0</v>
      </c>
      <c r="T115" s="261">
        <f t="shared" si="83"/>
        <v>0</v>
      </c>
      <c r="U115" s="261">
        <f t="shared" si="83"/>
        <v>0</v>
      </c>
      <c r="V115" s="261">
        <f t="shared" si="83"/>
        <v>0</v>
      </c>
      <c r="W115" s="261">
        <f t="shared" si="83"/>
        <v>0</v>
      </c>
      <c r="X115" s="261">
        <f t="shared" si="83"/>
        <v>0</v>
      </c>
      <c r="Y115" s="261">
        <f t="shared" si="83"/>
        <v>0</v>
      </c>
      <c r="Z115" s="261">
        <f t="shared" si="83"/>
        <v>0</v>
      </c>
      <c r="AA115" s="261">
        <f t="shared" si="83"/>
        <v>0</v>
      </c>
      <c r="AB115" s="261">
        <f t="shared" si="83"/>
        <v>0</v>
      </c>
      <c r="AC115" s="261">
        <f t="shared" si="83"/>
        <v>0</v>
      </c>
      <c r="AD115" s="261">
        <f t="shared" si="83"/>
        <v>0</v>
      </c>
      <c r="AE115" s="261">
        <f t="shared" si="83"/>
        <v>0</v>
      </c>
      <c r="AF115" s="261">
        <f t="shared" si="83"/>
        <v>0</v>
      </c>
      <c r="AG115" s="261"/>
      <c r="AH115" s="154"/>
      <c r="AI115" s="152"/>
    </row>
    <row r="116" spans="1:35" outlineLevel="2">
      <c r="A116" s="154"/>
      <c r="B116" s="190" t="s">
        <v>834</v>
      </c>
      <c r="C116" s="261">
        <f>SUM(C115:AF115)</f>
        <v>28005.1</v>
      </c>
      <c r="D116" s="261"/>
      <c r="E116" s="261"/>
      <c r="F116" s="261"/>
      <c r="G116" s="261"/>
      <c r="H116" s="261"/>
      <c r="I116" s="261"/>
      <c r="J116" s="261"/>
      <c r="K116" s="261"/>
      <c r="L116" s="261"/>
      <c r="M116" s="261"/>
      <c r="N116" s="261"/>
      <c r="O116" s="261"/>
      <c r="P116" s="261"/>
      <c r="Q116" s="261"/>
      <c r="R116" s="261"/>
      <c r="S116" s="261"/>
      <c r="T116" s="261"/>
      <c r="U116" s="261"/>
      <c r="V116" s="261"/>
      <c r="W116" s="261"/>
      <c r="X116" s="261"/>
      <c r="Y116" s="261"/>
      <c r="Z116" s="261"/>
      <c r="AA116" s="261"/>
      <c r="AB116" s="261"/>
      <c r="AC116" s="261"/>
      <c r="AD116" s="261"/>
      <c r="AE116" s="261"/>
      <c r="AF116" s="261"/>
      <c r="AG116" s="261"/>
      <c r="AH116" s="154"/>
      <c r="AI116" s="152"/>
    </row>
    <row r="117" spans="1:35" outlineLevel="2">
      <c r="A117" s="154"/>
      <c r="B117" s="150" t="s">
        <v>272</v>
      </c>
      <c r="C117" s="509">
        <v>0</v>
      </c>
      <c r="D117" s="509">
        <f>Insumos!$E$181</f>
        <v>28005.1</v>
      </c>
      <c r="E117" s="509">
        <v>0</v>
      </c>
      <c r="F117" s="747">
        <v>0</v>
      </c>
      <c r="G117" s="747">
        <v>0</v>
      </c>
      <c r="H117" s="747">
        <v>0</v>
      </c>
      <c r="I117" s="747">
        <v>0</v>
      </c>
      <c r="J117" s="747">
        <v>0</v>
      </c>
      <c r="K117" s="747">
        <v>0</v>
      </c>
      <c r="L117" s="747">
        <v>0</v>
      </c>
      <c r="M117" s="747">
        <v>0</v>
      </c>
      <c r="N117" s="747">
        <v>0</v>
      </c>
      <c r="O117" s="747">
        <v>0</v>
      </c>
      <c r="P117" s="747">
        <v>0</v>
      </c>
      <c r="Q117" s="747">
        <v>0</v>
      </c>
      <c r="R117" s="747">
        <v>0</v>
      </c>
      <c r="S117" s="747">
        <v>0</v>
      </c>
      <c r="T117" s="747">
        <v>0</v>
      </c>
      <c r="U117" s="747">
        <v>0</v>
      </c>
      <c r="V117" s="747">
        <v>0</v>
      </c>
      <c r="W117" s="747">
        <v>0</v>
      </c>
      <c r="X117" s="747">
        <v>0</v>
      </c>
      <c r="Y117" s="747">
        <v>0</v>
      </c>
      <c r="Z117" s="747">
        <v>0</v>
      </c>
      <c r="AA117" s="747">
        <v>0</v>
      </c>
      <c r="AB117" s="747">
        <v>0</v>
      </c>
      <c r="AC117" s="747">
        <v>0</v>
      </c>
      <c r="AD117" s="747">
        <v>0</v>
      </c>
      <c r="AE117" s="747">
        <v>0</v>
      </c>
      <c r="AF117" s="747">
        <v>0</v>
      </c>
      <c r="AG117" s="175"/>
      <c r="AH117" s="154"/>
      <c r="AI117" s="152"/>
    </row>
    <row r="118" spans="1:35" outlineLevel="2">
      <c r="A118" s="154"/>
      <c r="B118" s="150" t="s">
        <v>805</v>
      </c>
      <c r="C118" s="702">
        <v>0</v>
      </c>
      <c r="D118" s="702">
        <v>1</v>
      </c>
      <c r="E118" s="714">
        <v>0</v>
      </c>
      <c r="F118" s="176"/>
      <c r="G118" s="176"/>
      <c r="H118" s="176"/>
      <c r="I118" s="176"/>
      <c r="J118" s="176"/>
      <c r="K118" s="176"/>
      <c r="L118" s="176"/>
      <c r="M118" s="176"/>
      <c r="N118" s="176"/>
      <c r="O118" s="176"/>
      <c r="P118" s="176"/>
      <c r="Q118" s="176"/>
      <c r="R118" s="176"/>
      <c r="S118" s="176"/>
      <c r="T118" s="176"/>
      <c r="U118" s="176"/>
      <c r="V118" s="176"/>
      <c r="W118" s="176"/>
      <c r="X118" s="176"/>
      <c r="Y118" s="176"/>
      <c r="Z118" s="176"/>
      <c r="AA118" s="176"/>
      <c r="AB118" s="176"/>
      <c r="AC118" s="176"/>
      <c r="AD118" s="176"/>
      <c r="AE118" s="176"/>
      <c r="AF118" s="176"/>
      <c r="AG118" s="175"/>
      <c r="AH118" s="154"/>
      <c r="AI118" s="152"/>
    </row>
    <row r="119" spans="1:35" outlineLevel="2">
      <c r="A119" s="154"/>
      <c r="B119" s="150" t="s">
        <v>836</v>
      </c>
      <c r="C119" s="717">
        <v>0</v>
      </c>
      <c r="D119" s="717">
        <v>1</v>
      </c>
      <c r="E119" s="717">
        <v>0</v>
      </c>
      <c r="F119" s="364">
        <v>0</v>
      </c>
      <c r="G119" s="364">
        <v>0</v>
      </c>
      <c r="H119" s="364">
        <v>0</v>
      </c>
      <c r="I119" s="364">
        <v>0</v>
      </c>
      <c r="J119" s="364">
        <v>0</v>
      </c>
      <c r="K119" s="364">
        <v>0</v>
      </c>
      <c r="L119" s="364">
        <v>0</v>
      </c>
      <c r="M119" s="364">
        <v>0</v>
      </c>
      <c r="N119" s="364">
        <v>0</v>
      </c>
      <c r="O119" s="364">
        <v>0</v>
      </c>
      <c r="P119" s="364">
        <v>0</v>
      </c>
      <c r="Q119" s="364">
        <v>0</v>
      </c>
      <c r="R119" s="364">
        <v>0</v>
      </c>
      <c r="S119" s="364">
        <v>0</v>
      </c>
      <c r="T119" s="364">
        <v>0</v>
      </c>
      <c r="U119" s="364">
        <v>0</v>
      </c>
      <c r="V119" s="364">
        <v>0</v>
      </c>
      <c r="W119" s="364">
        <v>0</v>
      </c>
      <c r="X119" s="364">
        <v>0</v>
      </c>
      <c r="Y119" s="364">
        <v>0</v>
      </c>
      <c r="Z119" s="364">
        <v>0</v>
      </c>
      <c r="AA119" s="364">
        <v>0</v>
      </c>
      <c r="AB119" s="364">
        <v>0</v>
      </c>
      <c r="AC119" s="364">
        <v>0</v>
      </c>
      <c r="AD119" s="364">
        <v>0</v>
      </c>
      <c r="AE119" s="364">
        <v>0</v>
      </c>
      <c r="AF119" s="364">
        <v>0</v>
      </c>
      <c r="AG119" s="262"/>
      <c r="AH119" s="154"/>
      <c r="AI119" s="152"/>
    </row>
    <row r="120" spans="1:35" outlineLevel="2">
      <c r="A120" s="154"/>
      <c r="B120" s="260" t="s">
        <v>838</v>
      </c>
      <c r="C120" s="261">
        <f>C122*C123</f>
        <v>114582.66234179802</v>
      </c>
      <c r="D120" s="261">
        <f>D122*D123</f>
        <v>0</v>
      </c>
      <c r="E120" s="261">
        <f t="shared" ref="E120:AF120" si="84">E122*E123</f>
        <v>0</v>
      </c>
      <c r="F120" s="261">
        <f t="shared" si="84"/>
        <v>0</v>
      </c>
      <c r="G120" s="261">
        <f t="shared" si="84"/>
        <v>0</v>
      </c>
      <c r="H120" s="261">
        <f t="shared" si="84"/>
        <v>0</v>
      </c>
      <c r="I120" s="261">
        <f t="shared" si="84"/>
        <v>0</v>
      </c>
      <c r="J120" s="261">
        <f t="shared" si="84"/>
        <v>0</v>
      </c>
      <c r="K120" s="261">
        <f t="shared" si="84"/>
        <v>0</v>
      </c>
      <c r="L120" s="261">
        <f t="shared" si="84"/>
        <v>0</v>
      </c>
      <c r="M120" s="261">
        <f t="shared" si="84"/>
        <v>22916.532468359605</v>
      </c>
      <c r="N120" s="261">
        <f t="shared" si="84"/>
        <v>0</v>
      </c>
      <c r="O120" s="261">
        <f t="shared" si="84"/>
        <v>0</v>
      </c>
      <c r="P120" s="261">
        <f t="shared" si="84"/>
        <v>0</v>
      </c>
      <c r="Q120" s="261">
        <f t="shared" si="84"/>
        <v>0</v>
      </c>
      <c r="R120" s="261">
        <f t="shared" si="84"/>
        <v>0</v>
      </c>
      <c r="S120" s="261">
        <f t="shared" si="84"/>
        <v>0</v>
      </c>
      <c r="T120" s="261">
        <f t="shared" si="84"/>
        <v>0</v>
      </c>
      <c r="U120" s="261">
        <f t="shared" si="84"/>
        <v>0</v>
      </c>
      <c r="V120" s="261">
        <f t="shared" si="84"/>
        <v>0</v>
      </c>
      <c r="W120" s="261">
        <f t="shared" si="84"/>
        <v>22916.532468359605</v>
      </c>
      <c r="X120" s="261">
        <f t="shared" si="84"/>
        <v>0</v>
      </c>
      <c r="Y120" s="261">
        <f t="shared" si="84"/>
        <v>0</v>
      </c>
      <c r="Z120" s="261">
        <f t="shared" si="84"/>
        <v>0</v>
      </c>
      <c r="AA120" s="261">
        <f t="shared" si="84"/>
        <v>0</v>
      </c>
      <c r="AB120" s="261">
        <f t="shared" si="84"/>
        <v>0</v>
      </c>
      <c r="AC120" s="261">
        <f t="shared" si="84"/>
        <v>0</v>
      </c>
      <c r="AD120" s="261">
        <f t="shared" si="84"/>
        <v>0</v>
      </c>
      <c r="AE120" s="261">
        <f t="shared" si="84"/>
        <v>0</v>
      </c>
      <c r="AF120" s="261">
        <f t="shared" si="84"/>
        <v>0</v>
      </c>
      <c r="AG120" s="261">
        <f t="shared" ref="AG120" si="85">AG122</f>
        <v>0</v>
      </c>
      <c r="AH120" s="154"/>
      <c r="AI120" s="152"/>
    </row>
    <row r="121" spans="1:35" outlineLevel="2">
      <c r="A121" s="154"/>
      <c r="B121" s="190" t="s">
        <v>834</v>
      </c>
      <c r="C121" s="261">
        <f>SUM(C120:AF120)</f>
        <v>160415.72727851721</v>
      </c>
      <c r="D121" s="261"/>
      <c r="E121" s="261"/>
      <c r="F121" s="261"/>
      <c r="G121" s="261"/>
      <c r="H121" s="261"/>
      <c r="I121" s="261"/>
      <c r="J121" s="261"/>
      <c r="K121" s="261"/>
      <c r="L121" s="261"/>
      <c r="M121" s="261"/>
      <c r="N121" s="261"/>
      <c r="O121" s="261"/>
      <c r="P121" s="261"/>
      <c r="Q121" s="261"/>
      <c r="R121" s="261"/>
      <c r="S121" s="261"/>
      <c r="T121" s="261"/>
      <c r="U121" s="261"/>
      <c r="V121" s="261"/>
      <c r="W121" s="261"/>
      <c r="X121" s="261"/>
      <c r="Y121" s="261"/>
      <c r="Z121" s="261"/>
      <c r="AA121" s="261"/>
      <c r="AB121" s="261"/>
      <c r="AC121" s="261"/>
      <c r="AD121" s="261"/>
      <c r="AE121" s="261"/>
      <c r="AF121" s="261"/>
      <c r="AG121" s="261"/>
      <c r="AH121" s="154"/>
      <c r="AI121" s="152"/>
    </row>
    <row r="122" spans="1:35" outlineLevel="2">
      <c r="A122" s="154"/>
      <c r="B122" s="150" t="s">
        <v>835</v>
      </c>
      <c r="C122" s="509">
        <f>Insumos!$E$199</f>
        <v>114582.66234179802</v>
      </c>
      <c r="D122" s="509"/>
      <c r="E122" s="509">
        <v>0</v>
      </c>
      <c r="F122" s="747">
        <v>0</v>
      </c>
      <c r="G122" s="747">
        <v>0</v>
      </c>
      <c r="H122" s="747">
        <v>0</v>
      </c>
      <c r="I122" s="747">
        <v>0</v>
      </c>
      <c r="J122" s="747">
        <v>0</v>
      </c>
      <c r="K122" s="747">
        <v>0</v>
      </c>
      <c r="L122" s="747">
        <v>0</v>
      </c>
      <c r="M122" s="747">
        <f>C122*20%</f>
        <v>22916.532468359605</v>
      </c>
      <c r="N122" s="747">
        <v>0</v>
      </c>
      <c r="O122" s="747">
        <v>0</v>
      </c>
      <c r="P122" s="747">
        <v>0</v>
      </c>
      <c r="Q122" s="747">
        <v>0</v>
      </c>
      <c r="R122" s="747">
        <v>0</v>
      </c>
      <c r="S122" s="747">
        <v>0</v>
      </c>
      <c r="T122" s="747">
        <v>0</v>
      </c>
      <c r="U122" s="747">
        <v>0</v>
      </c>
      <c r="V122" s="747">
        <v>0</v>
      </c>
      <c r="W122" s="747">
        <f>M122</f>
        <v>22916.532468359605</v>
      </c>
      <c r="X122" s="747">
        <v>0</v>
      </c>
      <c r="Y122" s="747">
        <v>0</v>
      </c>
      <c r="Z122" s="747">
        <v>0</v>
      </c>
      <c r="AA122" s="747">
        <v>0</v>
      </c>
      <c r="AB122" s="747">
        <v>0</v>
      </c>
      <c r="AC122" s="747">
        <v>0</v>
      </c>
      <c r="AD122" s="747">
        <v>0</v>
      </c>
      <c r="AE122" s="747">
        <v>0</v>
      </c>
      <c r="AF122" s="747">
        <v>0</v>
      </c>
      <c r="AG122" s="175"/>
      <c r="AH122" s="154"/>
      <c r="AI122" s="152"/>
    </row>
    <row r="123" spans="1:35" outlineLevel="2">
      <c r="A123" s="154"/>
      <c r="B123" s="150" t="s">
        <v>805</v>
      </c>
      <c r="C123" s="714">
        <v>1</v>
      </c>
      <c r="D123" s="702">
        <v>0</v>
      </c>
      <c r="E123" s="714">
        <v>0</v>
      </c>
      <c r="F123" s="176">
        <v>0</v>
      </c>
      <c r="G123" s="176">
        <v>0</v>
      </c>
      <c r="H123" s="176">
        <v>0</v>
      </c>
      <c r="I123" s="176">
        <v>0</v>
      </c>
      <c r="J123" s="176">
        <v>0</v>
      </c>
      <c r="K123" s="176">
        <v>0</v>
      </c>
      <c r="L123" s="176">
        <v>0</v>
      </c>
      <c r="M123" s="176">
        <v>1</v>
      </c>
      <c r="N123" s="251">
        <v>0</v>
      </c>
      <c r="O123" s="251">
        <v>0</v>
      </c>
      <c r="P123" s="251">
        <v>0</v>
      </c>
      <c r="Q123" s="251">
        <v>0</v>
      </c>
      <c r="R123" s="251">
        <v>0</v>
      </c>
      <c r="S123" s="251">
        <v>0</v>
      </c>
      <c r="T123" s="251">
        <v>0</v>
      </c>
      <c r="U123" s="251">
        <v>0</v>
      </c>
      <c r="V123" s="251">
        <v>0</v>
      </c>
      <c r="W123" s="176">
        <v>1</v>
      </c>
      <c r="X123" s="251">
        <v>0</v>
      </c>
      <c r="Y123" s="251">
        <v>0</v>
      </c>
      <c r="Z123" s="251">
        <v>0</v>
      </c>
      <c r="AA123" s="251">
        <v>0</v>
      </c>
      <c r="AB123" s="251">
        <v>0</v>
      </c>
      <c r="AC123" s="251">
        <v>0</v>
      </c>
      <c r="AD123" s="251">
        <v>0</v>
      </c>
      <c r="AE123" s="251">
        <v>0</v>
      </c>
      <c r="AF123" s="251">
        <v>0</v>
      </c>
      <c r="AG123" s="175"/>
      <c r="AH123" s="154"/>
      <c r="AI123" s="152"/>
    </row>
    <row r="124" spans="1:35" outlineLevel="2">
      <c r="A124" s="154"/>
      <c r="B124" s="181" t="s">
        <v>836</v>
      </c>
      <c r="C124" s="717">
        <v>0.7142857142857143</v>
      </c>
      <c r="D124" s="717">
        <v>0</v>
      </c>
      <c r="E124" s="717">
        <v>0</v>
      </c>
      <c r="F124" s="364">
        <v>0</v>
      </c>
      <c r="G124" s="364">
        <v>0</v>
      </c>
      <c r="H124" s="364">
        <v>0</v>
      </c>
      <c r="I124" s="364">
        <v>0</v>
      </c>
      <c r="J124" s="364">
        <v>0</v>
      </c>
      <c r="K124" s="364">
        <v>0</v>
      </c>
      <c r="L124" s="364">
        <v>0</v>
      </c>
      <c r="M124" s="364">
        <v>0.14285714285714288</v>
      </c>
      <c r="N124" s="364">
        <v>0</v>
      </c>
      <c r="O124" s="364">
        <v>0</v>
      </c>
      <c r="P124" s="364">
        <v>0</v>
      </c>
      <c r="Q124" s="364">
        <v>0</v>
      </c>
      <c r="R124" s="364">
        <v>0</v>
      </c>
      <c r="S124" s="364">
        <v>0</v>
      </c>
      <c r="T124" s="364">
        <v>0</v>
      </c>
      <c r="U124" s="364">
        <v>0</v>
      </c>
      <c r="V124" s="364">
        <v>0</v>
      </c>
      <c r="W124" s="364">
        <v>0.14285714285714288</v>
      </c>
      <c r="X124" s="364">
        <v>0</v>
      </c>
      <c r="Y124" s="364">
        <v>0</v>
      </c>
      <c r="Z124" s="364">
        <v>0</v>
      </c>
      <c r="AA124" s="364">
        <v>0</v>
      </c>
      <c r="AB124" s="364">
        <v>0</v>
      </c>
      <c r="AC124" s="364">
        <v>0</v>
      </c>
      <c r="AD124" s="364">
        <v>0</v>
      </c>
      <c r="AE124" s="364">
        <v>0</v>
      </c>
      <c r="AF124" s="364">
        <v>0</v>
      </c>
      <c r="AG124" s="262"/>
      <c r="AH124" s="154"/>
      <c r="AI124" s="152"/>
    </row>
    <row r="125" spans="1:35" ht="15.75" customHeight="1" outlineLevel="2">
      <c r="A125" s="154"/>
      <c r="B125" s="260" t="s">
        <v>839</v>
      </c>
      <c r="C125" s="261">
        <f>C127*C128</f>
        <v>20483.11188</v>
      </c>
      <c r="D125" s="261">
        <f>D127*D128</f>
        <v>40966.223760000001</v>
      </c>
      <c r="E125" s="261">
        <f t="shared" ref="E125:AF125" si="86">E127*E128</f>
        <v>0</v>
      </c>
      <c r="F125" s="261">
        <f t="shared" si="86"/>
        <v>0</v>
      </c>
      <c r="G125" s="261">
        <f t="shared" si="86"/>
        <v>0</v>
      </c>
      <c r="H125" s="261">
        <f t="shared" si="86"/>
        <v>0</v>
      </c>
      <c r="I125" s="261">
        <f t="shared" si="86"/>
        <v>0</v>
      </c>
      <c r="J125" s="261">
        <f t="shared" si="86"/>
        <v>0</v>
      </c>
      <c r="K125" s="261">
        <f t="shared" si="86"/>
        <v>0</v>
      </c>
      <c r="L125" s="261">
        <f t="shared" si="86"/>
        <v>0</v>
      </c>
      <c r="M125" s="261">
        <f t="shared" si="86"/>
        <v>4096.6223760000003</v>
      </c>
      <c r="N125" s="261">
        <f t="shared" si="86"/>
        <v>8193.2447520000005</v>
      </c>
      <c r="O125" s="261">
        <f t="shared" si="86"/>
        <v>0</v>
      </c>
      <c r="P125" s="261">
        <f t="shared" si="86"/>
        <v>0</v>
      </c>
      <c r="Q125" s="261">
        <f t="shared" si="86"/>
        <v>0</v>
      </c>
      <c r="R125" s="261">
        <f t="shared" si="86"/>
        <v>0</v>
      </c>
      <c r="S125" s="261">
        <f t="shared" si="86"/>
        <v>0</v>
      </c>
      <c r="T125" s="261">
        <f t="shared" si="86"/>
        <v>0</v>
      </c>
      <c r="U125" s="261">
        <f t="shared" si="86"/>
        <v>0</v>
      </c>
      <c r="V125" s="261">
        <f t="shared" si="86"/>
        <v>0</v>
      </c>
      <c r="W125" s="261">
        <f t="shared" si="86"/>
        <v>4096.6223760000003</v>
      </c>
      <c r="X125" s="261">
        <f t="shared" si="86"/>
        <v>8193.2447520000005</v>
      </c>
      <c r="Y125" s="261">
        <f t="shared" si="86"/>
        <v>0</v>
      </c>
      <c r="Z125" s="261">
        <f t="shared" si="86"/>
        <v>0</v>
      </c>
      <c r="AA125" s="261">
        <f t="shared" si="86"/>
        <v>0</v>
      </c>
      <c r="AB125" s="261">
        <f t="shared" si="86"/>
        <v>0</v>
      </c>
      <c r="AC125" s="261">
        <f t="shared" si="86"/>
        <v>0</v>
      </c>
      <c r="AD125" s="261">
        <f t="shared" si="86"/>
        <v>0</v>
      </c>
      <c r="AE125" s="261">
        <f t="shared" si="86"/>
        <v>0</v>
      </c>
      <c r="AF125" s="261">
        <f t="shared" si="86"/>
        <v>0</v>
      </c>
      <c r="AG125" s="261">
        <f t="shared" ref="AG125" si="87">AG127</f>
        <v>0</v>
      </c>
      <c r="AH125" s="154"/>
      <c r="AI125" s="152"/>
    </row>
    <row r="126" spans="1:35" ht="15.75" customHeight="1" outlineLevel="2">
      <c r="A126" s="154"/>
      <c r="B126" s="190" t="s">
        <v>834</v>
      </c>
      <c r="C126" s="261">
        <f>SUM(C125:AF125)</f>
        <v>86029.069896000001</v>
      </c>
      <c r="D126" s="261"/>
      <c r="E126" s="261"/>
      <c r="F126" s="261"/>
      <c r="G126" s="261"/>
      <c r="H126" s="261"/>
      <c r="I126" s="261"/>
      <c r="J126" s="261"/>
      <c r="K126" s="261"/>
      <c r="L126" s="261"/>
      <c r="M126" s="261"/>
      <c r="N126" s="261"/>
      <c r="O126" s="261"/>
      <c r="P126" s="261"/>
      <c r="Q126" s="261"/>
      <c r="R126" s="261"/>
      <c r="S126" s="261"/>
      <c r="T126" s="261"/>
      <c r="U126" s="261"/>
      <c r="V126" s="261"/>
      <c r="W126" s="261"/>
      <c r="X126" s="261"/>
      <c r="Y126" s="261"/>
      <c r="Z126" s="261"/>
      <c r="AA126" s="261"/>
      <c r="AB126" s="261"/>
      <c r="AC126" s="261"/>
      <c r="AD126" s="261"/>
      <c r="AE126" s="261"/>
      <c r="AF126" s="261"/>
      <c r="AG126" s="261"/>
      <c r="AH126" s="154"/>
      <c r="AI126" s="152"/>
    </row>
    <row r="127" spans="1:35" outlineLevel="2">
      <c r="A127" s="154"/>
      <c r="B127" s="150" t="s">
        <v>835</v>
      </c>
      <c r="C127" s="509">
        <f>Insumos!$E$198</f>
        <v>20483.11188</v>
      </c>
      <c r="D127" s="509">
        <f>C127</f>
        <v>20483.11188</v>
      </c>
      <c r="E127" s="509">
        <v>0</v>
      </c>
      <c r="F127" s="747">
        <v>0</v>
      </c>
      <c r="G127" s="747">
        <v>0</v>
      </c>
      <c r="H127" s="747">
        <v>0</v>
      </c>
      <c r="I127" s="747">
        <v>0</v>
      </c>
      <c r="J127" s="747">
        <v>0</v>
      </c>
      <c r="K127" s="747">
        <v>0</v>
      </c>
      <c r="L127" s="747">
        <v>0</v>
      </c>
      <c r="M127" s="747">
        <f>C127*20%</f>
        <v>4096.6223760000003</v>
      </c>
      <c r="N127" s="747">
        <f>D127*20%</f>
        <v>4096.6223760000003</v>
      </c>
      <c r="O127" s="747">
        <v>0</v>
      </c>
      <c r="P127" s="747">
        <v>0</v>
      </c>
      <c r="Q127" s="747">
        <v>0</v>
      </c>
      <c r="R127" s="747">
        <v>0</v>
      </c>
      <c r="S127" s="747">
        <v>0</v>
      </c>
      <c r="T127" s="747">
        <v>0</v>
      </c>
      <c r="U127" s="747">
        <v>0</v>
      </c>
      <c r="V127" s="747">
        <v>0</v>
      </c>
      <c r="W127" s="747">
        <f>M127</f>
        <v>4096.6223760000003</v>
      </c>
      <c r="X127" s="747">
        <f>N127</f>
        <v>4096.6223760000003</v>
      </c>
      <c r="Y127" s="747">
        <v>0</v>
      </c>
      <c r="Z127" s="747">
        <v>0</v>
      </c>
      <c r="AA127" s="747">
        <v>0</v>
      </c>
      <c r="AB127" s="747">
        <v>0</v>
      </c>
      <c r="AC127" s="747">
        <v>0</v>
      </c>
      <c r="AD127" s="747">
        <v>0</v>
      </c>
      <c r="AE127" s="747">
        <v>0</v>
      </c>
      <c r="AF127" s="747">
        <v>0</v>
      </c>
      <c r="AG127" s="175"/>
      <c r="AH127" s="154"/>
      <c r="AI127" s="152"/>
    </row>
    <row r="128" spans="1:35" outlineLevel="2">
      <c r="A128" s="154"/>
      <c r="B128" s="150" t="s">
        <v>805</v>
      </c>
      <c r="C128" s="714">
        <v>1</v>
      </c>
      <c r="D128" s="702">
        <v>2</v>
      </c>
      <c r="E128" s="714">
        <v>0</v>
      </c>
      <c r="F128" s="176">
        <v>0</v>
      </c>
      <c r="G128" s="176">
        <v>0</v>
      </c>
      <c r="H128" s="176">
        <v>0</v>
      </c>
      <c r="I128" s="176">
        <v>0</v>
      </c>
      <c r="J128" s="176">
        <v>0</v>
      </c>
      <c r="K128" s="176">
        <v>0</v>
      </c>
      <c r="L128" s="176">
        <v>0</v>
      </c>
      <c r="M128" s="176">
        <v>1</v>
      </c>
      <c r="N128" s="251">
        <v>2</v>
      </c>
      <c r="O128" s="251">
        <v>0</v>
      </c>
      <c r="P128" s="251">
        <v>0</v>
      </c>
      <c r="Q128" s="251">
        <v>0</v>
      </c>
      <c r="R128" s="251">
        <v>0</v>
      </c>
      <c r="S128" s="251">
        <v>0</v>
      </c>
      <c r="T128" s="251">
        <v>0</v>
      </c>
      <c r="U128" s="251">
        <v>0</v>
      </c>
      <c r="V128" s="251">
        <v>0</v>
      </c>
      <c r="W128" s="176">
        <v>1</v>
      </c>
      <c r="X128" s="251">
        <v>2</v>
      </c>
      <c r="Y128" s="251">
        <v>0</v>
      </c>
      <c r="Z128" s="251">
        <v>0</v>
      </c>
      <c r="AA128" s="251">
        <v>0</v>
      </c>
      <c r="AB128" s="251">
        <v>0</v>
      </c>
      <c r="AC128" s="251">
        <v>0</v>
      </c>
      <c r="AD128" s="251">
        <v>0</v>
      </c>
      <c r="AE128" s="251">
        <v>0</v>
      </c>
      <c r="AF128" s="251">
        <v>0</v>
      </c>
      <c r="AG128" s="175"/>
      <c r="AH128" s="154"/>
      <c r="AI128" s="152"/>
    </row>
    <row r="129" spans="1:35" outlineLevel="2">
      <c r="A129" s="154"/>
      <c r="B129" s="181" t="s">
        <v>836</v>
      </c>
      <c r="C129" s="717">
        <f>C127/$C$120</f>
        <v>0.17876275050146109</v>
      </c>
      <c r="D129" s="717">
        <f t="shared" ref="D129:AF129" si="88">D127/$C$120</f>
        <v>0.17876275050146109</v>
      </c>
      <c r="E129" s="717">
        <f t="shared" si="88"/>
        <v>0</v>
      </c>
      <c r="F129" s="364">
        <f t="shared" si="88"/>
        <v>0</v>
      </c>
      <c r="G129" s="364">
        <f t="shared" si="88"/>
        <v>0</v>
      </c>
      <c r="H129" s="364">
        <f t="shared" si="88"/>
        <v>0</v>
      </c>
      <c r="I129" s="364">
        <f t="shared" si="88"/>
        <v>0</v>
      </c>
      <c r="J129" s="364">
        <f t="shared" si="88"/>
        <v>0</v>
      </c>
      <c r="K129" s="364">
        <f t="shared" si="88"/>
        <v>0</v>
      </c>
      <c r="L129" s="364">
        <f t="shared" si="88"/>
        <v>0</v>
      </c>
      <c r="M129" s="364">
        <f>M127/$C$120</f>
        <v>3.575255010029222E-2</v>
      </c>
      <c r="N129" s="364">
        <f t="shared" si="88"/>
        <v>3.575255010029222E-2</v>
      </c>
      <c r="O129" s="364">
        <f t="shared" si="88"/>
        <v>0</v>
      </c>
      <c r="P129" s="364">
        <f t="shared" si="88"/>
        <v>0</v>
      </c>
      <c r="Q129" s="364">
        <f t="shared" si="88"/>
        <v>0</v>
      </c>
      <c r="R129" s="364">
        <f t="shared" si="88"/>
        <v>0</v>
      </c>
      <c r="S129" s="364">
        <f t="shared" si="88"/>
        <v>0</v>
      </c>
      <c r="T129" s="364">
        <f t="shared" si="88"/>
        <v>0</v>
      </c>
      <c r="U129" s="364">
        <f t="shared" si="88"/>
        <v>0</v>
      </c>
      <c r="V129" s="364">
        <f t="shared" si="88"/>
        <v>0</v>
      </c>
      <c r="W129" s="364">
        <f t="shared" si="88"/>
        <v>3.575255010029222E-2</v>
      </c>
      <c r="X129" s="364">
        <f t="shared" si="88"/>
        <v>3.575255010029222E-2</v>
      </c>
      <c r="Y129" s="364">
        <f t="shared" si="88"/>
        <v>0</v>
      </c>
      <c r="Z129" s="364">
        <f t="shared" si="88"/>
        <v>0</v>
      </c>
      <c r="AA129" s="364">
        <f t="shared" si="88"/>
        <v>0</v>
      </c>
      <c r="AB129" s="364">
        <f t="shared" si="88"/>
        <v>0</v>
      </c>
      <c r="AC129" s="364">
        <f t="shared" si="88"/>
        <v>0</v>
      </c>
      <c r="AD129" s="364">
        <f t="shared" si="88"/>
        <v>0</v>
      </c>
      <c r="AE129" s="364">
        <f t="shared" si="88"/>
        <v>0</v>
      </c>
      <c r="AF129" s="364">
        <f t="shared" si="88"/>
        <v>0</v>
      </c>
      <c r="AG129" s="262"/>
      <c r="AH129" s="154"/>
      <c r="AI129" s="152"/>
    </row>
    <row r="130" spans="1:35" outlineLevel="2">
      <c r="A130" s="154"/>
      <c r="B130" s="188" t="s">
        <v>840</v>
      </c>
      <c r="C130" s="261">
        <f>C132*C133</f>
        <v>0</v>
      </c>
      <c r="D130" s="261">
        <f>D132*D133</f>
        <v>158899.29216000001</v>
      </c>
      <c r="E130" s="261">
        <f t="shared" ref="E130:AF130" si="89">E132*E133</f>
        <v>158899.29216000001</v>
      </c>
      <c r="F130" s="261">
        <f t="shared" si="89"/>
        <v>0</v>
      </c>
      <c r="G130" s="261">
        <f t="shared" si="89"/>
        <v>0</v>
      </c>
      <c r="H130" s="261">
        <f t="shared" si="89"/>
        <v>0</v>
      </c>
      <c r="I130" s="261">
        <f t="shared" si="89"/>
        <v>0</v>
      </c>
      <c r="J130" s="261">
        <f t="shared" si="89"/>
        <v>0</v>
      </c>
      <c r="K130" s="261">
        <f t="shared" si="89"/>
        <v>0</v>
      </c>
      <c r="L130" s="261">
        <f t="shared" si="89"/>
        <v>0</v>
      </c>
      <c r="M130" s="261">
        <f t="shared" si="89"/>
        <v>0</v>
      </c>
      <c r="N130" s="261">
        <f t="shared" si="89"/>
        <v>31779.858432000005</v>
      </c>
      <c r="O130" s="261">
        <f t="shared" si="89"/>
        <v>31779.858432000005</v>
      </c>
      <c r="P130" s="261">
        <f t="shared" si="89"/>
        <v>0</v>
      </c>
      <c r="Q130" s="261">
        <f t="shared" si="89"/>
        <v>0</v>
      </c>
      <c r="R130" s="261">
        <f t="shared" si="89"/>
        <v>0</v>
      </c>
      <c r="S130" s="261">
        <f t="shared" si="89"/>
        <v>0</v>
      </c>
      <c r="T130" s="261">
        <f t="shared" si="89"/>
        <v>0</v>
      </c>
      <c r="U130" s="261">
        <f t="shared" si="89"/>
        <v>0</v>
      </c>
      <c r="V130" s="261">
        <f t="shared" si="89"/>
        <v>0</v>
      </c>
      <c r="W130" s="261">
        <f t="shared" si="89"/>
        <v>0</v>
      </c>
      <c r="X130" s="261">
        <f t="shared" si="89"/>
        <v>31779.858432000005</v>
      </c>
      <c r="Y130" s="261">
        <f t="shared" si="89"/>
        <v>31779.858432000005</v>
      </c>
      <c r="Z130" s="261">
        <f t="shared" si="89"/>
        <v>0</v>
      </c>
      <c r="AA130" s="261">
        <f t="shared" si="89"/>
        <v>0</v>
      </c>
      <c r="AB130" s="261">
        <f t="shared" si="89"/>
        <v>0</v>
      </c>
      <c r="AC130" s="261">
        <f t="shared" si="89"/>
        <v>0</v>
      </c>
      <c r="AD130" s="261">
        <f t="shared" si="89"/>
        <v>0</v>
      </c>
      <c r="AE130" s="261">
        <f t="shared" si="89"/>
        <v>0</v>
      </c>
      <c r="AF130" s="261">
        <f t="shared" si="89"/>
        <v>0</v>
      </c>
      <c r="AG130" s="261"/>
      <c r="AH130" s="154"/>
      <c r="AI130" s="152"/>
    </row>
    <row r="131" spans="1:35" outlineLevel="2">
      <c r="A131" s="154"/>
      <c r="B131" s="190" t="s">
        <v>841</v>
      </c>
      <c r="C131" s="261">
        <f>SUM(C130:AF130)</f>
        <v>444918.01804799994</v>
      </c>
      <c r="D131" s="261"/>
      <c r="E131" s="261"/>
      <c r="F131" s="261"/>
      <c r="G131" s="261"/>
      <c r="H131" s="261"/>
      <c r="I131" s="261"/>
      <c r="J131" s="261"/>
      <c r="K131" s="261"/>
      <c r="L131" s="261"/>
      <c r="M131" s="261"/>
      <c r="N131" s="261"/>
      <c r="O131" s="261"/>
      <c r="P131" s="261"/>
      <c r="Q131" s="261"/>
      <c r="R131" s="261"/>
      <c r="S131" s="261"/>
      <c r="T131" s="261"/>
      <c r="U131" s="261"/>
      <c r="V131" s="261"/>
      <c r="W131" s="261"/>
      <c r="X131" s="261"/>
      <c r="Y131" s="261"/>
      <c r="Z131" s="261"/>
      <c r="AA131" s="261"/>
      <c r="AB131" s="261"/>
      <c r="AC131" s="261"/>
      <c r="AD131" s="261"/>
      <c r="AE131" s="261"/>
      <c r="AF131" s="261"/>
      <c r="AG131" s="261"/>
      <c r="AH131" s="154"/>
      <c r="AI131" s="152"/>
    </row>
    <row r="132" spans="1:35" outlineLevel="2">
      <c r="A132" s="154"/>
      <c r="B132" s="150" t="s">
        <v>842</v>
      </c>
      <c r="C132" s="509">
        <v>0</v>
      </c>
      <c r="D132" s="509">
        <f>Insumos!$E$184</f>
        <v>158899.29216000001</v>
      </c>
      <c r="E132" s="509">
        <f>D132</f>
        <v>158899.29216000001</v>
      </c>
      <c r="F132" s="747">
        <v>0</v>
      </c>
      <c r="G132" s="747">
        <v>0</v>
      </c>
      <c r="H132" s="747">
        <v>0</v>
      </c>
      <c r="I132" s="747">
        <v>0</v>
      </c>
      <c r="J132" s="747">
        <v>0</v>
      </c>
      <c r="K132" s="747">
        <v>0</v>
      </c>
      <c r="L132" s="747">
        <v>0</v>
      </c>
      <c r="M132" s="747">
        <v>0</v>
      </c>
      <c r="N132" s="747">
        <f>D132*20%</f>
        <v>31779.858432000005</v>
      </c>
      <c r="O132" s="747">
        <f>E132*20%</f>
        <v>31779.858432000005</v>
      </c>
      <c r="P132" s="747">
        <v>0</v>
      </c>
      <c r="Q132" s="747">
        <v>0</v>
      </c>
      <c r="R132" s="747">
        <v>0</v>
      </c>
      <c r="S132" s="747">
        <v>0</v>
      </c>
      <c r="T132" s="747">
        <v>0</v>
      </c>
      <c r="U132" s="747">
        <v>0</v>
      </c>
      <c r="V132" s="747">
        <v>0</v>
      </c>
      <c r="W132" s="747">
        <v>0</v>
      </c>
      <c r="X132" s="747">
        <f>N132</f>
        <v>31779.858432000005</v>
      </c>
      <c r="Y132" s="747">
        <f>O132</f>
        <v>31779.858432000005</v>
      </c>
      <c r="Z132" s="747">
        <v>0</v>
      </c>
      <c r="AA132" s="747">
        <v>0</v>
      </c>
      <c r="AB132" s="747">
        <v>0</v>
      </c>
      <c r="AC132" s="747">
        <v>0</v>
      </c>
      <c r="AD132" s="747">
        <v>0</v>
      </c>
      <c r="AE132" s="747">
        <v>0</v>
      </c>
      <c r="AF132" s="747">
        <v>0</v>
      </c>
      <c r="AG132" s="175"/>
      <c r="AH132" s="154"/>
      <c r="AI132" s="152"/>
    </row>
    <row r="133" spans="1:35" s="162" customFormat="1" outlineLevel="2">
      <c r="A133" s="154"/>
      <c r="B133" s="150" t="s">
        <v>843</v>
      </c>
      <c r="C133" s="714">
        <v>0</v>
      </c>
      <c r="D133" s="714">
        <v>1</v>
      </c>
      <c r="E133" s="714">
        <v>1</v>
      </c>
      <c r="F133" s="176">
        <v>0</v>
      </c>
      <c r="G133" s="176"/>
      <c r="H133" s="176"/>
      <c r="I133" s="176"/>
      <c r="J133" s="176"/>
      <c r="K133" s="176"/>
      <c r="L133" s="176"/>
      <c r="M133" s="176">
        <v>0</v>
      </c>
      <c r="N133" s="176">
        <v>1</v>
      </c>
      <c r="O133" s="176">
        <v>1</v>
      </c>
      <c r="P133" s="176">
        <v>0</v>
      </c>
      <c r="Q133" s="176">
        <v>0</v>
      </c>
      <c r="R133" s="176">
        <v>0</v>
      </c>
      <c r="S133" s="176">
        <v>0</v>
      </c>
      <c r="T133" s="176">
        <v>0</v>
      </c>
      <c r="U133" s="176">
        <v>0</v>
      </c>
      <c r="V133" s="176">
        <v>0</v>
      </c>
      <c r="W133" s="176">
        <v>0</v>
      </c>
      <c r="X133" s="176">
        <v>1</v>
      </c>
      <c r="Y133" s="176">
        <v>1</v>
      </c>
      <c r="Z133" s="176">
        <v>0</v>
      </c>
      <c r="AA133" s="176">
        <v>0</v>
      </c>
      <c r="AB133" s="176">
        <v>0</v>
      </c>
      <c r="AC133" s="176">
        <v>0</v>
      </c>
      <c r="AD133" s="176">
        <v>0</v>
      </c>
      <c r="AE133" s="176">
        <v>0</v>
      </c>
      <c r="AF133" s="176">
        <v>0</v>
      </c>
      <c r="AG133" s="175"/>
      <c r="AH133" s="154"/>
      <c r="AI133" s="154"/>
    </row>
    <row r="134" spans="1:35" outlineLevel="2">
      <c r="A134" s="154"/>
      <c r="B134" s="181" t="s">
        <v>836</v>
      </c>
      <c r="C134" s="717">
        <v>0</v>
      </c>
      <c r="D134" s="717">
        <v>0.35714285714285704</v>
      </c>
      <c r="E134" s="717">
        <v>0.35714285714285704</v>
      </c>
      <c r="F134" s="364">
        <v>0</v>
      </c>
      <c r="G134" s="364">
        <v>0</v>
      </c>
      <c r="H134" s="364">
        <v>0</v>
      </c>
      <c r="I134" s="364">
        <v>0</v>
      </c>
      <c r="J134" s="364">
        <v>0</v>
      </c>
      <c r="K134" s="364">
        <v>0</v>
      </c>
      <c r="L134" s="364">
        <v>0</v>
      </c>
      <c r="M134" s="364">
        <v>0</v>
      </c>
      <c r="N134" s="364">
        <v>7.1428571428571411E-2</v>
      </c>
      <c r="O134" s="364">
        <v>7.1428571428571411E-2</v>
      </c>
      <c r="P134" s="364">
        <v>0</v>
      </c>
      <c r="Q134" s="364">
        <v>0</v>
      </c>
      <c r="R134" s="364">
        <v>0</v>
      </c>
      <c r="S134" s="364">
        <v>0</v>
      </c>
      <c r="T134" s="364">
        <v>0</v>
      </c>
      <c r="U134" s="364">
        <v>0</v>
      </c>
      <c r="V134" s="364">
        <v>0</v>
      </c>
      <c r="W134" s="364">
        <v>0</v>
      </c>
      <c r="X134" s="364">
        <v>7.1428571428571411E-2</v>
      </c>
      <c r="Y134" s="364">
        <v>7.1428571428571411E-2</v>
      </c>
      <c r="Z134" s="364">
        <v>0</v>
      </c>
      <c r="AA134" s="364">
        <v>0</v>
      </c>
      <c r="AB134" s="364">
        <v>0</v>
      </c>
      <c r="AC134" s="364">
        <v>0</v>
      </c>
      <c r="AD134" s="364">
        <v>0</v>
      </c>
      <c r="AE134" s="364">
        <v>0</v>
      </c>
      <c r="AF134" s="364">
        <v>0</v>
      </c>
      <c r="AG134" s="262"/>
      <c r="AH134" s="154"/>
      <c r="AI134" s="152"/>
    </row>
    <row r="135" spans="1:35" outlineLevel="2">
      <c r="A135" s="154"/>
      <c r="B135" s="260" t="s">
        <v>844</v>
      </c>
      <c r="C135" s="261">
        <f>C137*C138</f>
        <v>25862.515000000003</v>
      </c>
      <c r="D135" s="261">
        <f t="shared" ref="D135:AF135" si="90">D137*D138</f>
        <v>0</v>
      </c>
      <c r="E135" s="261">
        <f>E137*E138</f>
        <v>0</v>
      </c>
      <c r="F135" s="261">
        <f t="shared" si="90"/>
        <v>0</v>
      </c>
      <c r="G135" s="261">
        <f t="shared" si="90"/>
        <v>0</v>
      </c>
      <c r="H135" s="261">
        <f t="shared" si="90"/>
        <v>0</v>
      </c>
      <c r="I135" s="261">
        <f t="shared" si="90"/>
        <v>0</v>
      </c>
      <c r="J135" s="261">
        <f t="shared" si="90"/>
        <v>0</v>
      </c>
      <c r="K135" s="261">
        <f t="shared" si="90"/>
        <v>0</v>
      </c>
      <c r="L135" s="261">
        <f t="shared" si="90"/>
        <v>0</v>
      </c>
      <c r="M135" s="261">
        <f t="shared" si="90"/>
        <v>0</v>
      </c>
      <c r="N135" s="261">
        <f t="shared" si="90"/>
        <v>0</v>
      </c>
      <c r="O135" s="261">
        <f t="shared" si="90"/>
        <v>0</v>
      </c>
      <c r="P135" s="261">
        <f t="shared" si="90"/>
        <v>0</v>
      </c>
      <c r="Q135" s="261">
        <f t="shared" si="90"/>
        <v>0</v>
      </c>
      <c r="R135" s="261">
        <f t="shared" si="90"/>
        <v>0</v>
      </c>
      <c r="S135" s="261">
        <f t="shared" si="90"/>
        <v>0</v>
      </c>
      <c r="T135" s="261">
        <f t="shared" si="90"/>
        <v>0</v>
      </c>
      <c r="U135" s="261">
        <f t="shared" si="90"/>
        <v>0</v>
      </c>
      <c r="V135" s="261">
        <f t="shared" si="90"/>
        <v>0</v>
      </c>
      <c r="W135" s="261">
        <f t="shared" si="90"/>
        <v>0</v>
      </c>
      <c r="X135" s="261">
        <f t="shared" si="90"/>
        <v>0</v>
      </c>
      <c r="Y135" s="261">
        <f t="shared" si="90"/>
        <v>0</v>
      </c>
      <c r="Z135" s="261">
        <f t="shared" si="90"/>
        <v>0</v>
      </c>
      <c r="AA135" s="261">
        <f t="shared" si="90"/>
        <v>0</v>
      </c>
      <c r="AB135" s="261">
        <f t="shared" si="90"/>
        <v>0</v>
      </c>
      <c r="AC135" s="261">
        <f t="shared" si="90"/>
        <v>0</v>
      </c>
      <c r="AD135" s="261">
        <f t="shared" si="90"/>
        <v>0</v>
      </c>
      <c r="AE135" s="261">
        <f t="shared" si="90"/>
        <v>0</v>
      </c>
      <c r="AF135" s="261">
        <f t="shared" si="90"/>
        <v>0</v>
      </c>
      <c r="AG135" s="261"/>
      <c r="AH135" s="154"/>
      <c r="AI135" s="152"/>
    </row>
    <row r="136" spans="1:35" outlineLevel="2">
      <c r="A136" s="154"/>
      <c r="B136" s="190" t="s">
        <v>834</v>
      </c>
      <c r="C136" s="714">
        <f>SUM(C135:AF135)</f>
        <v>25862.515000000003</v>
      </c>
      <c r="D136" s="714"/>
      <c r="E136" s="714"/>
      <c r="F136" s="176"/>
      <c r="G136" s="176"/>
      <c r="H136" s="176"/>
      <c r="I136" s="176"/>
      <c r="J136" s="176"/>
      <c r="K136" s="176"/>
      <c r="L136" s="176"/>
      <c r="M136" s="176"/>
      <c r="N136" s="176"/>
      <c r="O136" s="176"/>
      <c r="P136" s="176"/>
      <c r="Q136" s="176"/>
      <c r="R136" s="176"/>
      <c r="S136" s="176"/>
      <c r="T136" s="176"/>
      <c r="U136" s="176"/>
      <c r="V136" s="176"/>
      <c r="W136" s="176"/>
      <c r="X136" s="176"/>
      <c r="Y136" s="176"/>
      <c r="Z136" s="176"/>
      <c r="AA136" s="176"/>
      <c r="AB136" s="176"/>
      <c r="AC136" s="176"/>
      <c r="AD136" s="176"/>
      <c r="AE136" s="176"/>
      <c r="AF136" s="176"/>
      <c r="AG136" s="175"/>
      <c r="AH136" s="154"/>
      <c r="AI136" s="152"/>
    </row>
    <row r="137" spans="1:35" outlineLevel="2">
      <c r="A137" s="154"/>
      <c r="B137" s="150" t="s">
        <v>272</v>
      </c>
      <c r="C137" s="509">
        <f>Insumos!$E$201</f>
        <v>25862.515000000003</v>
      </c>
      <c r="D137" s="509">
        <v>0</v>
      </c>
      <c r="E137" s="509">
        <v>0</v>
      </c>
      <c r="F137" s="747">
        <v>0</v>
      </c>
      <c r="G137" s="747">
        <v>0</v>
      </c>
      <c r="H137" s="747">
        <v>0</v>
      </c>
      <c r="I137" s="747">
        <v>0</v>
      </c>
      <c r="J137" s="747">
        <v>0</v>
      </c>
      <c r="K137" s="747">
        <v>0</v>
      </c>
      <c r="L137" s="747">
        <v>0</v>
      </c>
      <c r="M137" s="747">
        <v>0</v>
      </c>
      <c r="N137" s="747">
        <v>0</v>
      </c>
      <c r="O137" s="747">
        <v>0</v>
      </c>
      <c r="P137" s="747">
        <v>0</v>
      </c>
      <c r="Q137" s="747">
        <v>0</v>
      </c>
      <c r="R137" s="747">
        <v>0</v>
      </c>
      <c r="S137" s="747">
        <v>0</v>
      </c>
      <c r="T137" s="747">
        <v>0</v>
      </c>
      <c r="U137" s="747">
        <v>0</v>
      </c>
      <c r="V137" s="747">
        <v>0</v>
      </c>
      <c r="W137" s="747">
        <v>0</v>
      </c>
      <c r="X137" s="747">
        <v>0</v>
      </c>
      <c r="Y137" s="747">
        <v>0</v>
      </c>
      <c r="Z137" s="747">
        <v>0</v>
      </c>
      <c r="AA137" s="747">
        <v>0</v>
      </c>
      <c r="AB137" s="747">
        <v>0</v>
      </c>
      <c r="AC137" s="747">
        <v>0</v>
      </c>
      <c r="AD137" s="747">
        <v>0</v>
      </c>
      <c r="AE137" s="747">
        <v>0</v>
      </c>
      <c r="AF137" s="747">
        <v>0</v>
      </c>
      <c r="AG137" s="175"/>
      <c r="AH137" s="154"/>
      <c r="AI137" s="152"/>
    </row>
    <row r="138" spans="1:35" outlineLevel="2">
      <c r="A138" s="154"/>
      <c r="B138" s="150" t="s">
        <v>805</v>
      </c>
      <c r="C138" s="702">
        <v>1</v>
      </c>
      <c r="D138" s="702">
        <v>1</v>
      </c>
      <c r="E138" s="702">
        <v>1</v>
      </c>
      <c r="F138" s="176">
        <v>0</v>
      </c>
      <c r="G138" s="176">
        <v>0</v>
      </c>
      <c r="H138" s="176">
        <v>0</v>
      </c>
      <c r="I138" s="176">
        <v>0</v>
      </c>
      <c r="J138" s="176">
        <v>0</v>
      </c>
      <c r="K138" s="176">
        <v>0</v>
      </c>
      <c r="L138" s="176">
        <v>0</v>
      </c>
      <c r="M138" s="176">
        <v>0</v>
      </c>
      <c r="N138" s="176">
        <v>0</v>
      </c>
      <c r="O138" s="176">
        <v>0</v>
      </c>
      <c r="P138" s="176">
        <v>0</v>
      </c>
      <c r="Q138" s="176">
        <v>0</v>
      </c>
      <c r="R138" s="176">
        <v>0</v>
      </c>
      <c r="S138" s="176">
        <v>0</v>
      </c>
      <c r="T138" s="176">
        <v>0</v>
      </c>
      <c r="U138" s="176">
        <v>0</v>
      </c>
      <c r="V138" s="176">
        <v>0</v>
      </c>
      <c r="W138" s="176">
        <v>0</v>
      </c>
      <c r="X138" s="176">
        <v>0</v>
      </c>
      <c r="Y138" s="176">
        <v>0</v>
      </c>
      <c r="Z138" s="176">
        <v>0</v>
      </c>
      <c r="AA138" s="176">
        <v>0</v>
      </c>
      <c r="AB138" s="176">
        <v>0</v>
      </c>
      <c r="AC138" s="176">
        <v>0</v>
      </c>
      <c r="AD138" s="176">
        <v>0</v>
      </c>
      <c r="AE138" s="176">
        <v>0</v>
      </c>
      <c r="AF138" s="176">
        <v>0</v>
      </c>
      <c r="AG138" s="175"/>
      <c r="AH138" s="154"/>
      <c r="AI138" s="152"/>
    </row>
    <row r="139" spans="1:35" outlineLevel="2">
      <c r="A139" s="154"/>
      <c r="B139" s="150" t="s">
        <v>836</v>
      </c>
      <c r="C139" s="717">
        <v>0.33300000000000002</v>
      </c>
      <c r="D139" s="717">
        <v>0.33300000000000002</v>
      </c>
      <c r="E139" s="717">
        <v>0.33300000000000002</v>
      </c>
      <c r="F139" s="364">
        <v>0</v>
      </c>
      <c r="G139" s="364">
        <v>0</v>
      </c>
      <c r="H139" s="364">
        <v>0</v>
      </c>
      <c r="I139" s="364">
        <v>0</v>
      </c>
      <c r="J139" s="364">
        <v>0</v>
      </c>
      <c r="K139" s="364">
        <v>0</v>
      </c>
      <c r="L139" s="364">
        <v>0</v>
      </c>
      <c r="M139" s="364">
        <v>0</v>
      </c>
      <c r="N139" s="364">
        <v>0</v>
      </c>
      <c r="O139" s="364">
        <v>0</v>
      </c>
      <c r="P139" s="364">
        <v>0</v>
      </c>
      <c r="Q139" s="364">
        <v>0</v>
      </c>
      <c r="R139" s="364">
        <v>0</v>
      </c>
      <c r="S139" s="364">
        <v>0</v>
      </c>
      <c r="T139" s="364">
        <v>0</v>
      </c>
      <c r="U139" s="364">
        <v>0</v>
      </c>
      <c r="V139" s="364">
        <v>0</v>
      </c>
      <c r="W139" s="364">
        <v>0</v>
      </c>
      <c r="X139" s="364">
        <v>0</v>
      </c>
      <c r="Y139" s="364">
        <v>0</v>
      </c>
      <c r="Z139" s="364">
        <v>0</v>
      </c>
      <c r="AA139" s="364">
        <v>0</v>
      </c>
      <c r="AB139" s="364">
        <v>0</v>
      </c>
      <c r="AC139" s="364">
        <v>0</v>
      </c>
      <c r="AD139" s="364">
        <v>0</v>
      </c>
      <c r="AE139" s="364">
        <v>0</v>
      </c>
      <c r="AF139" s="364">
        <v>0</v>
      </c>
      <c r="AG139" s="262"/>
      <c r="AH139" s="154"/>
      <c r="AI139" s="152"/>
    </row>
    <row r="140" spans="1:35" outlineLevel="2">
      <c r="A140" s="154"/>
      <c r="B140" s="260" t="s">
        <v>845</v>
      </c>
      <c r="C140" s="261">
        <f>C142</f>
        <v>155175.09000000003</v>
      </c>
      <c r="D140" s="261">
        <f>D142</f>
        <v>0</v>
      </c>
      <c r="E140" s="261">
        <f t="shared" ref="E140:L140" si="91">E142</f>
        <v>0</v>
      </c>
      <c r="F140" s="261">
        <f t="shared" si="91"/>
        <v>0</v>
      </c>
      <c r="G140" s="261">
        <f t="shared" si="91"/>
        <v>0</v>
      </c>
      <c r="H140" s="261">
        <f t="shared" si="91"/>
        <v>0</v>
      </c>
      <c r="I140" s="261">
        <f t="shared" si="91"/>
        <v>0</v>
      </c>
      <c r="J140" s="261">
        <f t="shared" si="91"/>
        <v>0</v>
      </c>
      <c r="K140" s="261">
        <f t="shared" si="91"/>
        <v>0</v>
      </c>
      <c r="L140" s="261">
        <f t="shared" si="91"/>
        <v>0</v>
      </c>
      <c r="M140" s="261">
        <f>M142</f>
        <v>31035.018000000007</v>
      </c>
      <c r="N140" s="261">
        <f t="shared" ref="N140:AF140" si="92">N142</f>
        <v>0</v>
      </c>
      <c r="O140" s="261">
        <f t="shared" si="92"/>
        <v>0</v>
      </c>
      <c r="P140" s="261">
        <f t="shared" si="92"/>
        <v>0</v>
      </c>
      <c r="Q140" s="261">
        <f t="shared" si="92"/>
        <v>0</v>
      </c>
      <c r="R140" s="261">
        <f t="shared" si="92"/>
        <v>0</v>
      </c>
      <c r="S140" s="261">
        <f t="shared" si="92"/>
        <v>0</v>
      </c>
      <c r="T140" s="261">
        <f t="shared" si="92"/>
        <v>0</v>
      </c>
      <c r="U140" s="261">
        <f t="shared" si="92"/>
        <v>0</v>
      </c>
      <c r="V140" s="261">
        <f t="shared" si="92"/>
        <v>0</v>
      </c>
      <c r="W140" s="261">
        <f t="shared" si="92"/>
        <v>31035.018000000007</v>
      </c>
      <c r="X140" s="261">
        <f t="shared" si="92"/>
        <v>0</v>
      </c>
      <c r="Y140" s="261">
        <f t="shared" si="92"/>
        <v>0</v>
      </c>
      <c r="Z140" s="261">
        <f t="shared" si="92"/>
        <v>0</v>
      </c>
      <c r="AA140" s="261">
        <f t="shared" si="92"/>
        <v>0</v>
      </c>
      <c r="AB140" s="261">
        <f t="shared" si="92"/>
        <v>0</v>
      </c>
      <c r="AC140" s="261">
        <f t="shared" si="92"/>
        <v>0</v>
      </c>
      <c r="AD140" s="261">
        <f t="shared" si="92"/>
        <v>0</v>
      </c>
      <c r="AE140" s="261">
        <f t="shared" si="92"/>
        <v>0</v>
      </c>
      <c r="AF140" s="261">
        <f t="shared" si="92"/>
        <v>0</v>
      </c>
      <c r="AG140" s="261">
        <f t="shared" ref="AG140" si="93">AG142</f>
        <v>0</v>
      </c>
      <c r="AH140" s="154"/>
      <c r="AI140" s="152"/>
    </row>
    <row r="141" spans="1:35" outlineLevel="2">
      <c r="A141" s="154"/>
      <c r="B141" s="190" t="s">
        <v>834</v>
      </c>
      <c r="C141" s="746">
        <f>SUM(C140:AF140)</f>
        <v>217245.12600000005</v>
      </c>
      <c r="D141" s="746"/>
      <c r="E141" s="746"/>
      <c r="F141" s="746"/>
      <c r="G141" s="746"/>
      <c r="H141" s="746"/>
      <c r="I141" s="746"/>
      <c r="J141" s="746"/>
      <c r="K141" s="746"/>
      <c r="L141" s="746"/>
      <c r="M141" s="746"/>
      <c r="N141" s="746"/>
      <c r="O141" s="746"/>
      <c r="P141" s="746"/>
      <c r="Q141" s="746"/>
      <c r="R141" s="746"/>
      <c r="S141" s="746"/>
      <c r="T141" s="746"/>
      <c r="U141" s="746"/>
      <c r="V141" s="746"/>
      <c r="W141" s="746"/>
      <c r="X141" s="746"/>
      <c r="Y141" s="746"/>
      <c r="Z141" s="746"/>
      <c r="AA141" s="746"/>
      <c r="AB141" s="746"/>
      <c r="AC141" s="746"/>
      <c r="AD141" s="746"/>
      <c r="AE141" s="746"/>
      <c r="AF141" s="746"/>
      <c r="AG141" s="261"/>
      <c r="AH141" s="154"/>
      <c r="AI141" s="152"/>
    </row>
    <row r="142" spans="1:35" outlineLevel="2">
      <c r="A142" s="154"/>
      <c r="B142" s="150" t="s">
        <v>846</v>
      </c>
      <c r="C142" s="509">
        <f>Insumos!$E$202</f>
        <v>155175.09000000003</v>
      </c>
      <c r="D142" s="509">
        <v>0</v>
      </c>
      <c r="E142" s="509">
        <v>0</v>
      </c>
      <c r="F142" s="747">
        <v>0</v>
      </c>
      <c r="G142" s="747">
        <v>0</v>
      </c>
      <c r="H142" s="747">
        <v>0</v>
      </c>
      <c r="I142" s="747">
        <v>0</v>
      </c>
      <c r="J142" s="747">
        <v>0</v>
      </c>
      <c r="K142" s="747">
        <v>0</v>
      </c>
      <c r="L142" s="747">
        <v>0</v>
      </c>
      <c r="M142" s="747">
        <f>C142*20%</f>
        <v>31035.018000000007</v>
      </c>
      <c r="N142" s="747">
        <v>0</v>
      </c>
      <c r="O142" s="747">
        <v>0</v>
      </c>
      <c r="P142" s="747">
        <v>0</v>
      </c>
      <c r="Q142" s="747">
        <v>0</v>
      </c>
      <c r="R142" s="747">
        <v>0</v>
      </c>
      <c r="S142" s="747">
        <v>0</v>
      </c>
      <c r="T142" s="747">
        <v>0</v>
      </c>
      <c r="U142" s="747">
        <v>0</v>
      </c>
      <c r="V142" s="747">
        <v>0</v>
      </c>
      <c r="W142" s="747">
        <f>M142</f>
        <v>31035.018000000007</v>
      </c>
      <c r="X142" s="747">
        <v>0</v>
      </c>
      <c r="Y142" s="747">
        <v>0</v>
      </c>
      <c r="Z142" s="747">
        <v>0</v>
      </c>
      <c r="AA142" s="747">
        <v>0</v>
      </c>
      <c r="AB142" s="747">
        <v>0</v>
      </c>
      <c r="AC142" s="747">
        <v>0</v>
      </c>
      <c r="AD142" s="747">
        <v>0</v>
      </c>
      <c r="AE142" s="747">
        <v>0</v>
      </c>
      <c r="AF142" s="747">
        <v>0</v>
      </c>
      <c r="AG142" s="175"/>
      <c r="AH142" s="154"/>
      <c r="AI142" s="152"/>
    </row>
    <row r="143" spans="1:35" outlineLevel="2">
      <c r="A143" s="154"/>
      <c r="B143" s="181" t="s">
        <v>836</v>
      </c>
      <c r="C143" s="717">
        <v>0.7142857142857143</v>
      </c>
      <c r="D143" s="717">
        <v>0</v>
      </c>
      <c r="E143" s="717">
        <v>0</v>
      </c>
      <c r="F143" s="364">
        <v>0</v>
      </c>
      <c r="G143" s="364">
        <v>0</v>
      </c>
      <c r="H143" s="364">
        <v>0</v>
      </c>
      <c r="I143" s="364">
        <v>0</v>
      </c>
      <c r="J143" s="364">
        <v>0</v>
      </c>
      <c r="K143" s="364">
        <v>0</v>
      </c>
      <c r="L143" s="364">
        <v>0</v>
      </c>
      <c r="M143" s="364">
        <v>0.14285714285714285</v>
      </c>
      <c r="N143" s="364">
        <v>0</v>
      </c>
      <c r="O143" s="364">
        <v>0</v>
      </c>
      <c r="P143" s="364">
        <v>0</v>
      </c>
      <c r="Q143" s="364">
        <v>0</v>
      </c>
      <c r="R143" s="364">
        <v>0</v>
      </c>
      <c r="S143" s="364">
        <v>0</v>
      </c>
      <c r="T143" s="364">
        <v>0</v>
      </c>
      <c r="U143" s="364">
        <v>0</v>
      </c>
      <c r="V143" s="364">
        <v>0</v>
      </c>
      <c r="W143" s="364">
        <v>0.14285714285714285</v>
      </c>
      <c r="X143" s="364">
        <v>0</v>
      </c>
      <c r="Y143" s="364">
        <v>0</v>
      </c>
      <c r="Z143" s="364">
        <v>0</v>
      </c>
      <c r="AA143" s="364">
        <v>0</v>
      </c>
      <c r="AB143" s="364">
        <v>0</v>
      </c>
      <c r="AC143" s="364">
        <v>0</v>
      </c>
      <c r="AD143" s="364">
        <v>0</v>
      </c>
      <c r="AE143" s="364">
        <v>0</v>
      </c>
      <c r="AF143" s="364">
        <v>0</v>
      </c>
      <c r="AG143" s="262"/>
      <c r="AH143" s="154"/>
      <c r="AI143" s="152"/>
    </row>
    <row r="144" spans="1:35" s="514" customFormat="1" ht="15.75" customHeight="1" outlineLevel="2">
      <c r="A144" s="154"/>
      <c r="B144" s="711" t="s">
        <v>847</v>
      </c>
      <c r="C144" s="622">
        <f>C146</f>
        <v>0</v>
      </c>
      <c r="D144" s="622">
        <f>D146</f>
        <v>0</v>
      </c>
      <c r="E144" s="622">
        <f>E146</f>
        <v>175865.10200000001</v>
      </c>
      <c r="F144" s="622">
        <f t="shared" ref="F144:L144" si="94">F146</f>
        <v>0</v>
      </c>
      <c r="G144" s="622">
        <f t="shared" si="94"/>
        <v>0</v>
      </c>
      <c r="H144" s="622">
        <f t="shared" si="94"/>
        <v>0</v>
      </c>
      <c r="I144" s="622">
        <f t="shared" si="94"/>
        <v>0</v>
      </c>
      <c r="J144" s="622">
        <f t="shared" si="94"/>
        <v>0</v>
      </c>
      <c r="K144" s="622">
        <f t="shared" si="94"/>
        <v>0</v>
      </c>
      <c r="L144" s="622">
        <f t="shared" si="94"/>
        <v>20000</v>
      </c>
      <c r="M144" s="622">
        <f>M146</f>
        <v>0</v>
      </c>
      <c r="N144" s="622">
        <f t="shared" ref="N144:AF144" si="95">N146</f>
        <v>0</v>
      </c>
      <c r="O144" s="622">
        <f t="shared" si="95"/>
        <v>0</v>
      </c>
      <c r="P144" s="622">
        <f t="shared" si="95"/>
        <v>20000</v>
      </c>
      <c r="Q144" s="622">
        <f t="shared" si="95"/>
        <v>0</v>
      </c>
      <c r="R144" s="622">
        <f t="shared" si="95"/>
        <v>0</v>
      </c>
      <c r="S144" s="622">
        <f t="shared" si="95"/>
        <v>0</v>
      </c>
      <c r="T144" s="622">
        <f t="shared" si="95"/>
        <v>20000</v>
      </c>
      <c r="U144" s="622">
        <f t="shared" si="95"/>
        <v>0</v>
      </c>
      <c r="V144" s="622">
        <f t="shared" si="95"/>
        <v>0</v>
      </c>
      <c r="W144" s="622">
        <f t="shared" si="95"/>
        <v>0</v>
      </c>
      <c r="X144" s="622">
        <f t="shared" si="95"/>
        <v>20000</v>
      </c>
      <c r="Y144" s="622">
        <f t="shared" si="95"/>
        <v>0</v>
      </c>
      <c r="Z144" s="622">
        <f t="shared" si="95"/>
        <v>0</v>
      </c>
      <c r="AA144" s="622">
        <f t="shared" si="95"/>
        <v>0</v>
      </c>
      <c r="AB144" s="622">
        <f t="shared" si="95"/>
        <v>20000</v>
      </c>
      <c r="AC144" s="622">
        <f t="shared" si="95"/>
        <v>0</v>
      </c>
      <c r="AD144" s="622">
        <f t="shared" si="95"/>
        <v>0</v>
      </c>
      <c r="AE144" s="622">
        <f t="shared" si="95"/>
        <v>0</v>
      </c>
      <c r="AF144" s="622">
        <f t="shared" si="95"/>
        <v>20000</v>
      </c>
      <c r="AG144" s="622">
        <f t="shared" ref="AG144" si="96">AG146</f>
        <v>0</v>
      </c>
      <c r="AH144" s="510"/>
      <c r="AI144" s="512"/>
    </row>
    <row r="145" spans="1:35" s="514" customFormat="1" ht="15.75" customHeight="1" outlineLevel="2">
      <c r="A145" s="154"/>
      <c r="B145" s="696" t="s">
        <v>834</v>
      </c>
      <c r="C145" s="632">
        <f>SUM(C146:AF146)</f>
        <v>295865.10200000001</v>
      </c>
      <c r="D145" s="632">
        <v>0</v>
      </c>
      <c r="E145" s="632">
        <v>0</v>
      </c>
      <c r="F145" s="632">
        <v>0</v>
      </c>
      <c r="G145" s="632">
        <v>0</v>
      </c>
      <c r="H145" s="632">
        <v>0</v>
      </c>
      <c r="I145" s="632">
        <v>0</v>
      </c>
      <c r="J145" s="632">
        <v>0</v>
      </c>
      <c r="K145" s="632">
        <v>0</v>
      </c>
      <c r="L145" s="632">
        <v>0</v>
      </c>
      <c r="M145" s="632">
        <v>0</v>
      </c>
      <c r="N145" s="632">
        <v>0</v>
      </c>
      <c r="O145" s="632">
        <v>0</v>
      </c>
      <c r="P145" s="632">
        <v>0</v>
      </c>
      <c r="Q145" s="632">
        <v>0</v>
      </c>
      <c r="R145" s="632">
        <v>0</v>
      </c>
      <c r="S145" s="632">
        <v>0</v>
      </c>
      <c r="T145" s="632">
        <v>0</v>
      </c>
      <c r="U145" s="632">
        <v>0</v>
      </c>
      <c r="V145" s="632">
        <v>0</v>
      </c>
      <c r="W145" s="632">
        <v>0</v>
      </c>
      <c r="X145" s="632">
        <v>0</v>
      </c>
      <c r="Y145" s="632">
        <v>0</v>
      </c>
      <c r="Z145" s="632">
        <v>0</v>
      </c>
      <c r="AA145" s="632">
        <v>0</v>
      </c>
      <c r="AB145" s="632">
        <v>0</v>
      </c>
      <c r="AC145" s="632">
        <v>0</v>
      </c>
      <c r="AD145" s="632">
        <v>0</v>
      </c>
      <c r="AE145" s="632">
        <v>0</v>
      </c>
      <c r="AF145" s="632">
        <v>0</v>
      </c>
      <c r="AG145" s="622"/>
      <c r="AH145" s="510"/>
      <c r="AI145" s="512"/>
    </row>
    <row r="146" spans="1:35" s="514" customFormat="1" ht="15" customHeight="1" outlineLevel="2">
      <c r="A146" s="154"/>
      <c r="B146" s="572" t="s">
        <v>846</v>
      </c>
      <c r="C146" s="509">
        <v>0</v>
      </c>
      <c r="D146" s="509">
        <v>0</v>
      </c>
      <c r="E146" s="509">
        <f>Insumos!$E$190</f>
        <v>175865.10200000001</v>
      </c>
      <c r="F146" s="747">
        <v>0</v>
      </c>
      <c r="G146" s="747">
        <v>0</v>
      </c>
      <c r="H146" s="747">
        <v>0</v>
      </c>
      <c r="I146" s="747">
        <v>0</v>
      </c>
      <c r="J146" s="747">
        <v>0</v>
      </c>
      <c r="K146" s="747">
        <v>0</v>
      </c>
      <c r="L146" s="747">
        <v>20000</v>
      </c>
      <c r="M146" s="747">
        <v>0</v>
      </c>
      <c r="N146" s="747">
        <v>0</v>
      </c>
      <c r="O146" s="747">
        <v>0</v>
      </c>
      <c r="P146" s="747">
        <v>20000</v>
      </c>
      <c r="Q146" s="747">
        <v>0</v>
      </c>
      <c r="R146" s="747">
        <v>0</v>
      </c>
      <c r="S146" s="747">
        <v>0</v>
      </c>
      <c r="T146" s="747">
        <v>20000</v>
      </c>
      <c r="U146" s="747">
        <v>0</v>
      </c>
      <c r="V146" s="747">
        <v>0</v>
      </c>
      <c r="W146" s="747">
        <v>0</v>
      </c>
      <c r="X146" s="747">
        <v>20000</v>
      </c>
      <c r="Y146" s="747">
        <v>0</v>
      </c>
      <c r="Z146" s="747">
        <v>0</v>
      </c>
      <c r="AA146" s="747">
        <v>0</v>
      </c>
      <c r="AB146" s="747">
        <v>20000</v>
      </c>
      <c r="AC146" s="747">
        <v>0</v>
      </c>
      <c r="AD146" s="747">
        <v>0</v>
      </c>
      <c r="AE146" s="747">
        <v>0</v>
      </c>
      <c r="AF146" s="747">
        <v>20000</v>
      </c>
      <c r="AG146" s="175"/>
      <c r="AH146" s="510"/>
      <c r="AI146" s="512"/>
    </row>
    <row r="147" spans="1:35" s="514" customFormat="1" ht="15.75" customHeight="1" outlineLevel="2">
      <c r="A147" s="154"/>
      <c r="B147" s="572" t="s">
        <v>836</v>
      </c>
      <c r="C147" s="646">
        <f>C146/$C$145</f>
        <v>0</v>
      </c>
      <c r="D147" s="646">
        <f t="shared" ref="D147:AF147" si="97">D146/$C$145</f>
        <v>0</v>
      </c>
      <c r="E147" s="646">
        <f t="shared" si="97"/>
        <v>0.5944097523201638</v>
      </c>
      <c r="F147" s="646">
        <f t="shared" si="97"/>
        <v>0</v>
      </c>
      <c r="G147" s="646">
        <f t="shared" si="97"/>
        <v>0</v>
      </c>
      <c r="H147" s="646">
        <f t="shared" si="97"/>
        <v>0</v>
      </c>
      <c r="I147" s="646">
        <f t="shared" si="97"/>
        <v>0</v>
      </c>
      <c r="J147" s="646">
        <f t="shared" si="97"/>
        <v>0</v>
      </c>
      <c r="K147" s="646">
        <f t="shared" si="97"/>
        <v>0</v>
      </c>
      <c r="L147" s="646">
        <f t="shared" si="97"/>
        <v>6.7598374613306034E-2</v>
      </c>
      <c r="M147" s="646">
        <f t="shared" si="97"/>
        <v>0</v>
      </c>
      <c r="N147" s="646">
        <f t="shared" si="97"/>
        <v>0</v>
      </c>
      <c r="O147" s="646">
        <f t="shared" si="97"/>
        <v>0</v>
      </c>
      <c r="P147" s="646">
        <f t="shared" si="97"/>
        <v>6.7598374613306034E-2</v>
      </c>
      <c r="Q147" s="646">
        <f t="shared" si="97"/>
        <v>0</v>
      </c>
      <c r="R147" s="646">
        <f t="shared" si="97"/>
        <v>0</v>
      </c>
      <c r="S147" s="646">
        <f t="shared" si="97"/>
        <v>0</v>
      </c>
      <c r="T147" s="646">
        <f t="shared" si="97"/>
        <v>6.7598374613306034E-2</v>
      </c>
      <c r="U147" s="646">
        <f t="shared" si="97"/>
        <v>0</v>
      </c>
      <c r="V147" s="646">
        <f t="shared" si="97"/>
        <v>0</v>
      </c>
      <c r="W147" s="646">
        <f t="shared" si="97"/>
        <v>0</v>
      </c>
      <c r="X147" s="646">
        <f t="shared" si="97"/>
        <v>6.7598374613306034E-2</v>
      </c>
      <c r="Y147" s="646">
        <f t="shared" si="97"/>
        <v>0</v>
      </c>
      <c r="Z147" s="646">
        <f t="shared" si="97"/>
        <v>0</v>
      </c>
      <c r="AA147" s="646">
        <f t="shared" si="97"/>
        <v>0</v>
      </c>
      <c r="AB147" s="646">
        <f t="shared" si="97"/>
        <v>6.7598374613306034E-2</v>
      </c>
      <c r="AC147" s="646">
        <f t="shared" si="97"/>
        <v>0</v>
      </c>
      <c r="AD147" s="646">
        <f t="shared" si="97"/>
        <v>0</v>
      </c>
      <c r="AE147" s="646">
        <f t="shared" si="97"/>
        <v>0</v>
      </c>
      <c r="AF147" s="646">
        <f t="shared" si="97"/>
        <v>6.7598374613306034E-2</v>
      </c>
      <c r="AG147" s="262"/>
      <c r="AH147" s="510"/>
      <c r="AI147" s="512"/>
    </row>
    <row r="148" spans="1:35" s="514" customFormat="1" ht="15.75" customHeight="1" outlineLevel="2">
      <c r="A148" s="154"/>
      <c r="B148" s="711" t="s">
        <v>848</v>
      </c>
      <c r="C148" s="622">
        <f>F150</f>
        <v>0</v>
      </c>
      <c r="D148" s="622">
        <f>D150</f>
        <v>0</v>
      </c>
      <c r="E148" s="622">
        <f>E150</f>
        <v>0</v>
      </c>
      <c r="F148" s="622">
        <f>F150</f>
        <v>0</v>
      </c>
      <c r="G148" s="622">
        <f t="shared" ref="G148:L148" si="98">G150</f>
        <v>0</v>
      </c>
      <c r="H148" s="622">
        <f>H150</f>
        <v>5554769.9858210282</v>
      </c>
      <c r="I148" s="622">
        <f t="shared" si="98"/>
        <v>0</v>
      </c>
      <c r="J148" s="622">
        <f t="shared" si="98"/>
        <v>0</v>
      </c>
      <c r="K148" s="622">
        <f t="shared" si="98"/>
        <v>0</v>
      </c>
      <c r="L148" s="622">
        <f t="shared" si="98"/>
        <v>0</v>
      </c>
      <c r="M148" s="622">
        <f>M150</f>
        <v>0</v>
      </c>
      <c r="N148" s="622">
        <f t="shared" ref="N148:AF148" si="99">N150</f>
        <v>0</v>
      </c>
      <c r="O148" s="622">
        <f>O150</f>
        <v>0</v>
      </c>
      <c r="P148" s="622">
        <f>P150</f>
        <v>0</v>
      </c>
      <c r="Q148" s="622">
        <f t="shared" si="99"/>
        <v>0</v>
      </c>
      <c r="R148" s="622">
        <f t="shared" si="99"/>
        <v>1110953.9971642056</v>
      </c>
      <c r="S148" s="622">
        <f t="shared" si="99"/>
        <v>0</v>
      </c>
      <c r="T148" s="622">
        <f t="shared" si="99"/>
        <v>0</v>
      </c>
      <c r="U148" s="622">
        <f t="shared" si="99"/>
        <v>0</v>
      </c>
      <c r="V148" s="622">
        <f t="shared" si="99"/>
        <v>0</v>
      </c>
      <c r="W148" s="622">
        <f t="shared" si="99"/>
        <v>0</v>
      </c>
      <c r="X148" s="622">
        <f t="shared" si="99"/>
        <v>0</v>
      </c>
      <c r="Y148" s="622">
        <f>Y150</f>
        <v>0</v>
      </c>
      <c r="Z148" s="622">
        <f>Z150</f>
        <v>0</v>
      </c>
      <c r="AA148" s="622">
        <f t="shared" si="99"/>
        <v>0</v>
      </c>
      <c r="AB148" s="622">
        <f t="shared" si="99"/>
        <v>1110953.9971642056</v>
      </c>
      <c r="AC148" s="622">
        <f t="shared" si="99"/>
        <v>0</v>
      </c>
      <c r="AD148" s="622">
        <f t="shared" si="99"/>
        <v>0</v>
      </c>
      <c r="AE148" s="622">
        <f t="shared" si="99"/>
        <v>0</v>
      </c>
      <c r="AF148" s="622">
        <f t="shared" si="99"/>
        <v>0</v>
      </c>
      <c r="AG148" s="622">
        <f t="shared" ref="AG148" si="100">AG150</f>
        <v>0</v>
      </c>
      <c r="AH148" s="510"/>
      <c r="AI148" s="512"/>
    </row>
    <row r="149" spans="1:35" s="514" customFormat="1" ht="15.75" customHeight="1" outlineLevel="2">
      <c r="A149" s="154"/>
      <c r="B149" s="696" t="s">
        <v>834</v>
      </c>
      <c r="C149" s="632">
        <f>SUM(D150:AF150)</f>
        <v>7776677.9801494395</v>
      </c>
      <c r="D149" s="632"/>
      <c r="E149" s="632"/>
      <c r="F149" s="632"/>
      <c r="G149" s="632"/>
      <c r="H149" s="632"/>
      <c r="I149" s="632"/>
      <c r="J149" s="632"/>
      <c r="K149" s="632"/>
      <c r="L149" s="632"/>
      <c r="M149" s="632"/>
      <c r="N149" s="632"/>
      <c r="O149" s="632"/>
      <c r="P149" s="632"/>
      <c r="Q149" s="632"/>
      <c r="R149" s="632"/>
      <c r="S149" s="632"/>
      <c r="T149" s="632"/>
      <c r="U149" s="632"/>
      <c r="V149" s="632"/>
      <c r="W149" s="632"/>
      <c r="X149" s="632"/>
      <c r="Y149" s="632"/>
      <c r="Z149" s="632"/>
      <c r="AA149" s="632"/>
      <c r="AB149" s="632"/>
      <c r="AC149" s="632"/>
      <c r="AD149" s="632"/>
      <c r="AE149" s="632"/>
      <c r="AF149" s="632"/>
      <c r="AG149" s="622"/>
      <c r="AH149" s="510"/>
      <c r="AI149" s="512"/>
    </row>
    <row r="150" spans="1:35" s="514" customFormat="1" ht="15" customHeight="1" outlineLevel="2">
      <c r="A150" s="154"/>
      <c r="B150" s="572" t="s">
        <v>846</v>
      </c>
      <c r="C150" s="509">
        <v>0</v>
      </c>
      <c r="D150" s="509">
        <v>0</v>
      </c>
      <c r="E150" s="509">
        <v>0</v>
      </c>
      <c r="F150" s="509">
        <v>0</v>
      </c>
      <c r="G150" s="509">
        <v>0</v>
      </c>
      <c r="H150" s="509">
        <f>Insumos!$E$187</f>
        <v>5554769.9858210282</v>
      </c>
      <c r="I150" s="747">
        <v>0</v>
      </c>
      <c r="J150" s="747">
        <v>0</v>
      </c>
      <c r="K150" s="747">
        <v>0</v>
      </c>
      <c r="L150" s="747">
        <v>0</v>
      </c>
      <c r="M150" s="747">
        <v>0</v>
      </c>
      <c r="N150" s="747">
        <v>0</v>
      </c>
      <c r="O150" s="747">
        <v>0</v>
      </c>
      <c r="P150" s="747">
        <v>0</v>
      </c>
      <c r="Q150" s="747">
        <f>G150*20%</f>
        <v>0</v>
      </c>
      <c r="R150" s="747">
        <f>H150*20%</f>
        <v>1110953.9971642056</v>
      </c>
      <c r="S150" s="747">
        <v>0</v>
      </c>
      <c r="T150" s="747">
        <v>0</v>
      </c>
      <c r="U150" s="747">
        <v>0</v>
      </c>
      <c r="V150" s="747">
        <v>0</v>
      </c>
      <c r="W150" s="747">
        <v>0</v>
      </c>
      <c r="X150" s="747">
        <v>0</v>
      </c>
      <c r="Y150" s="747">
        <v>0</v>
      </c>
      <c r="Z150" s="747">
        <v>0</v>
      </c>
      <c r="AA150" s="747">
        <f>Q150</f>
        <v>0</v>
      </c>
      <c r="AB150" s="747">
        <f>H150*20%</f>
        <v>1110953.9971642056</v>
      </c>
      <c r="AC150" s="747">
        <v>0</v>
      </c>
      <c r="AD150" s="747">
        <v>0</v>
      </c>
      <c r="AE150" s="747">
        <v>0</v>
      </c>
      <c r="AF150" s="747">
        <v>0</v>
      </c>
      <c r="AG150" s="175"/>
      <c r="AH150" s="510"/>
      <c r="AI150" s="512"/>
    </row>
    <row r="151" spans="1:35" s="514" customFormat="1" ht="15.75" customHeight="1" outlineLevel="2">
      <c r="A151" s="154"/>
      <c r="B151" s="572" t="s">
        <v>836</v>
      </c>
      <c r="C151" s="646">
        <f>C150/$C$145</f>
        <v>0</v>
      </c>
      <c r="D151" s="646">
        <f>D150/$C$141</f>
        <v>0</v>
      </c>
      <c r="E151" s="646">
        <f t="shared" ref="E151:G151" si="101">E150/$C$141</f>
        <v>0</v>
      </c>
      <c r="F151" s="646">
        <f t="shared" si="101"/>
        <v>0</v>
      </c>
      <c r="G151" s="646">
        <f t="shared" si="101"/>
        <v>0</v>
      </c>
      <c r="H151" s="646">
        <f>H150/$C$149</f>
        <v>0.7142857142857143</v>
      </c>
      <c r="I151" s="646">
        <f t="shared" ref="I151:AF151" si="102">I150/$C$149</f>
        <v>0</v>
      </c>
      <c r="J151" s="646">
        <f t="shared" si="102"/>
        <v>0</v>
      </c>
      <c r="K151" s="646">
        <f t="shared" si="102"/>
        <v>0</v>
      </c>
      <c r="L151" s="646">
        <f t="shared" si="102"/>
        <v>0</v>
      </c>
      <c r="M151" s="646">
        <f t="shared" si="102"/>
        <v>0</v>
      </c>
      <c r="N151" s="646">
        <f t="shared" si="102"/>
        <v>0</v>
      </c>
      <c r="O151" s="646">
        <f t="shared" si="102"/>
        <v>0</v>
      </c>
      <c r="P151" s="646">
        <f t="shared" si="102"/>
        <v>0</v>
      </c>
      <c r="Q151" s="646">
        <f t="shared" si="102"/>
        <v>0</v>
      </c>
      <c r="R151" s="646">
        <f t="shared" si="102"/>
        <v>0.14285714285714285</v>
      </c>
      <c r="S151" s="646">
        <f t="shared" si="102"/>
        <v>0</v>
      </c>
      <c r="T151" s="646">
        <f t="shared" si="102"/>
        <v>0</v>
      </c>
      <c r="U151" s="646">
        <f t="shared" si="102"/>
        <v>0</v>
      </c>
      <c r="V151" s="646">
        <f t="shared" si="102"/>
        <v>0</v>
      </c>
      <c r="W151" s="646">
        <f t="shared" si="102"/>
        <v>0</v>
      </c>
      <c r="X151" s="646">
        <f t="shared" si="102"/>
        <v>0</v>
      </c>
      <c r="Y151" s="646">
        <f t="shared" si="102"/>
        <v>0</v>
      </c>
      <c r="Z151" s="646">
        <f t="shared" si="102"/>
        <v>0</v>
      </c>
      <c r="AA151" s="646">
        <f t="shared" si="102"/>
        <v>0</v>
      </c>
      <c r="AB151" s="646">
        <f t="shared" si="102"/>
        <v>0.14285714285714285</v>
      </c>
      <c r="AC151" s="646">
        <f t="shared" si="102"/>
        <v>0</v>
      </c>
      <c r="AD151" s="646">
        <f t="shared" si="102"/>
        <v>0</v>
      </c>
      <c r="AE151" s="646">
        <f t="shared" si="102"/>
        <v>0</v>
      </c>
      <c r="AF151" s="646">
        <f t="shared" si="102"/>
        <v>0</v>
      </c>
      <c r="AG151" s="262"/>
      <c r="AH151" s="510"/>
      <c r="AI151" s="512"/>
    </row>
    <row r="152" spans="1:35" s="514" customFormat="1" ht="15.75" customHeight="1" outlineLevel="2">
      <c r="A152" s="154"/>
      <c r="B152" s="711" t="s">
        <v>849</v>
      </c>
      <c r="C152" s="622">
        <f>F154</f>
        <v>0</v>
      </c>
      <c r="D152" s="622">
        <f>D154</f>
        <v>0</v>
      </c>
      <c r="E152" s="622"/>
      <c r="F152" s="622">
        <f>F154</f>
        <v>0</v>
      </c>
      <c r="G152" s="622">
        <f t="shared" ref="G152:L152" si="103">G154</f>
        <v>0</v>
      </c>
      <c r="H152" s="622">
        <f t="shared" si="103"/>
        <v>6602767.7358392412</v>
      </c>
      <c r="I152" s="622">
        <f t="shared" si="103"/>
        <v>0</v>
      </c>
      <c r="J152" s="622">
        <f t="shared" si="103"/>
        <v>0</v>
      </c>
      <c r="K152" s="622">
        <f t="shared" si="103"/>
        <v>0</v>
      </c>
      <c r="L152" s="622">
        <f t="shared" si="103"/>
        <v>0</v>
      </c>
      <c r="M152" s="622">
        <f>M154</f>
        <v>0</v>
      </c>
      <c r="N152" s="622">
        <f t="shared" ref="N152:AF152" si="104">N154</f>
        <v>0</v>
      </c>
      <c r="O152" s="622">
        <f t="shared" si="104"/>
        <v>0</v>
      </c>
      <c r="P152" s="622">
        <f>P154</f>
        <v>0</v>
      </c>
      <c r="Q152" s="622">
        <f t="shared" si="104"/>
        <v>0</v>
      </c>
      <c r="R152" s="622">
        <f t="shared" si="104"/>
        <v>1320553.5471678483</v>
      </c>
      <c r="S152" s="622">
        <f t="shared" si="104"/>
        <v>0</v>
      </c>
      <c r="T152" s="622">
        <f t="shared" si="104"/>
        <v>0</v>
      </c>
      <c r="U152" s="622">
        <f t="shared" si="104"/>
        <v>0</v>
      </c>
      <c r="V152" s="622">
        <f t="shared" si="104"/>
        <v>0</v>
      </c>
      <c r="W152" s="622">
        <f t="shared" si="104"/>
        <v>0</v>
      </c>
      <c r="X152" s="622">
        <f t="shared" si="104"/>
        <v>0</v>
      </c>
      <c r="Y152" s="622">
        <v>0</v>
      </c>
      <c r="Z152" s="622">
        <f>Z154</f>
        <v>0</v>
      </c>
      <c r="AA152" s="622">
        <f t="shared" si="104"/>
        <v>0</v>
      </c>
      <c r="AB152" s="622">
        <f t="shared" si="104"/>
        <v>1320553.5471678483</v>
      </c>
      <c r="AC152" s="622">
        <f t="shared" si="104"/>
        <v>0</v>
      </c>
      <c r="AD152" s="622">
        <f t="shared" si="104"/>
        <v>0</v>
      </c>
      <c r="AE152" s="622">
        <f t="shared" si="104"/>
        <v>0</v>
      </c>
      <c r="AF152" s="622">
        <f t="shared" si="104"/>
        <v>0</v>
      </c>
      <c r="AG152" s="622">
        <f t="shared" ref="AG152" si="105">AG154</f>
        <v>0</v>
      </c>
      <c r="AH152" s="510"/>
      <c r="AI152" s="512"/>
    </row>
    <row r="153" spans="1:35" s="514" customFormat="1" ht="15.75" customHeight="1" outlineLevel="2">
      <c r="A153" s="154"/>
      <c r="B153" s="696" t="s">
        <v>834</v>
      </c>
      <c r="C153" s="632">
        <f>SUM(D154:AF154)</f>
        <v>9243874.8301749378</v>
      </c>
      <c r="D153" s="632"/>
      <c r="E153" s="632"/>
      <c r="F153" s="632"/>
      <c r="G153" s="632"/>
      <c r="H153" s="632"/>
      <c r="I153" s="632"/>
      <c r="J153" s="632"/>
      <c r="K153" s="632"/>
      <c r="L153" s="632"/>
      <c r="M153" s="632"/>
      <c r="N153" s="632"/>
      <c r="O153" s="632"/>
      <c r="P153" s="632"/>
      <c r="Q153" s="632"/>
      <c r="R153" s="632"/>
      <c r="S153" s="632"/>
      <c r="T153" s="632"/>
      <c r="U153" s="632"/>
      <c r="V153" s="632"/>
      <c r="W153" s="632"/>
      <c r="X153" s="632"/>
      <c r="Y153" s="632"/>
      <c r="Z153" s="632"/>
      <c r="AA153" s="632"/>
      <c r="AB153" s="632"/>
      <c r="AC153" s="632"/>
      <c r="AD153" s="632"/>
      <c r="AE153" s="632"/>
      <c r="AF153" s="632"/>
      <c r="AG153" s="622"/>
      <c r="AH153" s="510"/>
      <c r="AI153" s="512"/>
    </row>
    <row r="154" spans="1:35" s="514" customFormat="1" ht="15" customHeight="1" outlineLevel="2">
      <c r="A154" s="154"/>
      <c r="B154" s="572" t="s">
        <v>846</v>
      </c>
      <c r="C154" s="509">
        <v>0</v>
      </c>
      <c r="D154" s="509">
        <v>0</v>
      </c>
      <c r="E154" s="509">
        <v>0</v>
      </c>
      <c r="F154" s="509">
        <v>0</v>
      </c>
      <c r="G154" s="509">
        <v>0</v>
      </c>
      <c r="H154" s="509">
        <f>Insumos!$E$188</f>
        <v>6602767.7358392412</v>
      </c>
      <c r="I154" s="747">
        <v>0</v>
      </c>
      <c r="J154" s="747">
        <v>0</v>
      </c>
      <c r="K154" s="747">
        <v>0</v>
      </c>
      <c r="L154" s="747">
        <v>0</v>
      </c>
      <c r="M154" s="747">
        <v>0</v>
      </c>
      <c r="N154" s="747">
        <v>0</v>
      </c>
      <c r="O154" s="747">
        <v>0</v>
      </c>
      <c r="P154" s="747">
        <v>0</v>
      </c>
      <c r="Q154" s="747">
        <f>G154*20%</f>
        <v>0</v>
      </c>
      <c r="R154" s="747">
        <f>H154*20%</f>
        <v>1320553.5471678483</v>
      </c>
      <c r="S154" s="747">
        <v>0</v>
      </c>
      <c r="T154" s="747">
        <v>0</v>
      </c>
      <c r="U154" s="747">
        <v>0</v>
      </c>
      <c r="V154" s="747">
        <v>0</v>
      </c>
      <c r="W154" s="747">
        <v>0</v>
      </c>
      <c r="X154" s="747">
        <v>0</v>
      </c>
      <c r="Y154" s="747">
        <v>0</v>
      </c>
      <c r="Z154" s="747">
        <v>0</v>
      </c>
      <c r="AA154" s="747">
        <f>Q154</f>
        <v>0</v>
      </c>
      <c r="AB154" s="747">
        <f>R154</f>
        <v>1320553.5471678483</v>
      </c>
      <c r="AC154" s="747">
        <v>0</v>
      </c>
      <c r="AD154" s="747">
        <v>0</v>
      </c>
      <c r="AE154" s="747">
        <v>0</v>
      </c>
      <c r="AF154" s="747">
        <v>0</v>
      </c>
      <c r="AG154" s="175"/>
      <c r="AH154" s="510"/>
      <c r="AI154" s="512"/>
    </row>
    <row r="155" spans="1:35" s="514" customFormat="1" ht="15.75" customHeight="1" outlineLevel="2">
      <c r="A155" s="154"/>
      <c r="B155" s="572" t="s">
        <v>836</v>
      </c>
      <c r="C155" s="646">
        <f>C154/$C$145</f>
        <v>0</v>
      </c>
      <c r="D155" s="646">
        <f>D154/$C$141</f>
        <v>0</v>
      </c>
      <c r="E155" s="646">
        <f t="shared" ref="E155:G155" si="106">E154/$C$141</f>
        <v>0</v>
      </c>
      <c r="F155" s="646">
        <f t="shared" si="106"/>
        <v>0</v>
      </c>
      <c r="G155" s="646">
        <f t="shared" si="106"/>
        <v>0</v>
      </c>
      <c r="H155" s="646">
        <f>H154/$C$153</f>
        <v>0.7142857142857143</v>
      </c>
      <c r="I155" s="646">
        <f t="shared" ref="I155:AF155" si="107">I154/$C$153</f>
        <v>0</v>
      </c>
      <c r="J155" s="646">
        <f t="shared" si="107"/>
        <v>0</v>
      </c>
      <c r="K155" s="646">
        <f t="shared" si="107"/>
        <v>0</v>
      </c>
      <c r="L155" s="646">
        <f t="shared" si="107"/>
        <v>0</v>
      </c>
      <c r="M155" s="646">
        <f t="shared" si="107"/>
        <v>0</v>
      </c>
      <c r="N155" s="646">
        <f t="shared" si="107"/>
        <v>0</v>
      </c>
      <c r="O155" s="646">
        <f t="shared" si="107"/>
        <v>0</v>
      </c>
      <c r="P155" s="646">
        <f t="shared" si="107"/>
        <v>0</v>
      </c>
      <c r="Q155" s="646">
        <f t="shared" si="107"/>
        <v>0</v>
      </c>
      <c r="R155" s="646">
        <f t="shared" si="107"/>
        <v>0.14285714285714288</v>
      </c>
      <c r="S155" s="646">
        <f t="shared" si="107"/>
        <v>0</v>
      </c>
      <c r="T155" s="646">
        <f t="shared" si="107"/>
        <v>0</v>
      </c>
      <c r="U155" s="646">
        <f t="shared" si="107"/>
        <v>0</v>
      </c>
      <c r="V155" s="646">
        <f t="shared" si="107"/>
        <v>0</v>
      </c>
      <c r="W155" s="646">
        <f t="shared" si="107"/>
        <v>0</v>
      </c>
      <c r="X155" s="646">
        <f t="shared" si="107"/>
        <v>0</v>
      </c>
      <c r="Y155" s="646">
        <f t="shared" si="107"/>
        <v>0</v>
      </c>
      <c r="Z155" s="646">
        <f t="shared" si="107"/>
        <v>0</v>
      </c>
      <c r="AA155" s="646">
        <f t="shared" si="107"/>
        <v>0</v>
      </c>
      <c r="AB155" s="646">
        <f t="shared" si="107"/>
        <v>0.14285714285714288</v>
      </c>
      <c r="AC155" s="646">
        <f t="shared" si="107"/>
        <v>0</v>
      </c>
      <c r="AD155" s="646">
        <f t="shared" si="107"/>
        <v>0</v>
      </c>
      <c r="AE155" s="646">
        <f t="shared" si="107"/>
        <v>0</v>
      </c>
      <c r="AF155" s="646">
        <f t="shared" si="107"/>
        <v>0</v>
      </c>
      <c r="AG155" s="262"/>
      <c r="AH155" s="510"/>
      <c r="AI155" s="512"/>
    </row>
    <row r="156" spans="1:35" outlineLevel="1" collapsed="1">
      <c r="A156" s="154"/>
      <c r="B156" s="225" t="s">
        <v>298</v>
      </c>
      <c r="C156" s="705">
        <f>SUM(C157,C161,C165,C172,C176)/10^3</f>
        <v>49.327041674200004</v>
      </c>
      <c r="D156" s="705">
        <f t="shared" ref="D156:AF156" si="108">SUM(D157,D161,D165,D172,D176)/10^3</f>
        <v>92.115191674200005</v>
      </c>
      <c r="E156" s="705">
        <f t="shared" si="108"/>
        <v>43.404541674200004</v>
      </c>
      <c r="F156" s="705">
        <f t="shared" si="108"/>
        <v>49.327041674200004</v>
      </c>
      <c r="G156" s="705">
        <f t="shared" si="108"/>
        <v>49.327041674200004</v>
      </c>
      <c r="H156" s="705">
        <f t="shared" si="108"/>
        <v>43.466611710199999</v>
      </c>
      <c r="I156" s="705">
        <f t="shared" si="108"/>
        <v>168.31293295294401</v>
      </c>
      <c r="J156" s="705">
        <f t="shared" si="108"/>
        <v>52.042301674200004</v>
      </c>
      <c r="K156" s="705">
        <f t="shared" si="108"/>
        <v>43.404541674200004</v>
      </c>
      <c r="L156" s="705">
        <f t="shared" si="108"/>
        <v>49.327041674200004</v>
      </c>
      <c r="M156" s="705">
        <f t="shared" si="108"/>
        <v>49.327041674200004</v>
      </c>
      <c r="N156" s="705">
        <f t="shared" si="108"/>
        <v>88.907951674200007</v>
      </c>
      <c r="O156" s="705">
        <f t="shared" si="108"/>
        <v>52.042301674200004</v>
      </c>
      <c r="P156" s="705">
        <f t="shared" si="108"/>
        <v>158.80952295294401</v>
      </c>
      <c r="Q156" s="705">
        <f t="shared" si="108"/>
        <v>43.404541674200004</v>
      </c>
      <c r="R156" s="705">
        <f t="shared" si="108"/>
        <v>49.389111710199998</v>
      </c>
      <c r="S156" s="705">
        <f t="shared" si="108"/>
        <v>58.830451674199999</v>
      </c>
      <c r="T156" s="705">
        <f t="shared" si="108"/>
        <v>46.119801674200005</v>
      </c>
      <c r="U156" s="705">
        <f t="shared" si="108"/>
        <v>49.327041674200004</v>
      </c>
      <c r="V156" s="705">
        <f t="shared" si="108"/>
        <v>49.327041674200004</v>
      </c>
      <c r="W156" s="705">
        <f t="shared" si="108"/>
        <v>152.88702295294402</v>
      </c>
      <c r="X156" s="705">
        <f t="shared" si="108"/>
        <v>94.830451674200006</v>
      </c>
      <c r="Y156" s="705">
        <f t="shared" si="108"/>
        <v>52.042301674200004</v>
      </c>
      <c r="Z156" s="705">
        <f t="shared" si="108"/>
        <v>43.404541674200004</v>
      </c>
      <c r="AA156" s="705">
        <f t="shared" si="108"/>
        <v>49.327041674200004</v>
      </c>
      <c r="AB156" s="705">
        <f t="shared" si="108"/>
        <v>49.637391854200004</v>
      </c>
      <c r="AC156" s="705">
        <f t="shared" si="108"/>
        <v>52.9079516742</v>
      </c>
      <c r="AD156" s="705">
        <f t="shared" si="108"/>
        <v>161.52478295294401</v>
      </c>
      <c r="AE156" s="705">
        <f t="shared" si="108"/>
        <v>49.327041674200004</v>
      </c>
      <c r="AF156" s="705">
        <f t="shared" si="108"/>
        <v>43.404541674200004</v>
      </c>
      <c r="AG156" s="226">
        <f t="shared" ref="AG156" si="109">SUM(AG157,AG161,AG165,AG172)/10^3</f>
        <v>0</v>
      </c>
      <c r="AH156" s="250">
        <f>SUM(C156:AF156)</f>
        <v>2034.8321655929763</v>
      </c>
      <c r="AI156" s="152"/>
    </row>
    <row r="157" spans="1:35" outlineLevel="1">
      <c r="A157" s="154"/>
      <c r="B157" s="260" t="s">
        <v>850</v>
      </c>
      <c r="C157" s="189">
        <f>SUM(C158)</f>
        <v>0</v>
      </c>
      <c r="D157" s="189">
        <f t="shared" ref="D157:AF157" si="110">SUM(D158)</f>
        <v>0</v>
      </c>
      <c r="E157" s="189">
        <f t="shared" si="110"/>
        <v>0</v>
      </c>
      <c r="F157" s="189">
        <f>SUM(F158)</f>
        <v>0</v>
      </c>
      <c r="G157" s="189">
        <f t="shared" si="110"/>
        <v>0</v>
      </c>
      <c r="H157" s="189">
        <f t="shared" si="110"/>
        <v>0</v>
      </c>
      <c r="I157" s="189">
        <f t="shared" si="110"/>
        <v>2715.26</v>
      </c>
      <c r="J157" s="189">
        <f t="shared" si="110"/>
        <v>2715.26</v>
      </c>
      <c r="K157" s="189">
        <f t="shared" si="110"/>
        <v>0</v>
      </c>
      <c r="L157" s="189">
        <f t="shared" si="110"/>
        <v>0</v>
      </c>
      <c r="M157" s="189">
        <f t="shared" si="110"/>
        <v>0</v>
      </c>
      <c r="N157" s="189">
        <f t="shared" si="110"/>
        <v>2715.26</v>
      </c>
      <c r="O157" s="189">
        <f t="shared" si="110"/>
        <v>2715.26</v>
      </c>
      <c r="P157" s="189">
        <f t="shared" si="110"/>
        <v>0</v>
      </c>
      <c r="Q157" s="189">
        <f t="shared" si="110"/>
        <v>0</v>
      </c>
      <c r="R157" s="189">
        <f t="shared" si="110"/>
        <v>0</v>
      </c>
      <c r="S157" s="189">
        <f t="shared" si="110"/>
        <v>2715.26</v>
      </c>
      <c r="T157" s="189">
        <f t="shared" si="110"/>
        <v>2715.26</v>
      </c>
      <c r="U157" s="189">
        <f t="shared" si="110"/>
        <v>0</v>
      </c>
      <c r="V157" s="189">
        <f t="shared" si="110"/>
        <v>0</v>
      </c>
      <c r="W157" s="189">
        <f t="shared" si="110"/>
        <v>0</v>
      </c>
      <c r="X157" s="189">
        <f t="shared" si="110"/>
        <v>2715.26</v>
      </c>
      <c r="Y157" s="189">
        <f t="shared" si="110"/>
        <v>2715.26</v>
      </c>
      <c r="Z157" s="189">
        <f t="shared" si="110"/>
        <v>0</v>
      </c>
      <c r="AA157" s="189">
        <f t="shared" si="110"/>
        <v>0</v>
      </c>
      <c r="AB157" s="189">
        <f t="shared" si="110"/>
        <v>0</v>
      </c>
      <c r="AC157" s="189">
        <f t="shared" si="110"/>
        <v>2715.26</v>
      </c>
      <c r="AD157" s="189">
        <f t="shared" si="110"/>
        <v>2715.26</v>
      </c>
      <c r="AE157" s="189">
        <f t="shared" si="110"/>
        <v>0</v>
      </c>
      <c r="AF157" s="189">
        <f t="shared" si="110"/>
        <v>0</v>
      </c>
      <c r="AG157" s="175"/>
      <c r="AH157" s="154"/>
      <c r="AI157" s="152"/>
    </row>
    <row r="158" spans="1:35" outlineLevel="2">
      <c r="A158" s="154"/>
      <c r="B158" s="180" t="s">
        <v>851</v>
      </c>
      <c r="C158" s="174">
        <f>C159*C160</f>
        <v>0</v>
      </c>
      <c r="D158" s="174">
        <f t="shared" ref="D158:AF158" si="111">D159*D160</f>
        <v>0</v>
      </c>
      <c r="E158" s="174">
        <f t="shared" si="111"/>
        <v>0</v>
      </c>
      <c r="F158" s="174">
        <f t="shared" si="111"/>
        <v>0</v>
      </c>
      <c r="G158" s="174">
        <f t="shared" si="111"/>
        <v>0</v>
      </c>
      <c r="H158" s="174">
        <f t="shared" si="111"/>
        <v>0</v>
      </c>
      <c r="I158" s="174">
        <f t="shared" si="111"/>
        <v>2715.26</v>
      </c>
      <c r="J158" s="174">
        <f t="shared" si="111"/>
        <v>2715.26</v>
      </c>
      <c r="K158" s="174">
        <f t="shared" si="111"/>
        <v>0</v>
      </c>
      <c r="L158" s="174">
        <f t="shared" si="111"/>
        <v>0</v>
      </c>
      <c r="M158" s="174">
        <f t="shared" si="111"/>
        <v>0</v>
      </c>
      <c r="N158" s="174">
        <f t="shared" si="111"/>
        <v>2715.26</v>
      </c>
      <c r="O158" s="174">
        <f t="shared" si="111"/>
        <v>2715.26</v>
      </c>
      <c r="P158" s="174">
        <f t="shared" si="111"/>
        <v>0</v>
      </c>
      <c r="Q158" s="174">
        <f t="shared" si="111"/>
        <v>0</v>
      </c>
      <c r="R158" s="174">
        <f t="shared" si="111"/>
        <v>0</v>
      </c>
      <c r="S158" s="174">
        <f t="shared" si="111"/>
        <v>2715.26</v>
      </c>
      <c r="T158" s="174">
        <f t="shared" si="111"/>
        <v>2715.26</v>
      </c>
      <c r="U158" s="174">
        <f t="shared" si="111"/>
        <v>0</v>
      </c>
      <c r="V158" s="174">
        <f t="shared" si="111"/>
        <v>0</v>
      </c>
      <c r="W158" s="174">
        <f t="shared" si="111"/>
        <v>0</v>
      </c>
      <c r="X158" s="174">
        <f t="shared" si="111"/>
        <v>2715.26</v>
      </c>
      <c r="Y158" s="174">
        <f t="shared" si="111"/>
        <v>2715.26</v>
      </c>
      <c r="Z158" s="174">
        <f t="shared" si="111"/>
        <v>0</v>
      </c>
      <c r="AA158" s="174">
        <f t="shared" si="111"/>
        <v>0</v>
      </c>
      <c r="AB158" s="174">
        <f t="shared" si="111"/>
        <v>0</v>
      </c>
      <c r="AC158" s="174">
        <f t="shared" si="111"/>
        <v>2715.26</v>
      </c>
      <c r="AD158" s="174">
        <f t="shared" si="111"/>
        <v>2715.26</v>
      </c>
      <c r="AE158" s="174">
        <f t="shared" si="111"/>
        <v>0</v>
      </c>
      <c r="AF158" s="174">
        <f t="shared" si="111"/>
        <v>0</v>
      </c>
      <c r="AG158" s="175"/>
      <c r="AH158" s="154"/>
      <c r="AI158" s="152"/>
    </row>
    <row r="159" spans="1:35" outlineLevel="2">
      <c r="A159" s="154"/>
      <c r="B159" s="150" t="s">
        <v>805</v>
      </c>
      <c r="C159" s="177">
        <v>0</v>
      </c>
      <c r="D159" s="177">
        <v>0</v>
      </c>
      <c r="E159" s="177">
        <v>0</v>
      </c>
      <c r="F159" s="172">
        <v>0</v>
      </c>
      <c r="G159" s="172">
        <v>0</v>
      </c>
      <c r="H159" s="172">
        <v>0</v>
      </c>
      <c r="I159" s="172">
        <v>2</v>
      </c>
      <c r="J159" s="172">
        <v>2</v>
      </c>
      <c r="K159" s="172">
        <v>0</v>
      </c>
      <c r="L159" s="172">
        <v>0</v>
      </c>
      <c r="M159" s="172">
        <v>0</v>
      </c>
      <c r="N159" s="172">
        <v>2</v>
      </c>
      <c r="O159" s="172">
        <v>2</v>
      </c>
      <c r="P159" s="172">
        <v>0</v>
      </c>
      <c r="Q159" s="172">
        <v>0</v>
      </c>
      <c r="R159" s="172">
        <v>0</v>
      </c>
      <c r="S159" s="172">
        <v>2</v>
      </c>
      <c r="T159" s="172">
        <v>2</v>
      </c>
      <c r="U159" s="172">
        <v>0</v>
      </c>
      <c r="V159" s="172">
        <v>0</v>
      </c>
      <c r="W159" s="172">
        <v>0</v>
      </c>
      <c r="X159" s="172">
        <v>2</v>
      </c>
      <c r="Y159" s="172">
        <v>2</v>
      </c>
      <c r="Z159" s="172">
        <v>0</v>
      </c>
      <c r="AA159" s="172">
        <v>0</v>
      </c>
      <c r="AB159" s="172">
        <v>0</v>
      </c>
      <c r="AC159" s="172">
        <v>2</v>
      </c>
      <c r="AD159" s="172">
        <v>2</v>
      </c>
      <c r="AE159" s="172">
        <v>0</v>
      </c>
      <c r="AF159" s="172">
        <v>0</v>
      </c>
      <c r="AG159" s="175"/>
      <c r="AH159" s="154"/>
      <c r="AI159" s="152"/>
    </row>
    <row r="160" spans="1:35" outlineLevel="2">
      <c r="A160" s="154"/>
      <c r="B160" s="150" t="s">
        <v>807</v>
      </c>
      <c r="C160" s="176">
        <f>Insumos!$E$20</f>
        <v>1357.63</v>
      </c>
      <c r="D160" s="176">
        <f>C160</f>
        <v>1357.63</v>
      </c>
      <c r="E160" s="176">
        <f t="shared" ref="E160:AF160" si="112">D160</f>
        <v>1357.63</v>
      </c>
      <c r="F160" s="176">
        <f t="shared" si="112"/>
        <v>1357.63</v>
      </c>
      <c r="G160" s="176">
        <f t="shared" si="112"/>
        <v>1357.63</v>
      </c>
      <c r="H160" s="176">
        <f t="shared" si="112"/>
        <v>1357.63</v>
      </c>
      <c r="I160" s="176">
        <f t="shared" si="112"/>
        <v>1357.63</v>
      </c>
      <c r="J160" s="176">
        <f t="shared" si="112"/>
        <v>1357.63</v>
      </c>
      <c r="K160" s="176">
        <f t="shared" si="112"/>
        <v>1357.63</v>
      </c>
      <c r="L160" s="176">
        <f t="shared" si="112"/>
        <v>1357.63</v>
      </c>
      <c r="M160" s="176">
        <f t="shared" si="112"/>
        <v>1357.63</v>
      </c>
      <c r="N160" s="176">
        <f t="shared" si="112"/>
        <v>1357.63</v>
      </c>
      <c r="O160" s="176">
        <f t="shared" si="112"/>
        <v>1357.63</v>
      </c>
      <c r="P160" s="176">
        <f t="shared" si="112"/>
        <v>1357.63</v>
      </c>
      <c r="Q160" s="176">
        <f t="shared" si="112"/>
        <v>1357.63</v>
      </c>
      <c r="R160" s="176">
        <f t="shared" si="112"/>
        <v>1357.63</v>
      </c>
      <c r="S160" s="176">
        <f t="shared" si="112"/>
        <v>1357.63</v>
      </c>
      <c r="T160" s="176">
        <f t="shared" si="112"/>
        <v>1357.63</v>
      </c>
      <c r="U160" s="176">
        <f t="shared" si="112"/>
        <v>1357.63</v>
      </c>
      <c r="V160" s="176">
        <f t="shared" si="112"/>
        <v>1357.63</v>
      </c>
      <c r="W160" s="176">
        <f t="shared" si="112"/>
        <v>1357.63</v>
      </c>
      <c r="X160" s="176">
        <f t="shared" si="112"/>
        <v>1357.63</v>
      </c>
      <c r="Y160" s="176">
        <f t="shared" si="112"/>
        <v>1357.63</v>
      </c>
      <c r="Z160" s="176">
        <f t="shared" si="112"/>
        <v>1357.63</v>
      </c>
      <c r="AA160" s="176">
        <f t="shared" si="112"/>
        <v>1357.63</v>
      </c>
      <c r="AB160" s="176">
        <f t="shared" si="112"/>
        <v>1357.63</v>
      </c>
      <c r="AC160" s="176">
        <f t="shared" si="112"/>
        <v>1357.63</v>
      </c>
      <c r="AD160" s="176">
        <f t="shared" si="112"/>
        <v>1357.63</v>
      </c>
      <c r="AE160" s="176">
        <f t="shared" si="112"/>
        <v>1357.63</v>
      </c>
      <c r="AF160" s="176">
        <f t="shared" si="112"/>
        <v>1357.63</v>
      </c>
      <c r="AG160" s="175"/>
      <c r="AH160" s="154"/>
      <c r="AI160" s="152"/>
    </row>
    <row r="161" spans="1:35" s="193" customFormat="1" outlineLevel="1">
      <c r="A161" s="154"/>
      <c r="B161" s="260" t="s">
        <v>852</v>
      </c>
      <c r="C161" s="757">
        <f>C162</f>
        <v>5922.5</v>
      </c>
      <c r="D161" s="757">
        <f t="shared" ref="D161:AF161" si="113">D162</f>
        <v>5922.5</v>
      </c>
      <c r="E161" s="757">
        <f t="shared" si="113"/>
        <v>0</v>
      </c>
      <c r="F161" s="757">
        <f t="shared" si="113"/>
        <v>5922.5</v>
      </c>
      <c r="G161" s="757">
        <f t="shared" si="113"/>
        <v>5922.5</v>
      </c>
      <c r="H161" s="757">
        <f t="shared" si="113"/>
        <v>0</v>
      </c>
      <c r="I161" s="757">
        <f t="shared" si="113"/>
        <v>5922.5</v>
      </c>
      <c r="J161" s="757">
        <f t="shared" si="113"/>
        <v>5922.5</v>
      </c>
      <c r="K161" s="757">
        <f t="shared" si="113"/>
        <v>0</v>
      </c>
      <c r="L161" s="757">
        <f t="shared" si="113"/>
        <v>5922.5</v>
      </c>
      <c r="M161" s="757">
        <f t="shared" si="113"/>
        <v>5922.5</v>
      </c>
      <c r="N161" s="757">
        <f t="shared" si="113"/>
        <v>0</v>
      </c>
      <c r="O161" s="757">
        <f t="shared" si="113"/>
        <v>5922.5</v>
      </c>
      <c r="P161" s="757">
        <f t="shared" si="113"/>
        <v>5922.5</v>
      </c>
      <c r="Q161" s="757">
        <f t="shared" si="113"/>
        <v>0</v>
      </c>
      <c r="R161" s="757">
        <f t="shared" si="113"/>
        <v>5922.5</v>
      </c>
      <c r="S161" s="757">
        <f t="shared" si="113"/>
        <v>5922.5</v>
      </c>
      <c r="T161" s="757">
        <f t="shared" si="113"/>
        <v>0</v>
      </c>
      <c r="U161" s="757">
        <f t="shared" si="113"/>
        <v>5922.5</v>
      </c>
      <c r="V161" s="757">
        <f t="shared" si="113"/>
        <v>5922.5</v>
      </c>
      <c r="W161" s="757">
        <f t="shared" si="113"/>
        <v>0</v>
      </c>
      <c r="X161" s="757">
        <f t="shared" si="113"/>
        <v>5922.5</v>
      </c>
      <c r="Y161" s="757">
        <f t="shared" si="113"/>
        <v>5922.5</v>
      </c>
      <c r="Z161" s="757">
        <f t="shared" si="113"/>
        <v>0</v>
      </c>
      <c r="AA161" s="757">
        <f t="shared" si="113"/>
        <v>5922.5</v>
      </c>
      <c r="AB161" s="757">
        <f t="shared" si="113"/>
        <v>5922.5</v>
      </c>
      <c r="AC161" s="757">
        <f t="shared" si="113"/>
        <v>0</v>
      </c>
      <c r="AD161" s="757">
        <f t="shared" si="113"/>
        <v>5922.5</v>
      </c>
      <c r="AE161" s="757">
        <f t="shared" si="113"/>
        <v>5922.5</v>
      </c>
      <c r="AF161" s="757">
        <f t="shared" si="113"/>
        <v>0</v>
      </c>
      <c r="AG161" s="714"/>
      <c r="AH161" s="756"/>
      <c r="AI161" s="229"/>
    </row>
    <row r="162" spans="1:35" s="193" customFormat="1" outlineLevel="2">
      <c r="A162" s="154"/>
      <c r="B162" s="256" t="s">
        <v>853</v>
      </c>
      <c r="C162" s="507">
        <f>C163*C164</f>
        <v>5922.5</v>
      </c>
      <c r="D162" s="507">
        <f>D163*D164</f>
        <v>5922.5</v>
      </c>
      <c r="E162" s="507">
        <f t="shared" ref="E162:AF162" si="114">E163*E164</f>
        <v>0</v>
      </c>
      <c r="F162" s="507">
        <f t="shared" si="114"/>
        <v>5922.5</v>
      </c>
      <c r="G162" s="507">
        <f t="shared" si="114"/>
        <v>5922.5</v>
      </c>
      <c r="H162" s="507">
        <f t="shared" si="114"/>
        <v>0</v>
      </c>
      <c r="I162" s="507">
        <f t="shared" si="114"/>
        <v>5922.5</v>
      </c>
      <c r="J162" s="507">
        <f t="shared" si="114"/>
        <v>5922.5</v>
      </c>
      <c r="K162" s="507">
        <f t="shared" si="114"/>
        <v>0</v>
      </c>
      <c r="L162" s="507">
        <f t="shared" si="114"/>
        <v>5922.5</v>
      </c>
      <c r="M162" s="507">
        <f t="shared" si="114"/>
        <v>5922.5</v>
      </c>
      <c r="N162" s="507">
        <f t="shared" si="114"/>
        <v>0</v>
      </c>
      <c r="O162" s="507">
        <f t="shared" si="114"/>
        <v>5922.5</v>
      </c>
      <c r="P162" s="507">
        <f t="shared" si="114"/>
        <v>5922.5</v>
      </c>
      <c r="Q162" s="507">
        <f t="shared" si="114"/>
        <v>0</v>
      </c>
      <c r="R162" s="507">
        <f t="shared" si="114"/>
        <v>5922.5</v>
      </c>
      <c r="S162" s="507">
        <f t="shared" si="114"/>
        <v>5922.5</v>
      </c>
      <c r="T162" s="507">
        <f t="shared" si="114"/>
        <v>0</v>
      </c>
      <c r="U162" s="507">
        <f t="shared" si="114"/>
        <v>5922.5</v>
      </c>
      <c r="V162" s="507">
        <f t="shared" si="114"/>
        <v>5922.5</v>
      </c>
      <c r="W162" s="507">
        <f t="shared" si="114"/>
        <v>0</v>
      </c>
      <c r="X162" s="507">
        <f t="shared" si="114"/>
        <v>5922.5</v>
      </c>
      <c r="Y162" s="507">
        <f t="shared" si="114"/>
        <v>5922.5</v>
      </c>
      <c r="Z162" s="507">
        <f t="shared" si="114"/>
        <v>0</v>
      </c>
      <c r="AA162" s="507">
        <f t="shared" si="114"/>
        <v>5922.5</v>
      </c>
      <c r="AB162" s="507">
        <f t="shared" si="114"/>
        <v>5922.5</v>
      </c>
      <c r="AC162" s="507">
        <f t="shared" si="114"/>
        <v>0</v>
      </c>
      <c r="AD162" s="507">
        <f t="shared" si="114"/>
        <v>5922.5</v>
      </c>
      <c r="AE162" s="507">
        <f t="shared" si="114"/>
        <v>5922.5</v>
      </c>
      <c r="AF162" s="507">
        <f t="shared" si="114"/>
        <v>0</v>
      </c>
      <c r="AG162" s="714"/>
      <c r="AH162" s="756"/>
      <c r="AI162" s="229"/>
    </row>
    <row r="163" spans="1:35" s="193" customFormat="1" outlineLevel="2">
      <c r="A163" s="154"/>
      <c r="B163" s="150" t="s">
        <v>805</v>
      </c>
      <c r="C163" s="702">
        <v>10</v>
      </c>
      <c r="D163" s="702">
        <v>10</v>
      </c>
      <c r="E163" s="702">
        <v>0</v>
      </c>
      <c r="F163" s="702">
        <v>10</v>
      </c>
      <c r="G163" s="702">
        <v>10</v>
      </c>
      <c r="H163" s="702">
        <v>0</v>
      </c>
      <c r="I163" s="702">
        <v>10</v>
      </c>
      <c r="J163" s="702">
        <v>10</v>
      </c>
      <c r="K163" s="702">
        <v>0</v>
      </c>
      <c r="L163" s="702">
        <v>10</v>
      </c>
      <c r="M163" s="702">
        <v>10</v>
      </c>
      <c r="N163" s="702">
        <v>0</v>
      </c>
      <c r="O163" s="702">
        <v>10</v>
      </c>
      <c r="P163" s="702">
        <v>10</v>
      </c>
      <c r="Q163" s="702">
        <v>0</v>
      </c>
      <c r="R163" s="702">
        <v>10</v>
      </c>
      <c r="S163" s="702">
        <v>10</v>
      </c>
      <c r="T163" s="702">
        <v>0</v>
      </c>
      <c r="U163" s="702">
        <v>10</v>
      </c>
      <c r="V163" s="702">
        <v>10</v>
      </c>
      <c r="W163" s="702">
        <v>0</v>
      </c>
      <c r="X163" s="702">
        <v>10</v>
      </c>
      <c r="Y163" s="702">
        <v>10</v>
      </c>
      <c r="Z163" s="702">
        <v>0</v>
      </c>
      <c r="AA163" s="702">
        <v>10</v>
      </c>
      <c r="AB163" s="702">
        <v>10</v>
      </c>
      <c r="AC163" s="702">
        <v>0</v>
      </c>
      <c r="AD163" s="702">
        <v>10</v>
      </c>
      <c r="AE163" s="702">
        <v>10</v>
      </c>
      <c r="AF163" s="702">
        <v>0</v>
      </c>
      <c r="AG163" s="714"/>
      <c r="AH163" s="756"/>
      <c r="AI163" s="229"/>
    </row>
    <row r="164" spans="1:35" s="193" customFormat="1" outlineLevel="2">
      <c r="A164" s="154"/>
      <c r="B164" s="150" t="s">
        <v>807</v>
      </c>
      <c r="C164" s="714">
        <f>Insumos!$E$21</f>
        <v>592.25</v>
      </c>
      <c r="D164" s="714">
        <f>C164</f>
        <v>592.25</v>
      </c>
      <c r="E164" s="714">
        <f t="shared" ref="E164:AF164" si="115">D164</f>
        <v>592.25</v>
      </c>
      <c r="F164" s="714">
        <f t="shared" si="115"/>
        <v>592.25</v>
      </c>
      <c r="G164" s="714">
        <f t="shared" si="115"/>
        <v>592.25</v>
      </c>
      <c r="H164" s="714">
        <f t="shared" si="115"/>
        <v>592.25</v>
      </c>
      <c r="I164" s="714">
        <f t="shared" si="115"/>
        <v>592.25</v>
      </c>
      <c r="J164" s="714">
        <f t="shared" si="115"/>
        <v>592.25</v>
      </c>
      <c r="K164" s="714">
        <f t="shared" si="115"/>
        <v>592.25</v>
      </c>
      <c r="L164" s="714">
        <f t="shared" si="115"/>
        <v>592.25</v>
      </c>
      <c r="M164" s="714">
        <f t="shared" si="115"/>
        <v>592.25</v>
      </c>
      <c r="N164" s="714">
        <f t="shared" si="115"/>
        <v>592.25</v>
      </c>
      <c r="O164" s="714">
        <f t="shared" si="115"/>
        <v>592.25</v>
      </c>
      <c r="P164" s="714">
        <f t="shared" si="115"/>
        <v>592.25</v>
      </c>
      <c r="Q164" s="714">
        <f t="shared" si="115"/>
        <v>592.25</v>
      </c>
      <c r="R164" s="714">
        <f t="shared" si="115"/>
        <v>592.25</v>
      </c>
      <c r="S164" s="714">
        <f t="shared" si="115"/>
        <v>592.25</v>
      </c>
      <c r="T164" s="714">
        <f t="shared" si="115"/>
        <v>592.25</v>
      </c>
      <c r="U164" s="714">
        <f t="shared" si="115"/>
        <v>592.25</v>
      </c>
      <c r="V164" s="714">
        <f t="shared" si="115"/>
        <v>592.25</v>
      </c>
      <c r="W164" s="714">
        <f t="shared" si="115"/>
        <v>592.25</v>
      </c>
      <c r="X164" s="714">
        <f t="shared" si="115"/>
        <v>592.25</v>
      </c>
      <c r="Y164" s="714">
        <f t="shared" si="115"/>
        <v>592.25</v>
      </c>
      <c r="Z164" s="714">
        <f t="shared" si="115"/>
        <v>592.25</v>
      </c>
      <c r="AA164" s="714">
        <f t="shared" si="115"/>
        <v>592.25</v>
      </c>
      <c r="AB164" s="714">
        <f t="shared" si="115"/>
        <v>592.25</v>
      </c>
      <c r="AC164" s="714">
        <f t="shared" si="115"/>
        <v>592.25</v>
      </c>
      <c r="AD164" s="714">
        <f t="shared" si="115"/>
        <v>592.25</v>
      </c>
      <c r="AE164" s="714">
        <f t="shared" si="115"/>
        <v>592.25</v>
      </c>
      <c r="AF164" s="714">
        <f t="shared" si="115"/>
        <v>592.25</v>
      </c>
      <c r="AG164" s="714"/>
      <c r="AH164" s="756"/>
      <c r="AI164" s="229"/>
    </row>
    <row r="165" spans="1:35" s="760" customFormat="1" outlineLevel="1">
      <c r="A165" s="154"/>
      <c r="B165" s="260" t="s">
        <v>854</v>
      </c>
      <c r="C165" s="757">
        <f>C166+C169</f>
        <v>0</v>
      </c>
      <c r="D165" s="757">
        <f t="shared" ref="D165:AF165" si="116">D166+D169</f>
        <v>42788.15</v>
      </c>
      <c r="E165" s="757">
        <f t="shared" si="116"/>
        <v>0</v>
      </c>
      <c r="F165" s="757">
        <f t="shared" si="116"/>
        <v>0</v>
      </c>
      <c r="G165" s="757">
        <f t="shared" si="116"/>
        <v>0</v>
      </c>
      <c r="H165" s="757">
        <f t="shared" si="116"/>
        <v>0</v>
      </c>
      <c r="I165" s="757">
        <f t="shared" si="116"/>
        <v>6788.1500000000005</v>
      </c>
      <c r="J165" s="757">
        <f t="shared" si="116"/>
        <v>0</v>
      </c>
      <c r="K165" s="757">
        <f t="shared" si="116"/>
        <v>0</v>
      </c>
      <c r="L165" s="757">
        <f t="shared" si="116"/>
        <v>0</v>
      </c>
      <c r="M165" s="757">
        <f t="shared" si="116"/>
        <v>0</v>
      </c>
      <c r="N165" s="757">
        <f t="shared" si="116"/>
        <v>42788.15</v>
      </c>
      <c r="O165" s="757">
        <f t="shared" si="116"/>
        <v>0</v>
      </c>
      <c r="P165" s="757">
        <f t="shared" si="116"/>
        <v>0</v>
      </c>
      <c r="Q165" s="757">
        <f t="shared" si="116"/>
        <v>0</v>
      </c>
      <c r="R165" s="757">
        <f t="shared" si="116"/>
        <v>0</v>
      </c>
      <c r="S165" s="757">
        <f t="shared" si="116"/>
        <v>6788.1500000000005</v>
      </c>
      <c r="T165" s="757">
        <f t="shared" si="116"/>
        <v>0</v>
      </c>
      <c r="U165" s="757">
        <f t="shared" si="116"/>
        <v>0</v>
      </c>
      <c r="V165" s="757">
        <f t="shared" si="116"/>
        <v>0</v>
      </c>
      <c r="W165" s="757">
        <f t="shared" si="116"/>
        <v>0</v>
      </c>
      <c r="X165" s="757">
        <f t="shared" si="116"/>
        <v>42788.15</v>
      </c>
      <c r="Y165" s="757">
        <f t="shared" si="116"/>
        <v>0</v>
      </c>
      <c r="Z165" s="757">
        <f t="shared" si="116"/>
        <v>0</v>
      </c>
      <c r="AA165" s="757">
        <f t="shared" si="116"/>
        <v>0</v>
      </c>
      <c r="AB165" s="757">
        <f t="shared" si="116"/>
        <v>0</v>
      </c>
      <c r="AC165" s="757">
        <f t="shared" si="116"/>
        <v>6788.1500000000005</v>
      </c>
      <c r="AD165" s="757">
        <f t="shared" si="116"/>
        <v>0</v>
      </c>
      <c r="AE165" s="757">
        <f t="shared" si="116"/>
        <v>0</v>
      </c>
      <c r="AF165" s="757">
        <f t="shared" si="116"/>
        <v>0</v>
      </c>
      <c r="AG165" s="702"/>
      <c r="AH165" s="758"/>
      <c r="AI165" s="759"/>
    </row>
    <row r="166" spans="1:35" s="193" customFormat="1" outlineLevel="2">
      <c r="A166" s="154"/>
      <c r="B166" s="256" t="s">
        <v>851</v>
      </c>
      <c r="C166" s="507">
        <f>C167*C168</f>
        <v>0</v>
      </c>
      <c r="D166" s="507">
        <f>D167*D168</f>
        <v>6788.1500000000005</v>
      </c>
      <c r="E166" s="507">
        <f t="shared" ref="E166:AF166" si="117">E167*E168</f>
        <v>0</v>
      </c>
      <c r="F166" s="507">
        <f t="shared" si="117"/>
        <v>0</v>
      </c>
      <c r="G166" s="507">
        <f t="shared" si="117"/>
        <v>0</v>
      </c>
      <c r="H166" s="507">
        <f t="shared" si="117"/>
        <v>0</v>
      </c>
      <c r="I166" s="507">
        <f t="shared" si="117"/>
        <v>6788.1500000000005</v>
      </c>
      <c r="J166" s="507">
        <f t="shared" si="117"/>
        <v>0</v>
      </c>
      <c r="K166" s="507">
        <f t="shared" si="117"/>
        <v>0</v>
      </c>
      <c r="L166" s="507">
        <f t="shared" si="117"/>
        <v>0</v>
      </c>
      <c r="M166" s="507">
        <f t="shared" si="117"/>
        <v>0</v>
      </c>
      <c r="N166" s="507">
        <f t="shared" si="117"/>
        <v>6788.1500000000005</v>
      </c>
      <c r="O166" s="507">
        <f t="shared" si="117"/>
        <v>0</v>
      </c>
      <c r="P166" s="507">
        <f t="shared" si="117"/>
        <v>0</v>
      </c>
      <c r="Q166" s="507">
        <f t="shared" si="117"/>
        <v>0</v>
      </c>
      <c r="R166" s="507">
        <f t="shared" si="117"/>
        <v>0</v>
      </c>
      <c r="S166" s="507">
        <f t="shared" si="117"/>
        <v>6788.1500000000005</v>
      </c>
      <c r="T166" s="507">
        <f t="shared" si="117"/>
        <v>0</v>
      </c>
      <c r="U166" s="507">
        <f t="shared" si="117"/>
        <v>0</v>
      </c>
      <c r="V166" s="507">
        <f t="shared" si="117"/>
        <v>0</v>
      </c>
      <c r="W166" s="507">
        <f t="shared" si="117"/>
        <v>0</v>
      </c>
      <c r="X166" s="507">
        <f t="shared" si="117"/>
        <v>6788.1500000000005</v>
      </c>
      <c r="Y166" s="507">
        <f t="shared" si="117"/>
        <v>0</v>
      </c>
      <c r="Z166" s="507">
        <f t="shared" si="117"/>
        <v>0</v>
      </c>
      <c r="AA166" s="507">
        <f t="shared" si="117"/>
        <v>0</v>
      </c>
      <c r="AB166" s="507">
        <f t="shared" si="117"/>
        <v>0</v>
      </c>
      <c r="AC166" s="507">
        <f t="shared" si="117"/>
        <v>6788.1500000000005</v>
      </c>
      <c r="AD166" s="507">
        <f t="shared" si="117"/>
        <v>0</v>
      </c>
      <c r="AE166" s="507">
        <f t="shared" si="117"/>
        <v>0</v>
      </c>
      <c r="AF166" s="507">
        <f t="shared" si="117"/>
        <v>0</v>
      </c>
      <c r="AG166" s="714"/>
      <c r="AH166" s="756"/>
      <c r="AI166" s="229"/>
    </row>
    <row r="167" spans="1:35" s="193" customFormat="1" outlineLevel="2">
      <c r="A167" s="154"/>
      <c r="B167" s="150" t="s">
        <v>805</v>
      </c>
      <c r="C167" s="702">
        <v>0</v>
      </c>
      <c r="D167" s="702">
        <v>5</v>
      </c>
      <c r="E167" s="761">
        <v>0</v>
      </c>
      <c r="F167" s="702">
        <v>0</v>
      </c>
      <c r="G167" s="761">
        <v>0</v>
      </c>
      <c r="H167" s="761">
        <v>0</v>
      </c>
      <c r="I167" s="702">
        <v>5</v>
      </c>
      <c r="J167" s="761">
        <v>0</v>
      </c>
      <c r="K167" s="761">
        <v>0</v>
      </c>
      <c r="L167" s="702">
        <v>0</v>
      </c>
      <c r="M167" s="761">
        <v>0</v>
      </c>
      <c r="N167" s="761">
        <v>5</v>
      </c>
      <c r="O167" s="702">
        <v>0</v>
      </c>
      <c r="P167" s="761">
        <v>0</v>
      </c>
      <c r="Q167" s="761">
        <v>0</v>
      </c>
      <c r="R167" s="702">
        <v>0</v>
      </c>
      <c r="S167" s="761">
        <v>5</v>
      </c>
      <c r="T167" s="761">
        <v>0</v>
      </c>
      <c r="U167" s="702">
        <v>0</v>
      </c>
      <c r="V167" s="761">
        <v>0</v>
      </c>
      <c r="W167" s="761">
        <v>0</v>
      </c>
      <c r="X167" s="702">
        <v>5</v>
      </c>
      <c r="Y167" s="761">
        <v>0</v>
      </c>
      <c r="Z167" s="761">
        <v>0</v>
      </c>
      <c r="AA167" s="702">
        <v>0</v>
      </c>
      <c r="AB167" s="761">
        <v>0</v>
      </c>
      <c r="AC167" s="761">
        <v>5</v>
      </c>
      <c r="AD167" s="702">
        <v>0</v>
      </c>
      <c r="AE167" s="761">
        <v>0</v>
      </c>
      <c r="AF167" s="761">
        <v>0</v>
      </c>
      <c r="AG167" s="714"/>
      <c r="AH167" s="756"/>
      <c r="AI167" s="229"/>
    </row>
    <row r="168" spans="1:35" s="193" customFormat="1" outlineLevel="2">
      <c r="A168" s="154"/>
      <c r="B168" s="150" t="s">
        <v>807</v>
      </c>
      <c r="C168" s="176">
        <f>Insumos!$E$20</f>
        <v>1357.63</v>
      </c>
      <c r="D168" s="714">
        <f>C168</f>
        <v>1357.63</v>
      </c>
      <c r="E168" s="714">
        <f t="shared" ref="E168:AF168" si="118">D168</f>
        <v>1357.63</v>
      </c>
      <c r="F168" s="714">
        <f t="shared" si="118"/>
        <v>1357.63</v>
      </c>
      <c r="G168" s="714">
        <f t="shared" si="118"/>
        <v>1357.63</v>
      </c>
      <c r="H168" s="714">
        <f t="shared" si="118"/>
        <v>1357.63</v>
      </c>
      <c r="I168" s="714">
        <f t="shared" si="118"/>
        <v>1357.63</v>
      </c>
      <c r="J168" s="714">
        <f t="shared" si="118"/>
        <v>1357.63</v>
      </c>
      <c r="K168" s="714">
        <f t="shared" si="118"/>
        <v>1357.63</v>
      </c>
      <c r="L168" s="714">
        <f t="shared" si="118"/>
        <v>1357.63</v>
      </c>
      <c r="M168" s="714">
        <f t="shared" si="118"/>
        <v>1357.63</v>
      </c>
      <c r="N168" s="714">
        <f t="shared" si="118"/>
        <v>1357.63</v>
      </c>
      <c r="O168" s="714">
        <f t="shared" si="118"/>
        <v>1357.63</v>
      </c>
      <c r="P168" s="714">
        <f t="shared" si="118"/>
        <v>1357.63</v>
      </c>
      <c r="Q168" s="714">
        <f t="shared" si="118"/>
        <v>1357.63</v>
      </c>
      <c r="R168" s="714">
        <f t="shared" si="118"/>
        <v>1357.63</v>
      </c>
      <c r="S168" s="714">
        <f t="shared" si="118"/>
        <v>1357.63</v>
      </c>
      <c r="T168" s="714">
        <f t="shared" si="118"/>
        <v>1357.63</v>
      </c>
      <c r="U168" s="714">
        <f t="shared" si="118"/>
        <v>1357.63</v>
      </c>
      <c r="V168" s="714">
        <f t="shared" si="118"/>
        <v>1357.63</v>
      </c>
      <c r="W168" s="714">
        <f t="shared" si="118"/>
        <v>1357.63</v>
      </c>
      <c r="X168" s="714">
        <f t="shared" si="118"/>
        <v>1357.63</v>
      </c>
      <c r="Y168" s="714">
        <f t="shared" si="118"/>
        <v>1357.63</v>
      </c>
      <c r="Z168" s="714">
        <f t="shared" si="118"/>
        <v>1357.63</v>
      </c>
      <c r="AA168" s="714">
        <f t="shared" si="118"/>
        <v>1357.63</v>
      </c>
      <c r="AB168" s="714">
        <f t="shared" si="118"/>
        <v>1357.63</v>
      </c>
      <c r="AC168" s="714">
        <f t="shared" si="118"/>
        <v>1357.63</v>
      </c>
      <c r="AD168" s="714">
        <f t="shared" si="118"/>
        <v>1357.63</v>
      </c>
      <c r="AE168" s="714">
        <f t="shared" si="118"/>
        <v>1357.63</v>
      </c>
      <c r="AF168" s="714">
        <f t="shared" si="118"/>
        <v>1357.63</v>
      </c>
      <c r="AG168" s="714"/>
      <c r="AH168" s="756"/>
      <c r="AI168" s="229"/>
    </row>
    <row r="169" spans="1:35" s="193" customFormat="1" outlineLevel="2">
      <c r="A169" s="154"/>
      <c r="B169" s="256" t="s">
        <v>855</v>
      </c>
      <c r="C169" s="507">
        <f>C170*C171</f>
        <v>0</v>
      </c>
      <c r="D169" s="507">
        <f t="shared" ref="D169:AF169" si="119">D170*D171</f>
        <v>36000</v>
      </c>
      <c r="E169" s="507">
        <f t="shared" si="119"/>
        <v>0</v>
      </c>
      <c r="F169" s="507">
        <f t="shared" si="119"/>
        <v>0</v>
      </c>
      <c r="G169" s="507">
        <f t="shared" si="119"/>
        <v>0</v>
      </c>
      <c r="H169" s="507">
        <f t="shared" si="119"/>
        <v>0</v>
      </c>
      <c r="I169" s="507">
        <f t="shared" si="119"/>
        <v>0</v>
      </c>
      <c r="J169" s="507">
        <f t="shared" si="119"/>
        <v>0</v>
      </c>
      <c r="K169" s="507">
        <f t="shared" si="119"/>
        <v>0</v>
      </c>
      <c r="L169" s="507">
        <f t="shared" si="119"/>
        <v>0</v>
      </c>
      <c r="M169" s="507">
        <f t="shared" si="119"/>
        <v>0</v>
      </c>
      <c r="N169" s="507">
        <f t="shared" si="119"/>
        <v>36000</v>
      </c>
      <c r="O169" s="507">
        <f t="shared" si="119"/>
        <v>0</v>
      </c>
      <c r="P169" s="507">
        <f t="shared" si="119"/>
        <v>0</v>
      </c>
      <c r="Q169" s="507">
        <f t="shared" si="119"/>
        <v>0</v>
      </c>
      <c r="R169" s="507">
        <f t="shared" si="119"/>
        <v>0</v>
      </c>
      <c r="S169" s="507">
        <f t="shared" si="119"/>
        <v>0</v>
      </c>
      <c r="T169" s="507">
        <f t="shared" si="119"/>
        <v>0</v>
      </c>
      <c r="U169" s="507">
        <f t="shared" si="119"/>
        <v>0</v>
      </c>
      <c r="V169" s="507">
        <f t="shared" si="119"/>
        <v>0</v>
      </c>
      <c r="W169" s="507">
        <f t="shared" si="119"/>
        <v>0</v>
      </c>
      <c r="X169" s="507">
        <f t="shared" si="119"/>
        <v>36000</v>
      </c>
      <c r="Y169" s="507">
        <f t="shared" si="119"/>
        <v>0</v>
      </c>
      <c r="Z169" s="507">
        <f t="shared" si="119"/>
        <v>0</v>
      </c>
      <c r="AA169" s="507">
        <f t="shared" si="119"/>
        <v>0</v>
      </c>
      <c r="AB169" s="507">
        <f t="shared" si="119"/>
        <v>0</v>
      </c>
      <c r="AC169" s="507">
        <f t="shared" si="119"/>
        <v>0</v>
      </c>
      <c r="AD169" s="507">
        <f t="shared" si="119"/>
        <v>0</v>
      </c>
      <c r="AE169" s="507">
        <f t="shared" si="119"/>
        <v>0</v>
      </c>
      <c r="AF169" s="507">
        <f t="shared" si="119"/>
        <v>0</v>
      </c>
      <c r="AG169" s="714"/>
      <c r="AH169" s="756"/>
      <c r="AI169" s="229"/>
    </row>
    <row r="170" spans="1:35" s="193" customFormat="1" outlineLevel="2">
      <c r="A170" s="154"/>
      <c r="B170" s="150" t="s">
        <v>805</v>
      </c>
      <c r="C170" s="702">
        <v>0</v>
      </c>
      <c r="D170" s="702">
        <v>5</v>
      </c>
      <c r="E170" s="761">
        <v>0</v>
      </c>
      <c r="F170" s="702">
        <v>0</v>
      </c>
      <c r="G170" s="761">
        <v>0</v>
      </c>
      <c r="H170" s="761">
        <v>0</v>
      </c>
      <c r="I170" s="702">
        <v>0</v>
      </c>
      <c r="J170" s="761">
        <v>0</v>
      </c>
      <c r="K170" s="761">
        <v>0</v>
      </c>
      <c r="L170" s="702">
        <v>0</v>
      </c>
      <c r="M170" s="761">
        <v>0</v>
      </c>
      <c r="N170" s="761">
        <v>5</v>
      </c>
      <c r="O170" s="702">
        <v>0</v>
      </c>
      <c r="P170" s="761">
        <v>0</v>
      </c>
      <c r="Q170" s="761">
        <v>0</v>
      </c>
      <c r="R170" s="702">
        <v>0</v>
      </c>
      <c r="S170" s="761">
        <v>0</v>
      </c>
      <c r="T170" s="761">
        <v>0</v>
      </c>
      <c r="U170" s="702">
        <v>0</v>
      </c>
      <c r="V170" s="761">
        <v>0</v>
      </c>
      <c r="W170" s="761">
        <v>0</v>
      </c>
      <c r="X170" s="702">
        <v>5</v>
      </c>
      <c r="Y170" s="761">
        <v>0</v>
      </c>
      <c r="Z170" s="761">
        <v>0</v>
      </c>
      <c r="AA170" s="702">
        <v>0</v>
      </c>
      <c r="AB170" s="761">
        <v>0</v>
      </c>
      <c r="AC170" s="761">
        <v>0</v>
      </c>
      <c r="AD170" s="702">
        <v>0</v>
      </c>
      <c r="AE170" s="761">
        <v>0</v>
      </c>
      <c r="AF170" s="761">
        <v>0</v>
      </c>
      <c r="AG170" s="714"/>
      <c r="AH170" s="756"/>
      <c r="AI170" s="229"/>
    </row>
    <row r="171" spans="1:35" s="193" customFormat="1" outlineLevel="2">
      <c r="A171" s="154"/>
      <c r="B171" s="150" t="s">
        <v>807</v>
      </c>
      <c r="C171" s="714">
        <f>Insumos!$E$12</f>
        <v>7200</v>
      </c>
      <c r="D171" s="714">
        <f>C171</f>
        <v>7200</v>
      </c>
      <c r="E171" s="714">
        <f t="shared" ref="E171:AF171" si="120">D171</f>
        <v>7200</v>
      </c>
      <c r="F171" s="714">
        <f t="shared" si="120"/>
        <v>7200</v>
      </c>
      <c r="G171" s="714">
        <f t="shared" si="120"/>
        <v>7200</v>
      </c>
      <c r="H171" s="714">
        <f t="shared" si="120"/>
        <v>7200</v>
      </c>
      <c r="I171" s="714">
        <f t="shared" si="120"/>
        <v>7200</v>
      </c>
      <c r="J171" s="714">
        <f t="shared" si="120"/>
        <v>7200</v>
      </c>
      <c r="K171" s="714">
        <f t="shared" si="120"/>
        <v>7200</v>
      </c>
      <c r="L171" s="714">
        <f t="shared" si="120"/>
        <v>7200</v>
      </c>
      <c r="M171" s="714">
        <f t="shared" si="120"/>
        <v>7200</v>
      </c>
      <c r="N171" s="714">
        <f t="shared" si="120"/>
        <v>7200</v>
      </c>
      <c r="O171" s="714">
        <f t="shared" si="120"/>
        <v>7200</v>
      </c>
      <c r="P171" s="714">
        <f t="shared" si="120"/>
        <v>7200</v>
      </c>
      <c r="Q171" s="714">
        <f t="shared" si="120"/>
        <v>7200</v>
      </c>
      <c r="R171" s="714">
        <f t="shared" si="120"/>
        <v>7200</v>
      </c>
      <c r="S171" s="714">
        <f t="shared" si="120"/>
        <v>7200</v>
      </c>
      <c r="T171" s="714">
        <f t="shared" si="120"/>
        <v>7200</v>
      </c>
      <c r="U171" s="714">
        <f t="shared" si="120"/>
        <v>7200</v>
      </c>
      <c r="V171" s="714">
        <f t="shared" si="120"/>
        <v>7200</v>
      </c>
      <c r="W171" s="714">
        <f t="shared" si="120"/>
        <v>7200</v>
      </c>
      <c r="X171" s="714">
        <f t="shared" si="120"/>
        <v>7200</v>
      </c>
      <c r="Y171" s="714">
        <f t="shared" si="120"/>
        <v>7200</v>
      </c>
      <c r="Z171" s="714">
        <f t="shared" si="120"/>
        <v>7200</v>
      </c>
      <c r="AA171" s="714">
        <f t="shared" si="120"/>
        <v>7200</v>
      </c>
      <c r="AB171" s="714">
        <f t="shared" si="120"/>
        <v>7200</v>
      </c>
      <c r="AC171" s="714">
        <f t="shared" si="120"/>
        <v>7200</v>
      </c>
      <c r="AD171" s="714">
        <f t="shared" si="120"/>
        <v>7200</v>
      </c>
      <c r="AE171" s="714">
        <f t="shared" si="120"/>
        <v>7200</v>
      </c>
      <c r="AF171" s="714">
        <f t="shared" si="120"/>
        <v>7200</v>
      </c>
      <c r="AG171" s="714"/>
      <c r="AH171" s="756"/>
      <c r="AI171" s="229"/>
    </row>
    <row r="172" spans="1:35" s="193" customFormat="1" outlineLevel="1">
      <c r="A172" s="154"/>
      <c r="B172" s="260" t="s">
        <v>856</v>
      </c>
      <c r="C172" s="757">
        <f>C173</f>
        <v>43404.541674200002</v>
      </c>
      <c r="D172" s="757">
        <f t="shared" ref="D172:AF172" si="121">D173</f>
        <v>43404.541674200002</v>
      </c>
      <c r="E172" s="757">
        <f t="shared" si="121"/>
        <v>43404.541674200002</v>
      </c>
      <c r="F172" s="757">
        <f t="shared" si="121"/>
        <v>43404.541674200002</v>
      </c>
      <c r="G172" s="757">
        <f t="shared" si="121"/>
        <v>43404.541674200002</v>
      </c>
      <c r="H172" s="757">
        <f t="shared" si="121"/>
        <v>43404.541674200002</v>
      </c>
      <c r="I172" s="757">
        <f t="shared" si="121"/>
        <v>43404.541674200002</v>
      </c>
      <c r="J172" s="757">
        <f t="shared" si="121"/>
        <v>43404.541674200002</v>
      </c>
      <c r="K172" s="757">
        <f t="shared" si="121"/>
        <v>43404.541674200002</v>
      </c>
      <c r="L172" s="757">
        <f t="shared" si="121"/>
        <v>43404.541674200002</v>
      </c>
      <c r="M172" s="757">
        <f t="shared" si="121"/>
        <v>43404.541674200002</v>
      </c>
      <c r="N172" s="757">
        <f t="shared" si="121"/>
        <v>43404.541674200002</v>
      </c>
      <c r="O172" s="757">
        <f t="shared" si="121"/>
        <v>43404.541674200002</v>
      </c>
      <c r="P172" s="757">
        <f t="shared" si="121"/>
        <v>43404.541674200002</v>
      </c>
      <c r="Q172" s="757">
        <f t="shared" si="121"/>
        <v>43404.541674200002</v>
      </c>
      <c r="R172" s="757">
        <f t="shared" si="121"/>
        <v>43404.541674200002</v>
      </c>
      <c r="S172" s="757">
        <f t="shared" si="121"/>
        <v>43404.541674200002</v>
      </c>
      <c r="T172" s="757">
        <f t="shared" si="121"/>
        <v>43404.541674200002</v>
      </c>
      <c r="U172" s="757">
        <f t="shared" si="121"/>
        <v>43404.541674200002</v>
      </c>
      <c r="V172" s="757">
        <f t="shared" si="121"/>
        <v>43404.541674200002</v>
      </c>
      <c r="W172" s="757">
        <f t="shared" si="121"/>
        <v>43404.541674200002</v>
      </c>
      <c r="X172" s="757">
        <f t="shared" si="121"/>
        <v>43404.541674200002</v>
      </c>
      <c r="Y172" s="757">
        <f t="shared" si="121"/>
        <v>43404.541674200002</v>
      </c>
      <c r="Z172" s="757">
        <f t="shared" si="121"/>
        <v>43404.541674200002</v>
      </c>
      <c r="AA172" s="757">
        <f t="shared" si="121"/>
        <v>43404.541674200002</v>
      </c>
      <c r="AB172" s="757">
        <f t="shared" si="121"/>
        <v>43404.541674200002</v>
      </c>
      <c r="AC172" s="757">
        <f t="shared" si="121"/>
        <v>43404.541674200002</v>
      </c>
      <c r="AD172" s="757">
        <f t="shared" si="121"/>
        <v>43404.541674200002</v>
      </c>
      <c r="AE172" s="757">
        <f t="shared" si="121"/>
        <v>43404.541674200002</v>
      </c>
      <c r="AF172" s="757">
        <f t="shared" si="121"/>
        <v>43404.541674200002</v>
      </c>
      <c r="AG172" s="714"/>
      <c r="AH172" s="756"/>
      <c r="AI172" s="229"/>
    </row>
    <row r="173" spans="1:35" s="193" customFormat="1" outlineLevel="2">
      <c r="A173" s="154"/>
      <c r="B173" s="256" t="s">
        <v>857</v>
      </c>
      <c r="C173" s="507">
        <f t="shared" ref="C173:AF173" si="122">C174*C175</f>
        <v>43404.541674200002</v>
      </c>
      <c r="D173" s="507">
        <f t="shared" si="122"/>
        <v>43404.541674200002</v>
      </c>
      <c r="E173" s="507">
        <f t="shared" si="122"/>
        <v>43404.541674200002</v>
      </c>
      <c r="F173" s="507">
        <f t="shared" si="122"/>
        <v>43404.541674200002</v>
      </c>
      <c r="G173" s="507">
        <f t="shared" si="122"/>
        <v>43404.541674200002</v>
      </c>
      <c r="H173" s="507">
        <f t="shared" si="122"/>
        <v>43404.541674200002</v>
      </c>
      <c r="I173" s="507">
        <f t="shared" si="122"/>
        <v>43404.541674200002</v>
      </c>
      <c r="J173" s="507">
        <f t="shared" si="122"/>
        <v>43404.541674200002</v>
      </c>
      <c r="K173" s="507">
        <f t="shared" si="122"/>
        <v>43404.541674200002</v>
      </c>
      <c r="L173" s="507">
        <f t="shared" si="122"/>
        <v>43404.541674200002</v>
      </c>
      <c r="M173" s="507">
        <f t="shared" si="122"/>
        <v>43404.541674200002</v>
      </c>
      <c r="N173" s="507">
        <f t="shared" si="122"/>
        <v>43404.541674200002</v>
      </c>
      <c r="O173" s="507">
        <f t="shared" si="122"/>
        <v>43404.541674200002</v>
      </c>
      <c r="P173" s="507">
        <f t="shared" si="122"/>
        <v>43404.541674200002</v>
      </c>
      <c r="Q173" s="507">
        <f t="shared" si="122"/>
        <v>43404.541674200002</v>
      </c>
      <c r="R173" s="507">
        <f t="shared" si="122"/>
        <v>43404.541674200002</v>
      </c>
      <c r="S173" s="507">
        <f t="shared" si="122"/>
        <v>43404.541674200002</v>
      </c>
      <c r="T173" s="507">
        <f t="shared" si="122"/>
        <v>43404.541674200002</v>
      </c>
      <c r="U173" s="507">
        <f t="shared" si="122"/>
        <v>43404.541674200002</v>
      </c>
      <c r="V173" s="507">
        <f t="shared" si="122"/>
        <v>43404.541674200002</v>
      </c>
      <c r="W173" s="507">
        <f t="shared" si="122"/>
        <v>43404.541674200002</v>
      </c>
      <c r="X173" s="507">
        <f t="shared" si="122"/>
        <v>43404.541674200002</v>
      </c>
      <c r="Y173" s="507">
        <f t="shared" si="122"/>
        <v>43404.541674200002</v>
      </c>
      <c r="Z173" s="507">
        <f t="shared" si="122"/>
        <v>43404.541674200002</v>
      </c>
      <c r="AA173" s="507">
        <f t="shared" si="122"/>
        <v>43404.541674200002</v>
      </c>
      <c r="AB173" s="507">
        <f t="shared" si="122"/>
        <v>43404.541674200002</v>
      </c>
      <c r="AC173" s="507">
        <f t="shared" si="122"/>
        <v>43404.541674200002</v>
      </c>
      <c r="AD173" s="507">
        <f t="shared" si="122"/>
        <v>43404.541674200002</v>
      </c>
      <c r="AE173" s="507">
        <f t="shared" si="122"/>
        <v>43404.541674200002</v>
      </c>
      <c r="AF173" s="507">
        <f t="shared" si="122"/>
        <v>43404.541674200002</v>
      </c>
      <c r="AG173" s="714"/>
      <c r="AH173" s="756"/>
      <c r="AI173" s="229"/>
    </row>
    <row r="174" spans="1:35" s="193" customFormat="1" outlineLevel="2">
      <c r="A174" s="154"/>
      <c r="B174" s="150" t="s">
        <v>805</v>
      </c>
      <c r="C174" s="713">
        <v>100</v>
      </c>
      <c r="D174" s="713">
        <v>100</v>
      </c>
      <c r="E174" s="713">
        <v>100</v>
      </c>
      <c r="F174" s="713">
        <v>100</v>
      </c>
      <c r="G174" s="713">
        <v>100</v>
      </c>
      <c r="H174" s="713">
        <v>100</v>
      </c>
      <c r="I174" s="713">
        <v>100</v>
      </c>
      <c r="J174" s="713">
        <v>100</v>
      </c>
      <c r="K174" s="713">
        <v>100</v>
      </c>
      <c r="L174" s="713">
        <v>100</v>
      </c>
      <c r="M174" s="713">
        <v>100</v>
      </c>
      <c r="N174" s="713">
        <v>100</v>
      </c>
      <c r="O174" s="713">
        <v>100</v>
      </c>
      <c r="P174" s="713">
        <v>100</v>
      </c>
      <c r="Q174" s="713">
        <v>100</v>
      </c>
      <c r="R174" s="713">
        <v>100</v>
      </c>
      <c r="S174" s="713">
        <v>100</v>
      </c>
      <c r="T174" s="713">
        <v>100</v>
      </c>
      <c r="U174" s="713">
        <v>100</v>
      </c>
      <c r="V174" s="713">
        <v>100</v>
      </c>
      <c r="W174" s="713">
        <v>100</v>
      </c>
      <c r="X174" s="713">
        <v>100</v>
      </c>
      <c r="Y174" s="713">
        <v>100</v>
      </c>
      <c r="Z174" s="713">
        <v>100</v>
      </c>
      <c r="AA174" s="713">
        <v>100</v>
      </c>
      <c r="AB174" s="713">
        <v>100</v>
      </c>
      <c r="AC174" s="713">
        <v>100</v>
      </c>
      <c r="AD174" s="713">
        <v>100</v>
      </c>
      <c r="AE174" s="713">
        <v>100</v>
      </c>
      <c r="AF174" s="713">
        <v>100</v>
      </c>
      <c r="AG174" s="714"/>
      <c r="AH174" s="756"/>
      <c r="AI174" s="229"/>
    </row>
    <row r="175" spans="1:35" s="193" customFormat="1" outlineLevel="2">
      <c r="A175" s="154"/>
      <c r="B175" s="150" t="s">
        <v>807</v>
      </c>
      <c r="C175" s="714">
        <f>Insumos!$E$203</f>
        <v>434.04541674200004</v>
      </c>
      <c r="D175" s="714">
        <f>C175</f>
        <v>434.04541674200004</v>
      </c>
      <c r="E175" s="714">
        <f t="shared" ref="E175:AF175" si="123">D175</f>
        <v>434.04541674200004</v>
      </c>
      <c r="F175" s="714">
        <f t="shared" si="123"/>
        <v>434.04541674200004</v>
      </c>
      <c r="G175" s="714">
        <f t="shared" si="123"/>
        <v>434.04541674200004</v>
      </c>
      <c r="H175" s="714">
        <f t="shared" si="123"/>
        <v>434.04541674200004</v>
      </c>
      <c r="I175" s="714">
        <f t="shared" si="123"/>
        <v>434.04541674200004</v>
      </c>
      <c r="J175" s="714">
        <f t="shared" si="123"/>
        <v>434.04541674200004</v>
      </c>
      <c r="K175" s="714">
        <f t="shared" si="123"/>
        <v>434.04541674200004</v>
      </c>
      <c r="L175" s="714">
        <f t="shared" si="123"/>
        <v>434.04541674200004</v>
      </c>
      <c r="M175" s="714">
        <f t="shared" si="123"/>
        <v>434.04541674200004</v>
      </c>
      <c r="N175" s="714">
        <f t="shared" si="123"/>
        <v>434.04541674200004</v>
      </c>
      <c r="O175" s="714">
        <f t="shared" si="123"/>
        <v>434.04541674200004</v>
      </c>
      <c r="P175" s="714">
        <f t="shared" si="123"/>
        <v>434.04541674200004</v>
      </c>
      <c r="Q175" s="714">
        <f t="shared" si="123"/>
        <v>434.04541674200004</v>
      </c>
      <c r="R175" s="714">
        <f t="shared" si="123"/>
        <v>434.04541674200004</v>
      </c>
      <c r="S175" s="714">
        <f t="shared" si="123"/>
        <v>434.04541674200004</v>
      </c>
      <c r="T175" s="714">
        <f t="shared" si="123"/>
        <v>434.04541674200004</v>
      </c>
      <c r="U175" s="714">
        <f t="shared" si="123"/>
        <v>434.04541674200004</v>
      </c>
      <c r="V175" s="714">
        <f t="shared" si="123"/>
        <v>434.04541674200004</v>
      </c>
      <c r="W175" s="714">
        <f t="shared" si="123"/>
        <v>434.04541674200004</v>
      </c>
      <c r="X175" s="714">
        <f t="shared" si="123"/>
        <v>434.04541674200004</v>
      </c>
      <c r="Y175" s="714">
        <f t="shared" si="123"/>
        <v>434.04541674200004</v>
      </c>
      <c r="Z175" s="714">
        <f t="shared" si="123"/>
        <v>434.04541674200004</v>
      </c>
      <c r="AA175" s="714">
        <f t="shared" si="123"/>
        <v>434.04541674200004</v>
      </c>
      <c r="AB175" s="714">
        <f t="shared" si="123"/>
        <v>434.04541674200004</v>
      </c>
      <c r="AC175" s="714">
        <f t="shared" si="123"/>
        <v>434.04541674200004</v>
      </c>
      <c r="AD175" s="714">
        <f t="shared" si="123"/>
        <v>434.04541674200004</v>
      </c>
      <c r="AE175" s="714">
        <f t="shared" si="123"/>
        <v>434.04541674200004</v>
      </c>
      <c r="AF175" s="714">
        <f t="shared" si="123"/>
        <v>434.04541674200004</v>
      </c>
      <c r="AG175" s="714"/>
      <c r="AH175" s="756"/>
      <c r="AI175" s="229"/>
    </row>
    <row r="176" spans="1:35" s="725" customFormat="1" ht="17.25" customHeight="1" outlineLevel="1">
      <c r="A176" s="154"/>
      <c r="B176" s="711" t="s">
        <v>858</v>
      </c>
      <c r="C176" s="712">
        <f>C177+C180</f>
        <v>0</v>
      </c>
      <c r="D176" s="712">
        <f t="shared" ref="D176:AF176" si="124">D177+D180</f>
        <v>0</v>
      </c>
      <c r="E176" s="712">
        <f t="shared" si="124"/>
        <v>0</v>
      </c>
      <c r="F176" s="712">
        <f t="shared" si="124"/>
        <v>0</v>
      </c>
      <c r="G176" s="712">
        <f t="shared" si="124"/>
        <v>0</v>
      </c>
      <c r="H176" s="712">
        <f t="shared" si="124"/>
        <v>62.070036000000009</v>
      </c>
      <c r="I176" s="712">
        <f t="shared" si="124"/>
        <v>109482.48127874402</v>
      </c>
      <c r="J176" s="712">
        <f t="shared" si="124"/>
        <v>0</v>
      </c>
      <c r="K176" s="712">
        <f t="shared" si="124"/>
        <v>0</v>
      </c>
      <c r="L176" s="712">
        <f t="shared" si="124"/>
        <v>0</v>
      </c>
      <c r="M176" s="712">
        <f t="shared" si="124"/>
        <v>0</v>
      </c>
      <c r="N176" s="712">
        <f t="shared" si="124"/>
        <v>0</v>
      </c>
      <c r="O176" s="712">
        <f t="shared" si="124"/>
        <v>0</v>
      </c>
      <c r="P176" s="712">
        <f t="shared" si="124"/>
        <v>109482.48127874402</v>
      </c>
      <c r="Q176" s="712">
        <f t="shared" si="124"/>
        <v>0</v>
      </c>
      <c r="R176" s="712">
        <f t="shared" si="124"/>
        <v>62.070036000000009</v>
      </c>
      <c r="S176" s="712">
        <f t="shared" si="124"/>
        <v>0</v>
      </c>
      <c r="T176" s="712">
        <f t="shared" si="124"/>
        <v>0</v>
      </c>
      <c r="U176" s="712">
        <f t="shared" si="124"/>
        <v>0</v>
      </c>
      <c r="V176" s="712">
        <f t="shared" si="124"/>
        <v>0</v>
      </c>
      <c r="W176" s="712">
        <f t="shared" si="124"/>
        <v>109482.48127874402</v>
      </c>
      <c r="X176" s="712">
        <f t="shared" si="124"/>
        <v>0</v>
      </c>
      <c r="Y176" s="712">
        <f t="shared" si="124"/>
        <v>0</v>
      </c>
      <c r="Z176" s="712">
        <f t="shared" si="124"/>
        <v>0</v>
      </c>
      <c r="AA176" s="712">
        <f t="shared" si="124"/>
        <v>0</v>
      </c>
      <c r="AB176" s="712">
        <f t="shared" si="124"/>
        <v>310.35018000000002</v>
      </c>
      <c r="AC176" s="712">
        <f t="shared" si="124"/>
        <v>0</v>
      </c>
      <c r="AD176" s="712">
        <f t="shared" si="124"/>
        <v>109482.48127874402</v>
      </c>
      <c r="AE176" s="712">
        <f t="shared" si="124"/>
        <v>0</v>
      </c>
      <c r="AF176" s="712">
        <f t="shared" si="124"/>
        <v>0</v>
      </c>
      <c r="AG176" s="714"/>
      <c r="AH176" s="584"/>
      <c r="AI176" s="762"/>
    </row>
    <row r="177" spans="1:35" s="514" customFormat="1" ht="17.25" customHeight="1" outlineLevel="2">
      <c r="A177" s="154"/>
      <c r="B177" s="585" t="s">
        <v>859</v>
      </c>
      <c r="C177" s="507">
        <f t="shared" ref="C177:AF177" si="125">C178*C179</f>
        <v>0</v>
      </c>
      <c r="D177" s="507">
        <f t="shared" si="125"/>
        <v>0</v>
      </c>
      <c r="E177" s="507">
        <f t="shared" si="125"/>
        <v>0</v>
      </c>
      <c r="F177" s="174">
        <f t="shared" si="125"/>
        <v>0</v>
      </c>
      <c r="G177" s="174">
        <f t="shared" si="125"/>
        <v>0</v>
      </c>
      <c r="H177" s="174">
        <f t="shared" si="125"/>
        <v>0</v>
      </c>
      <c r="I177" s="174">
        <f t="shared" si="125"/>
        <v>109482.48127874402</v>
      </c>
      <c r="J177" s="174">
        <f t="shared" si="125"/>
        <v>0</v>
      </c>
      <c r="K177" s="174">
        <f t="shared" si="125"/>
        <v>0</v>
      </c>
      <c r="L177" s="174">
        <f t="shared" si="125"/>
        <v>0</v>
      </c>
      <c r="M177" s="174">
        <f t="shared" si="125"/>
        <v>0</v>
      </c>
      <c r="N177" s="174">
        <f t="shared" si="125"/>
        <v>0</v>
      </c>
      <c r="O177" s="174">
        <f t="shared" si="125"/>
        <v>0</v>
      </c>
      <c r="P177" s="174">
        <f t="shared" si="125"/>
        <v>109482.48127874402</v>
      </c>
      <c r="Q177" s="174">
        <f t="shared" si="125"/>
        <v>0</v>
      </c>
      <c r="R177" s="174">
        <f t="shared" si="125"/>
        <v>0</v>
      </c>
      <c r="S177" s="174">
        <f t="shared" si="125"/>
        <v>0</v>
      </c>
      <c r="T177" s="174">
        <f t="shared" si="125"/>
        <v>0</v>
      </c>
      <c r="U177" s="174">
        <f t="shared" si="125"/>
        <v>0</v>
      </c>
      <c r="V177" s="174">
        <f t="shared" si="125"/>
        <v>0</v>
      </c>
      <c r="W177" s="174">
        <f t="shared" si="125"/>
        <v>109482.48127874402</v>
      </c>
      <c r="X177" s="174">
        <f t="shared" si="125"/>
        <v>0</v>
      </c>
      <c r="Y177" s="174">
        <f t="shared" si="125"/>
        <v>0</v>
      </c>
      <c r="Z177" s="174">
        <f t="shared" si="125"/>
        <v>0</v>
      </c>
      <c r="AA177" s="174">
        <f t="shared" si="125"/>
        <v>0</v>
      </c>
      <c r="AB177" s="174">
        <f t="shared" si="125"/>
        <v>0</v>
      </c>
      <c r="AC177" s="174">
        <f t="shared" si="125"/>
        <v>0</v>
      </c>
      <c r="AD177" s="174">
        <f t="shared" si="125"/>
        <v>109482.48127874402</v>
      </c>
      <c r="AE177" s="174">
        <f t="shared" si="125"/>
        <v>0</v>
      </c>
      <c r="AF177" s="174">
        <f t="shared" si="125"/>
        <v>0</v>
      </c>
      <c r="AG177" s="175"/>
      <c r="AH177" s="510"/>
      <c r="AI177" s="512"/>
    </row>
    <row r="178" spans="1:35" s="514" customFormat="1" ht="17.25" customHeight="1" outlineLevel="2">
      <c r="A178" s="154"/>
      <c r="B178" s="585" t="s">
        <v>805</v>
      </c>
      <c r="C178" s="713">
        <v>0</v>
      </c>
      <c r="D178" s="713">
        <v>0</v>
      </c>
      <c r="E178" s="713">
        <v>0</v>
      </c>
      <c r="F178" s="177">
        <v>0</v>
      </c>
      <c r="G178" s="177">
        <v>0</v>
      </c>
      <c r="H178" s="177">
        <v>0</v>
      </c>
      <c r="I178" s="177">
        <v>1</v>
      </c>
      <c r="J178" s="177">
        <v>0</v>
      </c>
      <c r="K178" s="177">
        <v>0</v>
      </c>
      <c r="L178" s="177">
        <v>0</v>
      </c>
      <c r="M178" s="177">
        <v>0</v>
      </c>
      <c r="N178" s="177">
        <v>0</v>
      </c>
      <c r="O178" s="177">
        <v>0</v>
      </c>
      <c r="P178" s="177">
        <v>1</v>
      </c>
      <c r="Q178" s="177">
        <v>0</v>
      </c>
      <c r="R178" s="177">
        <v>0</v>
      </c>
      <c r="S178" s="177">
        <v>0</v>
      </c>
      <c r="T178" s="177">
        <v>0</v>
      </c>
      <c r="U178" s="177">
        <v>0</v>
      </c>
      <c r="V178" s="177">
        <v>0</v>
      </c>
      <c r="W178" s="177">
        <v>1</v>
      </c>
      <c r="X178" s="177">
        <v>0</v>
      </c>
      <c r="Y178" s="177">
        <v>0</v>
      </c>
      <c r="Z178" s="177">
        <v>0</v>
      </c>
      <c r="AA178" s="177">
        <v>0</v>
      </c>
      <c r="AB178" s="177">
        <v>0</v>
      </c>
      <c r="AC178" s="177">
        <v>0</v>
      </c>
      <c r="AD178" s="177">
        <v>1</v>
      </c>
      <c r="AE178" s="177">
        <v>0</v>
      </c>
      <c r="AF178" s="177">
        <v>0</v>
      </c>
      <c r="AG178" s="175"/>
      <c r="AH178" s="510"/>
      <c r="AI178" s="512"/>
    </row>
    <row r="179" spans="1:35" s="514" customFormat="1" ht="17.25" customHeight="1" outlineLevel="2">
      <c r="A179" s="154"/>
      <c r="B179" s="585" t="s">
        <v>807</v>
      </c>
      <c r="C179" s="714">
        <f>Insumos!$E$189</f>
        <v>109482.48127874402</v>
      </c>
      <c r="D179" s="714">
        <f>C179</f>
        <v>109482.48127874402</v>
      </c>
      <c r="E179" s="714">
        <f t="shared" ref="E179:AF179" si="126">D179</f>
        <v>109482.48127874402</v>
      </c>
      <c r="F179" s="714">
        <f t="shared" si="126"/>
        <v>109482.48127874402</v>
      </c>
      <c r="G179" s="714">
        <f t="shared" si="126"/>
        <v>109482.48127874402</v>
      </c>
      <c r="H179" s="714">
        <f t="shared" si="126"/>
        <v>109482.48127874402</v>
      </c>
      <c r="I179" s="714">
        <f t="shared" si="126"/>
        <v>109482.48127874402</v>
      </c>
      <c r="J179" s="714">
        <f t="shared" si="126"/>
        <v>109482.48127874402</v>
      </c>
      <c r="K179" s="714">
        <f t="shared" si="126"/>
        <v>109482.48127874402</v>
      </c>
      <c r="L179" s="714">
        <f t="shared" si="126"/>
        <v>109482.48127874402</v>
      </c>
      <c r="M179" s="714">
        <f t="shared" si="126"/>
        <v>109482.48127874402</v>
      </c>
      <c r="N179" s="714">
        <f t="shared" si="126"/>
        <v>109482.48127874402</v>
      </c>
      <c r="O179" s="714">
        <f t="shared" si="126"/>
        <v>109482.48127874402</v>
      </c>
      <c r="P179" s="714">
        <f t="shared" si="126"/>
        <v>109482.48127874402</v>
      </c>
      <c r="Q179" s="714">
        <f t="shared" si="126"/>
        <v>109482.48127874402</v>
      </c>
      <c r="R179" s="714">
        <f t="shared" si="126"/>
        <v>109482.48127874402</v>
      </c>
      <c r="S179" s="714">
        <f t="shared" si="126"/>
        <v>109482.48127874402</v>
      </c>
      <c r="T179" s="714">
        <f t="shared" si="126"/>
        <v>109482.48127874402</v>
      </c>
      <c r="U179" s="714">
        <f t="shared" si="126"/>
        <v>109482.48127874402</v>
      </c>
      <c r="V179" s="714">
        <f t="shared" si="126"/>
        <v>109482.48127874402</v>
      </c>
      <c r="W179" s="714">
        <f t="shared" si="126"/>
        <v>109482.48127874402</v>
      </c>
      <c r="X179" s="714">
        <f t="shared" si="126"/>
        <v>109482.48127874402</v>
      </c>
      <c r="Y179" s="714">
        <f t="shared" si="126"/>
        <v>109482.48127874402</v>
      </c>
      <c r="Z179" s="714">
        <f t="shared" si="126"/>
        <v>109482.48127874402</v>
      </c>
      <c r="AA179" s="714">
        <f t="shared" si="126"/>
        <v>109482.48127874402</v>
      </c>
      <c r="AB179" s="714">
        <f t="shared" si="126"/>
        <v>109482.48127874402</v>
      </c>
      <c r="AC179" s="714">
        <f t="shared" si="126"/>
        <v>109482.48127874402</v>
      </c>
      <c r="AD179" s="714">
        <f t="shared" si="126"/>
        <v>109482.48127874402</v>
      </c>
      <c r="AE179" s="714">
        <f t="shared" si="126"/>
        <v>109482.48127874402</v>
      </c>
      <c r="AF179" s="714">
        <f t="shared" si="126"/>
        <v>109482.48127874402</v>
      </c>
      <c r="AG179" s="175"/>
      <c r="AH179" s="510"/>
      <c r="AI179" s="512"/>
    </row>
    <row r="180" spans="1:35" s="514" customFormat="1" ht="17.25" customHeight="1" outlineLevel="2">
      <c r="A180" s="154"/>
      <c r="B180" s="608" t="s">
        <v>860</v>
      </c>
      <c r="C180" s="507">
        <f t="shared" ref="C180:AF180" si="127">C181*C182</f>
        <v>0</v>
      </c>
      <c r="D180" s="507">
        <f t="shared" si="127"/>
        <v>0</v>
      </c>
      <c r="E180" s="507">
        <f t="shared" si="127"/>
        <v>0</v>
      </c>
      <c r="F180" s="174">
        <f t="shared" si="127"/>
        <v>0</v>
      </c>
      <c r="G180" s="174">
        <f t="shared" si="127"/>
        <v>0</v>
      </c>
      <c r="H180" s="174">
        <f t="shared" si="127"/>
        <v>62.070036000000009</v>
      </c>
      <c r="I180" s="174">
        <f t="shared" si="127"/>
        <v>0</v>
      </c>
      <c r="J180" s="174">
        <f t="shared" si="127"/>
        <v>0</v>
      </c>
      <c r="K180" s="174">
        <f t="shared" si="127"/>
        <v>0</v>
      </c>
      <c r="L180" s="174">
        <f t="shared" si="127"/>
        <v>0</v>
      </c>
      <c r="M180" s="174">
        <f t="shared" si="127"/>
        <v>0</v>
      </c>
      <c r="N180" s="174">
        <f t="shared" si="127"/>
        <v>0</v>
      </c>
      <c r="O180" s="174">
        <f t="shared" si="127"/>
        <v>0</v>
      </c>
      <c r="P180" s="174">
        <f t="shared" si="127"/>
        <v>0</v>
      </c>
      <c r="Q180" s="174">
        <f t="shared" si="127"/>
        <v>0</v>
      </c>
      <c r="R180" s="174">
        <f t="shared" si="127"/>
        <v>62.070036000000009</v>
      </c>
      <c r="S180" s="174">
        <f t="shared" si="127"/>
        <v>0</v>
      </c>
      <c r="T180" s="174">
        <f t="shared" si="127"/>
        <v>0</v>
      </c>
      <c r="U180" s="174">
        <f t="shared" si="127"/>
        <v>0</v>
      </c>
      <c r="V180" s="174">
        <f t="shared" si="127"/>
        <v>0</v>
      </c>
      <c r="W180" s="174">
        <f t="shared" si="127"/>
        <v>0</v>
      </c>
      <c r="X180" s="174">
        <f t="shared" si="127"/>
        <v>0</v>
      </c>
      <c r="Y180" s="174">
        <f t="shared" si="127"/>
        <v>0</v>
      </c>
      <c r="Z180" s="174">
        <f t="shared" si="127"/>
        <v>0</v>
      </c>
      <c r="AA180" s="174">
        <f t="shared" si="127"/>
        <v>0</v>
      </c>
      <c r="AB180" s="174">
        <f t="shared" si="127"/>
        <v>310.35018000000002</v>
      </c>
      <c r="AC180" s="174">
        <f t="shared" si="127"/>
        <v>0</v>
      </c>
      <c r="AD180" s="174">
        <f t="shared" si="127"/>
        <v>0</v>
      </c>
      <c r="AE180" s="174">
        <f t="shared" si="127"/>
        <v>0</v>
      </c>
      <c r="AF180" s="174">
        <f t="shared" si="127"/>
        <v>0</v>
      </c>
      <c r="AG180" s="175"/>
      <c r="AH180" s="510"/>
      <c r="AI180" s="512"/>
    </row>
    <row r="181" spans="1:35" s="514" customFormat="1" ht="17.25" customHeight="1" outlineLevel="2">
      <c r="A181" s="154"/>
      <c r="B181" s="585" t="s">
        <v>805</v>
      </c>
      <c r="C181" s="713">
        <v>0</v>
      </c>
      <c r="D181" s="713">
        <v>0</v>
      </c>
      <c r="E181" s="713">
        <v>0</v>
      </c>
      <c r="F181" s="177">
        <v>0</v>
      </c>
      <c r="G181" s="177">
        <v>0</v>
      </c>
      <c r="H181" s="177">
        <v>0.2</v>
      </c>
      <c r="I181" s="177">
        <v>0</v>
      </c>
      <c r="J181" s="177">
        <v>0</v>
      </c>
      <c r="K181" s="177">
        <v>0</v>
      </c>
      <c r="L181" s="177">
        <v>0</v>
      </c>
      <c r="M181" s="177">
        <v>0</v>
      </c>
      <c r="N181" s="177">
        <v>0</v>
      </c>
      <c r="O181" s="177">
        <v>0</v>
      </c>
      <c r="P181" s="177">
        <v>0</v>
      </c>
      <c r="Q181" s="177">
        <v>0</v>
      </c>
      <c r="R181" s="177">
        <v>0.2</v>
      </c>
      <c r="S181" s="177">
        <v>0</v>
      </c>
      <c r="T181" s="177">
        <v>0</v>
      </c>
      <c r="U181" s="177">
        <v>0</v>
      </c>
      <c r="V181" s="177">
        <v>0</v>
      </c>
      <c r="W181" s="177">
        <v>0</v>
      </c>
      <c r="X181" s="177">
        <v>0</v>
      </c>
      <c r="Y181" s="177">
        <v>0</v>
      </c>
      <c r="Z181" s="177">
        <v>0</v>
      </c>
      <c r="AA181" s="177">
        <v>0</v>
      </c>
      <c r="AB181" s="177">
        <v>1</v>
      </c>
      <c r="AC181" s="177">
        <v>0</v>
      </c>
      <c r="AD181" s="177">
        <v>0</v>
      </c>
      <c r="AE181" s="177">
        <v>0</v>
      </c>
      <c r="AF181" s="177">
        <v>0</v>
      </c>
      <c r="AG181" s="175"/>
      <c r="AH181" s="510"/>
      <c r="AI181" s="512"/>
    </row>
    <row r="182" spans="1:35" s="514" customFormat="1" ht="17.25" customHeight="1" outlineLevel="2">
      <c r="A182" s="154"/>
      <c r="B182" s="585" t="s">
        <v>807</v>
      </c>
      <c r="C182" s="714">
        <f>Insumos!$E$196</f>
        <v>310.35018000000002</v>
      </c>
      <c r="D182" s="714">
        <f>C182</f>
        <v>310.35018000000002</v>
      </c>
      <c r="E182" s="714">
        <f>D182</f>
        <v>310.35018000000002</v>
      </c>
      <c r="F182" s="176">
        <f t="shared" ref="F182:I182" si="128">E182</f>
        <v>310.35018000000002</v>
      </c>
      <c r="G182" s="176">
        <f t="shared" si="128"/>
        <v>310.35018000000002</v>
      </c>
      <c r="H182" s="176">
        <f t="shared" si="128"/>
        <v>310.35018000000002</v>
      </c>
      <c r="I182" s="176">
        <f t="shared" si="128"/>
        <v>310.35018000000002</v>
      </c>
      <c r="J182" s="176">
        <f t="shared" ref="J182" si="129">I182</f>
        <v>310.35018000000002</v>
      </c>
      <c r="K182" s="176">
        <f t="shared" ref="K182" si="130">J182</f>
        <v>310.35018000000002</v>
      </c>
      <c r="L182" s="176">
        <f t="shared" ref="L182" si="131">K182</f>
        <v>310.35018000000002</v>
      </c>
      <c r="M182" s="176">
        <f t="shared" ref="M182" si="132">L182</f>
        <v>310.35018000000002</v>
      </c>
      <c r="N182" s="176">
        <f t="shared" ref="N182" si="133">M182</f>
        <v>310.35018000000002</v>
      </c>
      <c r="O182" s="176">
        <f t="shared" ref="O182" si="134">N182</f>
        <v>310.35018000000002</v>
      </c>
      <c r="P182" s="176">
        <f t="shared" ref="P182" si="135">O182</f>
        <v>310.35018000000002</v>
      </c>
      <c r="Q182" s="176">
        <f t="shared" ref="Q182" si="136">P182</f>
        <v>310.35018000000002</v>
      </c>
      <c r="R182" s="176">
        <f t="shared" ref="R182" si="137">Q182</f>
        <v>310.35018000000002</v>
      </c>
      <c r="S182" s="176">
        <f t="shared" ref="S182" si="138">R182</f>
        <v>310.35018000000002</v>
      </c>
      <c r="T182" s="176">
        <f t="shared" ref="T182" si="139">S182</f>
        <v>310.35018000000002</v>
      </c>
      <c r="U182" s="176">
        <f t="shared" ref="U182" si="140">T182</f>
        <v>310.35018000000002</v>
      </c>
      <c r="V182" s="176">
        <f t="shared" ref="V182" si="141">U182</f>
        <v>310.35018000000002</v>
      </c>
      <c r="W182" s="176">
        <f t="shared" ref="W182" si="142">V182</f>
        <v>310.35018000000002</v>
      </c>
      <c r="X182" s="176">
        <f t="shared" ref="X182" si="143">W182</f>
        <v>310.35018000000002</v>
      </c>
      <c r="Y182" s="176">
        <f t="shared" ref="Y182" si="144">X182</f>
        <v>310.35018000000002</v>
      </c>
      <c r="Z182" s="176">
        <f t="shared" ref="Z182" si="145">Y182</f>
        <v>310.35018000000002</v>
      </c>
      <c r="AA182" s="176">
        <f t="shared" ref="AA182" si="146">Z182</f>
        <v>310.35018000000002</v>
      </c>
      <c r="AB182" s="176">
        <f t="shared" ref="AB182" si="147">AA182</f>
        <v>310.35018000000002</v>
      </c>
      <c r="AC182" s="176">
        <f t="shared" ref="AC182" si="148">AB182</f>
        <v>310.35018000000002</v>
      </c>
      <c r="AD182" s="176">
        <f t="shared" ref="AD182" si="149">AC182</f>
        <v>310.35018000000002</v>
      </c>
      <c r="AE182" s="176">
        <f t="shared" ref="AE182" si="150">AD182</f>
        <v>310.35018000000002</v>
      </c>
      <c r="AF182" s="176">
        <f t="shared" ref="AF182" si="151">AE182</f>
        <v>310.35018000000002</v>
      </c>
      <c r="AG182" s="175"/>
      <c r="AH182" s="510"/>
      <c r="AI182" s="512"/>
    </row>
    <row r="183" spans="1:35">
      <c r="A183" s="154"/>
      <c r="B183" s="453" t="s">
        <v>861</v>
      </c>
      <c r="C183" s="454">
        <v>0</v>
      </c>
      <c r="D183" s="454">
        <v>0</v>
      </c>
      <c r="E183" s="454">
        <v>0</v>
      </c>
      <c r="F183" s="454">
        <v>0</v>
      </c>
      <c r="G183" s="454">
        <v>0</v>
      </c>
      <c r="H183" s="454">
        <v>0</v>
      </c>
      <c r="I183" s="454">
        <v>0</v>
      </c>
      <c r="J183" s="454">
        <v>0</v>
      </c>
      <c r="K183" s="454">
        <v>0</v>
      </c>
      <c r="L183" s="454">
        <v>0</v>
      </c>
      <c r="M183" s="454">
        <v>0</v>
      </c>
      <c r="N183" s="454">
        <v>0</v>
      </c>
      <c r="O183" s="454">
        <v>0</v>
      </c>
      <c r="P183" s="454">
        <v>0</v>
      </c>
      <c r="Q183" s="454">
        <v>0</v>
      </c>
      <c r="R183" s="454">
        <v>0</v>
      </c>
      <c r="S183" s="454">
        <v>0</v>
      </c>
      <c r="T183" s="454">
        <v>0</v>
      </c>
      <c r="U183" s="454">
        <v>0</v>
      </c>
      <c r="V183" s="454">
        <v>0</v>
      </c>
      <c r="W183" s="454">
        <v>0</v>
      </c>
      <c r="X183" s="454">
        <v>0</v>
      </c>
      <c r="Y183" s="454">
        <v>0</v>
      </c>
      <c r="Z183" s="454">
        <v>0</v>
      </c>
      <c r="AA183" s="454">
        <v>0</v>
      </c>
      <c r="AB183" s="454">
        <v>0</v>
      </c>
      <c r="AC183" s="454">
        <v>0</v>
      </c>
      <c r="AD183" s="454">
        <v>0</v>
      </c>
      <c r="AE183" s="454">
        <v>0</v>
      </c>
      <c r="AF183" s="454">
        <v>0</v>
      </c>
      <c r="AG183" s="169"/>
      <c r="AH183" s="455">
        <f>SUM(C183:AF183)</f>
        <v>0</v>
      </c>
      <c r="AI183" s="152" t="s">
        <v>803</v>
      </c>
    </row>
    <row r="184" spans="1:35" outlineLevel="1">
      <c r="A184" s="154"/>
      <c r="B184" s="225" t="s">
        <v>297</v>
      </c>
      <c r="C184" s="226">
        <f>SUM(C185)/10^3</f>
        <v>0</v>
      </c>
      <c r="D184" s="226">
        <f t="shared" ref="D184:AF184" si="152">SUM(D185)/10^3</f>
        <v>0</v>
      </c>
      <c r="E184" s="226">
        <f t="shared" si="152"/>
        <v>0</v>
      </c>
      <c r="F184" s="226">
        <f t="shared" si="152"/>
        <v>0</v>
      </c>
      <c r="G184" s="226">
        <f t="shared" si="152"/>
        <v>0</v>
      </c>
      <c r="H184" s="226">
        <f t="shared" si="152"/>
        <v>0</v>
      </c>
      <c r="I184" s="226">
        <f t="shared" si="152"/>
        <v>0</v>
      </c>
      <c r="J184" s="226">
        <f t="shared" si="152"/>
        <v>0</v>
      </c>
      <c r="K184" s="226">
        <f t="shared" si="152"/>
        <v>0</v>
      </c>
      <c r="L184" s="226">
        <f t="shared" si="152"/>
        <v>0</v>
      </c>
      <c r="M184" s="226">
        <f t="shared" si="152"/>
        <v>0</v>
      </c>
      <c r="N184" s="226">
        <f t="shared" si="152"/>
        <v>0</v>
      </c>
      <c r="O184" s="226">
        <f t="shared" si="152"/>
        <v>0</v>
      </c>
      <c r="P184" s="226">
        <f t="shared" si="152"/>
        <v>0</v>
      </c>
      <c r="Q184" s="226">
        <f t="shared" si="152"/>
        <v>0</v>
      </c>
      <c r="R184" s="226">
        <f t="shared" si="152"/>
        <v>0</v>
      </c>
      <c r="S184" s="226">
        <f t="shared" si="152"/>
        <v>0</v>
      </c>
      <c r="T184" s="226">
        <f t="shared" si="152"/>
        <v>0</v>
      </c>
      <c r="U184" s="226">
        <f t="shared" si="152"/>
        <v>0</v>
      </c>
      <c r="V184" s="226">
        <f t="shared" si="152"/>
        <v>0</v>
      </c>
      <c r="W184" s="226">
        <f t="shared" si="152"/>
        <v>0</v>
      </c>
      <c r="X184" s="226">
        <f t="shared" si="152"/>
        <v>0</v>
      </c>
      <c r="Y184" s="226">
        <f t="shared" si="152"/>
        <v>0</v>
      </c>
      <c r="Z184" s="226">
        <f t="shared" si="152"/>
        <v>0</v>
      </c>
      <c r="AA184" s="226">
        <f t="shared" si="152"/>
        <v>0</v>
      </c>
      <c r="AB184" s="226">
        <f t="shared" si="152"/>
        <v>0</v>
      </c>
      <c r="AC184" s="226">
        <f t="shared" si="152"/>
        <v>0</v>
      </c>
      <c r="AD184" s="226">
        <f t="shared" si="152"/>
        <v>0</v>
      </c>
      <c r="AE184" s="226">
        <f t="shared" si="152"/>
        <v>0</v>
      </c>
      <c r="AF184" s="226">
        <f t="shared" si="152"/>
        <v>0</v>
      </c>
      <c r="AG184" s="227"/>
      <c r="AH184" s="250">
        <f>SUM(C184:AF184)</f>
        <v>0</v>
      </c>
      <c r="AI184" s="152"/>
    </row>
    <row r="185" spans="1:35" s="162" customFormat="1" outlineLevel="2">
      <c r="A185" s="154"/>
      <c r="B185" s="256" t="s">
        <v>862</v>
      </c>
      <c r="C185" s="174">
        <f>C186*C187</f>
        <v>0</v>
      </c>
      <c r="D185" s="174">
        <f t="shared" ref="D185:AF185" si="153">D186*D187</f>
        <v>0</v>
      </c>
      <c r="E185" s="174">
        <f t="shared" si="153"/>
        <v>0</v>
      </c>
      <c r="F185" s="174">
        <f t="shared" si="153"/>
        <v>0</v>
      </c>
      <c r="G185" s="174">
        <f t="shared" si="153"/>
        <v>0</v>
      </c>
      <c r="H185" s="174">
        <f t="shared" si="153"/>
        <v>0</v>
      </c>
      <c r="I185" s="174">
        <f t="shared" si="153"/>
        <v>0</v>
      </c>
      <c r="J185" s="174">
        <f t="shared" si="153"/>
        <v>0</v>
      </c>
      <c r="K185" s="174">
        <f t="shared" si="153"/>
        <v>0</v>
      </c>
      <c r="L185" s="174">
        <f t="shared" si="153"/>
        <v>0</v>
      </c>
      <c r="M185" s="174">
        <f t="shared" si="153"/>
        <v>0</v>
      </c>
      <c r="N185" s="174">
        <f t="shared" si="153"/>
        <v>0</v>
      </c>
      <c r="O185" s="174">
        <f t="shared" si="153"/>
        <v>0</v>
      </c>
      <c r="P185" s="174">
        <f t="shared" si="153"/>
        <v>0</v>
      </c>
      <c r="Q185" s="174">
        <f t="shared" si="153"/>
        <v>0</v>
      </c>
      <c r="R185" s="174">
        <f t="shared" si="153"/>
        <v>0</v>
      </c>
      <c r="S185" s="174">
        <f t="shared" si="153"/>
        <v>0</v>
      </c>
      <c r="T185" s="174">
        <f t="shared" si="153"/>
        <v>0</v>
      </c>
      <c r="U185" s="174">
        <f t="shared" si="153"/>
        <v>0</v>
      </c>
      <c r="V185" s="174">
        <f t="shared" si="153"/>
        <v>0</v>
      </c>
      <c r="W185" s="174">
        <f t="shared" si="153"/>
        <v>0</v>
      </c>
      <c r="X185" s="174">
        <f t="shared" si="153"/>
        <v>0</v>
      </c>
      <c r="Y185" s="174">
        <f t="shared" si="153"/>
        <v>0</v>
      </c>
      <c r="Z185" s="174">
        <f t="shared" si="153"/>
        <v>0</v>
      </c>
      <c r="AA185" s="174">
        <f t="shared" si="153"/>
        <v>0</v>
      </c>
      <c r="AB185" s="174">
        <f t="shared" si="153"/>
        <v>0</v>
      </c>
      <c r="AC185" s="174">
        <f t="shared" si="153"/>
        <v>0</v>
      </c>
      <c r="AD185" s="174">
        <f t="shared" si="153"/>
        <v>0</v>
      </c>
      <c r="AE185" s="174">
        <f t="shared" si="153"/>
        <v>0</v>
      </c>
      <c r="AF185" s="174">
        <f t="shared" si="153"/>
        <v>0</v>
      </c>
      <c r="AG185" s="174"/>
      <c r="AH185" s="161"/>
      <c r="AI185" s="154"/>
    </row>
    <row r="186" spans="1:35" s="162" customFormat="1" outlineLevel="2">
      <c r="A186" s="154"/>
      <c r="B186" s="150" t="s">
        <v>805</v>
      </c>
      <c r="C186" s="172">
        <v>0</v>
      </c>
      <c r="D186" s="172">
        <v>0</v>
      </c>
      <c r="E186" s="172">
        <v>0</v>
      </c>
      <c r="F186" s="172">
        <v>0</v>
      </c>
      <c r="G186" s="172">
        <v>0</v>
      </c>
      <c r="H186" s="172">
        <v>0</v>
      </c>
      <c r="I186" s="172">
        <v>0</v>
      </c>
      <c r="J186" s="172">
        <v>0</v>
      </c>
      <c r="K186" s="172">
        <v>0</v>
      </c>
      <c r="L186" s="172">
        <v>0</v>
      </c>
      <c r="M186" s="172">
        <f>C186</f>
        <v>0</v>
      </c>
      <c r="N186" s="172">
        <f t="shared" ref="N186:W186" si="154">D186</f>
        <v>0</v>
      </c>
      <c r="O186" s="172">
        <f t="shared" si="154"/>
        <v>0</v>
      </c>
      <c r="P186" s="172">
        <f t="shared" si="154"/>
        <v>0</v>
      </c>
      <c r="Q186" s="172">
        <f t="shared" si="154"/>
        <v>0</v>
      </c>
      <c r="R186" s="172">
        <f t="shared" si="154"/>
        <v>0</v>
      </c>
      <c r="S186" s="172">
        <f t="shared" si="154"/>
        <v>0</v>
      </c>
      <c r="T186" s="172">
        <f t="shared" si="154"/>
        <v>0</v>
      </c>
      <c r="U186" s="172">
        <f t="shared" si="154"/>
        <v>0</v>
      </c>
      <c r="V186" s="172">
        <f t="shared" si="154"/>
        <v>0</v>
      </c>
      <c r="W186" s="172">
        <f t="shared" si="154"/>
        <v>0</v>
      </c>
      <c r="X186" s="172">
        <f>N186</f>
        <v>0</v>
      </c>
      <c r="Y186" s="172">
        <f t="shared" ref="Y186:AF186" si="155">O186</f>
        <v>0</v>
      </c>
      <c r="Z186" s="172">
        <f t="shared" si="155"/>
        <v>0</v>
      </c>
      <c r="AA186" s="172">
        <f t="shared" si="155"/>
        <v>0</v>
      </c>
      <c r="AB186" s="172">
        <f t="shared" si="155"/>
        <v>0</v>
      </c>
      <c r="AC186" s="172">
        <f t="shared" si="155"/>
        <v>0</v>
      </c>
      <c r="AD186" s="172">
        <f t="shared" si="155"/>
        <v>0</v>
      </c>
      <c r="AE186" s="172">
        <f t="shared" si="155"/>
        <v>0</v>
      </c>
      <c r="AF186" s="172">
        <f t="shared" si="155"/>
        <v>0</v>
      </c>
      <c r="AG186" s="175"/>
      <c r="AH186" s="161"/>
      <c r="AI186" s="154"/>
    </row>
    <row r="187" spans="1:35" s="162" customFormat="1" outlineLevel="2">
      <c r="A187" s="154"/>
      <c r="B187" s="150" t="s">
        <v>807</v>
      </c>
      <c r="C187" s="176">
        <v>0</v>
      </c>
      <c r="D187" s="176">
        <f>C187</f>
        <v>0</v>
      </c>
      <c r="E187" s="176">
        <f t="shared" ref="E187:AF187" si="156">D187</f>
        <v>0</v>
      </c>
      <c r="F187" s="176">
        <f t="shared" si="156"/>
        <v>0</v>
      </c>
      <c r="G187" s="176">
        <f t="shared" si="156"/>
        <v>0</v>
      </c>
      <c r="H187" s="176">
        <f t="shared" si="156"/>
        <v>0</v>
      </c>
      <c r="I187" s="176">
        <f t="shared" si="156"/>
        <v>0</v>
      </c>
      <c r="J187" s="176">
        <f t="shared" si="156"/>
        <v>0</v>
      </c>
      <c r="K187" s="176">
        <f t="shared" si="156"/>
        <v>0</v>
      </c>
      <c r="L187" s="176">
        <f t="shared" si="156"/>
        <v>0</v>
      </c>
      <c r="M187" s="176">
        <f t="shared" si="156"/>
        <v>0</v>
      </c>
      <c r="N187" s="176">
        <f t="shared" si="156"/>
        <v>0</v>
      </c>
      <c r="O187" s="176">
        <f t="shared" si="156"/>
        <v>0</v>
      </c>
      <c r="P187" s="176">
        <f t="shared" si="156"/>
        <v>0</v>
      </c>
      <c r="Q187" s="176">
        <f t="shared" si="156"/>
        <v>0</v>
      </c>
      <c r="R187" s="176">
        <f t="shared" si="156"/>
        <v>0</v>
      </c>
      <c r="S187" s="176">
        <f t="shared" si="156"/>
        <v>0</v>
      </c>
      <c r="T187" s="176">
        <f t="shared" si="156"/>
        <v>0</v>
      </c>
      <c r="U187" s="176">
        <f t="shared" si="156"/>
        <v>0</v>
      </c>
      <c r="V187" s="176">
        <f t="shared" si="156"/>
        <v>0</v>
      </c>
      <c r="W187" s="176">
        <f t="shared" si="156"/>
        <v>0</v>
      </c>
      <c r="X187" s="176">
        <f t="shared" si="156"/>
        <v>0</v>
      </c>
      <c r="Y187" s="176">
        <f t="shared" si="156"/>
        <v>0</v>
      </c>
      <c r="Z187" s="176">
        <f t="shared" si="156"/>
        <v>0</v>
      </c>
      <c r="AA187" s="176">
        <f t="shared" si="156"/>
        <v>0</v>
      </c>
      <c r="AB187" s="176">
        <f t="shared" si="156"/>
        <v>0</v>
      </c>
      <c r="AC187" s="176">
        <f t="shared" si="156"/>
        <v>0</v>
      </c>
      <c r="AD187" s="176">
        <f t="shared" si="156"/>
        <v>0</v>
      </c>
      <c r="AE187" s="176">
        <f t="shared" si="156"/>
        <v>0</v>
      </c>
      <c r="AF187" s="176">
        <f t="shared" si="156"/>
        <v>0</v>
      </c>
      <c r="AG187" s="175"/>
      <c r="AH187" s="257"/>
      <c r="AI187" s="154"/>
    </row>
    <row r="188" spans="1:35">
      <c r="A188" s="154"/>
      <c r="B188" s="223"/>
      <c r="C188" s="249"/>
      <c r="D188" s="249"/>
      <c r="E188" s="249"/>
      <c r="F188" s="249"/>
      <c r="G188" s="249"/>
      <c r="H188" s="249"/>
      <c r="I188" s="249"/>
      <c r="J188" s="249"/>
      <c r="K188" s="249"/>
      <c r="L188" s="249"/>
      <c r="M188" s="249"/>
      <c r="N188" s="249"/>
      <c r="O188" s="249"/>
      <c r="P188" s="249"/>
      <c r="Q188" s="249"/>
      <c r="R188" s="249"/>
      <c r="S188" s="249"/>
      <c r="T188" s="249"/>
      <c r="U188" s="249"/>
      <c r="V188" s="249"/>
      <c r="W188" s="249"/>
      <c r="X188" s="249"/>
      <c r="Y188" s="249"/>
      <c r="Z188" s="249"/>
      <c r="AA188" s="249"/>
      <c r="AB188" s="249"/>
      <c r="AC188" s="249"/>
      <c r="AD188" s="249"/>
      <c r="AE188" s="249"/>
      <c r="AF188" s="249"/>
      <c r="AG188" s="249"/>
      <c r="AH188" s="154"/>
      <c r="AI188" s="152"/>
    </row>
    <row r="189" spans="1:35">
      <c r="A189" s="154"/>
      <c r="B189" s="453" t="s">
        <v>863</v>
      </c>
      <c r="C189" s="454">
        <f>SUM(C190,C203)</f>
        <v>175.2099</v>
      </c>
      <c r="D189" s="454">
        <f t="shared" ref="D189:AF189" si="157">SUM(D190,D203)</f>
        <v>61.509409999999995</v>
      </c>
      <c r="E189" s="454">
        <f t="shared" si="157"/>
        <v>0</v>
      </c>
      <c r="F189" s="454">
        <f t="shared" si="157"/>
        <v>0</v>
      </c>
      <c r="G189" s="454">
        <f t="shared" si="157"/>
        <v>0</v>
      </c>
      <c r="H189" s="454">
        <f t="shared" si="157"/>
        <v>25.209900000000001</v>
      </c>
      <c r="I189" s="454">
        <f t="shared" si="157"/>
        <v>10.874799999999999</v>
      </c>
      <c r="J189" s="454">
        <f t="shared" si="157"/>
        <v>0</v>
      </c>
      <c r="K189" s="454">
        <f t="shared" si="157"/>
        <v>0</v>
      </c>
      <c r="L189" s="454">
        <f t="shared" si="157"/>
        <v>0</v>
      </c>
      <c r="M189" s="454">
        <f t="shared" si="157"/>
        <v>25.209900000000001</v>
      </c>
      <c r="N189" s="454">
        <f t="shared" si="157"/>
        <v>38.909409999999994</v>
      </c>
      <c r="O189" s="454">
        <f t="shared" si="157"/>
        <v>0</v>
      </c>
      <c r="P189" s="454">
        <f t="shared" si="157"/>
        <v>0</v>
      </c>
      <c r="Q189" s="454">
        <f t="shared" si="157"/>
        <v>0</v>
      </c>
      <c r="R189" s="454">
        <f t="shared" si="157"/>
        <v>25.209900000000001</v>
      </c>
      <c r="S189" s="454">
        <f t="shared" si="157"/>
        <v>10.874799999999999</v>
      </c>
      <c r="T189" s="454">
        <f t="shared" si="157"/>
        <v>0</v>
      </c>
      <c r="U189" s="454">
        <f t="shared" si="157"/>
        <v>0</v>
      </c>
      <c r="V189" s="454">
        <f t="shared" si="157"/>
        <v>0</v>
      </c>
      <c r="W189" s="454">
        <f t="shared" si="157"/>
        <v>25.209900000000001</v>
      </c>
      <c r="X189" s="454">
        <f t="shared" si="157"/>
        <v>38.909409999999994</v>
      </c>
      <c r="Y189" s="454">
        <f t="shared" si="157"/>
        <v>0</v>
      </c>
      <c r="Z189" s="454">
        <f t="shared" si="157"/>
        <v>0</v>
      </c>
      <c r="AA189" s="454">
        <f t="shared" si="157"/>
        <v>0</v>
      </c>
      <c r="AB189" s="454">
        <f t="shared" si="157"/>
        <v>25.209900000000001</v>
      </c>
      <c r="AC189" s="454">
        <f t="shared" si="157"/>
        <v>10.874799999999999</v>
      </c>
      <c r="AD189" s="454">
        <f t="shared" si="157"/>
        <v>0</v>
      </c>
      <c r="AE189" s="454">
        <f t="shared" si="157"/>
        <v>0</v>
      </c>
      <c r="AF189" s="454">
        <f t="shared" si="157"/>
        <v>0</v>
      </c>
      <c r="AG189" s="169"/>
      <c r="AH189" s="455">
        <f>SUM(C189:AF189)</f>
        <v>473.21202999999997</v>
      </c>
      <c r="AI189" s="152" t="s">
        <v>803</v>
      </c>
    </row>
    <row r="190" spans="1:35" outlineLevel="1">
      <c r="A190" s="154"/>
      <c r="B190" s="709" t="s">
        <v>298</v>
      </c>
      <c r="C190" s="226">
        <f>SUM(C191,C194,C197,C200)/10^3</f>
        <v>25.209900000000001</v>
      </c>
      <c r="D190" s="226">
        <f t="shared" ref="D190:AF190" si="158">SUM(D191,D194,D197,D200)/10^3</f>
        <v>38.909409999999994</v>
      </c>
      <c r="E190" s="226">
        <f t="shared" si="158"/>
        <v>0</v>
      </c>
      <c r="F190" s="226">
        <f t="shared" si="158"/>
        <v>0</v>
      </c>
      <c r="G190" s="226">
        <f t="shared" si="158"/>
        <v>0</v>
      </c>
      <c r="H190" s="226">
        <f t="shared" si="158"/>
        <v>25.209900000000001</v>
      </c>
      <c r="I190" s="226">
        <f t="shared" si="158"/>
        <v>10.874799999999999</v>
      </c>
      <c r="J190" s="226">
        <f t="shared" si="158"/>
        <v>0</v>
      </c>
      <c r="K190" s="226">
        <f t="shared" si="158"/>
        <v>0</v>
      </c>
      <c r="L190" s="226">
        <f t="shared" si="158"/>
        <v>0</v>
      </c>
      <c r="M190" s="226">
        <f t="shared" si="158"/>
        <v>25.209900000000001</v>
      </c>
      <c r="N190" s="226">
        <f t="shared" si="158"/>
        <v>38.909409999999994</v>
      </c>
      <c r="O190" s="226">
        <f t="shared" si="158"/>
        <v>0</v>
      </c>
      <c r="P190" s="226">
        <f t="shared" si="158"/>
        <v>0</v>
      </c>
      <c r="Q190" s="226">
        <f t="shared" si="158"/>
        <v>0</v>
      </c>
      <c r="R190" s="226">
        <f t="shared" si="158"/>
        <v>25.209900000000001</v>
      </c>
      <c r="S190" s="226">
        <f t="shared" si="158"/>
        <v>10.874799999999999</v>
      </c>
      <c r="T190" s="226">
        <f t="shared" si="158"/>
        <v>0</v>
      </c>
      <c r="U190" s="226">
        <f t="shared" si="158"/>
        <v>0</v>
      </c>
      <c r="V190" s="226">
        <f t="shared" si="158"/>
        <v>0</v>
      </c>
      <c r="W190" s="226">
        <f t="shared" si="158"/>
        <v>25.209900000000001</v>
      </c>
      <c r="X190" s="226">
        <f t="shared" si="158"/>
        <v>38.909409999999994</v>
      </c>
      <c r="Y190" s="226">
        <f t="shared" si="158"/>
        <v>0</v>
      </c>
      <c r="Z190" s="226">
        <f t="shared" si="158"/>
        <v>0</v>
      </c>
      <c r="AA190" s="226">
        <f t="shared" si="158"/>
        <v>0</v>
      </c>
      <c r="AB190" s="226">
        <f t="shared" si="158"/>
        <v>25.209900000000001</v>
      </c>
      <c r="AC190" s="226">
        <f t="shared" si="158"/>
        <v>10.874799999999999</v>
      </c>
      <c r="AD190" s="226">
        <f t="shared" si="158"/>
        <v>0</v>
      </c>
      <c r="AE190" s="226">
        <f t="shared" si="158"/>
        <v>0</v>
      </c>
      <c r="AF190" s="226">
        <f t="shared" si="158"/>
        <v>0</v>
      </c>
      <c r="AG190" s="227"/>
      <c r="AH190" s="365">
        <f>SUM(C190:AF190)</f>
        <v>300.61203</v>
      </c>
      <c r="AI190" s="152"/>
    </row>
    <row r="191" spans="1:35" s="162" customFormat="1" outlineLevel="2">
      <c r="A191" s="154"/>
      <c r="B191" s="608" t="s">
        <v>864</v>
      </c>
      <c r="C191" s="174">
        <f>C192*C193</f>
        <v>5209.8999999999996</v>
      </c>
      <c r="D191" s="174">
        <f t="shared" ref="D191:AF191" si="159">D192*D193</f>
        <v>10419.799999999999</v>
      </c>
      <c r="E191" s="174">
        <f t="shared" si="159"/>
        <v>0</v>
      </c>
      <c r="F191" s="174">
        <f t="shared" si="159"/>
        <v>0</v>
      </c>
      <c r="G191" s="174">
        <f t="shared" si="159"/>
        <v>0</v>
      </c>
      <c r="H191" s="174">
        <f t="shared" si="159"/>
        <v>5209.8999999999996</v>
      </c>
      <c r="I191" s="174">
        <f t="shared" si="159"/>
        <v>10419.799999999999</v>
      </c>
      <c r="J191" s="174">
        <f t="shared" si="159"/>
        <v>0</v>
      </c>
      <c r="K191" s="174">
        <f t="shared" si="159"/>
        <v>0</v>
      </c>
      <c r="L191" s="174">
        <f t="shared" si="159"/>
        <v>0</v>
      </c>
      <c r="M191" s="174">
        <f t="shared" si="159"/>
        <v>5209.8999999999996</v>
      </c>
      <c r="N191" s="174">
        <f t="shared" si="159"/>
        <v>10419.799999999999</v>
      </c>
      <c r="O191" s="174">
        <f t="shared" si="159"/>
        <v>0</v>
      </c>
      <c r="P191" s="174">
        <f t="shared" si="159"/>
        <v>0</v>
      </c>
      <c r="Q191" s="174">
        <f t="shared" si="159"/>
        <v>0</v>
      </c>
      <c r="R191" s="174">
        <f t="shared" si="159"/>
        <v>5209.8999999999996</v>
      </c>
      <c r="S191" s="174">
        <f t="shared" si="159"/>
        <v>10419.799999999999</v>
      </c>
      <c r="T191" s="174">
        <f t="shared" si="159"/>
        <v>0</v>
      </c>
      <c r="U191" s="174">
        <f t="shared" si="159"/>
        <v>0</v>
      </c>
      <c r="V191" s="174">
        <f t="shared" si="159"/>
        <v>0</v>
      </c>
      <c r="W191" s="174">
        <f t="shared" si="159"/>
        <v>5209.8999999999996</v>
      </c>
      <c r="X191" s="174">
        <f t="shared" si="159"/>
        <v>10419.799999999999</v>
      </c>
      <c r="Y191" s="174">
        <f t="shared" si="159"/>
        <v>0</v>
      </c>
      <c r="Z191" s="174">
        <f t="shared" si="159"/>
        <v>0</v>
      </c>
      <c r="AA191" s="174">
        <f t="shared" si="159"/>
        <v>0</v>
      </c>
      <c r="AB191" s="174">
        <f t="shared" si="159"/>
        <v>5209.8999999999996</v>
      </c>
      <c r="AC191" s="174">
        <f t="shared" si="159"/>
        <v>10419.799999999999</v>
      </c>
      <c r="AD191" s="174">
        <f t="shared" si="159"/>
        <v>0</v>
      </c>
      <c r="AE191" s="174">
        <f t="shared" si="159"/>
        <v>0</v>
      </c>
      <c r="AF191" s="174">
        <f t="shared" si="159"/>
        <v>0</v>
      </c>
      <c r="AG191" s="174"/>
      <c r="AH191" s="161"/>
      <c r="AI191" s="154"/>
    </row>
    <row r="192" spans="1:35" s="162" customFormat="1" outlineLevel="2">
      <c r="A192" s="154"/>
      <c r="B192" s="585" t="s">
        <v>805</v>
      </c>
      <c r="C192" s="172">
        <v>1</v>
      </c>
      <c r="D192" s="172">
        <v>2</v>
      </c>
      <c r="E192" s="172">
        <v>0</v>
      </c>
      <c r="F192" s="172">
        <v>0</v>
      </c>
      <c r="G192" s="172">
        <v>0</v>
      </c>
      <c r="H192" s="172">
        <v>1</v>
      </c>
      <c r="I192" s="172">
        <v>2</v>
      </c>
      <c r="J192" s="172">
        <v>0</v>
      </c>
      <c r="K192" s="172">
        <v>0</v>
      </c>
      <c r="L192" s="172">
        <v>0</v>
      </c>
      <c r="M192" s="172">
        <v>1</v>
      </c>
      <c r="N192" s="172">
        <v>2</v>
      </c>
      <c r="O192" s="172">
        <v>0</v>
      </c>
      <c r="P192" s="172">
        <v>0</v>
      </c>
      <c r="Q192" s="172">
        <v>0</v>
      </c>
      <c r="R192" s="172">
        <v>1</v>
      </c>
      <c r="S192" s="172">
        <v>2</v>
      </c>
      <c r="T192" s="172">
        <v>0</v>
      </c>
      <c r="U192" s="172">
        <v>0</v>
      </c>
      <c r="V192" s="172">
        <v>0</v>
      </c>
      <c r="W192" s="172">
        <v>1</v>
      </c>
      <c r="X192" s="172">
        <v>2</v>
      </c>
      <c r="Y192" s="172">
        <v>0</v>
      </c>
      <c r="Z192" s="172">
        <v>0</v>
      </c>
      <c r="AA192" s="172">
        <v>0</v>
      </c>
      <c r="AB192" s="172">
        <v>1</v>
      </c>
      <c r="AC192" s="172">
        <v>2</v>
      </c>
      <c r="AD192" s="172">
        <v>0</v>
      </c>
      <c r="AE192" s="172">
        <v>0</v>
      </c>
      <c r="AF192" s="172">
        <v>0</v>
      </c>
      <c r="AG192" s="175"/>
      <c r="AH192" s="161"/>
      <c r="AI192" s="154"/>
    </row>
    <row r="193" spans="1:35" s="162" customFormat="1" outlineLevel="2">
      <c r="A193" s="154"/>
      <c r="B193" s="585" t="s">
        <v>807</v>
      </c>
      <c r="C193" s="176">
        <f>Insumos!$E$137</f>
        <v>5209.8999999999996</v>
      </c>
      <c r="D193" s="176">
        <f>C193</f>
        <v>5209.8999999999996</v>
      </c>
      <c r="E193" s="176">
        <f t="shared" ref="E193:AF193" si="160">D193</f>
        <v>5209.8999999999996</v>
      </c>
      <c r="F193" s="176">
        <f t="shared" si="160"/>
        <v>5209.8999999999996</v>
      </c>
      <c r="G193" s="176">
        <f t="shared" si="160"/>
        <v>5209.8999999999996</v>
      </c>
      <c r="H193" s="176">
        <f t="shared" si="160"/>
        <v>5209.8999999999996</v>
      </c>
      <c r="I193" s="176">
        <f t="shared" si="160"/>
        <v>5209.8999999999996</v>
      </c>
      <c r="J193" s="176">
        <f t="shared" si="160"/>
        <v>5209.8999999999996</v>
      </c>
      <c r="K193" s="176">
        <f t="shared" si="160"/>
        <v>5209.8999999999996</v>
      </c>
      <c r="L193" s="176">
        <f t="shared" si="160"/>
        <v>5209.8999999999996</v>
      </c>
      <c r="M193" s="176">
        <f t="shared" si="160"/>
        <v>5209.8999999999996</v>
      </c>
      <c r="N193" s="176">
        <f t="shared" si="160"/>
        <v>5209.8999999999996</v>
      </c>
      <c r="O193" s="176">
        <f t="shared" si="160"/>
        <v>5209.8999999999996</v>
      </c>
      <c r="P193" s="176">
        <f t="shared" si="160"/>
        <v>5209.8999999999996</v>
      </c>
      <c r="Q193" s="176">
        <f t="shared" si="160"/>
        <v>5209.8999999999996</v>
      </c>
      <c r="R193" s="176">
        <f t="shared" si="160"/>
        <v>5209.8999999999996</v>
      </c>
      <c r="S193" s="176">
        <f t="shared" si="160"/>
        <v>5209.8999999999996</v>
      </c>
      <c r="T193" s="176">
        <f t="shared" si="160"/>
        <v>5209.8999999999996</v>
      </c>
      <c r="U193" s="176">
        <f t="shared" si="160"/>
        <v>5209.8999999999996</v>
      </c>
      <c r="V193" s="176">
        <f t="shared" si="160"/>
        <v>5209.8999999999996</v>
      </c>
      <c r="W193" s="176">
        <f t="shared" si="160"/>
        <v>5209.8999999999996</v>
      </c>
      <c r="X193" s="176">
        <f t="shared" si="160"/>
        <v>5209.8999999999996</v>
      </c>
      <c r="Y193" s="176">
        <f t="shared" si="160"/>
        <v>5209.8999999999996</v>
      </c>
      <c r="Z193" s="176">
        <f t="shared" si="160"/>
        <v>5209.8999999999996</v>
      </c>
      <c r="AA193" s="176">
        <f t="shared" si="160"/>
        <v>5209.8999999999996</v>
      </c>
      <c r="AB193" s="176">
        <f t="shared" si="160"/>
        <v>5209.8999999999996</v>
      </c>
      <c r="AC193" s="176">
        <f t="shared" si="160"/>
        <v>5209.8999999999996</v>
      </c>
      <c r="AD193" s="176">
        <f t="shared" si="160"/>
        <v>5209.8999999999996</v>
      </c>
      <c r="AE193" s="176">
        <f t="shared" si="160"/>
        <v>5209.8999999999996</v>
      </c>
      <c r="AF193" s="176">
        <f t="shared" si="160"/>
        <v>5209.8999999999996</v>
      </c>
      <c r="AG193" s="175"/>
      <c r="AH193" s="257"/>
      <c r="AI193" s="154"/>
    </row>
    <row r="194" spans="1:35" s="162" customFormat="1" outlineLevel="2">
      <c r="A194" s="154"/>
      <c r="B194" s="608" t="s">
        <v>865</v>
      </c>
      <c r="C194" s="174">
        <f>C195*C196</f>
        <v>20000</v>
      </c>
      <c r="D194" s="174">
        <f t="shared" ref="D194:AF194" si="161">D195*D196</f>
        <v>0</v>
      </c>
      <c r="E194" s="174">
        <f t="shared" si="161"/>
        <v>0</v>
      </c>
      <c r="F194" s="174">
        <f t="shared" si="161"/>
        <v>0</v>
      </c>
      <c r="G194" s="174">
        <f t="shared" si="161"/>
        <v>0</v>
      </c>
      <c r="H194" s="174">
        <f t="shared" si="161"/>
        <v>20000</v>
      </c>
      <c r="I194" s="174">
        <f t="shared" si="161"/>
        <v>0</v>
      </c>
      <c r="J194" s="174">
        <f t="shared" si="161"/>
        <v>0</v>
      </c>
      <c r="K194" s="174">
        <f t="shared" si="161"/>
        <v>0</v>
      </c>
      <c r="L194" s="174">
        <f t="shared" si="161"/>
        <v>0</v>
      </c>
      <c r="M194" s="174">
        <f t="shared" si="161"/>
        <v>20000</v>
      </c>
      <c r="N194" s="174">
        <f t="shared" si="161"/>
        <v>0</v>
      </c>
      <c r="O194" s="174">
        <f t="shared" si="161"/>
        <v>0</v>
      </c>
      <c r="P194" s="174">
        <f t="shared" si="161"/>
        <v>0</v>
      </c>
      <c r="Q194" s="174">
        <f t="shared" si="161"/>
        <v>0</v>
      </c>
      <c r="R194" s="174">
        <f t="shared" si="161"/>
        <v>20000</v>
      </c>
      <c r="S194" s="174">
        <f t="shared" si="161"/>
        <v>0</v>
      </c>
      <c r="T194" s="174">
        <f t="shared" si="161"/>
        <v>0</v>
      </c>
      <c r="U194" s="174">
        <f t="shared" si="161"/>
        <v>0</v>
      </c>
      <c r="V194" s="174">
        <f t="shared" si="161"/>
        <v>0</v>
      </c>
      <c r="W194" s="174">
        <f t="shared" si="161"/>
        <v>20000</v>
      </c>
      <c r="X194" s="174">
        <f t="shared" si="161"/>
        <v>0</v>
      </c>
      <c r="Y194" s="174">
        <f t="shared" si="161"/>
        <v>0</v>
      </c>
      <c r="Z194" s="174">
        <f t="shared" si="161"/>
        <v>0</v>
      </c>
      <c r="AA194" s="174">
        <f t="shared" si="161"/>
        <v>0</v>
      </c>
      <c r="AB194" s="174">
        <f t="shared" si="161"/>
        <v>20000</v>
      </c>
      <c r="AC194" s="174">
        <f t="shared" si="161"/>
        <v>0</v>
      </c>
      <c r="AD194" s="174">
        <f t="shared" si="161"/>
        <v>0</v>
      </c>
      <c r="AE194" s="174">
        <f t="shared" si="161"/>
        <v>0</v>
      </c>
      <c r="AF194" s="174">
        <f t="shared" si="161"/>
        <v>0</v>
      </c>
      <c r="AG194" s="174"/>
      <c r="AH194" s="161"/>
      <c r="AI194" s="154"/>
    </row>
    <row r="195" spans="1:35" s="162" customFormat="1" outlineLevel="2">
      <c r="A195" s="154"/>
      <c r="B195" s="585" t="s">
        <v>805</v>
      </c>
      <c r="C195" s="172">
        <v>1</v>
      </c>
      <c r="D195" s="172">
        <v>0</v>
      </c>
      <c r="E195" s="172">
        <v>0</v>
      </c>
      <c r="F195" s="172">
        <v>0</v>
      </c>
      <c r="G195" s="172">
        <v>0</v>
      </c>
      <c r="H195" s="172">
        <v>1</v>
      </c>
      <c r="I195" s="172">
        <v>0</v>
      </c>
      <c r="J195" s="172">
        <v>0</v>
      </c>
      <c r="K195" s="172">
        <v>0</v>
      </c>
      <c r="L195" s="172">
        <v>0</v>
      </c>
      <c r="M195" s="172">
        <v>1</v>
      </c>
      <c r="N195" s="172">
        <v>0</v>
      </c>
      <c r="O195" s="172">
        <v>0</v>
      </c>
      <c r="P195" s="172">
        <v>0</v>
      </c>
      <c r="Q195" s="172">
        <v>0</v>
      </c>
      <c r="R195" s="172">
        <v>1</v>
      </c>
      <c r="S195" s="172">
        <v>0</v>
      </c>
      <c r="T195" s="172">
        <v>0</v>
      </c>
      <c r="U195" s="172">
        <v>0</v>
      </c>
      <c r="V195" s="172">
        <v>0</v>
      </c>
      <c r="W195" s="172">
        <v>1</v>
      </c>
      <c r="X195" s="172">
        <v>0</v>
      </c>
      <c r="Y195" s="172">
        <v>0</v>
      </c>
      <c r="Z195" s="172">
        <v>0</v>
      </c>
      <c r="AA195" s="172">
        <v>0</v>
      </c>
      <c r="AB195" s="172">
        <v>1</v>
      </c>
      <c r="AC195" s="172">
        <v>0</v>
      </c>
      <c r="AD195" s="172">
        <v>0</v>
      </c>
      <c r="AE195" s="172">
        <v>0</v>
      </c>
      <c r="AF195" s="172">
        <v>0</v>
      </c>
      <c r="AG195" s="175"/>
      <c r="AH195" s="161"/>
      <c r="AI195" s="154"/>
    </row>
    <row r="196" spans="1:35" s="162" customFormat="1" outlineLevel="2">
      <c r="A196" s="154"/>
      <c r="B196" s="585" t="s">
        <v>807</v>
      </c>
      <c r="C196" s="176">
        <f>Insumos!$E$142</f>
        <v>20000</v>
      </c>
      <c r="D196" s="176">
        <f>C196</f>
        <v>20000</v>
      </c>
      <c r="E196" s="176">
        <f t="shared" ref="E196:AF196" si="162">D196</f>
        <v>20000</v>
      </c>
      <c r="F196" s="176">
        <f t="shared" si="162"/>
        <v>20000</v>
      </c>
      <c r="G196" s="176">
        <f t="shared" si="162"/>
        <v>20000</v>
      </c>
      <c r="H196" s="176">
        <f t="shared" si="162"/>
        <v>20000</v>
      </c>
      <c r="I196" s="176">
        <f t="shared" si="162"/>
        <v>20000</v>
      </c>
      <c r="J196" s="176">
        <f t="shared" si="162"/>
        <v>20000</v>
      </c>
      <c r="K196" s="176">
        <f t="shared" si="162"/>
        <v>20000</v>
      </c>
      <c r="L196" s="176">
        <f t="shared" si="162"/>
        <v>20000</v>
      </c>
      <c r="M196" s="176">
        <f t="shared" si="162"/>
        <v>20000</v>
      </c>
      <c r="N196" s="176">
        <f t="shared" si="162"/>
        <v>20000</v>
      </c>
      <c r="O196" s="176">
        <f t="shared" si="162"/>
        <v>20000</v>
      </c>
      <c r="P196" s="176">
        <f t="shared" si="162"/>
        <v>20000</v>
      </c>
      <c r="Q196" s="176">
        <f t="shared" si="162"/>
        <v>20000</v>
      </c>
      <c r="R196" s="176">
        <f t="shared" si="162"/>
        <v>20000</v>
      </c>
      <c r="S196" s="176">
        <f t="shared" si="162"/>
        <v>20000</v>
      </c>
      <c r="T196" s="176">
        <f t="shared" si="162"/>
        <v>20000</v>
      </c>
      <c r="U196" s="176">
        <f t="shared" si="162"/>
        <v>20000</v>
      </c>
      <c r="V196" s="176">
        <f t="shared" si="162"/>
        <v>20000</v>
      </c>
      <c r="W196" s="176">
        <f t="shared" si="162"/>
        <v>20000</v>
      </c>
      <c r="X196" s="176">
        <f t="shared" si="162"/>
        <v>20000</v>
      </c>
      <c r="Y196" s="176">
        <f t="shared" si="162"/>
        <v>20000</v>
      </c>
      <c r="Z196" s="176">
        <f t="shared" si="162"/>
        <v>20000</v>
      </c>
      <c r="AA196" s="176">
        <f t="shared" si="162"/>
        <v>20000</v>
      </c>
      <c r="AB196" s="176">
        <f t="shared" si="162"/>
        <v>20000</v>
      </c>
      <c r="AC196" s="176">
        <f t="shared" si="162"/>
        <v>20000</v>
      </c>
      <c r="AD196" s="176">
        <f t="shared" si="162"/>
        <v>20000</v>
      </c>
      <c r="AE196" s="176">
        <f t="shared" si="162"/>
        <v>20000</v>
      </c>
      <c r="AF196" s="176">
        <f t="shared" si="162"/>
        <v>20000</v>
      </c>
      <c r="AG196" s="175"/>
      <c r="AH196" s="257"/>
      <c r="AI196" s="154"/>
    </row>
    <row r="197" spans="1:35" s="162" customFormat="1" outlineLevel="2">
      <c r="A197" s="154"/>
      <c r="B197" s="608" t="s">
        <v>866</v>
      </c>
      <c r="C197" s="174">
        <f>C198*C199</f>
        <v>0</v>
      </c>
      <c r="D197" s="174">
        <f t="shared" ref="D197:AF197" si="163">D198*D199</f>
        <v>28034.609999999997</v>
      </c>
      <c r="E197" s="174">
        <f t="shared" si="163"/>
        <v>0</v>
      </c>
      <c r="F197" s="174">
        <f t="shared" si="163"/>
        <v>0</v>
      </c>
      <c r="G197" s="174">
        <f t="shared" si="163"/>
        <v>0</v>
      </c>
      <c r="H197" s="174">
        <f t="shared" si="163"/>
        <v>0</v>
      </c>
      <c r="I197" s="174">
        <f t="shared" si="163"/>
        <v>0</v>
      </c>
      <c r="J197" s="174">
        <f t="shared" si="163"/>
        <v>0</v>
      </c>
      <c r="K197" s="174">
        <f t="shared" si="163"/>
        <v>0</v>
      </c>
      <c r="L197" s="174">
        <f t="shared" si="163"/>
        <v>0</v>
      </c>
      <c r="M197" s="174">
        <f t="shared" si="163"/>
        <v>0</v>
      </c>
      <c r="N197" s="174">
        <f t="shared" si="163"/>
        <v>28034.609999999997</v>
      </c>
      <c r="O197" s="174">
        <f t="shared" si="163"/>
        <v>0</v>
      </c>
      <c r="P197" s="174">
        <f t="shared" si="163"/>
        <v>0</v>
      </c>
      <c r="Q197" s="174">
        <f t="shared" si="163"/>
        <v>0</v>
      </c>
      <c r="R197" s="174">
        <f t="shared" si="163"/>
        <v>0</v>
      </c>
      <c r="S197" s="174">
        <f t="shared" si="163"/>
        <v>0</v>
      </c>
      <c r="T197" s="174">
        <f t="shared" si="163"/>
        <v>0</v>
      </c>
      <c r="U197" s="174">
        <f t="shared" si="163"/>
        <v>0</v>
      </c>
      <c r="V197" s="174">
        <f t="shared" si="163"/>
        <v>0</v>
      </c>
      <c r="W197" s="174">
        <f t="shared" si="163"/>
        <v>0</v>
      </c>
      <c r="X197" s="174">
        <f t="shared" si="163"/>
        <v>28034.609999999997</v>
      </c>
      <c r="Y197" s="174">
        <f t="shared" si="163"/>
        <v>0</v>
      </c>
      <c r="Z197" s="174">
        <f t="shared" si="163"/>
        <v>0</v>
      </c>
      <c r="AA197" s="174">
        <f t="shared" si="163"/>
        <v>0</v>
      </c>
      <c r="AB197" s="174">
        <f t="shared" si="163"/>
        <v>0</v>
      </c>
      <c r="AC197" s="174">
        <f t="shared" si="163"/>
        <v>0</v>
      </c>
      <c r="AD197" s="174">
        <f t="shared" si="163"/>
        <v>0</v>
      </c>
      <c r="AE197" s="174">
        <f t="shared" si="163"/>
        <v>0</v>
      </c>
      <c r="AF197" s="174">
        <f t="shared" si="163"/>
        <v>0</v>
      </c>
      <c r="AG197" s="174"/>
      <c r="AH197" s="161"/>
      <c r="AI197" s="154"/>
    </row>
    <row r="198" spans="1:35" s="162" customFormat="1" outlineLevel="2">
      <c r="A198" s="154"/>
      <c r="B198" s="585" t="s">
        <v>805</v>
      </c>
      <c r="C198" s="172">
        <v>0</v>
      </c>
      <c r="D198" s="172">
        <v>1</v>
      </c>
      <c r="E198" s="172">
        <v>0</v>
      </c>
      <c r="F198" s="172">
        <v>0</v>
      </c>
      <c r="G198" s="172">
        <v>0</v>
      </c>
      <c r="H198" s="172">
        <v>0</v>
      </c>
      <c r="I198" s="172">
        <v>0</v>
      </c>
      <c r="J198" s="172">
        <v>0</v>
      </c>
      <c r="K198" s="172">
        <v>0</v>
      </c>
      <c r="L198" s="172">
        <v>0</v>
      </c>
      <c r="M198" s="172">
        <v>0</v>
      </c>
      <c r="N198" s="172">
        <v>1</v>
      </c>
      <c r="O198" s="172">
        <v>0</v>
      </c>
      <c r="P198" s="172">
        <v>0</v>
      </c>
      <c r="Q198" s="172">
        <v>0</v>
      </c>
      <c r="R198" s="172">
        <v>0</v>
      </c>
      <c r="S198" s="172">
        <v>0</v>
      </c>
      <c r="T198" s="172">
        <v>0</v>
      </c>
      <c r="U198" s="172">
        <v>0</v>
      </c>
      <c r="V198" s="172">
        <v>0</v>
      </c>
      <c r="W198" s="172">
        <v>0</v>
      </c>
      <c r="X198" s="172">
        <v>1</v>
      </c>
      <c r="Y198" s="172">
        <v>0</v>
      </c>
      <c r="Z198" s="172">
        <v>0</v>
      </c>
      <c r="AA198" s="172">
        <v>0</v>
      </c>
      <c r="AB198" s="172">
        <v>0</v>
      </c>
      <c r="AC198" s="172">
        <v>0</v>
      </c>
      <c r="AD198" s="172">
        <v>0</v>
      </c>
      <c r="AE198" s="172">
        <v>0</v>
      </c>
      <c r="AF198" s="172">
        <v>0</v>
      </c>
      <c r="AG198" s="175"/>
      <c r="AH198" s="161"/>
      <c r="AI198" s="154"/>
    </row>
    <row r="199" spans="1:35" s="162" customFormat="1" outlineLevel="2">
      <c r="A199" s="154"/>
      <c r="B199" s="585" t="s">
        <v>807</v>
      </c>
      <c r="C199" s="176">
        <f>Insumos!$E$136</f>
        <v>28034.609999999997</v>
      </c>
      <c r="D199" s="176">
        <f>C199</f>
        <v>28034.609999999997</v>
      </c>
      <c r="E199" s="176">
        <f t="shared" ref="E199:AF199" si="164">D199</f>
        <v>28034.609999999997</v>
      </c>
      <c r="F199" s="176">
        <f t="shared" si="164"/>
        <v>28034.609999999997</v>
      </c>
      <c r="G199" s="176">
        <f t="shared" si="164"/>
        <v>28034.609999999997</v>
      </c>
      <c r="H199" s="176">
        <f t="shared" si="164"/>
        <v>28034.609999999997</v>
      </c>
      <c r="I199" s="176">
        <f t="shared" si="164"/>
        <v>28034.609999999997</v>
      </c>
      <c r="J199" s="176">
        <f t="shared" si="164"/>
        <v>28034.609999999997</v>
      </c>
      <c r="K199" s="176">
        <f t="shared" si="164"/>
        <v>28034.609999999997</v>
      </c>
      <c r="L199" s="176">
        <f t="shared" si="164"/>
        <v>28034.609999999997</v>
      </c>
      <c r="M199" s="176">
        <f t="shared" si="164"/>
        <v>28034.609999999997</v>
      </c>
      <c r="N199" s="176">
        <f t="shared" si="164"/>
        <v>28034.609999999997</v>
      </c>
      <c r="O199" s="176">
        <f t="shared" si="164"/>
        <v>28034.609999999997</v>
      </c>
      <c r="P199" s="176">
        <f t="shared" si="164"/>
        <v>28034.609999999997</v>
      </c>
      <c r="Q199" s="176">
        <f t="shared" si="164"/>
        <v>28034.609999999997</v>
      </c>
      <c r="R199" s="176">
        <f t="shared" si="164"/>
        <v>28034.609999999997</v>
      </c>
      <c r="S199" s="176">
        <f t="shared" si="164"/>
        <v>28034.609999999997</v>
      </c>
      <c r="T199" s="176">
        <f t="shared" si="164"/>
        <v>28034.609999999997</v>
      </c>
      <c r="U199" s="176">
        <f t="shared" si="164"/>
        <v>28034.609999999997</v>
      </c>
      <c r="V199" s="176">
        <f t="shared" si="164"/>
        <v>28034.609999999997</v>
      </c>
      <c r="W199" s="176">
        <f t="shared" si="164"/>
        <v>28034.609999999997</v>
      </c>
      <c r="X199" s="176">
        <f t="shared" si="164"/>
        <v>28034.609999999997</v>
      </c>
      <c r="Y199" s="176">
        <f t="shared" si="164"/>
        <v>28034.609999999997</v>
      </c>
      <c r="Z199" s="176">
        <f t="shared" si="164"/>
        <v>28034.609999999997</v>
      </c>
      <c r="AA199" s="176">
        <f t="shared" si="164"/>
        <v>28034.609999999997</v>
      </c>
      <c r="AB199" s="176">
        <f t="shared" si="164"/>
        <v>28034.609999999997</v>
      </c>
      <c r="AC199" s="176">
        <f t="shared" si="164"/>
        <v>28034.609999999997</v>
      </c>
      <c r="AD199" s="176">
        <f t="shared" si="164"/>
        <v>28034.609999999997</v>
      </c>
      <c r="AE199" s="176">
        <f t="shared" si="164"/>
        <v>28034.609999999997</v>
      </c>
      <c r="AF199" s="176">
        <f t="shared" si="164"/>
        <v>28034.609999999997</v>
      </c>
      <c r="AG199" s="175"/>
      <c r="AH199" s="257"/>
      <c r="AI199" s="154"/>
    </row>
    <row r="200" spans="1:35" s="162" customFormat="1" outlineLevel="2">
      <c r="A200" s="154"/>
      <c r="B200" s="608" t="s">
        <v>867</v>
      </c>
      <c r="C200" s="174">
        <f>C201*C202</f>
        <v>0</v>
      </c>
      <c r="D200" s="174">
        <f t="shared" ref="D200:AF200" si="165">D201*D202</f>
        <v>455</v>
      </c>
      <c r="E200" s="174">
        <f t="shared" si="165"/>
        <v>0</v>
      </c>
      <c r="F200" s="174">
        <f t="shared" si="165"/>
        <v>0</v>
      </c>
      <c r="G200" s="174">
        <f t="shared" si="165"/>
        <v>0</v>
      </c>
      <c r="H200" s="174">
        <f t="shared" si="165"/>
        <v>0</v>
      </c>
      <c r="I200" s="174">
        <f t="shared" si="165"/>
        <v>455</v>
      </c>
      <c r="J200" s="174">
        <f t="shared" si="165"/>
        <v>0</v>
      </c>
      <c r="K200" s="174">
        <f t="shared" si="165"/>
        <v>0</v>
      </c>
      <c r="L200" s="174">
        <f t="shared" si="165"/>
        <v>0</v>
      </c>
      <c r="M200" s="174">
        <f t="shared" si="165"/>
        <v>0</v>
      </c>
      <c r="N200" s="174">
        <f t="shared" si="165"/>
        <v>455</v>
      </c>
      <c r="O200" s="174">
        <f t="shared" si="165"/>
        <v>0</v>
      </c>
      <c r="P200" s="174">
        <f t="shared" si="165"/>
        <v>0</v>
      </c>
      <c r="Q200" s="174">
        <f t="shared" si="165"/>
        <v>0</v>
      </c>
      <c r="R200" s="174">
        <f t="shared" si="165"/>
        <v>0</v>
      </c>
      <c r="S200" s="174">
        <f t="shared" si="165"/>
        <v>455</v>
      </c>
      <c r="T200" s="174">
        <f t="shared" si="165"/>
        <v>0</v>
      </c>
      <c r="U200" s="174">
        <f t="shared" si="165"/>
        <v>0</v>
      </c>
      <c r="V200" s="174">
        <f t="shared" si="165"/>
        <v>0</v>
      </c>
      <c r="W200" s="174">
        <f t="shared" si="165"/>
        <v>0</v>
      </c>
      <c r="X200" s="174">
        <f t="shared" si="165"/>
        <v>455</v>
      </c>
      <c r="Y200" s="174">
        <f t="shared" si="165"/>
        <v>0</v>
      </c>
      <c r="Z200" s="174">
        <f t="shared" si="165"/>
        <v>0</v>
      </c>
      <c r="AA200" s="174">
        <f t="shared" si="165"/>
        <v>0</v>
      </c>
      <c r="AB200" s="174">
        <f t="shared" si="165"/>
        <v>0</v>
      </c>
      <c r="AC200" s="174">
        <f t="shared" si="165"/>
        <v>455</v>
      </c>
      <c r="AD200" s="174">
        <f t="shared" si="165"/>
        <v>0</v>
      </c>
      <c r="AE200" s="174">
        <f t="shared" si="165"/>
        <v>0</v>
      </c>
      <c r="AF200" s="174">
        <f t="shared" si="165"/>
        <v>0</v>
      </c>
      <c r="AG200" s="174"/>
      <c r="AH200" s="161"/>
      <c r="AI200" s="154"/>
    </row>
    <row r="201" spans="1:35" s="162" customFormat="1" outlineLevel="2">
      <c r="A201" s="154"/>
      <c r="B201" s="585" t="s">
        <v>805</v>
      </c>
      <c r="C201" s="172">
        <v>0</v>
      </c>
      <c r="D201" s="172">
        <v>1</v>
      </c>
      <c r="E201" s="172">
        <v>0</v>
      </c>
      <c r="F201" s="172">
        <v>0</v>
      </c>
      <c r="G201" s="172">
        <v>0</v>
      </c>
      <c r="H201" s="172">
        <v>0</v>
      </c>
      <c r="I201" s="172">
        <v>1</v>
      </c>
      <c r="J201" s="172">
        <v>0</v>
      </c>
      <c r="K201" s="172">
        <v>0</v>
      </c>
      <c r="L201" s="172">
        <v>0</v>
      </c>
      <c r="M201" s="172">
        <v>0</v>
      </c>
      <c r="N201" s="172">
        <v>1</v>
      </c>
      <c r="O201" s="172">
        <v>0</v>
      </c>
      <c r="P201" s="172">
        <v>0</v>
      </c>
      <c r="Q201" s="172">
        <v>0</v>
      </c>
      <c r="R201" s="172">
        <v>0</v>
      </c>
      <c r="S201" s="172">
        <v>1</v>
      </c>
      <c r="T201" s="172">
        <v>0</v>
      </c>
      <c r="U201" s="172">
        <v>0</v>
      </c>
      <c r="V201" s="172">
        <v>0</v>
      </c>
      <c r="W201" s="172">
        <v>0</v>
      </c>
      <c r="X201" s="172">
        <v>1</v>
      </c>
      <c r="Y201" s="172">
        <v>0</v>
      </c>
      <c r="Z201" s="172">
        <v>0</v>
      </c>
      <c r="AA201" s="172">
        <v>0</v>
      </c>
      <c r="AB201" s="172">
        <v>0</v>
      </c>
      <c r="AC201" s="172">
        <v>1</v>
      </c>
      <c r="AD201" s="172">
        <v>0</v>
      </c>
      <c r="AE201" s="172">
        <v>0</v>
      </c>
      <c r="AF201" s="172">
        <v>0</v>
      </c>
      <c r="AG201" s="175"/>
      <c r="AH201" s="161"/>
      <c r="AI201" s="154"/>
    </row>
    <row r="202" spans="1:35" s="162" customFormat="1" outlineLevel="2">
      <c r="A202" s="154"/>
      <c r="B202" s="585" t="s">
        <v>807</v>
      </c>
      <c r="C202" s="176">
        <f>Insumos!$E$155</f>
        <v>455</v>
      </c>
      <c r="D202" s="176">
        <f>C202</f>
        <v>455</v>
      </c>
      <c r="E202" s="176">
        <f t="shared" ref="E202:AF202" si="166">D202</f>
        <v>455</v>
      </c>
      <c r="F202" s="176">
        <f t="shared" si="166"/>
        <v>455</v>
      </c>
      <c r="G202" s="176">
        <f t="shared" si="166"/>
        <v>455</v>
      </c>
      <c r="H202" s="176">
        <f t="shared" si="166"/>
        <v>455</v>
      </c>
      <c r="I202" s="176">
        <f t="shared" si="166"/>
        <v>455</v>
      </c>
      <c r="J202" s="176">
        <f t="shared" si="166"/>
        <v>455</v>
      </c>
      <c r="K202" s="176">
        <f t="shared" si="166"/>
        <v>455</v>
      </c>
      <c r="L202" s="176">
        <f t="shared" si="166"/>
        <v>455</v>
      </c>
      <c r="M202" s="176">
        <f t="shared" si="166"/>
        <v>455</v>
      </c>
      <c r="N202" s="176">
        <f t="shared" si="166"/>
        <v>455</v>
      </c>
      <c r="O202" s="176">
        <f t="shared" si="166"/>
        <v>455</v>
      </c>
      <c r="P202" s="176">
        <f t="shared" si="166"/>
        <v>455</v>
      </c>
      <c r="Q202" s="176">
        <f t="shared" si="166"/>
        <v>455</v>
      </c>
      <c r="R202" s="176">
        <f t="shared" si="166"/>
        <v>455</v>
      </c>
      <c r="S202" s="176">
        <f t="shared" si="166"/>
        <v>455</v>
      </c>
      <c r="T202" s="176">
        <f t="shared" si="166"/>
        <v>455</v>
      </c>
      <c r="U202" s="176">
        <f t="shared" si="166"/>
        <v>455</v>
      </c>
      <c r="V202" s="176">
        <f t="shared" si="166"/>
        <v>455</v>
      </c>
      <c r="W202" s="176">
        <f t="shared" si="166"/>
        <v>455</v>
      </c>
      <c r="X202" s="176">
        <f t="shared" si="166"/>
        <v>455</v>
      </c>
      <c r="Y202" s="176">
        <f t="shared" si="166"/>
        <v>455</v>
      </c>
      <c r="Z202" s="176">
        <f t="shared" si="166"/>
        <v>455</v>
      </c>
      <c r="AA202" s="176">
        <f t="shared" si="166"/>
        <v>455</v>
      </c>
      <c r="AB202" s="176">
        <f t="shared" si="166"/>
        <v>455</v>
      </c>
      <c r="AC202" s="176">
        <f t="shared" si="166"/>
        <v>455</v>
      </c>
      <c r="AD202" s="176">
        <f t="shared" si="166"/>
        <v>455</v>
      </c>
      <c r="AE202" s="176">
        <f t="shared" si="166"/>
        <v>455</v>
      </c>
      <c r="AF202" s="176">
        <f t="shared" si="166"/>
        <v>455</v>
      </c>
      <c r="AG202" s="175"/>
      <c r="AH202" s="257"/>
      <c r="AI202" s="154"/>
    </row>
    <row r="203" spans="1:35" outlineLevel="1">
      <c r="A203" s="154"/>
      <c r="B203" s="709" t="s">
        <v>868</v>
      </c>
      <c r="C203" s="226">
        <f>SUM(C204,C207)/10^3</f>
        <v>150</v>
      </c>
      <c r="D203" s="226">
        <f t="shared" ref="D203:AF203" si="167">SUM(D204,D207)/10^3</f>
        <v>22.6</v>
      </c>
      <c r="E203" s="226">
        <f t="shared" si="167"/>
        <v>0</v>
      </c>
      <c r="F203" s="226">
        <f t="shared" si="167"/>
        <v>0</v>
      </c>
      <c r="G203" s="226">
        <f t="shared" si="167"/>
        <v>0</v>
      </c>
      <c r="H203" s="226">
        <f t="shared" si="167"/>
        <v>0</v>
      </c>
      <c r="I203" s="226">
        <f t="shared" si="167"/>
        <v>0</v>
      </c>
      <c r="J203" s="226">
        <f t="shared" si="167"/>
        <v>0</v>
      </c>
      <c r="K203" s="226">
        <f t="shared" si="167"/>
        <v>0</v>
      </c>
      <c r="L203" s="226">
        <f t="shared" si="167"/>
        <v>0</v>
      </c>
      <c r="M203" s="226">
        <f t="shared" si="167"/>
        <v>0</v>
      </c>
      <c r="N203" s="226">
        <f t="shared" si="167"/>
        <v>0</v>
      </c>
      <c r="O203" s="226">
        <f t="shared" si="167"/>
        <v>0</v>
      </c>
      <c r="P203" s="226">
        <f t="shared" si="167"/>
        <v>0</v>
      </c>
      <c r="Q203" s="226">
        <f t="shared" si="167"/>
        <v>0</v>
      </c>
      <c r="R203" s="226">
        <f t="shared" si="167"/>
        <v>0</v>
      </c>
      <c r="S203" s="226">
        <f t="shared" si="167"/>
        <v>0</v>
      </c>
      <c r="T203" s="226">
        <f t="shared" si="167"/>
        <v>0</v>
      </c>
      <c r="U203" s="226">
        <f t="shared" si="167"/>
        <v>0</v>
      </c>
      <c r="V203" s="226">
        <f t="shared" si="167"/>
        <v>0</v>
      </c>
      <c r="W203" s="226">
        <f t="shared" si="167"/>
        <v>0</v>
      </c>
      <c r="X203" s="226">
        <f t="shared" si="167"/>
        <v>0</v>
      </c>
      <c r="Y203" s="226">
        <f t="shared" si="167"/>
        <v>0</v>
      </c>
      <c r="Z203" s="226">
        <f t="shared" si="167"/>
        <v>0</v>
      </c>
      <c r="AA203" s="226">
        <f t="shared" si="167"/>
        <v>0</v>
      </c>
      <c r="AB203" s="226">
        <f t="shared" si="167"/>
        <v>0</v>
      </c>
      <c r="AC203" s="226">
        <f t="shared" si="167"/>
        <v>0</v>
      </c>
      <c r="AD203" s="226">
        <f t="shared" si="167"/>
        <v>0</v>
      </c>
      <c r="AE203" s="226">
        <f t="shared" si="167"/>
        <v>0</v>
      </c>
      <c r="AF203" s="226">
        <f t="shared" si="167"/>
        <v>0</v>
      </c>
      <c r="AG203" s="227"/>
      <c r="AH203" s="365">
        <f>SUM(C203:AF203)</f>
        <v>172.6</v>
      </c>
      <c r="AI203" s="152"/>
    </row>
    <row r="204" spans="1:35" s="162" customFormat="1" outlineLevel="2">
      <c r="A204" s="154"/>
      <c r="B204" s="608" t="s">
        <v>869</v>
      </c>
      <c r="C204" s="174">
        <f>C205*C206</f>
        <v>150000</v>
      </c>
      <c r="D204" s="174">
        <f t="shared" ref="D204:AF204" si="168">D205*D206</f>
        <v>0</v>
      </c>
      <c r="E204" s="174">
        <f t="shared" si="168"/>
        <v>0</v>
      </c>
      <c r="F204" s="174">
        <f t="shared" si="168"/>
        <v>0</v>
      </c>
      <c r="G204" s="174">
        <f t="shared" si="168"/>
        <v>0</v>
      </c>
      <c r="H204" s="174">
        <f t="shared" si="168"/>
        <v>0</v>
      </c>
      <c r="I204" s="174">
        <f t="shared" si="168"/>
        <v>0</v>
      </c>
      <c r="J204" s="174">
        <f t="shared" si="168"/>
        <v>0</v>
      </c>
      <c r="K204" s="174">
        <f t="shared" si="168"/>
        <v>0</v>
      </c>
      <c r="L204" s="174">
        <f t="shared" si="168"/>
        <v>0</v>
      </c>
      <c r="M204" s="174">
        <f t="shared" si="168"/>
        <v>0</v>
      </c>
      <c r="N204" s="174">
        <f t="shared" si="168"/>
        <v>0</v>
      </c>
      <c r="O204" s="174">
        <f t="shared" si="168"/>
        <v>0</v>
      </c>
      <c r="P204" s="174">
        <f t="shared" si="168"/>
        <v>0</v>
      </c>
      <c r="Q204" s="174">
        <f t="shared" si="168"/>
        <v>0</v>
      </c>
      <c r="R204" s="174">
        <f t="shared" si="168"/>
        <v>0</v>
      </c>
      <c r="S204" s="174">
        <f t="shared" si="168"/>
        <v>0</v>
      </c>
      <c r="T204" s="174">
        <f t="shared" si="168"/>
        <v>0</v>
      </c>
      <c r="U204" s="174">
        <f t="shared" si="168"/>
        <v>0</v>
      </c>
      <c r="V204" s="174">
        <f t="shared" si="168"/>
        <v>0</v>
      </c>
      <c r="W204" s="174">
        <f t="shared" si="168"/>
        <v>0</v>
      </c>
      <c r="X204" s="174">
        <f t="shared" si="168"/>
        <v>0</v>
      </c>
      <c r="Y204" s="174">
        <f t="shared" si="168"/>
        <v>0</v>
      </c>
      <c r="Z204" s="174">
        <f t="shared" si="168"/>
        <v>0</v>
      </c>
      <c r="AA204" s="174">
        <f t="shared" si="168"/>
        <v>0</v>
      </c>
      <c r="AB204" s="174">
        <f t="shared" si="168"/>
        <v>0</v>
      </c>
      <c r="AC204" s="174">
        <f t="shared" si="168"/>
        <v>0</v>
      </c>
      <c r="AD204" s="174">
        <f t="shared" si="168"/>
        <v>0</v>
      </c>
      <c r="AE204" s="174">
        <f t="shared" si="168"/>
        <v>0</v>
      </c>
      <c r="AF204" s="174">
        <f t="shared" si="168"/>
        <v>0</v>
      </c>
      <c r="AG204" s="174"/>
      <c r="AH204" s="161"/>
      <c r="AI204" s="154"/>
    </row>
    <row r="205" spans="1:35" s="162" customFormat="1" outlineLevel="2">
      <c r="A205" s="154"/>
      <c r="B205" s="585" t="s">
        <v>805</v>
      </c>
      <c r="C205" s="172">
        <v>1</v>
      </c>
      <c r="D205" s="172">
        <v>0</v>
      </c>
      <c r="E205" s="172">
        <v>0</v>
      </c>
      <c r="F205" s="172">
        <v>0</v>
      </c>
      <c r="G205" s="172">
        <v>0</v>
      </c>
      <c r="H205" s="172">
        <v>0</v>
      </c>
      <c r="I205" s="172">
        <v>0</v>
      </c>
      <c r="J205" s="172">
        <v>0</v>
      </c>
      <c r="K205" s="172">
        <v>0</v>
      </c>
      <c r="L205" s="172">
        <v>0</v>
      </c>
      <c r="M205" s="172">
        <v>0</v>
      </c>
      <c r="N205" s="172">
        <v>0</v>
      </c>
      <c r="O205" s="172">
        <v>0</v>
      </c>
      <c r="P205" s="172">
        <v>0</v>
      </c>
      <c r="Q205" s="172">
        <v>0</v>
      </c>
      <c r="R205" s="172">
        <v>0</v>
      </c>
      <c r="S205" s="172">
        <v>0</v>
      </c>
      <c r="T205" s="172">
        <v>0</v>
      </c>
      <c r="U205" s="172">
        <v>0</v>
      </c>
      <c r="V205" s="172">
        <v>0</v>
      </c>
      <c r="W205" s="172">
        <v>0</v>
      </c>
      <c r="X205" s="172">
        <v>0</v>
      </c>
      <c r="Y205" s="172">
        <v>0</v>
      </c>
      <c r="Z205" s="172">
        <v>0</v>
      </c>
      <c r="AA205" s="172">
        <v>0</v>
      </c>
      <c r="AB205" s="172">
        <v>0</v>
      </c>
      <c r="AC205" s="172">
        <v>0</v>
      </c>
      <c r="AD205" s="172">
        <v>0</v>
      </c>
      <c r="AE205" s="172">
        <v>0</v>
      </c>
      <c r="AF205" s="172">
        <v>0</v>
      </c>
      <c r="AG205" s="175"/>
      <c r="AH205" s="161"/>
      <c r="AI205" s="154"/>
    </row>
    <row r="206" spans="1:35" s="162" customFormat="1" outlineLevel="2">
      <c r="A206" s="154"/>
      <c r="B206" s="585" t="s">
        <v>807</v>
      </c>
      <c r="C206" s="176">
        <f>Insumos!$E$146</f>
        <v>150000</v>
      </c>
      <c r="D206" s="176">
        <f>C206</f>
        <v>150000</v>
      </c>
      <c r="E206" s="176">
        <f t="shared" ref="E206:AF206" si="169">D206</f>
        <v>150000</v>
      </c>
      <c r="F206" s="176">
        <f t="shared" si="169"/>
        <v>150000</v>
      </c>
      <c r="G206" s="176">
        <f t="shared" si="169"/>
        <v>150000</v>
      </c>
      <c r="H206" s="176">
        <f t="shared" si="169"/>
        <v>150000</v>
      </c>
      <c r="I206" s="176">
        <f t="shared" si="169"/>
        <v>150000</v>
      </c>
      <c r="J206" s="176">
        <f t="shared" si="169"/>
        <v>150000</v>
      </c>
      <c r="K206" s="176">
        <f t="shared" si="169"/>
        <v>150000</v>
      </c>
      <c r="L206" s="176">
        <f t="shared" si="169"/>
        <v>150000</v>
      </c>
      <c r="M206" s="176">
        <f t="shared" si="169"/>
        <v>150000</v>
      </c>
      <c r="N206" s="176">
        <f t="shared" si="169"/>
        <v>150000</v>
      </c>
      <c r="O206" s="176">
        <f t="shared" si="169"/>
        <v>150000</v>
      </c>
      <c r="P206" s="176">
        <f t="shared" si="169"/>
        <v>150000</v>
      </c>
      <c r="Q206" s="176">
        <f t="shared" si="169"/>
        <v>150000</v>
      </c>
      <c r="R206" s="176">
        <f t="shared" si="169"/>
        <v>150000</v>
      </c>
      <c r="S206" s="176">
        <f t="shared" si="169"/>
        <v>150000</v>
      </c>
      <c r="T206" s="176">
        <f t="shared" si="169"/>
        <v>150000</v>
      </c>
      <c r="U206" s="176">
        <f t="shared" si="169"/>
        <v>150000</v>
      </c>
      <c r="V206" s="176">
        <f t="shared" si="169"/>
        <v>150000</v>
      </c>
      <c r="W206" s="176">
        <f t="shared" si="169"/>
        <v>150000</v>
      </c>
      <c r="X206" s="176">
        <f t="shared" si="169"/>
        <v>150000</v>
      </c>
      <c r="Y206" s="176">
        <f t="shared" si="169"/>
        <v>150000</v>
      </c>
      <c r="Z206" s="176">
        <f t="shared" si="169"/>
        <v>150000</v>
      </c>
      <c r="AA206" s="176">
        <f t="shared" si="169"/>
        <v>150000</v>
      </c>
      <c r="AB206" s="176">
        <f t="shared" si="169"/>
        <v>150000</v>
      </c>
      <c r="AC206" s="176">
        <f t="shared" si="169"/>
        <v>150000</v>
      </c>
      <c r="AD206" s="176">
        <f t="shared" si="169"/>
        <v>150000</v>
      </c>
      <c r="AE206" s="176">
        <f t="shared" si="169"/>
        <v>150000</v>
      </c>
      <c r="AF206" s="176">
        <f t="shared" si="169"/>
        <v>150000</v>
      </c>
      <c r="AG206" s="175"/>
      <c r="AH206" s="257"/>
      <c r="AI206" s="154"/>
    </row>
    <row r="207" spans="1:35" s="162" customFormat="1" outlineLevel="2">
      <c r="A207" s="154"/>
      <c r="B207" s="608" t="s">
        <v>870</v>
      </c>
      <c r="C207" s="174">
        <f>C208*C209</f>
        <v>0</v>
      </c>
      <c r="D207" s="174">
        <f t="shared" ref="D207:AF207" si="170">D208*D209</f>
        <v>22600</v>
      </c>
      <c r="E207" s="174">
        <f t="shared" si="170"/>
        <v>0</v>
      </c>
      <c r="F207" s="174">
        <f t="shared" si="170"/>
        <v>0</v>
      </c>
      <c r="G207" s="174">
        <f t="shared" si="170"/>
        <v>0</v>
      </c>
      <c r="H207" s="174">
        <f t="shared" si="170"/>
        <v>0</v>
      </c>
      <c r="I207" s="174">
        <f t="shared" si="170"/>
        <v>0</v>
      </c>
      <c r="J207" s="174">
        <f t="shared" si="170"/>
        <v>0</v>
      </c>
      <c r="K207" s="174">
        <f t="shared" si="170"/>
        <v>0</v>
      </c>
      <c r="L207" s="174">
        <f t="shared" si="170"/>
        <v>0</v>
      </c>
      <c r="M207" s="174">
        <f t="shared" si="170"/>
        <v>0</v>
      </c>
      <c r="N207" s="174">
        <f t="shared" si="170"/>
        <v>0</v>
      </c>
      <c r="O207" s="174">
        <f t="shared" si="170"/>
        <v>0</v>
      </c>
      <c r="P207" s="174">
        <f t="shared" si="170"/>
        <v>0</v>
      </c>
      <c r="Q207" s="174">
        <f t="shared" si="170"/>
        <v>0</v>
      </c>
      <c r="R207" s="174">
        <f t="shared" si="170"/>
        <v>0</v>
      </c>
      <c r="S207" s="174">
        <f t="shared" si="170"/>
        <v>0</v>
      </c>
      <c r="T207" s="174">
        <f t="shared" si="170"/>
        <v>0</v>
      </c>
      <c r="U207" s="174">
        <f t="shared" si="170"/>
        <v>0</v>
      </c>
      <c r="V207" s="174">
        <f t="shared" si="170"/>
        <v>0</v>
      </c>
      <c r="W207" s="174">
        <f t="shared" si="170"/>
        <v>0</v>
      </c>
      <c r="X207" s="174">
        <f t="shared" si="170"/>
        <v>0</v>
      </c>
      <c r="Y207" s="174">
        <f t="shared" si="170"/>
        <v>0</v>
      </c>
      <c r="Z207" s="174">
        <f t="shared" si="170"/>
        <v>0</v>
      </c>
      <c r="AA207" s="174">
        <f t="shared" si="170"/>
        <v>0</v>
      </c>
      <c r="AB207" s="174">
        <f t="shared" si="170"/>
        <v>0</v>
      </c>
      <c r="AC207" s="174">
        <f t="shared" si="170"/>
        <v>0</v>
      </c>
      <c r="AD207" s="174">
        <f t="shared" si="170"/>
        <v>0</v>
      </c>
      <c r="AE207" s="174">
        <f t="shared" si="170"/>
        <v>0</v>
      </c>
      <c r="AF207" s="174">
        <f t="shared" si="170"/>
        <v>0</v>
      </c>
      <c r="AG207" s="174"/>
      <c r="AH207" s="161"/>
      <c r="AI207" s="154"/>
    </row>
    <row r="208" spans="1:35" s="162" customFormat="1" outlineLevel="2">
      <c r="A208" s="154"/>
      <c r="B208" s="585" t="s">
        <v>805</v>
      </c>
      <c r="C208" s="172">
        <v>0</v>
      </c>
      <c r="D208" s="172">
        <v>1</v>
      </c>
      <c r="E208" s="172">
        <v>0</v>
      </c>
      <c r="F208" s="172">
        <v>0</v>
      </c>
      <c r="G208" s="172">
        <v>0</v>
      </c>
      <c r="H208" s="172">
        <v>0</v>
      </c>
      <c r="I208" s="172">
        <v>0</v>
      </c>
      <c r="J208" s="172">
        <v>0</v>
      </c>
      <c r="K208" s="172">
        <v>0</v>
      </c>
      <c r="L208" s="172">
        <v>0</v>
      </c>
      <c r="M208" s="172">
        <v>0</v>
      </c>
      <c r="N208" s="172">
        <v>0</v>
      </c>
      <c r="O208" s="172">
        <v>0</v>
      </c>
      <c r="P208" s="172">
        <v>0</v>
      </c>
      <c r="Q208" s="172">
        <v>0</v>
      </c>
      <c r="R208" s="172">
        <v>0</v>
      </c>
      <c r="S208" s="172">
        <v>0</v>
      </c>
      <c r="T208" s="172">
        <v>0</v>
      </c>
      <c r="U208" s="172">
        <v>0</v>
      </c>
      <c r="V208" s="172">
        <v>0</v>
      </c>
      <c r="W208" s="172">
        <v>0</v>
      </c>
      <c r="X208" s="172">
        <v>0</v>
      </c>
      <c r="Y208" s="172">
        <v>0</v>
      </c>
      <c r="Z208" s="172">
        <v>0</v>
      </c>
      <c r="AA208" s="172">
        <v>0</v>
      </c>
      <c r="AB208" s="172">
        <v>0</v>
      </c>
      <c r="AC208" s="172">
        <v>0</v>
      </c>
      <c r="AD208" s="172">
        <v>0</v>
      </c>
      <c r="AE208" s="172">
        <v>0</v>
      </c>
      <c r="AF208" s="172">
        <v>0</v>
      </c>
      <c r="AG208" s="175"/>
      <c r="AH208" s="161"/>
      <c r="AI208" s="154"/>
    </row>
    <row r="209" spans="1:35" s="162" customFormat="1" outlineLevel="2">
      <c r="A209" s="154"/>
      <c r="B209" s="585" t="s">
        <v>807</v>
      </c>
      <c r="C209" s="176">
        <f>Insumos!$E$149</f>
        <v>22600</v>
      </c>
      <c r="D209" s="176">
        <f>C209</f>
        <v>22600</v>
      </c>
      <c r="E209" s="176">
        <f t="shared" ref="E209:AF209" si="171">D209</f>
        <v>22600</v>
      </c>
      <c r="F209" s="176">
        <f t="shared" si="171"/>
        <v>22600</v>
      </c>
      <c r="G209" s="176">
        <f t="shared" si="171"/>
        <v>22600</v>
      </c>
      <c r="H209" s="176">
        <f t="shared" si="171"/>
        <v>22600</v>
      </c>
      <c r="I209" s="176">
        <f t="shared" si="171"/>
        <v>22600</v>
      </c>
      <c r="J209" s="176">
        <f t="shared" si="171"/>
        <v>22600</v>
      </c>
      <c r="K209" s="176">
        <f t="shared" si="171"/>
        <v>22600</v>
      </c>
      <c r="L209" s="176">
        <f t="shared" si="171"/>
        <v>22600</v>
      </c>
      <c r="M209" s="176">
        <f t="shared" si="171"/>
        <v>22600</v>
      </c>
      <c r="N209" s="176">
        <f t="shared" si="171"/>
        <v>22600</v>
      </c>
      <c r="O209" s="176">
        <f t="shared" si="171"/>
        <v>22600</v>
      </c>
      <c r="P209" s="176">
        <f t="shared" si="171"/>
        <v>22600</v>
      </c>
      <c r="Q209" s="176">
        <f t="shared" si="171"/>
        <v>22600</v>
      </c>
      <c r="R209" s="176">
        <f t="shared" si="171"/>
        <v>22600</v>
      </c>
      <c r="S209" s="176">
        <f t="shared" si="171"/>
        <v>22600</v>
      </c>
      <c r="T209" s="176">
        <f t="shared" si="171"/>
        <v>22600</v>
      </c>
      <c r="U209" s="176">
        <f t="shared" si="171"/>
        <v>22600</v>
      </c>
      <c r="V209" s="176">
        <f t="shared" si="171"/>
        <v>22600</v>
      </c>
      <c r="W209" s="176">
        <f t="shared" si="171"/>
        <v>22600</v>
      </c>
      <c r="X209" s="176">
        <f t="shared" si="171"/>
        <v>22600</v>
      </c>
      <c r="Y209" s="176">
        <f t="shared" si="171"/>
        <v>22600</v>
      </c>
      <c r="Z209" s="176">
        <f t="shared" si="171"/>
        <v>22600</v>
      </c>
      <c r="AA209" s="176">
        <f t="shared" si="171"/>
        <v>22600</v>
      </c>
      <c r="AB209" s="176">
        <f t="shared" si="171"/>
        <v>22600</v>
      </c>
      <c r="AC209" s="176">
        <f t="shared" si="171"/>
        <v>22600</v>
      </c>
      <c r="AD209" s="176">
        <f t="shared" si="171"/>
        <v>22600</v>
      </c>
      <c r="AE209" s="176">
        <f t="shared" si="171"/>
        <v>22600</v>
      </c>
      <c r="AF209" s="176">
        <f t="shared" si="171"/>
        <v>22600</v>
      </c>
      <c r="AG209" s="175"/>
      <c r="AH209" s="257"/>
      <c r="AI209" s="154"/>
    </row>
    <row r="210" spans="1:35">
      <c r="A210" s="154"/>
      <c r="B210" s="453" t="s">
        <v>871</v>
      </c>
      <c r="C210" s="454">
        <f>SUM(C211)</f>
        <v>126.94889000000001</v>
      </c>
      <c r="D210" s="454">
        <f t="shared" ref="D210:AF210" si="172">SUM(D211)</f>
        <v>0</v>
      </c>
      <c r="E210" s="454">
        <f t="shared" si="172"/>
        <v>0</v>
      </c>
      <c r="F210" s="454">
        <f t="shared" si="172"/>
        <v>0</v>
      </c>
      <c r="G210" s="454">
        <f t="shared" si="172"/>
        <v>0</v>
      </c>
      <c r="H210" s="454">
        <f t="shared" si="172"/>
        <v>26.049499999999998</v>
      </c>
      <c r="I210" s="454">
        <f t="shared" si="172"/>
        <v>0</v>
      </c>
      <c r="J210" s="454">
        <f t="shared" si="172"/>
        <v>0</v>
      </c>
      <c r="K210" s="454">
        <f t="shared" si="172"/>
        <v>0</v>
      </c>
      <c r="L210" s="454">
        <f t="shared" si="172"/>
        <v>0</v>
      </c>
      <c r="M210" s="454">
        <f t="shared" si="172"/>
        <v>126.94889000000001</v>
      </c>
      <c r="N210" s="454">
        <f t="shared" si="172"/>
        <v>0</v>
      </c>
      <c r="O210" s="454">
        <f t="shared" si="172"/>
        <v>0</v>
      </c>
      <c r="P210" s="454">
        <f t="shared" si="172"/>
        <v>0</v>
      </c>
      <c r="Q210" s="454">
        <f t="shared" si="172"/>
        <v>0</v>
      </c>
      <c r="R210" s="454">
        <f t="shared" si="172"/>
        <v>26.049499999999998</v>
      </c>
      <c r="S210" s="454">
        <f t="shared" si="172"/>
        <v>0</v>
      </c>
      <c r="T210" s="454">
        <f t="shared" si="172"/>
        <v>0</v>
      </c>
      <c r="U210" s="454">
        <f t="shared" si="172"/>
        <v>0</v>
      </c>
      <c r="V210" s="454">
        <f t="shared" si="172"/>
        <v>0</v>
      </c>
      <c r="W210" s="454">
        <f t="shared" si="172"/>
        <v>126.94889000000001</v>
      </c>
      <c r="X210" s="454">
        <f t="shared" si="172"/>
        <v>0</v>
      </c>
      <c r="Y210" s="454">
        <f t="shared" si="172"/>
        <v>0</v>
      </c>
      <c r="Z210" s="454">
        <f t="shared" si="172"/>
        <v>0</v>
      </c>
      <c r="AA210" s="454">
        <f t="shared" si="172"/>
        <v>0</v>
      </c>
      <c r="AB210" s="454">
        <f t="shared" si="172"/>
        <v>26.049499999999998</v>
      </c>
      <c r="AC210" s="454">
        <f t="shared" si="172"/>
        <v>0</v>
      </c>
      <c r="AD210" s="454">
        <f t="shared" si="172"/>
        <v>0</v>
      </c>
      <c r="AE210" s="454">
        <f t="shared" si="172"/>
        <v>0</v>
      </c>
      <c r="AF210" s="454">
        <f t="shared" si="172"/>
        <v>0</v>
      </c>
      <c r="AG210" s="169"/>
      <c r="AH210" s="455">
        <f>SUM(C210:AF210)</f>
        <v>458.99517000000003</v>
      </c>
      <c r="AI210" s="152" t="s">
        <v>803</v>
      </c>
    </row>
    <row r="211" spans="1:35" outlineLevel="1">
      <c r="A211" s="154"/>
      <c r="B211" s="709" t="s">
        <v>298</v>
      </c>
      <c r="C211" s="226">
        <f>SUM(C212,C215)/10^3</f>
        <v>126.94889000000001</v>
      </c>
      <c r="D211" s="226">
        <f t="shared" ref="D211:AF211" si="173">SUM(D212,D215)/10^3</f>
        <v>0</v>
      </c>
      <c r="E211" s="226">
        <f t="shared" si="173"/>
        <v>0</v>
      </c>
      <c r="F211" s="226">
        <f t="shared" si="173"/>
        <v>0</v>
      </c>
      <c r="G211" s="226">
        <f t="shared" si="173"/>
        <v>0</v>
      </c>
      <c r="H211" s="226">
        <f t="shared" si="173"/>
        <v>26.049499999999998</v>
      </c>
      <c r="I211" s="226">
        <f t="shared" si="173"/>
        <v>0</v>
      </c>
      <c r="J211" s="226">
        <f t="shared" si="173"/>
        <v>0</v>
      </c>
      <c r="K211" s="226">
        <f t="shared" si="173"/>
        <v>0</v>
      </c>
      <c r="L211" s="226">
        <f t="shared" si="173"/>
        <v>0</v>
      </c>
      <c r="M211" s="226">
        <f t="shared" si="173"/>
        <v>126.94889000000001</v>
      </c>
      <c r="N211" s="226">
        <f t="shared" si="173"/>
        <v>0</v>
      </c>
      <c r="O211" s="226">
        <f t="shared" si="173"/>
        <v>0</v>
      </c>
      <c r="P211" s="226">
        <f t="shared" si="173"/>
        <v>0</v>
      </c>
      <c r="Q211" s="226">
        <f t="shared" si="173"/>
        <v>0</v>
      </c>
      <c r="R211" s="226">
        <f t="shared" si="173"/>
        <v>26.049499999999998</v>
      </c>
      <c r="S211" s="226">
        <f t="shared" si="173"/>
        <v>0</v>
      </c>
      <c r="T211" s="226">
        <f t="shared" si="173"/>
        <v>0</v>
      </c>
      <c r="U211" s="226">
        <f t="shared" si="173"/>
        <v>0</v>
      </c>
      <c r="V211" s="226">
        <f t="shared" si="173"/>
        <v>0</v>
      </c>
      <c r="W211" s="226">
        <f t="shared" si="173"/>
        <v>126.94889000000001</v>
      </c>
      <c r="X211" s="226">
        <f t="shared" si="173"/>
        <v>0</v>
      </c>
      <c r="Y211" s="226">
        <f t="shared" si="173"/>
        <v>0</v>
      </c>
      <c r="Z211" s="226">
        <f t="shared" si="173"/>
        <v>0</v>
      </c>
      <c r="AA211" s="226">
        <f t="shared" si="173"/>
        <v>0</v>
      </c>
      <c r="AB211" s="226">
        <f t="shared" si="173"/>
        <v>26.049499999999998</v>
      </c>
      <c r="AC211" s="226">
        <f t="shared" si="173"/>
        <v>0</v>
      </c>
      <c r="AD211" s="226">
        <f t="shared" si="173"/>
        <v>0</v>
      </c>
      <c r="AE211" s="226">
        <f t="shared" si="173"/>
        <v>0</v>
      </c>
      <c r="AF211" s="226">
        <f t="shared" si="173"/>
        <v>0</v>
      </c>
      <c r="AG211" s="227"/>
      <c r="AH211" s="365">
        <f>SUM(C211:AF211)</f>
        <v>458.99517000000003</v>
      </c>
      <c r="AI211" s="152"/>
    </row>
    <row r="212" spans="1:35" s="162" customFormat="1" outlineLevel="2">
      <c r="A212" s="154"/>
      <c r="B212" s="608" t="s">
        <v>872</v>
      </c>
      <c r="C212" s="174">
        <f>C213*C214</f>
        <v>26049.5</v>
      </c>
      <c r="D212" s="174">
        <f t="shared" ref="D212:AF212" si="174">D213*D214</f>
        <v>0</v>
      </c>
      <c r="E212" s="174">
        <f t="shared" si="174"/>
        <v>0</v>
      </c>
      <c r="F212" s="174">
        <f t="shared" si="174"/>
        <v>0</v>
      </c>
      <c r="G212" s="174">
        <f t="shared" si="174"/>
        <v>0</v>
      </c>
      <c r="H212" s="174">
        <f t="shared" si="174"/>
        <v>26049.5</v>
      </c>
      <c r="I212" s="174">
        <f t="shared" si="174"/>
        <v>0</v>
      </c>
      <c r="J212" s="174">
        <f t="shared" si="174"/>
        <v>0</v>
      </c>
      <c r="K212" s="174">
        <f t="shared" si="174"/>
        <v>0</v>
      </c>
      <c r="L212" s="174">
        <f t="shared" si="174"/>
        <v>0</v>
      </c>
      <c r="M212" s="174">
        <f t="shared" si="174"/>
        <v>26049.5</v>
      </c>
      <c r="N212" s="174">
        <f t="shared" si="174"/>
        <v>0</v>
      </c>
      <c r="O212" s="174">
        <f t="shared" si="174"/>
        <v>0</v>
      </c>
      <c r="P212" s="174">
        <f t="shared" si="174"/>
        <v>0</v>
      </c>
      <c r="Q212" s="174">
        <f t="shared" si="174"/>
        <v>0</v>
      </c>
      <c r="R212" s="174">
        <f t="shared" si="174"/>
        <v>26049.5</v>
      </c>
      <c r="S212" s="174">
        <f t="shared" si="174"/>
        <v>0</v>
      </c>
      <c r="T212" s="174">
        <f t="shared" si="174"/>
        <v>0</v>
      </c>
      <c r="U212" s="174">
        <f t="shared" si="174"/>
        <v>0</v>
      </c>
      <c r="V212" s="174">
        <f t="shared" si="174"/>
        <v>0</v>
      </c>
      <c r="W212" s="174">
        <f t="shared" si="174"/>
        <v>26049.5</v>
      </c>
      <c r="X212" s="174">
        <f t="shared" si="174"/>
        <v>0</v>
      </c>
      <c r="Y212" s="174">
        <f t="shared" si="174"/>
        <v>0</v>
      </c>
      <c r="Z212" s="174">
        <f t="shared" si="174"/>
        <v>0</v>
      </c>
      <c r="AA212" s="174">
        <f t="shared" si="174"/>
        <v>0</v>
      </c>
      <c r="AB212" s="174">
        <f t="shared" si="174"/>
        <v>26049.5</v>
      </c>
      <c r="AC212" s="174">
        <f t="shared" si="174"/>
        <v>0</v>
      </c>
      <c r="AD212" s="174">
        <f t="shared" si="174"/>
        <v>0</v>
      </c>
      <c r="AE212" s="174">
        <f t="shared" si="174"/>
        <v>0</v>
      </c>
      <c r="AF212" s="174">
        <f t="shared" si="174"/>
        <v>0</v>
      </c>
      <c r="AG212" s="174"/>
      <c r="AH212" s="161"/>
      <c r="AI212" s="154"/>
    </row>
    <row r="213" spans="1:35" s="162" customFormat="1" outlineLevel="2">
      <c r="A213" s="154"/>
      <c r="B213" s="585" t="s">
        <v>805</v>
      </c>
      <c r="C213" s="172">
        <v>5</v>
      </c>
      <c r="D213" s="172">
        <v>0</v>
      </c>
      <c r="E213" s="172">
        <v>0</v>
      </c>
      <c r="F213" s="172">
        <v>0</v>
      </c>
      <c r="G213" s="172">
        <v>0</v>
      </c>
      <c r="H213" s="172">
        <f>C213</f>
        <v>5</v>
      </c>
      <c r="I213" s="172">
        <f t="shared" ref="I213:AE213" si="175">D213</f>
        <v>0</v>
      </c>
      <c r="J213" s="172">
        <f t="shared" si="175"/>
        <v>0</v>
      </c>
      <c r="K213" s="172">
        <f t="shared" si="175"/>
        <v>0</v>
      </c>
      <c r="L213" s="172">
        <f t="shared" si="175"/>
        <v>0</v>
      </c>
      <c r="M213" s="172">
        <f t="shared" si="175"/>
        <v>5</v>
      </c>
      <c r="N213" s="172">
        <f t="shared" si="175"/>
        <v>0</v>
      </c>
      <c r="O213" s="172">
        <f t="shared" si="175"/>
        <v>0</v>
      </c>
      <c r="P213" s="172">
        <f t="shared" si="175"/>
        <v>0</v>
      </c>
      <c r="Q213" s="172">
        <f t="shared" si="175"/>
        <v>0</v>
      </c>
      <c r="R213" s="172">
        <f t="shared" si="175"/>
        <v>5</v>
      </c>
      <c r="S213" s="172">
        <f t="shared" si="175"/>
        <v>0</v>
      </c>
      <c r="T213" s="172">
        <f t="shared" si="175"/>
        <v>0</v>
      </c>
      <c r="U213" s="172">
        <f t="shared" si="175"/>
        <v>0</v>
      </c>
      <c r="V213" s="172">
        <f t="shared" si="175"/>
        <v>0</v>
      </c>
      <c r="W213" s="172">
        <f t="shared" si="175"/>
        <v>5</v>
      </c>
      <c r="X213" s="172">
        <f t="shared" si="175"/>
        <v>0</v>
      </c>
      <c r="Y213" s="172">
        <f t="shared" si="175"/>
        <v>0</v>
      </c>
      <c r="Z213" s="172">
        <f t="shared" si="175"/>
        <v>0</v>
      </c>
      <c r="AA213" s="172">
        <f t="shared" si="175"/>
        <v>0</v>
      </c>
      <c r="AB213" s="172">
        <f t="shared" si="175"/>
        <v>5</v>
      </c>
      <c r="AC213" s="172">
        <f t="shared" si="175"/>
        <v>0</v>
      </c>
      <c r="AD213" s="172">
        <f t="shared" si="175"/>
        <v>0</v>
      </c>
      <c r="AE213" s="172">
        <f t="shared" si="175"/>
        <v>0</v>
      </c>
      <c r="AF213" s="172">
        <f>AA213</f>
        <v>0</v>
      </c>
      <c r="AG213" s="175"/>
      <c r="AH213" s="161"/>
      <c r="AI213" s="154"/>
    </row>
    <row r="214" spans="1:35" s="162" customFormat="1" outlineLevel="2">
      <c r="A214" s="154"/>
      <c r="B214" s="585" t="s">
        <v>807</v>
      </c>
      <c r="C214" s="176">
        <f>Insumos!$E$137</f>
        <v>5209.8999999999996</v>
      </c>
      <c r="D214" s="176">
        <f>C214</f>
        <v>5209.8999999999996</v>
      </c>
      <c r="E214" s="176">
        <f t="shared" ref="E214:AF214" si="176">D214</f>
        <v>5209.8999999999996</v>
      </c>
      <c r="F214" s="176">
        <f t="shared" si="176"/>
        <v>5209.8999999999996</v>
      </c>
      <c r="G214" s="176">
        <f t="shared" si="176"/>
        <v>5209.8999999999996</v>
      </c>
      <c r="H214" s="176">
        <f t="shared" si="176"/>
        <v>5209.8999999999996</v>
      </c>
      <c r="I214" s="176">
        <f t="shared" si="176"/>
        <v>5209.8999999999996</v>
      </c>
      <c r="J214" s="176">
        <f t="shared" si="176"/>
        <v>5209.8999999999996</v>
      </c>
      <c r="K214" s="176">
        <f t="shared" si="176"/>
        <v>5209.8999999999996</v>
      </c>
      <c r="L214" s="176">
        <f t="shared" si="176"/>
        <v>5209.8999999999996</v>
      </c>
      <c r="M214" s="176">
        <f t="shared" si="176"/>
        <v>5209.8999999999996</v>
      </c>
      <c r="N214" s="176">
        <f t="shared" si="176"/>
        <v>5209.8999999999996</v>
      </c>
      <c r="O214" s="176">
        <f t="shared" si="176"/>
        <v>5209.8999999999996</v>
      </c>
      <c r="P214" s="176">
        <f t="shared" si="176"/>
        <v>5209.8999999999996</v>
      </c>
      <c r="Q214" s="176">
        <f t="shared" si="176"/>
        <v>5209.8999999999996</v>
      </c>
      <c r="R214" s="176">
        <f t="shared" si="176"/>
        <v>5209.8999999999996</v>
      </c>
      <c r="S214" s="176">
        <f t="shared" si="176"/>
        <v>5209.8999999999996</v>
      </c>
      <c r="T214" s="176">
        <f t="shared" si="176"/>
        <v>5209.8999999999996</v>
      </c>
      <c r="U214" s="176">
        <f t="shared" si="176"/>
        <v>5209.8999999999996</v>
      </c>
      <c r="V214" s="176">
        <f t="shared" si="176"/>
        <v>5209.8999999999996</v>
      </c>
      <c r="W214" s="176">
        <f t="shared" si="176"/>
        <v>5209.8999999999996</v>
      </c>
      <c r="X214" s="176">
        <f t="shared" si="176"/>
        <v>5209.8999999999996</v>
      </c>
      <c r="Y214" s="176">
        <f t="shared" si="176"/>
        <v>5209.8999999999996</v>
      </c>
      <c r="Z214" s="176">
        <f t="shared" si="176"/>
        <v>5209.8999999999996</v>
      </c>
      <c r="AA214" s="176">
        <f t="shared" si="176"/>
        <v>5209.8999999999996</v>
      </c>
      <c r="AB214" s="176">
        <f t="shared" si="176"/>
        <v>5209.8999999999996</v>
      </c>
      <c r="AC214" s="176">
        <f t="shared" si="176"/>
        <v>5209.8999999999996</v>
      </c>
      <c r="AD214" s="176">
        <f t="shared" si="176"/>
        <v>5209.8999999999996</v>
      </c>
      <c r="AE214" s="176">
        <f t="shared" si="176"/>
        <v>5209.8999999999996</v>
      </c>
      <c r="AF214" s="176">
        <f t="shared" si="176"/>
        <v>5209.8999999999996</v>
      </c>
      <c r="AG214" s="175"/>
      <c r="AH214" s="257"/>
      <c r="AI214" s="154"/>
    </row>
    <row r="215" spans="1:35" s="162" customFormat="1" outlineLevel="2">
      <c r="A215" s="154"/>
      <c r="B215" s="608" t="s">
        <v>873</v>
      </c>
      <c r="C215" s="174">
        <f>C216*C217</f>
        <v>100899.39</v>
      </c>
      <c r="D215" s="174">
        <f t="shared" ref="D215:AF215" si="177">D216*D217</f>
        <v>0</v>
      </c>
      <c r="E215" s="174">
        <f t="shared" si="177"/>
        <v>0</v>
      </c>
      <c r="F215" s="174">
        <f t="shared" si="177"/>
        <v>0</v>
      </c>
      <c r="G215" s="174">
        <f t="shared" si="177"/>
        <v>0</v>
      </c>
      <c r="H215" s="174">
        <f t="shared" si="177"/>
        <v>0</v>
      </c>
      <c r="I215" s="174">
        <f t="shared" si="177"/>
        <v>0</v>
      </c>
      <c r="J215" s="174">
        <f t="shared" si="177"/>
        <v>0</v>
      </c>
      <c r="K215" s="174">
        <f t="shared" si="177"/>
        <v>0</v>
      </c>
      <c r="L215" s="174">
        <f t="shared" si="177"/>
        <v>0</v>
      </c>
      <c r="M215" s="174">
        <f t="shared" si="177"/>
        <v>100899.39</v>
      </c>
      <c r="N215" s="174">
        <f t="shared" si="177"/>
        <v>0</v>
      </c>
      <c r="O215" s="174">
        <f t="shared" si="177"/>
        <v>0</v>
      </c>
      <c r="P215" s="174">
        <f t="shared" si="177"/>
        <v>0</v>
      </c>
      <c r="Q215" s="174">
        <f t="shared" si="177"/>
        <v>0</v>
      </c>
      <c r="R215" s="174">
        <f t="shared" si="177"/>
        <v>0</v>
      </c>
      <c r="S215" s="174">
        <f t="shared" si="177"/>
        <v>0</v>
      </c>
      <c r="T215" s="174">
        <f t="shared" si="177"/>
        <v>0</v>
      </c>
      <c r="U215" s="174">
        <f t="shared" si="177"/>
        <v>0</v>
      </c>
      <c r="V215" s="174">
        <f t="shared" si="177"/>
        <v>0</v>
      </c>
      <c r="W215" s="174">
        <f t="shared" si="177"/>
        <v>100899.39</v>
      </c>
      <c r="X215" s="174">
        <f t="shared" si="177"/>
        <v>0</v>
      </c>
      <c r="Y215" s="174">
        <f t="shared" si="177"/>
        <v>0</v>
      </c>
      <c r="Z215" s="174">
        <f t="shared" si="177"/>
        <v>0</v>
      </c>
      <c r="AA215" s="174">
        <f t="shared" si="177"/>
        <v>0</v>
      </c>
      <c r="AB215" s="174">
        <f t="shared" si="177"/>
        <v>0</v>
      </c>
      <c r="AC215" s="174">
        <f t="shared" si="177"/>
        <v>0</v>
      </c>
      <c r="AD215" s="174">
        <f t="shared" si="177"/>
        <v>0</v>
      </c>
      <c r="AE215" s="174">
        <f t="shared" si="177"/>
        <v>0</v>
      </c>
      <c r="AF215" s="174">
        <f t="shared" si="177"/>
        <v>0</v>
      </c>
      <c r="AG215" s="174"/>
      <c r="AH215" s="161"/>
      <c r="AI215" s="154"/>
    </row>
    <row r="216" spans="1:35" s="162" customFormat="1" outlineLevel="2">
      <c r="A216" s="154"/>
      <c r="B216" s="585" t="s">
        <v>805</v>
      </c>
      <c r="C216" s="172">
        <v>1</v>
      </c>
      <c r="D216" s="172">
        <v>0</v>
      </c>
      <c r="E216" s="172">
        <v>0</v>
      </c>
      <c r="F216" s="172">
        <v>0</v>
      </c>
      <c r="G216" s="172">
        <v>0</v>
      </c>
      <c r="H216" s="172">
        <v>0</v>
      </c>
      <c r="I216" s="172">
        <v>0</v>
      </c>
      <c r="J216" s="172">
        <v>0</v>
      </c>
      <c r="K216" s="172">
        <v>0</v>
      </c>
      <c r="L216" s="172">
        <v>0</v>
      </c>
      <c r="M216" s="172">
        <v>1</v>
      </c>
      <c r="N216" s="172">
        <v>0</v>
      </c>
      <c r="O216" s="172">
        <v>0</v>
      </c>
      <c r="P216" s="172">
        <v>0</v>
      </c>
      <c r="Q216" s="172">
        <v>0</v>
      </c>
      <c r="R216" s="172">
        <v>0</v>
      </c>
      <c r="S216" s="172">
        <v>0</v>
      </c>
      <c r="T216" s="172">
        <v>0</v>
      </c>
      <c r="U216" s="172">
        <v>0</v>
      </c>
      <c r="V216" s="172">
        <v>0</v>
      </c>
      <c r="W216" s="172">
        <v>1</v>
      </c>
      <c r="X216" s="172">
        <v>0</v>
      </c>
      <c r="Y216" s="172">
        <v>0</v>
      </c>
      <c r="Z216" s="172">
        <v>0</v>
      </c>
      <c r="AA216" s="172">
        <v>0</v>
      </c>
      <c r="AB216" s="172">
        <v>0</v>
      </c>
      <c r="AC216" s="172">
        <v>0</v>
      </c>
      <c r="AD216" s="172">
        <v>0</v>
      </c>
      <c r="AE216" s="172">
        <v>0</v>
      </c>
      <c r="AF216" s="172">
        <v>0</v>
      </c>
      <c r="AG216" s="175"/>
      <c r="AH216" s="161"/>
      <c r="AI216" s="154"/>
    </row>
    <row r="217" spans="1:35" s="162" customFormat="1" outlineLevel="2">
      <c r="A217" s="154"/>
      <c r="B217" s="585" t="s">
        <v>807</v>
      </c>
      <c r="C217" s="176">
        <f>Insumos!$E$135</f>
        <v>100899.39</v>
      </c>
      <c r="D217" s="176">
        <f>C217</f>
        <v>100899.39</v>
      </c>
      <c r="E217" s="176">
        <f t="shared" ref="E217:AF217" si="178">D217</f>
        <v>100899.39</v>
      </c>
      <c r="F217" s="176">
        <f t="shared" si="178"/>
        <v>100899.39</v>
      </c>
      <c r="G217" s="176">
        <f t="shared" si="178"/>
        <v>100899.39</v>
      </c>
      <c r="H217" s="176">
        <f t="shared" si="178"/>
        <v>100899.39</v>
      </c>
      <c r="I217" s="176">
        <f t="shared" si="178"/>
        <v>100899.39</v>
      </c>
      <c r="J217" s="176">
        <f t="shared" si="178"/>
        <v>100899.39</v>
      </c>
      <c r="K217" s="176">
        <f t="shared" si="178"/>
        <v>100899.39</v>
      </c>
      <c r="L217" s="176">
        <f t="shared" si="178"/>
        <v>100899.39</v>
      </c>
      <c r="M217" s="176">
        <f t="shared" si="178"/>
        <v>100899.39</v>
      </c>
      <c r="N217" s="176">
        <f t="shared" si="178"/>
        <v>100899.39</v>
      </c>
      <c r="O217" s="176">
        <f t="shared" si="178"/>
        <v>100899.39</v>
      </c>
      <c r="P217" s="176">
        <f t="shared" si="178"/>
        <v>100899.39</v>
      </c>
      <c r="Q217" s="176">
        <f t="shared" si="178"/>
        <v>100899.39</v>
      </c>
      <c r="R217" s="176">
        <f t="shared" si="178"/>
        <v>100899.39</v>
      </c>
      <c r="S217" s="176">
        <f t="shared" si="178"/>
        <v>100899.39</v>
      </c>
      <c r="T217" s="176">
        <f t="shared" si="178"/>
        <v>100899.39</v>
      </c>
      <c r="U217" s="176">
        <f t="shared" si="178"/>
        <v>100899.39</v>
      </c>
      <c r="V217" s="176">
        <f t="shared" si="178"/>
        <v>100899.39</v>
      </c>
      <c r="W217" s="176">
        <f t="shared" si="178"/>
        <v>100899.39</v>
      </c>
      <c r="X217" s="176">
        <f t="shared" si="178"/>
        <v>100899.39</v>
      </c>
      <c r="Y217" s="176">
        <f t="shared" si="178"/>
        <v>100899.39</v>
      </c>
      <c r="Z217" s="176">
        <f t="shared" si="178"/>
        <v>100899.39</v>
      </c>
      <c r="AA217" s="176">
        <f t="shared" si="178"/>
        <v>100899.39</v>
      </c>
      <c r="AB217" s="176">
        <f t="shared" si="178"/>
        <v>100899.39</v>
      </c>
      <c r="AC217" s="176">
        <f t="shared" si="178"/>
        <v>100899.39</v>
      </c>
      <c r="AD217" s="176">
        <f t="shared" si="178"/>
        <v>100899.39</v>
      </c>
      <c r="AE217" s="176">
        <f t="shared" si="178"/>
        <v>100899.39</v>
      </c>
      <c r="AF217" s="176">
        <f t="shared" si="178"/>
        <v>100899.39</v>
      </c>
      <c r="AG217" s="175"/>
      <c r="AH217" s="257"/>
      <c r="AI217" s="154"/>
    </row>
    <row r="218" spans="1:35">
      <c r="A218" s="154"/>
      <c r="B218" s="223"/>
      <c r="C218" s="249"/>
      <c r="D218" s="249"/>
      <c r="E218" s="249"/>
      <c r="F218" s="249"/>
      <c r="G218" s="249"/>
      <c r="H218" s="249"/>
      <c r="I218" s="249"/>
      <c r="J218" s="249"/>
      <c r="K218" s="249"/>
      <c r="L218" s="249"/>
      <c r="M218" s="249"/>
      <c r="N218" s="249"/>
      <c r="O218" s="249"/>
      <c r="P218" s="249"/>
      <c r="Q218" s="249"/>
      <c r="R218" s="249"/>
      <c r="S218" s="249"/>
      <c r="T218" s="249"/>
      <c r="U218" s="249"/>
      <c r="V218" s="249"/>
      <c r="W218" s="249"/>
      <c r="X218" s="249"/>
      <c r="Y218" s="249"/>
      <c r="Z218" s="249"/>
      <c r="AA218" s="249"/>
      <c r="AB218" s="249"/>
      <c r="AC218" s="249"/>
      <c r="AD218" s="249"/>
      <c r="AE218" s="249"/>
      <c r="AF218" s="249"/>
      <c r="AG218" s="249"/>
      <c r="AH218" s="154"/>
      <c r="AI218" s="152"/>
    </row>
    <row r="219" spans="1:35">
      <c r="A219" s="154"/>
      <c r="B219" s="453" t="s">
        <v>874</v>
      </c>
      <c r="C219" s="454">
        <f>SUM(C220)</f>
        <v>1000</v>
      </c>
      <c r="D219" s="454">
        <f t="shared" ref="D219:AF219" si="179">SUM(D220)</f>
        <v>0</v>
      </c>
      <c r="E219" s="454">
        <f t="shared" si="179"/>
        <v>0</v>
      </c>
      <c r="F219" s="454">
        <f t="shared" si="179"/>
        <v>0</v>
      </c>
      <c r="G219" s="454">
        <f t="shared" si="179"/>
        <v>0</v>
      </c>
      <c r="H219" s="454">
        <f t="shared" si="179"/>
        <v>0</v>
      </c>
      <c r="I219" s="454">
        <f t="shared" si="179"/>
        <v>0</v>
      </c>
      <c r="J219" s="454">
        <f t="shared" si="179"/>
        <v>0</v>
      </c>
      <c r="K219" s="454">
        <f t="shared" si="179"/>
        <v>0</v>
      </c>
      <c r="L219" s="454">
        <f t="shared" si="179"/>
        <v>0</v>
      </c>
      <c r="M219" s="454">
        <f t="shared" si="179"/>
        <v>0</v>
      </c>
      <c r="N219" s="454">
        <f t="shared" si="179"/>
        <v>0</v>
      </c>
      <c r="O219" s="454">
        <f t="shared" si="179"/>
        <v>0</v>
      </c>
      <c r="P219" s="454">
        <f t="shared" si="179"/>
        <v>0</v>
      </c>
      <c r="Q219" s="454">
        <f t="shared" si="179"/>
        <v>0</v>
      </c>
      <c r="R219" s="454">
        <f t="shared" si="179"/>
        <v>0</v>
      </c>
      <c r="S219" s="454">
        <f t="shared" si="179"/>
        <v>0</v>
      </c>
      <c r="T219" s="454">
        <f t="shared" si="179"/>
        <v>0</v>
      </c>
      <c r="U219" s="454">
        <f t="shared" si="179"/>
        <v>0</v>
      </c>
      <c r="V219" s="454">
        <f t="shared" si="179"/>
        <v>0</v>
      </c>
      <c r="W219" s="454">
        <f t="shared" si="179"/>
        <v>0</v>
      </c>
      <c r="X219" s="454">
        <f t="shared" si="179"/>
        <v>0</v>
      </c>
      <c r="Y219" s="454">
        <f t="shared" si="179"/>
        <v>0</v>
      </c>
      <c r="Z219" s="454">
        <f t="shared" si="179"/>
        <v>0</v>
      </c>
      <c r="AA219" s="454">
        <f t="shared" si="179"/>
        <v>0</v>
      </c>
      <c r="AB219" s="454">
        <f t="shared" si="179"/>
        <v>0</v>
      </c>
      <c r="AC219" s="454">
        <f t="shared" si="179"/>
        <v>0</v>
      </c>
      <c r="AD219" s="454">
        <f t="shared" si="179"/>
        <v>0</v>
      </c>
      <c r="AE219" s="454">
        <f t="shared" si="179"/>
        <v>0</v>
      </c>
      <c r="AF219" s="454">
        <f t="shared" si="179"/>
        <v>0</v>
      </c>
      <c r="AG219" s="169"/>
      <c r="AH219" s="455">
        <f>SUM(C219:AF219)</f>
        <v>1000</v>
      </c>
      <c r="AI219" s="152" t="s">
        <v>803</v>
      </c>
    </row>
    <row r="220" spans="1:35" outlineLevel="1">
      <c r="A220" s="154"/>
      <c r="B220" s="225" t="s">
        <v>875</v>
      </c>
      <c r="C220" s="226">
        <f>(C221)/10^3</f>
        <v>1000</v>
      </c>
      <c r="D220" s="226">
        <f t="shared" ref="D220:AF220" si="180">(D221)/10^3</f>
        <v>0</v>
      </c>
      <c r="E220" s="226">
        <f t="shared" si="180"/>
        <v>0</v>
      </c>
      <c r="F220" s="226">
        <f t="shared" si="180"/>
        <v>0</v>
      </c>
      <c r="G220" s="226">
        <f t="shared" si="180"/>
        <v>0</v>
      </c>
      <c r="H220" s="226">
        <f t="shared" si="180"/>
        <v>0</v>
      </c>
      <c r="I220" s="226">
        <f t="shared" si="180"/>
        <v>0</v>
      </c>
      <c r="J220" s="226">
        <f t="shared" si="180"/>
        <v>0</v>
      </c>
      <c r="K220" s="226">
        <f t="shared" si="180"/>
        <v>0</v>
      </c>
      <c r="L220" s="226">
        <f t="shared" si="180"/>
        <v>0</v>
      </c>
      <c r="M220" s="226">
        <f t="shared" si="180"/>
        <v>0</v>
      </c>
      <c r="N220" s="226">
        <f t="shared" si="180"/>
        <v>0</v>
      </c>
      <c r="O220" s="226">
        <f t="shared" si="180"/>
        <v>0</v>
      </c>
      <c r="P220" s="226">
        <f t="shared" si="180"/>
        <v>0</v>
      </c>
      <c r="Q220" s="226">
        <f t="shared" si="180"/>
        <v>0</v>
      </c>
      <c r="R220" s="226">
        <f t="shared" si="180"/>
        <v>0</v>
      </c>
      <c r="S220" s="226">
        <f t="shared" si="180"/>
        <v>0</v>
      </c>
      <c r="T220" s="226">
        <f t="shared" si="180"/>
        <v>0</v>
      </c>
      <c r="U220" s="226">
        <f t="shared" si="180"/>
        <v>0</v>
      </c>
      <c r="V220" s="226">
        <f t="shared" si="180"/>
        <v>0</v>
      </c>
      <c r="W220" s="226">
        <f t="shared" si="180"/>
        <v>0</v>
      </c>
      <c r="X220" s="226">
        <f t="shared" si="180"/>
        <v>0</v>
      </c>
      <c r="Y220" s="226">
        <f t="shared" si="180"/>
        <v>0</v>
      </c>
      <c r="Z220" s="226">
        <f t="shared" si="180"/>
        <v>0</v>
      </c>
      <c r="AA220" s="226">
        <f t="shared" si="180"/>
        <v>0</v>
      </c>
      <c r="AB220" s="226">
        <f t="shared" si="180"/>
        <v>0</v>
      </c>
      <c r="AC220" s="226">
        <f t="shared" si="180"/>
        <v>0</v>
      </c>
      <c r="AD220" s="226">
        <f t="shared" si="180"/>
        <v>0</v>
      </c>
      <c r="AE220" s="226">
        <f t="shared" si="180"/>
        <v>0</v>
      </c>
      <c r="AF220" s="226">
        <f t="shared" si="180"/>
        <v>0</v>
      </c>
      <c r="AG220" s="227"/>
      <c r="AH220" s="250">
        <f>SUM(C220:AF220)</f>
        <v>1000</v>
      </c>
      <c r="AI220" s="152"/>
    </row>
    <row r="221" spans="1:35" outlineLevel="2">
      <c r="A221" s="154"/>
      <c r="B221" s="150" t="s">
        <v>876</v>
      </c>
      <c r="C221" s="227">
        <f>C222</f>
        <v>1000000</v>
      </c>
      <c r="D221" s="227">
        <f t="shared" ref="D221:AF221" si="181">$C$12*D222</f>
        <v>0</v>
      </c>
      <c r="E221" s="227">
        <f t="shared" si="181"/>
        <v>0</v>
      </c>
      <c r="F221" s="227">
        <f t="shared" si="181"/>
        <v>0</v>
      </c>
      <c r="G221" s="227">
        <f t="shared" si="181"/>
        <v>0</v>
      </c>
      <c r="H221" s="227">
        <f t="shared" si="181"/>
        <v>0</v>
      </c>
      <c r="I221" s="227">
        <f t="shared" si="181"/>
        <v>0</v>
      </c>
      <c r="J221" s="227">
        <f t="shared" si="181"/>
        <v>0</v>
      </c>
      <c r="K221" s="227">
        <f t="shared" si="181"/>
        <v>0</v>
      </c>
      <c r="L221" s="227">
        <f t="shared" si="181"/>
        <v>0</v>
      </c>
      <c r="M221" s="227">
        <f t="shared" si="181"/>
        <v>0</v>
      </c>
      <c r="N221" s="227">
        <f t="shared" si="181"/>
        <v>0</v>
      </c>
      <c r="O221" s="227">
        <f t="shared" si="181"/>
        <v>0</v>
      </c>
      <c r="P221" s="227">
        <f t="shared" si="181"/>
        <v>0</v>
      </c>
      <c r="Q221" s="227">
        <f t="shared" si="181"/>
        <v>0</v>
      </c>
      <c r="R221" s="227">
        <f t="shared" si="181"/>
        <v>0</v>
      </c>
      <c r="S221" s="227">
        <f t="shared" si="181"/>
        <v>0</v>
      </c>
      <c r="T221" s="227">
        <f t="shared" si="181"/>
        <v>0</v>
      </c>
      <c r="U221" s="227">
        <f t="shared" si="181"/>
        <v>0</v>
      </c>
      <c r="V221" s="227">
        <f t="shared" si="181"/>
        <v>0</v>
      </c>
      <c r="W221" s="227">
        <f t="shared" si="181"/>
        <v>0</v>
      </c>
      <c r="X221" s="227">
        <f t="shared" si="181"/>
        <v>0</v>
      </c>
      <c r="Y221" s="227">
        <f t="shared" si="181"/>
        <v>0</v>
      </c>
      <c r="Z221" s="227">
        <f t="shared" si="181"/>
        <v>0</v>
      </c>
      <c r="AA221" s="227">
        <f t="shared" si="181"/>
        <v>0</v>
      </c>
      <c r="AB221" s="227">
        <f t="shared" si="181"/>
        <v>0</v>
      </c>
      <c r="AC221" s="227">
        <f t="shared" si="181"/>
        <v>0</v>
      </c>
      <c r="AD221" s="227">
        <f t="shared" si="181"/>
        <v>0</v>
      </c>
      <c r="AE221" s="227">
        <f t="shared" si="181"/>
        <v>0</v>
      </c>
      <c r="AF221" s="227">
        <f t="shared" si="181"/>
        <v>0</v>
      </c>
      <c r="AG221" s="227"/>
      <c r="AH221" s="253"/>
      <c r="AI221" s="152"/>
    </row>
    <row r="222" spans="1:35" outlineLevel="2">
      <c r="A222" s="154"/>
      <c r="B222" s="149" t="s">
        <v>272</v>
      </c>
      <c r="C222" s="263">
        <v>1000000</v>
      </c>
      <c r="D222" s="263"/>
      <c r="E222" s="263"/>
      <c r="F222" s="263"/>
      <c r="G222" s="263"/>
      <c r="H222" s="263"/>
      <c r="I222" s="263"/>
      <c r="J222" s="263"/>
      <c r="K222" s="263"/>
      <c r="L222" s="263"/>
      <c r="M222" s="263"/>
      <c r="N222" s="263"/>
      <c r="O222" s="263"/>
      <c r="P222" s="263"/>
      <c r="Q222" s="263"/>
      <c r="R222" s="263"/>
      <c r="S222" s="263"/>
      <c r="T222" s="263"/>
      <c r="U222" s="263"/>
      <c r="V222" s="263"/>
      <c r="W222" s="263"/>
      <c r="X222" s="263"/>
      <c r="Y222" s="263"/>
      <c r="Z222" s="263"/>
      <c r="AA222" s="263"/>
      <c r="AB222" s="263"/>
      <c r="AC222" s="263"/>
      <c r="AD222" s="263"/>
      <c r="AE222" s="263"/>
      <c r="AF222" s="263"/>
      <c r="AG222" s="259"/>
      <c r="AH222" s="161"/>
      <c r="AI222" s="152"/>
    </row>
    <row r="223" spans="1:35">
      <c r="A223" s="171"/>
      <c r="B223" s="171"/>
      <c r="C223" s="171"/>
      <c r="D223" s="171"/>
      <c r="E223" s="171"/>
      <c r="F223" s="171"/>
      <c r="G223" s="171"/>
      <c r="H223" s="171"/>
      <c r="I223" s="171"/>
      <c r="J223" s="171"/>
      <c r="K223" s="171"/>
      <c r="L223" s="171"/>
      <c r="M223" s="171"/>
      <c r="N223" s="171"/>
      <c r="O223" s="171"/>
      <c r="P223" s="171"/>
      <c r="Q223" s="171"/>
      <c r="R223" s="171"/>
      <c r="S223" s="171"/>
      <c r="T223" s="171"/>
      <c r="U223" s="171"/>
      <c r="V223" s="171"/>
      <c r="W223" s="171"/>
      <c r="X223" s="171"/>
      <c r="Y223" s="171"/>
      <c r="Z223" s="171"/>
      <c r="AA223" s="171"/>
      <c r="AB223" s="171"/>
      <c r="AC223" s="171"/>
      <c r="AD223" s="171"/>
      <c r="AE223" s="171"/>
      <c r="AF223" s="171"/>
      <c r="AG223" s="249"/>
      <c r="AH223" s="161"/>
      <c r="AI223" s="152"/>
    </row>
    <row r="224" spans="1:35">
      <c r="A224" s="154"/>
      <c r="B224" s="229"/>
      <c r="C224" s="154"/>
      <c r="D224" s="154"/>
      <c r="E224" s="152"/>
      <c r="F224" s="152"/>
      <c r="G224" s="152"/>
      <c r="H224" s="152"/>
      <c r="I224" s="152"/>
      <c r="J224" s="152"/>
      <c r="K224" s="152"/>
      <c r="L224" s="152"/>
      <c r="M224" s="152"/>
      <c r="N224" s="152"/>
      <c r="O224" s="152"/>
      <c r="P224" s="152"/>
      <c r="Q224" s="152"/>
      <c r="R224" s="152"/>
      <c r="S224" s="152"/>
      <c r="T224" s="152"/>
      <c r="U224" s="152"/>
      <c r="V224" s="152"/>
      <c r="W224" s="152"/>
      <c r="X224" s="152"/>
      <c r="Y224" s="152"/>
      <c r="Z224" s="152"/>
      <c r="AA224" s="152"/>
      <c r="AB224" s="152"/>
      <c r="AC224" s="152"/>
      <c r="AD224" s="152"/>
      <c r="AE224" s="152"/>
      <c r="AF224" s="152"/>
      <c r="AG224" s="154"/>
      <c r="AH224" s="152"/>
      <c r="AI224" s="152"/>
    </row>
    <row r="225" spans="1:35">
      <c r="A225" s="154"/>
      <c r="B225" s="229"/>
      <c r="C225" s="154"/>
      <c r="D225" s="154"/>
      <c r="E225" s="152"/>
      <c r="F225" s="152"/>
      <c r="G225" s="152"/>
      <c r="H225" s="152"/>
      <c r="I225" s="152"/>
      <c r="J225" s="152"/>
      <c r="K225" s="152"/>
      <c r="L225" s="152"/>
      <c r="M225" s="152"/>
      <c r="N225" s="152"/>
      <c r="O225" s="152"/>
      <c r="P225" s="152"/>
      <c r="Q225" s="152"/>
      <c r="R225" s="152"/>
      <c r="S225" s="152"/>
      <c r="T225" s="152"/>
      <c r="U225" s="152"/>
      <c r="V225" s="152"/>
      <c r="W225" s="152"/>
      <c r="X225" s="152"/>
      <c r="Y225" s="152"/>
      <c r="Z225" s="152"/>
      <c r="AA225" s="152"/>
      <c r="AB225" s="152"/>
      <c r="AC225" s="152"/>
      <c r="AD225" s="152"/>
      <c r="AE225" s="152"/>
      <c r="AF225" s="152"/>
      <c r="AG225" s="154"/>
      <c r="AH225" s="152"/>
      <c r="AI225" s="152"/>
    </row>
    <row r="226" spans="1:35">
      <c r="A226" s="154"/>
      <c r="B226" s="229"/>
      <c r="C226" s="374">
        <f>SUM(C$7/SUM($C$7:$Q$7))</f>
        <v>0.22222567603500051</v>
      </c>
      <c r="D226" s="374">
        <f t="shared" ref="D226:Q226" si="182">SUM(D$7/SUM($C$7:$Q$7))</f>
        <v>3.0367712118328602E-2</v>
      </c>
      <c r="E226" s="374">
        <f t="shared" si="182"/>
        <v>3.5957736686532939E-2</v>
      </c>
      <c r="F226" s="374">
        <f t="shared" si="182"/>
        <v>8.1932305976708687E-3</v>
      </c>
      <c r="G226" s="374">
        <f t="shared" si="182"/>
        <v>1.5739349285929263E-2</v>
      </c>
      <c r="H226" s="374">
        <f t="shared" si="182"/>
        <v>0.25379054077325341</v>
      </c>
      <c r="I226" s="374">
        <f t="shared" si="182"/>
        <v>4.982686054426368E-3</v>
      </c>
      <c r="J226" s="374">
        <f t="shared" si="182"/>
        <v>0.16889479219453438</v>
      </c>
      <c r="K226" s="374">
        <f t="shared" si="182"/>
        <v>8.9518104479835306E-4</v>
      </c>
      <c r="L226" s="374">
        <f t="shared" si="182"/>
        <v>1.7443459531897361E-2</v>
      </c>
      <c r="M226" s="374">
        <f t="shared" si="182"/>
        <v>2.9966007529082961E-2</v>
      </c>
      <c r="N226" s="374">
        <f t="shared" si="182"/>
        <v>2.2682495488048612E-2</v>
      </c>
      <c r="O226" s="374">
        <f t="shared" si="182"/>
        <v>1.6456695376311198E-2</v>
      </c>
      <c r="P226" s="374">
        <f t="shared" si="182"/>
        <v>3.6877914016093969E-3</v>
      </c>
      <c r="Q226" s="374">
        <f t="shared" si="182"/>
        <v>0.16871664588257565</v>
      </c>
      <c r="R226" s="374"/>
      <c r="S226" s="374"/>
      <c r="T226" s="374"/>
      <c r="U226" s="374"/>
      <c r="V226" s="374"/>
      <c r="W226" s="374"/>
      <c r="X226" s="374"/>
      <c r="Y226" s="374"/>
      <c r="Z226" s="374"/>
      <c r="AA226" s="374"/>
      <c r="AB226" s="374"/>
      <c r="AC226" s="374"/>
      <c r="AD226" s="374"/>
      <c r="AE226" s="374"/>
      <c r="AF226" s="374"/>
      <c r="AG226" s="374">
        <f>AG7/SUM($C$7:$AF$7)*2</f>
        <v>0</v>
      </c>
      <c r="AH226" s="152"/>
      <c r="AI226" s="152"/>
    </row>
    <row r="227" spans="1:35">
      <c r="C227" s="374">
        <f>C226</f>
        <v>0.22222567603500051</v>
      </c>
      <c r="D227" s="374">
        <f>(1-$C$227)*D226/SUM($D$226:$Q$226)</f>
        <v>3.0367712118328605E-2</v>
      </c>
      <c r="E227" s="374">
        <f t="shared" ref="E227:Q227" si="183">(1-$C$227)*E226/SUM($D$226:$Q$226)</f>
        <v>3.5957736686532946E-2</v>
      </c>
      <c r="F227" s="374">
        <f t="shared" si="183"/>
        <v>8.1932305976708704E-3</v>
      </c>
      <c r="G227" s="374">
        <f t="shared" si="183"/>
        <v>1.5739349285929263E-2</v>
      </c>
      <c r="H227" s="374">
        <f t="shared" si="183"/>
        <v>0.25379054077325347</v>
      </c>
      <c r="I227" s="374">
        <f t="shared" si="183"/>
        <v>4.9826860544263689E-3</v>
      </c>
      <c r="J227" s="374">
        <f t="shared" si="183"/>
        <v>0.16889479219453438</v>
      </c>
      <c r="K227" s="374">
        <f t="shared" si="183"/>
        <v>8.9518104479835317E-4</v>
      </c>
      <c r="L227" s="374">
        <f t="shared" si="183"/>
        <v>1.7443459531897364E-2</v>
      </c>
      <c r="M227" s="374">
        <f t="shared" si="183"/>
        <v>2.9966007529082968E-2</v>
      </c>
      <c r="N227" s="374">
        <f t="shared" si="183"/>
        <v>2.2682495488048616E-2</v>
      </c>
      <c r="O227" s="374">
        <f t="shared" si="183"/>
        <v>1.6456695376311201E-2</v>
      </c>
      <c r="P227" s="374">
        <f t="shared" si="183"/>
        <v>3.6877914016093974E-3</v>
      </c>
      <c r="Q227" s="374">
        <f t="shared" si="183"/>
        <v>0.16871664588257568</v>
      </c>
    </row>
    <row r="228" spans="1:35">
      <c r="R228" s="374">
        <f t="shared" ref="R228:AG228" si="184">R7/SUM($R$7:$AF$7)</f>
        <v>9.3604450790366125E-2</v>
      </c>
      <c r="S228" s="374">
        <f t="shared" si="184"/>
        <v>2.7696759803019031E-2</v>
      </c>
      <c r="T228" s="374">
        <f t="shared" si="184"/>
        <v>1.243035616166535E-2</v>
      </c>
      <c r="U228" s="374">
        <f t="shared" si="184"/>
        <v>2.9197968382891435E-2</v>
      </c>
      <c r="V228" s="374">
        <f t="shared" si="184"/>
        <v>1.7436457904779238E-3</v>
      </c>
      <c r="W228" s="374">
        <f t="shared" si="184"/>
        <v>4.4927761191908978E-2</v>
      </c>
      <c r="X228" s="374">
        <f t="shared" si="184"/>
        <v>0.30441887626926833</v>
      </c>
      <c r="Y228" s="374">
        <f t="shared" si="184"/>
        <v>2.5992128707427828E-2</v>
      </c>
      <c r="Z228" s="374">
        <f t="shared" si="184"/>
        <v>2.6767064432658579E-2</v>
      </c>
      <c r="AA228" s="374">
        <f t="shared" si="184"/>
        <v>1.4066075304486976E-2</v>
      </c>
      <c r="AB228" s="374">
        <f t="shared" si="184"/>
        <v>0.11733919019837531</v>
      </c>
      <c r="AC228" s="374">
        <f t="shared" si="184"/>
        <v>2.2546360512835533E-3</v>
      </c>
      <c r="AD228" s="374">
        <f t="shared" si="184"/>
        <v>7.0605367848792233E-2</v>
      </c>
      <c r="AE228" s="374">
        <f t="shared" si="184"/>
        <v>0.22671445224019643</v>
      </c>
      <c r="AF228" s="374">
        <f t="shared" si="184"/>
        <v>2.2412668271818456E-3</v>
      </c>
      <c r="AG228" s="374">
        <f t="shared" si="184"/>
        <v>0</v>
      </c>
    </row>
    <row r="230" spans="1:35">
      <c r="C230" s="155"/>
      <c r="D230" s="155"/>
    </row>
    <row r="231" spans="1:35">
      <c r="E231" s="162"/>
      <c r="F231" s="162"/>
      <c r="G231" s="162"/>
      <c r="H231" s="162"/>
      <c r="I231" s="162"/>
      <c r="J231" s="162"/>
      <c r="K231" s="162"/>
      <c r="L231" s="162"/>
      <c r="M231" s="162"/>
      <c r="N231" s="162"/>
      <c r="O231" s="162"/>
      <c r="P231" s="162"/>
      <c r="Q231" s="162"/>
      <c r="R231" s="162"/>
      <c r="S231" s="162"/>
      <c r="T231" s="162"/>
      <c r="U231" s="162"/>
      <c r="V231" s="162"/>
      <c r="W231" s="162"/>
      <c r="X231" s="162"/>
      <c r="Y231" s="162"/>
      <c r="Z231" s="162"/>
      <c r="AA231" s="162"/>
      <c r="AB231" s="162"/>
      <c r="AC231" s="162"/>
      <c r="AD231" s="162"/>
      <c r="AE231" s="162"/>
      <c r="AF231" s="162"/>
    </row>
  </sheetData>
  <dataConsolidate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65E42-9954-45DA-8F66-89DA3EDC916B}">
  <sheetPr>
    <tabColor theme="1"/>
    <outlinePr summaryBelow="0"/>
  </sheetPr>
  <dimension ref="A1:AQ1761"/>
  <sheetViews>
    <sheetView showGridLines="0" zoomScale="85" zoomScaleNormal="85" workbookViewId="0">
      <pane xSplit="2" ySplit="8" topLeftCell="Q9" activePane="bottomRight" state="frozen"/>
      <selection pane="topRight" activeCell="C1" sqref="C1"/>
      <selection pane="bottomLeft" activeCell="A9" sqref="A9"/>
      <selection pane="bottomRight" activeCell="AH7" sqref="AH7"/>
    </sheetView>
  </sheetViews>
  <sheetFormatPr defaultColWidth="13.6640625" defaultRowHeight="16.5" customHeight="1" outlineLevelRow="3"/>
  <cols>
    <col min="1" max="1" width="3.6640625" style="513" customWidth="1"/>
    <col min="2" max="2" width="77.44140625" style="698" customWidth="1"/>
    <col min="3" max="3" width="15.5546875" style="514" customWidth="1"/>
    <col min="4" max="4" width="13.109375" style="513" customWidth="1"/>
    <col min="5" max="5" width="12.6640625" style="514" customWidth="1"/>
    <col min="6" max="6" width="14" style="514" customWidth="1"/>
    <col min="7" max="7" width="12.33203125" style="514" customWidth="1"/>
    <col min="8" max="25" width="11.33203125" style="514" bestFit="1" customWidth="1"/>
    <col min="26" max="26" width="11.6640625" style="514" bestFit="1" customWidth="1"/>
    <col min="27" max="28" width="11.33203125" style="514" bestFit="1" customWidth="1"/>
    <col min="29" max="29" width="11.6640625" style="514" bestFit="1" customWidth="1"/>
    <col min="30" max="30" width="11.33203125" style="514" bestFit="1" customWidth="1"/>
    <col min="31" max="32" width="11.6640625" style="514" bestFit="1" customWidth="1"/>
    <col min="33" max="33" width="3.6640625" style="513" customWidth="1"/>
    <col min="34" max="34" width="13.6640625" style="514" bestFit="1" customWidth="1"/>
    <col min="35" max="35" width="13.6640625" style="514" customWidth="1"/>
    <col min="36" max="36" width="17.6640625" style="514" customWidth="1"/>
    <col min="37" max="37" width="13.6640625" style="515"/>
    <col min="38" max="38" width="13.6640625" style="514"/>
    <col min="39" max="39" width="14.5546875" style="516" customWidth="1"/>
    <col min="40" max="41" width="13.6640625" style="514"/>
    <col min="42" max="43" width="13.6640625" style="514" customWidth="1"/>
    <col min="44" max="16384" width="13.6640625" style="514"/>
  </cols>
  <sheetData>
    <row r="1" spans="1:43" ht="16.5" customHeight="1">
      <c r="A1" s="510"/>
      <c r="B1" s="511"/>
      <c r="C1" s="860"/>
      <c r="D1" s="510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</row>
    <row r="2" spans="1:43" ht="16.5" customHeight="1">
      <c r="A2" s="510"/>
      <c r="B2" s="517" t="s">
        <v>877</v>
      </c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</row>
    <row r="3" spans="1:43" ht="16.5" customHeight="1">
      <c r="A3" s="510"/>
      <c r="B3" s="518" t="s">
        <v>798</v>
      </c>
      <c r="C3" s="519">
        <v>1</v>
      </c>
      <c r="D3" s="519">
        <v>1</v>
      </c>
      <c r="E3" s="519">
        <v>1</v>
      </c>
      <c r="F3" s="519">
        <v>1</v>
      </c>
      <c r="G3" s="519">
        <v>1</v>
      </c>
      <c r="H3" s="519">
        <v>1</v>
      </c>
      <c r="I3" s="519">
        <v>1</v>
      </c>
      <c r="J3" s="519">
        <v>1</v>
      </c>
      <c r="K3" s="519">
        <v>1</v>
      </c>
      <c r="L3" s="519">
        <v>1</v>
      </c>
      <c r="M3" s="519">
        <v>1</v>
      </c>
      <c r="N3" s="519">
        <v>1</v>
      </c>
      <c r="O3" s="519">
        <v>1</v>
      </c>
      <c r="P3" s="519">
        <v>1</v>
      </c>
      <c r="Q3" s="519">
        <v>1</v>
      </c>
      <c r="R3" s="519">
        <v>1</v>
      </c>
      <c r="S3" s="519">
        <v>1</v>
      </c>
      <c r="T3" s="519">
        <v>1</v>
      </c>
      <c r="U3" s="519">
        <v>1</v>
      </c>
      <c r="V3" s="519">
        <v>1</v>
      </c>
      <c r="W3" s="519">
        <v>1</v>
      </c>
      <c r="X3" s="519">
        <v>1</v>
      </c>
      <c r="Y3" s="519">
        <v>1</v>
      </c>
      <c r="Z3" s="519">
        <v>1</v>
      </c>
      <c r="AA3" s="519">
        <v>1</v>
      </c>
      <c r="AB3" s="519">
        <v>1</v>
      </c>
      <c r="AC3" s="519">
        <v>1</v>
      </c>
      <c r="AD3" s="519">
        <v>1</v>
      </c>
      <c r="AE3" s="519">
        <v>1</v>
      </c>
      <c r="AF3" s="519">
        <v>1</v>
      </c>
    </row>
    <row r="4" spans="1:43" ht="3" customHeight="1">
      <c r="A4" s="510"/>
      <c r="B4" s="511"/>
      <c r="C4" s="512"/>
      <c r="D4" s="512"/>
      <c r="E4" s="512"/>
      <c r="F4" s="512"/>
      <c r="G4" s="512"/>
      <c r="H4" s="512"/>
      <c r="I4" s="512"/>
      <c r="J4" s="512"/>
      <c r="K4" s="512"/>
      <c r="L4" s="512"/>
      <c r="M4" s="512"/>
      <c r="N4" s="512"/>
      <c r="O4" s="512"/>
      <c r="P4" s="512"/>
      <c r="Q4" s="512"/>
      <c r="R4" s="512"/>
      <c r="S4" s="512"/>
      <c r="T4" s="512"/>
      <c r="U4" s="512"/>
      <c r="V4" s="512"/>
      <c r="W4" s="512"/>
      <c r="X4" s="512"/>
      <c r="Y4" s="512"/>
      <c r="Z4" s="512"/>
      <c r="AA4" s="512"/>
      <c r="AB4" s="512"/>
      <c r="AC4" s="512"/>
      <c r="AD4" s="512"/>
      <c r="AE4" s="512"/>
      <c r="AF4" s="512"/>
    </row>
    <row r="5" spans="1:43" ht="16.5" customHeight="1">
      <c r="A5" s="510"/>
      <c r="B5" s="748" t="s">
        <v>799</v>
      </c>
      <c r="C5" s="748">
        <v>1</v>
      </c>
      <c r="D5" s="748">
        <f t="shared" ref="D5:AF5" si="0">C5+1</f>
        <v>2</v>
      </c>
      <c r="E5" s="748">
        <f t="shared" si="0"/>
        <v>3</v>
      </c>
      <c r="F5" s="748">
        <f t="shared" si="0"/>
        <v>4</v>
      </c>
      <c r="G5" s="748">
        <f t="shared" si="0"/>
        <v>5</v>
      </c>
      <c r="H5" s="748">
        <f t="shared" si="0"/>
        <v>6</v>
      </c>
      <c r="I5" s="748">
        <f t="shared" si="0"/>
        <v>7</v>
      </c>
      <c r="J5" s="748">
        <f t="shared" si="0"/>
        <v>8</v>
      </c>
      <c r="K5" s="748">
        <f t="shared" si="0"/>
        <v>9</v>
      </c>
      <c r="L5" s="748">
        <f t="shared" si="0"/>
        <v>10</v>
      </c>
      <c r="M5" s="748">
        <f t="shared" si="0"/>
        <v>11</v>
      </c>
      <c r="N5" s="748">
        <f t="shared" si="0"/>
        <v>12</v>
      </c>
      <c r="O5" s="748">
        <f t="shared" si="0"/>
        <v>13</v>
      </c>
      <c r="P5" s="748">
        <f t="shared" si="0"/>
        <v>14</v>
      </c>
      <c r="Q5" s="748">
        <f t="shared" si="0"/>
        <v>15</v>
      </c>
      <c r="R5" s="748">
        <f t="shared" si="0"/>
        <v>16</v>
      </c>
      <c r="S5" s="748">
        <f t="shared" si="0"/>
        <v>17</v>
      </c>
      <c r="T5" s="748">
        <f t="shared" si="0"/>
        <v>18</v>
      </c>
      <c r="U5" s="748">
        <f t="shared" si="0"/>
        <v>19</v>
      </c>
      <c r="V5" s="748">
        <f t="shared" si="0"/>
        <v>20</v>
      </c>
      <c r="W5" s="748">
        <f t="shared" si="0"/>
        <v>21</v>
      </c>
      <c r="X5" s="748">
        <f t="shared" si="0"/>
        <v>22</v>
      </c>
      <c r="Y5" s="748">
        <f t="shared" si="0"/>
        <v>23</v>
      </c>
      <c r="Z5" s="748">
        <f t="shared" si="0"/>
        <v>24</v>
      </c>
      <c r="AA5" s="748">
        <f t="shared" si="0"/>
        <v>25</v>
      </c>
      <c r="AB5" s="748">
        <f t="shared" si="0"/>
        <v>26</v>
      </c>
      <c r="AC5" s="748">
        <f t="shared" si="0"/>
        <v>27</v>
      </c>
      <c r="AD5" s="748">
        <f t="shared" si="0"/>
        <v>28</v>
      </c>
      <c r="AE5" s="748">
        <f t="shared" si="0"/>
        <v>29</v>
      </c>
      <c r="AF5" s="748">
        <f t="shared" si="0"/>
        <v>30</v>
      </c>
      <c r="AH5" s="752" t="s">
        <v>800</v>
      </c>
      <c r="AJ5" s="520"/>
      <c r="AK5" s="521"/>
      <c r="AL5" s="522"/>
      <c r="AM5" s="523"/>
      <c r="AN5" s="523"/>
    </row>
    <row r="6" spans="1:43" s="513" customFormat="1" ht="3" customHeight="1">
      <c r="A6" s="510"/>
      <c r="B6" s="524"/>
      <c r="C6" s="525"/>
      <c r="D6" s="525"/>
      <c r="E6" s="525"/>
      <c r="F6" s="525"/>
      <c r="G6" s="525"/>
      <c r="H6" s="525"/>
      <c r="I6" s="525"/>
      <c r="J6" s="525"/>
      <c r="K6" s="525"/>
      <c r="L6" s="525"/>
      <c r="M6" s="525"/>
      <c r="N6" s="525"/>
      <c r="O6" s="525"/>
      <c r="P6" s="525"/>
      <c r="Q6" s="525"/>
      <c r="R6" s="525"/>
      <c r="S6" s="525"/>
      <c r="T6" s="525"/>
      <c r="U6" s="525"/>
      <c r="V6" s="525"/>
      <c r="W6" s="525"/>
      <c r="X6" s="525"/>
      <c r="Y6" s="525"/>
      <c r="Z6" s="525"/>
      <c r="AA6" s="525"/>
      <c r="AB6" s="525"/>
      <c r="AC6" s="525"/>
      <c r="AD6" s="525"/>
      <c r="AE6" s="525"/>
      <c r="AF6" s="525"/>
      <c r="AK6" s="515"/>
      <c r="AM6" s="526"/>
    </row>
    <row r="7" spans="1:43" ht="16.5" customHeight="1">
      <c r="A7" s="510"/>
      <c r="B7" s="527" t="s">
        <v>878</v>
      </c>
      <c r="C7" s="528">
        <f t="shared" ref="C7:AF7" si="1">SUM(C9,C245,C419,C519,C618,C750,C929,C1083,C1380,C1474,C1625,C1751)</f>
        <v>15602.940197831442</v>
      </c>
      <c r="D7" s="528">
        <f t="shared" si="1"/>
        <v>16356.281776813101</v>
      </c>
      <c r="E7" s="528">
        <f t="shared" si="1"/>
        <v>16800.472364296795</v>
      </c>
      <c r="F7" s="528">
        <f t="shared" si="1"/>
        <v>17202.100676448827</v>
      </c>
      <c r="G7" s="528">
        <f t="shared" si="1"/>
        <v>17253.169016243621</v>
      </c>
      <c r="H7" s="528">
        <f t="shared" si="1"/>
        <v>17301.420113723081</v>
      </c>
      <c r="I7" s="528">
        <f t="shared" si="1"/>
        <v>18305.615324716317</v>
      </c>
      <c r="J7" s="528">
        <f t="shared" si="1"/>
        <v>17492.046495176852</v>
      </c>
      <c r="K7" s="528">
        <f t="shared" si="1"/>
        <v>17510.646744855047</v>
      </c>
      <c r="L7" s="528">
        <f t="shared" si="1"/>
        <v>17591.813317973243</v>
      </c>
      <c r="M7" s="528">
        <f t="shared" si="1"/>
        <v>17610.427499858288</v>
      </c>
      <c r="N7" s="528">
        <f t="shared" si="1"/>
        <v>17629.027749536479</v>
      </c>
      <c r="O7" s="528">
        <f t="shared" si="1"/>
        <v>17647.627999214677</v>
      </c>
      <c r="P7" s="528">
        <f t="shared" si="1"/>
        <v>17666.228248892869</v>
      </c>
      <c r="Q7" s="528">
        <f t="shared" si="1"/>
        <v>17684.842430777913</v>
      </c>
      <c r="R7" s="528">
        <f t="shared" si="1"/>
        <v>17703.442680456108</v>
      </c>
      <c r="S7" s="528">
        <f t="shared" si="1"/>
        <v>17722.314010134301</v>
      </c>
      <c r="T7" s="528">
        <f t="shared" si="1"/>
        <v>17740.914259812493</v>
      </c>
      <c r="U7" s="528">
        <f t="shared" si="1"/>
        <v>18147.333734017539</v>
      </c>
      <c r="V7" s="528">
        <f t="shared" si="1"/>
        <v>18165.933983695733</v>
      </c>
      <c r="W7" s="528">
        <f t="shared" si="1"/>
        <v>18184.534233373928</v>
      </c>
      <c r="X7" s="528">
        <f t="shared" si="1"/>
        <v>18203.134483052119</v>
      </c>
      <c r="Y7" s="528">
        <f t="shared" si="1"/>
        <v>18221.748664937164</v>
      </c>
      <c r="Z7" s="528">
        <f t="shared" si="1"/>
        <v>18240.619994615361</v>
      </c>
      <c r="AA7" s="528">
        <f t="shared" si="1"/>
        <v>18259.220244293552</v>
      </c>
      <c r="AB7" s="528">
        <f t="shared" si="1"/>
        <v>18277.820493971751</v>
      </c>
      <c r="AC7" s="528">
        <f t="shared" si="1"/>
        <v>18358.729919296795</v>
      </c>
      <c r="AD7" s="528">
        <f t="shared" si="1"/>
        <v>18377.330168974986</v>
      </c>
      <c r="AE7" s="528">
        <f t="shared" si="1"/>
        <v>18395.930418653184</v>
      </c>
      <c r="AF7" s="528">
        <f t="shared" si="1"/>
        <v>18414.530668331376</v>
      </c>
      <c r="AG7" s="529"/>
      <c r="AH7" s="530">
        <f>SUM(C7:AF7)</f>
        <v>532068.19791397511</v>
      </c>
      <c r="AK7" s="531"/>
      <c r="AL7" s="532"/>
      <c r="AM7" s="533"/>
      <c r="AN7" s="534"/>
      <c r="AP7" s="535"/>
      <c r="AQ7" s="534"/>
    </row>
    <row r="8" spans="1:43" s="513" customFormat="1" ht="3" customHeight="1">
      <c r="A8" s="510"/>
      <c r="B8" s="536"/>
      <c r="C8" s="537"/>
      <c r="D8" s="537"/>
      <c r="E8" s="537"/>
      <c r="F8" s="537"/>
      <c r="G8" s="537"/>
      <c r="H8" s="537"/>
      <c r="I8" s="537"/>
      <c r="J8" s="537"/>
      <c r="K8" s="537"/>
      <c r="L8" s="537"/>
      <c r="M8" s="537"/>
      <c r="N8" s="537"/>
      <c r="O8" s="537"/>
      <c r="P8" s="537"/>
      <c r="Q8" s="537"/>
      <c r="R8" s="537"/>
      <c r="S8" s="537"/>
      <c r="T8" s="537"/>
      <c r="U8" s="537"/>
      <c r="V8" s="537"/>
      <c r="W8" s="537"/>
      <c r="X8" s="537"/>
      <c r="Y8" s="537"/>
      <c r="Z8" s="537"/>
      <c r="AA8" s="537"/>
      <c r="AB8" s="537"/>
      <c r="AC8" s="537"/>
      <c r="AD8" s="537"/>
      <c r="AE8" s="537"/>
      <c r="AF8" s="537"/>
      <c r="AH8" s="538"/>
      <c r="AK8" s="515"/>
      <c r="AM8" s="539"/>
      <c r="AP8" s="540"/>
      <c r="AQ8" s="540"/>
    </row>
    <row r="9" spans="1:43" ht="16.5" customHeight="1">
      <c r="A9" s="510"/>
      <c r="B9" s="749" t="s">
        <v>879</v>
      </c>
      <c r="C9" s="710">
        <f t="shared" ref="C9:AF9" si="2">(C21+C29+C42+C97+C111+C115+C123+C174+C178+C222+C59+C69+C88)*C3</f>
        <v>3802.4182892478507</v>
      </c>
      <c r="D9" s="710">
        <f t="shared" si="2"/>
        <v>3802.4182892478507</v>
      </c>
      <c r="E9" s="710">
        <f t="shared" si="2"/>
        <v>3832.3822892478506</v>
      </c>
      <c r="F9" s="710">
        <f t="shared" si="2"/>
        <v>3862.3462892478506</v>
      </c>
      <c r="G9" s="710">
        <f t="shared" si="2"/>
        <v>3862.3462892478506</v>
      </c>
      <c r="H9" s="710">
        <f t="shared" si="2"/>
        <v>3862.3462892478506</v>
      </c>
      <c r="I9" s="710">
        <f t="shared" si="2"/>
        <v>3862.3462892478506</v>
      </c>
      <c r="J9" s="710">
        <f t="shared" si="2"/>
        <v>3862.3462892478506</v>
      </c>
      <c r="K9" s="710">
        <f t="shared" si="2"/>
        <v>3862.3462892478506</v>
      </c>
      <c r="L9" s="710">
        <f t="shared" si="2"/>
        <v>3862.3462892478506</v>
      </c>
      <c r="M9" s="710">
        <f t="shared" si="2"/>
        <v>3862.3462892478506</v>
      </c>
      <c r="N9" s="710">
        <f t="shared" si="2"/>
        <v>3862.3462892478506</v>
      </c>
      <c r="O9" s="710">
        <f t="shared" si="2"/>
        <v>3862.3462892478506</v>
      </c>
      <c r="P9" s="710">
        <f t="shared" si="2"/>
        <v>3862.3462892478506</v>
      </c>
      <c r="Q9" s="710">
        <f t="shared" si="2"/>
        <v>3862.3462892478506</v>
      </c>
      <c r="R9" s="710">
        <f t="shared" si="2"/>
        <v>3862.3462892478506</v>
      </c>
      <c r="S9" s="710">
        <f t="shared" si="2"/>
        <v>3862.3462892478506</v>
      </c>
      <c r="T9" s="710">
        <f t="shared" si="2"/>
        <v>3862.3462892478506</v>
      </c>
      <c r="U9" s="710">
        <f t="shared" si="2"/>
        <v>4187.1798381278504</v>
      </c>
      <c r="V9" s="710">
        <f t="shared" si="2"/>
        <v>4187.1798381278504</v>
      </c>
      <c r="W9" s="710">
        <f t="shared" si="2"/>
        <v>4187.1798381278504</v>
      </c>
      <c r="X9" s="710">
        <f t="shared" si="2"/>
        <v>4187.1798381278504</v>
      </c>
      <c r="Y9" s="710">
        <f t="shared" si="2"/>
        <v>4187.1798381278504</v>
      </c>
      <c r="Z9" s="710">
        <f t="shared" si="2"/>
        <v>4187.1798381278504</v>
      </c>
      <c r="AA9" s="710">
        <f t="shared" si="2"/>
        <v>4187.1798381278504</v>
      </c>
      <c r="AB9" s="710">
        <f t="shared" si="2"/>
        <v>4187.1798381278504</v>
      </c>
      <c r="AC9" s="710">
        <f t="shared" si="2"/>
        <v>4187.1798381278504</v>
      </c>
      <c r="AD9" s="710">
        <f t="shared" si="2"/>
        <v>4187.1798381278504</v>
      </c>
      <c r="AE9" s="710">
        <f t="shared" si="2"/>
        <v>4187.1798381278504</v>
      </c>
      <c r="AF9" s="710">
        <f t="shared" si="2"/>
        <v>4187.1798381278504</v>
      </c>
      <c r="AG9" s="750"/>
      <c r="AH9" s="751">
        <f>SUM(C9:AF9)</f>
        <v>119618.57126399549</v>
      </c>
      <c r="AK9" s="531"/>
      <c r="AM9" s="533"/>
      <c r="AN9" s="535"/>
      <c r="AP9" s="535"/>
      <c r="AQ9" s="534"/>
    </row>
    <row r="10" spans="1:43" s="513" customFormat="1" ht="3" customHeight="1">
      <c r="A10" s="510"/>
      <c r="B10" s="541"/>
      <c r="C10" s="542"/>
      <c r="D10" s="542"/>
      <c r="E10" s="537"/>
      <c r="F10" s="537"/>
      <c r="G10" s="537"/>
      <c r="H10" s="537"/>
      <c r="I10" s="537"/>
      <c r="J10" s="537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H10" s="538"/>
      <c r="AK10" s="531"/>
      <c r="AM10" s="539"/>
      <c r="AN10" s="535"/>
      <c r="AP10" s="540"/>
      <c r="AQ10" s="540"/>
    </row>
    <row r="11" spans="1:43" s="550" customFormat="1" ht="16.5" customHeight="1" collapsed="1">
      <c r="A11" s="543"/>
      <c r="B11" s="544" t="s">
        <v>880</v>
      </c>
      <c r="C11" s="545"/>
      <c r="D11" s="545"/>
      <c r="E11" s="545"/>
      <c r="F11" s="545"/>
      <c r="G11" s="545"/>
      <c r="H11" s="545"/>
      <c r="I11" s="545"/>
      <c r="J11" s="545"/>
      <c r="K11" s="545"/>
      <c r="L11" s="545"/>
      <c r="M11" s="545"/>
      <c r="N11" s="545"/>
      <c r="O11" s="545"/>
      <c r="P11" s="545"/>
      <c r="Q11" s="545"/>
      <c r="R11" s="545"/>
      <c r="S11" s="545"/>
      <c r="T11" s="545"/>
      <c r="U11" s="545"/>
      <c r="V11" s="545"/>
      <c r="W11" s="545"/>
      <c r="X11" s="545"/>
      <c r="Y11" s="545"/>
      <c r="Z11" s="545"/>
      <c r="AA11" s="545"/>
      <c r="AB11" s="545"/>
      <c r="AC11" s="545"/>
      <c r="AD11" s="545"/>
      <c r="AE11" s="545"/>
      <c r="AF11" s="545"/>
      <c r="AG11" s="546"/>
      <c r="AH11" s="547"/>
      <c r="AI11" s="546"/>
      <c r="AJ11" s="546"/>
      <c r="AK11" s="531"/>
      <c r="AL11" s="546"/>
      <c r="AM11" s="548"/>
      <c r="AN11" s="535"/>
      <c r="AO11" s="546"/>
      <c r="AP11" s="549"/>
      <c r="AQ11" s="549"/>
    </row>
    <row r="12" spans="1:43" s="586" customFormat="1" ht="16.5" hidden="1" customHeight="1" outlineLevel="2">
      <c r="A12" s="584"/>
      <c r="B12" s="608" t="s">
        <v>881</v>
      </c>
      <c r="C12" s="554">
        <v>4</v>
      </c>
      <c r="D12" s="554">
        <f>C12</f>
        <v>4</v>
      </c>
      <c r="E12" s="554">
        <f t="shared" ref="E12:T12" si="3">D12</f>
        <v>4</v>
      </c>
      <c r="F12" s="554">
        <f t="shared" si="3"/>
        <v>4</v>
      </c>
      <c r="G12" s="554">
        <f t="shared" si="3"/>
        <v>4</v>
      </c>
      <c r="H12" s="554">
        <f t="shared" si="3"/>
        <v>4</v>
      </c>
      <c r="I12" s="554">
        <f t="shared" si="3"/>
        <v>4</v>
      </c>
      <c r="J12" s="554">
        <f t="shared" si="3"/>
        <v>4</v>
      </c>
      <c r="K12" s="554">
        <f t="shared" si="3"/>
        <v>4</v>
      </c>
      <c r="L12" s="554">
        <f t="shared" si="3"/>
        <v>4</v>
      </c>
      <c r="M12" s="554">
        <f t="shared" si="3"/>
        <v>4</v>
      </c>
      <c r="N12" s="554">
        <f t="shared" si="3"/>
        <v>4</v>
      </c>
      <c r="O12" s="554">
        <f t="shared" si="3"/>
        <v>4</v>
      </c>
      <c r="P12" s="554">
        <f t="shared" si="3"/>
        <v>4</v>
      </c>
      <c r="Q12" s="554">
        <f t="shared" si="3"/>
        <v>4</v>
      </c>
      <c r="R12" s="554">
        <f t="shared" si="3"/>
        <v>4</v>
      </c>
      <c r="S12" s="554">
        <f t="shared" si="3"/>
        <v>4</v>
      </c>
      <c r="T12" s="554">
        <f t="shared" si="3"/>
        <v>4</v>
      </c>
      <c r="U12" s="554">
        <f t="shared" ref="U12:AF12" si="4">T12</f>
        <v>4</v>
      </c>
      <c r="V12" s="554">
        <f t="shared" si="4"/>
        <v>4</v>
      </c>
      <c r="W12" s="554">
        <f t="shared" si="4"/>
        <v>4</v>
      </c>
      <c r="X12" s="554">
        <f t="shared" si="4"/>
        <v>4</v>
      </c>
      <c r="Y12" s="554">
        <f t="shared" si="4"/>
        <v>4</v>
      </c>
      <c r="Z12" s="554">
        <f t="shared" si="4"/>
        <v>4</v>
      </c>
      <c r="AA12" s="554">
        <f t="shared" si="4"/>
        <v>4</v>
      </c>
      <c r="AB12" s="554">
        <f t="shared" si="4"/>
        <v>4</v>
      </c>
      <c r="AC12" s="554">
        <f t="shared" si="4"/>
        <v>4</v>
      </c>
      <c r="AD12" s="554">
        <f t="shared" si="4"/>
        <v>4</v>
      </c>
      <c r="AE12" s="554">
        <f t="shared" si="4"/>
        <v>4</v>
      </c>
      <c r="AF12" s="554">
        <f t="shared" si="4"/>
        <v>4</v>
      </c>
      <c r="AH12" s="587"/>
      <c r="AK12" s="588"/>
      <c r="AM12" s="589"/>
      <c r="AN12" s="590"/>
      <c r="AP12" s="591"/>
      <c r="AQ12" s="591"/>
    </row>
    <row r="13" spans="1:43" s="586" customFormat="1" ht="16.5" hidden="1" customHeight="1" outlineLevel="2">
      <c r="A13" s="584"/>
      <c r="B13" s="608" t="s">
        <v>808</v>
      </c>
      <c r="C13" s="554">
        <v>1</v>
      </c>
      <c r="D13" s="554">
        <v>1</v>
      </c>
      <c r="E13" s="554">
        <v>1</v>
      </c>
      <c r="F13" s="554">
        <v>1</v>
      </c>
      <c r="G13" s="554">
        <v>1</v>
      </c>
      <c r="H13" s="554">
        <v>1</v>
      </c>
      <c r="I13" s="554">
        <v>1</v>
      </c>
      <c r="J13" s="554">
        <v>1</v>
      </c>
      <c r="K13" s="554">
        <v>1</v>
      </c>
      <c r="L13" s="554">
        <v>1</v>
      </c>
      <c r="M13" s="554">
        <v>1</v>
      </c>
      <c r="N13" s="554">
        <v>1</v>
      </c>
      <c r="O13" s="554">
        <v>1</v>
      </c>
      <c r="P13" s="554">
        <v>1</v>
      </c>
      <c r="Q13" s="554">
        <v>1</v>
      </c>
      <c r="R13" s="554">
        <v>1</v>
      </c>
      <c r="S13" s="554">
        <v>1</v>
      </c>
      <c r="T13" s="554">
        <v>1</v>
      </c>
      <c r="U13" s="554">
        <v>1</v>
      </c>
      <c r="V13" s="554">
        <v>1</v>
      </c>
      <c r="W13" s="554">
        <v>1</v>
      </c>
      <c r="X13" s="554">
        <v>1</v>
      </c>
      <c r="Y13" s="554">
        <v>1</v>
      </c>
      <c r="Z13" s="554">
        <v>1</v>
      </c>
      <c r="AA13" s="554">
        <v>1</v>
      </c>
      <c r="AB13" s="554">
        <v>1</v>
      </c>
      <c r="AC13" s="554">
        <v>1</v>
      </c>
      <c r="AD13" s="554">
        <v>1</v>
      </c>
      <c r="AE13" s="554">
        <v>1</v>
      </c>
      <c r="AF13" s="554">
        <v>1</v>
      </c>
      <c r="AH13" s="587"/>
      <c r="AK13" s="588"/>
      <c r="AM13" s="589"/>
      <c r="AN13" s="590"/>
      <c r="AP13" s="591"/>
      <c r="AQ13" s="591"/>
    </row>
    <row r="14" spans="1:43" s="586" customFormat="1" ht="16.5" hidden="1" customHeight="1" outlineLevel="2">
      <c r="A14" s="584"/>
      <c r="B14" s="608" t="s">
        <v>882</v>
      </c>
      <c r="C14" s="554">
        <v>1</v>
      </c>
      <c r="D14" s="554">
        <v>1</v>
      </c>
      <c r="E14" s="554">
        <v>1</v>
      </c>
      <c r="F14" s="554">
        <v>1</v>
      </c>
      <c r="G14" s="554">
        <v>1</v>
      </c>
      <c r="H14" s="554">
        <v>1</v>
      </c>
      <c r="I14" s="554">
        <v>1</v>
      </c>
      <c r="J14" s="554">
        <v>1</v>
      </c>
      <c r="K14" s="554">
        <v>1</v>
      </c>
      <c r="L14" s="554">
        <v>1</v>
      </c>
      <c r="M14" s="554">
        <v>1</v>
      </c>
      <c r="N14" s="554">
        <v>1</v>
      </c>
      <c r="O14" s="554">
        <v>1</v>
      </c>
      <c r="P14" s="554">
        <v>1</v>
      </c>
      <c r="Q14" s="554">
        <v>1</v>
      </c>
      <c r="R14" s="554">
        <v>1</v>
      </c>
      <c r="S14" s="554">
        <v>1</v>
      </c>
      <c r="T14" s="554">
        <v>1</v>
      </c>
      <c r="U14" s="554">
        <v>1</v>
      </c>
      <c r="V14" s="554">
        <v>1</v>
      </c>
      <c r="W14" s="554">
        <v>1</v>
      </c>
      <c r="X14" s="554">
        <v>1</v>
      </c>
      <c r="Y14" s="554">
        <v>1</v>
      </c>
      <c r="Z14" s="554">
        <v>1</v>
      </c>
      <c r="AA14" s="554">
        <v>1</v>
      </c>
      <c r="AB14" s="554">
        <v>1</v>
      </c>
      <c r="AC14" s="554">
        <v>1</v>
      </c>
      <c r="AD14" s="554">
        <v>1</v>
      </c>
      <c r="AE14" s="554">
        <v>1</v>
      </c>
      <c r="AF14" s="554">
        <v>1</v>
      </c>
      <c r="AH14" s="587"/>
      <c r="AK14" s="588"/>
      <c r="AM14" s="589"/>
      <c r="AN14" s="590"/>
      <c r="AP14" s="591"/>
      <c r="AQ14" s="591"/>
    </row>
    <row r="15" spans="1:43" s="586" customFormat="1" ht="16.5" hidden="1" customHeight="1" outlineLevel="2">
      <c r="A15" s="584"/>
      <c r="B15" s="608" t="s">
        <v>883</v>
      </c>
      <c r="C15" s="554">
        <v>225</v>
      </c>
      <c r="D15" s="554">
        <v>225</v>
      </c>
      <c r="E15" s="554">
        <v>225</v>
      </c>
      <c r="F15" s="554">
        <v>225</v>
      </c>
      <c r="G15" s="554">
        <v>225</v>
      </c>
      <c r="H15" s="554">
        <v>225</v>
      </c>
      <c r="I15" s="554">
        <v>225</v>
      </c>
      <c r="J15" s="554">
        <v>225</v>
      </c>
      <c r="K15" s="554">
        <v>225</v>
      </c>
      <c r="L15" s="554">
        <v>225</v>
      </c>
      <c r="M15" s="554">
        <v>225</v>
      </c>
      <c r="N15" s="554">
        <v>225</v>
      </c>
      <c r="O15" s="554">
        <v>225</v>
      </c>
      <c r="P15" s="554">
        <v>225</v>
      </c>
      <c r="Q15" s="554">
        <v>225</v>
      </c>
      <c r="R15" s="554">
        <v>225</v>
      </c>
      <c r="S15" s="554">
        <v>225</v>
      </c>
      <c r="T15" s="554">
        <v>225</v>
      </c>
      <c r="U15" s="554">
        <v>225</v>
      </c>
      <c r="V15" s="554">
        <v>225</v>
      </c>
      <c r="W15" s="554">
        <v>225</v>
      </c>
      <c r="X15" s="554">
        <v>225</v>
      </c>
      <c r="Y15" s="554">
        <v>225</v>
      </c>
      <c r="Z15" s="554">
        <v>225</v>
      </c>
      <c r="AA15" s="554">
        <v>225</v>
      </c>
      <c r="AB15" s="554">
        <v>225</v>
      </c>
      <c r="AC15" s="554">
        <v>225</v>
      </c>
      <c r="AD15" s="554">
        <v>225</v>
      </c>
      <c r="AE15" s="554">
        <v>225</v>
      </c>
      <c r="AF15" s="554">
        <v>225</v>
      </c>
      <c r="AH15" s="587"/>
      <c r="AK15" s="588"/>
      <c r="AM15" s="589"/>
      <c r="AN15" s="591"/>
      <c r="AP15" s="591"/>
      <c r="AQ15" s="591"/>
    </row>
    <row r="16" spans="1:43" s="586" customFormat="1" ht="16.5" hidden="1" customHeight="1" outlineLevel="2">
      <c r="A16" s="584"/>
      <c r="B16" s="608" t="s">
        <v>884</v>
      </c>
      <c r="C16" s="554">
        <v>0</v>
      </c>
      <c r="D16" s="554">
        <v>0</v>
      </c>
      <c r="E16" s="554">
        <v>1</v>
      </c>
      <c r="F16" s="554">
        <v>2</v>
      </c>
      <c r="G16" s="554">
        <f>F16</f>
        <v>2</v>
      </c>
      <c r="H16" s="554">
        <f t="shared" ref="H16:AF16" si="5">G16</f>
        <v>2</v>
      </c>
      <c r="I16" s="554">
        <f t="shared" si="5"/>
        <v>2</v>
      </c>
      <c r="J16" s="554">
        <f t="shared" si="5"/>
        <v>2</v>
      </c>
      <c r="K16" s="554">
        <f t="shared" si="5"/>
        <v>2</v>
      </c>
      <c r="L16" s="554">
        <f t="shared" si="5"/>
        <v>2</v>
      </c>
      <c r="M16" s="554">
        <f t="shared" si="5"/>
        <v>2</v>
      </c>
      <c r="N16" s="554">
        <f t="shared" si="5"/>
        <v>2</v>
      </c>
      <c r="O16" s="554">
        <f t="shared" si="5"/>
        <v>2</v>
      </c>
      <c r="P16" s="554">
        <f t="shared" si="5"/>
        <v>2</v>
      </c>
      <c r="Q16" s="554">
        <f t="shared" si="5"/>
        <v>2</v>
      </c>
      <c r="R16" s="554">
        <f t="shared" si="5"/>
        <v>2</v>
      </c>
      <c r="S16" s="554">
        <f t="shared" si="5"/>
        <v>2</v>
      </c>
      <c r="T16" s="554">
        <f t="shared" si="5"/>
        <v>2</v>
      </c>
      <c r="U16" s="554">
        <f t="shared" si="5"/>
        <v>2</v>
      </c>
      <c r="V16" s="554">
        <f t="shared" si="5"/>
        <v>2</v>
      </c>
      <c r="W16" s="554">
        <f t="shared" si="5"/>
        <v>2</v>
      </c>
      <c r="X16" s="554">
        <f t="shared" si="5"/>
        <v>2</v>
      </c>
      <c r="Y16" s="554">
        <f t="shared" si="5"/>
        <v>2</v>
      </c>
      <c r="Z16" s="554">
        <f t="shared" si="5"/>
        <v>2</v>
      </c>
      <c r="AA16" s="554">
        <f t="shared" si="5"/>
        <v>2</v>
      </c>
      <c r="AB16" s="554">
        <f t="shared" si="5"/>
        <v>2</v>
      </c>
      <c r="AC16" s="554">
        <f t="shared" si="5"/>
        <v>2</v>
      </c>
      <c r="AD16" s="554">
        <f t="shared" si="5"/>
        <v>2</v>
      </c>
      <c r="AE16" s="554">
        <f t="shared" si="5"/>
        <v>2</v>
      </c>
      <c r="AF16" s="554">
        <f t="shared" si="5"/>
        <v>2</v>
      </c>
      <c r="AH16" s="587"/>
      <c r="AK16" s="588"/>
      <c r="AM16" s="589"/>
      <c r="AN16" s="590"/>
      <c r="AP16" s="591"/>
      <c r="AQ16" s="591"/>
    </row>
    <row r="17" spans="1:43" s="550" customFormat="1" ht="16.5" customHeight="1" collapsed="1">
      <c r="A17" s="543"/>
      <c r="B17" s="544" t="s">
        <v>885</v>
      </c>
      <c r="C17" s="545"/>
      <c r="D17" s="545"/>
      <c r="E17" s="545"/>
      <c r="F17" s="545"/>
      <c r="G17" s="545"/>
      <c r="H17" s="545"/>
      <c r="I17" s="545"/>
      <c r="J17" s="545"/>
      <c r="K17" s="545"/>
      <c r="L17" s="545"/>
      <c r="M17" s="545"/>
      <c r="N17" s="545"/>
      <c r="O17" s="545"/>
      <c r="P17" s="545"/>
      <c r="Q17" s="545"/>
      <c r="R17" s="545"/>
      <c r="S17" s="545"/>
      <c r="T17" s="545"/>
      <c r="U17" s="545"/>
      <c r="V17" s="545"/>
      <c r="W17" s="545"/>
      <c r="X17" s="545"/>
      <c r="Y17" s="545"/>
      <c r="Z17" s="545"/>
      <c r="AA17" s="545"/>
      <c r="AB17" s="545"/>
      <c r="AC17" s="545"/>
      <c r="AD17" s="545"/>
      <c r="AE17" s="545"/>
      <c r="AF17" s="545"/>
      <c r="AG17" s="546"/>
      <c r="AH17" s="547"/>
      <c r="AI17" s="546"/>
      <c r="AJ17" s="546"/>
      <c r="AK17" s="531"/>
      <c r="AL17" s="546"/>
      <c r="AM17" s="548"/>
      <c r="AN17" s="535"/>
      <c r="AO17" s="546"/>
      <c r="AP17" s="549"/>
      <c r="AQ17" s="549"/>
    </row>
    <row r="18" spans="1:43" s="586" customFormat="1" ht="16.5" hidden="1" customHeight="1" outlineLevel="2">
      <c r="A18" s="584"/>
      <c r="B18" s="608" t="s">
        <v>881</v>
      </c>
      <c r="C18" s="554">
        <v>1</v>
      </c>
      <c r="D18" s="554">
        <f>C18</f>
        <v>1</v>
      </c>
      <c r="E18" s="554">
        <f t="shared" ref="E18" si="6">D18</f>
        <v>1</v>
      </c>
      <c r="F18" s="554">
        <f t="shared" ref="F18" si="7">E18</f>
        <v>1</v>
      </c>
      <c r="G18" s="554">
        <f t="shared" ref="G18" si="8">F18</f>
        <v>1</v>
      </c>
      <c r="H18" s="554">
        <f t="shared" ref="H18" si="9">G18</f>
        <v>1</v>
      </c>
      <c r="I18" s="554">
        <f t="shared" ref="I18" si="10">H18</f>
        <v>1</v>
      </c>
      <c r="J18" s="554">
        <f t="shared" ref="J18" si="11">I18</f>
        <v>1</v>
      </c>
      <c r="K18" s="554">
        <f t="shared" ref="K18" si="12">J18</f>
        <v>1</v>
      </c>
      <c r="L18" s="554">
        <f t="shared" ref="L18" si="13">K18</f>
        <v>1</v>
      </c>
      <c r="M18" s="554">
        <f t="shared" ref="M18" si="14">L18</f>
        <v>1</v>
      </c>
      <c r="N18" s="554">
        <f t="shared" ref="N18" si="15">M18</f>
        <v>1</v>
      </c>
      <c r="O18" s="554">
        <f t="shared" ref="O18" si="16">N18</f>
        <v>1</v>
      </c>
      <c r="P18" s="554">
        <f t="shared" ref="P18" si="17">O18</f>
        <v>1</v>
      </c>
      <c r="Q18" s="554">
        <f t="shared" ref="Q18" si="18">P18</f>
        <v>1</v>
      </c>
      <c r="R18" s="554">
        <f t="shared" ref="R18" si="19">Q18</f>
        <v>1</v>
      </c>
      <c r="S18" s="554">
        <f t="shared" ref="S18" si="20">R18</f>
        <v>1</v>
      </c>
      <c r="T18" s="554">
        <f t="shared" ref="T18" si="21">S18</f>
        <v>1</v>
      </c>
      <c r="U18" s="554">
        <f t="shared" ref="U18" si="22">T18</f>
        <v>1</v>
      </c>
      <c r="V18" s="554">
        <f t="shared" ref="V18" si="23">U18</f>
        <v>1</v>
      </c>
      <c r="W18" s="554">
        <f t="shared" ref="W18" si="24">V18</f>
        <v>1</v>
      </c>
      <c r="X18" s="554">
        <f t="shared" ref="X18" si="25">W18</f>
        <v>1</v>
      </c>
      <c r="Y18" s="554">
        <f t="shared" ref="Y18" si="26">X18</f>
        <v>1</v>
      </c>
      <c r="Z18" s="554">
        <f t="shared" ref="Z18" si="27">Y18</f>
        <v>1</v>
      </c>
      <c r="AA18" s="554">
        <f t="shared" ref="AA18" si="28">Z18</f>
        <v>1</v>
      </c>
      <c r="AB18" s="554">
        <f t="shared" ref="AB18" si="29">AA18</f>
        <v>1</v>
      </c>
      <c r="AC18" s="554">
        <f t="shared" ref="AC18" si="30">AB18</f>
        <v>1</v>
      </c>
      <c r="AD18" s="554">
        <f t="shared" ref="AD18" si="31">AC18</f>
        <v>1</v>
      </c>
      <c r="AE18" s="554">
        <f t="shared" ref="AE18" si="32">AD18</f>
        <v>1</v>
      </c>
      <c r="AF18" s="554">
        <f t="shared" ref="AF18" si="33">AE18</f>
        <v>1</v>
      </c>
      <c r="AH18" s="587"/>
      <c r="AK18" s="588"/>
      <c r="AM18" s="589"/>
      <c r="AN18" s="590"/>
      <c r="AP18" s="591"/>
      <c r="AQ18" s="591"/>
    </row>
    <row r="19" spans="1:43" s="550" customFormat="1" ht="16.5" customHeight="1" collapsed="1">
      <c r="A19" s="543"/>
      <c r="B19" s="556" t="s">
        <v>886</v>
      </c>
      <c r="C19" s="545">
        <f>SUM(C125,C132,C139,C146,C153,C160,C167)</f>
        <v>32</v>
      </c>
      <c r="D19" s="545">
        <f t="shared" ref="D19:AF19" si="34">SUM(D125,D132,D139,D146,D153,D160,D167)</f>
        <v>32</v>
      </c>
      <c r="E19" s="545">
        <f t="shared" si="34"/>
        <v>32</v>
      </c>
      <c r="F19" s="545">
        <f t="shared" si="34"/>
        <v>32</v>
      </c>
      <c r="G19" s="545">
        <f t="shared" si="34"/>
        <v>32</v>
      </c>
      <c r="H19" s="545">
        <f t="shared" si="34"/>
        <v>32</v>
      </c>
      <c r="I19" s="545">
        <f t="shared" si="34"/>
        <v>32</v>
      </c>
      <c r="J19" s="545">
        <f t="shared" si="34"/>
        <v>32</v>
      </c>
      <c r="K19" s="545">
        <f t="shared" si="34"/>
        <v>32</v>
      </c>
      <c r="L19" s="545">
        <f t="shared" si="34"/>
        <v>32</v>
      </c>
      <c r="M19" s="545">
        <f t="shared" si="34"/>
        <v>32</v>
      </c>
      <c r="N19" s="545">
        <f t="shared" si="34"/>
        <v>32</v>
      </c>
      <c r="O19" s="545">
        <f t="shared" si="34"/>
        <v>32</v>
      </c>
      <c r="P19" s="545">
        <f t="shared" si="34"/>
        <v>32</v>
      </c>
      <c r="Q19" s="545">
        <f t="shared" si="34"/>
        <v>32</v>
      </c>
      <c r="R19" s="545">
        <f t="shared" si="34"/>
        <v>32</v>
      </c>
      <c r="S19" s="545">
        <f t="shared" si="34"/>
        <v>32</v>
      </c>
      <c r="T19" s="545">
        <f t="shared" si="34"/>
        <v>32</v>
      </c>
      <c r="U19" s="545">
        <f t="shared" si="34"/>
        <v>37</v>
      </c>
      <c r="V19" s="545">
        <f t="shared" si="34"/>
        <v>37</v>
      </c>
      <c r="W19" s="545">
        <f t="shared" si="34"/>
        <v>37</v>
      </c>
      <c r="X19" s="545">
        <f t="shared" si="34"/>
        <v>37</v>
      </c>
      <c r="Y19" s="545">
        <f t="shared" si="34"/>
        <v>37</v>
      </c>
      <c r="Z19" s="545">
        <f t="shared" si="34"/>
        <v>37</v>
      </c>
      <c r="AA19" s="545">
        <f t="shared" si="34"/>
        <v>37</v>
      </c>
      <c r="AB19" s="545">
        <f t="shared" si="34"/>
        <v>37</v>
      </c>
      <c r="AC19" s="545">
        <f t="shared" si="34"/>
        <v>37</v>
      </c>
      <c r="AD19" s="545">
        <f t="shared" si="34"/>
        <v>37</v>
      </c>
      <c r="AE19" s="545">
        <f t="shared" si="34"/>
        <v>37</v>
      </c>
      <c r="AF19" s="545">
        <f t="shared" si="34"/>
        <v>37</v>
      </c>
      <c r="AG19" s="546"/>
      <c r="AH19" s="547"/>
      <c r="AI19" s="546"/>
      <c r="AJ19" s="546"/>
      <c r="AK19" s="531"/>
      <c r="AL19" s="546"/>
      <c r="AM19" s="548"/>
      <c r="AN19" s="535"/>
      <c r="AO19" s="546"/>
      <c r="AP19" s="549"/>
      <c r="AQ19" s="549"/>
    </row>
    <row r="20" spans="1:43" s="560" customFormat="1" ht="3" hidden="1" customHeight="1" outlineLevel="2">
      <c r="A20" s="510"/>
      <c r="B20" s="557"/>
      <c r="C20" s="558"/>
      <c r="D20" s="558"/>
      <c r="E20" s="558"/>
      <c r="F20" s="558"/>
      <c r="G20" s="558"/>
      <c r="H20" s="558"/>
      <c r="I20" s="558"/>
      <c r="J20" s="558"/>
      <c r="K20" s="558"/>
      <c r="L20" s="558"/>
      <c r="M20" s="558"/>
      <c r="N20" s="558"/>
      <c r="O20" s="558"/>
      <c r="P20" s="558"/>
      <c r="Q20" s="558"/>
      <c r="R20" s="558"/>
      <c r="S20" s="558"/>
      <c r="T20" s="558"/>
      <c r="U20" s="558"/>
      <c r="V20" s="558"/>
      <c r="W20" s="558"/>
      <c r="X20" s="558"/>
      <c r="Y20" s="558"/>
      <c r="Z20" s="558"/>
      <c r="AA20" s="558"/>
      <c r="AB20" s="558"/>
      <c r="AC20" s="558"/>
      <c r="AD20" s="558"/>
      <c r="AE20" s="558"/>
      <c r="AF20" s="558"/>
      <c r="AG20" s="513"/>
      <c r="AH20" s="559"/>
      <c r="AI20" s="513"/>
      <c r="AJ20" s="513"/>
      <c r="AK20" s="531"/>
      <c r="AL20" s="513"/>
      <c r="AM20" s="539"/>
      <c r="AN20" s="540"/>
      <c r="AO20" s="513"/>
      <c r="AP20" s="540"/>
      <c r="AQ20" s="540"/>
    </row>
    <row r="21" spans="1:43" s="564" customFormat="1" ht="16.5" hidden="1" customHeight="1" outlineLevel="1" collapsed="1">
      <c r="A21" s="561"/>
      <c r="B21" s="562" t="s">
        <v>887</v>
      </c>
      <c r="C21" s="563">
        <f>SUM(C22,C25)*12/10^3</f>
        <v>387.66206580959994</v>
      </c>
      <c r="D21" s="563">
        <f t="shared" ref="D21:AF21" si="35">SUM(D22,D25)*12/10^3</f>
        <v>387.66206580959994</v>
      </c>
      <c r="E21" s="563">
        <f t="shared" si="35"/>
        <v>387.66206580959994</v>
      </c>
      <c r="F21" s="563">
        <f t="shared" si="35"/>
        <v>387.66206580959994</v>
      </c>
      <c r="G21" s="563">
        <f t="shared" si="35"/>
        <v>387.66206580959994</v>
      </c>
      <c r="H21" s="563">
        <f t="shared" si="35"/>
        <v>387.66206580959994</v>
      </c>
      <c r="I21" s="563">
        <f t="shared" si="35"/>
        <v>387.66206580959994</v>
      </c>
      <c r="J21" s="563">
        <f t="shared" si="35"/>
        <v>387.66206580959994</v>
      </c>
      <c r="K21" s="563">
        <f t="shared" si="35"/>
        <v>387.66206580959994</v>
      </c>
      <c r="L21" s="563">
        <f t="shared" si="35"/>
        <v>387.66206580959994</v>
      </c>
      <c r="M21" s="563">
        <f t="shared" si="35"/>
        <v>387.66206580959994</v>
      </c>
      <c r="N21" s="563">
        <f t="shared" si="35"/>
        <v>387.66206580959994</v>
      </c>
      <c r="O21" s="563">
        <f t="shared" si="35"/>
        <v>387.66206580959994</v>
      </c>
      <c r="P21" s="563">
        <f t="shared" si="35"/>
        <v>387.66206580959994</v>
      </c>
      <c r="Q21" s="563">
        <f t="shared" si="35"/>
        <v>387.66206580959994</v>
      </c>
      <c r="R21" s="563">
        <f t="shared" si="35"/>
        <v>387.66206580959994</v>
      </c>
      <c r="S21" s="563">
        <f t="shared" si="35"/>
        <v>387.66206580959994</v>
      </c>
      <c r="T21" s="563">
        <f t="shared" si="35"/>
        <v>387.66206580959994</v>
      </c>
      <c r="U21" s="563">
        <f t="shared" si="35"/>
        <v>387.66206580959994</v>
      </c>
      <c r="V21" s="563">
        <f t="shared" si="35"/>
        <v>387.66206580959994</v>
      </c>
      <c r="W21" s="563">
        <f t="shared" si="35"/>
        <v>387.66206580959994</v>
      </c>
      <c r="X21" s="563">
        <f t="shared" si="35"/>
        <v>387.66206580959994</v>
      </c>
      <c r="Y21" s="563">
        <f t="shared" si="35"/>
        <v>387.66206580959994</v>
      </c>
      <c r="Z21" s="563">
        <f t="shared" si="35"/>
        <v>387.66206580959994</v>
      </c>
      <c r="AA21" s="563">
        <f t="shared" si="35"/>
        <v>387.66206580959994</v>
      </c>
      <c r="AB21" s="563">
        <f t="shared" si="35"/>
        <v>387.66206580959994</v>
      </c>
      <c r="AC21" s="563">
        <f t="shared" si="35"/>
        <v>387.66206580959994</v>
      </c>
      <c r="AD21" s="563">
        <f t="shared" si="35"/>
        <v>387.66206580959994</v>
      </c>
      <c r="AE21" s="563">
        <f t="shared" si="35"/>
        <v>387.66206580959994</v>
      </c>
      <c r="AF21" s="563">
        <f t="shared" si="35"/>
        <v>387.66206580959994</v>
      </c>
      <c r="AH21" s="565">
        <f>SUM(C21:AF21)</f>
        <v>11629.861974287998</v>
      </c>
      <c r="AJ21" s="566"/>
      <c r="AK21" s="531"/>
      <c r="AM21" s="567"/>
      <c r="AN21" s="535"/>
      <c r="AP21" s="568"/>
      <c r="AQ21" s="568"/>
    </row>
    <row r="22" spans="1:43" s="634" customFormat="1" ht="16.5" hidden="1" customHeight="1" outlineLevel="2">
      <c r="A22" s="633"/>
      <c r="B22" s="580" t="s">
        <v>882</v>
      </c>
      <c r="C22" s="637">
        <f>C23*C24</f>
        <v>1984.1721508000003</v>
      </c>
      <c r="D22" s="637">
        <f t="shared" ref="D22:AF22" si="36">D23*D24</f>
        <v>1984.1721508000003</v>
      </c>
      <c r="E22" s="637">
        <f t="shared" si="36"/>
        <v>1984.1721508000003</v>
      </c>
      <c r="F22" s="637">
        <f t="shared" si="36"/>
        <v>1984.1721508000003</v>
      </c>
      <c r="G22" s="637">
        <f t="shared" si="36"/>
        <v>1984.1721508000003</v>
      </c>
      <c r="H22" s="637">
        <f t="shared" si="36"/>
        <v>1984.1721508000003</v>
      </c>
      <c r="I22" s="637">
        <f t="shared" si="36"/>
        <v>1984.1721508000003</v>
      </c>
      <c r="J22" s="637">
        <f t="shared" si="36"/>
        <v>1984.1721508000003</v>
      </c>
      <c r="K22" s="637">
        <f t="shared" si="36"/>
        <v>1984.1721508000003</v>
      </c>
      <c r="L22" s="637">
        <f t="shared" si="36"/>
        <v>1984.1721508000003</v>
      </c>
      <c r="M22" s="637">
        <f t="shared" si="36"/>
        <v>1984.1721508000003</v>
      </c>
      <c r="N22" s="637">
        <f t="shared" si="36"/>
        <v>1984.1721508000003</v>
      </c>
      <c r="O22" s="637">
        <f t="shared" si="36"/>
        <v>1984.1721508000003</v>
      </c>
      <c r="P22" s="637">
        <f t="shared" si="36"/>
        <v>1984.1721508000003</v>
      </c>
      <c r="Q22" s="637">
        <f t="shared" si="36"/>
        <v>1984.1721508000003</v>
      </c>
      <c r="R22" s="637">
        <f t="shared" si="36"/>
        <v>1984.1721508000003</v>
      </c>
      <c r="S22" s="637">
        <f t="shared" si="36"/>
        <v>1984.1721508000003</v>
      </c>
      <c r="T22" s="637">
        <f t="shared" si="36"/>
        <v>1984.1721508000003</v>
      </c>
      <c r="U22" s="637">
        <f t="shared" si="36"/>
        <v>1984.1721508000003</v>
      </c>
      <c r="V22" s="637">
        <f t="shared" si="36"/>
        <v>1984.1721508000003</v>
      </c>
      <c r="W22" s="637">
        <f t="shared" si="36"/>
        <v>1984.1721508000003</v>
      </c>
      <c r="X22" s="637">
        <f t="shared" si="36"/>
        <v>1984.1721508000003</v>
      </c>
      <c r="Y22" s="637">
        <f t="shared" si="36"/>
        <v>1984.1721508000003</v>
      </c>
      <c r="Z22" s="637">
        <f t="shared" si="36"/>
        <v>1984.1721508000003</v>
      </c>
      <c r="AA22" s="637">
        <f t="shared" si="36"/>
        <v>1984.1721508000003</v>
      </c>
      <c r="AB22" s="637">
        <f t="shared" si="36"/>
        <v>1984.1721508000003</v>
      </c>
      <c r="AC22" s="637">
        <f t="shared" si="36"/>
        <v>1984.1721508000003</v>
      </c>
      <c r="AD22" s="637">
        <f t="shared" si="36"/>
        <v>1984.1721508000003</v>
      </c>
      <c r="AE22" s="637">
        <f t="shared" si="36"/>
        <v>1984.1721508000003</v>
      </c>
      <c r="AF22" s="637">
        <f t="shared" si="36"/>
        <v>1984.1721508000003</v>
      </c>
      <c r="AH22" s="635"/>
      <c r="AK22" s="588"/>
      <c r="AM22" s="715"/>
      <c r="AN22" s="590"/>
      <c r="AP22" s="636"/>
      <c r="AQ22" s="636"/>
    </row>
    <row r="23" spans="1:43" s="586" customFormat="1" ht="16.5" hidden="1" customHeight="1" outlineLevel="2">
      <c r="A23" s="584"/>
      <c r="B23" s="585" t="s">
        <v>805</v>
      </c>
      <c r="C23" s="716">
        <f t="shared" ref="C23:AF23" si="37">C14</f>
        <v>1</v>
      </c>
      <c r="D23" s="716">
        <f t="shared" si="37"/>
        <v>1</v>
      </c>
      <c r="E23" s="716">
        <f t="shared" si="37"/>
        <v>1</v>
      </c>
      <c r="F23" s="716">
        <f t="shared" si="37"/>
        <v>1</v>
      </c>
      <c r="G23" s="716">
        <f t="shared" si="37"/>
        <v>1</v>
      </c>
      <c r="H23" s="716">
        <f t="shared" si="37"/>
        <v>1</v>
      </c>
      <c r="I23" s="716">
        <f t="shared" si="37"/>
        <v>1</v>
      </c>
      <c r="J23" s="716">
        <f t="shared" si="37"/>
        <v>1</v>
      </c>
      <c r="K23" s="716">
        <f t="shared" si="37"/>
        <v>1</v>
      </c>
      <c r="L23" s="716">
        <f t="shared" si="37"/>
        <v>1</v>
      </c>
      <c r="M23" s="716">
        <f t="shared" si="37"/>
        <v>1</v>
      </c>
      <c r="N23" s="716">
        <f t="shared" si="37"/>
        <v>1</v>
      </c>
      <c r="O23" s="716">
        <f t="shared" si="37"/>
        <v>1</v>
      </c>
      <c r="P23" s="716">
        <f t="shared" si="37"/>
        <v>1</v>
      </c>
      <c r="Q23" s="716">
        <f t="shared" si="37"/>
        <v>1</v>
      </c>
      <c r="R23" s="716">
        <f t="shared" si="37"/>
        <v>1</v>
      </c>
      <c r="S23" s="716">
        <f t="shared" si="37"/>
        <v>1</v>
      </c>
      <c r="T23" s="716">
        <f t="shared" si="37"/>
        <v>1</v>
      </c>
      <c r="U23" s="716">
        <f t="shared" si="37"/>
        <v>1</v>
      </c>
      <c r="V23" s="716">
        <f t="shared" si="37"/>
        <v>1</v>
      </c>
      <c r="W23" s="716">
        <f t="shared" si="37"/>
        <v>1</v>
      </c>
      <c r="X23" s="716">
        <f t="shared" si="37"/>
        <v>1</v>
      </c>
      <c r="Y23" s="716">
        <f t="shared" si="37"/>
        <v>1</v>
      </c>
      <c r="Z23" s="716">
        <f t="shared" si="37"/>
        <v>1</v>
      </c>
      <c r="AA23" s="716">
        <f t="shared" si="37"/>
        <v>1</v>
      </c>
      <c r="AB23" s="716">
        <f t="shared" si="37"/>
        <v>1</v>
      </c>
      <c r="AC23" s="716">
        <f t="shared" si="37"/>
        <v>1</v>
      </c>
      <c r="AD23" s="716">
        <f t="shared" si="37"/>
        <v>1</v>
      </c>
      <c r="AE23" s="716">
        <f t="shared" si="37"/>
        <v>1</v>
      </c>
      <c r="AF23" s="716">
        <f t="shared" si="37"/>
        <v>1</v>
      </c>
      <c r="AH23" s="587"/>
      <c r="AK23" s="588"/>
      <c r="AM23" s="589"/>
      <c r="AN23" s="590"/>
      <c r="AP23" s="591"/>
      <c r="AQ23" s="591"/>
    </row>
    <row r="24" spans="1:43" s="586" customFormat="1" ht="16.5" hidden="1" customHeight="1" outlineLevel="2">
      <c r="A24" s="584"/>
      <c r="B24" s="585" t="s">
        <v>888</v>
      </c>
      <c r="C24" s="632">
        <f>Insumos!$E$174</f>
        <v>1984.1721508000003</v>
      </c>
      <c r="D24" s="632">
        <f>C24</f>
        <v>1984.1721508000003</v>
      </c>
      <c r="E24" s="632">
        <f t="shared" ref="E24:AF24" si="38">D24</f>
        <v>1984.1721508000003</v>
      </c>
      <c r="F24" s="632">
        <f t="shared" si="38"/>
        <v>1984.1721508000003</v>
      </c>
      <c r="G24" s="632">
        <f t="shared" si="38"/>
        <v>1984.1721508000003</v>
      </c>
      <c r="H24" s="632">
        <f t="shared" si="38"/>
        <v>1984.1721508000003</v>
      </c>
      <c r="I24" s="632">
        <f t="shared" si="38"/>
        <v>1984.1721508000003</v>
      </c>
      <c r="J24" s="632">
        <f t="shared" si="38"/>
        <v>1984.1721508000003</v>
      </c>
      <c r="K24" s="632">
        <f t="shared" si="38"/>
        <v>1984.1721508000003</v>
      </c>
      <c r="L24" s="632">
        <f t="shared" si="38"/>
        <v>1984.1721508000003</v>
      </c>
      <c r="M24" s="632">
        <f t="shared" si="38"/>
        <v>1984.1721508000003</v>
      </c>
      <c r="N24" s="632">
        <f t="shared" si="38"/>
        <v>1984.1721508000003</v>
      </c>
      <c r="O24" s="632">
        <f t="shared" si="38"/>
        <v>1984.1721508000003</v>
      </c>
      <c r="P24" s="632">
        <f t="shared" si="38"/>
        <v>1984.1721508000003</v>
      </c>
      <c r="Q24" s="632">
        <f t="shared" si="38"/>
        <v>1984.1721508000003</v>
      </c>
      <c r="R24" s="632">
        <f t="shared" si="38"/>
        <v>1984.1721508000003</v>
      </c>
      <c r="S24" s="632">
        <f t="shared" si="38"/>
        <v>1984.1721508000003</v>
      </c>
      <c r="T24" s="632">
        <f t="shared" si="38"/>
        <v>1984.1721508000003</v>
      </c>
      <c r="U24" s="632">
        <f t="shared" si="38"/>
        <v>1984.1721508000003</v>
      </c>
      <c r="V24" s="632">
        <f t="shared" si="38"/>
        <v>1984.1721508000003</v>
      </c>
      <c r="W24" s="632">
        <f t="shared" si="38"/>
        <v>1984.1721508000003</v>
      </c>
      <c r="X24" s="632">
        <f t="shared" si="38"/>
        <v>1984.1721508000003</v>
      </c>
      <c r="Y24" s="632">
        <f t="shared" si="38"/>
        <v>1984.1721508000003</v>
      </c>
      <c r="Z24" s="632">
        <f t="shared" si="38"/>
        <v>1984.1721508000003</v>
      </c>
      <c r="AA24" s="632">
        <f t="shared" si="38"/>
        <v>1984.1721508000003</v>
      </c>
      <c r="AB24" s="632">
        <f t="shared" si="38"/>
        <v>1984.1721508000003</v>
      </c>
      <c r="AC24" s="632">
        <f t="shared" si="38"/>
        <v>1984.1721508000003</v>
      </c>
      <c r="AD24" s="632">
        <f t="shared" si="38"/>
        <v>1984.1721508000003</v>
      </c>
      <c r="AE24" s="632">
        <f t="shared" si="38"/>
        <v>1984.1721508000003</v>
      </c>
      <c r="AF24" s="632">
        <f t="shared" si="38"/>
        <v>1984.1721508000003</v>
      </c>
      <c r="AH24" s="587"/>
      <c r="AK24" s="588"/>
      <c r="AM24" s="589"/>
      <c r="AN24" s="591"/>
      <c r="AP24" s="591"/>
      <c r="AQ24" s="591"/>
    </row>
    <row r="25" spans="1:43" s="634" customFormat="1" ht="16.5" hidden="1" customHeight="1" outlineLevel="2">
      <c r="A25" s="584"/>
      <c r="B25" s="580" t="s">
        <v>889</v>
      </c>
      <c r="C25" s="637">
        <f>C26*C27</f>
        <v>30320.999999999996</v>
      </c>
      <c r="D25" s="637">
        <f t="shared" ref="D25:AF25" si="39">D26*D27</f>
        <v>30320.999999999996</v>
      </c>
      <c r="E25" s="637">
        <f t="shared" si="39"/>
        <v>30320.999999999996</v>
      </c>
      <c r="F25" s="637">
        <f t="shared" si="39"/>
        <v>30320.999999999996</v>
      </c>
      <c r="G25" s="637">
        <f t="shared" si="39"/>
        <v>30320.999999999996</v>
      </c>
      <c r="H25" s="637">
        <f t="shared" si="39"/>
        <v>30320.999999999996</v>
      </c>
      <c r="I25" s="637">
        <f t="shared" si="39"/>
        <v>30320.999999999996</v>
      </c>
      <c r="J25" s="637">
        <f t="shared" si="39"/>
        <v>30320.999999999996</v>
      </c>
      <c r="K25" s="637">
        <f t="shared" si="39"/>
        <v>30320.999999999996</v>
      </c>
      <c r="L25" s="637">
        <f t="shared" si="39"/>
        <v>30320.999999999996</v>
      </c>
      <c r="M25" s="637">
        <f t="shared" si="39"/>
        <v>30320.999999999996</v>
      </c>
      <c r="N25" s="637">
        <f t="shared" si="39"/>
        <v>30320.999999999996</v>
      </c>
      <c r="O25" s="637">
        <f t="shared" si="39"/>
        <v>30320.999999999996</v>
      </c>
      <c r="P25" s="637">
        <f t="shared" si="39"/>
        <v>30320.999999999996</v>
      </c>
      <c r="Q25" s="637">
        <f t="shared" si="39"/>
        <v>30320.999999999996</v>
      </c>
      <c r="R25" s="637">
        <f t="shared" si="39"/>
        <v>30320.999999999996</v>
      </c>
      <c r="S25" s="637">
        <f t="shared" si="39"/>
        <v>30320.999999999996</v>
      </c>
      <c r="T25" s="637">
        <f t="shared" si="39"/>
        <v>30320.999999999996</v>
      </c>
      <c r="U25" s="637">
        <f t="shared" si="39"/>
        <v>30320.999999999996</v>
      </c>
      <c r="V25" s="637">
        <f t="shared" si="39"/>
        <v>30320.999999999996</v>
      </c>
      <c r="W25" s="637">
        <f t="shared" si="39"/>
        <v>30320.999999999996</v>
      </c>
      <c r="X25" s="637">
        <f t="shared" si="39"/>
        <v>30320.999999999996</v>
      </c>
      <c r="Y25" s="637">
        <f t="shared" si="39"/>
        <v>30320.999999999996</v>
      </c>
      <c r="Z25" s="637">
        <f t="shared" si="39"/>
        <v>30320.999999999996</v>
      </c>
      <c r="AA25" s="637">
        <f t="shared" si="39"/>
        <v>30320.999999999996</v>
      </c>
      <c r="AB25" s="637">
        <f t="shared" si="39"/>
        <v>30320.999999999996</v>
      </c>
      <c r="AC25" s="637">
        <f t="shared" si="39"/>
        <v>30320.999999999996</v>
      </c>
      <c r="AD25" s="637">
        <f t="shared" si="39"/>
        <v>30320.999999999996</v>
      </c>
      <c r="AE25" s="637">
        <f t="shared" si="39"/>
        <v>30320.999999999996</v>
      </c>
      <c r="AF25" s="637">
        <f t="shared" si="39"/>
        <v>30320.999999999996</v>
      </c>
      <c r="AH25" s="635"/>
      <c r="AK25" s="588"/>
      <c r="AM25" s="715"/>
      <c r="AN25" s="591"/>
      <c r="AP25" s="636"/>
      <c r="AQ25" s="636"/>
    </row>
    <row r="26" spans="1:43" s="586" customFormat="1" ht="16.5" hidden="1" customHeight="1" outlineLevel="2">
      <c r="A26" s="584"/>
      <c r="B26" s="585" t="s">
        <v>805</v>
      </c>
      <c r="C26" s="716">
        <v>225</v>
      </c>
      <c r="D26" s="716">
        <v>225</v>
      </c>
      <c r="E26" s="716">
        <v>225</v>
      </c>
      <c r="F26" s="716">
        <v>225</v>
      </c>
      <c r="G26" s="716">
        <v>225</v>
      </c>
      <c r="H26" s="716">
        <v>225</v>
      </c>
      <c r="I26" s="716">
        <v>225</v>
      </c>
      <c r="J26" s="716">
        <v>225</v>
      </c>
      <c r="K26" s="716">
        <v>225</v>
      </c>
      <c r="L26" s="716">
        <v>225</v>
      </c>
      <c r="M26" s="716">
        <v>225</v>
      </c>
      <c r="N26" s="716">
        <v>225</v>
      </c>
      <c r="O26" s="716">
        <v>225</v>
      </c>
      <c r="P26" s="716">
        <v>225</v>
      </c>
      <c r="Q26" s="716">
        <v>225</v>
      </c>
      <c r="R26" s="716">
        <v>225</v>
      </c>
      <c r="S26" s="716">
        <v>225</v>
      </c>
      <c r="T26" s="716">
        <v>225</v>
      </c>
      <c r="U26" s="716">
        <v>225</v>
      </c>
      <c r="V26" s="716">
        <v>225</v>
      </c>
      <c r="W26" s="716">
        <v>225</v>
      </c>
      <c r="X26" s="716">
        <v>225</v>
      </c>
      <c r="Y26" s="716">
        <v>225</v>
      </c>
      <c r="Z26" s="716">
        <v>225</v>
      </c>
      <c r="AA26" s="716">
        <v>225</v>
      </c>
      <c r="AB26" s="716">
        <v>225</v>
      </c>
      <c r="AC26" s="716">
        <v>225</v>
      </c>
      <c r="AD26" s="716">
        <v>225</v>
      </c>
      <c r="AE26" s="716">
        <v>225</v>
      </c>
      <c r="AF26" s="716">
        <v>225</v>
      </c>
      <c r="AH26" s="587"/>
      <c r="AK26" s="588"/>
      <c r="AM26" s="589"/>
      <c r="AN26" s="590"/>
      <c r="AP26" s="591"/>
      <c r="AQ26" s="591"/>
    </row>
    <row r="27" spans="1:43" s="586" customFormat="1" ht="16.5" hidden="1" customHeight="1" outlineLevel="2">
      <c r="A27" s="584"/>
      <c r="B27" s="585" t="s">
        <v>888</v>
      </c>
      <c r="C27" s="632">
        <f>Insumos!$E$168</f>
        <v>134.76</v>
      </c>
      <c r="D27" s="632">
        <f>C27</f>
        <v>134.76</v>
      </c>
      <c r="E27" s="632">
        <f t="shared" ref="E27:AF27" si="40">D27</f>
        <v>134.76</v>
      </c>
      <c r="F27" s="632">
        <f t="shared" si="40"/>
        <v>134.76</v>
      </c>
      <c r="G27" s="632">
        <f t="shared" si="40"/>
        <v>134.76</v>
      </c>
      <c r="H27" s="632">
        <f t="shared" si="40"/>
        <v>134.76</v>
      </c>
      <c r="I27" s="632">
        <f t="shared" si="40"/>
        <v>134.76</v>
      </c>
      <c r="J27" s="632">
        <f t="shared" si="40"/>
        <v>134.76</v>
      </c>
      <c r="K27" s="632">
        <f t="shared" si="40"/>
        <v>134.76</v>
      </c>
      <c r="L27" s="632">
        <f t="shared" si="40"/>
        <v>134.76</v>
      </c>
      <c r="M27" s="632">
        <f t="shared" si="40"/>
        <v>134.76</v>
      </c>
      <c r="N27" s="632">
        <f t="shared" si="40"/>
        <v>134.76</v>
      </c>
      <c r="O27" s="632">
        <f t="shared" si="40"/>
        <v>134.76</v>
      </c>
      <c r="P27" s="632">
        <f t="shared" si="40"/>
        <v>134.76</v>
      </c>
      <c r="Q27" s="632">
        <f t="shared" si="40"/>
        <v>134.76</v>
      </c>
      <c r="R27" s="632">
        <f t="shared" si="40"/>
        <v>134.76</v>
      </c>
      <c r="S27" s="632">
        <f t="shared" si="40"/>
        <v>134.76</v>
      </c>
      <c r="T27" s="632">
        <f t="shared" si="40"/>
        <v>134.76</v>
      </c>
      <c r="U27" s="632">
        <f t="shared" si="40"/>
        <v>134.76</v>
      </c>
      <c r="V27" s="632">
        <f t="shared" si="40"/>
        <v>134.76</v>
      </c>
      <c r="W27" s="632">
        <f t="shared" si="40"/>
        <v>134.76</v>
      </c>
      <c r="X27" s="632">
        <f t="shared" si="40"/>
        <v>134.76</v>
      </c>
      <c r="Y27" s="632">
        <f t="shared" si="40"/>
        <v>134.76</v>
      </c>
      <c r="Z27" s="632">
        <f t="shared" si="40"/>
        <v>134.76</v>
      </c>
      <c r="AA27" s="632">
        <f t="shared" si="40"/>
        <v>134.76</v>
      </c>
      <c r="AB27" s="632">
        <f t="shared" si="40"/>
        <v>134.76</v>
      </c>
      <c r="AC27" s="632">
        <f t="shared" si="40"/>
        <v>134.76</v>
      </c>
      <c r="AD27" s="632">
        <f t="shared" si="40"/>
        <v>134.76</v>
      </c>
      <c r="AE27" s="632">
        <f t="shared" si="40"/>
        <v>134.76</v>
      </c>
      <c r="AF27" s="632">
        <f t="shared" si="40"/>
        <v>134.76</v>
      </c>
      <c r="AH27" s="587"/>
      <c r="AK27" s="588"/>
      <c r="AM27" s="589"/>
      <c r="AN27" s="591"/>
      <c r="AP27" s="591"/>
      <c r="AQ27" s="591"/>
    </row>
    <row r="28" spans="1:43" s="513" customFormat="1" ht="3" hidden="1" customHeight="1" outlineLevel="2">
      <c r="A28" s="584"/>
      <c r="B28" s="572"/>
      <c r="C28" s="575"/>
      <c r="D28" s="575"/>
      <c r="E28" s="575"/>
      <c r="F28" s="575"/>
      <c r="G28" s="575"/>
      <c r="H28" s="575"/>
      <c r="I28" s="575"/>
      <c r="J28" s="575"/>
      <c r="K28" s="575"/>
      <c r="L28" s="575"/>
      <c r="M28" s="575"/>
      <c r="N28" s="575"/>
      <c r="O28" s="575"/>
      <c r="P28" s="575"/>
      <c r="Q28" s="575"/>
      <c r="R28" s="575"/>
      <c r="S28" s="575"/>
      <c r="T28" s="575"/>
      <c r="U28" s="575"/>
      <c r="V28" s="575"/>
      <c r="W28" s="575"/>
      <c r="X28" s="575"/>
      <c r="Y28" s="575"/>
      <c r="Z28" s="575"/>
      <c r="AA28" s="575"/>
      <c r="AB28" s="575"/>
      <c r="AC28" s="575"/>
      <c r="AD28" s="575"/>
      <c r="AE28" s="575"/>
      <c r="AF28" s="575"/>
      <c r="AH28" s="538"/>
      <c r="AK28" s="531"/>
      <c r="AM28" s="539"/>
      <c r="AN28" s="535"/>
      <c r="AP28" s="540"/>
      <c r="AQ28" s="540"/>
    </row>
    <row r="29" spans="1:43" s="564" customFormat="1" ht="16.5" hidden="1" customHeight="1" outlineLevel="1" collapsed="1">
      <c r="A29" s="584"/>
      <c r="B29" s="576" t="s">
        <v>890</v>
      </c>
      <c r="C29" s="577">
        <f>SUM(C30,C34,C38)*12/10^3</f>
        <v>663.73358250000001</v>
      </c>
      <c r="D29" s="577">
        <f t="shared" ref="D29:AF29" si="41">SUM(D30,D34,D38)*12/10^3</f>
        <v>663.73358250000001</v>
      </c>
      <c r="E29" s="577">
        <f t="shared" si="41"/>
        <v>693.69758250000007</v>
      </c>
      <c r="F29" s="577">
        <f t="shared" si="41"/>
        <v>723.66158250000001</v>
      </c>
      <c r="G29" s="577">
        <f t="shared" si="41"/>
        <v>723.66158250000001</v>
      </c>
      <c r="H29" s="577">
        <f t="shared" si="41"/>
        <v>723.66158250000001</v>
      </c>
      <c r="I29" s="577">
        <f t="shared" si="41"/>
        <v>723.66158250000001</v>
      </c>
      <c r="J29" s="577">
        <f t="shared" si="41"/>
        <v>723.66158250000001</v>
      </c>
      <c r="K29" s="577">
        <f t="shared" si="41"/>
        <v>723.66158250000001</v>
      </c>
      <c r="L29" s="577">
        <f t="shared" si="41"/>
        <v>723.66158250000001</v>
      </c>
      <c r="M29" s="577">
        <f t="shared" si="41"/>
        <v>723.66158250000001</v>
      </c>
      <c r="N29" s="577">
        <f t="shared" si="41"/>
        <v>723.66158250000001</v>
      </c>
      <c r="O29" s="577">
        <f t="shared" si="41"/>
        <v>723.66158250000001</v>
      </c>
      <c r="P29" s="577">
        <f t="shared" si="41"/>
        <v>723.66158250000001</v>
      </c>
      <c r="Q29" s="577">
        <f t="shared" si="41"/>
        <v>723.66158250000001</v>
      </c>
      <c r="R29" s="577">
        <f t="shared" si="41"/>
        <v>723.66158250000001</v>
      </c>
      <c r="S29" s="577">
        <f t="shared" si="41"/>
        <v>723.66158250000001</v>
      </c>
      <c r="T29" s="577">
        <f t="shared" si="41"/>
        <v>723.66158250000001</v>
      </c>
      <c r="U29" s="577">
        <f t="shared" si="41"/>
        <v>723.66158250000001</v>
      </c>
      <c r="V29" s="577">
        <f t="shared" si="41"/>
        <v>723.66158250000001</v>
      </c>
      <c r="W29" s="577">
        <f t="shared" si="41"/>
        <v>723.66158250000001</v>
      </c>
      <c r="X29" s="577">
        <f t="shared" si="41"/>
        <v>723.66158250000001</v>
      </c>
      <c r="Y29" s="577">
        <f t="shared" si="41"/>
        <v>723.66158250000001</v>
      </c>
      <c r="Z29" s="577">
        <f t="shared" si="41"/>
        <v>723.66158250000001</v>
      </c>
      <c r="AA29" s="577">
        <f t="shared" si="41"/>
        <v>723.66158250000001</v>
      </c>
      <c r="AB29" s="577">
        <f t="shared" si="41"/>
        <v>723.66158250000001</v>
      </c>
      <c r="AC29" s="577">
        <f t="shared" si="41"/>
        <v>723.66158250000001</v>
      </c>
      <c r="AD29" s="577">
        <f t="shared" si="41"/>
        <v>723.66158250000001</v>
      </c>
      <c r="AE29" s="577">
        <f t="shared" si="41"/>
        <v>723.66158250000001</v>
      </c>
      <c r="AF29" s="577">
        <f t="shared" si="41"/>
        <v>723.66158250000001</v>
      </c>
      <c r="AH29" s="578">
        <f>SUM(C29:AF29)</f>
        <v>21560.027475000014</v>
      </c>
      <c r="AJ29" s="579"/>
      <c r="AK29" s="531"/>
      <c r="AM29" s="567"/>
      <c r="AN29" s="535"/>
      <c r="AP29" s="568"/>
      <c r="AQ29" s="568"/>
    </row>
    <row r="30" spans="1:43" s="546" customFormat="1" ht="16.5" hidden="1" customHeight="1" outlineLevel="2">
      <c r="A30" s="584"/>
      <c r="B30" s="580" t="s">
        <v>806</v>
      </c>
      <c r="C30" s="581">
        <f>C32*C33</f>
        <v>55046.631875000006</v>
      </c>
      <c r="D30" s="581">
        <f t="shared" ref="D30:AF30" si="42">D32*D33</f>
        <v>55046.631875000006</v>
      </c>
      <c r="E30" s="581">
        <f t="shared" si="42"/>
        <v>55046.631875000006</v>
      </c>
      <c r="F30" s="581">
        <f t="shared" si="42"/>
        <v>55046.631875000006</v>
      </c>
      <c r="G30" s="581">
        <f t="shared" si="42"/>
        <v>55046.631875000006</v>
      </c>
      <c r="H30" s="581">
        <f t="shared" si="42"/>
        <v>55046.631875000006</v>
      </c>
      <c r="I30" s="581">
        <f t="shared" si="42"/>
        <v>55046.631875000006</v>
      </c>
      <c r="J30" s="581">
        <f t="shared" si="42"/>
        <v>55046.631875000006</v>
      </c>
      <c r="K30" s="581">
        <f t="shared" si="42"/>
        <v>55046.631875000006</v>
      </c>
      <c r="L30" s="581">
        <f t="shared" si="42"/>
        <v>55046.631875000006</v>
      </c>
      <c r="M30" s="581">
        <f t="shared" si="42"/>
        <v>55046.631875000006</v>
      </c>
      <c r="N30" s="581">
        <f t="shared" si="42"/>
        <v>55046.631875000006</v>
      </c>
      <c r="O30" s="581">
        <f t="shared" si="42"/>
        <v>55046.631875000006</v>
      </c>
      <c r="P30" s="581">
        <f t="shared" si="42"/>
        <v>55046.631875000006</v>
      </c>
      <c r="Q30" s="581">
        <f t="shared" si="42"/>
        <v>55046.631875000006</v>
      </c>
      <c r="R30" s="581">
        <f t="shared" si="42"/>
        <v>55046.631875000006</v>
      </c>
      <c r="S30" s="581">
        <f t="shared" si="42"/>
        <v>55046.631875000006</v>
      </c>
      <c r="T30" s="581">
        <f t="shared" si="42"/>
        <v>55046.631875000006</v>
      </c>
      <c r="U30" s="581">
        <f t="shared" si="42"/>
        <v>55046.631875000006</v>
      </c>
      <c r="V30" s="581">
        <f t="shared" si="42"/>
        <v>55046.631875000006</v>
      </c>
      <c r="W30" s="581">
        <f t="shared" si="42"/>
        <v>55046.631875000006</v>
      </c>
      <c r="X30" s="581">
        <f t="shared" si="42"/>
        <v>55046.631875000006</v>
      </c>
      <c r="Y30" s="581">
        <f t="shared" si="42"/>
        <v>55046.631875000006</v>
      </c>
      <c r="Z30" s="581">
        <f t="shared" si="42"/>
        <v>55046.631875000006</v>
      </c>
      <c r="AA30" s="581">
        <f t="shared" si="42"/>
        <v>55046.631875000006</v>
      </c>
      <c r="AB30" s="581">
        <f t="shared" si="42"/>
        <v>55046.631875000006</v>
      </c>
      <c r="AC30" s="581">
        <f t="shared" si="42"/>
        <v>55046.631875000006</v>
      </c>
      <c r="AD30" s="581">
        <f t="shared" si="42"/>
        <v>55046.631875000006</v>
      </c>
      <c r="AE30" s="581">
        <f t="shared" si="42"/>
        <v>55046.631875000006</v>
      </c>
      <c r="AF30" s="581">
        <f t="shared" si="42"/>
        <v>55046.631875000006</v>
      </c>
      <c r="AH30" s="571"/>
      <c r="AK30" s="531"/>
      <c r="AM30" s="548"/>
      <c r="AN30" s="535"/>
      <c r="AP30" s="549"/>
      <c r="AQ30" s="549"/>
    </row>
    <row r="31" spans="1:43" s="513" customFormat="1" ht="16.5" hidden="1" customHeight="1" outlineLevel="2">
      <c r="A31" s="584"/>
      <c r="B31" s="572" t="s">
        <v>891</v>
      </c>
      <c r="C31" s="574">
        <v>2000</v>
      </c>
      <c r="D31" s="574">
        <f>C31</f>
        <v>2000</v>
      </c>
      <c r="E31" s="574">
        <f t="shared" ref="E31:AF31" si="43">D31</f>
        <v>2000</v>
      </c>
      <c r="F31" s="574">
        <f t="shared" si="43"/>
        <v>2000</v>
      </c>
      <c r="G31" s="574">
        <f t="shared" si="43"/>
        <v>2000</v>
      </c>
      <c r="H31" s="574">
        <f t="shared" si="43"/>
        <v>2000</v>
      </c>
      <c r="I31" s="574">
        <f t="shared" si="43"/>
        <v>2000</v>
      </c>
      <c r="J31" s="574">
        <f t="shared" si="43"/>
        <v>2000</v>
      </c>
      <c r="K31" s="574">
        <f t="shared" si="43"/>
        <v>2000</v>
      </c>
      <c r="L31" s="574">
        <f t="shared" si="43"/>
        <v>2000</v>
      </c>
      <c r="M31" s="574">
        <f t="shared" si="43"/>
        <v>2000</v>
      </c>
      <c r="N31" s="574">
        <f t="shared" si="43"/>
        <v>2000</v>
      </c>
      <c r="O31" s="574">
        <f t="shared" si="43"/>
        <v>2000</v>
      </c>
      <c r="P31" s="574">
        <f t="shared" si="43"/>
        <v>2000</v>
      </c>
      <c r="Q31" s="574">
        <f t="shared" si="43"/>
        <v>2000</v>
      </c>
      <c r="R31" s="574">
        <f t="shared" si="43"/>
        <v>2000</v>
      </c>
      <c r="S31" s="574">
        <f t="shared" si="43"/>
        <v>2000</v>
      </c>
      <c r="T31" s="574">
        <f t="shared" si="43"/>
        <v>2000</v>
      </c>
      <c r="U31" s="574">
        <f t="shared" si="43"/>
        <v>2000</v>
      </c>
      <c r="V31" s="574">
        <f t="shared" si="43"/>
        <v>2000</v>
      </c>
      <c r="W31" s="574">
        <f t="shared" si="43"/>
        <v>2000</v>
      </c>
      <c r="X31" s="574">
        <f t="shared" si="43"/>
        <v>2000</v>
      </c>
      <c r="Y31" s="574">
        <f t="shared" si="43"/>
        <v>2000</v>
      </c>
      <c r="Z31" s="574">
        <f t="shared" si="43"/>
        <v>2000</v>
      </c>
      <c r="AA31" s="574">
        <f t="shared" si="43"/>
        <v>2000</v>
      </c>
      <c r="AB31" s="574">
        <f t="shared" si="43"/>
        <v>2000</v>
      </c>
      <c r="AC31" s="574">
        <f t="shared" si="43"/>
        <v>2000</v>
      </c>
      <c r="AD31" s="574">
        <f t="shared" si="43"/>
        <v>2000</v>
      </c>
      <c r="AE31" s="574">
        <f t="shared" si="43"/>
        <v>2000</v>
      </c>
      <c r="AF31" s="574">
        <f t="shared" si="43"/>
        <v>2000</v>
      </c>
      <c r="AH31" s="538"/>
      <c r="AK31" s="531"/>
      <c r="AM31" s="539"/>
      <c r="AN31" s="535"/>
      <c r="AP31" s="540"/>
      <c r="AQ31" s="540"/>
    </row>
    <row r="32" spans="1:43" s="586" customFormat="1" ht="16.5" hidden="1" customHeight="1" outlineLevel="2">
      <c r="A32" s="584"/>
      <c r="B32" s="585" t="s">
        <v>805</v>
      </c>
      <c r="C32" s="716">
        <f>C$12+C$18</f>
        <v>5</v>
      </c>
      <c r="D32" s="716">
        <f t="shared" ref="D32:AF32" si="44">D$12+D$18</f>
        <v>5</v>
      </c>
      <c r="E32" s="716">
        <f t="shared" si="44"/>
        <v>5</v>
      </c>
      <c r="F32" s="716">
        <f t="shared" si="44"/>
        <v>5</v>
      </c>
      <c r="G32" s="716">
        <f t="shared" si="44"/>
        <v>5</v>
      </c>
      <c r="H32" s="716">
        <f t="shared" si="44"/>
        <v>5</v>
      </c>
      <c r="I32" s="716">
        <f t="shared" si="44"/>
        <v>5</v>
      </c>
      <c r="J32" s="716">
        <f t="shared" si="44"/>
        <v>5</v>
      </c>
      <c r="K32" s="716">
        <f t="shared" si="44"/>
        <v>5</v>
      </c>
      <c r="L32" s="716">
        <f t="shared" si="44"/>
        <v>5</v>
      </c>
      <c r="M32" s="716">
        <f t="shared" si="44"/>
        <v>5</v>
      </c>
      <c r="N32" s="716">
        <f t="shared" si="44"/>
        <v>5</v>
      </c>
      <c r="O32" s="716">
        <f t="shared" si="44"/>
        <v>5</v>
      </c>
      <c r="P32" s="716">
        <f t="shared" si="44"/>
        <v>5</v>
      </c>
      <c r="Q32" s="716">
        <f t="shared" si="44"/>
        <v>5</v>
      </c>
      <c r="R32" s="716">
        <f t="shared" si="44"/>
        <v>5</v>
      </c>
      <c r="S32" s="716">
        <f t="shared" si="44"/>
        <v>5</v>
      </c>
      <c r="T32" s="716">
        <f t="shared" si="44"/>
        <v>5</v>
      </c>
      <c r="U32" s="716">
        <f t="shared" si="44"/>
        <v>5</v>
      </c>
      <c r="V32" s="716">
        <f t="shared" si="44"/>
        <v>5</v>
      </c>
      <c r="W32" s="716">
        <f t="shared" si="44"/>
        <v>5</v>
      </c>
      <c r="X32" s="716">
        <f t="shared" si="44"/>
        <v>5</v>
      </c>
      <c r="Y32" s="716">
        <f t="shared" si="44"/>
        <v>5</v>
      </c>
      <c r="Z32" s="716">
        <f t="shared" si="44"/>
        <v>5</v>
      </c>
      <c r="AA32" s="716">
        <f t="shared" si="44"/>
        <v>5</v>
      </c>
      <c r="AB32" s="716">
        <f t="shared" si="44"/>
        <v>5</v>
      </c>
      <c r="AC32" s="716">
        <f t="shared" si="44"/>
        <v>5</v>
      </c>
      <c r="AD32" s="716">
        <f t="shared" si="44"/>
        <v>5</v>
      </c>
      <c r="AE32" s="716">
        <f t="shared" si="44"/>
        <v>5</v>
      </c>
      <c r="AF32" s="716">
        <f t="shared" si="44"/>
        <v>5</v>
      </c>
      <c r="AH32" s="587"/>
      <c r="AK32" s="588"/>
      <c r="AM32" s="589"/>
      <c r="AN32" s="590"/>
      <c r="AP32" s="591"/>
      <c r="AQ32" s="591"/>
    </row>
    <row r="33" spans="1:43" s="513" customFormat="1" ht="16.5" hidden="1" customHeight="1" outlineLevel="2">
      <c r="A33" s="584"/>
      <c r="B33" s="572" t="s">
        <v>888</v>
      </c>
      <c r="C33" s="574">
        <f>CAPEX!$C$17*(0.83%+0.42%)</f>
        <v>11009.326375000001</v>
      </c>
      <c r="D33" s="574">
        <f>C33</f>
        <v>11009.326375000001</v>
      </c>
      <c r="E33" s="574">
        <f t="shared" ref="E33:AF33" si="45">D33</f>
        <v>11009.326375000001</v>
      </c>
      <c r="F33" s="574">
        <f t="shared" si="45"/>
        <v>11009.326375000001</v>
      </c>
      <c r="G33" s="574">
        <f t="shared" si="45"/>
        <v>11009.326375000001</v>
      </c>
      <c r="H33" s="574">
        <f t="shared" si="45"/>
        <v>11009.326375000001</v>
      </c>
      <c r="I33" s="574">
        <f t="shared" si="45"/>
        <v>11009.326375000001</v>
      </c>
      <c r="J33" s="574">
        <f t="shared" si="45"/>
        <v>11009.326375000001</v>
      </c>
      <c r="K33" s="574">
        <f t="shared" si="45"/>
        <v>11009.326375000001</v>
      </c>
      <c r="L33" s="574">
        <f t="shared" si="45"/>
        <v>11009.326375000001</v>
      </c>
      <c r="M33" s="574">
        <f t="shared" si="45"/>
        <v>11009.326375000001</v>
      </c>
      <c r="N33" s="574">
        <f t="shared" si="45"/>
        <v>11009.326375000001</v>
      </c>
      <c r="O33" s="574">
        <f t="shared" si="45"/>
        <v>11009.326375000001</v>
      </c>
      <c r="P33" s="574">
        <f t="shared" si="45"/>
        <v>11009.326375000001</v>
      </c>
      <c r="Q33" s="574">
        <f t="shared" si="45"/>
        <v>11009.326375000001</v>
      </c>
      <c r="R33" s="574">
        <f t="shared" si="45"/>
        <v>11009.326375000001</v>
      </c>
      <c r="S33" s="574">
        <f t="shared" si="45"/>
        <v>11009.326375000001</v>
      </c>
      <c r="T33" s="574">
        <f t="shared" si="45"/>
        <v>11009.326375000001</v>
      </c>
      <c r="U33" s="574">
        <f t="shared" si="45"/>
        <v>11009.326375000001</v>
      </c>
      <c r="V33" s="574">
        <f t="shared" si="45"/>
        <v>11009.326375000001</v>
      </c>
      <c r="W33" s="574">
        <f t="shared" si="45"/>
        <v>11009.326375000001</v>
      </c>
      <c r="X33" s="574">
        <f t="shared" si="45"/>
        <v>11009.326375000001</v>
      </c>
      <c r="Y33" s="574">
        <f t="shared" si="45"/>
        <v>11009.326375000001</v>
      </c>
      <c r="Z33" s="574">
        <f t="shared" si="45"/>
        <v>11009.326375000001</v>
      </c>
      <c r="AA33" s="574">
        <f t="shared" si="45"/>
        <v>11009.326375000001</v>
      </c>
      <c r="AB33" s="574">
        <f t="shared" si="45"/>
        <v>11009.326375000001</v>
      </c>
      <c r="AC33" s="574">
        <f t="shared" si="45"/>
        <v>11009.326375000001</v>
      </c>
      <c r="AD33" s="574">
        <f t="shared" si="45"/>
        <v>11009.326375000001</v>
      </c>
      <c r="AE33" s="574">
        <f t="shared" si="45"/>
        <v>11009.326375000001</v>
      </c>
      <c r="AF33" s="574">
        <f t="shared" si="45"/>
        <v>11009.326375000001</v>
      </c>
      <c r="AH33" s="538"/>
      <c r="AK33" s="531"/>
      <c r="AM33" s="539"/>
      <c r="AN33" s="535"/>
      <c r="AP33" s="540"/>
      <c r="AQ33" s="540"/>
    </row>
    <row r="34" spans="1:43" s="546" customFormat="1" ht="16.5" hidden="1" customHeight="1" outlineLevel="2">
      <c r="A34" s="584"/>
      <c r="B34" s="569" t="s">
        <v>808</v>
      </c>
      <c r="C34" s="581">
        <f>C36*C37</f>
        <v>264.5</v>
      </c>
      <c r="D34" s="581">
        <f t="shared" ref="D34:AF34" si="46">D36*D37</f>
        <v>264.5</v>
      </c>
      <c r="E34" s="581">
        <f t="shared" si="46"/>
        <v>264.5</v>
      </c>
      <c r="F34" s="581">
        <f>F36*F37</f>
        <v>264.5</v>
      </c>
      <c r="G34" s="581">
        <f t="shared" si="46"/>
        <v>264.5</v>
      </c>
      <c r="H34" s="581">
        <f t="shared" si="46"/>
        <v>264.5</v>
      </c>
      <c r="I34" s="581">
        <f t="shared" si="46"/>
        <v>264.5</v>
      </c>
      <c r="J34" s="581">
        <f t="shared" si="46"/>
        <v>264.5</v>
      </c>
      <c r="K34" s="581">
        <f t="shared" si="46"/>
        <v>264.5</v>
      </c>
      <c r="L34" s="581">
        <f t="shared" si="46"/>
        <v>264.5</v>
      </c>
      <c r="M34" s="581">
        <f t="shared" si="46"/>
        <v>264.5</v>
      </c>
      <c r="N34" s="581">
        <f t="shared" si="46"/>
        <v>264.5</v>
      </c>
      <c r="O34" s="581">
        <f t="shared" si="46"/>
        <v>264.5</v>
      </c>
      <c r="P34" s="581">
        <f t="shared" si="46"/>
        <v>264.5</v>
      </c>
      <c r="Q34" s="581">
        <f t="shared" si="46"/>
        <v>264.5</v>
      </c>
      <c r="R34" s="581">
        <f t="shared" si="46"/>
        <v>264.5</v>
      </c>
      <c r="S34" s="581">
        <f t="shared" si="46"/>
        <v>264.5</v>
      </c>
      <c r="T34" s="581">
        <f t="shared" si="46"/>
        <v>264.5</v>
      </c>
      <c r="U34" s="581">
        <f t="shared" si="46"/>
        <v>264.5</v>
      </c>
      <c r="V34" s="581">
        <f t="shared" si="46"/>
        <v>264.5</v>
      </c>
      <c r="W34" s="581">
        <f t="shared" si="46"/>
        <v>264.5</v>
      </c>
      <c r="X34" s="581">
        <f t="shared" si="46"/>
        <v>264.5</v>
      </c>
      <c r="Y34" s="581">
        <f t="shared" si="46"/>
        <v>264.5</v>
      </c>
      <c r="Z34" s="581">
        <f t="shared" si="46"/>
        <v>264.5</v>
      </c>
      <c r="AA34" s="581">
        <f t="shared" si="46"/>
        <v>264.5</v>
      </c>
      <c r="AB34" s="581">
        <f t="shared" si="46"/>
        <v>264.5</v>
      </c>
      <c r="AC34" s="581">
        <f t="shared" si="46"/>
        <v>264.5</v>
      </c>
      <c r="AD34" s="581">
        <f t="shared" si="46"/>
        <v>264.5</v>
      </c>
      <c r="AE34" s="581">
        <f t="shared" si="46"/>
        <v>264.5</v>
      </c>
      <c r="AF34" s="581">
        <f t="shared" si="46"/>
        <v>264.5</v>
      </c>
      <c r="AH34" s="571"/>
      <c r="AK34" s="531"/>
      <c r="AM34" s="548"/>
      <c r="AN34" s="535"/>
      <c r="AP34" s="549"/>
      <c r="AQ34" s="549"/>
    </row>
    <row r="35" spans="1:43" s="513" customFormat="1" ht="16.5" hidden="1" customHeight="1" outlineLevel="2">
      <c r="A35" s="584"/>
      <c r="B35" s="572" t="s">
        <v>891</v>
      </c>
      <c r="C35" s="574">
        <f>35*2*25.92</f>
        <v>1814.4</v>
      </c>
      <c r="D35" s="574">
        <f>C35</f>
        <v>1814.4</v>
      </c>
      <c r="E35" s="574">
        <f t="shared" ref="E35:AF35" si="47">D35</f>
        <v>1814.4</v>
      </c>
      <c r="F35" s="574">
        <f t="shared" si="47"/>
        <v>1814.4</v>
      </c>
      <c r="G35" s="574">
        <f t="shared" si="47"/>
        <v>1814.4</v>
      </c>
      <c r="H35" s="574">
        <f t="shared" si="47"/>
        <v>1814.4</v>
      </c>
      <c r="I35" s="574">
        <f t="shared" si="47"/>
        <v>1814.4</v>
      </c>
      <c r="J35" s="574">
        <f t="shared" si="47"/>
        <v>1814.4</v>
      </c>
      <c r="K35" s="574">
        <f t="shared" si="47"/>
        <v>1814.4</v>
      </c>
      <c r="L35" s="574">
        <f t="shared" si="47"/>
        <v>1814.4</v>
      </c>
      <c r="M35" s="574">
        <f t="shared" si="47"/>
        <v>1814.4</v>
      </c>
      <c r="N35" s="574">
        <f t="shared" si="47"/>
        <v>1814.4</v>
      </c>
      <c r="O35" s="574">
        <f t="shared" si="47"/>
        <v>1814.4</v>
      </c>
      <c r="P35" s="574">
        <f t="shared" si="47"/>
        <v>1814.4</v>
      </c>
      <c r="Q35" s="574">
        <f t="shared" si="47"/>
        <v>1814.4</v>
      </c>
      <c r="R35" s="574">
        <f t="shared" si="47"/>
        <v>1814.4</v>
      </c>
      <c r="S35" s="574">
        <f t="shared" si="47"/>
        <v>1814.4</v>
      </c>
      <c r="T35" s="574">
        <f t="shared" si="47"/>
        <v>1814.4</v>
      </c>
      <c r="U35" s="574">
        <f t="shared" si="47"/>
        <v>1814.4</v>
      </c>
      <c r="V35" s="574">
        <f t="shared" si="47"/>
        <v>1814.4</v>
      </c>
      <c r="W35" s="574">
        <f t="shared" si="47"/>
        <v>1814.4</v>
      </c>
      <c r="X35" s="574">
        <f t="shared" si="47"/>
        <v>1814.4</v>
      </c>
      <c r="Y35" s="574">
        <f t="shared" si="47"/>
        <v>1814.4</v>
      </c>
      <c r="Z35" s="574">
        <f t="shared" si="47"/>
        <v>1814.4</v>
      </c>
      <c r="AA35" s="574">
        <f t="shared" si="47"/>
        <v>1814.4</v>
      </c>
      <c r="AB35" s="574">
        <f t="shared" si="47"/>
        <v>1814.4</v>
      </c>
      <c r="AC35" s="574">
        <f t="shared" si="47"/>
        <v>1814.4</v>
      </c>
      <c r="AD35" s="574">
        <f t="shared" si="47"/>
        <v>1814.4</v>
      </c>
      <c r="AE35" s="574">
        <f t="shared" si="47"/>
        <v>1814.4</v>
      </c>
      <c r="AF35" s="574">
        <f t="shared" si="47"/>
        <v>1814.4</v>
      </c>
      <c r="AH35" s="538"/>
      <c r="AK35" s="531"/>
      <c r="AM35" s="539"/>
      <c r="AN35" s="535"/>
      <c r="AP35" s="540"/>
      <c r="AQ35" s="540"/>
    </row>
    <row r="36" spans="1:43" s="586" customFormat="1" ht="16.5" hidden="1" customHeight="1" outlineLevel="2">
      <c r="A36" s="584"/>
      <c r="B36" s="585" t="s">
        <v>805</v>
      </c>
      <c r="C36" s="716">
        <v>1</v>
      </c>
      <c r="D36" s="716">
        <f t="shared" ref="D36:AF36" si="48">D105</f>
        <v>1</v>
      </c>
      <c r="E36" s="716">
        <f t="shared" si="48"/>
        <v>1</v>
      </c>
      <c r="F36" s="716">
        <f t="shared" si="48"/>
        <v>1</v>
      </c>
      <c r="G36" s="716">
        <f t="shared" si="48"/>
        <v>1</v>
      </c>
      <c r="H36" s="716">
        <f t="shared" si="48"/>
        <v>1</v>
      </c>
      <c r="I36" s="716">
        <f t="shared" si="48"/>
        <v>1</v>
      </c>
      <c r="J36" s="716">
        <f t="shared" si="48"/>
        <v>1</v>
      </c>
      <c r="K36" s="716">
        <f t="shared" si="48"/>
        <v>1</v>
      </c>
      <c r="L36" s="716">
        <f t="shared" si="48"/>
        <v>1</v>
      </c>
      <c r="M36" s="716">
        <f t="shared" si="48"/>
        <v>1</v>
      </c>
      <c r="N36" s="716">
        <f t="shared" si="48"/>
        <v>1</v>
      </c>
      <c r="O36" s="716">
        <f t="shared" si="48"/>
        <v>1</v>
      </c>
      <c r="P36" s="716">
        <f t="shared" si="48"/>
        <v>1</v>
      </c>
      <c r="Q36" s="716">
        <f t="shared" si="48"/>
        <v>1</v>
      </c>
      <c r="R36" s="716">
        <f t="shared" si="48"/>
        <v>1</v>
      </c>
      <c r="S36" s="716">
        <f t="shared" si="48"/>
        <v>1</v>
      </c>
      <c r="T36" s="716">
        <f t="shared" si="48"/>
        <v>1</v>
      </c>
      <c r="U36" s="716">
        <f t="shared" si="48"/>
        <v>1</v>
      </c>
      <c r="V36" s="716">
        <f t="shared" si="48"/>
        <v>1</v>
      </c>
      <c r="W36" s="716">
        <f t="shared" si="48"/>
        <v>1</v>
      </c>
      <c r="X36" s="716">
        <f t="shared" si="48"/>
        <v>1</v>
      </c>
      <c r="Y36" s="716">
        <f t="shared" si="48"/>
        <v>1</v>
      </c>
      <c r="Z36" s="716">
        <f t="shared" si="48"/>
        <v>1</v>
      </c>
      <c r="AA36" s="716">
        <f t="shared" si="48"/>
        <v>1</v>
      </c>
      <c r="AB36" s="716">
        <f t="shared" si="48"/>
        <v>1</v>
      </c>
      <c r="AC36" s="716">
        <f t="shared" si="48"/>
        <v>1</v>
      </c>
      <c r="AD36" s="716">
        <f t="shared" si="48"/>
        <v>1</v>
      </c>
      <c r="AE36" s="716">
        <f t="shared" si="48"/>
        <v>1</v>
      </c>
      <c r="AF36" s="716">
        <f t="shared" si="48"/>
        <v>1</v>
      </c>
      <c r="AH36" s="587"/>
      <c r="AK36" s="588"/>
      <c r="AM36" s="589"/>
      <c r="AN36" s="590"/>
      <c r="AP36" s="591"/>
      <c r="AQ36" s="591"/>
    </row>
    <row r="37" spans="1:43" s="513" customFormat="1" ht="16.5" hidden="1" customHeight="1" outlineLevel="2">
      <c r="A37" s="584"/>
      <c r="B37" s="572" t="s">
        <v>888</v>
      </c>
      <c r="C37" s="574">
        <f>CAPEX!$C$20*(0.83%+0.42%)</f>
        <v>264.5</v>
      </c>
      <c r="D37" s="574">
        <f>C37</f>
        <v>264.5</v>
      </c>
      <c r="E37" s="574">
        <f t="shared" ref="E37:AF37" si="49">D37</f>
        <v>264.5</v>
      </c>
      <c r="F37" s="574">
        <f t="shared" si="49"/>
        <v>264.5</v>
      </c>
      <c r="G37" s="574">
        <f t="shared" si="49"/>
        <v>264.5</v>
      </c>
      <c r="H37" s="574">
        <f t="shared" si="49"/>
        <v>264.5</v>
      </c>
      <c r="I37" s="574">
        <f t="shared" si="49"/>
        <v>264.5</v>
      </c>
      <c r="J37" s="574">
        <f t="shared" si="49"/>
        <v>264.5</v>
      </c>
      <c r="K37" s="574">
        <f t="shared" si="49"/>
        <v>264.5</v>
      </c>
      <c r="L37" s="574">
        <f t="shared" si="49"/>
        <v>264.5</v>
      </c>
      <c r="M37" s="574">
        <f t="shared" si="49"/>
        <v>264.5</v>
      </c>
      <c r="N37" s="574">
        <f t="shared" si="49"/>
        <v>264.5</v>
      </c>
      <c r="O37" s="574">
        <f t="shared" si="49"/>
        <v>264.5</v>
      </c>
      <c r="P37" s="574">
        <f t="shared" si="49"/>
        <v>264.5</v>
      </c>
      <c r="Q37" s="574">
        <f t="shared" si="49"/>
        <v>264.5</v>
      </c>
      <c r="R37" s="574">
        <f t="shared" si="49"/>
        <v>264.5</v>
      </c>
      <c r="S37" s="574">
        <f t="shared" si="49"/>
        <v>264.5</v>
      </c>
      <c r="T37" s="574">
        <f t="shared" si="49"/>
        <v>264.5</v>
      </c>
      <c r="U37" s="574">
        <f t="shared" si="49"/>
        <v>264.5</v>
      </c>
      <c r="V37" s="574">
        <f t="shared" si="49"/>
        <v>264.5</v>
      </c>
      <c r="W37" s="574">
        <f t="shared" si="49"/>
        <v>264.5</v>
      </c>
      <c r="X37" s="574">
        <f t="shared" si="49"/>
        <v>264.5</v>
      </c>
      <c r="Y37" s="574">
        <f t="shared" si="49"/>
        <v>264.5</v>
      </c>
      <c r="Z37" s="574">
        <f t="shared" si="49"/>
        <v>264.5</v>
      </c>
      <c r="AA37" s="574">
        <f t="shared" si="49"/>
        <v>264.5</v>
      </c>
      <c r="AB37" s="574">
        <f t="shared" si="49"/>
        <v>264.5</v>
      </c>
      <c r="AC37" s="574">
        <f t="shared" si="49"/>
        <v>264.5</v>
      </c>
      <c r="AD37" s="574">
        <f t="shared" si="49"/>
        <v>264.5</v>
      </c>
      <c r="AE37" s="574">
        <f t="shared" si="49"/>
        <v>264.5</v>
      </c>
      <c r="AF37" s="574">
        <f t="shared" si="49"/>
        <v>264.5</v>
      </c>
      <c r="AH37" s="538"/>
      <c r="AK37" s="531"/>
      <c r="AM37" s="539"/>
      <c r="AN37" s="535"/>
      <c r="AP37" s="540"/>
      <c r="AQ37" s="540"/>
    </row>
    <row r="38" spans="1:43" s="546" customFormat="1" ht="16.5" hidden="1" customHeight="1" outlineLevel="2">
      <c r="A38" s="584"/>
      <c r="B38" s="569" t="s">
        <v>892</v>
      </c>
      <c r="C38" s="581">
        <f>C39*C40</f>
        <v>0</v>
      </c>
      <c r="D38" s="581">
        <f>D39*D40</f>
        <v>0</v>
      </c>
      <c r="E38" s="581">
        <f t="shared" ref="E38:AF38" si="50">E39*E40</f>
        <v>2497</v>
      </c>
      <c r="F38" s="581">
        <f t="shared" si="50"/>
        <v>4994</v>
      </c>
      <c r="G38" s="581">
        <f t="shared" si="50"/>
        <v>4994</v>
      </c>
      <c r="H38" s="581">
        <f t="shared" si="50"/>
        <v>4994</v>
      </c>
      <c r="I38" s="581">
        <f t="shared" si="50"/>
        <v>4994</v>
      </c>
      <c r="J38" s="581">
        <f t="shared" si="50"/>
        <v>4994</v>
      </c>
      <c r="K38" s="581">
        <f t="shared" si="50"/>
        <v>4994</v>
      </c>
      <c r="L38" s="581">
        <f t="shared" si="50"/>
        <v>4994</v>
      </c>
      <c r="M38" s="581">
        <f t="shared" si="50"/>
        <v>4994</v>
      </c>
      <c r="N38" s="581">
        <f t="shared" si="50"/>
        <v>4994</v>
      </c>
      <c r="O38" s="581">
        <f t="shared" si="50"/>
        <v>4994</v>
      </c>
      <c r="P38" s="581">
        <f t="shared" si="50"/>
        <v>4994</v>
      </c>
      <c r="Q38" s="581">
        <f t="shared" si="50"/>
        <v>4994</v>
      </c>
      <c r="R38" s="581">
        <f t="shared" si="50"/>
        <v>4994</v>
      </c>
      <c r="S38" s="581">
        <f t="shared" si="50"/>
        <v>4994</v>
      </c>
      <c r="T38" s="581">
        <f t="shared" si="50"/>
        <v>4994</v>
      </c>
      <c r="U38" s="581">
        <f t="shared" si="50"/>
        <v>4994</v>
      </c>
      <c r="V38" s="581">
        <f t="shared" si="50"/>
        <v>4994</v>
      </c>
      <c r="W38" s="581">
        <f t="shared" si="50"/>
        <v>4994</v>
      </c>
      <c r="X38" s="581">
        <f t="shared" si="50"/>
        <v>4994</v>
      </c>
      <c r="Y38" s="581">
        <f t="shared" si="50"/>
        <v>4994</v>
      </c>
      <c r="Z38" s="581">
        <f t="shared" si="50"/>
        <v>4994</v>
      </c>
      <c r="AA38" s="581">
        <f t="shared" si="50"/>
        <v>4994</v>
      </c>
      <c r="AB38" s="581">
        <f t="shared" si="50"/>
        <v>4994</v>
      </c>
      <c r="AC38" s="581">
        <f t="shared" si="50"/>
        <v>4994</v>
      </c>
      <c r="AD38" s="581">
        <f t="shared" si="50"/>
        <v>4994</v>
      </c>
      <c r="AE38" s="581">
        <f t="shared" si="50"/>
        <v>4994</v>
      </c>
      <c r="AF38" s="581">
        <f t="shared" si="50"/>
        <v>4994</v>
      </c>
      <c r="AH38" s="571"/>
      <c r="AK38" s="531"/>
      <c r="AM38" s="548"/>
      <c r="AN38" s="535"/>
      <c r="AP38" s="549"/>
      <c r="AQ38" s="549"/>
    </row>
    <row r="39" spans="1:43" s="586" customFormat="1" ht="16.5" hidden="1" customHeight="1" outlineLevel="2">
      <c r="A39" s="584"/>
      <c r="B39" s="585" t="s">
        <v>805</v>
      </c>
      <c r="C39" s="716">
        <f t="shared" ref="C39:AF39" si="51">C16</f>
        <v>0</v>
      </c>
      <c r="D39" s="716">
        <f t="shared" si="51"/>
        <v>0</v>
      </c>
      <c r="E39" s="716">
        <f t="shared" si="51"/>
        <v>1</v>
      </c>
      <c r="F39" s="716">
        <f t="shared" si="51"/>
        <v>2</v>
      </c>
      <c r="G39" s="716">
        <f t="shared" si="51"/>
        <v>2</v>
      </c>
      <c r="H39" s="716">
        <f t="shared" si="51"/>
        <v>2</v>
      </c>
      <c r="I39" s="716">
        <f t="shared" si="51"/>
        <v>2</v>
      </c>
      <c r="J39" s="716">
        <f t="shared" si="51"/>
        <v>2</v>
      </c>
      <c r="K39" s="716">
        <f t="shared" si="51"/>
        <v>2</v>
      </c>
      <c r="L39" s="716">
        <f t="shared" si="51"/>
        <v>2</v>
      </c>
      <c r="M39" s="716">
        <f t="shared" si="51"/>
        <v>2</v>
      </c>
      <c r="N39" s="716">
        <f t="shared" si="51"/>
        <v>2</v>
      </c>
      <c r="O39" s="716">
        <f t="shared" si="51"/>
        <v>2</v>
      </c>
      <c r="P39" s="716">
        <f t="shared" si="51"/>
        <v>2</v>
      </c>
      <c r="Q39" s="716">
        <f t="shared" si="51"/>
        <v>2</v>
      </c>
      <c r="R39" s="716">
        <f t="shared" si="51"/>
        <v>2</v>
      </c>
      <c r="S39" s="716">
        <f t="shared" si="51"/>
        <v>2</v>
      </c>
      <c r="T39" s="716">
        <f t="shared" si="51"/>
        <v>2</v>
      </c>
      <c r="U39" s="716">
        <f t="shared" si="51"/>
        <v>2</v>
      </c>
      <c r="V39" s="716">
        <f t="shared" si="51"/>
        <v>2</v>
      </c>
      <c r="W39" s="716">
        <f t="shared" si="51"/>
        <v>2</v>
      </c>
      <c r="X39" s="716">
        <f t="shared" si="51"/>
        <v>2</v>
      </c>
      <c r="Y39" s="716">
        <f t="shared" si="51"/>
        <v>2</v>
      </c>
      <c r="Z39" s="716">
        <f t="shared" si="51"/>
        <v>2</v>
      </c>
      <c r="AA39" s="716">
        <f t="shared" si="51"/>
        <v>2</v>
      </c>
      <c r="AB39" s="716">
        <f t="shared" si="51"/>
        <v>2</v>
      </c>
      <c r="AC39" s="716">
        <f t="shared" si="51"/>
        <v>2</v>
      </c>
      <c r="AD39" s="716">
        <f t="shared" si="51"/>
        <v>2</v>
      </c>
      <c r="AE39" s="716">
        <f t="shared" si="51"/>
        <v>2</v>
      </c>
      <c r="AF39" s="716">
        <f t="shared" si="51"/>
        <v>2</v>
      </c>
      <c r="AH39" s="587"/>
      <c r="AK39" s="588"/>
      <c r="AM39" s="589"/>
      <c r="AN39" s="590"/>
      <c r="AP39" s="591"/>
      <c r="AQ39" s="591"/>
    </row>
    <row r="40" spans="1:43" s="513" customFormat="1" ht="16.5" hidden="1" customHeight="1" outlineLevel="2">
      <c r="A40" s="584"/>
      <c r="B40" s="572" t="s">
        <v>893</v>
      </c>
      <c r="C40" s="574">
        <f>Insumos!$E$185</f>
        <v>2497</v>
      </c>
      <c r="D40" s="574">
        <f>C40</f>
        <v>2497</v>
      </c>
      <c r="E40" s="574">
        <f>D40</f>
        <v>2497</v>
      </c>
      <c r="F40" s="574">
        <f t="shared" ref="F40:AF40" si="52">E40</f>
        <v>2497</v>
      </c>
      <c r="G40" s="574">
        <f t="shared" si="52"/>
        <v>2497</v>
      </c>
      <c r="H40" s="574">
        <f t="shared" si="52"/>
        <v>2497</v>
      </c>
      <c r="I40" s="574">
        <f t="shared" si="52"/>
        <v>2497</v>
      </c>
      <c r="J40" s="574">
        <f t="shared" si="52"/>
        <v>2497</v>
      </c>
      <c r="K40" s="574">
        <f t="shared" si="52"/>
        <v>2497</v>
      </c>
      <c r="L40" s="574">
        <f t="shared" si="52"/>
        <v>2497</v>
      </c>
      <c r="M40" s="574">
        <f t="shared" si="52"/>
        <v>2497</v>
      </c>
      <c r="N40" s="574">
        <f t="shared" si="52"/>
        <v>2497</v>
      </c>
      <c r="O40" s="574">
        <f t="shared" si="52"/>
        <v>2497</v>
      </c>
      <c r="P40" s="574">
        <f t="shared" si="52"/>
        <v>2497</v>
      </c>
      <c r="Q40" s="574">
        <f t="shared" si="52"/>
        <v>2497</v>
      </c>
      <c r="R40" s="574">
        <f t="shared" si="52"/>
        <v>2497</v>
      </c>
      <c r="S40" s="574">
        <f t="shared" si="52"/>
        <v>2497</v>
      </c>
      <c r="T40" s="574">
        <f t="shared" si="52"/>
        <v>2497</v>
      </c>
      <c r="U40" s="574">
        <f t="shared" si="52"/>
        <v>2497</v>
      </c>
      <c r="V40" s="574">
        <f t="shared" si="52"/>
        <v>2497</v>
      </c>
      <c r="W40" s="574">
        <f t="shared" si="52"/>
        <v>2497</v>
      </c>
      <c r="X40" s="574">
        <f t="shared" si="52"/>
        <v>2497</v>
      </c>
      <c r="Y40" s="574">
        <f t="shared" si="52"/>
        <v>2497</v>
      </c>
      <c r="Z40" s="574">
        <f t="shared" si="52"/>
        <v>2497</v>
      </c>
      <c r="AA40" s="574">
        <f t="shared" si="52"/>
        <v>2497</v>
      </c>
      <c r="AB40" s="574">
        <f t="shared" si="52"/>
        <v>2497</v>
      </c>
      <c r="AC40" s="574">
        <f t="shared" si="52"/>
        <v>2497</v>
      </c>
      <c r="AD40" s="574">
        <f t="shared" si="52"/>
        <v>2497</v>
      </c>
      <c r="AE40" s="574">
        <f t="shared" si="52"/>
        <v>2497</v>
      </c>
      <c r="AF40" s="574">
        <f t="shared" si="52"/>
        <v>2497</v>
      </c>
      <c r="AH40" s="538"/>
      <c r="AK40" s="531"/>
      <c r="AM40" s="539"/>
      <c r="AN40" s="535"/>
      <c r="AP40" s="540"/>
      <c r="AQ40" s="540"/>
    </row>
    <row r="41" spans="1:43" ht="3" hidden="1" customHeight="1" outlineLevel="2">
      <c r="A41" s="584"/>
      <c r="B41" s="551"/>
      <c r="C41" s="592"/>
      <c r="D41" s="592"/>
      <c r="E41" s="592"/>
      <c r="F41" s="592"/>
      <c r="G41" s="592"/>
      <c r="H41" s="592"/>
      <c r="I41" s="592"/>
      <c r="J41" s="592"/>
      <c r="K41" s="592"/>
      <c r="L41" s="592"/>
      <c r="M41" s="592"/>
      <c r="N41" s="592"/>
      <c r="O41" s="592"/>
      <c r="P41" s="592"/>
      <c r="Q41" s="592"/>
      <c r="R41" s="592"/>
      <c r="S41" s="592"/>
      <c r="T41" s="592"/>
      <c r="U41" s="592"/>
      <c r="V41" s="592"/>
      <c r="W41" s="592"/>
      <c r="X41" s="592"/>
      <c r="Y41" s="592"/>
      <c r="Z41" s="592"/>
      <c r="AA41" s="592"/>
      <c r="AB41" s="592"/>
      <c r="AC41" s="592"/>
      <c r="AD41" s="592"/>
      <c r="AE41" s="592"/>
      <c r="AF41" s="592"/>
      <c r="AH41" s="593"/>
      <c r="AK41" s="531"/>
      <c r="AM41" s="594"/>
      <c r="AN41" s="535"/>
      <c r="AP41" s="535"/>
      <c r="AQ41" s="535"/>
    </row>
    <row r="42" spans="1:43" s="564" customFormat="1" ht="16.5" hidden="1" customHeight="1" outlineLevel="1" collapsed="1">
      <c r="A42" s="584"/>
      <c r="B42" s="576" t="s">
        <v>894</v>
      </c>
      <c r="C42" s="577">
        <f>SUM(C43,C48,C53)*12/10^3</f>
        <v>352.95050797969094</v>
      </c>
      <c r="D42" s="577">
        <f t="shared" ref="D42:AF42" si="53">SUM(D43,D48,D53)*12/10^3</f>
        <v>352.95050797969094</v>
      </c>
      <c r="E42" s="577">
        <f t="shared" si="53"/>
        <v>352.95050797969094</v>
      </c>
      <c r="F42" s="577">
        <f t="shared" si="53"/>
        <v>352.95050797969094</v>
      </c>
      <c r="G42" s="577">
        <f t="shared" si="53"/>
        <v>352.95050797969094</v>
      </c>
      <c r="H42" s="577">
        <f t="shared" si="53"/>
        <v>352.95050797969094</v>
      </c>
      <c r="I42" s="577">
        <f t="shared" si="53"/>
        <v>352.95050797969094</v>
      </c>
      <c r="J42" s="577">
        <f t="shared" si="53"/>
        <v>352.95050797969094</v>
      </c>
      <c r="K42" s="577">
        <f t="shared" si="53"/>
        <v>352.95050797969094</v>
      </c>
      <c r="L42" s="577">
        <f t="shared" si="53"/>
        <v>352.95050797969094</v>
      </c>
      <c r="M42" s="577">
        <f t="shared" si="53"/>
        <v>352.95050797969094</v>
      </c>
      <c r="N42" s="577">
        <f t="shared" si="53"/>
        <v>352.95050797969094</v>
      </c>
      <c r="O42" s="577">
        <f t="shared" si="53"/>
        <v>352.95050797969094</v>
      </c>
      <c r="P42" s="577">
        <f t="shared" si="53"/>
        <v>352.95050797969094</v>
      </c>
      <c r="Q42" s="577">
        <f t="shared" si="53"/>
        <v>352.95050797969094</v>
      </c>
      <c r="R42" s="577">
        <f t="shared" si="53"/>
        <v>352.95050797969094</v>
      </c>
      <c r="S42" s="577">
        <f t="shared" si="53"/>
        <v>352.95050797969094</v>
      </c>
      <c r="T42" s="577">
        <f t="shared" si="53"/>
        <v>352.95050797969094</v>
      </c>
      <c r="U42" s="577">
        <f t="shared" si="53"/>
        <v>352.95050797969094</v>
      </c>
      <c r="V42" s="577">
        <f t="shared" si="53"/>
        <v>352.95050797969094</v>
      </c>
      <c r="W42" s="577">
        <f t="shared" si="53"/>
        <v>352.95050797969094</v>
      </c>
      <c r="X42" s="577">
        <f t="shared" si="53"/>
        <v>352.95050797969094</v>
      </c>
      <c r="Y42" s="577">
        <f t="shared" si="53"/>
        <v>352.95050797969094</v>
      </c>
      <c r="Z42" s="577">
        <f t="shared" si="53"/>
        <v>352.95050797969094</v>
      </c>
      <c r="AA42" s="577">
        <f t="shared" si="53"/>
        <v>352.95050797969094</v>
      </c>
      <c r="AB42" s="577">
        <f t="shared" si="53"/>
        <v>352.95050797969094</v>
      </c>
      <c r="AC42" s="577">
        <f t="shared" si="53"/>
        <v>352.95050797969094</v>
      </c>
      <c r="AD42" s="577">
        <f t="shared" si="53"/>
        <v>352.95050797969094</v>
      </c>
      <c r="AE42" s="577">
        <f t="shared" si="53"/>
        <v>352.95050797969094</v>
      </c>
      <c r="AF42" s="577">
        <f t="shared" si="53"/>
        <v>352.95050797969094</v>
      </c>
      <c r="AH42" s="578">
        <f>SUM(C42:AF42)</f>
        <v>10588.515239390728</v>
      </c>
      <c r="AJ42" s="579"/>
      <c r="AK42" s="531"/>
      <c r="AM42" s="567"/>
      <c r="AN42" s="535"/>
      <c r="AP42" s="568"/>
      <c r="AQ42" s="568"/>
    </row>
    <row r="43" spans="1:43" s="546" customFormat="1" ht="16.5" hidden="1" customHeight="1" outlineLevel="2">
      <c r="A43" s="584"/>
      <c r="B43" s="580" t="s">
        <v>806</v>
      </c>
      <c r="C43" s="581">
        <f>C44*(C45/C46)*C47</f>
        <v>28609.523809523806</v>
      </c>
      <c r="D43" s="581">
        <f>D44*(D45/D46)*D47</f>
        <v>28609.523809523806</v>
      </c>
      <c r="E43" s="581">
        <f t="shared" ref="E43:AF43" si="54">E44*(E45/E46)*E47</f>
        <v>28609.523809523806</v>
      </c>
      <c r="F43" s="581">
        <f t="shared" si="54"/>
        <v>28609.523809523806</v>
      </c>
      <c r="G43" s="581">
        <f t="shared" si="54"/>
        <v>28609.523809523806</v>
      </c>
      <c r="H43" s="581">
        <f t="shared" si="54"/>
        <v>28609.523809523806</v>
      </c>
      <c r="I43" s="581">
        <f t="shared" si="54"/>
        <v>28609.523809523806</v>
      </c>
      <c r="J43" s="581">
        <f t="shared" si="54"/>
        <v>28609.523809523806</v>
      </c>
      <c r="K43" s="581">
        <f t="shared" si="54"/>
        <v>28609.523809523806</v>
      </c>
      <c r="L43" s="581">
        <f t="shared" si="54"/>
        <v>28609.523809523806</v>
      </c>
      <c r="M43" s="581">
        <f t="shared" si="54"/>
        <v>28609.523809523806</v>
      </c>
      <c r="N43" s="581">
        <f t="shared" si="54"/>
        <v>28609.523809523806</v>
      </c>
      <c r="O43" s="581">
        <f t="shared" si="54"/>
        <v>28609.523809523806</v>
      </c>
      <c r="P43" s="581">
        <f t="shared" si="54"/>
        <v>28609.523809523806</v>
      </c>
      <c r="Q43" s="581">
        <f t="shared" si="54"/>
        <v>28609.523809523806</v>
      </c>
      <c r="R43" s="581">
        <f t="shared" si="54"/>
        <v>28609.523809523806</v>
      </c>
      <c r="S43" s="581">
        <f t="shared" si="54"/>
        <v>28609.523809523806</v>
      </c>
      <c r="T43" s="581">
        <f t="shared" si="54"/>
        <v>28609.523809523806</v>
      </c>
      <c r="U43" s="581">
        <f t="shared" si="54"/>
        <v>28609.523809523806</v>
      </c>
      <c r="V43" s="581">
        <f t="shared" si="54"/>
        <v>28609.523809523806</v>
      </c>
      <c r="W43" s="581">
        <f t="shared" si="54"/>
        <v>28609.523809523806</v>
      </c>
      <c r="X43" s="581">
        <f t="shared" si="54"/>
        <v>28609.523809523806</v>
      </c>
      <c r="Y43" s="581">
        <f t="shared" si="54"/>
        <v>28609.523809523806</v>
      </c>
      <c r="Z43" s="581">
        <f t="shared" si="54"/>
        <v>28609.523809523806</v>
      </c>
      <c r="AA43" s="581">
        <f t="shared" si="54"/>
        <v>28609.523809523806</v>
      </c>
      <c r="AB43" s="581">
        <f t="shared" si="54"/>
        <v>28609.523809523806</v>
      </c>
      <c r="AC43" s="581">
        <f t="shared" si="54"/>
        <v>28609.523809523806</v>
      </c>
      <c r="AD43" s="581">
        <f t="shared" si="54"/>
        <v>28609.523809523806</v>
      </c>
      <c r="AE43" s="581">
        <f t="shared" si="54"/>
        <v>28609.523809523806</v>
      </c>
      <c r="AF43" s="581">
        <f t="shared" si="54"/>
        <v>28609.523809523806</v>
      </c>
      <c r="AH43" s="571"/>
      <c r="AK43" s="531"/>
      <c r="AM43" s="548"/>
      <c r="AN43" s="535"/>
      <c r="AP43" s="549"/>
      <c r="AQ43" s="549"/>
    </row>
    <row r="44" spans="1:43" s="586" customFormat="1" ht="16.5" hidden="1" customHeight="1" outlineLevel="2">
      <c r="A44" s="584"/>
      <c r="B44" s="585" t="s">
        <v>805</v>
      </c>
      <c r="C44" s="716">
        <f t="shared" ref="C44:AF44" si="55">C12</f>
        <v>4</v>
      </c>
      <c r="D44" s="716">
        <f t="shared" si="55"/>
        <v>4</v>
      </c>
      <c r="E44" s="716">
        <f t="shared" si="55"/>
        <v>4</v>
      </c>
      <c r="F44" s="716">
        <f t="shared" si="55"/>
        <v>4</v>
      </c>
      <c r="G44" s="716">
        <f t="shared" si="55"/>
        <v>4</v>
      </c>
      <c r="H44" s="716">
        <f t="shared" si="55"/>
        <v>4</v>
      </c>
      <c r="I44" s="716">
        <f t="shared" si="55"/>
        <v>4</v>
      </c>
      <c r="J44" s="716">
        <f t="shared" si="55"/>
        <v>4</v>
      </c>
      <c r="K44" s="716">
        <f t="shared" si="55"/>
        <v>4</v>
      </c>
      <c r="L44" s="716">
        <f t="shared" si="55"/>
        <v>4</v>
      </c>
      <c r="M44" s="716">
        <f t="shared" si="55"/>
        <v>4</v>
      </c>
      <c r="N44" s="716">
        <f t="shared" si="55"/>
        <v>4</v>
      </c>
      <c r="O44" s="716">
        <f t="shared" si="55"/>
        <v>4</v>
      </c>
      <c r="P44" s="716">
        <f t="shared" si="55"/>
        <v>4</v>
      </c>
      <c r="Q44" s="716">
        <f t="shared" si="55"/>
        <v>4</v>
      </c>
      <c r="R44" s="716">
        <f t="shared" si="55"/>
        <v>4</v>
      </c>
      <c r="S44" s="716">
        <f t="shared" si="55"/>
        <v>4</v>
      </c>
      <c r="T44" s="716">
        <f t="shared" si="55"/>
        <v>4</v>
      </c>
      <c r="U44" s="716">
        <f t="shared" si="55"/>
        <v>4</v>
      </c>
      <c r="V44" s="716">
        <f t="shared" si="55"/>
        <v>4</v>
      </c>
      <c r="W44" s="716">
        <f t="shared" si="55"/>
        <v>4</v>
      </c>
      <c r="X44" s="716">
        <f t="shared" si="55"/>
        <v>4</v>
      </c>
      <c r="Y44" s="716">
        <f t="shared" si="55"/>
        <v>4</v>
      </c>
      <c r="Z44" s="716">
        <f t="shared" si="55"/>
        <v>4</v>
      </c>
      <c r="AA44" s="716">
        <f t="shared" si="55"/>
        <v>4</v>
      </c>
      <c r="AB44" s="716">
        <f t="shared" si="55"/>
        <v>4</v>
      </c>
      <c r="AC44" s="716">
        <f t="shared" si="55"/>
        <v>4</v>
      </c>
      <c r="AD44" s="716">
        <f t="shared" si="55"/>
        <v>4</v>
      </c>
      <c r="AE44" s="716">
        <f t="shared" si="55"/>
        <v>4</v>
      </c>
      <c r="AF44" s="716">
        <f t="shared" si="55"/>
        <v>4</v>
      </c>
      <c r="AH44" s="587"/>
      <c r="AK44" s="588"/>
      <c r="AM44" s="589"/>
      <c r="AN44" s="590"/>
      <c r="AP44" s="591"/>
      <c r="AQ44" s="591"/>
    </row>
    <row r="45" spans="1:43" s="513" customFormat="1" ht="16.5" hidden="1" customHeight="1" outlineLevel="2">
      <c r="A45" s="584"/>
      <c r="B45" s="572" t="s">
        <v>895</v>
      </c>
      <c r="C45" s="574">
        <f t="shared" ref="C45:AF45" si="56">C31</f>
        <v>2000</v>
      </c>
      <c r="D45" s="574">
        <f t="shared" si="56"/>
        <v>2000</v>
      </c>
      <c r="E45" s="574">
        <f t="shared" si="56"/>
        <v>2000</v>
      </c>
      <c r="F45" s="574">
        <f t="shared" si="56"/>
        <v>2000</v>
      </c>
      <c r="G45" s="574">
        <f t="shared" si="56"/>
        <v>2000</v>
      </c>
      <c r="H45" s="574">
        <f t="shared" si="56"/>
        <v>2000</v>
      </c>
      <c r="I45" s="574">
        <f t="shared" si="56"/>
        <v>2000</v>
      </c>
      <c r="J45" s="574">
        <f t="shared" si="56"/>
        <v>2000</v>
      </c>
      <c r="K45" s="574">
        <f t="shared" si="56"/>
        <v>2000</v>
      </c>
      <c r="L45" s="574">
        <f t="shared" si="56"/>
        <v>2000</v>
      </c>
      <c r="M45" s="574">
        <f t="shared" si="56"/>
        <v>2000</v>
      </c>
      <c r="N45" s="574">
        <f t="shared" si="56"/>
        <v>2000</v>
      </c>
      <c r="O45" s="574">
        <f t="shared" si="56"/>
        <v>2000</v>
      </c>
      <c r="P45" s="574">
        <f t="shared" si="56"/>
        <v>2000</v>
      </c>
      <c r="Q45" s="574">
        <f t="shared" si="56"/>
        <v>2000</v>
      </c>
      <c r="R45" s="574">
        <f t="shared" si="56"/>
        <v>2000</v>
      </c>
      <c r="S45" s="574">
        <f t="shared" si="56"/>
        <v>2000</v>
      </c>
      <c r="T45" s="574">
        <f t="shared" si="56"/>
        <v>2000</v>
      </c>
      <c r="U45" s="574">
        <f t="shared" si="56"/>
        <v>2000</v>
      </c>
      <c r="V45" s="574">
        <f t="shared" si="56"/>
        <v>2000</v>
      </c>
      <c r="W45" s="574">
        <f t="shared" si="56"/>
        <v>2000</v>
      </c>
      <c r="X45" s="574">
        <f t="shared" si="56"/>
        <v>2000</v>
      </c>
      <c r="Y45" s="574">
        <f t="shared" si="56"/>
        <v>2000</v>
      </c>
      <c r="Z45" s="574">
        <f t="shared" si="56"/>
        <v>2000</v>
      </c>
      <c r="AA45" s="574">
        <f t="shared" si="56"/>
        <v>2000</v>
      </c>
      <c r="AB45" s="574">
        <f t="shared" si="56"/>
        <v>2000</v>
      </c>
      <c r="AC45" s="574">
        <f t="shared" si="56"/>
        <v>2000</v>
      </c>
      <c r="AD45" s="574">
        <f t="shared" si="56"/>
        <v>2000</v>
      </c>
      <c r="AE45" s="574">
        <f t="shared" si="56"/>
        <v>2000</v>
      </c>
      <c r="AF45" s="574">
        <f t="shared" si="56"/>
        <v>2000</v>
      </c>
      <c r="AH45" s="538"/>
      <c r="AK45" s="531"/>
      <c r="AM45" s="539"/>
      <c r="AN45" s="535"/>
      <c r="AP45" s="540"/>
      <c r="AQ45" s="540"/>
    </row>
    <row r="46" spans="1:43" s="513" customFormat="1" ht="16.5" hidden="1" customHeight="1" outlineLevel="2">
      <c r="A46" s="584"/>
      <c r="B46" s="572" t="s">
        <v>896</v>
      </c>
      <c r="C46" s="574">
        <v>2.1</v>
      </c>
      <c r="D46" s="574">
        <f>C46</f>
        <v>2.1</v>
      </c>
      <c r="E46" s="574">
        <f>D46</f>
        <v>2.1</v>
      </c>
      <c r="F46" s="574">
        <f t="shared" ref="F46:AF46" si="57">E46</f>
        <v>2.1</v>
      </c>
      <c r="G46" s="574">
        <f t="shared" si="57"/>
        <v>2.1</v>
      </c>
      <c r="H46" s="574">
        <f t="shared" si="57"/>
        <v>2.1</v>
      </c>
      <c r="I46" s="574">
        <f t="shared" si="57"/>
        <v>2.1</v>
      </c>
      <c r="J46" s="574">
        <f t="shared" si="57"/>
        <v>2.1</v>
      </c>
      <c r="K46" s="574">
        <f t="shared" si="57"/>
        <v>2.1</v>
      </c>
      <c r="L46" s="574">
        <f t="shared" si="57"/>
        <v>2.1</v>
      </c>
      <c r="M46" s="574">
        <f t="shared" si="57"/>
        <v>2.1</v>
      </c>
      <c r="N46" s="574">
        <f t="shared" si="57"/>
        <v>2.1</v>
      </c>
      <c r="O46" s="574">
        <f t="shared" si="57"/>
        <v>2.1</v>
      </c>
      <c r="P46" s="574">
        <f t="shared" si="57"/>
        <v>2.1</v>
      </c>
      <c r="Q46" s="574">
        <f t="shared" si="57"/>
        <v>2.1</v>
      </c>
      <c r="R46" s="574">
        <f t="shared" si="57"/>
        <v>2.1</v>
      </c>
      <c r="S46" s="574">
        <f t="shared" si="57"/>
        <v>2.1</v>
      </c>
      <c r="T46" s="574">
        <f t="shared" si="57"/>
        <v>2.1</v>
      </c>
      <c r="U46" s="574">
        <f t="shared" si="57"/>
        <v>2.1</v>
      </c>
      <c r="V46" s="574">
        <f t="shared" si="57"/>
        <v>2.1</v>
      </c>
      <c r="W46" s="574">
        <f t="shared" si="57"/>
        <v>2.1</v>
      </c>
      <c r="X46" s="574">
        <f t="shared" si="57"/>
        <v>2.1</v>
      </c>
      <c r="Y46" s="574">
        <f t="shared" si="57"/>
        <v>2.1</v>
      </c>
      <c r="Z46" s="574">
        <f t="shared" si="57"/>
        <v>2.1</v>
      </c>
      <c r="AA46" s="574">
        <f t="shared" si="57"/>
        <v>2.1</v>
      </c>
      <c r="AB46" s="574">
        <f t="shared" si="57"/>
        <v>2.1</v>
      </c>
      <c r="AC46" s="574">
        <f t="shared" si="57"/>
        <v>2.1</v>
      </c>
      <c r="AD46" s="574">
        <f t="shared" si="57"/>
        <v>2.1</v>
      </c>
      <c r="AE46" s="574">
        <f t="shared" si="57"/>
        <v>2.1</v>
      </c>
      <c r="AF46" s="574">
        <f t="shared" si="57"/>
        <v>2.1</v>
      </c>
      <c r="AH46" s="538"/>
      <c r="AK46" s="531"/>
      <c r="AM46" s="539"/>
      <c r="AN46" s="535"/>
      <c r="AP46" s="540"/>
      <c r="AQ46" s="540"/>
    </row>
    <row r="47" spans="1:43" s="513" customFormat="1" ht="16.5" hidden="1" customHeight="1" outlineLevel="2">
      <c r="A47" s="584"/>
      <c r="B47" s="572" t="s">
        <v>888</v>
      </c>
      <c r="C47" s="574">
        <f>Insumos!$E$37</f>
        <v>7.51</v>
      </c>
      <c r="D47" s="574">
        <f>C47</f>
        <v>7.51</v>
      </c>
      <c r="E47" s="574">
        <f t="shared" ref="E47:AF47" si="58">D47</f>
        <v>7.51</v>
      </c>
      <c r="F47" s="574">
        <f t="shared" si="58"/>
        <v>7.51</v>
      </c>
      <c r="G47" s="574">
        <f t="shared" si="58"/>
        <v>7.51</v>
      </c>
      <c r="H47" s="574">
        <f t="shared" si="58"/>
        <v>7.51</v>
      </c>
      <c r="I47" s="574">
        <f t="shared" si="58"/>
        <v>7.51</v>
      </c>
      <c r="J47" s="574">
        <f t="shared" si="58"/>
        <v>7.51</v>
      </c>
      <c r="K47" s="574">
        <f t="shared" si="58"/>
        <v>7.51</v>
      </c>
      <c r="L47" s="574">
        <f t="shared" si="58"/>
        <v>7.51</v>
      </c>
      <c r="M47" s="574">
        <f t="shared" si="58"/>
        <v>7.51</v>
      </c>
      <c r="N47" s="574">
        <f t="shared" si="58"/>
        <v>7.51</v>
      </c>
      <c r="O47" s="574">
        <f t="shared" si="58"/>
        <v>7.51</v>
      </c>
      <c r="P47" s="574">
        <f t="shared" si="58"/>
        <v>7.51</v>
      </c>
      <c r="Q47" s="574">
        <f t="shared" si="58"/>
        <v>7.51</v>
      </c>
      <c r="R47" s="574">
        <f t="shared" si="58"/>
        <v>7.51</v>
      </c>
      <c r="S47" s="574">
        <f t="shared" si="58"/>
        <v>7.51</v>
      </c>
      <c r="T47" s="574">
        <f t="shared" si="58"/>
        <v>7.51</v>
      </c>
      <c r="U47" s="574">
        <f t="shared" si="58"/>
        <v>7.51</v>
      </c>
      <c r="V47" s="574">
        <f t="shared" si="58"/>
        <v>7.51</v>
      </c>
      <c r="W47" s="574">
        <f t="shared" si="58"/>
        <v>7.51</v>
      </c>
      <c r="X47" s="574">
        <f t="shared" si="58"/>
        <v>7.51</v>
      </c>
      <c r="Y47" s="574">
        <f t="shared" si="58"/>
        <v>7.51</v>
      </c>
      <c r="Z47" s="574">
        <f t="shared" si="58"/>
        <v>7.51</v>
      </c>
      <c r="AA47" s="574">
        <f t="shared" si="58"/>
        <v>7.51</v>
      </c>
      <c r="AB47" s="574">
        <f t="shared" si="58"/>
        <v>7.51</v>
      </c>
      <c r="AC47" s="574">
        <f t="shared" si="58"/>
        <v>7.51</v>
      </c>
      <c r="AD47" s="574">
        <f t="shared" si="58"/>
        <v>7.51</v>
      </c>
      <c r="AE47" s="574">
        <f t="shared" si="58"/>
        <v>7.51</v>
      </c>
      <c r="AF47" s="574">
        <f t="shared" si="58"/>
        <v>7.51</v>
      </c>
      <c r="AH47" s="538"/>
      <c r="AK47" s="531"/>
      <c r="AM47" s="539"/>
      <c r="AN47" s="535"/>
      <c r="AP47" s="540"/>
      <c r="AQ47" s="540"/>
    </row>
    <row r="48" spans="1:43" s="546" customFormat="1" ht="16.5" hidden="1" customHeight="1" outlineLevel="2">
      <c r="A48" s="584"/>
      <c r="B48" s="569" t="s">
        <v>808</v>
      </c>
      <c r="C48" s="581">
        <f>C49*(C50/C51)*C52</f>
        <v>319.17852211710562</v>
      </c>
      <c r="D48" s="581">
        <f>D49*(D50/D51)*D52</f>
        <v>319.17852211710562</v>
      </c>
      <c r="E48" s="581">
        <f t="shared" ref="E48:AF48" si="59">E49*(E50/E51)*E52</f>
        <v>319.17852211710562</v>
      </c>
      <c r="F48" s="581">
        <f t="shared" si="59"/>
        <v>319.17852211710562</v>
      </c>
      <c r="G48" s="581">
        <f t="shared" si="59"/>
        <v>319.17852211710562</v>
      </c>
      <c r="H48" s="581">
        <f t="shared" si="59"/>
        <v>319.17852211710562</v>
      </c>
      <c r="I48" s="581">
        <f t="shared" si="59"/>
        <v>319.17852211710562</v>
      </c>
      <c r="J48" s="581">
        <f t="shared" si="59"/>
        <v>319.17852211710562</v>
      </c>
      <c r="K48" s="581">
        <f t="shared" si="59"/>
        <v>319.17852211710562</v>
      </c>
      <c r="L48" s="581">
        <f t="shared" si="59"/>
        <v>319.17852211710562</v>
      </c>
      <c r="M48" s="581">
        <f t="shared" si="59"/>
        <v>319.17852211710562</v>
      </c>
      <c r="N48" s="581">
        <f t="shared" si="59"/>
        <v>319.17852211710562</v>
      </c>
      <c r="O48" s="581">
        <f t="shared" si="59"/>
        <v>319.17852211710562</v>
      </c>
      <c r="P48" s="581">
        <f t="shared" si="59"/>
        <v>319.17852211710562</v>
      </c>
      <c r="Q48" s="581">
        <f t="shared" si="59"/>
        <v>319.17852211710562</v>
      </c>
      <c r="R48" s="581">
        <f t="shared" si="59"/>
        <v>319.17852211710562</v>
      </c>
      <c r="S48" s="581">
        <f t="shared" si="59"/>
        <v>319.17852211710562</v>
      </c>
      <c r="T48" s="581">
        <f t="shared" si="59"/>
        <v>319.17852211710562</v>
      </c>
      <c r="U48" s="581">
        <f t="shared" si="59"/>
        <v>319.17852211710562</v>
      </c>
      <c r="V48" s="581">
        <f t="shared" si="59"/>
        <v>319.17852211710562</v>
      </c>
      <c r="W48" s="581">
        <f t="shared" si="59"/>
        <v>319.17852211710562</v>
      </c>
      <c r="X48" s="581">
        <f t="shared" si="59"/>
        <v>319.17852211710562</v>
      </c>
      <c r="Y48" s="581">
        <f t="shared" si="59"/>
        <v>319.17852211710562</v>
      </c>
      <c r="Z48" s="581">
        <f t="shared" si="59"/>
        <v>319.17852211710562</v>
      </c>
      <c r="AA48" s="581">
        <f t="shared" si="59"/>
        <v>319.17852211710562</v>
      </c>
      <c r="AB48" s="581">
        <f t="shared" si="59"/>
        <v>319.17852211710562</v>
      </c>
      <c r="AC48" s="581">
        <f t="shared" si="59"/>
        <v>319.17852211710562</v>
      </c>
      <c r="AD48" s="581">
        <f t="shared" si="59"/>
        <v>319.17852211710562</v>
      </c>
      <c r="AE48" s="581">
        <f t="shared" si="59"/>
        <v>319.17852211710562</v>
      </c>
      <c r="AF48" s="581">
        <f t="shared" si="59"/>
        <v>319.17852211710562</v>
      </c>
      <c r="AH48" s="571"/>
      <c r="AK48" s="531"/>
      <c r="AM48" s="548"/>
      <c r="AN48" s="535"/>
      <c r="AP48" s="549"/>
      <c r="AQ48" s="549"/>
    </row>
    <row r="49" spans="1:43" s="586" customFormat="1" ht="16.5" hidden="1" customHeight="1" outlineLevel="2">
      <c r="A49" s="584"/>
      <c r="B49" s="585" t="s">
        <v>805</v>
      </c>
      <c r="C49" s="716">
        <f t="shared" ref="C49:AF49" si="60">C13</f>
        <v>1</v>
      </c>
      <c r="D49" s="716">
        <f t="shared" si="60"/>
        <v>1</v>
      </c>
      <c r="E49" s="716">
        <f t="shared" si="60"/>
        <v>1</v>
      </c>
      <c r="F49" s="716">
        <f t="shared" si="60"/>
        <v>1</v>
      </c>
      <c r="G49" s="716">
        <f t="shared" si="60"/>
        <v>1</v>
      </c>
      <c r="H49" s="716">
        <f t="shared" si="60"/>
        <v>1</v>
      </c>
      <c r="I49" s="716">
        <f t="shared" si="60"/>
        <v>1</v>
      </c>
      <c r="J49" s="716">
        <f t="shared" si="60"/>
        <v>1</v>
      </c>
      <c r="K49" s="716">
        <f t="shared" si="60"/>
        <v>1</v>
      </c>
      <c r="L49" s="716">
        <f t="shared" si="60"/>
        <v>1</v>
      </c>
      <c r="M49" s="716">
        <f t="shared" si="60"/>
        <v>1</v>
      </c>
      <c r="N49" s="716">
        <f t="shared" si="60"/>
        <v>1</v>
      </c>
      <c r="O49" s="716">
        <f t="shared" si="60"/>
        <v>1</v>
      </c>
      <c r="P49" s="716">
        <f t="shared" si="60"/>
        <v>1</v>
      </c>
      <c r="Q49" s="716">
        <f t="shared" si="60"/>
        <v>1</v>
      </c>
      <c r="R49" s="716">
        <f t="shared" si="60"/>
        <v>1</v>
      </c>
      <c r="S49" s="716">
        <f t="shared" si="60"/>
        <v>1</v>
      </c>
      <c r="T49" s="716">
        <f t="shared" si="60"/>
        <v>1</v>
      </c>
      <c r="U49" s="716">
        <f t="shared" si="60"/>
        <v>1</v>
      </c>
      <c r="V49" s="716">
        <f t="shared" si="60"/>
        <v>1</v>
      </c>
      <c r="W49" s="716">
        <f t="shared" si="60"/>
        <v>1</v>
      </c>
      <c r="X49" s="716">
        <f t="shared" si="60"/>
        <v>1</v>
      </c>
      <c r="Y49" s="716">
        <f t="shared" si="60"/>
        <v>1</v>
      </c>
      <c r="Z49" s="716">
        <f t="shared" si="60"/>
        <v>1</v>
      </c>
      <c r="AA49" s="716">
        <f t="shared" si="60"/>
        <v>1</v>
      </c>
      <c r="AB49" s="716">
        <f t="shared" si="60"/>
        <v>1</v>
      </c>
      <c r="AC49" s="716">
        <f t="shared" si="60"/>
        <v>1</v>
      </c>
      <c r="AD49" s="716">
        <f t="shared" si="60"/>
        <v>1</v>
      </c>
      <c r="AE49" s="716">
        <f t="shared" si="60"/>
        <v>1</v>
      </c>
      <c r="AF49" s="716">
        <f t="shared" si="60"/>
        <v>1</v>
      </c>
      <c r="AH49" s="587"/>
      <c r="AK49" s="588"/>
      <c r="AM49" s="589"/>
      <c r="AN49" s="590"/>
      <c r="AP49" s="591"/>
      <c r="AQ49" s="591"/>
    </row>
    <row r="50" spans="1:43" s="513" customFormat="1" ht="16.5" hidden="1" customHeight="1" outlineLevel="2">
      <c r="A50" s="584"/>
      <c r="B50" s="572" t="s">
        <v>895</v>
      </c>
      <c r="C50" s="574">
        <f t="shared" ref="C50:AF50" si="61">C35</f>
        <v>1814.4</v>
      </c>
      <c r="D50" s="574">
        <f t="shared" si="61"/>
        <v>1814.4</v>
      </c>
      <c r="E50" s="574">
        <f t="shared" si="61"/>
        <v>1814.4</v>
      </c>
      <c r="F50" s="574">
        <f t="shared" si="61"/>
        <v>1814.4</v>
      </c>
      <c r="G50" s="574">
        <f t="shared" si="61"/>
        <v>1814.4</v>
      </c>
      <c r="H50" s="574">
        <f t="shared" si="61"/>
        <v>1814.4</v>
      </c>
      <c r="I50" s="574">
        <f t="shared" si="61"/>
        <v>1814.4</v>
      </c>
      <c r="J50" s="574">
        <f t="shared" si="61"/>
        <v>1814.4</v>
      </c>
      <c r="K50" s="574">
        <f t="shared" si="61"/>
        <v>1814.4</v>
      </c>
      <c r="L50" s="574">
        <f t="shared" si="61"/>
        <v>1814.4</v>
      </c>
      <c r="M50" s="574">
        <f t="shared" si="61"/>
        <v>1814.4</v>
      </c>
      <c r="N50" s="574">
        <f t="shared" si="61"/>
        <v>1814.4</v>
      </c>
      <c r="O50" s="574">
        <f t="shared" si="61"/>
        <v>1814.4</v>
      </c>
      <c r="P50" s="574">
        <f t="shared" si="61"/>
        <v>1814.4</v>
      </c>
      <c r="Q50" s="574">
        <f t="shared" si="61"/>
        <v>1814.4</v>
      </c>
      <c r="R50" s="574">
        <f t="shared" si="61"/>
        <v>1814.4</v>
      </c>
      <c r="S50" s="574">
        <f t="shared" si="61"/>
        <v>1814.4</v>
      </c>
      <c r="T50" s="574">
        <f t="shared" si="61"/>
        <v>1814.4</v>
      </c>
      <c r="U50" s="574">
        <f t="shared" si="61"/>
        <v>1814.4</v>
      </c>
      <c r="V50" s="574">
        <f t="shared" si="61"/>
        <v>1814.4</v>
      </c>
      <c r="W50" s="574">
        <f t="shared" si="61"/>
        <v>1814.4</v>
      </c>
      <c r="X50" s="574">
        <f t="shared" si="61"/>
        <v>1814.4</v>
      </c>
      <c r="Y50" s="574">
        <f t="shared" si="61"/>
        <v>1814.4</v>
      </c>
      <c r="Z50" s="574">
        <f t="shared" si="61"/>
        <v>1814.4</v>
      </c>
      <c r="AA50" s="574">
        <f t="shared" si="61"/>
        <v>1814.4</v>
      </c>
      <c r="AB50" s="574">
        <f t="shared" si="61"/>
        <v>1814.4</v>
      </c>
      <c r="AC50" s="574">
        <f t="shared" si="61"/>
        <v>1814.4</v>
      </c>
      <c r="AD50" s="574">
        <f t="shared" si="61"/>
        <v>1814.4</v>
      </c>
      <c r="AE50" s="574">
        <f t="shared" si="61"/>
        <v>1814.4</v>
      </c>
      <c r="AF50" s="574">
        <f t="shared" si="61"/>
        <v>1814.4</v>
      </c>
      <c r="AH50" s="538"/>
      <c r="AK50" s="531"/>
      <c r="AM50" s="539"/>
      <c r="AN50" s="535"/>
      <c r="AP50" s="540"/>
      <c r="AQ50" s="540"/>
    </row>
    <row r="51" spans="1:43" s="513" customFormat="1" ht="16.5" hidden="1" customHeight="1" outlineLevel="2">
      <c r="A51" s="584"/>
      <c r="B51" s="572" t="s">
        <v>896</v>
      </c>
      <c r="C51" s="574">
        <v>39.11</v>
      </c>
      <c r="D51" s="574">
        <f>C51</f>
        <v>39.11</v>
      </c>
      <c r="E51" s="574">
        <f t="shared" ref="E51:T52" si="62">D51</f>
        <v>39.11</v>
      </c>
      <c r="F51" s="574">
        <f t="shared" si="62"/>
        <v>39.11</v>
      </c>
      <c r="G51" s="574">
        <f t="shared" si="62"/>
        <v>39.11</v>
      </c>
      <c r="H51" s="574">
        <f t="shared" si="62"/>
        <v>39.11</v>
      </c>
      <c r="I51" s="574">
        <f t="shared" si="62"/>
        <v>39.11</v>
      </c>
      <c r="J51" s="574">
        <f t="shared" si="62"/>
        <v>39.11</v>
      </c>
      <c r="K51" s="574">
        <f t="shared" si="62"/>
        <v>39.11</v>
      </c>
      <c r="L51" s="574">
        <f t="shared" si="62"/>
        <v>39.11</v>
      </c>
      <c r="M51" s="574">
        <f t="shared" si="62"/>
        <v>39.11</v>
      </c>
      <c r="N51" s="574">
        <f t="shared" si="62"/>
        <v>39.11</v>
      </c>
      <c r="O51" s="574">
        <f t="shared" si="62"/>
        <v>39.11</v>
      </c>
      <c r="P51" s="574">
        <f t="shared" si="62"/>
        <v>39.11</v>
      </c>
      <c r="Q51" s="574">
        <f t="shared" si="62"/>
        <v>39.11</v>
      </c>
      <c r="R51" s="574">
        <f t="shared" si="62"/>
        <v>39.11</v>
      </c>
      <c r="S51" s="574">
        <f t="shared" si="62"/>
        <v>39.11</v>
      </c>
      <c r="T51" s="574">
        <f t="shared" si="62"/>
        <v>39.11</v>
      </c>
      <c r="U51" s="574">
        <f t="shared" ref="U51:AF52" si="63">T51</f>
        <v>39.11</v>
      </c>
      <c r="V51" s="574">
        <f t="shared" si="63"/>
        <v>39.11</v>
      </c>
      <c r="W51" s="574">
        <f t="shared" si="63"/>
        <v>39.11</v>
      </c>
      <c r="X51" s="574">
        <f t="shared" si="63"/>
        <v>39.11</v>
      </c>
      <c r="Y51" s="574">
        <f t="shared" si="63"/>
        <v>39.11</v>
      </c>
      <c r="Z51" s="574">
        <f t="shared" si="63"/>
        <v>39.11</v>
      </c>
      <c r="AA51" s="574">
        <f t="shared" si="63"/>
        <v>39.11</v>
      </c>
      <c r="AB51" s="574">
        <f t="shared" si="63"/>
        <v>39.11</v>
      </c>
      <c r="AC51" s="574">
        <f t="shared" si="63"/>
        <v>39.11</v>
      </c>
      <c r="AD51" s="574">
        <f t="shared" si="63"/>
        <v>39.11</v>
      </c>
      <c r="AE51" s="574">
        <f t="shared" si="63"/>
        <v>39.11</v>
      </c>
      <c r="AF51" s="574">
        <f t="shared" si="63"/>
        <v>39.11</v>
      </c>
      <c r="AH51" s="538"/>
      <c r="AK51" s="531"/>
      <c r="AM51" s="539"/>
      <c r="AN51" s="535"/>
      <c r="AP51" s="540"/>
      <c r="AQ51" s="540"/>
    </row>
    <row r="52" spans="1:43" s="513" customFormat="1" ht="16.5" hidden="1" customHeight="1" outlineLevel="2">
      <c r="A52" s="584"/>
      <c r="B52" s="572" t="s">
        <v>888</v>
      </c>
      <c r="C52" s="574">
        <f>Insumos!$E$40</f>
        <v>6.88</v>
      </c>
      <c r="D52" s="574">
        <f>C52</f>
        <v>6.88</v>
      </c>
      <c r="E52" s="574">
        <f t="shared" si="62"/>
        <v>6.88</v>
      </c>
      <c r="F52" s="574">
        <f t="shared" si="62"/>
        <v>6.88</v>
      </c>
      <c r="G52" s="574">
        <f t="shared" si="62"/>
        <v>6.88</v>
      </c>
      <c r="H52" s="574">
        <f t="shared" si="62"/>
        <v>6.88</v>
      </c>
      <c r="I52" s="574">
        <f t="shared" si="62"/>
        <v>6.88</v>
      </c>
      <c r="J52" s="574">
        <f t="shared" si="62"/>
        <v>6.88</v>
      </c>
      <c r="K52" s="574">
        <f t="shared" si="62"/>
        <v>6.88</v>
      </c>
      <c r="L52" s="574">
        <f t="shared" si="62"/>
        <v>6.88</v>
      </c>
      <c r="M52" s="574">
        <f t="shared" si="62"/>
        <v>6.88</v>
      </c>
      <c r="N52" s="574">
        <f t="shared" si="62"/>
        <v>6.88</v>
      </c>
      <c r="O52" s="574">
        <f t="shared" si="62"/>
        <v>6.88</v>
      </c>
      <c r="P52" s="574">
        <f t="shared" si="62"/>
        <v>6.88</v>
      </c>
      <c r="Q52" s="574">
        <f t="shared" si="62"/>
        <v>6.88</v>
      </c>
      <c r="R52" s="574">
        <f t="shared" si="62"/>
        <v>6.88</v>
      </c>
      <c r="S52" s="574">
        <f t="shared" si="62"/>
        <v>6.88</v>
      </c>
      <c r="T52" s="574">
        <f t="shared" si="62"/>
        <v>6.88</v>
      </c>
      <c r="U52" s="574">
        <f t="shared" si="63"/>
        <v>6.88</v>
      </c>
      <c r="V52" s="574">
        <f t="shared" si="63"/>
        <v>6.88</v>
      </c>
      <c r="W52" s="574">
        <f t="shared" si="63"/>
        <v>6.88</v>
      </c>
      <c r="X52" s="574">
        <f t="shared" si="63"/>
        <v>6.88</v>
      </c>
      <c r="Y52" s="574">
        <f t="shared" si="63"/>
        <v>6.88</v>
      </c>
      <c r="Z52" s="574">
        <f t="shared" si="63"/>
        <v>6.88</v>
      </c>
      <c r="AA52" s="574">
        <f t="shared" si="63"/>
        <v>6.88</v>
      </c>
      <c r="AB52" s="574">
        <f t="shared" si="63"/>
        <v>6.88</v>
      </c>
      <c r="AC52" s="574">
        <f t="shared" si="63"/>
        <v>6.88</v>
      </c>
      <c r="AD52" s="574">
        <f t="shared" si="63"/>
        <v>6.88</v>
      </c>
      <c r="AE52" s="574">
        <f t="shared" si="63"/>
        <v>6.88</v>
      </c>
      <c r="AF52" s="574">
        <f t="shared" si="63"/>
        <v>6.88</v>
      </c>
      <c r="AH52" s="538"/>
      <c r="AK52" s="531"/>
      <c r="AM52" s="539"/>
      <c r="AN52" s="535"/>
      <c r="AP52" s="540"/>
      <c r="AQ52" s="540"/>
    </row>
    <row r="53" spans="1:43" s="546" customFormat="1" ht="16.5" hidden="1" customHeight="1" outlineLevel="2">
      <c r="A53" s="584"/>
      <c r="B53" s="569" t="s">
        <v>882</v>
      </c>
      <c r="C53" s="581">
        <f>C54*(C55/C56)*C57</f>
        <v>483.84</v>
      </c>
      <c r="D53" s="581">
        <f>D54*(D55/D56)*D57</f>
        <v>483.84</v>
      </c>
      <c r="E53" s="581">
        <f t="shared" ref="E53:AF53" si="64">E54*(E55/E56)*E57</f>
        <v>483.84</v>
      </c>
      <c r="F53" s="581">
        <f t="shared" si="64"/>
        <v>483.84</v>
      </c>
      <c r="G53" s="581">
        <f t="shared" si="64"/>
        <v>483.84</v>
      </c>
      <c r="H53" s="581">
        <f t="shared" si="64"/>
        <v>483.84</v>
      </c>
      <c r="I53" s="581">
        <f t="shared" si="64"/>
        <v>483.84</v>
      </c>
      <c r="J53" s="581">
        <f t="shared" si="64"/>
        <v>483.84</v>
      </c>
      <c r="K53" s="581">
        <f t="shared" si="64"/>
        <v>483.84</v>
      </c>
      <c r="L53" s="581">
        <f t="shared" si="64"/>
        <v>483.84</v>
      </c>
      <c r="M53" s="581">
        <f t="shared" si="64"/>
        <v>483.84</v>
      </c>
      <c r="N53" s="581">
        <f t="shared" si="64"/>
        <v>483.84</v>
      </c>
      <c r="O53" s="581">
        <f t="shared" si="64"/>
        <v>483.84</v>
      </c>
      <c r="P53" s="581">
        <f t="shared" si="64"/>
        <v>483.84</v>
      </c>
      <c r="Q53" s="581">
        <f t="shared" si="64"/>
        <v>483.84</v>
      </c>
      <c r="R53" s="581">
        <f t="shared" si="64"/>
        <v>483.84</v>
      </c>
      <c r="S53" s="581">
        <f t="shared" si="64"/>
        <v>483.84</v>
      </c>
      <c r="T53" s="581">
        <f t="shared" si="64"/>
        <v>483.84</v>
      </c>
      <c r="U53" s="581">
        <f t="shared" si="64"/>
        <v>483.84</v>
      </c>
      <c r="V53" s="581">
        <f t="shared" si="64"/>
        <v>483.84</v>
      </c>
      <c r="W53" s="581">
        <f t="shared" si="64"/>
        <v>483.84</v>
      </c>
      <c r="X53" s="581">
        <f t="shared" si="64"/>
        <v>483.84</v>
      </c>
      <c r="Y53" s="581">
        <f t="shared" si="64"/>
        <v>483.84</v>
      </c>
      <c r="Z53" s="581">
        <f t="shared" si="64"/>
        <v>483.84</v>
      </c>
      <c r="AA53" s="581">
        <f t="shared" si="64"/>
        <v>483.84</v>
      </c>
      <c r="AB53" s="581">
        <f t="shared" si="64"/>
        <v>483.84</v>
      </c>
      <c r="AC53" s="581">
        <f t="shared" si="64"/>
        <v>483.84</v>
      </c>
      <c r="AD53" s="581">
        <f t="shared" si="64"/>
        <v>483.84</v>
      </c>
      <c r="AE53" s="581">
        <f t="shared" si="64"/>
        <v>483.84</v>
      </c>
      <c r="AF53" s="581">
        <f t="shared" si="64"/>
        <v>483.84</v>
      </c>
      <c r="AH53" s="571"/>
      <c r="AK53" s="531"/>
      <c r="AM53" s="548"/>
      <c r="AN53" s="535"/>
      <c r="AP53" s="549"/>
      <c r="AQ53" s="549"/>
    </row>
    <row r="54" spans="1:43" s="586" customFormat="1" ht="16.5" hidden="1" customHeight="1" outlineLevel="2">
      <c r="A54" s="584"/>
      <c r="B54" s="585" t="s">
        <v>805</v>
      </c>
      <c r="C54" s="716">
        <f t="shared" ref="C54:AF54" si="65">C14</f>
        <v>1</v>
      </c>
      <c r="D54" s="716">
        <f t="shared" si="65"/>
        <v>1</v>
      </c>
      <c r="E54" s="716">
        <f t="shared" si="65"/>
        <v>1</v>
      </c>
      <c r="F54" s="716">
        <f t="shared" si="65"/>
        <v>1</v>
      </c>
      <c r="G54" s="716">
        <f t="shared" si="65"/>
        <v>1</v>
      </c>
      <c r="H54" s="716">
        <f t="shared" si="65"/>
        <v>1</v>
      </c>
      <c r="I54" s="716">
        <f t="shared" si="65"/>
        <v>1</v>
      </c>
      <c r="J54" s="716">
        <f t="shared" si="65"/>
        <v>1</v>
      </c>
      <c r="K54" s="716">
        <f t="shared" si="65"/>
        <v>1</v>
      </c>
      <c r="L54" s="716">
        <f t="shared" si="65"/>
        <v>1</v>
      </c>
      <c r="M54" s="716">
        <f t="shared" si="65"/>
        <v>1</v>
      </c>
      <c r="N54" s="716">
        <f t="shared" si="65"/>
        <v>1</v>
      </c>
      <c r="O54" s="716">
        <f t="shared" si="65"/>
        <v>1</v>
      </c>
      <c r="P54" s="716">
        <f t="shared" si="65"/>
        <v>1</v>
      </c>
      <c r="Q54" s="716">
        <f t="shared" si="65"/>
        <v>1</v>
      </c>
      <c r="R54" s="716">
        <f t="shared" si="65"/>
        <v>1</v>
      </c>
      <c r="S54" s="716">
        <f t="shared" si="65"/>
        <v>1</v>
      </c>
      <c r="T54" s="716">
        <f t="shared" si="65"/>
        <v>1</v>
      </c>
      <c r="U54" s="716">
        <f t="shared" si="65"/>
        <v>1</v>
      </c>
      <c r="V54" s="716">
        <f t="shared" si="65"/>
        <v>1</v>
      </c>
      <c r="W54" s="716">
        <f t="shared" si="65"/>
        <v>1</v>
      </c>
      <c r="X54" s="716">
        <f t="shared" si="65"/>
        <v>1</v>
      </c>
      <c r="Y54" s="716">
        <f t="shared" si="65"/>
        <v>1</v>
      </c>
      <c r="Z54" s="716">
        <f t="shared" si="65"/>
        <v>1</v>
      </c>
      <c r="AA54" s="716">
        <f t="shared" si="65"/>
        <v>1</v>
      </c>
      <c r="AB54" s="716">
        <f t="shared" si="65"/>
        <v>1</v>
      </c>
      <c r="AC54" s="716">
        <f t="shared" si="65"/>
        <v>1</v>
      </c>
      <c r="AD54" s="716">
        <f t="shared" si="65"/>
        <v>1</v>
      </c>
      <c r="AE54" s="716">
        <f t="shared" si="65"/>
        <v>1</v>
      </c>
      <c r="AF54" s="716">
        <f t="shared" si="65"/>
        <v>1</v>
      </c>
      <c r="AH54" s="587"/>
      <c r="AK54" s="588"/>
      <c r="AM54" s="589"/>
      <c r="AN54" s="590"/>
      <c r="AP54" s="591"/>
      <c r="AQ54" s="591"/>
    </row>
    <row r="55" spans="1:43" s="513" customFormat="1" ht="16.5" hidden="1" customHeight="1" outlineLevel="2">
      <c r="A55" s="584"/>
      <c r="B55" s="572" t="s">
        <v>895</v>
      </c>
      <c r="C55" s="574">
        <f>35*1*25.92</f>
        <v>907.2</v>
      </c>
      <c r="D55" s="574">
        <f t="shared" ref="D55:AF55" si="66">35*1*25.92</f>
        <v>907.2</v>
      </c>
      <c r="E55" s="574">
        <f t="shared" si="66"/>
        <v>907.2</v>
      </c>
      <c r="F55" s="574">
        <f t="shared" si="66"/>
        <v>907.2</v>
      </c>
      <c r="G55" s="574">
        <f t="shared" si="66"/>
        <v>907.2</v>
      </c>
      <c r="H55" s="574">
        <f t="shared" si="66"/>
        <v>907.2</v>
      </c>
      <c r="I55" s="574">
        <f t="shared" si="66"/>
        <v>907.2</v>
      </c>
      <c r="J55" s="574">
        <f t="shared" si="66"/>
        <v>907.2</v>
      </c>
      <c r="K55" s="574">
        <f t="shared" si="66"/>
        <v>907.2</v>
      </c>
      <c r="L55" s="574">
        <f t="shared" si="66"/>
        <v>907.2</v>
      </c>
      <c r="M55" s="574">
        <f t="shared" si="66"/>
        <v>907.2</v>
      </c>
      <c r="N55" s="574">
        <f t="shared" si="66"/>
        <v>907.2</v>
      </c>
      <c r="O55" s="574">
        <f t="shared" si="66"/>
        <v>907.2</v>
      </c>
      <c r="P55" s="574">
        <f t="shared" si="66"/>
        <v>907.2</v>
      </c>
      <c r="Q55" s="574">
        <f t="shared" si="66"/>
        <v>907.2</v>
      </c>
      <c r="R55" s="574">
        <f t="shared" si="66"/>
        <v>907.2</v>
      </c>
      <c r="S55" s="574">
        <f t="shared" si="66"/>
        <v>907.2</v>
      </c>
      <c r="T55" s="574">
        <f t="shared" si="66"/>
        <v>907.2</v>
      </c>
      <c r="U55" s="574">
        <f t="shared" si="66"/>
        <v>907.2</v>
      </c>
      <c r="V55" s="574">
        <f t="shared" si="66"/>
        <v>907.2</v>
      </c>
      <c r="W55" s="574">
        <f t="shared" si="66"/>
        <v>907.2</v>
      </c>
      <c r="X55" s="574">
        <f t="shared" si="66"/>
        <v>907.2</v>
      </c>
      <c r="Y55" s="574">
        <f t="shared" si="66"/>
        <v>907.2</v>
      </c>
      <c r="Z55" s="574">
        <f t="shared" si="66"/>
        <v>907.2</v>
      </c>
      <c r="AA55" s="574">
        <f t="shared" si="66"/>
        <v>907.2</v>
      </c>
      <c r="AB55" s="574">
        <f t="shared" si="66"/>
        <v>907.2</v>
      </c>
      <c r="AC55" s="574">
        <f t="shared" si="66"/>
        <v>907.2</v>
      </c>
      <c r="AD55" s="574">
        <f t="shared" si="66"/>
        <v>907.2</v>
      </c>
      <c r="AE55" s="574">
        <f t="shared" si="66"/>
        <v>907.2</v>
      </c>
      <c r="AF55" s="574">
        <f t="shared" si="66"/>
        <v>907.2</v>
      </c>
      <c r="AH55" s="538"/>
      <c r="AK55" s="531"/>
      <c r="AM55" s="539"/>
      <c r="AN55" s="535"/>
      <c r="AP55" s="540"/>
      <c r="AQ55" s="540"/>
    </row>
    <row r="56" spans="1:43" s="513" customFormat="1" ht="16.5" hidden="1" customHeight="1" outlineLevel="2">
      <c r="A56" s="584"/>
      <c r="B56" s="572" t="s">
        <v>896</v>
      </c>
      <c r="C56" s="574">
        <v>12.9</v>
      </c>
      <c r="D56" s="574">
        <f>C56</f>
        <v>12.9</v>
      </c>
      <c r="E56" s="574">
        <f t="shared" ref="E56:T57" si="67">D56</f>
        <v>12.9</v>
      </c>
      <c r="F56" s="574">
        <f t="shared" si="67"/>
        <v>12.9</v>
      </c>
      <c r="G56" s="574">
        <f t="shared" si="67"/>
        <v>12.9</v>
      </c>
      <c r="H56" s="574">
        <f t="shared" si="67"/>
        <v>12.9</v>
      </c>
      <c r="I56" s="574">
        <f t="shared" si="67"/>
        <v>12.9</v>
      </c>
      <c r="J56" s="574">
        <f t="shared" si="67"/>
        <v>12.9</v>
      </c>
      <c r="K56" s="574">
        <f t="shared" si="67"/>
        <v>12.9</v>
      </c>
      <c r="L56" s="574">
        <f t="shared" si="67"/>
        <v>12.9</v>
      </c>
      <c r="M56" s="574">
        <f t="shared" si="67"/>
        <v>12.9</v>
      </c>
      <c r="N56" s="574">
        <f t="shared" si="67"/>
        <v>12.9</v>
      </c>
      <c r="O56" s="574">
        <f t="shared" si="67"/>
        <v>12.9</v>
      </c>
      <c r="P56" s="574">
        <f t="shared" si="67"/>
        <v>12.9</v>
      </c>
      <c r="Q56" s="574">
        <f t="shared" si="67"/>
        <v>12.9</v>
      </c>
      <c r="R56" s="574">
        <f t="shared" si="67"/>
        <v>12.9</v>
      </c>
      <c r="S56" s="574">
        <f t="shared" si="67"/>
        <v>12.9</v>
      </c>
      <c r="T56" s="574">
        <f t="shared" si="67"/>
        <v>12.9</v>
      </c>
      <c r="U56" s="574">
        <f t="shared" ref="U56:AF57" si="68">T56</f>
        <v>12.9</v>
      </c>
      <c r="V56" s="574">
        <f t="shared" si="68"/>
        <v>12.9</v>
      </c>
      <c r="W56" s="574">
        <f t="shared" si="68"/>
        <v>12.9</v>
      </c>
      <c r="X56" s="574">
        <f t="shared" si="68"/>
        <v>12.9</v>
      </c>
      <c r="Y56" s="574">
        <f t="shared" si="68"/>
        <v>12.9</v>
      </c>
      <c r="Z56" s="574">
        <f t="shared" si="68"/>
        <v>12.9</v>
      </c>
      <c r="AA56" s="574">
        <f t="shared" si="68"/>
        <v>12.9</v>
      </c>
      <c r="AB56" s="574">
        <f t="shared" si="68"/>
        <v>12.9</v>
      </c>
      <c r="AC56" s="574">
        <f t="shared" si="68"/>
        <v>12.9</v>
      </c>
      <c r="AD56" s="574">
        <f t="shared" si="68"/>
        <v>12.9</v>
      </c>
      <c r="AE56" s="574">
        <f t="shared" si="68"/>
        <v>12.9</v>
      </c>
      <c r="AF56" s="574">
        <f t="shared" si="68"/>
        <v>12.9</v>
      </c>
      <c r="AH56" s="538"/>
      <c r="AK56" s="531"/>
      <c r="AM56" s="539"/>
      <c r="AN56" s="535"/>
      <c r="AP56" s="540"/>
      <c r="AQ56" s="540"/>
    </row>
    <row r="57" spans="1:43" s="513" customFormat="1" ht="16.5" hidden="1" customHeight="1" outlineLevel="2">
      <c r="A57" s="584"/>
      <c r="B57" s="572" t="s">
        <v>888</v>
      </c>
      <c r="C57" s="574">
        <f>Insumos!$E$40</f>
        <v>6.88</v>
      </c>
      <c r="D57" s="574">
        <f>C57</f>
        <v>6.88</v>
      </c>
      <c r="E57" s="574">
        <f t="shared" si="67"/>
        <v>6.88</v>
      </c>
      <c r="F57" s="574">
        <f t="shared" si="67"/>
        <v>6.88</v>
      </c>
      <c r="G57" s="574">
        <f t="shared" si="67"/>
        <v>6.88</v>
      </c>
      <c r="H57" s="574">
        <f t="shared" si="67"/>
        <v>6.88</v>
      </c>
      <c r="I57" s="574">
        <f t="shared" si="67"/>
        <v>6.88</v>
      </c>
      <c r="J57" s="574">
        <f t="shared" si="67"/>
        <v>6.88</v>
      </c>
      <c r="K57" s="574">
        <f t="shared" si="67"/>
        <v>6.88</v>
      </c>
      <c r="L57" s="574">
        <f t="shared" si="67"/>
        <v>6.88</v>
      </c>
      <c r="M57" s="574">
        <f t="shared" si="67"/>
        <v>6.88</v>
      </c>
      <c r="N57" s="574">
        <f t="shared" si="67"/>
        <v>6.88</v>
      </c>
      <c r="O57" s="574">
        <f t="shared" si="67"/>
        <v>6.88</v>
      </c>
      <c r="P57" s="574">
        <f t="shared" si="67"/>
        <v>6.88</v>
      </c>
      <c r="Q57" s="574">
        <f t="shared" si="67"/>
        <v>6.88</v>
      </c>
      <c r="R57" s="574">
        <f t="shared" si="67"/>
        <v>6.88</v>
      </c>
      <c r="S57" s="574">
        <f t="shared" si="67"/>
        <v>6.88</v>
      </c>
      <c r="T57" s="574">
        <f t="shared" si="67"/>
        <v>6.88</v>
      </c>
      <c r="U57" s="574">
        <f t="shared" si="68"/>
        <v>6.88</v>
      </c>
      <c r="V57" s="574">
        <f t="shared" si="68"/>
        <v>6.88</v>
      </c>
      <c r="W57" s="574">
        <f t="shared" si="68"/>
        <v>6.88</v>
      </c>
      <c r="X57" s="574">
        <f t="shared" si="68"/>
        <v>6.88</v>
      </c>
      <c r="Y57" s="574">
        <f t="shared" si="68"/>
        <v>6.88</v>
      </c>
      <c r="Z57" s="574">
        <f t="shared" si="68"/>
        <v>6.88</v>
      </c>
      <c r="AA57" s="574">
        <f t="shared" si="68"/>
        <v>6.88</v>
      </c>
      <c r="AB57" s="574">
        <f t="shared" si="68"/>
        <v>6.88</v>
      </c>
      <c r="AC57" s="574">
        <f t="shared" si="68"/>
        <v>6.88</v>
      </c>
      <c r="AD57" s="574">
        <f t="shared" si="68"/>
        <v>6.88</v>
      </c>
      <c r="AE57" s="574">
        <f t="shared" si="68"/>
        <v>6.88</v>
      </c>
      <c r="AF57" s="574">
        <f t="shared" si="68"/>
        <v>6.88</v>
      </c>
      <c r="AH57" s="538"/>
      <c r="AK57" s="531"/>
      <c r="AM57" s="539"/>
      <c r="AN57" s="535"/>
      <c r="AP57" s="540"/>
      <c r="AQ57" s="540"/>
    </row>
    <row r="58" spans="1:43" s="513" customFormat="1" ht="6" hidden="1" customHeight="1" outlineLevel="2">
      <c r="A58" s="584"/>
      <c r="B58" s="572"/>
      <c r="C58" s="574"/>
      <c r="D58" s="574"/>
      <c r="E58" s="574"/>
      <c r="F58" s="574"/>
      <c r="G58" s="574"/>
      <c r="H58" s="574"/>
      <c r="I58" s="574"/>
      <c r="J58" s="574"/>
      <c r="K58" s="574"/>
      <c r="L58" s="574"/>
      <c r="M58" s="574"/>
      <c r="N58" s="574"/>
      <c r="O58" s="574"/>
      <c r="P58" s="574"/>
      <c r="Q58" s="574"/>
      <c r="R58" s="574"/>
      <c r="S58" s="574"/>
      <c r="T58" s="574"/>
      <c r="U58" s="574"/>
      <c r="V58" s="574"/>
      <c r="W58" s="574"/>
      <c r="X58" s="574"/>
      <c r="Y58" s="574"/>
      <c r="Z58" s="574"/>
      <c r="AA58" s="574"/>
      <c r="AB58" s="574"/>
      <c r="AC58" s="574"/>
      <c r="AD58" s="574"/>
      <c r="AE58" s="574"/>
      <c r="AF58" s="574"/>
      <c r="AH58" s="538"/>
      <c r="AK58" s="531"/>
      <c r="AM58" s="539"/>
      <c r="AN58" s="535"/>
      <c r="AP58" s="540"/>
      <c r="AQ58" s="540"/>
    </row>
    <row r="59" spans="1:43" s="564" customFormat="1" ht="16.5" hidden="1" customHeight="1" outlineLevel="1" collapsed="1">
      <c r="A59" s="584"/>
      <c r="B59" s="576" t="s">
        <v>897</v>
      </c>
      <c r="C59" s="577">
        <f>SUM(C60,C64)*12/10^3</f>
        <v>7.6264790745599997</v>
      </c>
      <c r="D59" s="577">
        <f t="shared" ref="D59:AF59" si="69">SUM(D60,D64)*12/10^3</f>
        <v>7.6264790745599997</v>
      </c>
      <c r="E59" s="577">
        <f t="shared" si="69"/>
        <v>7.6264790745599997</v>
      </c>
      <c r="F59" s="577">
        <f t="shared" si="69"/>
        <v>7.6264790745599997</v>
      </c>
      <c r="G59" s="577">
        <f t="shared" si="69"/>
        <v>7.6264790745599997</v>
      </c>
      <c r="H59" s="577">
        <f t="shared" si="69"/>
        <v>7.6264790745599997</v>
      </c>
      <c r="I59" s="577">
        <f t="shared" si="69"/>
        <v>7.6264790745599997</v>
      </c>
      <c r="J59" s="577">
        <f t="shared" si="69"/>
        <v>7.6264790745599997</v>
      </c>
      <c r="K59" s="577">
        <f t="shared" si="69"/>
        <v>7.6264790745599997</v>
      </c>
      <c r="L59" s="577">
        <f t="shared" si="69"/>
        <v>7.6264790745599997</v>
      </c>
      <c r="M59" s="577">
        <f t="shared" si="69"/>
        <v>7.6264790745599997</v>
      </c>
      <c r="N59" s="577">
        <f t="shared" si="69"/>
        <v>7.6264790745599997</v>
      </c>
      <c r="O59" s="577">
        <f t="shared" si="69"/>
        <v>7.6264790745599997</v>
      </c>
      <c r="P59" s="577">
        <f t="shared" si="69"/>
        <v>7.6264790745599997</v>
      </c>
      <c r="Q59" s="577">
        <f t="shared" si="69"/>
        <v>7.6264790745599997</v>
      </c>
      <c r="R59" s="577">
        <f t="shared" si="69"/>
        <v>7.6264790745599997</v>
      </c>
      <c r="S59" s="577">
        <f t="shared" si="69"/>
        <v>7.6264790745599997</v>
      </c>
      <c r="T59" s="577">
        <f t="shared" si="69"/>
        <v>7.6264790745599997</v>
      </c>
      <c r="U59" s="577">
        <f t="shared" si="69"/>
        <v>7.6264790745599997</v>
      </c>
      <c r="V59" s="577">
        <f t="shared" si="69"/>
        <v>7.6264790745599997</v>
      </c>
      <c r="W59" s="577">
        <f t="shared" si="69"/>
        <v>7.6264790745599997</v>
      </c>
      <c r="X59" s="577">
        <f t="shared" si="69"/>
        <v>7.6264790745599997</v>
      </c>
      <c r="Y59" s="577">
        <f t="shared" si="69"/>
        <v>7.6264790745599997</v>
      </c>
      <c r="Z59" s="577">
        <f t="shared" si="69"/>
        <v>7.6264790745599997</v>
      </c>
      <c r="AA59" s="577">
        <f t="shared" si="69"/>
        <v>7.6264790745599997</v>
      </c>
      <c r="AB59" s="577">
        <f t="shared" si="69"/>
        <v>7.6264790745599997</v>
      </c>
      <c r="AC59" s="577">
        <f t="shared" si="69"/>
        <v>7.6264790745599997</v>
      </c>
      <c r="AD59" s="577">
        <f t="shared" si="69"/>
        <v>7.6264790745599997</v>
      </c>
      <c r="AE59" s="577">
        <f t="shared" si="69"/>
        <v>7.6264790745599997</v>
      </c>
      <c r="AF59" s="577">
        <f t="shared" si="69"/>
        <v>7.6264790745599997</v>
      </c>
      <c r="AH59" s="578">
        <f>SUM(C59:AF59)</f>
        <v>228.79437223679992</v>
      </c>
      <c r="AK59" s="531"/>
      <c r="AM59" s="567"/>
      <c r="AN59" s="535"/>
      <c r="AP59" s="568"/>
      <c r="AQ59" s="568"/>
    </row>
    <row r="60" spans="1:43" s="546" customFormat="1" ht="16.5" hidden="1" customHeight="1" outlineLevel="2">
      <c r="A60" s="584"/>
      <c r="B60" s="595" t="s">
        <v>814</v>
      </c>
      <c r="C60" s="581">
        <f>C62*C63*C61</f>
        <v>607.37099999999998</v>
      </c>
      <c r="D60" s="581">
        <f>D62*D63*D61</f>
        <v>607.37099999999998</v>
      </c>
      <c r="E60" s="581">
        <f t="shared" ref="E60:AF60" si="70">E62*E63*E61</f>
        <v>607.37099999999998</v>
      </c>
      <c r="F60" s="581">
        <f t="shared" si="70"/>
        <v>607.37099999999998</v>
      </c>
      <c r="G60" s="581">
        <f t="shared" si="70"/>
        <v>607.37099999999998</v>
      </c>
      <c r="H60" s="581">
        <f t="shared" si="70"/>
        <v>607.37099999999998</v>
      </c>
      <c r="I60" s="581">
        <f t="shared" si="70"/>
        <v>607.37099999999998</v>
      </c>
      <c r="J60" s="581">
        <f t="shared" si="70"/>
        <v>607.37099999999998</v>
      </c>
      <c r="K60" s="581">
        <f t="shared" si="70"/>
        <v>607.37099999999998</v>
      </c>
      <c r="L60" s="581">
        <f t="shared" si="70"/>
        <v>607.37099999999998</v>
      </c>
      <c r="M60" s="581">
        <f t="shared" si="70"/>
        <v>607.37099999999998</v>
      </c>
      <c r="N60" s="581">
        <f t="shared" si="70"/>
        <v>607.37099999999998</v>
      </c>
      <c r="O60" s="581">
        <f t="shared" si="70"/>
        <v>607.37099999999998</v>
      </c>
      <c r="P60" s="581">
        <f t="shared" si="70"/>
        <v>607.37099999999998</v>
      </c>
      <c r="Q60" s="581">
        <f t="shared" si="70"/>
        <v>607.37099999999998</v>
      </c>
      <c r="R60" s="581">
        <f t="shared" si="70"/>
        <v>607.37099999999998</v>
      </c>
      <c r="S60" s="581">
        <f t="shared" si="70"/>
        <v>607.37099999999998</v>
      </c>
      <c r="T60" s="581">
        <f t="shared" si="70"/>
        <v>607.37099999999998</v>
      </c>
      <c r="U60" s="581">
        <f t="shared" si="70"/>
        <v>607.37099999999998</v>
      </c>
      <c r="V60" s="581">
        <f t="shared" si="70"/>
        <v>607.37099999999998</v>
      </c>
      <c r="W60" s="581">
        <f t="shared" si="70"/>
        <v>607.37099999999998</v>
      </c>
      <c r="X60" s="581">
        <f t="shared" si="70"/>
        <v>607.37099999999998</v>
      </c>
      <c r="Y60" s="581">
        <f t="shared" si="70"/>
        <v>607.37099999999998</v>
      </c>
      <c r="Z60" s="581">
        <f t="shared" si="70"/>
        <v>607.37099999999998</v>
      </c>
      <c r="AA60" s="581">
        <f t="shared" si="70"/>
        <v>607.37099999999998</v>
      </c>
      <c r="AB60" s="581">
        <f t="shared" si="70"/>
        <v>607.37099999999998</v>
      </c>
      <c r="AC60" s="581">
        <f t="shared" si="70"/>
        <v>607.37099999999998</v>
      </c>
      <c r="AD60" s="581">
        <f t="shared" si="70"/>
        <v>607.37099999999998</v>
      </c>
      <c r="AE60" s="581">
        <f t="shared" si="70"/>
        <v>607.37099999999998</v>
      </c>
      <c r="AF60" s="581">
        <f t="shared" si="70"/>
        <v>607.37099999999998</v>
      </c>
      <c r="AH60" s="571"/>
      <c r="AK60" s="531"/>
      <c r="AM60" s="548"/>
      <c r="AN60" s="535"/>
      <c r="AP60" s="549"/>
      <c r="AQ60" s="549"/>
    </row>
    <row r="61" spans="1:43" s="586" customFormat="1" ht="16.5" hidden="1" customHeight="1" outlineLevel="2">
      <c r="A61" s="584"/>
      <c r="B61" s="585" t="s">
        <v>805</v>
      </c>
      <c r="C61" s="716">
        <f>C$12+C$18</f>
        <v>5</v>
      </c>
      <c r="D61" s="716">
        <f t="shared" ref="D61:AF61" si="71">D$12+D$18</f>
        <v>5</v>
      </c>
      <c r="E61" s="716">
        <f t="shared" si="71"/>
        <v>5</v>
      </c>
      <c r="F61" s="716">
        <f t="shared" si="71"/>
        <v>5</v>
      </c>
      <c r="G61" s="716">
        <f t="shared" si="71"/>
        <v>5</v>
      </c>
      <c r="H61" s="716">
        <f t="shared" si="71"/>
        <v>5</v>
      </c>
      <c r="I61" s="716">
        <f t="shared" si="71"/>
        <v>5</v>
      </c>
      <c r="J61" s="716">
        <f t="shared" si="71"/>
        <v>5</v>
      </c>
      <c r="K61" s="716">
        <f t="shared" si="71"/>
        <v>5</v>
      </c>
      <c r="L61" s="716">
        <f t="shared" si="71"/>
        <v>5</v>
      </c>
      <c r="M61" s="716">
        <f t="shared" si="71"/>
        <v>5</v>
      </c>
      <c r="N61" s="716">
        <f t="shared" si="71"/>
        <v>5</v>
      </c>
      <c r="O61" s="716">
        <f t="shared" si="71"/>
        <v>5</v>
      </c>
      <c r="P61" s="716">
        <f t="shared" si="71"/>
        <v>5</v>
      </c>
      <c r="Q61" s="716">
        <f t="shared" si="71"/>
        <v>5</v>
      </c>
      <c r="R61" s="716">
        <f t="shared" si="71"/>
        <v>5</v>
      </c>
      <c r="S61" s="716">
        <f t="shared" si="71"/>
        <v>5</v>
      </c>
      <c r="T61" s="716">
        <f t="shared" si="71"/>
        <v>5</v>
      </c>
      <c r="U61" s="716">
        <f t="shared" si="71"/>
        <v>5</v>
      </c>
      <c r="V61" s="716">
        <f t="shared" si="71"/>
        <v>5</v>
      </c>
      <c r="W61" s="716">
        <f t="shared" si="71"/>
        <v>5</v>
      </c>
      <c r="X61" s="716">
        <f t="shared" si="71"/>
        <v>5</v>
      </c>
      <c r="Y61" s="716">
        <f t="shared" si="71"/>
        <v>5</v>
      </c>
      <c r="Z61" s="716">
        <f t="shared" si="71"/>
        <v>5</v>
      </c>
      <c r="AA61" s="716">
        <f t="shared" si="71"/>
        <v>5</v>
      </c>
      <c r="AB61" s="716">
        <f t="shared" si="71"/>
        <v>5</v>
      </c>
      <c r="AC61" s="716">
        <f t="shared" si="71"/>
        <v>5</v>
      </c>
      <c r="AD61" s="716">
        <f t="shared" si="71"/>
        <v>5</v>
      </c>
      <c r="AE61" s="716">
        <f t="shared" si="71"/>
        <v>5</v>
      </c>
      <c r="AF61" s="716">
        <f t="shared" si="71"/>
        <v>5</v>
      </c>
      <c r="AH61" s="587"/>
      <c r="AK61" s="588"/>
      <c r="AM61" s="589"/>
      <c r="AN61" s="590"/>
      <c r="AP61" s="591"/>
      <c r="AQ61" s="591"/>
    </row>
    <row r="62" spans="1:43" s="513" customFormat="1" ht="16.5" hidden="1" customHeight="1" outlineLevel="2">
      <c r="A62" s="584"/>
      <c r="B62" s="596" t="s">
        <v>895</v>
      </c>
      <c r="C62" s="574">
        <f t="shared" ref="C62:AF62" si="72">C31</f>
        <v>2000</v>
      </c>
      <c r="D62" s="574">
        <f t="shared" si="72"/>
        <v>2000</v>
      </c>
      <c r="E62" s="574">
        <f t="shared" si="72"/>
        <v>2000</v>
      </c>
      <c r="F62" s="574">
        <f t="shared" si="72"/>
        <v>2000</v>
      </c>
      <c r="G62" s="574">
        <f t="shared" si="72"/>
        <v>2000</v>
      </c>
      <c r="H62" s="574">
        <f t="shared" si="72"/>
        <v>2000</v>
      </c>
      <c r="I62" s="574">
        <f t="shared" si="72"/>
        <v>2000</v>
      </c>
      <c r="J62" s="574">
        <f t="shared" si="72"/>
        <v>2000</v>
      </c>
      <c r="K62" s="574">
        <f t="shared" si="72"/>
        <v>2000</v>
      </c>
      <c r="L62" s="574">
        <f t="shared" si="72"/>
        <v>2000</v>
      </c>
      <c r="M62" s="574">
        <f t="shared" si="72"/>
        <v>2000</v>
      </c>
      <c r="N62" s="574">
        <f t="shared" si="72"/>
        <v>2000</v>
      </c>
      <c r="O62" s="574">
        <f t="shared" si="72"/>
        <v>2000</v>
      </c>
      <c r="P62" s="574">
        <f t="shared" si="72"/>
        <v>2000</v>
      </c>
      <c r="Q62" s="574">
        <f t="shared" si="72"/>
        <v>2000</v>
      </c>
      <c r="R62" s="574">
        <f t="shared" si="72"/>
        <v>2000</v>
      </c>
      <c r="S62" s="574">
        <f t="shared" si="72"/>
        <v>2000</v>
      </c>
      <c r="T62" s="574">
        <f t="shared" si="72"/>
        <v>2000</v>
      </c>
      <c r="U62" s="574">
        <f t="shared" si="72"/>
        <v>2000</v>
      </c>
      <c r="V62" s="574">
        <f t="shared" si="72"/>
        <v>2000</v>
      </c>
      <c r="W62" s="574">
        <f t="shared" si="72"/>
        <v>2000</v>
      </c>
      <c r="X62" s="574">
        <f t="shared" si="72"/>
        <v>2000</v>
      </c>
      <c r="Y62" s="574">
        <f t="shared" si="72"/>
        <v>2000</v>
      </c>
      <c r="Z62" s="574">
        <f t="shared" si="72"/>
        <v>2000</v>
      </c>
      <c r="AA62" s="574">
        <f t="shared" si="72"/>
        <v>2000</v>
      </c>
      <c r="AB62" s="574">
        <f t="shared" si="72"/>
        <v>2000</v>
      </c>
      <c r="AC62" s="574">
        <f t="shared" si="72"/>
        <v>2000</v>
      </c>
      <c r="AD62" s="574">
        <f t="shared" si="72"/>
        <v>2000</v>
      </c>
      <c r="AE62" s="574">
        <f t="shared" si="72"/>
        <v>2000</v>
      </c>
      <c r="AF62" s="574">
        <f t="shared" si="72"/>
        <v>2000</v>
      </c>
      <c r="AH62" s="538"/>
      <c r="AK62" s="531"/>
      <c r="AM62" s="539"/>
      <c r="AN62" s="535"/>
      <c r="AP62" s="540"/>
      <c r="AQ62" s="540"/>
    </row>
    <row r="63" spans="1:43" s="513" customFormat="1" ht="16.5" hidden="1" customHeight="1" outlineLevel="2">
      <c r="A63" s="584"/>
      <c r="B63" s="596" t="s">
        <v>898</v>
      </c>
      <c r="C63" s="597">
        <v>6.0737099999999995E-2</v>
      </c>
      <c r="D63" s="597">
        <f>C63</f>
        <v>6.0737099999999995E-2</v>
      </c>
      <c r="E63" s="597">
        <f t="shared" ref="E63:AF63" si="73">D63</f>
        <v>6.0737099999999995E-2</v>
      </c>
      <c r="F63" s="597">
        <f t="shared" si="73"/>
        <v>6.0737099999999995E-2</v>
      </c>
      <c r="G63" s="597">
        <f t="shared" si="73"/>
        <v>6.0737099999999995E-2</v>
      </c>
      <c r="H63" s="597">
        <f t="shared" si="73"/>
        <v>6.0737099999999995E-2</v>
      </c>
      <c r="I63" s="597">
        <f t="shared" si="73"/>
        <v>6.0737099999999995E-2</v>
      </c>
      <c r="J63" s="597">
        <f t="shared" si="73"/>
        <v>6.0737099999999995E-2</v>
      </c>
      <c r="K63" s="597">
        <f t="shared" si="73"/>
        <v>6.0737099999999995E-2</v>
      </c>
      <c r="L63" s="597">
        <f t="shared" si="73"/>
        <v>6.0737099999999995E-2</v>
      </c>
      <c r="M63" s="597">
        <f t="shared" si="73"/>
        <v>6.0737099999999995E-2</v>
      </c>
      <c r="N63" s="597">
        <f t="shared" si="73"/>
        <v>6.0737099999999995E-2</v>
      </c>
      <c r="O63" s="597">
        <f t="shared" si="73"/>
        <v>6.0737099999999995E-2</v>
      </c>
      <c r="P63" s="597">
        <f t="shared" si="73"/>
        <v>6.0737099999999995E-2</v>
      </c>
      <c r="Q63" s="597">
        <f t="shared" si="73"/>
        <v>6.0737099999999995E-2</v>
      </c>
      <c r="R63" s="597">
        <f t="shared" si="73"/>
        <v>6.0737099999999995E-2</v>
      </c>
      <c r="S63" s="597">
        <f t="shared" si="73"/>
        <v>6.0737099999999995E-2</v>
      </c>
      <c r="T63" s="597">
        <f t="shared" si="73"/>
        <v>6.0737099999999995E-2</v>
      </c>
      <c r="U63" s="597">
        <f t="shared" si="73"/>
        <v>6.0737099999999995E-2</v>
      </c>
      <c r="V63" s="597">
        <f t="shared" si="73"/>
        <v>6.0737099999999995E-2</v>
      </c>
      <c r="W63" s="597">
        <f t="shared" si="73"/>
        <v>6.0737099999999995E-2</v>
      </c>
      <c r="X63" s="597">
        <f t="shared" si="73"/>
        <v>6.0737099999999995E-2</v>
      </c>
      <c r="Y63" s="597">
        <f t="shared" si="73"/>
        <v>6.0737099999999995E-2</v>
      </c>
      <c r="Z63" s="597">
        <f t="shared" si="73"/>
        <v>6.0737099999999995E-2</v>
      </c>
      <c r="AA63" s="597">
        <f t="shared" si="73"/>
        <v>6.0737099999999995E-2</v>
      </c>
      <c r="AB63" s="597">
        <f t="shared" si="73"/>
        <v>6.0737099999999995E-2</v>
      </c>
      <c r="AC63" s="597">
        <f t="shared" si="73"/>
        <v>6.0737099999999995E-2</v>
      </c>
      <c r="AD63" s="597">
        <f t="shared" si="73"/>
        <v>6.0737099999999995E-2</v>
      </c>
      <c r="AE63" s="597">
        <f t="shared" si="73"/>
        <v>6.0737099999999995E-2</v>
      </c>
      <c r="AF63" s="597">
        <f t="shared" si="73"/>
        <v>6.0737099999999995E-2</v>
      </c>
      <c r="AH63" s="538"/>
      <c r="AK63" s="531"/>
      <c r="AM63" s="539"/>
      <c r="AN63" s="535"/>
      <c r="AP63" s="540"/>
      <c r="AQ63" s="540"/>
    </row>
    <row r="64" spans="1:43" s="546" customFormat="1" ht="16.5" hidden="1" customHeight="1" outlineLevel="2">
      <c r="A64" s="584"/>
      <c r="B64" s="595" t="s">
        <v>808</v>
      </c>
      <c r="C64" s="581">
        <f>C66*C67*C65</f>
        <v>28.16892288</v>
      </c>
      <c r="D64" s="581">
        <f>D66*D67*D65</f>
        <v>28.16892288</v>
      </c>
      <c r="E64" s="581">
        <f t="shared" ref="E64:AF64" si="74">E66*E67*E65</f>
        <v>28.16892288</v>
      </c>
      <c r="F64" s="581">
        <f t="shared" si="74"/>
        <v>28.16892288</v>
      </c>
      <c r="G64" s="581">
        <f t="shared" si="74"/>
        <v>28.16892288</v>
      </c>
      <c r="H64" s="581">
        <f t="shared" si="74"/>
        <v>28.16892288</v>
      </c>
      <c r="I64" s="581">
        <f t="shared" si="74"/>
        <v>28.16892288</v>
      </c>
      <c r="J64" s="581">
        <f t="shared" si="74"/>
        <v>28.16892288</v>
      </c>
      <c r="K64" s="581">
        <f t="shared" si="74"/>
        <v>28.16892288</v>
      </c>
      <c r="L64" s="581">
        <f t="shared" si="74"/>
        <v>28.16892288</v>
      </c>
      <c r="M64" s="581">
        <f t="shared" si="74"/>
        <v>28.16892288</v>
      </c>
      <c r="N64" s="581">
        <f t="shared" si="74"/>
        <v>28.16892288</v>
      </c>
      <c r="O64" s="581">
        <f t="shared" si="74"/>
        <v>28.16892288</v>
      </c>
      <c r="P64" s="581">
        <f t="shared" si="74"/>
        <v>28.16892288</v>
      </c>
      <c r="Q64" s="581">
        <f t="shared" si="74"/>
        <v>28.16892288</v>
      </c>
      <c r="R64" s="581">
        <f t="shared" si="74"/>
        <v>28.16892288</v>
      </c>
      <c r="S64" s="581">
        <f t="shared" si="74"/>
        <v>28.16892288</v>
      </c>
      <c r="T64" s="581">
        <f t="shared" si="74"/>
        <v>28.16892288</v>
      </c>
      <c r="U64" s="581">
        <f t="shared" si="74"/>
        <v>28.16892288</v>
      </c>
      <c r="V64" s="581">
        <f t="shared" si="74"/>
        <v>28.16892288</v>
      </c>
      <c r="W64" s="581">
        <f t="shared" si="74"/>
        <v>28.16892288</v>
      </c>
      <c r="X64" s="581">
        <f t="shared" si="74"/>
        <v>28.16892288</v>
      </c>
      <c r="Y64" s="581">
        <f t="shared" si="74"/>
        <v>28.16892288</v>
      </c>
      <c r="Z64" s="581">
        <f t="shared" si="74"/>
        <v>28.16892288</v>
      </c>
      <c r="AA64" s="581">
        <f t="shared" si="74"/>
        <v>28.16892288</v>
      </c>
      <c r="AB64" s="581">
        <f t="shared" si="74"/>
        <v>28.16892288</v>
      </c>
      <c r="AC64" s="581">
        <f t="shared" si="74"/>
        <v>28.16892288</v>
      </c>
      <c r="AD64" s="581">
        <f t="shared" si="74"/>
        <v>28.16892288</v>
      </c>
      <c r="AE64" s="581">
        <f t="shared" si="74"/>
        <v>28.16892288</v>
      </c>
      <c r="AF64" s="581">
        <f t="shared" si="74"/>
        <v>28.16892288</v>
      </c>
      <c r="AH64" s="571"/>
      <c r="AK64" s="531"/>
      <c r="AM64" s="548"/>
      <c r="AN64" s="535"/>
      <c r="AP64" s="549"/>
      <c r="AQ64" s="549"/>
    </row>
    <row r="65" spans="1:43" s="586" customFormat="1" ht="16.5" hidden="1" customHeight="1" outlineLevel="2">
      <c r="A65" s="584"/>
      <c r="B65" s="585" t="s">
        <v>805</v>
      </c>
      <c r="C65" s="716">
        <f t="shared" ref="C65:AF65" si="75">C13</f>
        <v>1</v>
      </c>
      <c r="D65" s="716">
        <f t="shared" si="75"/>
        <v>1</v>
      </c>
      <c r="E65" s="716">
        <f t="shared" si="75"/>
        <v>1</v>
      </c>
      <c r="F65" s="716">
        <f t="shared" si="75"/>
        <v>1</v>
      </c>
      <c r="G65" s="716">
        <f t="shared" si="75"/>
        <v>1</v>
      </c>
      <c r="H65" s="716">
        <f t="shared" si="75"/>
        <v>1</v>
      </c>
      <c r="I65" s="716">
        <f t="shared" si="75"/>
        <v>1</v>
      </c>
      <c r="J65" s="716">
        <f t="shared" si="75"/>
        <v>1</v>
      </c>
      <c r="K65" s="716">
        <f t="shared" si="75"/>
        <v>1</v>
      </c>
      <c r="L65" s="716">
        <f t="shared" si="75"/>
        <v>1</v>
      </c>
      <c r="M65" s="716">
        <f t="shared" si="75"/>
        <v>1</v>
      </c>
      <c r="N65" s="716">
        <f t="shared" si="75"/>
        <v>1</v>
      </c>
      <c r="O65" s="716">
        <f t="shared" si="75"/>
        <v>1</v>
      </c>
      <c r="P65" s="716">
        <f t="shared" si="75"/>
        <v>1</v>
      </c>
      <c r="Q65" s="716">
        <f t="shared" si="75"/>
        <v>1</v>
      </c>
      <c r="R65" s="716">
        <f t="shared" si="75"/>
        <v>1</v>
      </c>
      <c r="S65" s="716">
        <f t="shared" si="75"/>
        <v>1</v>
      </c>
      <c r="T65" s="716">
        <f t="shared" si="75"/>
        <v>1</v>
      </c>
      <c r="U65" s="716">
        <f t="shared" si="75"/>
        <v>1</v>
      </c>
      <c r="V65" s="716">
        <f t="shared" si="75"/>
        <v>1</v>
      </c>
      <c r="W65" s="716">
        <f t="shared" si="75"/>
        <v>1</v>
      </c>
      <c r="X65" s="716">
        <f t="shared" si="75"/>
        <v>1</v>
      </c>
      <c r="Y65" s="716">
        <f t="shared" si="75"/>
        <v>1</v>
      </c>
      <c r="Z65" s="716">
        <f t="shared" si="75"/>
        <v>1</v>
      </c>
      <c r="AA65" s="716">
        <f t="shared" si="75"/>
        <v>1</v>
      </c>
      <c r="AB65" s="716">
        <f t="shared" si="75"/>
        <v>1</v>
      </c>
      <c r="AC65" s="716">
        <f t="shared" si="75"/>
        <v>1</v>
      </c>
      <c r="AD65" s="716">
        <f t="shared" si="75"/>
        <v>1</v>
      </c>
      <c r="AE65" s="716">
        <f t="shared" si="75"/>
        <v>1</v>
      </c>
      <c r="AF65" s="716">
        <f t="shared" si="75"/>
        <v>1</v>
      </c>
      <c r="AH65" s="587"/>
      <c r="AK65" s="588"/>
      <c r="AM65" s="589"/>
      <c r="AN65" s="590"/>
      <c r="AP65" s="591"/>
      <c r="AQ65" s="591"/>
    </row>
    <row r="66" spans="1:43" s="513" customFormat="1" ht="16.5" hidden="1" customHeight="1" outlineLevel="2">
      <c r="A66" s="584"/>
      <c r="B66" s="596" t="s">
        <v>895</v>
      </c>
      <c r="C66" s="574">
        <f t="shared" ref="C66:AF66" si="76">C35</f>
        <v>1814.4</v>
      </c>
      <c r="D66" s="574">
        <f t="shared" si="76"/>
        <v>1814.4</v>
      </c>
      <c r="E66" s="574">
        <f t="shared" si="76"/>
        <v>1814.4</v>
      </c>
      <c r="F66" s="574">
        <f t="shared" si="76"/>
        <v>1814.4</v>
      </c>
      <c r="G66" s="574">
        <f t="shared" si="76"/>
        <v>1814.4</v>
      </c>
      <c r="H66" s="574">
        <f t="shared" si="76"/>
        <v>1814.4</v>
      </c>
      <c r="I66" s="574">
        <f t="shared" si="76"/>
        <v>1814.4</v>
      </c>
      <c r="J66" s="574">
        <f t="shared" si="76"/>
        <v>1814.4</v>
      </c>
      <c r="K66" s="574">
        <f t="shared" si="76"/>
        <v>1814.4</v>
      </c>
      <c r="L66" s="574">
        <f t="shared" si="76"/>
        <v>1814.4</v>
      </c>
      <c r="M66" s="574">
        <f t="shared" si="76"/>
        <v>1814.4</v>
      </c>
      <c r="N66" s="574">
        <f t="shared" si="76"/>
        <v>1814.4</v>
      </c>
      <c r="O66" s="574">
        <f t="shared" si="76"/>
        <v>1814.4</v>
      </c>
      <c r="P66" s="574">
        <f t="shared" si="76"/>
        <v>1814.4</v>
      </c>
      <c r="Q66" s="574">
        <f t="shared" si="76"/>
        <v>1814.4</v>
      </c>
      <c r="R66" s="574">
        <f t="shared" si="76"/>
        <v>1814.4</v>
      </c>
      <c r="S66" s="574">
        <f t="shared" si="76"/>
        <v>1814.4</v>
      </c>
      <c r="T66" s="574">
        <f t="shared" si="76"/>
        <v>1814.4</v>
      </c>
      <c r="U66" s="574">
        <f t="shared" si="76"/>
        <v>1814.4</v>
      </c>
      <c r="V66" s="574">
        <f t="shared" si="76"/>
        <v>1814.4</v>
      </c>
      <c r="W66" s="574">
        <f t="shared" si="76"/>
        <v>1814.4</v>
      </c>
      <c r="X66" s="574">
        <f t="shared" si="76"/>
        <v>1814.4</v>
      </c>
      <c r="Y66" s="574">
        <f t="shared" si="76"/>
        <v>1814.4</v>
      </c>
      <c r="Z66" s="574">
        <f t="shared" si="76"/>
        <v>1814.4</v>
      </c>
      <c r="AA66" s="574">
        <f t="shared" si="76"/>
        <v>1814.4</v>
      </c>
      <c r="AB66" s="574">
        <f t="shared" si="76"/>
        <v>1814.4</v>
      </c>
      <c r="AC66" s="574">
        <f t="shared" si="76"/>
        <v>1814.4</v>
      </c>
      <c r="AD66" s="574">
        <f t="shared" si="76"/>
        <v>1814.4</v>
      </c>
      <c r="AE66" s="574">
        <f t="shared" si="76"/>
        <v>1814.4</v>
      </c>
      <c r="AF66" s="574">
        <f t="shared" si="76"/>
        <v>1814.4</v>
      </c>
      <c r="AH66" s="538"/>
      <c r="AK66" s="531"/>
      <c r="AM66" s="539"/>
      <c r="AN66" s="535"/>
      <c r="AP66" s="540"/>
      <c r="AQ66" s="540"/>
    </row>
    <row r="67" spans="1:43" s="513" customFormat="1" ht="16.5" hidden="1" customHeight="1" outlineLevel="2">
      <c r="A67" s="584"/>
      <c r="B67" s="596" t="s">
        <v>898</v>
      </c>
      <c r="C67" s="597">
        <v>1.5525199999999999E-2</v>
      </c>
      <c r="D67" s="597">
        <f>C67</f>
        <v>1.5525199999999999E-2</v>
      </c>
      <c r="E67" s="597">
        <f t="shared" ref="E67:AF67" si="77">D67</f>
        <v>1.5525199999999999E-2</v>
      </c>
      <c r="F67" s="597">
        <f t="shared" si="77"/>
        <v>1.5525199999999999E-2</v>
      </c>
      <c r="G67" s="597">
        <f t="shared" si="77"/>
        <v>1.5525199999999999E-2</v>
      </c>
      <c r="H67" s="597">
        <f t="shared" si="77"/>
        <v>1.5525199999999999E-2</v>
      </c>
      <c r="I67" s="597">
        <f t="shared" si="77"/>
        <v>1.5525199999999999E-2</v>
      </c>
      <c r="J67" s="597">
        <f t="shared" si="77"/>
        <v>1.5525199999999999E-2</v>
      </c>
      <c r="K67" s="597">
        <f t="shared" si="77"/>
        <v>1.5525199999999999E-2</v>
      </c>
      <c r="L67" s="597">
        <f t="shared" si="77"/>
        <v>1.5525199999999999E-2</v>
      </c>
      <c r="M67" s="597">
        <f t="shared" si="77"/>
        <v>1.5525199999999999E-2</v>
      </c>
      <c r="N67" s="597">
        <f t="shared" si="77"/>
        <v>1.5525199999999999E-2</v>
      </c>
      <c r="O67" s="597">
        <f t="shared" si="77"/>
        <v>1.5525199999999999E-2</v>
      </c>
      <c r="P67" s="597">
        <f t="shared" si="77"/>
        <v>1.5525199999999999E-2</v>
      </c>
      <c r="Q67" s="597">
        <f t="shared" si="77"/>
        <v>1.5525199999999999E-2</v>
      </c>
      <c r="R67" s="597">
        <f t="shared" si="77"/>
        <v>1.5525199999999999E-2</v>
      </c>
      <c r="S67" s="597">
        <f t="shared" si="77"/>
        <v>1.5525199999999999E-2</v>
      </c>
      <c r="T67" s="597">
        <f t="shared" si="77"/>
        <v>1.5525199999999999E-2</v>
      </c>
      <c r="U67" s="597">
        <f t="shared" si="77"/>
        <v>1.5525199999999999E-2</v>
      </c>
      <c r="V67" s="597">
        <f t="shared" si="77"/>
        <v>1.5525199999999999E-2</v>
      </c>
      <c r="W67" s="597">
        <f t="shared" si="77"/>
        <v>1.5525199999999999E-2</v>
      </c>
      <c r="X67" s="597">
        <f t="shared" si="77"/>
        <v>1.5525199999999999E-2</v>
      </c>
      <c r="Y67" s="597">
        <f t="shared" si="77"/>
        <v>1.5525199999999999E-2</v>
      </c>
      <c r="Z67" s="597">
        <f t="shared" si="77"/>
        <v>1.5525199999999999E-2</v>
      </c>
      <c r="AA67" s="597">
        <f t="shared" si="77"/>
        <v>1.5525199999999999E-2</v>
      </c>
      <c r="AB67" s="597">
        <f t="shared" si="77"/>
        <v>1.5525199999999999E-2</v>
      </c>
      <c r="AC67" s="597">
        <f t="shared" si="77"/>
        <v>1.5525199999999999E-2</v>
      </c>
      <c r="AD67" s="597">
        <f t="shared" si="77"/>
        <v>1.5525199999999999E-2</v>
      </c>
      <c r="AE67" s="597">
        <f t="shared" si="77"/>
        <v>1.5525199999999999E-2</v>
      </c>
      <c r="AF67" s="597">
        <f t="shared" si="77"/>
        <v>1.5525199999999999E-2</v>
      </c>
      <c r="AH67" s="538"/>
      <c r="AK67" s="531"/>
      <c r="AM67" s="539"/>
      <c r="AN67" s="535"/>
      <c r="AP67" s="540"/>
      <c r="AQ67" s="540"/>
    </row>
    <row r="68" spans="1:43" s="513" customFormat="1" ht="3" hidden="1" customHeight="1" outlineLevel="2">
      <c r="A68" s="584"/>
      <c r="B68" s="596"/>
      <c r="C68" s="598"/>
      <c r="D68" s="598"/>
      <c r="E68" s="598"/>
      <c r="F68" s="598"/>
      <c r="G68" s="598"/>
      <c r="H68" s="598"/>
      <c r="I68" s="598"/>
      <c r="J68" s="598"/>
      <c r="K68" s="598"/>
      <c r="L68" s="598"/>
      <c r="M68" s="598"/>
      <c r="N68" s="598"/>
      <c r="O68" s="598"/>
      <c r="P68" s="598"/>
      <c r="Q68" s="598"/>
      <c r="R68" s="598"/>
      <c r="S68" s="598"/>
      <c r="T68" s="598"/>
      <c r="U68" s="598"/>
      <c r="V68" s="598"/>
      <c r="W68" s="598"/>
      <c r="X68" s="598"/>
      <c r="Y68" s="598"/>
      <c r="Z68" s="598"/>
      <c r="AA68" s="598"/>
      <c r="AB68" s="598"/>
      <c r="AC68" s="598"/>
      <c r="AD68" s="598"/>
      <c r="AE68" s="598"/>
      <c r="AF68" s="598"/>
      <c r="AH68" s="538"/>
      <c r="AK68" s="531"/>
      <c r="AM68" s="539"/>
      <c r="AN68" s="535"/>
      <c r="AP68" s="540"/>
      <c r="AQ68" s="540"/>
    </row>
    <row r="69" spans="1:43" s="564" customFormat="1" ht="16.5" hidden="1" customHeight="1" outlineLevel="1" collapsed="1">
      <c r="A69" s="584"/>
      <c r="B69" s="576" t="s">
        <v>899</v>
      </c>
      <c r="C69" s="577">
        <f>SUM(C71,C79)*12/10^3</f>
        <v>30.462335999999997</v>
      </c>
      <c r="D69" s="577">
        <f t="shared" ref="D69:AF69" si="78">SUM(D71,D79)*12/10^3</f>
        <v>30.462335999999997</v>
      </c>
      <c r="E69" s="577">
        <f t="shared" si="78"/>
        <v>30.462335999999997</v>
      </c>
      <c r="F69" s="577">
        <f t="shared" si="78"/>
        <v>30.462335999999997</v>
      </c>
      <c r="G69" s="577">
        <f t="shared" si="78"/>
        <v>30.462335999999997</v>
      </c>
      <c r="H69" s="577">
        <f t="shared" si="78"/>
        <v>30.462335999999997</v>
      </c>
      <c r="I69" s="577">
        <f t="shared" si="78"/>
        <v>30.462335999999997</v>
      </c>
      <c r="J69" s="577">
        <f t="shared" si="78"/>
        <v>30.462335999999997</v>
      </c>
      <c r="K69" s="577">
        <f t="shared" si="78"/>
        <v>30.462335999999997</v>
      </c>
      <c r="L69" s="577">
        <f t="shared" si="78"/>
        <v>30.462335999999997</v>
      </c>
      <c r="M69" s="577">
        <f t="shared" si="78"/>
        <v>30.462335999999997</v>
      </c>
      <c r="N69" s="577">
        <f t="shared" si="78"/>
        <v>30.462335999999997</v>
      </c>
      <c r="O69" s="577">
        <f t="shared" si="78"/>
        <v>30.462335999999997</v>
      </c>
      <c r="P69" s="577">
        <f t="shared" si="78"/>
        <v>30.462335999999997</v>
      </c>
      <c r="Q69" s="577">
        <f t="shared" si="78"/>
        <v>30.462335999999997</v>
      </c>
      <c r="R69" s="577">
        <f t="shared" si="78"/>
        <v>30.462335999999997</v>
      </c>
      <c r="S69" s="577">
        <f t="shared" si="78"/>
        <v>30.462335999999997</v>
      </c>
      <c r="T69" s="577">
        <f t="shared" si="78"/>
        <v>30.462335999999997</v>
      </c>
      <c r="U69" s="577">
        <f t="shared" si="78"/>
        <v>30.462335999999997</v>
      </c>
      <c r="V69" s="577">
        <f t="shared" si="78"/>
        <v>30.462335999999997</v>
      </c>
      <c r="W69" s="577">
        <f t="shared" si="78"/>
        <v>30.462335999999997</v>
      </c>
      <c r="X69" s="577">
        <f t="shared" si="78"/>
        <v>30.462335999999997</v>
      </c>
      <c r="Y69" s="577">
        <f t="shared" si="78"/>
        <v>30.462335999999997</v>
      </c>
      <c r="Z69" s="577">
        <f t="shared" si="78"/>
        <v>30.462335999999997</v>
      </c>
      <c r="AA69" s="577">
        <f t="shared" si="78"/>
        <v>30.462335999999997</v>
      </c>
      <c r="AB69" s="577">
        <f t="shared" si="78"/>
        <v>30.462335999999997</v>
      </c>
      <c r="AC69" s="577">
        <f t="shared" si="78"/>
        <v>30.462335999999997</v>
      </c>
      <c r="AD69" s="577">
        <f t="shared" si="78"/>
        <v>30.462335999999997</v>
      </c>
      <c r="AE69" s="577">
        <f t="shared" si="78"/>
        <v>30.462335999999997</v>
      </c>
      <c r="AF69" s="577">
        <f t="shared" si="78"/>
        <v>30.462335999999997</v>
      </c>
      <c r="AH69" s="578">
        <f>SUM(C69:AF69)</f>
        <v>913.8700800000006</v>
      </c>
      <c r="AK69" s="531"/>
      <c r="AM69" s="567"/>
      <c r="AN69" s="535"/>
      <c r="AP69" s="568"/>
      <c r="AQ69" s="568"/>
    </row>
    <row r="70" spans="1:43" s="564" customFormat="1" ht="16.5" hidden="1" customHeight="1" outlineLevel="2">
      <c r="A70" s="584"/>
      <c r="B70" s="544" t="s">
        <v>900</v>
      </c>
      <c r="C70" s="600">
        <f>$C$1757</f>
        <v>80000</v>
      </c>
      <c r="D70" s="600">
        <f>C70</f>
        <v>80000</v>
      </c>
      <c r="E70" s="600">
        <f t="shared" ref="E70:AF70" si="79">D70</f>
        <v>80000</v>
      </c>
      <c r="F70" s="600">
        <f t="shared" si="79"/>
        <v>80000</v>
      </c>
      <c r="G70" s="600">
        <f t="shared" si="79"/>
        <v>80000</v>
      </c>
      <c r="H70" s="600">
        <f t="shared" si="79"/>
        <v>80000</v>
      </c>
      <c r="I70" s="600">
        <f t="shared" si="79"/>
        <v>80000</v>
      </c>
      <c r="J70" s="600">
        <f t="shared" si="79"/>
        <v>80000</v>
      </c>
      <c r="K70" s="600">
        <f t="shared" si="79"/>
        <v>80000</v>
      </c>
      <c r="L70" s="600">
        <f t="shared" si="79"/>
        <v>80000</v>
      </c>
      <c r="M70" s="600">
        <f t="shared" si="79"/>
        <v>80000</v>
      </c>
      <c r="N70" s="600">
        <f t="shared" si="79"/>
        <v>80000</v>
      </c>
      <c r="O70" s="600">
        <f t="shared" si="79"/>
        <v>80000</v>
      </c>
      <c r="P70" s="600">
        <f t="shared" si="79"/>
        <v>80000</v>
      </c>
      <c r="Q70" s="600">
        <f t="shared" si="79"/>
        <v>80000</v>
      </c>
      <c r="R70" s="600">
        <f t="shared" si="79"/>
        <v>80000</v>
      </c>
      <c r="S70" s="600">
        <f t="shared" si="79"/>
        <v>80000</v>
      </c>
      <c r="T70" s="600">
        <f t="shared" si="79"/>
        <v>80000</v>
      </c>
      <c r="U70" s="600">
        <f t="shared" si="79"/>
        <v>80000</v>
      </c>
      <c r="V70" s="600">
        <f t="shared" si="79"/>
        <v>80000</v>
      </c>
      <c r="W70" s="600">
        <f t="shared" si="79"/>
        <v>80000</v>
      </c>
      <c r="X70" s="600">
        <f t="shared" si="79"/>
        <v>80000</v>
      </c>
      <c r="Y70" s="600">
        <f t="shared" si="79"/>
        <v>80000</v>
      </c>
      <c r="Z70" s="600">
        <f t="shared" si="79"/>
        <v>80000</v>
      </c>
      <c r="AA70" s="600">
        <f t="shared" si="79"/>
        <v>80000</v>
      </c>
      <c r="AB70" s="600">
        <f t="shared" si="79"/>
        <v>80000</v>
      </c>
      <c r="AC70" s="600">
        <f t="shared" si="79"/>
        <v>80000</v>
      </c>
      <c r="AD70" s="600">
        <f t="shared" si="79"/>
        <v>80000</v>
      </c>
      <c r="AE70" s="600">
        <f t="shared" si="79"/>
        <v>80000</v>
      </c>
      <c r="AF70" s="600">
        <f t="shared" si="79"/>
        <v>80000</v>
      </c>
      <c r="AH70" s="601"/>
      <c r="AK70" s="531"/>
      <c r="AM70" s="567"/>
      <c r="AN70" s="535"/>
      <c r="AP70" s="568"/>
      <c r="AQ70" s="568"/>
    </row>
    <row r="71" spans="1:43" s="546" customFormat="1" ht="16.5" hidden="1" customHeight="1" outlineLevel="2">
      <c r="A71" s="584"/>
      <c r="B71" s="595" t="s">
        <v>806</v>
      </c>
      <c r="C71" s="581">
        <f>C73*C74*C72</f>
        <v>2472</v>
      </c>
      <c r="D71" s="581">
        <f t="shared" ref="D71:AF71" si="80">D73*D74*D72</f>
        <v>2472</v>
      </c>
      <c r="E71" s="581">
        <f t="shared" si="80"/>
        <v>2472</v>
      </c>
      <c r="F71" s="581">
        <f t="shared" si="80"/>
        <v>2472</v>
      </c>
      <c r="G71" s="581">
        <f t="shared" si="80"/>
        <v>2472</v>
      </c>
      <c r="H71" s="581">
        <f t="shared" si="80"/>
        <v>2472</v>
      </c>
      <c r="I71" s="581">
        <f t="shared" si="80"/>
        <v>2472</v>
      </c>
      <c r="J71" s="581">
        <f t="shared" si="80"/>
        <v>2472</v>
      </c>
      <c r="K71" s="581">
        <f t="shared" si="80"/>
        <v>2472</v>
      </c>
      <c r="L71" s="581">
        <f t="shared" si="80"/>
        <v>2472</v>
      </c>
      <c r="M71" s="581">
        <f t="shared" si="80"/>
        <v>2472</v>
      </c>
      <c r="N71" s="581">
        <f t="shared" si="80"/>
        <v>2472</v>
      </c>
      <c r="O71" s="581">
        <f t="shared" si="80"/>
        <v>2472</v>
      </c>
      <c r="P71" s="581">
        <f t="shared" si="80"/>
        <v>2472</v>
      </c>
      <c r="Q71" s="581">
        <f t="shared" si="80"/>
        <v>2472</v>
      </c>
      <c r="R71" s="581">
        <f t="shared" si="80"/>
        <v>2472</v>
      </c>
      <c r="S71" s="581">
        <f t="shared" si="80"/>
        <v>2472</v>
      </c>
      <c r="T71" s="581">
        <f t="shared" si="80"/>
        <v>2472</v>
      </c>
      <c r="U71" s="581">
        <f t="shared" si="80"/>
        <v>2472</v>
      </c>
      <c r="V71" s="581">
        <f t="shared" si="80"/>
        <v>2472</v>
      </c>
      <c r="W71" s="581">
        <f t="shared" si="80"/>
        <v>2472</v>
      </c>
      <c r="X71" s="581">
        <f t="shared" si="80"/>
        <v>2472</v>
      </c>
      <c r="Y71" s="581">
        <f t="shared" si="80"/>
        <v>2472</v>
      </c>
      <c r="Z71" s="581">
        <f t="shared" si="80"/>
        <v>2472</v>
      </c>
      <c r="AA71" s="581">
        <f t="shared" si="80"/>
        <v>2472</v>
      </c>
      <c r="AB71" s="581">
        <f t="shared" si="80"/>
        <v>2472</v>
      </c>
      <c r="AC71" s="581">
        <f t="shared" si="80"/>
        <v>2472</v>
      </c>
      <c r="AD71" s="581">
        <f t="shared" si="80"/>
        <v>2472</v>
      </c>
      <c r="AE71" s="581">
        <f t="shared" si="80"/>
        <v>2472</v>
      </c>
      <c r="AF71" s="581">
        <f t="shared" si="80"/>
        <v>2472</v>
      </c>
      <c r="AH71" s="571"/>
      <c r="AK71" s="531"/>
      <c r="AM71" s="548"/>
      <c r="AN71" s="535"/>
      <c r="AP71" s="549"/>
      <c r="AQ71" s="549"/>
    </row>
    <row r="72" spans="1:43" s="586" customFormat="1" ht="16.5" hidden="1" customHeight="1" outlineLevel="2">
      <c r="A72" s="584"/>
      <c r="B72" s="585" t="s">
        <v>805</v>
      </c>
      <c r="C72" s="716">
        <f t="shared" ref="C72:AF72" si="81">C44</f>
        <v>4</v>
      </c>
      <c r="D72" s="716">
        <f t="shared" si="81"/>
        <v>4</v>
      </c>
      <c r="E72" s="716">
        <f t="shared" si="81"/>
        <v>4</v>
      </c>
      <c r="F72" s="716">
        <f t="shared" si="81"/>
        <v>4</v>
      </c>
      <c r="G72" s="716">
        <f t="shared" si="81"/>
        <v>4</v>
      </c>
      <c r="H72" s="716">
        <f t="shared" si="81"/>
        <v>4</v>
      </c>
      <c r="I72" s="716">
        <f t="shared" si="81"/>
        <v>4</v>
      </c>
      <c r="J72" s="716">
        <f t="shared" si="81"/>
        <v>4</v>
      </c>
      <c r="K72" s="716">
        <f t="shared" si="81"/>
        <v>4</v>
      </c>
      <c r="L72" s="716">
        <f t="shared" si="81"/>
        <v>4</v>
      </c>
      <c r="M72" s="716">
        <f t="shared" si="81"/>
        <v>4</v>
      </c>
      <c r="N72" s="716">
        <f t="shared" si="81"/>
        <v>4</v>
      </c>
      <c r="O72" s="716">
        <f t="shared" si="81"/>
        <v>4</v>
      </c>
      <c r="P72" s="716">
        <f t="shared" si="81"/>
        <v>4</v>
      </c>
      <c r="Q72" s="716">
        <f t="shared" si="81"/>
        <v>4</v>
      </c>
      <c r="R72" s="716">
        <f t="shared" si="81"/>
        <v>4</v>
      </c>
      <c r="S72" s="716">
        <f t="shared" si="81"/>
        <v>4</v>
      </c>
      <c r="T72" s="716">
        <f t="shared" si="81"/>
        <v>4</v>
      </c>
      <c r="U72" s="716">
        <f t="shared" si="81"/>
        <v>4</v>
      </c>
      <c r="V72" s="716">
        <f t="shared" si="81"/>
        <v>4</v>
      </c>
      <c r="W72" s="716">
        <f t="shared" si="81"/>
        <v>4</v>
      </c>
      <c r="X72" s="716">
        <f t="shared" si="81"/>
        <v>4</v>
      </c>
      <c r="Y72" s="716">
        <f t="shared" si="81"/>
        <v>4</v>
      </c>
      <c r="Z72" s="716">
        <f t="shared" si="81"/>
        <v>4</v>
      </c>
      <c r="AA72" s="716">
        <f t="shared" si="81"/>
        <v>4</v>
      </c>
      <c r="AB72" s="716">
        <f t="shared" si="81"/>
        <v>4</v>
      </c>
      <c r="AC72" s="716">
        <f t="shared" si="81"/>
        <v>4</v>
      </c>
      <c r="AD72" s="716">
        <f t="shared" si="81"/>
        <v>4</v>
      </c>
      <c r="AE72" s="716">
        <f t="shared" si="81"/>
        <v>4</v>
      </c>
      <c r="AF72" s="716">
        <f t="shared" si="81"/>
        <v>4</v>
      </c>
      <c r="AH72" s="587"/>
      <c r="AK72" s="588"/>
      <c r="AM72" s="589"/>
      <c r="AN72" s="590"/>
      <c r="AP72" s="591"/>
      <c r="AQ72" s="591"/>
    </row>
    <row r="73" spans="1:43" s="546" customFormat="1" ht="16.5" hidden="1" customHeight="1" outlineLevel="2">
      <c r="A73" s="584"/>
      <c r="B73" s="572" t="s">
        <v>901</v>
      </c>
      <c r="C73" s="574">
        <f t="shared" ref="C73:AF73" si="82">C31</f>
        <v>2000</v>
      </c>
      <c r="D73" s="574">
        <f t="shared" si="82"/>
        <v>2000</v>
      </c>
      <c r="E73" s="574">
        <f t="shared" si="82"/>
        <v>2000</v>
      </c>
      <c r="F73" s="574">
        <f t="shared" si="82"/>
        <v>2000</v>
      </c>
      <c r="G73" s="574">
        <f t="shared" si="82"/>
        <v>2000</v>
      </c>
      <c r="H73" s="574">
        <f t="shared" si="82"/>
        <v>2000</v>
      </c>
      <c r="I73" s="574">
        <f t="shared" si="82"/>
        <v>2000</v>
      </c>
      <c r="J73" s="574">
        <f t="shared" si="82"/>
        <v>2000</v>
      </c>
      <c r="K73" s="574">
        <f t="shared" si="82"/>
        <v>2000</v>
      </c>
      <c r="L73" s="574">
        <f t="shared" si="82"/>
        <v>2000</v>
      </c>
      <c r="M73" s="574">
        <f t="shared" si="82"/>
        <v>2000</v>
      </c>
      <c r="N73" s="574">
        <f t="shared" si="82"/>
        <v>2000</v>
      </c>
      <c r="O73" s="574">
        <f t="shared" si="82"/>
        <v>2000</v>
      </c>
      <c r="P73" s="574">
        <f t="shared" si="82"/>
        <v>2000</v>
      </c>
      <c r="Q73" s="574">
        <f t="shared" si="82"/>
        <v>2000</v>
      </c>
      <c r="R73" s="574">
        <f t="shared" si="82"/>
        <v>2000</v>
      </c>
      <c r="S73" s="574">
        <f t="shared" si="82"/>
        <v>2000</v>
      </c>
      <c r="T73" s="574">
        <f t="shared" si="82"/>
        <v>2000</v>
      </c>
      <c r="U73" s="574">
        <f t="shared" si="82"/>
        <v>2000</v>
      </c>
      <c r="V73" s="574">
        <f t="shared" si="82"/>
        <v>2000</v>
      </c>
      <c r="W73" s="574">
        <f t="shared" si="82"/>
        <v>2000</v>
      </c>
      <c r="X73" s="574">
        <f t="shared" si="82"/>
        <v>2000</v>
      </c>
      <c r="Y73" s="574">
        <f t="shared" si="82"/>
        <v>2000</v>
      </c>
      <c r="Z73" s="574">
        <f t="shared" si="82"/>
        <v>2000</v>
      </c>
      <c r="AA73" s="574">
        <f t="shared" si="82"/>
        <v>2000</v>
      </c>
      <c r="AB73" s="574">
        <f t="shared" si="82"/>
        <v>2000</v>
      </c>
      <c r="AC73" s="574">
        <f t="shared" si="82"/>
        <v>2000</v>
      </c>
      <c r="AD73" s="574">
        <f t="shared" si="82"/>
        <v>2000</v>
      </c>
      <c r="AE73" s="574">
        <f t="shared" si="82"/>
        <v>2000</v>
      </c>
      <c r="AF73" s="574">
        <f t="shared" si="82"/>
        <v>2000</v>
      </c>
      <c r="AH73" s="571"/>
      <c r="AK73" s="531"/>
      <c r="AM73" s="548"/>
      <c r="AN73" s="535"/>
      <c r="AP73" s="549"/>
      <c r="AQ73" s="549"/>
    </row>
    <row r="74" spans="1:43" s="546" customFormat="1" ht="16.5" hidden="1" customHeight="1" outlineLevel="2">
      <c r="A74" s="584"/>
      <c r="B74" s="572" t="s">
        <v>902</v>
      </c>
      <c r="C74" s="856">
        <f>((C75*C76)+(C77*C78))/C$70</f>
        <v>0.309</v>
      </c>
      <c r="D74" s="855">
        <f>((D75*D76)+(D77*D78))/D$70</f>
        <v>0.309</v>
      </c>
      <c r="E74" s="855">
        <f t="shared" ref="E74:AF74" si="83">((E75*E76)+(E77*E78))/E$70</f>
        <v>0.309</v>
      </c>
      <c r="F74" s="855">
        <f t="shared" si="83"/>
        <v>0.309</v>
      </c>
      <c r="G74" s="855">
        <f t="shared" si="83"/>
        <v>0.309</v>
      </c>
      <c r="H74" s="855">
        <f t="shared" si="83"/>
        <v>0.309</v>
      </c>
      <c r="I74" s="855">
        <f t="shared" si="83"/>
        <v>0.309</v>
      </c>
      <c r="J74" s="855">
        <f t="shared" si="83"/>
        <v>0.309</v>
      </c>
      <c r="K74" s="855">
        <f t="shared" si="83"/>
        <v>0.309</v>
      </c>
      <c r="L74" s="855">
        <f t="shared" si="83"/>
        <v>0.309</v>
      </c>
      <c r="M74" s="855">
        <f t="shared" si="83"/>
        <v>0.309</v>
      </c>
      <c r="N74" s="855">
        <f t="shared" si="83"/>
        <v>0.309</v>
      </c>
      <c r="O74" s="855">
        <f t="shared" si="83"/>
        <v>0.309</v>
      </c>
      <c r="P74" s="855">
        <f t="shared" si="83"/>
        <v>0.309</v>
      </c>
      <c r="Q74" s="855">
        <f t="shared" si="83"/>
        <v>0.309</v>
      </c>
      <c r="R74" s="855">
        <f t="shared" si="83"/>
        <v>0.309</v>
      </c>
      <c r="S74" s="855">
        <f t="shared" si="83"/>
        <v>0.309</v>
      </c>
      <c r="T74" s="855">
        <f t="shared" si="83"/>
        <v>0.309</v>
      </c>
      <c r="U74" s="855">
        <f t="shared" si="83"/>
        <v>0.309</v>
      </c>
      <c r="V74" s="855">
        <f t="shared" si="83"/>
        <v>0.309</v>
      </c>
      <c r="W74" s="855">
        <f t="shared" si="83"/>
        <v>0.309</v>
      </c>
      <c r="X74" s="855">
        <f t="shared" si="83"/>
        <v>0.309</v>
      </c>
      <c r="Y74" s="855">
        <f t="shared" si="83"/>
        <v>0.309</v>
      </c>
      <c r="Z74" s="855">
        <f t="shared" si="83"/>
        <v>0.309</v>
      </c>
      <c r="AA74" s="855">
        <f t="shared" si="83"/>
        <v>0.309</v>
      </c>
      <c r="AB74" s="855">
        <f t="shared" si="83"/>
        <v>0.309</v>
      </c>
      <c r="AC74" s="855">
        <f t="shared" si="83"/>
        <v>0.309</v>
      </c>
      <c r="AD74" s="855">
        <f t="shared" si="83"/>
        <v>0.309</v>
      </c>
      <c r="AE74" s="855">
        <f t="shared" si="83"/>
        <v>0.309</v>
      </c>
      <c r="AF74" s="855">
        <f t="shared" si="83"/>
        <v>0.309</v>
      </c>
      <c r="AH74" s="571"/>
      <c r="AK74" s="531"/>
      <c r="AM74" s="548"/>
      <c r="AN74" s="535"/>
      <c r="AP74" s="549"/>
      <c r="AQ74" s="549"/>
    </row>
    <row r="75" spans="1:43" s="513" customFormat="1" ht="16.5" hidden="1" customHeight="1" outlineLevel="2">
      <c r="A75" s="584"/>
      <c r="B75" s="596" t="s">
        <v>903</v>
      </c>
      <c r="C75" s="857">
        <v>6</v>
      </c>
      <c r="D75" s="639">
        <f>C75</f>
        <v>6</v>
      </c>
      <c r="E75" s="639">
        <f>D75</f>
        <v>6</v>
      </c>
      <c r="F75" s="639">
        <f>E75</f>
        <v>6</v>
      </c>
      <c r="G75" s="639">
        <f t="shared" ref="G75:V78" si="84">F75</f>
        <v>6</v>
      </c>
      <c r="H75" s="639">
        <f t="shared" si="84"/>
        <v>6</v>
      </c>
      <c r="I75" s="639">
        <f t="shared" si="84"/>
        <v>6</v>
      </c>
      <c r="J75" s="639">
        <f t="shared" si="84"/>
        <v>6</v>
      </c>
      <c r="K75" s="639">
        <f t="shared" si="84"/>
        <v>6</v>
      </c>
      <c r="L75" s="639">
        <f t="shared" si="84"/>
        <v>6</v>
      </c>
      <c r="M75" s="639">
        <f t="shared" si="84"/>
        <v>6</v>
      </c>
      <c r="N75" s="639">
        <f t="shared" si="84"/>
        <v>6</v>
      </c>
      <c r="O75" s="639">
        <f t="shared" si="84"/>
        <v>6</v>
      </c>
      <c r="P75" s="639">
        <f t="shared" si="84"/>
        <v>6</v>
      </c>
      <c r="Q75" s="639">
        <f t="shared" si="84"/>
        <v>6</v>
      </c>
      <c r="R75" s="639">
        <f t="shared" si="84"/>
        <v>6</v>
      </c>
      <c r="S75" s="639">
        <f t="shared" si="84"/>
        <v>6</v>
      </c>
      <c r="T75" s="639">
        <f t="shared" si="84"/>
        <v>6</v>
      </c>
      <c r="U75" s="639">
        <f t="shared" si="84"/>
        <v>6</v>
      </c>
      <c r="V75" s="639">
        <f t="shared" si="84"/>
        <v>6</v>
      </c>
      <c r="W75" s="639">
        <f t="shared" ref="W75:AF78" si="85">V75</f>
        <v>6</v>
      </c>
      <c r="X75" s="639">
        <f t="shared" si="85"/>
        <v>6</v>
      </c>
      <c r="Y75" s="639">
        <f t="shared" si="85"/>
        <v>6</v>
      </c>
      <c r="Z75" s="639">
        <f t="shared" si="85"/>
        <v>6</v>
      </c>
      <c r="AA75" s="639">
        <f t="shared" si="85"/>
        <v>6</v>
      </c>
      <c r="AB75" s="639">
        <f t="shared" si="85"/>
        <v>6</v>
      </c>
      <c r="AC75" s="639">
        <f t="shared" si="85"/>
        <v>6</v>
      </c>
      <c r="AD75" s="639">
        <f t="shared" si="85"/>
        <v>6</v>
      </c>
      <c r="AE75" s="639">
        <f t="shared" si="85"/>
        <v>6</v>
      </c>
      <c r="AF75" s="639">
        <f t="shared" si="85"/>
        <v>6</v>
      </c>
      <c r="AH75" s="538"/>
      <c r="AK75" s="531"/>
      <c r="AM75" s="539"/>
      <c r="AN75" s="535"/>
      <c r="AP75" s="540"/>
      <c r="AQ75" s="540"/>
    </row>
    <row r="76" spans="1:43" s="513" customFormat="1" ht="16.5" hidden="1" customHeight="1" outlineLevel="2">
      <c r="A76" s="584"/>
      <c r="B76" s="596" t="s">
        <v>904</v>
      </c>
      <c r="C76" s="857">
        <f>Insumos!$E$49</f>
        <v>2620</v>
      </c>
      <c r="D76" s="639">
        <f>C76</f>
        <v>2620</v>
      </c>
      <c r="E76" s="639">
        <f t="shared" ref="E76:T78" si="86">D76</f>
        <v>2620</v>
      </c>
      <c r="F76" s="639">
        <f t="shared" si="86"/>
        <v>2620</v>
      </c>
      <c r="G76" s="639">
        <f t="shared" si="86"/>
        <v>2620</v>
      </c>
      <c r="H76" s="639">
        <f t="shared" si="86"/>
        <v>2620</v>
      </c>
      <c r="I76" s="639">
        <f t="shared" si="86"/>
        <v>2620</v>
      </c>
      <c r="J76" s="639">
        <f t="shared" si="86"/>
        <v>2620</v>
      </c>
      <c r="K76" s="639">
        <f t="shared" si="86"/>
        <v>2620</v>
      </c>
      <c r="L76" s="639">
        <f t="shared" si="86"/>
        <v>2620</v>
      </c>
      <c r="M76" s="639">
        <f t="shared" si="86"/>
        <v>2620</v>
      </c>
      <c r="N76" s="639">
        <f t="shared" si="86"/>
        <v>2620</v>
      </c>
      <c r="O76" s="639">
        <f t="shared" si="86"/>
        <v>2620</v>
      </c>
      <c r="P76" s="639">
        <f t="shared" si="86"/>
        <v>2620</v>
      </c>
      <c r="Q76" s="639">
        <f t="shared" si="86"/>
        <v>2620</v>
      </c>
      <c r="R76" s="639">
        <f t="shared" si="86"/>
        <v>2620</v>
      </c>
      <c r="S76" s="639">
        <f t="shared" si="86"/>
        <v>2620</v>
      </c>
      <c r="T76" s="639">
        <f t="shared" si="86"/>
        <v>2620</v>
      </c>
      <c r="U76" s="639">
        <f t="shared" si="84"/>
        <v>2620</v>
      </c>
      <c r="V76" s="639">
        <f t="shared" si="84"/>
        <v>2620</v>
      </c>
      <c r="W76" s="639">
        <f t="shared" si="85"/>
        <v>2620</v>
      </c>
      <c r="X76" s="639">
        <f t="shared" si="85"/>
        <v>2620</v>
      </c>
      <c r="Y76" s="639">
        <f t="shared" si="85"/>
        <v>2620</v>
      </c>
      <c r="Z76" s="639">
        <f t="shared" si="85"/>
        <v>2620</v>
      </c>
      <c r="AA76" s="639">
        <f t="shared" si="85"/>
        <v>2620</v>
      </c>
      <c r="AB76" s="639">
        <f t="shared" si="85"/>
        <v>2620</v>
      </c>
      <c r="AC76" s="639">
        <f t="shared" si="85"/>
        <v>2620</v>
      </c>
      <c r="AD76" s="639">
        <f t="shared" si="85"/>
        <v>2620</v>
      </c>
      <c r="AE76" s="639">
        <f t="shared" si="85"/>
        <v>2620</v>
      </c>
      <c r="AF76" s="639">
        <f t="shared" si="85"/>
        <v>2620</v>
      </c>
      <c r="AH76" s="538"/>
      <c r="AK76" s="531"/>
      <c r="AM76" s="539"/>
      <c r="AN76" s="535"/>
      <c r="AP76" s="540"/>
      <c r="AQ76" s="540"/>
    </row>
    <row r="77" spans="1:43" s="513" customFormat="1" ht="16.5" hidden="1" customHeight="1" outlineLevel="2">
      <c r="A77" s="584"/>
      <c r="B77" s="596" t="s">
        <v>905</v>
      </c>
      <c r="C77" s="857">
        <f>C75*2</f>
        <v>12</v>
      </c>
      <c r="D77" s="639">
        <f>C77</f>
        <v>12</v>
      </c>
      <c r="E77" s="639">
        <f t="shared" si="86"/>
        <v>12</v>
      </c>
      <c r="F77" s="639">
        <f t="shared" si="86"/>
        <v>12</v>
      </c>
      <c r="G77" s="639">
        <f t="shared" si="86"/>
        <v>12</v>
      </c>
      <c r="H77" s="639">
        <f t="shared" si="86"/>
        <v>12</v>
      </c>
      <c r="I77" s="639">
        <f t="shared" si="86"/>
        <v>12</v>
      </c>
      <c r="J77" s="639">
        <f t="shared" si="86"/>
        <v>12</v>
      </c>
      <c r="K77" s="639">
        <f t="shared" si="86"/>
        <v>12</v>
      </c>
      <c r="L77" s="639">
        <f t="shared" si="86"/>
        <v>12</v>
      </c>
      <c r="M77" s="639">
        <f t="shared" si="86"/>
        <v>12</v>
      </c>
      <c r="N77" s="639">
        <f t="shared" si="86"/>
        <v>12</v>
      </c>
      <c r="O77" s="639">
        <f t="shared" si="86"/>
        <v>12</v>
      </c>
      <c r="P77" s="639">
        <f t="shared" si="86"/>
        <v>12</v>
      </c>
      <c r="Q77" s="639">
        <f t="shared" si="86"/>
        <v>12</v>
      </c>
      <c r="R77" s="639">
        <f t="shared" si="86"/>
        <v>12</v>
      </c>
      <c r="S77" s="639">
        <f t="shared" si="86"/>
        <v>12</v>
      </c>
      <c r="T77" s="639">
        <f t="shared" si="86"/>
        <v>12</v>
      </c>
      <c r="U77" s="639">
        <f t="shared" si="84"/>
        <v>12</v>
      </c>
      <c r="V77" s="639">
        <f t="shared" si="84"/>
        <v>12</v>
      </c>
      <c r="W77" s="639">
        <f t="shared" si="85"/>
        <v>12</v>
      </c>
      <c r="X77" s="639">
        <f t="shared" si="85"/>
        <v>12</v>
      </c>
      <c r="Y77" s="639">
        <f t="shared" si="85"/>
        <v>12</v>
      </c>
      <c r="Z77" s="639">
        <f t="shared" si="85"/>
        <v>12</v>
      </c>
      <c r="AA77" s="639">
        <f t="shared" si="85"/>
        <v>12</v>
      </c>
      <c r="AB77" s="639">
        <f t="shared" si="85"/>
        <v>12</v>
      </c>
      <c r="AC77" s="639">
        <f t="shared" si="85"/>
        <v>12</v>
      </c>
      <c r="AD77" s="639">
        <f t="shared" si="85"/>
        <v>12</v>
      </c>
      <c r="AE77" s="639">
        <f t="shared" si="85"/>
        <v>12</v>
      </c>
      <c r="AF77" s="639">
        <f t="shared" si="85"/>
        <v>12</v>
      </c>
      <c r="AH77" s="538"/>
      <c r="AK77" s="531"/>
      <c r="AM77" s="539"/>
      <c r="AN77" s="535"/>
      <c r="AP77" s="540"/>
      <c r="AQ77" s="540"/>
    </row>
    <row r="78" spans="1:43" s="513" customFormat="1" ht="16.5" hidden="1" customHeight="1" outlineLevel="2">
      <c r="A78" s="584"/>
      <c r="B78" s="596" t="s">
        <v>906</v>
      </c>
      <c r="C78" s="639">
        <f>Insumos!$E$50</f>
        <v>750</v>
      </c>
      <c r="D78" s="639">
        <f>C78</f>
        <v>750</v>
      </c>
      <c r="E78" s="639">
        <f t="shared" si="86"/>
        <v>750</v>
      </c>
      <c r="F78" s="639">
        <f t="shared" si="86"/>
        <v>750</v>
      </c>
      <c r="G78" s="639">
        <f t="shared" si="86"/>
        <v>750</v>
      </c>
      <c r="H78" s="639">
        <f t="shared" si="86"/>
        <v>750</v>
      </c>
      <c r="I78" s="639">
        <f t="shared" si="86"/>
        <v>750</v>
      </c>
      <c r="J78" s="639">
        <f t="shared" si="86"/>
        <v>750</v>
      </c>
      <c r="K78" s="639">
        <f t="shared" si="86"/>
        <v>750</v>
      </c>
      <c r="L78" s="639">
        <f t="shared" si="86"/>
        <v>750</v>
      </c>
      <c r="M78" s="639">
        <f t="shared" si="86"/>
        <v>750</v>
      </c>
      <c r="N78" s="639">
        <f t="shared" si="86"/>
        <v>750</v>
      </c>
      <c r="O78" s="639">
        <f t="shared" si="86"/>
        <v>750</v>
      </c>
      <c r="P78" s="639">
        <f t="shared" si="86"/>
        <v>750</v>
      </c>
      <c r="Q78" s="639">
        <f t="shared" si="86"/>
        <v>750</v>
      </c>
      <c r="R78" s="639">
        <f t="shared" si="86"/>
        <v>750</v>
      </c>
      <c r="S78" s="639">
        <f t="shared" si="86"/>
        <v>750</v>
      </c>
      <c r="T78" s="639">
        <f t="shared" si="86"/>
        <v>750</v>
      </c>
      <c r="U78" s="639">
        <f t="shared" si="84"/>
        <v>750</v>
      </c>
      <c r="V78" s="639">
        <f t="shared" si="84"/>
        <v>750</v>
      </c>
      <c r="W78" s="639">
        <f t="shared" si="85"/>
        <v>750</v>
      </c>
      <c r="X78" s="639">
        <f t="shared" si="85"/>
        <v>750</v>
      </c>
      <c r="Y78" s="639">
        <f t="shared" si="85"/>
        <v>750</v>
      </c>
      <c r="Z78" s="639">
        <f t="shared" si="85"/>
        <v>750</v>
      </c>
      <c r="AA78" s="639">
        <f t="shared" si="85"/>
        <v>750</v>
      </c>
      <c r="AB78" s="639">
        <f t="shared" si="85"/>
        <v>750</v>
      </c>
      <c r="AC78" s="639">
        <f t="shared" si="85"/>
        <v>750</v>
      </c>
      <c r="AD78" s="639">
        <f t="shared" si="85"/>
        <v>750</v>
      </c>
      <c r="AE78" s="639">
        <f t="shared" si="85"/>
        <v>750</v>
      </c>
      <c r="AF78" s="639">
        <f t="shared" si="85"/>
        <v>750</v>
      </c>
      <c r="AH78" s="538"/>
      <c r="AK78" s="531"/>
      <c r="AM78" s="539"/>
      <c r="AN78" s="535"/>
      <c r="AP78" s="540"/>
      <c r="AQ78" s="540"/>
    </row>
    <row r="79" spans="1:43" s="546" customFormat="1" ht="16.5" hidden="1" customHeight="1" outlineLevel="2">
      <c r="A79" s="584"/>
      <c r="B79" s="595" t="s">
        <v>808</v>
      </c>
      <c r="C79" s="581">
        <f>C81*C82*C80</f>
        <v>66.528000000000006</v>
      </c>
      <c r="D79" s="581">
        <f t="shared" ref="D79:AF79" si="87">D81*D82*D80</f>
        <v>66.528000000000006</v>
      </c>
      <c r="E79" s="581">
        <f t="shared" si="87"/>
        <v>66.528000000000006</v>
      </c>
      <c r="F79" s="581">
        <f t="shared" si="87"/>
        <v>66.528000000000006</v>
      </c>
      <c r="G79" s="581">
        <f t="shared" si="87"/>
        <v>66.528000000000006</v>
      </c>
      <c r="H79" s="581">
        <f t="shared" si="87"/>
        <v>66.528000000000006</v>
      </c>
      <c r="I79" s="581">
        <f t="shared" si="87"/>
        <v>66.528000000000006</v>
      </c>
      <c r="J79" s="581">
        <f t="shared" si="87"/>
        <v>66.528000000000006</v>
      </c>
      <c r="K79" s="581">
        <f t="shared" si="87"/>
        <v>66.528000000000006</v>
      </c>
      <c r="L79" s="581">
        <f t="shared" si="87"/>
        <v>66.528000000000006</v>
      </c>
      <c r="M79" s="581">
        <f t="shared" si="87"/>
        <v>66.528000000000006</v>
      </c>
      <c r="N79" s="581">
        <f t="shared" si="87"/>
        <v>66.528000000000006</v>
      </c>
      <c r="O79" s="581">
        <f t="shared" si="87"/>
        <v>66.528000000000006</v>
      </c>
      <c r="P79" s="581">
        <f t="shared" si="87"/>
        <v>66.528000000000006</v>
      </c>
      <c r="Q79" s="581">
        <f t="shared" si="87"/>
        <v>66.528000000000006</v>
      </c>
      <c r="R79" s="581">
        <f t="shared" si="87"/>
        <v>66.528000000000006</v>
      </c>
      <c r="S79" s="581">
        <f t="shared" si="87"/>
        <v>66.528000000000006</v>
      </c>
      <c r="T79" s="581">
        <f t="shared" si="87"/>
        <v>66.528000000000006</v>
      </c>
      <c r="U79" s="581">
        <f t="shared" si="87"/>
        <v>66.528000000000006</v>
      </c>
      <c r="V79" s="581">
        <f t="shared" si="87"/>
        <v>66.528000000000006</v>
      </c>
      <c r="W79" s="581">
        <f t="shared" si="87"/>
        <v>66.528000000000006</v>
      </c>
      <c r="X79" s="581">
        <f t="shared" si="87"/>
        <v>66.528000000000006</v>
      </c>
      <c r="Y79" s="581">
        <f t="shared" si="87"/>
        <v>66.528000000000006</v>
      </c>
      <c r="Z79" s="581">
        <f t="shared" si="87"/>
        <v>66.528000000000006</v>
      </c>
      <c r="AA79" s="581">
        <f t="shared" si="87"/>
        <v>66.528000000000006</v>
      </c>
      <c r="AB79" s="581">
        <f t="shared" si="87"/>
        <v>66.528000000000006</v>
      </c>
      <c r="AC79" s="581">
        <f t="shared" si="87"/>
        <v>66.528000000000006</v>
      </c>
      <c r="AD79" s="581">
        <f t="shared" si="87"/>
        <v>66.528000000000006</v>
      </c>
      <c r="AE79" s="581">
        <f t="shared" si="87"/>
        <v>66.528000000000006</v>
      </c>
      <c r="AF79" s="581">
        <f t="shared" si="87"/>
        <v>66.528000000000006</v>
      </c>
      <c r="AH79" s="571"/>
      <c r="AK79" s="531"/>
      <c r="AM79" s="548"/>
      <c r="AN79" s="535"/>
      <c r="AP79" s="549"/>
      <c r="AQ79" s="549"/>
    </row>
    <row r="80" spans="1:43" s="586" customFormat="1" ht="16.5" hidden="1" customHeight="1" outlineLevel="2">
      <c r="A80" s="584"/>
      <c r="B80" s="585" t="s">
        <v>805</v>
      </c>
      <c r="C80" s="716">
        <f t="shared" ref="C80:AF80" si="88">C13</f>
        <v>1</v>
      </c>
      <c r="D80" s="716">
        <f t="shared" si="88"/>
        <v>1</v>
      </c>
      <c r="E80" s="716">
        <f t="shared" si="88"/>
        <v>1</v>
      </c>
      <c r="F80" s="716">
        <f t="shared" si="88"/>
        <v>1</v>
      </c>
      <c r="G80" s="716">
        <f t="shared" si="88"/>
        <v>1</v>
      </c>
      <c r="H80" s="716">
        <f t="shared" si="88"/>
        <v>1</v>
      </c>
      <c r="I80" s="716">
        <f t="shared" si="88"/>
        <v>1</v>
      </c>
      <c r="J80" s="716">
        <f t="shared" si="88"/>
        <v>1</v>
      </c>
      <c r="K80" s="716">
        <f t="shared" si="88"/>
        <v>1</v>
      </c>
      <c r="L80" s="716">
        <f t="shared" si="88"/>
        <v>1</v>
      </c>
      <c r="M80" s="716">
        <f t="shared" si="88"/>
        <v>1</v>
      </c>
      <c r="N80" s="716">
        <f t="shared" si="88"/>
        <v>1</v>
      </c>
      <c r="O80" s="716">
        <f t="shared" si="88"/>
        <v>1</v>
      </c>
      <c r="P80" s="716">
        <f t="shared" si="88"/>
        <v>1</v>
      </c>
      <c r="Q80" s="716">
        <f t="shared" si="88"/>
        <v>1</v>
      </c>
      <c r="R80" s="716">
        <f t="shared" si="88"/>
        <v>1</v>
      </c>
      <c r="S80" s="716">
        <f t="shared" si="88"/>
        <v>1</v>
      </c>
      <c r="T80" s="716">
        <f t="shared" si="88"/>
        <v>1</v>
      </c>
      <c r="U80" s="716">
        <f t="shared" si="88"/>
        <v>1</v>
      </c>
      <c r="V80" s="716">
        <f t="shared" si="88"/>
        <v>1</v>
      </c>
      <c r="W80" s="716">
        <f t="shared" si="88"/>
        <v>1</v>
      </c>
      <c r="X80" s="716">
        <f t="shared" si="88"/>
        <v>1</v>
      </c>
      <c r="Y80" s="716">
        <f t="shared" si="88"/>
        <v>1</v>
      </c>
      <c r="Z80" s="716">
        <f t="shared" si="88"/>
        <v>1</v>
      </c>
      <c r="AA80" s="716">
        <f t="shared" si="88"/>
        <v>1</v>
      </c>
      <c r="AB80" s="716">
        <f t="shared" si="88"/>
        <v>1</v>
      </c>
      <c r="AC80" s="716">
        <f t="shared" si="88"/>
        <v>1</v>
      </c>
      <c r="AD80" s="716">
        <f t="shared" si="88"/>
        <v>1</v>
      </c>
      <c r="AE80" s="716">
        <f t="shared" si="88"/>
        <v>1</v>
      </c>
      <c r="AF80" s="716">
        <f t="shared" si="88"/>
        <v>1</v>
      </c>
      <c r="AH80" s="587"/>
      <c r="AK80" s="588"/>
      <c r="AM80" s="589"/>
      <c r="AN80" s="590"/>
      <c r="AP80" s="591"/>
      <c r="AQ80" s="591"/>
    </row>
    <row r="81" spans="1:43" s="546" customFormat="1" ht="16.5" hidden="1" customHeight="1" outlineLevel="2">
      <c r="A81" s="584"/>
      <c r="B81" s="572" t="s">
        <v>901</v>
      </c>
      <c r="C81" s="574">
        <f t="shared" ref="C81:AF81" si="89">C35</f>
        <v>1814.4</v>
      </c>
      <c r="D81" s="574">
        <f t="shared" si="89"/>
        <v>1814.4</v>
      </c>
      <c r="E81" s="574">
        <f t="shared" si="89"/>
        <v>1814.4</v>
      </c>
      <c r="F81" s="574">
        <f t="shared" si="89"/>
        <v>1814.4</v>
      </c>
      <c r="G81" s="574">
        <f t="shared" si="89"/>
        <v>1814.4</v>
      </c>
      <c r="H81" s="574">
        <f t="shared" si="89"/>
        <v>1814.4</v>
      </c>
      <c r="I81" s="574">
        <f t="shared" si="89"/>
        <v>1814.4</v>
      </c>
      <c r="J81" s="574">
        <f t="shared" si="89"/>
        <v>1814.4</v>
      </c>
      <c r="K81" s="574">
        <f t="shared" si="89"/>
        <v>1814.4</v>
      </c>
      <c r="L81" s="574">
        <f t="shared" si="89"/>
        <v>1814.4</v>
      </c>
      <c r="M81" s="574">
        <f t="shared" si="89"/>
        <v>1814.4</v>
      </c>
      <c r="N81" s="574">
        <f t="shared" si="89"/>
        <v>1814.4</v>
      </c>
      <c r="O81" s="574">
        <f t="shared" si="89"/>
        <v>1814.4</v>
      </c>
      <c r="P81" s="574">
        <f t="shared" si="89"/>
        <v>1814.4</v>
      </c>
      <c r="Q81" s="574">
        <f t="shared" si="89"/>
        <v>1814.4</v>
      </c>
      <c r="R81" s="574">
        <f t="shared" si="89"/>
        <v>1814.4</v>
      </c>
      <c r="S81" s="574">
        <f t="shared" si="89"/>
        <v>1814.4</v>
      </c>
      <c r="T81" s="574">
        <f t="shared" si="89"/>
        <v>1814.4</v>
      </c>
      <c r="U81" s="574">
        <f t="shared" si="89"/>
        <v>1814.4</v>
      </c>
      <c r="V81" s="574">
        <f t="shared" si="89"/>
        <v>1814.4</v>
      </c>
      <c r="W81" s="574">
        <f t="shared" si="89"/>
        <v>1814.4</v>
      </c>
      <c r="X81" s="574">
        <f t="shared" si="89"/>
        <v>1814.4</v>
      </c>
      <c r="Y81" s="574">
        <f t="shared" si="89"/>
        <v>1814.4</v>
      </c>
      <c r="Z81" s="574">
        <f t="shared" si="89"/>
        <v>1814.4</v>
      </c>
      <c r="AA81" s="574">
        <f t="shared" si="89"/>
        <v>1814.4</v>
      </c>
      <c r="AB81" s="574">
        <f t="shared" si="89"/>
        <v>1814.4</v>
      </c>
      <c r="AC81" s="574">
        <f t="shared" si="89"/>
        <v>1814.4</v>
      </c>
      <c r="AD81" s="574">
        <f t="shared" si="89"/>
        <v>1814.4</v>
      </c>
      <c r="AE81" s="574">
        <f t="shared" si="89"/>
        <v>1814.4</v>
      </c>
      <c r="AF81" s="574">
        <f t="shared" si="89"/>
        <v>1814.4</v>
      </c>
      <c r="AH81" s="571"/>
      <c r="AK81" s="531"/>
      <c r="AM81" s="548"/>
      <c r="AN81" s="535"/>
      <c r="AP81" s="549"/>
      <c r="AQ81" s="549"/>
    </row>
    <row r="82" spans="1:43" s="546" customFormat="1" ht="16.5" hidden="1" customHeight="1" outlineLevel="2">
      <c r="A82" s="584"/>
      <c r="B82" s="572" t="s">
        <v>902</v>
      </c>
      <c r="C82" s="602">
        <f t="shared" ref="C82:AF82" si="90">((C83*C84)+(C85*C86))/$C$1758</f>
        <v>3.6666666666666667E-2</v>
      </c>
      <c r="D82" s="602">
        <f t="shared" si="90"/>
        <v>3.6666666666666667E-2</v>
      </c>
      <c r="E82" s="602">
        <f t="shared" si="90"/>
        <v>3.6666666666666667E-2</v>
      </c>
      <c r="F82" s="602">
        <f t="shared" si="90"/>
        <v>3.6666666666666667E-2</v>
      </c>
      <c r="G82" s="602">
        <f t="shared" si="90"/>
        <v>3.6666666666666667E-2</v>
      </c>
      <c r="H82" s="602">
        <f t="shared" si="90"/>
        <v>3.6666666666666667E-2</v>
      </c>
      <c r="I82" s="602">
        <f t="shared" si="90"/>
        <v>3.6666666666666667E-2</v>
      </c>
      <c r="J82" s="602">
        <f t="shared" si="90"/>
        <v>3.6666666666666667E-2</v>
      </c>
      <c r="K82" s="602">
        <f t="shared" si="90"/>
        <v>3.6666666666666667E-2</v>
      </c>
      <c r="L82" s="602">
        <f t="shared" si="90"/>
        <v>3.6666666666666667E-2</v>
      </c>
      <c r="M82" s="602">
        <f t="shared" si="90"/>
        <v>3.6666666666666667E-2</v>
      </c>
      <c r="N82" s="602">
        <f t="shared" si="90"/>
        <v>3.6666666666666667E-2</v>
      </c>
      <c r="O82" s="602">
        <f t="shared" si="90"/>
        <v>3.6666666666666667E-2</v>
      </c>
      <c r="P82" s="602">
        <f t="shared" si="90"/>
        <v>3.6666666666666667E-2</v>
      </c>
      <c r="Q82" s="602">
        <f t="shared" si="90"/>
        <v>3.6666666666666667E-2</v>
      </c>
      <c r="R82" s="602">
        <f t="shared" si="90"/>
        <v>3.6666666666666667E-2</v>
      </c>
      <c r="S82" s="602">
        <f t="shared" si="90"/>
        <v>3.6666666666666667E-2</v>
      </c>
      <c r="T82" s="602">
        <f t="shared" si="90"/>
        <v>3.6666666666666667E-2</v>
      </c>
      <c r="U82" s="602">
        <f t="shared" si="90"/>
        <v>3.6666666666666667E-2</v>
      </c>
      <c r="V82" s="602">
        <f t="shared" si="90"/>
        <v>3.6666666666666667E-2</v>
      </c>
      <c r="W82" s="602">
        <f t="shared" si="90"/>
        <v>3.6666666666666667E-2</v>
      </c>
      <c r="X82" s="602">
        <f t="shared" si="90"/>
        <v>3.6666666666666667E-2</v>
      </c>
      <c r="Y82" s="602">
        <f t="shared" si="90"/>
        <v>3.6666666666666667E-2</v>
      </c>
      <c r="Z82" s="602">
        <f t="shared" si="90"/>
        <v>3.6666666666666667E-2</v>
      </c>
      <c r="AA82" s="602">
        <f t="shared" si="90"/>
        <v>3.6666666666666667E-2</v>
      </c>
      <c r="AB82" s="602">
        <f t="shared" si="90"/>
        <v>3.6666666666666667E-2</v>
      </c>
      <c r="AC82" s="602">
        <f t="shared" si="90"/>
        <v>3.6666666666666667E-2</v>
      </c>
      <c r="AD82" s="602">
        <f t="shared" si="90"/>
        <v>3.6666666666666667E-2</v>
      </c>
      <c r="AE82" s="602">
        <f t="shared" si="90"/>
        <v>3.6666666666666667E-2</v>
      </c>
      <c r="AF82" s="602">
        <f t="shared" si="90"/>
        <v>3.6666666666666667E-2</v>
      </c>
      <c r="AH82" s="571"/>
      <c r="AK82" s="531"/>
      <c r="AM82" s="548"/>
      <c r="AN82" s="535"/>
      <c r="AP82" s="549"/>
      <c r="AQ82" s="549"/>
    </row>
    <row r="83" spans="1:43" s="586" customFormat="1" ht="16.5" hidden="1" customHeight="1" outlineLevel="2">
      <c r="A83" s="584"/>
      <c r="B83" s="585" t="s">
        <v>907</v>
      </c>
      <c r="C83" s="632">
        <v>2</v>
      </c>
      <c r="D83" s="632">
        <f>C83</f>
        <v>2</v>
      </c>
      <c r="E83" s="632">
        <f t="shared" ref="E83:T86" si="91">D83</f>
        <v>2</v>
      </c>
      <c r="F83" s="632">
        <f t="shared" si="91"/>
        <v>2</v>
      </c>
      <c r="G83" s="632">
        <f t="shared" si="91"/>
        <v>2</v>
      </c>
      <c r="H83" s="632">
        <f t="shared" si="91"/>
        <v>2</v>
      </c>
      <c r="I83" s="632">
        <f t="shared" si="91"/>
        <v>2</v>
      </c>
      <c r="J83" s="632">
        <f t="shared" si="91"/>
        <v>2</v>
      </c>
      <c r="K83" s="632">
        <f t="shared" si="91"/>
        <v>2</v>
      </c>
      <c r="L83" s="632">
        <f t="shared" si="91"/>
        <v>2</v>
      </c>
      <c r="M83" s="632">
        <f t="shared" si="91"/>
        <v>2</v>
      </c>
      <c r="N83" s="632">
        <f t="shared" si="91"/>
        <v>2</v>
      </c>
      <c r="O83" s="632">
        <f t="shared" si="91"/>
        <v>2</v>
      </c>
      <c r="P83" s="632">
        <f t="shared" si="91"/>
        <v>2</v>
      </c>
      <c r="Q83" s="632">
        <f t="shared" si="91"/>
        <v>2</v>
      </c>
      <c r="R83" s="632">
        <f t="shared" si="91"/>
        <v>2</v>
      </c>
      <c r="S83" s="632">
        <f t="shared" si="91"/>
        <v>2</v>
      </c>
      <c r="T83" s="632">
        <f t="shared" si="91"/>
        <v>2</v>
      </c>
      <c r="U83" s="632">
        <f t="shared" ref="U83:AF86" si="92">T83</f>
        <v>2</v>
      </c>
      <c r="V83" s="632">
        <f t="shared" si="92"/>
        <v>2</v>
      </c>
      <c r="W83" s="632">
        <f t="shared" si="92"/>
        <v>2</v>
      </c>
      <c r="X83" s="632">
        <f t="shared" si="92"/>
        <v>2</v>
      </c>
      <c r="Y83" s="632">
        <f t="shared" si="92"/>
        <v>2</v>
      </c>
      <c r="Z83" s="632">
        <f t="shared" si="92"/>
        <v>2</v>
      </c>
      <c r="AA83" s="632">
        <f t="shared" si="92"/>
        <v>2</v>
      </c>
      <c r="AB83" s="632">
        <f t="shared" si="92"/>
        <v>2</v>
      </c>
      <c r="AC83" s="632">
        <f t="shared" si="92"/>
        <v>2</v>
      </c>
      <c r="AD83" s="632">
        <f t="shared" si="92"/>
        <v>2</v>
      </c>
      <c r="AE83" s="632">
        <f t="shared" si="92"/>
        <v>2</v>
      </c>
      <c r="AF83" s="632">
        <f t="shared" si="92"/>
        <v>2</v>
      </c>
      <c r="AH83" s="587"/>
      <c r="AK83" s="588"/>
      <c r="AM83" s="589"/>
      <c r="AN83" s="591"/>
      <c r="AP83" s="591"/>
      <c r="AQ83" s="591"/>
    </row>
    <row r="84" spans="1:43" s="513" customFormat="1" ht="16.5" hidden="1" customHeight="1" outlineLevel="2">
      <c r="A84" s="584"/>
      <c r="B84" s="596" t="s">
        <v>904</v>
      </c>
      <c r="C84" s="366">
        <f>Insumos!$E$51</f>
        <v>275</v>
      </c>
      <c r="D84" s="366">
        <f>C84</f>
        <v>275</v>
      </c>
      <c r="E84" s="366">
        <f t="shared" si="91"/>
        <v>275</v>
      </c>
      <c r="F84" s="366">
        <f t="shared" si="91"/>
        <v>275</v>
      </c>
      <c r="G84" s="366">
        <f t="shared" si="91"/>
        <v>275</v>
      </c>
      <c r="H84" s="366">
        <f t="shared" si="91"/>
        <v>275</v>
      </c>
      <c r="I84" s="366">
        <f t="shared" si="91"/>
        <v>275</v>
      </c>
      <c r="J84" s="366">
        <f t="shared" si="91"/>
        <v>275</v>
      </c>
      <c r="K84" s="366">
        <f t="shared" si="91"/>
        <v>275</v>
      </c>
      <c r="L84" s="366">
        <f t="shared" si="91"/>
        <v>275</v>
      </c>
      <c r="M84" s="366">
        <f t="shared" si="91"/>
        <v>275</v>
      </c>
      <c r="N84" s="366">
        <f t="shared" si="91"/>
        <v>275</v>
      </c>
      <c r="O84" s="366">
        <f t="shared" si="91"/>
        <v>275</v>
      </c>
      <c r="P84" s="366">
        <f t="shared" si="91"/>
        <v>275</v>
      </c>
      <c r="Q84" s="366">
        <f t="shared" si="91"/>
        <v>275</v>
      </c>
      <c r="R84" s="366">
        <f t="shared" si="91"/>
        <v>275</v>
      </c>
      <c r="S84" s="366">
        <f t="shared" si="91"/>
        <v>275</v>
      </c>
      <c r="T84" s="366">
        <f t="shared" si="91"/>
        <v>275</v>
      </c>
      <c r="U84" s="366">
        <f t="shared" si="92"/>
        <v>275</v>
      </c>
      <c r="V84" s="366">
        <f t="shared" si="92"/>
        <v>275</v>
      </c>
      <c r="W84" s="366">
        <f t="shared" si="92"/>
        <v>275</v>
      </c>
      <c r="X84" s="366">
        <f t="shared" si="92"/>
        <v>275</v>
      </c>
      <c r="Y84" s="366">
        <f t="shared" si="92"/>
        <v>275</v>
      </c>
      <c r="Z84" s="366">
        <f t="shared" si="92"/>
        <v>275</v>
      </c>
      <c r="AA84" s="366">
        <f t="shared" si="92"/>
        <v>275</v>
      </c>
      <c r="AB84" s="366">
        <f t="shared" si="92"/>
        <v>275</v>
      </c>
      <c r="AC84" s="366">
        <f t="shared" si="92"/>
        <v>275</v>
      </c>
      <c r="AD84" s="366">
        <f t="shared" si="92"/>
        <v>275</v>
      </c>
      <c r="AE84" s="366">
        <f t="shared" si="92"/>
        <v>275</v>
      </c>
      <c r="AF84" s="366">
        <f t="shared" si="92"/>
        <v>275</v>
      </c>
      <c r="AH84" s="538"/>
      <c r="AK84" s="531"/>
      <c r="AM84" s="539"/>
      <c r="AN84" s="535"/>
      <c r="AP84" s="540"/>
      <c r="AQ84" s="540"/>
    </row>
    <row r="85" spans="1:43" s="513" customFormat="1" ht="16.5" hidden="1" customHeight="1" outlineLevel="2">
      <c r="A85" s="584"/>
      <c r="B85" s="596" t="s">
        <v>908</v>
      </c>
      <c r="C85" s="366">
        <v>0</v>
      </c>
      <c r="D85" s="366">
        <f>C85</f>
        <v>0</v>
      </c>
      <c r="E85" s="366">
        <f t="shared" si="91"/>
        <v>0</v>
      </c>
      <c r="F85" s="366">
        <f t="shared" si="91"/>
        <v>0</v>
      </c>
      <c r="G85" s="366">
        <f t="shared" si="91"/>
        <v>0</v>
      </c>
      <c r="H85" s="366">
        <f t="shared" si="91"/>
        <v>0</v>
      </c>
      <c r="I85" s="366">
        <f t="shared" si="91"/>
        <v>0</v>
      </c>
      <c r="J85" s="366">
        <f t="shared" si="91"/>
        <v>0</v>
      </c>
      <c r="K85" s="366">
        <f t="shared" si="91"/>
        <v>0</v>
      </c>
      <c r="L85" s="366">
        <f t="shared" si="91"/>
        <v>0</v>
      </c>
      <c r="M85" s="366">
        <f t="shared" si="91"/>
        <v>0</v>
      </c>
      <c r="N85" s="366">
        <f t="shared" si="91"/>
        <v>0</v>
      </c>
      <c r="O85" s="366">
        <f t="shared" si="91"/>
        <v>0</v>
      </c>
      <c r="P85" s="366">
        <f t="shared" si="91"/>
        <v>0</v>
      </c>
      <c r="Q85" s="366">
        <f t="shared" si="91"/>
        <v>0</v>
      </c>
      <c r="R85" s="366">
        <f t="shared" si="91"/>
        <v>0</v>
      </c>
      <c r="S85" s="366">
        <f t="shared" si="91"/>
        <v>0</v>
      </c>
      <c r="T85" s="366">
        <f t="shared" si="91"/>
        <v>0</v>
      </c>
      <c r="U85" s="366">
        <f t="shared" si="92"/>
        <v>0</v>
      </c>
      <c r="V85" s="366">
        <f t="shared" si="92"/>
        <v>0</v>
      </c>
      <c r="W85" s="366">
        <f t="shared" si="92"/>
        <v>0</v>
      </c>
      <c r="X85" s="366">
        <f t="shared" si="92"/>
        <v>0</v>
      </c>
      <c r="Y85" s="366">
        <f t="shared" si="92"/>
        <v>0</v>
      </c>
      <c r="Z85" s="366">
        <f t="shared" si="92"/>
        <v>0</v>
      </c>
      <c r="AA85" s="366">
        <f t="shared" si="92"/>
        <v>0</v>
      </c>
      <c r="AB85" s="366">
        <f t="shared" si="92"/>
        <v>0</v>
      </c>
      <c r="AC85" s="366">
        <f t="shared" si="92"/>
        <v>0</v>
      </c>
      <c r="AD85" s="366">
        <f t="shared" si="92"/>
        <v>0</v>
      </c>
      <c r="AE85" s="366">
        <f t="shared" si="92"/>
        <v>0</v>
      </c>
      <c r="AF85" s="366">
        <f t="shared" si="92"/>
        <v>0</v>
      </c>
      <c r="AH85" s="538"/>
      <c r="AK85" s="531"/>
      <c r="AM85" s="539"/>
      <c r="AN85" s="535"/>
      <c r="AP85" s="540"/>
      <c r="AQ85" s="540"/>
    </row>
    <row r="86" spans="1:43" s="513" customFormat="1" ht="16.5" hidden="1" customHeight="1" outlineLevel="2">
      <c r="A86" s="584"/>
      <c r="B86" s="596" t="s">
        <v>906</v>
      </c>
      <c r="C86" s="366">
        <v>0</v>
      </c>
      <c r="D86" s="366">
        <f>C86</f>
        <v>0</v>
      </c>
      <c r="E86" s="366">
        <f t="shared" si="91"/>
        <v>0</v>
      </c>
      <c r="F86" s="366">
        <f t="shared" si="91"/>
        <v>0</v>
      </c>
      <c r="G86" s="366">
        <f t="shared" si="91"/>
        <v>0</v>
      </c>
      <c r="H86" s="366">
        <f t="shared" si="91"/>
        <v>0</v>
      </c>
      <c r="I86" s="366">
        <f t="shared" si="91"/>
        <v>0</v>
      </c>
      <c r="J86" s="366">
        <f t="shared" si="91"/>
        <v>0</v>
      </c>
      <c r="K86" s="366">
        <f t="shared" si="91"/>
        <v>0</v>
      </c>
      <c r="L86" s="366">
        <f t="shared" si="91"/>
        <v>0</v>
      </c>
      <c r="M86" s="366">
        <f t="shared" si="91"/>
        <v>0</v>
      </c>
      <c r="N86" s="366">
        <f t="shared" si="91"/>
        <v>0</v>
      </c>
      <c r="O86" s="366">
        <f t="shared" si="91"/>
        <v>0</v>
      </c>
      <c r="P86" s="366">
        <f t="shared" si="91"/>
        <v>0</v>
      </c>
      <c r="Q86" s="366">
        <f t="shared" si="91"/>
        <v>0</v>
      </c>
      <c r="R86" s="366">
        <f t="shared" si="91"/>
        <v>0</v>
      </c>
      <c r="S86" s="366">
        <f t="shared" si="91"/>
        <v>0</v>
      </c>
      <c r="T86" s="366">
        <f t="shared" si="91"/>
        <v>0</v>
      </c>
      <c r="U86" s="366">
        <f t="shared" si="92"/>
        <v>0</v>
      </c>
      <c r="V86" s="366">
        <f t="shared" si="92"/>
        <v>0</v>
      </c>
      <c r="W86" s="366">
        <f t="shared" si="92"/>
        <v>0</v>
      </c>
      <c r="X86" s="366">
        <f t="shared" si="92"/>
        <v>0</v>
      </c>
      <c r="Y86" s="366">
        <f t="shared" si="92"/>
        <v>0</v>
      </c>
      <c r="Z86" s="366">
        <f t="shared" si="92"/>
        <v>0</v>
      </c>
      <c r="AA86" s="366">
        <f t="shared" si="92"/>
        <v>0</v>
      </c>
      <c r="AB86" s="366">
        <f t="shared" si="92"/>
        <v>0</v>
      </c>
      <c r="AC86" s="366">
        <f t="shared" si="92"/>
        <v>0</v>
      </c>
      <c r="AD86" s="366">
        <f t="shared" si="92"/>
        <v>0</v>
      </c>
      <c r="AE86" s="366">
        <f t="shared" si="92"/>
        <v>0</v>
      </c>
      <c r="AF86" s="366">
        <f t="shared" si="92"/>
        <v>0</v>
      </c>
      <c r="AH86" s="538"/>
      <c r="AK86" s="531"/>
      <c r="AM86" s="539"/>
      <c r="AN86" s="535"/>
      <c r="AP86" s="540"/>
      <c r="AQ86" s="540"/>
    </row>
    <row r="87" spans="1:43" s="513" customFormat="1" ht="3" hidden="1" customHeight="1" outlineLevel="2">
      <c r="A87" s="584"/>
      <c r="B87" s="596"/>
      <c r="C87" s="598"/>
      <c r="D87" s="598"/>
      <c r="E87" s="598"/>
      <c r="F87" s="598"/>
      <c r="G87" s="598"/>
      <c r="H87" s="598"/>
      <c r="I87" s="598"/>
      <c r="J87" s="598"/>
      <c r="K87" s="598"/>
      <c r="L87" s="598"/>
      <c r="M87" s="598"/>
      <c r="N87" s="598"/>
      <c r="O87" s="598"/>
      <c r="P87" s="598"/>
      <c r="Q87" s="598"/>
      <c r="R87" s="598"/>
      <c r="S87" s="598"/>
      <c r="T87" s="598"/>
      <c r="U87" s="598"/>
      <c r="V87" s="598"/>
      <c r="W87" s="598"/>
      <c r="X87" s="598"/>
      <c r="Y87" s="598"/>
      <c r="Z87" s="598"/>
      <c r="AA87" s="598"/>
      <c r="AB87" s="598"/>
      <c r="AC87" s="598"/>
      <c r="AD87" s="598"/>
      <c r="AE87" s="598"/>
      <c r="AF87" s="598"/>
      <c r="AH87" s="538"/>
      <c r="AK87" s="531"/>
      <c r="AM87" s="539"/>
      <c r="AN87" s="535"/>
      <c r="AP87" s="540"/>
      <c r="AQ87" s="540"/>
    </row>
    <row r="88" spans="1:43" s="564" customFormat="1" ht="16.5" hidden="1" customHeight="1" outlineLevel="1" collapsed="1">
      <c r="A88" s="584"/>
      <c r="B88" s="576" t="s">
        <v>909</v>
      </c>
      <c r="C88" s="577">
        <f>C89*12/10^3</f>
        <v>81.786000000000001</v>
      </c>
      <c r="D88" s="577">
        <f t="shared" ref="D88:AF88" si="93">D89*12/10^3</f>
        <v>81.786000000000001</v>
      </c>
      <c r="E88" s="577">
        <f>E89*12/10^3</f>
        <v>81.786000000000001</v>
      </c>
      <c r="F88" s="577">
        <f t="shared" si="93"/>
        <v>81.786000000000001</v>
      </c>
      <c r="G88" s="577">
        <f t="shared" si="93"/>
        <v>81.786000000000001</v>
      </c>
      <c r="H88" s="577">
        <f t="shared" si="93"/>
        <v>81.786000000000001</v>
      </c>
      <c r="I88" s="577">
        <f t="shared" si="93"/>
        <v>81.786000000000001</v>
      </c>
      <c r="J88" s="577">
        <f t="shared" si="93"/>
        <v>81.786000000000001</v>
      </c>
      <c r="K88" s="577">
        <f t="shared" si="93"/>
        <v>81.786000000000001</v>
      </c>
      <c r="L88" s="577">
        <f t="shared" si="93"/>
        <v>81.786000000000001</v>
      </c>
      <c r="M88" s="577">
        <f t="shared" si="93"/>
        <v>81.786000000000001</v>
      </c>
      <c r="N88" s="577">
        <f t="shared" si="93"/>
        <v>81.786000000000001</v>
      </c>
      <c r="O88" s="577">
        <f t="shared" si="93"/>
        <v>81.786000000000001</v>
      </c>
      <c r="P88" s="577">
        <f t="shared" si="93"/>
        <v>81.786000000000001</v>
      </c>
      <c r="Q88" s="577">
        <f t="shared" si="93"/>
        <v>81.786000000000001</v>
      </c>
      <c r="R88" s="577">
        <f t="shared" si="93"/>
        <v>81.786000000000001</v>
      </c>
      <c r="S88" s="577">
        <f t="shared" si="93"/>
        <v>81.786000000000001</v>
      </c>
      <c r="T88" s="577">
        <f t="shared" si="93"/>
        <v>81.786000000000001</v>
      </c>
      <c r="U88" s="577">
        <f t="shared" si="93"/>
        <v>81.786000000000001</v>
      </c>
      <c r="V88" s="577">
        <f t="shared" si="93"/>
        <v>81.786000000000001</v>
      </c>
      <c r="W88" s="577">
        <f t="shared" si="93"/>
        <v>81.786000000000001</v>
      </c>
      <c r="X88" s="577">
        <f t="shared" si="93"/>
        <v>81.786000000000001</v>
      </c>
      <c r="Y88" s="577">
        <f t="shared" si="93"/>
        <v>81.786000000000001</v>
      </c>
      <c r="Z88" s="577">
        <f t="shared" si="93"/>
        <v>81.786000000000001</v>
      </c>
      <c r="AA88" s="577">
        <f t="shared" si="93"/>
        <v>81.786000000000001</v>
      </c>
      <c r="AB88" s="577">
        <f t="shared" si="93"/>
        <v>81.786000000000001</v>
      </c>
      <c r="AC88" s="577">
        <f t="shared" si="93"/>
        <v>81.786000000000001</v>
      </c>
      <c r="AD88" s="577">
        <f t="shared" si="93"/>
        <v>81.786000000000001</v>
      </c>
      <c r="AE88" s="577">
        <f t="shared" si="93"/>
        <v>81.786000000000001</v>
      </c>
      <c r="AF88" s="577">
        <f t="shared" si="93"/>
        <v>81.786000000000001</v>
      </c>
      <c r="AH88" s="578">
        <f>SUM(C88:AF88)</f>
        <v>2453.5800000000013</v>
      </c>
      <c r="AK88" s="531"/>
      <c r="AM88" s="567"/>
      <c r="AN88" s="535"/>
      <c r="AP88" s="568"/>
      <c r="AQ88" s="568"/>
    </row>
    <row r="89" spans="1:43" s="546" customFormat="1" ht="16.5" hidden="1" customHeight="1" outlineLevel="2">
      <c r="A89" s="584"/>
      <c r="B89" s="603" t="s">
        <v>910</v>
      </c>
      <c r="C89" s="581">
        <f>(C90*C91)+(C94*C95)+(C92*C93)</f>
        <v>6815.5</v>
      </c>
      <c r="D89" s="581">
        <f t="shared" ref="D89:AF89" si="94">(D90*D91)+(D94*D95)+(D92*D93)</f>
        <v>6815.5</v>
      </c>
      <c r="E89" s="581">
        <f t="shared" si="94"/>
        <v>6815.5</v>
      </c>
      <c r="F89" s="581">
        <f t="shared" si="94"/>
        <v>6815.5</v>
      </c>
      <c r="G89" s="581">
        <f t="shared" si="94"/>
        <v>6815.5</v>
      </c>
      <c r="H89" s="581">
        <f t="shared" si="94"/>
        <v>6815.5</v>
      </c>
      <c r="I89" s="581">
        <f t="shared" si="94"/>
        <v>6815.5</v>
      </c>
      <c r="J89" s="581">
        <f t="shared" si="94"/>
        <v>6815.5</v>
      </c>
      <c r="K89" s="581">
        <f t="shared" si="94"/>
        <v>6815.5</v>
      </c>
      <c r="L89" s="581">
        <f t="shared" si="94"/>
        <v>6815.5</v>
      </c>
      <c r="M89" s="581">
        <f t="shared" si="94"/>
        <v>6815.5</v>
      </c>
      <c r="N89" s="581">
        <f t="shared" si="94"/>
        <v>6815.5</v>
      </c>
      <c r="O89" s="581">
        <f t="shared" si="94"/>
        <v>6815.5</v>
      </c>
      <c r="P89" s="581">
        <f t="shared" si="94"/>
        <v>6815.5</v>
      </c>
      <c r="Q89" s="581">
        <f t="shared" si="94"/>
        <v>6815.5</v>
      </c>
      <c r="R89" s="581">
        <f t="shared" si="94"/>
        <v>6815.5</v>
      </c>
      <c r="S89" s="581">
        <f t="shared" si="94"/>
        <v>6815.5</v>
      </c>
      <c r="T89" s="581">
        <f t="shared" si="94"/>
        <v>6815.5</v>
      </c>
      <c r="U89" s="581">
        <f t="shared" si="94"/>
        <v>6815.5</v>
      </c>
      <c r="V89" s="581">
        <f t="shared" si="94"/>
        <v>6815.5</v>
      </c>
      <c r="W89" s="581">
        <f t="shared" si="94"/>
        <v>6815.5</v>
      </c>
      <c r="X89" s="581">
        <f t="shared" si="94"/>
        <v>6815.5</v>
      </c>
      <c r="Y89" s="581">
        <f t="shared" si="94"/>
        <v>6815.5</v>
      </c>
      <c r="Z89" s="581">
        <f t="shared" si="94"/>
        <v>6815.5</v>
      </c>
      <c r="AA89" s="581">
        <f t="shared" si="94"/>
        <v>6815.5</v>
      </c>
      <c r="AB89" s="581">
        <f t="shared" si="94"/>
        <v>6815.5</v>
      </c>
      <c r="AC89" s="581">
        <f t="shared" si="94"/>
        <v>6815.5</v>
      </c>
      <c r="AD89" s="581">
        <f t="shared" si="94"/>
        <v>6815.5</v>
      </c>
      <c r="AE89" s="581">
        <f t="shared" si="94"/>
        <v>6815.5</v>
      </c>
      <c r="AF89" s="581">
        <f t="shared" si="94"/>
        <v>6815.5</v>
      </c>
      <c r="AH89" s="571"/>
      <c r="AK89" s="531"/>
      <c r="AM89" s="548"/>
      <c r="AN89" s="535"/>
      <c r="AP89" s="549"/>
      <c r="AQ89" s="549"/>
    </row>
    <row r="90" spans="1:43" s="586" customFormat="1" ht="16.5" hidden="1" customHeight="1" outlineLevel="2">
      <c r="A90" s="584"/>
      <c r="B90" s="585" t="s">
        <v>911</v>
      </c>
      <c r="C90" s="716">
        <f t="shared" ref="C90:AF90" si="95">SUM(C32)</f>
        <v>5</v>
      </c>
      <c r="D90" s="716">
        <f t="shared" si="95"/>
        <v>5</v>
      </c>
      <c r="E90" s="716">
        <f t="shared" si="95"/>
        <v>5</v>
      </c>
      <c r="F90" s="716">
        <f t="shared" si="95"/>
        <v>5</v>
      </c>
      <c r="G90" s="716">
        <f t="shared" si="95"/>
        <v>5</v>
      </c>
      <c r="H90" s="716">
        <f t="shared" si="95"/>
        <v>5</v>
      </c>
      <c r="I90" s="716">
        <f t="shared" si="95"/>
        <v>5</v>
      </c>
      <c r="J90" s="716">
        <f t="shared" si="95"/>
        <v>5</v>
      </c>
      <c r="K90" s="716">
        <f t="shared" si="95"/>
        <v>5</v>
      </c>
      <c r="L90" s="716">
        <f t="shared" si="95"/>
        <v>5</v>
      </c>
      <c r="M90" s="716">
        <f t="shared" si="95"/>
        <v>5</v>
      </c>
      <c r="N90" s="716">
        <f t="shared" si="95"/>
        <v>5</v>
      </c>
      <c r="O90" s="716">
        <f t="shared" si="95"/>
        <v>5</v>
      </c>
      <c r="P90" s="716">
        <f t="shared" si="95"/>
        <v>5</v>
      </c>
      <c r="Q90" s="716">
        <f t="shared" si="95"/>
        <v>5</v>
      </c>
      <c r="R90" s="716">
        <f t="shared" si="95"/>
        <v>5</v>
      </c>
      <c r="S90" s="716">
        <f t="shared" si="95"/>
        <v>5</v>
      </c>
      <c r="T90" s="716">
        <f t="shared" si="95"/>
        <v>5</v>
      </c>
      <c r="U90" s="716">
        <f t="shared" si="95"/>
        <v>5</v>
      </c>
      <c r="V90" s="716">
        <f t="shared" si="95"/>
        <v>5</v>
      </c>
      <c r="W90" s="716">
        <f t="shared" si="95"/>
        <v>5</v>
      </c>
      <c r="X90" s="716">
        <f t="shared" si="95"/>
        <v>5</v>
      </c>
      <c r="Y90" s="716">
        <f t="shared" si="95"/>
        <v>5</v>
      </c>
      <c r="Z90" s="716">
        <f t="shared" si="95"/>
        <v>5</v>
      </c>
      <c r="AA90" s="716">
        <f t="shared" si="95"/>
        <v>5</v>
      </c>
      <c r="AB90" s="716">
        <f t="shared" si="95"/>
        <v>5</v>
      </c>
      <c r="AC90" s="716">
        <f t="shared" si="95"/>
        <v>5</v>
      </c>
      <c r="AD90" s="716">
        <f t="shared" si="95"/>
        <v>5</v>
      </c>
      <c r="AE90" s="716">
        <f t="shared" si="95"/>
        <v>5</v>
      </c>
      <c r="AF90" s="716">
        <f t="shared" si="95"/>
        <v>5</v>
      </c>
      <c r="AH90" s="587"/>
      <c r="AK90" s="588"/>
      <c r="AM90" s="589"/>
      <c r="AN90" s="590"/>
      <c r="AP90" s="591"/>
      <c r="AQ90" s="591"/>
    </row>
    <row r="91" spans="1:43" s="513" customFormat="1" ht="16.5" hidden="1" customHeight="1" outlineLevel="2">
      <c r="A91" s="584"/>
      <c r="B91" s="604" t="s">
        <v>912</v>
      </c>
      <c r="C91" s="605">
        <f>Insumos!$E$44*4.3</f>
        <v>1290</v>
      </c>
      <c r="D91" s="605">
        <f>C91</f>
        <v>1290</v>
      </c>
      <c r="E91" s="605">
        <f t="shared" ref="E91:AF91" si="96">D91</f>
        <v>1290</v>
      </c>
      <c r="F91" s="605">
        <f t="shared" si="96"/>
        <v>1290</v>
      </c>
      <c r="G91" s="605">
        <f t="shared" si="96"/>
        <v>1290</v>
      </c>
      <c r="H91" s="605">
        <f t="shared" si="96"/>
        <v>1290</v>
      </c>
      <c r="I91" s="605">
        <f t="shared" si="96"/>
        <v>1290</v>
      </c>
      <c r="J91" s="605">
        <f t="shared" si="96"/>
        <v>1290</v>
      </c>
      <c r="K91" s="605">
        <f t="shared" si="96"/>
        <v>1290</v>
      </c>
      <c r="L91" s="605">
        <f t="shared" si="96"/>
        <v>1290</v>
      </c>
      <c r="M91" s="605">
        <f t="shared" si="96"/>
        <v>1290</v>
      </c>
      <c r="N91" s="605">
        <f t="shared" si="96"/>
        <v>1290</v>
      </c>
      <c r="O91" s="605">
        <f t="shared" si="96"/>
        <v>1290</v>
      </c>
      <c r="P91" s="605">
        <f t="shared" si="96"/>
        <v>1290</v>
      </c>
      <c r="Q91" s="605">
        <f t="shared" si="96"/>
        <v>1290</v>
      </c>
      <c r="R91" s="605">
        <f t="shared" si="96"/>
        <v>1290</v>
      </c>
      <c r="S91" s="605">
        <f t="shared" si="96"/>
        <v>1290</v>
      </c>
      <c r="T91" s="605">
        <f t="shared" si="96"/>
        <v>1290</v>
      </c>
      <c r="U91" s="605">
        <f t="shared" si="96"/>
        <v>1290</v>
      </c>
      <c r="V91" s="605">
        <f t="shared" si="96"/>
        <v>1290</v>
      </c>
      <c r="W91" s="605">
        <f t="shared" si="96"/>
        <v>1290</v>
      </c>
      <c r="X91" s="605">
        <f t="shared" si="96"/>
        <v>1290</v>
      </c>
      <c r="Y91" s="605">
        <f t="shared" si="96"/>
        <v>1290</v>
      </c>
      <c r="Z91" s="605">
        <f t="shared" si="96"/>
        <v>1290</v>
      </c>
      <c r="AA91" s="605">
        <f t="shared" si="96"/>
        <v>1290</v>
      </c>
      <c r="AB91" s="605">
        <f t="shared" si="96"/>
        <v>1290</v>
      </c>
      <c r="AC91" s="605">
        <f t="shared" si="96"/>
        <v>1290</v>
      </c>
      <c r="AD91" s="605">
        <f t="shared" si="96"/>
        <v>1290</v>
      </c>
      <c r="AE91" s="605">
        <f t="shared" si="96"/>
        <v>1290</v>
      </c>
      <c r="AF91" s="605">
        <f t="shared" si="96"/>
        <v>1290</v>
      </c>
      <c r="AH91" s="538"/>
      <c r="AK91" s="531"/>
      <c r="AM91" s="539"/>
      <c r="AN91" s="535"/>
      <c r="AP91" s="540"/>
      <c r="AQ91" s="540"/>
    </row>
    <row r="92" spans="1:43" s="586" customFormat="1" ht="16.5" hidden="1" customHeight="1" outlineLevel="2">
      <c r="A92" s="584"/>
      <c r="B92" s="585" t="s">
        <v>913</v>
      </c>
      <c r="C92" s="716">
        <f t="shared" ref="C92:AF92" si="97">C13</f>
        <v>1</v>
      </c>
      <c r="D92" s="716">
        <f t="shared" si="97"/>
        <v>1</v>
      </c>
      <c r="E92" s="716">
        <f t="shared" si="97"/>
        <v>1</v>
      </c>
      <c r="F92" s="716">
        <f t="shared" si="97"/>
        <v>1</v>
      </c>
      <c r="G92" s="716">
        <f t="shared" si="97"/>
        <v>1</v>
      </c>
      <c r="H92" s="716">
        <f t="shared" si="97"/>
        <v>1</v>
      </c>
      <c r="I92" s="716">
        <f t="shared" si="97"/>
        <v>1</v>
      </c>
      <c r="J92" s="716">
        <f t="shared" si="97"/>
        <v>1</v>
      </c>
      <c r="K92" s="716">
        <f t="shared" si="97"/>
        <v>1</v>
      </c>
      <c r="L92" s="716">
        <f t="shared" si="97"/>
        <v>1</v>
      </c>
      <c r="M92" s="716">
        <f t="shared" si="97"/>
        <v>1</v>
      </c>
      <c r="N92" s="716">
        <f t="shared" si="97"/>
        <v>1</v>
      </c>
      <c r="O92" s="716">
        <f t="shared" si="97"/>
        <v>1</v>
      </c>
      <c r="P92" s="716">
        <f t="shared" si="97"/>
        <v>1</v>
      </c>
      <c r="Q92" s="716">
        <f t="shared" si="97"/>
        <v>1</v>
      </c>
      <c r="R92" s="716">
        <f t="shared" si="97"/>
        <v>1</v>
      </c>
      <c r="S92" s="716">
        <f t="shared" si="97"/>
        <v>1</v>
      </c>
      <c r="T92" s="716">
        <f t="shared" si="97"/>
        <v>1</v>
      </c>
      <c r="U92" s="716">
        <f t="shared" si="97"/>
        <v>1</v>
      </c>
      <c r="V92" s="716">
        <f t="shared" si="97"/>
        <v>1</v>
      </c>
      <c r="W92" s="716">
        <f t="shared" si="97"/>
        <v>1</v>
      </c>
      <c r="X92" s="716">
        <f t="shared" si="97"/>
        <v>1</v>
      </c>
      <c r="Y92" s="716">
        <f t="shared" si="97"/>
        <v>1</v>
      </c>
      <c r="Z92" s="716">
        <f t="shared" si="97"/>
        <v>1</v>
      </c>
      <c r="AA92" s="716">
        <f t="shared" si="97"/>
        <v>1</v>
      </c>
      <c r="AB92" s="716">
        <f t="shared" si="97"/>
        <v>1</v>
      </c>
      <c r="AC92" s="716">
        <f t="shared" si="97"/>
        <v>1</v>
      </c>
      <c r="AD92" s="716">
        <f t="shared" si="97"/>
        <v>1</v>
      </c>
      <c r="AE92" s="716">
        <f t="shared" si="97"/>
        <v>1</v>
      </c>
      <c r="AF92" s="716">
        <f t="shared" si="97"/>
        <v>1</v>
      </c>
      <c r="AH92" s="587"/>
      <c r="AK92" s="588"/>
      <c r="AM92" s="589"/>
      <c r="AN92" s="590"/>
      <c r="AP92" s="591"/>
      <c r="AQ92" s="591"/>
    </row>
    <row r="93" spans="1:43" s="513" customFormat="1" ht="16.5" hidden="1" customHeight="1" outlineLevel="2">
      <c r="A93" s="584"/>
      <c r="B93" s="604" t="s">
        <v>912</v>
      </c>
      <c r="C93" s="605">
        <f>Insumos!$E$43*4.3</f>
        <v>107.5</v>
      </c>
      <c r="D93" s="605">
        <f>C93</f>
        <v>107.5</v>
      </c>
      <c r="E93" s="605">
        <f t="shared" ref="E93:AF93" si="98">D93</f>
        <v>107.5</v>
      </c>
      <c r="F93" s="605">
        <f t="shared" si="98"/>
        <v>107.5</v>
      </c>
      <c r="G93" s="605">
        <f t="shared" si="98"/>
        <v>107.5</v>
      </c>
      <c r="H93" s="605">
        <f t="shared" si="98"/>
        <v>107.5</v>
      </c>
      <c r="I93" s="605">
        <f t="shared" si="98"/>
        <v>107.5</v>
      </c>
      <c r="J93" s="605">
        <f t="shared" si="98"/>
        <v>107.5</v>
      </c>
      <c r="K93" s="605">
        <f t="shared" si="98"/>
        <v>107.5</v>
      </c>
      <c r="L93" s="605">
        <f t="shared" si="98"/>
        <v>107.5</v>
      </c>
      <c r="M93" s="605">
        <f t="shared" si="98"/>
        <v>107.5</v>
      </c>
      <c r="N93" s="605">
        <f t="shared" si="98"/>
        <v>107.5</v>
      </c>
      <c r="O93" s="605">
        <f t="shared" si="98"/>
        <v>107.5</v>
      </c>
      <c r="P93" s="605">
        <f t="shared" si="98"/>
        <v>107.5</v>
      </c>
      <c r="Q93" s="605">
        <f t="shared" si="98"/>
        <v>107.5</v>
      </c>
      <c r="R93" s="605">
        <f t="shared" si="98"/>
        <v>107.5</v>
      </c>
      <c r="S93" s="605">
        <f t="shared" si="98"/>
        <v>107.5</v>
      </c>
      <c r="T93" s="605">
        <f t="shared" si="98"/>
        <v>107.5</v>
      </c>
      <c r="U93" s="605">
        <f t="shared" si="98"/>
        <v>107.5</v>
      </c>
      <c r="V93" s="605">
        <f t="shared" si="98"/>
        <v>107.5</v>
      </c>
      <c r="W93" s="605">
        <f t="shared" si="98"/>
        <v>107.5</v>
      </c>
      <c r="X93" s="605">
        <f t="shared" si="98"/>
        <v>107.5</v>
      </c>
      <c r="Y93" s="605">
        <f t="shared" si="98"/>
        <v>107.5</v>
      </c>
      <c r="Z93" s="605">
        <f t="shared" si="98"/>
        <v>107.5</v>
      </c>
      <c r="AA93" s="605">
        <f t="shared" si="98"/>
        <v>107.5</v>
      </c>
      <c r="AB93" s="605">
        <f t="shared" si="98"/>
        <v>107.5</v>
      </c>
      <c r="AC93" s="605">
        <f t="shared" si="98"/>
        <v>107.5</v>
      </c>
      <c r="AD93" s="605">
        <f t="shared" si="98"/>
        <v>107.5</v>
      </c>
      <c r="AE93" s="605">
        <f t="shared" si="98"/>
        <v>107.5</v>
      </c>
      <c r="AF93" s="605">
        <f t="shared" si="98"/>
        <v>107.5</v>
      </c>
      <c r="AH93" s="538"/>
      <c r="AK93" s="531"/>
      <c r="AM93" s="539"/>
      <c r="AN93" s="535"/>
      <c r="AP93" s="540"/>
      <c r="AQ93" s="540"/>
    </row>
    <row r="94" spans="1:43" s="586" customFormat="1" ht="16.5" hidden="1" customHeight="1" outlineLevel="2">
      <c r="A94" s="584"/>
      <c r="B94" s="585" t="s">
        <v>914</v>
      </c>
      <c r="C94" s="716">
        <f t="shared" ref="C94:AF94" si="99">C14</f>
        <v>1</v>
      </c>
      <c r="D94" s="716">
        <f t="shared" si="99"/>
        <v>1</v>
      </c>
      <c r="E94" s="716">
        <f t="shared" si="99"/>
        <v>1</v>
      </c>
      <c r="F94" s="716">
        <f t="shared" si="99"/>
        <v>1</v>
      </c>
      <c r="G94" s="716">
        <f t="shared" si="99"/>
        <v>1</v>
      </c>
      <c r="H94" s="716">
        <f t="shared" si="99"/>
        <v>1</v>
      </c>
      <c r="I94" s="716">
        <f t="shared" si="99"/>
        <v>1</v>
      </c>
      <c r="J94" s="716">
        <f t="shared" si="99"/>
        <v>1</v>
      </c>
      <c r="K94" s="716">
        <f t="shared" si="99"/>
        <v>1</v>
      </c>
      <c r="L94" s="716">
        <f t="shared" si="99"/>
        <v>1</v>
      </c>
      <c r="M94" s="716">
        <f t="shared" si="99"/>
        <v>1</v>
      </c>
      <c r="N94" s="716">
        <f t="shared" si="99"/>
        <v>1</v>
      </c>
      <c r="O94" s="716">
        <f t="shared" si="99"/>
        <v>1</v>
      </c>
      <c r="P94" s="716">
        <f t="shared" si="99"/>
        <v>1</v>
      </c>
      <c r="Q94" s="716">
        <f t="shared" si="99"/>
        <v>1</v>
      </c>
      <c r="R94" s="716">
        <f t="shared" si="99"/>
        <v>1</v>
      </c>
      <c r="S94" s="716">
        <f t="shared" si="99"/>
        <v>1</v>
      </c>
      <c r="T94" s="716">
        <f t="shared" si="99"/>
        <v>1</v>
      </c>
      <c r="U94" s="716">
        <f t="shared" si="99"/>
        <v>1</v>
      </c>
      <c r="V94" s="716">
        <f t="shared" si="99"/>
        <v>1</v>
      </c>
      <c r="W94" s="716">
        <f t="shared" si="99"/>
        <v>1</v>
      </c>
      <c r="X94" s="716">
        <f t="shared" si="99"/>
        <v>1</v>
      </c>
      <c r="Y94" s="716">
        <f t="shared" si="99"/>
        <v>1</v>
      </c>
      <c r="Z94" s="716">
        <f t="shared" si="99"/>
        <v>1</v>
      </c>
      <c r="AA94" s="716">
        <f t="shared" si="99"/>
        <v>1</v>
      </c>
      <c r="AB94" s="716">
        <f t="shared" si="99"/>
        <v>1</v>
      </c>
      <c r="AC94" s="716">
        <f t="shared" si="99"/>
        <v>1</v>
      </c>
      <c r="AD94" s="716">
        <f t="shared" si="99"/>
        <v>1</v>
      </c>
      <c r="AE94" s="716">
        <f t="shared" si="99"/>
        <v>1</v>
      </c>
      <c r="AF94" s="716">
        <f t="shared" si="99"/>
        <v>1</v>
      </c>
      <c r="AH94" s="587"/>
      <c r="AK94" s="588"/>
      <c r="AM94" s="589"/>
      <c r="AN94" s="590"/>
      <c r="AP94" s="591"/>
      <c r="AQ94" s="591"/>
    </row>
    <row r="95" spans="1:43" s="513" customFormat="1" ht="16.5" hidden="1" customHeight="1" outlineLevel="2">
      <c r="A95" s="584"/>
      <c r="B95" s="604" t="s">
        <v>912</v>
      </c>
      <c r="C95" s="605">
        <f>Insumos!$E$45*4.3</f>
        <v>258</v>
      </c>
      <c r="D95" s="605">
        <f>C95</f>
        <v>258</v>
      </c>
      <c r="E95" s="605">
        <f t="shared" ref="E95:AF95" si="100">D95</f>
        <v>258</v>
      </c>
      <c r="F95" s="605">
        <f t="shared" si="100"/>
        <v>258</v>
      </c>
      <c r="G95" s="605">
        <f t="shared" si="100"/>
        <v>258</v>
      </c>
      <c r="H95" s="605">
        <f t="shared" si="100"/>
        <v>258</v>
      </c>
      <c r="I95" s="605">
        <f t="shared" si="100"/>
        <v>258</v>
      </c>
      <c r="J95" s="605">
        <f t="shared" si="100"/>
        <v>258</v>
      </c>
      <c r="K95" s="605">
        <f t="shared" si="100"/>
        <v>258</v>
      </c>
      <c r="L95" s="605">
        <f t="shared" si="100"/>
        <v>258</v>
      </c>
      <c r="M95" s="605">
        <f t="shared" si="100"/>
        <v>258</v>
      </c>
      <c r="N95" s="605">
        <f t="shared" si="100"/>
        <v>258</v>
      </c>
      <c r="O95" s="605">
        <f t="shared" si="100"/>
        <v>258</v>
      </c>
      <c r="P95" s="605">
        <f t="shared" si="100"/>
        <v>258</v>
      </c>
      <c r="Q95" s="605">
        <f t="shared" si="100"/>
        <v>258</v>
      </c>
      <c r="R95" s="605">
        <f t="shared" si="100"/>
        <v>258</v>
      </c>
      <c r="S95" s="605">
        <f t="shared" si="100"/>
        <v>258</v>
      </c>
      <c r="T95" s="605">
        <f t="shared" si="100"/>
        <v>258</v>
      </c>
      <c r="U95" s="605">
        <f t="shared" si="100"/>
        <v>258</v>
      </c>
      <c r="V95" s="605">
        <f t="shared" si="100"/>
        <v>258</v>
      </c>
      <c r="W95" s="605">
        <f t="shared" si="100"/>
        <v>258</v>
      </c>
      <c r="X95" s="605">
        <f t="shared" si="100"/>
        <v>258</v>
      </c>
      <c r="Y95" s="605">
        <f t="shared" si="100"/>
        <v>258</v>
      </c>
      <c r="Z95" s="605">
        <f t="shared" si="100"/>
        <v>258</v>
      </c>
      <c r="AA95" s="605">
        <f t="shared" si="100"/>
        <v>258</v>
      </c>
      <c r="AB95" s="605">
        <f t="shared" si="100"/>
        <v>258</v>
      </c>
      <c r="AC95" s="605">
        <f t="shared" si="100"/>
        <v>258</v>
      </c>
      <c r="AD95" s="605">
        <f t="shared" si="100"/>
        <v>258</v>
      </c>
      <c r="AE95" s="605">
        <f t="shared" si="100"/>
        <v>258</v>
      </c>
      <c r="AF95" s="605">
        <f t="shared" si="100"/>
        <v>258</v>
      </c>
      <c r="AH95" s="538"/>
      <c r="AK95" s="531"/>
      <c r="AM95" s="539"/>
      <c r="AN95" s="535"/>
      <c r="AP95" s="540"/>
      <c r="AQ95" s="540"/>
    </row>
    <row r="96" spans="1:43" s="513" customFormat="1" ht="3" hidden="1" customHeight="1" outlineLevel="2">
      <c r="A96" s="584"/>
      <c r="B96" s="606"/>
      <c r="C96" s="575"/>
      <c r="D96" s="575"/>
      <c r="E96" s="575"/>
      <c r="F96" s="575"/>
      <c r="G96" s="575"/>
      <c r="H96" s="575"/>
      <c r="I96" s="575"/>
      <c r="J96" s="575"/>
      <c r="K96" s="575"/>
      <c r="L96" s="575"/>
      <c r="M96" s="575"/>
      <c r="N96" s="575"/>
      <c r="O96" s="575"/>
      <c r="P96" s="575"/>
      <c r="Q96" s="575"/>
      <c r="R96" s="575"/>
      <c r="S96" s="575"/>
      <c r="T96" s="575"/>
      <c r="U96" s="575"/>
      <c r="V96" s="575"/>
      <c r="W96" s="575"/>
      <c r="X96" s="575"/>
      <c r="Y96" s="575"/>
      <c r="Z96" s="575"/>
      <c r="AA96" s="575"/>
      <c r="AB96" s="575"/>
      <c r="AC96" s="575"/>
      <c r="AD96" s="575"/>
      <c r="AE96" s="575"/>
      <c r="AF96" s="575"/>
      <c r="AH96" s="538"/>
      <c r="AK96" s="531"/>
      <c r="AM96" s="539"/>
      <c r="AN96" s="535"/>
      <c r="AP96" s="540"/>
      <c r="AQ96" s="540"/>
    </row>
    <row r="97" spans="1:43" s="564" customFormat="1" ht="16.5" hidden="1" customHeight="1" outlineLevel="1" collapsed="1">
      <c r="A97" s="584"/>
      <c r="B97" s="576" t="s">
        <v>915</v>
      </c>
      <c r="C97" s="577">
        <f>SUM(C98,C104)*12/10^3</f>
        <v>89.182431000000008</v>
      </c>
      <c r="D97" s="577">
        <f t="shared" ref="D97:AF97" si="101">SUM(D98,D104)*12/10^3</f>
        <v>89.182431000000008</v>
      </c>
      <c r="E97" s="577">
        <f t="shared" si="101"/>
        <v>89.182431000000008</v>
      </c>
      <c r="F97" s="577">
        <f t="shared" si="101"/>
        <v>89.182431000000008</v>
      </c>
      <c r="G97" s="577">
        <f t="shared" si="101"/>
        <v>89.182431000000008</v>
      </c>
      <c r="H97" s="577">
        <f t="shared" si="101"/>
        <v>89.182431000000008</v>
      </c>
      <c r="I97" s="577">
        <f t="shared" si="101"/>
        <v>89.182431000000008</v>
      </c>
      <c r="J97" s="577">
        <f t="shared" si="101"/>
        <v>89.182431000000008</v>
      </c>
      <c r="K97" s="577">
        <f t="shared" si="101"/>
        <v>89.182431000000008</v>
      </c>
      <c r="L97" s="577">
        <f t="shared" si="101"/>
        <v>89.182431000000008</v>
      </c>
      <c r="M97" s="577">
        <f t="shared" si="101"/>
        <v>89.182431000000008</v>
      </c>
      <c r="N97" s="577">
        <f t="shared" si="101"/>
        <v>89.182431000000008</v>
      </c>
      <c r="O97" s="577">
        <f t="shared" si="101"/>
        <v>89.182431000000008</v>
      </c>
      <c r="P97" s="577">
        <f t="shared" si="101"/>
        <v>89.182431000000008</v>
      </c>
      <c r="Q97" s="577">
        <f t="shared" si="101"/>
        <v>89.182431000000008</v>
      </c>
      <c r="R97" s="577">
        <f t="shared" si="101"/>
        <v>89.182431000000008</v>
      </c>
      <c r="S97" s="577">
        <f t="shared" si="101"/>
        <v>89.182431000000008</v>
      </c>
      <c r="T97" s="577">
        <f t="shared" si="101"/>
        <v>89.182431000000008</v>
      </c>
      <c r="U97" s="577">
        <f t="shared" si="101"/>
        <v>89.182431000000008</v>
      </c>
      <c r="V97" s="577">
        <f t="shared" si="101"/>
        <v>89.182431000000008</v>
      </c>
      <c r="W97" s="577">
        <f t="shared" si="101"/>
        <v>89.182431000000008</v>
      </c>
      <c r="X97" s="577">
        <f t="shared" si="101"/>
        <v>89.182431000000008</v>
      </c>
      <c r="Y97" s="577">
        <f t="shared" si="101"/>
        <v>89.182431000000008</v>
      </c>
      <c r="Z97" s="577">
        <f t="shared" si="101"/>
        <v>89.182431000000008</v>
      </c>
      <c r="AA97" s="577">
        <f t="shared" si="101"/>
        <v>89.182431000000008</v>
      </c>
      <c r="AB97" s="577">
        <f t="shared" si="101"/>
        <v>89.182431000000008</v>
      </c>
      <c r="AC97" s="577">
        <f t="shared" si="101"/>
        <v>89.182431000000008</v>
      </c>
      <c r="AD97" s="577">
        <f t="shared" si="101"/>
        <v>89.182431000000008</v>
      </c>
      <c r="AE97" s="577">
        <f t="shared" si="101"/>
        <v>89.182431000000008</v>
      </c>
      <c r="AF97" s="577">
        <f t="shared" si="101"/>
        <v>89.182431000000008</v>
      </c>
      <c r="AH97" s="578">
        <f>SUM(C97:AF97)</f>
        <v>2675.4729300000008</v>
      </c>
      <c r="AJ97" s="579"/>
      <c r="AK97" s="531"/>
      <c r="AM97" s="567"/>
      <c r="AN97" s="535"/>
      <c r="AP97" s="568"/>
      <c r="AQ97" s="568"/>
    </row>
    <row r="98" spans="1:43" s="546" customFormat="1" ht="16.5" hidden="1" customHeight="1" outlineLevel="2">
      <c r="A98" s="584"/>
      <c r="B98" s="569" t="s">
        <v>806</v>
      </c>
      <c r="C98" s="581">
        <f>((C99*C103)*(C101+C102)/12)+((C100*C99)/12)</f>
        <v>7401.7884166666672</v>
      </c>
      <c r="D98" s="581">
        <f t="shared" ref="D98:AF98" si="102">((D99*D103)*(D101+D102)/12)+((D100*D99)/12)</f>
        <v>7401.7884166666672</v>
      </c>
      <c r="E98" s="581">
        <f t="shared" si="102"/>
        <v>7401.7884166666672</v>
      </c>
      <c r="F98" s="581">
        <f t="shared" si="102"/>
        <v>7401.7884166666672</v>
      </c>
      <c r="G98" s="581">
        <f t="shared" si="102"/>
        <v>7401.7884166666672</v>
      </c>
      <c r="H98" s="581">
        <f t="shared" si="102"/>
        <v>7401.7884166666672</v>
      </c>
      <c r="I98" s="581">
        <f t="shared" si="102"/>
        <v>7401.7884166666672</v>
      </c>
      <c r="J98" s="581">
        <f t="shared" si="102"/>
        <v>7401.7884166666672</v>
      </c>
      <c r="K98" s="581">
        <f t="shared" si="102"/>
        <v>7401.7884166666672</v>
      </c>
      <c r="L98" s="581">
        <f t="shared" si="102"/>
        <v>7401.7884166666672</v>
      </c>
      <c r="M98" s="581">
        <f t="shared" si="102"/>
        <v>7401.7884166666672</v>
      </c>
      <c r="N98" s="581">
        <f t="shared" si="102"/>
        <v>7401.7884166666672</v>
      </c>
      <c r="O98" s="581">
        <f t="shared" si="102"/>
        <v>7401.7884166666672</v>
      </c>
      <c r="P98" s="581">
        <f t="shared" si="102"/>
        <v>7401.7884166666672</v>
      </c>
      <c r="Q98" s="581">
        <f t="shared" si="102"/>
        <v>7401.7884166666672</v>
      </c>
      <c r="R98" s="581">
        <f t="shared" si="102"/>
        <v>7401.7884166666672</v>
      </c>
      <c r="S98" s="581">
        <f t="shared" si="102"/>
        <v>7401.7884166666672</v>
      </c>
      <c r="T98" s="581">
        <f t="shared" si="102"/>
        <v>7401.7884166666672</v>
      </c>
      <c r="U98" s="581">
        <f t="shared" si="102"/>
        <v>7401.7884166666672</v>
      </c>
      <c r="V98" s="581">
        <f t="shared" si="102"/>
        <v>7401.7884166666672</v>
      </c>
      <c r="W98" s="581">
        <f t="shared" si="102"/>
        <v>7401.7884166666672</v>
      </c>
      <c r="X98" s="581">
        <f t="shared" si="102"/>
        <v>7401.7884166666672</v>
      </c>
      <c r="Y98" s="581">
        <f t="shared" si="102"/>
        <v>7401.7884166666672</v>
      </c>
      <c r="Z98" s="581">
        <f t="shared" si="102"/>
        <v>7401.7884166666672</v>
      </c>
      <c r="AA98" s="581">
        <f t="shared" si="102"/>
        <v>7401.7884166666672</v>
      </c>
      <c r="AB98" s="581">
        <f t="shared" si="102"/>
        <v>7401.7884166666672</v>
      </c>
      <c r="AC98" s="581">
        <f t="shared" si="102"/>
        <v>7401.7884166666672</v>
      </c>
      <c r="AD98" s="581">
        <f t="shared" si="102"/>
        <v>7401.7884166666672</v>
      </c>
      <c r="AE98" s="581">
        <f t="shared" si="102"/>
        <v>7401.7884166666672</v>
      </c>
      <c r="AF98" s="581">
        <f t="shared" si="102"/>
        <v>7401.7884166666672</v>
      </c>
      <c r="AH98" s="571"/>
      <c r="AK98" s="531"/>
      <c r="AM98" s="548"/>
      <c r="AN98" s="535"/>
      <c r="AP98" s="549"/>
      <c r="AQ98" s="549"/>
    </row>
    <row r="99" spans="1:43" s="586" customFormat="1" ht="16.5" hidden="1" customHeight="1" outlineLevel="2">
      <c r="A99" s="584"/>
      <c r="B99" s="585" t="s">
        <v>805</v>
      </c>
      <c r="C99" s="716">
        <f>C90</f>
        <v>5</v>
      </c>
      <c r="D99" s="716">
        <f t="shared" ref="D99:AF99" si="103">D12+1</f>
        <v>5</v>
      </c>
      <c r="E99" s="716">
        <f t="shared" si="103"/>
        <v>5</v>
      </c>
      <c r="F99" s="716">
        <f t="shared" si="103"/>
        <v>5</v>
      </c>
      <c r="G99" s="716">
        <f t="shared" si="103"/>
        <v>5</v>
      </c>
      <c r="H99" s="716">
        <f t="shared" si="103"/>
        <v>5</v>
      </c>
      <c r="I99" s="716">
        <f t="shared" si="103"/>
        <v>5</v>
      </c>
      <c r="J99" s="716">
        <f t="shared" si="103"/>
        <v>5</v>
      </c>
      <c r="K99" s="716">
        <f t="shared" si="103"/>
        <v>5</v>
      </c>
      <c r="L99" s="716">
        <f t="shared" si="103"/>
        <v>5</v>
      </c>
      <c r="M99" s="716">
        <f t="shared" si="103"/>
        <v>5</v>
      </c>
      <c r="N99" s="716">
        <f t="shared" si="103"/>
        <v>5</v>
      </c>
      <c r="O99" s="716">
        <f t="shared" si="103"/>
        <v>5</v>
      </c>
      <c r="P99" s="716">
        <f t="shared" si="103"/>
        <v>5</v>
      </c>
      <c r="Q99" s="716">
        <f t="shared" si="103"/>
        <v>5</v>
      </c>
      <c r="R99" s="716">
        <f t="shared" si="103"/>
        <v>5</v>
      </c>
      <c r="S99" s="716">
        <f t="shared" si="103"/>
        <v>5</v>
      </c>
      <c r="T99" s="716">
        <f t="shared" si="103"/>
        <v>5</v>
      </c>
      <c r="U99" s="716">
        <f t="shared" si="103"/>
        <v>5</v>
      </c>
      <c r="V99" s="716">
        <f t="shared" si="103"/>
        <v>5</v>
      </c>
      <c r="W99" s="716">
        <f t="shared" si="103"/>
        <v>5</v>
      </c>
      <c r="X99" s="716">
        <f t="shared" si="103"/>
        <v>5</v>
      </c>
      <c r="Y99" s="716">
        <f t="shared" si="103"/>
        <v>5</v>
      </c>
      <c r="Z99" s="716">
        <f t="shared" si="103"/>
        <v>5</v>
      </c>
      <c r="AA99" s="716">
        <f t="shared" si="103"/>
        <v>5</v>
      </c>
      <c r="AB99" s="716">
        <f t="shared" si="103"/>
        <v>5</v>
      </c>
      <c r="AC99" s="716">
        <f t="shared" si="103"/>
        <v>5</v>
      </c>
      <c r="AD99" s="716">
        <f t="shared" si="103"/>
        <v>5</v>
      </c>
      <c r="AE99" s="716">
        <f t="shared" si="103"/>
        <v>5</v>
      </c>
      <c r="AF99" s="716">
        <f t="shared" si="103"/>
        <v>5</v>
      </c>
      <c r="AH99" s="587"/>
      <c r="AK99" s="588"/>
      <c r="AM99" s="589"/>
      <c r="AN99" s="590"/>
      <c r="AP99" s="591"/>
      <c r="AQ99" s="591"/>
    </row>
    <row r="100" spans="1:43" s="513" customFormat="1" ht="16.5" hidden="1" customHeight="1" outlineLevel="2">
      <c r="A100" s="584"/>
      <c r="B100" s="572" t="s">
        <v>916</v>
      </c>
      <c r="C100" s="605">
        <f>Insumos!$E$46</f>
        <v>149.37</v>
      </c>
      <c r="D100" s="605">
        <f>C100</f>
        <v>149.37</v>
      </c>
      <c r="E100" s="605">
        <f t="shared" ref="E100:T103" si="104">D100</f>
        <v>149.37</v>
      </c>
      <c r="F100" s="605">
        <f t="shared" si="104"/>
        <v>149.37</v>
      </c>
      <c r="G100" s="605">
        <f t="shared" si="104"/>
        <v>149.37</v>
      </c>
      <c r="H100" s="605">
        <f t="shared" si="104"/>
        <v>149.37</v>
      </c>
      <c r="I100" s="605">
        <f t="shared" si="104"/>
        <v>149.37</v>
      </c>
      <c r="J100" s="605">
        <f t="shared" si="104"/>
        <v>149.37</v>
      </c>
      <c r="K100" s="605">
        <f t="shared" si="104"/>
        <v>149.37</v>
      </c>
      <c r="L100" s="605">
        <f t="shared" si="104"/>
        <v>149.37</v>
      </c>
      <c r="M100" s="605">
        <f t="shared" si="104"/>
        <v>149.37</v>
      </c>
      <c r="N100" s="605">
        <f t="shared" si="104"/>
        <v>149.37</v>
      </c>
      <c r="O100" s="605">
        <f t="shared" si="104"/>
        <v>149.37</v>
      </c>
      <c r="P100" s="605">
        <f t="shared" si="104"/>
        <v>149.37</v>
      </c>
      <c r="Q100" s="605">
        <f t="shared" si="104"/>
        <v>149.37</v>
      </c>
      <c r="R100" s="605">
        <f t="shared" si="104"/>
        <v>149.37</v>
      </c>
      <c r="S100" s="605">
        <f t="shared" si="104"/>
        <v>149.37</v>
      </c>
      <c r="T100" s="605">
        <f t="shared" si="104"/>
        <v>149.37</v>
      </c>
      <c r="U100" s="605">
        <f t="shared" ref="U100:AF103" si="105">T100</f>
        <v>149.37</v>
      </c>
      <c r="V100" s="605">
        <f t="shared" si="105"/>
        <v>149.37</v>
      </c>
      <c r="W100" s="605">
        <f t="shared" si="105"/>
        <v>149.37</v>
      </c>
      <c r="X100" s="605">
        <f t="shared" si="105"/>
        <v>149.37</v>
      </c>
      <c r="Y100" s="605">
        <f t="shared" si="105"/>
        <v>149.37</v>
      </c>
      <c r="Z100" s="605">
        <f t="shared" si="105"/>
        <v>149.37</v>
      </c>
      <c r="AA100" s="605">
        <f t="shared" si="105"/>
        <v>149.37</v>
      </c>
      <c r="AB100" s="605">
        <f t="shared" si="105"/>
        <v>149.37</v>
      </c>
      <c r="AC100" s="605">
        <f t="shared" si="105"/>
        <v>149.37</v>
      </c>
      <c r="AD100" s="605">
        <f t="shared" si="105"/>
        <v>149.37</v>
      </c>
      <c r="AE100" s="605">
        <f t="shared" si="105"/>
        <v>149.37</v>
      </c>
      <c r="AF100" s="605">
        <f t="shared" si="105"/>
        <v>149.37</v>
      </c>
      <c r="AH100" s="538"/>
      <c r="AK100" s="531"/>
      <c r="AM100" s="539"/>
      <c r="AN100" s="535"/>
      <c r="AP100" s="540"/>
      <c r="AQ100" s="540"/>
    </row>
    <row r="101" spans="1:43" s="513" customFormat="1" ht="16.5" hidden="1" customHeight="1" outlineLevel="2">
      <c r="A101" s="584"/>
      <c r="B101" s="572" t="s">
        <v>917</v>
      </c>
      <c r="C101" s="186">
        <v>0.01</v>
      </c>
      <c r="D101" s="186">
        <f>C101</f>
        <v>0.01</v>
      </c>
      <c r="E101" s="186">
        <f t="shared" si="104"/>
        <v>0.01</v>
      </c>
      <c r="F101" s="186">
        <f t="shared" si="104"/>
        <v>0.01</v>
      </c>
      <c r="G101" s="186">
        <f t="shared" si="104"/>
        <v>0.01</v>
      </c>
      <c r="H101" s="186">
        <f t="shared" si="104"/>
        <v>0.01</v>
      </c>
      <c r="I101" s="186">
        <f t="shared" si="104"/>
        <v>0.01</v>
      </c>
      <c r="J101" s="186">
        <f t="shared" si="104"/>
        <v>0.01</v>
      </c>
      <c r="K101" s="186">
        <f t="shared" si="104"/>
        <v>0.01</v>
      </c>
      <c r="L101" s="186">
        <f t="shared" si="104"/>
        <v>0.01</v>
      </c>
      <c r="M101" s="186">
        <f t="shared" si="104"/>
        <v>0.01</v>
      </c>
      <c r="N101" s="186">
        <f t="shared" si="104"/>
        <v>0.01</v>
      </c>
      <c r="O101" s="186">
        <f t="shared" si="104"/>
        <v>0.01</v>
      </c>
      <c r="P101" s="186">
        <f t="shared" si="104"/>
        <v>0.01</v>
      </c>
      <c r="Q101" s="186">
        <f t="shared" si="104"/>
        <v>0.01</v>
      </c>
      <c r="R101" s="186">
        <f t="shared" si="104"/>
        <v>0.01</v>
      </c>
      <c r="S101" s="186">
        <f t="shared" si="104"/>
        <v>0.01</v>
      </c>
      <c r="T101" s="186">
        <f t="shared" si="104"/>
        <v>0.01</v>
      </c>
      <c r="U101" s="186">
        <f t="shared" si="105"/>
        <v>0.01</v>
      </c>
      <c r="V101" s="186">
        <f t="shared" si="105"/>
        <v>0.01</v>
      </c>
      <c r="W101" s="186">
        <f t="shared" si="105"/>
        <v>0.01</v>
      </c>
      <c r="X101" s="186">
        <f t="shared" si="105"/>
        <v>0.01</v>
      </c>
      <c r="Y101" s="186">
        <f t="shared" si="105"/>
        <v>0.01</v>
      </c>
      <c r="Z101" s="186">
        <f t="shared" si="105"/>
        <v>0.01</v>
      </c>
      <c r="AA101" s="186">
        <f t="shared" si="105"/>
        <v>0.01</v>
      </c>
      <c r="AB101" s="186">
        <f t="shared" si="105"/>
        <v>0.01</v>
      </c>
      <c r="AC101" s="186">
        <f t="shared" si="105"/>
        <v>0.01</v>
      </c>
      <c r="AD101" s="186">
        <f t="shared" si="105"/>
        <v>0.01</v>
      </c>
      <c r="AE101" s="186">
        <f t="shared" si="105"/>
        <v>0.01</v>
      </c>
      <c r="AF101" s="186">
        <f t="shared" si="105"/>
        <v>0.01</v>
      </c>
      <c r="AH101" s="538"/>
      <c r="AK101" s="531"/>
      <c r="AM101" s="539"/>
      <c r="AN101" s="535"/>
      <c r="AP101" s="540"/>
      <c r="AQ101" s="540"/>
    </row>
    <row r="102" spans="1:43" s="513" customFormat="1" ht="16.5" hidden="1" customHeight="1" outlineLevel="2">
      <c r="A102" s="584"/>
      <c r="B102" s="572" t="s">
        <v>918</v>
      </c>
      <c r="C102" s="186">
        <v>0.01</v>
      </c>
      <c r="D102" s="186">
        <f>C102</f>
        <v>0.01</v>
      </c>
      <c r="E102" s="186">
        <f t="shared" si="104"/>
        <v>0.01</v>
      </c>
      <c r="F102" s="186">
        <f t="shared" si="104"/>
        <v>0.01</v>
      </c>
      <c r="G102" s="186">
        <f t="shared" si="104"/>
        <v>0.01</v>
      </c>
      <c r="H102" s="186">
        <f t="shared" si="104"/>
        <v>0.01</v>
      </c>
      <c r="I102" s="186">
        <f t="shared" si="104"/>
        <v>0.01</v>
      </c>
      <c r="J102" s="186">
        <f t="shared" si="104"/>
        <v>0.01</v>
      </c>
      <c r="K102" s="186">
        <f t="shared" si="104"/>
        <v>0.01</v>
      </c>
      <c r="L102" s="186">
        <f t="shared" si="104"/>
        <v>0.01</v>
      </c>
      <c r="M102" s="186">
        <f t="shared" si="104"/>
        <v>0.01</v>
      </c>
      <c r="N102" s="186">
        <f t="shared" si="104"/>
        <v>0.01</v>
      </c>
      <c r="O102" s="186">
        <f t="shared" si="104"/>
        <v>0.01</v>
      </c>
      <c r="P102" s="186">
        <f t="shared" si="104"/>
        <v>0.01</v>
      </c>
      <c r="Q102" s="186">
        <f t="shared" si="104"/>
        <v>0.01</v>
      </c>
      <c r="R102" s="186">
        <f t="shared" si="104"/>
        <v>0.01</v>
      </c>
      <c r="S102" s="186">
        <f t="shared" si="104"/>
        <v>0.01</v>
      </c>
      <c r="T102" s="186">
        <f t="shared" si="104"/>
        <v>0.01</v>
      </c>
      <c r="U102" s="186">
        <f t="shared" si="105"/>
        <v>0.01</v>
      </c>
      <c r="V102" s="186">
        <f t="shared" si="105"/>
        <v>0.01</v>
      </c>
      <c r="W102" s="186">
        <f t="shared" si="105"/>
        <v>0.01</v>
      </c>
      <c r="X102" s="186">
        <f t="shared" si="105"/>
        <v>0.01</v>
      </c>
      <c r="Y102" s="186">
        <f t="shared" si="105"/>
        <v>0.01</v>
      </c>
      <c r="Z102" s="186">
        <f t="shared" si="105"/>
        <v>0.01</v>
      </c>
      <c r="AA102" s="186">
        <f t="shared" si="105"/>
        <v>0.01</v>
      </c>
      <c r="AB102" s="186">
        <f t="shared" si="105"/>
        <v>0.01</v>
      </c>
      <c r="AC102" s="186">
        <f t="shared" si="105"/>
        <v>0.01</v>
      </c>
      <c r="AD102" s="186">
        <f t="shared" si="105"/>
        <v>0.01</v>
      </c>
      <c r="AE102" s="186">
        <f t="shared" si="105"/>
        <v>0.01</v>
      </c>
      <c r="AF102" s="186">
        <f t="shared" si="105"/>
        <v>0.01</v>
      </c>
      <c r="AH102" s="538"/>
      <c r="AK102" s="531"/>
      <c r="AM102" s="539"/>
      <c r="AN102" s="535"/>
      <c r="AP102" s="540"/>
      <c r="AQ102" s="540"/>
    </row>
    <row r="103" spans="1:43" s="513" customFormat="1" ht="16.5" hidden="1" customHeight="1" outlineLevel="2">
      <c r="A103" s="584"/>
      <c r="B103" s="572" t="s">
        <v>919</v>
      </c>
      <c r="C103" s="605">
        <f>CAPEX!$C$17</f>
        <v>880746.11</v>
      </c>
      <c r="D103" s="605">
        <f>C103</f>
        <v>880746.11</v>
      </c>
      <c r="E103" s="605">
        <f t="shared" si="104"/>
        <v>880746.11</v>
      </c>
      <c r="F103" s="605">
        <f t="shared" si="104"/>
        <v>880746.11</v>
      </c>
      <c r="G103" s="605">
        <f t="shared" si="104"/>
        <v>880746.11</v>
      </c>
      <c r="H103" s="605">
        <f t="shared" si="104"/>
        <v>880746.11</v>
      </c>
      <c r="I103" s="605">
        <f t="shared" si="104"/>
        <v>880746.11</v>
      </c>
      <c r="J103" s="605">
        <f t="shared" si="104"/>
        <v>880746.11</v>
      </c>
      <c r="K103" s="605">
        <f t="shared" si="104"/>
        <v>880746.11</v>
      </c>
      <c r="L103" s="605">
        <f t="shared" si="104"/>
        <v>880746.11</v>
      </c>
      <c r="M103" s="605">
        <f t="shared" si="104"/>
        <v>880746.11</v>
      </c>
      <c r="N103" s="605">
        <f t="shared" si="104"/>
        <v>880746.11</v>
      </c>
      <c r="O103" s="605">
        <f t="shared" si="104"/>
        <v>880746.11</v>
      </c>
      <c r="P103" s="605">
        <f t="shared" si="104"/>
        <v>880746.11</v>
      </c>
      <c r="Q103" s="605">
        <f t="shared" si="104"/>
        <v>880746.11</v>
      </c>
      <c r="R103" s="605">
        <f t="shared" si="104"/>
        <v>880746.11</v>
      </c>
      <c r="S103" s="605">
        <f t="shared" si="104"/>
        <v>880746.11</v>
      </c>
      <c r="T103" s="605">
        <f t="shared" si="104"/>
        <v>880746.11</v>
      </c>
      <c r="U103" s="605">
        <f t="shared" si="105"/>
        <v>880746.11</v>
      </c>
      <c r="V103" s="605">
        <f t="shared" si="105"/>
        <v>880746.11</v>
      </c>
      <c r="W103" s="605">
        <f t="shared" si="105"/>
        <v>880746.11</v>
      </c>
      <c r="X103" s="605">
        <f t="shared" si="105"/>
        <v>880746.11</v>
      </c>
      <c r="Y103" s="605">
        <f t="shared" si="105"/>
        <v>880746.11</v>
      </c>
      <c r="Z103" s="605">
        <f t="shared" si="105"/>
        <v>880746.11</v>
      </c>
      <c r="AA103" s="605">
        <f t="shared" si="105"/>
        <v>880746.11</v>
      </c>
      <c r="AB103" s="605">
        <f t="shared" si="105"/>
        <v>880746.11</v>
      </c>
      <c r="AC103" s="605">
        <f t="shared" si="105"/>
        <v>880746.11</v>
      </c>
      <c r="AD103" s="605">
        <f t="shared" si="105"/>
        <v>880746.11</v>
      </c>
      <c r="AE103" s="605">
        <f t="shared" si="105"/>
        <v>880746.11</v>
      </c>
      <c r="AF103" s="605">
        <f t="shared" si="105"/>
        <v>880746.11</v>
      </c>
      <c r="AH103" s="538"/>
      <c r="AK103" s="531"/>
      <c r="AM103" s="539"/>
      <c r="AN103" s="535"/>
      <c r="AP103" s="540"/>
      <c r="AQ103" s="540"/>
    </row>
    <row r="104" spans="1:43" s="546" customFormat="1" ht="16.5" hidden="1" customHeight="1" outlineLevel="2">
      <c r="A104" s="584"/>
      <c r="B104" s="569" t="s">
        <v>808</v>
      </c>
      <c r="C104" s="581">
        <f>((C105*C109)*(C107+C108)/12)+((C106*C105)/12)</f>
        <v>30.080833333333331</v>
      </c>
      <c r="D104" s="581">
        <f t="shared" ref="D104:AF104" si="106">((D105*D109)*(D107+D108)/12)+((D106*D105)/12)</f>
        <v>30.080833333333331</v>
      </c>
      <c r="E104" s="581">
        <f t="shared" si="106"/>
        <v>30.080833333333331</v>
      </c>
      <c r="F104" s="581">
        <f t="shared" si="106"/>
        <v>30.080833333333331</v>
      </c>
      <c r="G104" s="581">
        <f t="shared" si="106"/>
        <v>30.080833333333331</v>
      </c>
      <c r="H104" s="581">
        <f t="shared" si="106"/>
        <v>30.080833333333331</v>
      </c>
      <c r="I104" s="581">
        <f t="shared" si="106"/>
        <v>30.080833333333331</v>
      </c>
      <c r="J104" s="581">
        <f t="shared" si="106"/>
        <v>30.080833333333331</v>
      </c>
      <c r="K104" s="581">
        <f t="shared" si="106"/>
        <v>30.080833333333331</v>
      </c>
      <c r="L104" s="581">
        <f t="shared" si="106"/>
        <v>30.080833333333331</v>
      </c>
      <c r="M104" s="581">
        <f t="shared" si="106"/>
        <v>30.080833333333331</v>
      </c>
      <c r="N104" s="581">
        <f t="shared" si="106"/>
        <v>30.080833333333331</v>
      </c>
      <c r="O104" s="581">
        <f t="shared" si="106"/>
        <v>30.080833333333331</v>
      </c>
      <c r="P104" s="581">
        <f t="shared" si="106"/>
        <v>30.080833333333331</v>
      </c>
      <c r="Q104" s="581">
        <f t="shared" si="106"/>
        <v>30.080833333333331</v>
      </c>
      <c r="R104" s="581">
        <f t="shared" si="106"/>
        <v>30.080833333333331</v>
      </c>
      <c r="S104" s="581">
        <f t="shared" si="106"/>
        <v>30.080833333333331</v>
      </c>
      <c r="T104" s="581">
        <f t="shared" si="106"/>
        <v>30.080833333333331</v>
      </c>
      <c r="U104" s="581">
        <f t="shared" si="106"/>
        <v>30.080833333333331</v>
      </c>
      <c r="V104" s="581">
        <f t="shared" si="106"/>
        <v>30.080833333333331</v>
      </c>
      <c r="W104" s="581">
        <f t="shared" si="106"/>
        <v>30.080833333333331</v>
      </c>
      <c r="X104" s="581">
        <f t="shared" si="106"/>
        <v>30.080833333333331</v>
      </c>
      <c r="Y104" s="581">
        <f t="shared" si="106"/>
        <v>30.080833333333331</v>
      </c>
      <c r="Z104" s="581">
        <f t="shared" si="106"/>
        <v>30.080833333333331</v>
      </c>
      <c r="AA104" s="581">
        <f t="shared" si="106"/>
        <v>30.080833333333331</v>
      </c>
      <c r="AB104" s="581">
        <f t="shared" si="106"/>
        <v>30.080833333333331</v>
      </c>
      <c r="AC104" s="581">
        <f t="shared" si="106"/>
        <v>30.080833333333331</v>
      </c>
      <c r="AD104" s="581">
        <f t="shared" si="106"/>
        <v>30.080833333333331</v>
      </c>
      <c r="AE104" s="581">
        <f t="shared" si="106"/>
        <v>30.080833333333331</v>
      </c>
      <c r="AF104" s="581">
        <f t="shared" si="106"/>
        <v>30.080833333333331</v>
      </c>
      <c r="AH104" s="571"/>
      <c r="AK104" s="531"/>
      <c r="AM104" s="548"/>
      <c r="AN104" s="535"/>
      <c r="AP104" s="549"/>
      <c r="AQ104" s="549"/>
    </row>
    <row r="105" spans="1:43" s="586" customFormat="1" ht="16.5" hidden="1" customHeight="1" outlineLevel="2">
      <c r="A105" s="584"/>
      <c r="B105" s="585" t="s">
        <v>805</v>
      </c>
      <c r="C105" s="716">
        <f t="shared" ref="C105:AF105" si="107">C92</f>
        <v>1</v>
      </c>
      <c r="D105" s="716">
        <f t="shared" si="107"/>
        <v>1</v>
      </c>
      <c r="E105" s="716">
        <f t="shared" si="107"/>
        <v>1</v>
      </c>
      <c r="F105" s="716">
        <f t="shared" si="107"/>
        <v>1</v>
      </c>
      <c r="G105" s="716">
        <f t="shared" si="107"/>
        <v>1</v>
      </c>
      <c r="H105" s="716">
        <f t="shared" si="107"/>
        <v>1</v>
      </c>
      <c r="I105" s="716">
        <f t="shared" si="107"/>
        <v>1</v>
      </c>
      <c r="J105" s="716">
        <f t="shared" si="107"/>
        <v>1</v>
      </c>
      <c r="K105" s="716">
        <f t="shared" si="107"/>
        <v>1</v>
      </c>
      <c r="L105" s="716">
        <f t="shared" si="107"/>
        <v>1</v>
      </c>
      <c r="M105" s="716">
        <f t="shared" si="107"/>
        <v>1</v>
      </c>
      <c r="N105" s="716">
        <f t="shared" si="107"/>
        <v>1</v>
      </c>
      <c r="O105" s="716">
        <f t="shared" si="107"/>
        <v>1</v>
      </c>
      <c r="P105" s="716">
        <f t="shared" si="107"/>
        <v>1</v>
      </c>
      <c r="Q105" s="716">
        <f t="shared" si="107"/>
        <v>1</v>
      </c>
      <c r="R105" s="716">
        <f t="shared" si="107"/>
        <v>1</v>
      </c>
      <c r="S105" s="716">
        <f t="shared" si="107"/>
        <v>1</v>
      </c>
      <c r="T105" s="716">
        <f t="shared" si="107"/>
        <v>1</v>
      </c>
      <c r="U105" s="716">
        <f t="shared" si="107"/>
        <v>1</v>
      </c>
      <c r="V105" s="716">
        <f t="shared" si="107"/>
        <v>1</v>
      </c>
      <c r="W105" s="716">
        <f t="shared" si="107"/>
        <v>1</v>
      </c>
      <c r="X105" s="716">
        <f t="shared" si="107"/>
        <v>1</v>
      </c>
      <c r="Y105" s="716">
        <f t="shared" si="107"/>
        <v>1</v>
      </c>
      <c r="Z105" s="716">
        <f t="shared" si="107"/>
        <v>1</v>
      </c>
      <c r="AA105" s="716">
        <f t="shared" si="107"/>
        <v>1</v>
      </c>
      <c r="AB105" s="716">
        <f t="shared" si="107"/>
        <v>1</v>
      </c>
      <c r="AC105" s="716">
        <f t="shared" si="107"/>
        <v>1</v>
      </c>
      <c r="AD105" s="716">
        <f t="shared" si="107"/>
        <v>1</v>
      </c>
      <c r="AE105" s="716">
        <f t="shared" si="107"/>
        <v>1</v>
      </c>
      <c r="AF105" s="716">
        <f t="shared" si="107"/>
        <v>1</v>
      </c>
      <c r="AH105" s="587"/>
      <c r="AK105" s="588"/>
      <c r="AM105" s="589"/>
      <c r="AN105" s="590"/>
      <c r="AP105" s="591"/>
      <c r="AQ105" s="591"/>
    </row>
    <row r="106" spans="1:43" s="513" customFormat="1" ht="16.5" hidden="1" customHeight="1" outlineLevel="2">
      <c r="A106" s="584"/>
      <c r="B106" s="572" t="s">
        <v>916</v>
      </c>
      <c r="C106" s="605">
        <f>Insumos!$E$46</f>
        <v>149.37</v>
      </c>
      <c r="D106" s="605">
        <f>C106</f>
        <v>149.37</v>
      </c>
      <c r="E106" s="605">
        <f t="shared" ref="E106:T109" si="108">D106</f>
        <v>149.37</v>
      </c>
      <c r="F106" s="605">
        <f t="shared" si="108"/>
        <v>149.37</v>
      </c>
      <c r="G106" s="605">
        <f t="shared" si="108"/>
        <v>149.37</v>
      </c>
      <c r="H106" s="605">
        <f t="shared" si="108"/>
        <v>149.37</v>
      </c>
      <c r="I106" s="605">
        <f t="shared" si="108"/>
        <v>149.37</v>
      </c>
      <c r="J106" s="605">
        <f t="shared" si="108"/>
        <v>149.37</v>
      </c>
      <c r="K106" s="605">
        <f t="shared" si="108"/>
        <v>149.37</v>
      </c>
      <c r="L106" s="605">
        <f t="shared" si="108"/>
        <v>149.37</v>
      </c>
      <c r="M106" s="605">
        <f t="shared" si="108"/>
        <v>149.37</v>
      </c>
      <c r="N106" s="605">
        <f t="shared" si="108"/>
        <v>149.37</v>
      </c>
      <c r="O106" s="605">
        <f t="shared" si="108"/>
        <v>149.37</v>
      </c>
      <c r="P106" s="605">
        <f t="shared" si="108"/>
        <v>149.37</v>
      </c>
      <c r="Q106" s="605">
        <f t="shared" si="108"/>
        <v>149.37</v>
      </c>
      <c r="R106" s="605">
        <f t="shared" si="108"/>
        <v>149.37</v>
      </c>
      <c r="S106" s="605">
        <f t="shared" si="108"/>
        <v>149.37</v>
      </c>
      <c r="T106" s="605">
        <f t="shared" si="108"/>
        <v>149.37</v>
      </c>
      <c r="U106" s="605">
        <f t="shared" ref="U106:AF109" si="109">T106</f>
        <v>149.37</v>
      </c>
      <c r="V106" s="605">
        <f t="shared" si="109"/>
        <v>149.37</v>
      </c>
      <c r="W106" s="605">
        <f t="shared" si="109"/>
        <v>149.37</v>
      </c>
      <c r="X106" s="605">
        <f t="shared" si="109"/>
        <v>149.37</v>
      </c>
      <c r="Y106" s="605">
        <f t="shared" si="109"/>
        <v>149.37</v>
      </c>
      <c r="Z106" s="605">
        <f t="shared" si="109"/>
        <v>149.37</v>
      </c>
      <c r="AA106" s="605">
        <f t="shared" si="109"/>
        <v>149.37</v>
      </c>
      <c r="AB106" s="605">
        <f t="shared" si="109"/>
        <v>149.37</v>
      </c>
      <c r="AC106" s="605">
        <f t="shared" si="109"/>
        <v>149.37</v>
      </c>
      <c r="AD106" s="605">
        <f t="shared" si="109"/>
        <v>149.37</v>
      </c>
      <c r="AE106" s="605">
        <f t="shared" si="109"/>
        <v>149.37</v>
      </c>
      <c r="AF106" s="605">
        <f t="shared" si="109"/>
        <v>149.37</v>
      </c>
      <c r="AH106" s="538"/>
      <c r="AK106" s="531"/>
      <c r="AM106" s="539"/>
      <c r="AN106" s="535"/>
      <c r="AP106" s="540"/>
      <c r="AQ106" s="540"/>
    </row>
    <row r="107" spans="1:43" s="513" customFormat="1" ht="16.5" hidden="1" customHeight="1" outlineLevel="2">
      <c r="A107" s="584"/>
      <c r="B107" s="572" t="s">
        <v>917</v>
      </c>
      <c r="C107" s="186">
        <v>0.01</v>
      </c>
      <c r="D107" s="186">
        <f>C107</f>
        <v>0.01</v>
      </c>
      <c r="E107" s="186">
        <f t="shared" si="108"/>
        <v>0.01</v>
      </c>
      <c r="F107" s="186">
        <f t="shared" si="108"/>
        <v>0.01</v>
      </c>
      <c r="G107" s="186">
        <f t="shared" si="108"/>
        <v>0.01</v>
      </c>
      <c r="H107" s="186">
        <f t="shared" si="108"/>
        <v>0.01</v>
      </c>
      <c r="I107" s="186">
        <f t="shared" si="108"/>
        <v>0.01</v>
      </c>
      <c r="J107" s="186">
        <f t="shared" si="108"/>
        <v>0.01</v>
      </c>
      <c r="K107" s="186">
        <f t="shared" si="108"/>
        <v>0.01</v>
      </c>
      <c r="L107" s="186">
        <f t="shared" si="108"/>
        <v>0.01</v>
      </c>
      <c r="M107" s="186">
        <f t="shared" si="108"/>
        <v>0.01</v>
      </c>
      <c r="N107" s="186">
        <f t="shared" si="108"/>
        <v>0.01</v>
      </c>
      <c r="O107" s="186">
        <f t="shared" si="108"/>
        <v>0.01</v>
      </c>
      <c r="P107" s="186">
        <f t="shared" si="108"/>
        <v>0.01</v>
      </c>
      <c r="Q107" s="186">
        <f t="shared" si="108"/>
        <v>0.01</v>
      </c>
      <c r="R107" s="186">
        <f t="shared" si="108"/>
        <v>0.01</v>
      </c>
      <c r="S107" s="186">
        <f t="shared" si="108"/>
        <v>0.01</v>
      </c>
      <c r="T107" s="186">
        <f t="shared" si="108"/>
        <v>0.01</v>
      </c>
      <c r="U107" s="186">
        <f t="shared" si="109"/>
        <v>0.01</v>
      </c>
      <c r="V107" s="186">
        <f t="shared" si="109"/>
        <v>0.01</v>
      </c>
      <c r="W107" s="186">
        <f t="shared" si="109"/>
        <v>0.01</v>
      </c>
      <c r="X107" s="186">
        <f t="shared" si="109"/>
        <v>0.01</v>
      </c>
      <c r="Y107" s="186">
        <f t="shared" si="109"/>
        <v>0.01</v>
      </c>
      <c r="Z107" s="186">
        <f t="shared" si="109"/>
        <v>0.01</v>
      </c>
      <c r="AA107" s="186">
        <f t="shared" si="109"/>
        <v>0.01</v>
      </c>
      <c r="AB107" s="186">
        <f t="shared" si="109"/>
        <v>0.01</v>
      </c>
      <c r="AC107" s="186">
        <f t="shared" si="109"/>
        <v>0.01</v>
      </c>
      <c r="AD107" s="186">
        <f t="shared" si="109"/>
        <v>0.01</v>
      </c>
      <c r="AE107" s="186">
        <f t="shared" si="109"/>
        <v>0.01</v>
      </c>
      <c r="AF107" s="186">
        <f t="shared" si="109"/>
        <v>0.01</v>
      </c>
      <c r="AH107" s="538"/>
      <c r="AK107" s="531"/>
      <c r="AM107" s="539"/>
      <c r="AN107" s="535"/>
      <c r="AP107" s="540"/>
      <c r="AQ107" s="540"/>
    </row>
    <row r="108" spans="1:43" s="513" customFormat="1" ht="16.5" hidden="1" customHeight="1" outlineLevel="2">
      <c r="A108" s="584"/>
      <c r="B108" s="572" t="s">
        <v>918</v>
      </c>
      <c r="C108" s="186">
        <v>0</v>
      </c>
      <c r="D108" s="186">
        <f>C108</f>
        <v>0</v>
      </c>
      <c r="E108" s="186">
        <f t="shared" si="108"/>
        <v>0</v>
      </c>
      <c r="F108" s="186">
        <f t="shared" si="108"/>
        <v>0</v>
      </c>
      <c r="G108" s="186">
        <f t="shared" si="108"/>
        <v>0</v>
      </c>
      <c r="H108" s="186">
        <f t="shared" si="108"/>
        <v>0</v>
      </c>
      <c r="I108" s="186">
        <f t="shared" si="108"/>
        <v>0</v>
      </c>
      <c r="J108" s="186">
        <f t="shared" si="108"/>
        <v>0</v>
      </c>
      <c r="K108" s="186">
        <f t="shared" si="108"/>
        <v>0</v>
      </c>
      <c r="L108" s="186">
        <f t="shared" si="108"/>
        <v>0</v>
      </c>
      <c r="M108" s="186">
        <f t="shared" si="108"/>
        <v>0</v>
      </c>
      <c r="N108" s="186">
        <f t="shared" si="108"/>
        <v>0</v>
      </c>
      <c r="O108" s="186">
        <f t="shared" si="108"/>
        <v>0</v>
      </c>
      <c r="P108" s="186">
        <f t="shared" si="108"/>
        <v>0</v>
      </c>
      <c r="Q108" s="186">
        <f t="shared" si="108"/>
        <v>0</v>
      </c>
      <c r="R108" s="186">
        <f t="shared" si="108"/>
        <v>0</v>
      </c>
      <c r="S108" s="186">
        <f t="shared" si="108"/>
        <v>0</v>
      </c>
      <c r="T108" s="186">
        <f t="shared" si="108"/>
        <v>0</v>
      </c>
      <c r="U108" s="186">
        <f t="shared" si="109"/>
        <v>0</v>
      </c>
      <c r="V108" s="186">
        <f t="shared" si="109"/>
        <v>0</v>
      </c>
      <c r="W108" s="186">
        <f t="shared" si="109"/>
        <v>0</v>
      </c>
      <c r="X108" s="186">
        <f t="shared" si="109"/>
        <v>0</v>
      </c>
      <c r="Y108" s="186">
        <f t="shared" si="109"/>
        <v>0</v>
      </c>
      <c r="Z108" s="186">
        <f t="shared" si="109"/>
        <v>0</v>
      </c>
      <c r="AA108" s="186">
        <f t="shared" si="109"/>
        <v>0</v>
      </c>
      <c r="AB108" s="186">
        <f t="shared" si="109"/>
        <v>0</v>
      </c>
      <c r="AC108" s="186">
        <f t="shared" si="109"/>
        <v>0</v>
      </c>
      <c r="AD108" s="186">
        <f t="shared" si="109"/>
        <v>0</v>
      </c>
      <c r="AE108" s="186">
        <f t="shared" si="109"/>
        <v>0</v>
      </c>
      <c r="AF108" s="186">
        <f t="shared" si="109"/>
        <v>0</v>
      </c>
      <c r="AH108" s="538"/>
      <c r="AK108" s="531"/>
      <c r="AM108" s="539"/>
      <c r="AN108" s="535"/>
      <c r="AP108" s="540"/>
      <c r="AQ108" s="540"/>
    </row>
    <row r="109" spans="1:43" s="513" customFormat="1" ht="16.5" hidden="1" customHeight="1" outlineLevel="2">
      <c r="A109" s="584"/>
      <c r="B109" s="572" t="s">
        <v>919</v>
      </c>
      <c r="C109" s="605">
        <f>CAPEX!$C$20</f>
        <v>21160</v>
      </c>
      <c r="D109" s="605">
        <f>C109</f>
        <v>21160</v>
      </c>
      <c r="E109" s="605">
        <f t="shared" si="108"/>
        <v>21160</v>
      </c>
      <c r="F109" s="605">
        <f t="shared" si="108"/>
        <v>21160</v>
      </c>
      <c r="G109" s="605">
        <f t="shared" si="108"/>
        <v>21160</v>
      </c>
      <c r="H109" s="605">
        <f t="shared" si="108"/>
        <v>21160</v>
      </c>
      <c r="I109" s="605">
        <f t="shared" si="108"/>
        <v>21160</v>
      </c>
      <c r="J109" s="605">
        <f t="shared" si="108"/>
        <v>21160</v>
      </c>
      <c r="K109" s="605">
        <f t="shared" si="108"/>
        <v>21160</v>
      </c>
      <c r="L109" s="605">
        <f t="shared" si="108"/>
        <v>21160</v>
      </c>
      <c r="M109" s="605">
        <f t="shared" si="108"/>
        <v>21160</v>
      </c>
      <c r="N109" s="605">
        <f t="shared" si="108"/>
        <v>21160</v>
      </c>
      <c r="O109" s="605">
        <f t="shared" si="108"/>
        <v>21160</v>
      </c>
      <c r="P109" s="605">
        <f t="shared" si="108"/>
        <v>21160</v>
      </c>
      <c r="Q109" s="605">
        <f t="shared" si="108"/>
        <v>21160</v>
      </c>
      <c r="R109" s="605">
        <f t="shared" si="108"/>
        <v>21160</v>
      </c>
      <c r="S109" s="605">
        <f t="shared" si="108"/>
        <v>21160</v>
      </c>
      <c r="T109" s="605">
        <f t="shared" si="108"/>
        <v>21160</v>
      </c>
      <c r="U109" s="605">
        <f t="shared" si="109"/>
        <v>21160</v>
      </c>
      <c r="V109" s="605">
        <f t="shared" si="109"/>
        <v>21160</v>
      </c>
      <c r="W109" s="605">
        <f t="shared" si="109"/>
        <v>21160</v>
      </c>
      <c r="X109" s="605">
        <f t="shared" si="109"/>
        <v>21160</v>
      </c>
      <c r="Y109" s="605">
        <f t="shared" si="109"/>
        <v>21160</v>
      </c>
      <c r="Z109" s="605">
        <f t="shared" si="109"/>
        <v>21160</v>
      </c>
      <c r="AA109" s="605">
        <f t="shared" si="109"/>
        <v>21160</v>
      </c>
      <c r="AB109" s="605">
        <f t="shared" si="109"/>
        <v>21160</v>
      </c>
      <c r="AC109" s="605">
        <f t="shared" si="109"/>
        <v>21160</v>
      </c>
      <c r="AD109" s="605">
        <f t="shared" si="109"/>
        <v>21160</v>
      </c>
      <c r="AE109" s="605">
        <f t="shared" si="109"/>
        <v>21160</v>
      </c>
      <c r="AF109" s="605">
        <f t="shared" si="109"/>
        <v>21160</v>
      </c>
      <c r="AH109" s="538"/>
      <c r="AK109" s="531"/>
      <c r="AM109" s="539"/>
      <c r="AN109" s="535"/>
      <c r="AP109" s="540"/>
      <c r="AQ109" s="540"/>
    </row>
    <row r="110" spans="1:43" s="513" customFormat="1" ht="3" hidden="1" customHeight="1" outlineLevel="2">
      <c r="A110" s="584"/>
      <c r="B110" s="572"/>
      <c r="C110" s="607"/>
      <c r="D110" s="607"/>
      <c r="E110" s="607"/>
      <c r="F110" s="607"/>
      <c r="G110" s="607"/>
      <c r="H110" s="607"/>
      <c r="I110" s="607"/>
      <c r="J110" s="607"/>
      <c r="K110" s="607"/>
      <c r="L110" s="607"/>
      <c r="M110" s="607"/>
      <c r="N110" s="607"/>
      <c r="O110" s="607"/>
      <c r="P110" s="607"/>
      <c r="Q110" s="607"/>
      <c r="R110" s="607"/>
      <c r="S110" s="607"/>
      <c r="T110" s="607"/>
      <c r="U110" s="607"/>
      <c r="V110" s="607"/>
      <c r="W110" s="607"/>
      <c r="X110" s="607"/>
      <c r="Y110" s="607"/>
      <c r="Z110" s="607"/>
      <c r="AA110" s="607"/>
      <c r="AB110" s="607"/>
      <c r="AC110" s="607"/>
      <c r="AD110" s="607"/>
      <c r="AE110" s="607"/>
      <c r="AF110" s="607"/>
      <c r="AH110" s="538"/>
      <c r="AK110" s="531"/>
      <c r="AM110" s="539"/>
      <c r="AN110" s="535"/>
      <c r="AP110" s="540"/>
      <c r="AQ110" s="540"/>
    </row>
    <row r="111" spans="1:43" s="564" customFormat="1" ht="16.5" hidden="1" customHeight="1" outlineLevel="1" collapsed="1">
      <c r="A111" s="584"/>
      <c r="B111" s="576" t="s">
        <v>920</v>
      </c>
      <c r="C111" s="577">
        <f>C112*C113*12/10^3</f>
        <v>23.220119999999998</v>
      </c>
      <c r="D111" s="577">
        <f t="shared" ref="D111:AF111" si="110">D112*D113*12/10^3</f>
        <v>23.220119999999998</v>
      </c>
      <c r="E111" s="577">
        <f t="shared" si="110"/>
        <v>23.220119999999998</v>
      </c>
      <c r="F111" s="577">
        <f t="shared" si="110"/>
        <v>23.220119999999998</v>
      </c>
      <c r="G111" s="577">
        <f t="shared" si="110"/>
        <v>23.220119999999998</v>
      </c>
      <c r="H111" s="577">
        <f t="shared" si="110"/>
        <v>23.220119999999998</v>
      </c>
      <c r="I111" s="577">
        <f t="shared" si="110"/>
        <v>23.220119999999998</v>
      </c>
      <c r="J111" s="577">
        <f t="shared" si="110"/>
        <v>23.220119999999998</v>
      </c>
      <c r="K111" s="577">
        <f t="shared" si="110"/>
        <v>23.220119999999998</v>
      </c>
      <c r="L111" s="577">
        <f t="shared" si="110"/>
        <v>23.220119999999998</v>
      </c>
      <c r="M111" s="577">
        <f t="shared" si="110"/>
        <v>23.220119999999998</v>
      </c>
      <c r="N111" s="577">
        <f t="shared" si="110"/>
        <v>23.220119999999998</v>
      </c>
      <c r="O111" s="577">
        <f t="shared" si="110"/>
        <v>23.220119999999998</v>
      </c>
      <c r="P111" s="577">
        <f t="shared" si="110"/>
        <v>23.220119999999998</v>
      </c>
      <c r="Q111" s="577">
        <f t="shared" si="110"/>
        <v>23.220119999999998</v>
      </c>
      <c r="R111" s="577">
        <f t="shared" si="110"/>
        <v>23.220119999999998</v>
      </c>
      <c r="S111" s="577">
        <f t="shared" si="110"/>
        <v>23.220119999999998</v>
      </c>
      <c r="T111" s="577">
        <f t="shared" si="110"/>
        <v>23.220119999999998</v>
      </c>
      <c r="U111" s="577">
        <f t="shared" si="110"/>
        <v>23.220119999999998</v>
      </c>
      <c r="V111" s="577">
        <f t="shared" si="110"/>
        <v>23.220119999999998</v>
      </c>
      <c r="W111" s="577">
        <f t="shared" si="110"/>
        <v>23.220119999999998</v>
      </c>
      <c r="X111" s="577">
        <f t="shared" si="110"/>
        <v>23.220119999999998</v>
      </c>
      <c r="Y111" s="577">
        <f t="shared" si="110"/>
        <v>23.220119999999998</v>
      </c>
      <c r="Z111" s="577">
        <f t="shared" si="110"/>
        <v>23.220119999999998</v>
      </c>
      <c r="AA111" s="577">
        <f t="shared" si="110"/>
        <v>23.220119999999998</v>
      </c>
      <c r="AB111" s="577">
        <f t="shared" si="110"/>
        <v>23.220119999999998</v>
      </c>
      <c r="AC111" s="577">
        <f t="shared" si="110"/>
        <v>23.220119999999998</v>
      </c>
      <c r="AD111" s="577">
        <f t="shared" si="110"/>
        <v>23.220119999999998</v>
      </c>
      <c r="AE111" s="577">
        <f t="shared" si="110"/>
        <v>23.220119999999998</v>
      </c>
      <c r="AF111" s="577">
        <f t="shared" si="110"/>
        <v>23.220119999999998</v>
      </c>
      <c r="AH111" s="578">
        <f>SUM(C111:AF111)</f>
        <v>696.6035999999998</v>
      </c>
      <c r="AJ111" s="579"/>
      <c r="AK111" s="531"/>
      <c r="AM111" s="567"/>
      <c r="AN111" s="535"/>
      <c r="AP111" s="568"/>
      <c r="AQ111" s="568"/>
    </row>
    <row r="112" spans="1:43" s="586" customFormat="1" ht="16.5" hidden="1" customHeight="1" outlineLevel="2">
      <c r="A112" s="584"/>
      <c r="B112" s="608" t="s">
        <v>921</v>
      </c>
      <c r="C112" s="716">
        <f>SUM(C90,C92,C94)</f>
        <v>7</v>
      </c>
      <c r="D112" s="716">
        <f t="shared" ref="D112:AF112" si="111">SUM(D90,D92,D94)</f>
        <v>7</v>
      </c>
      <c r="E112" s="716">
        <f t="shared" si="111"/>
        <v>7</v>
      </c>
      <c r="F112" s="716">
        <f t="shared" si="111"/>
        <v>7</v>
      </c>
      <c r="G112" s="716">
        <f t="shared" si="111"/>
        <v>7</v>
      </c>
      <c r="H112" s="716">
        <f t="shared" si="111"/>
        <v>7</v>
      </c>
      <c r="I112" s="716">
        <f t="shared" si="111"/>
        <v>7</v>
      </c>
      <c r="J112" s="716">
        <f t="shared" si="111"/>
        <v>7</v>
      </c>
      <c r="K112" s="716">
        <f t="shared" si="111"/>
        <v>7</v>
      </c>
      <c r="L112" s="716">
        <f t="shared" si="111"/>
        <v>7</v>
      </c>
      <c r="M112" s="716">
        <f t="shared" si="111"/>
        <v>7</v>
      </c>
      <c r="N112" s="716">
        <f t="shared" si="111"/>
        <v>7</v>
      </c>
      <c r="O112" s="716">
        <f t="shared" si="111"/>
        <v>7</v>
      </c>
      <c r="P112" s="716">
        <f t="shared" si="111"/>
        <v>7</v>
      </c>
      <c r="Q112" s="716">
        <f t="shared" si="111"/>
        <v>7</v>
      </c>
      <c r="R112" s="716">
        <f t="shared" si="111"/>
        <v>7</v>
      </c>
      <c r="S112" s="716">
        <f t="shared" si="111"/>
        <v>7</v>
      </c>
      <c r="T112" s="716">
        <f t="shared" si="111"/>
        <v>7</v>
      </c>
      <c r="U112" s="716">
        <f t="shared" si="111"/>
        <v>7</v>
      </c>
      <c r="V112" s="716">
        <f t="shared" si="111"/>
        <v>7</v>
      </c>
      <c r="W112" s="716">
        <f t="shared" si="111"/>
        <v>7</v>
      </c>
      <c r="X112" s="716">
        <f t="shared" si="111"/>
        <v>7</v>
      </c>
      <c r="Y112" s="716">
        <f t="shared" si="111"/>
        <v>7</v>
      </c>
      <c r="Z112" s="716">
        <f t="shared" si="111"/>
        <v>7</v>
      </c>
      <c r="AA112" s="716">
        <f t="shared" si="111"/>
        <v>7</v>
      </c>
      <c r="AB112" s="716">
        <f t="shared" si="111"/>
        <v>7</v>
      </c>
      <c r="AC112" s="716">
        <f t="shared" si="111"/>
        <v>7</v>
      </c>
      <c r="AD112" s="716">
        <f t="shared" si="111"/>
        <v>7</v>
      </c>
      <c r="AE112" s="716">
        <f t="shared" si="111"/>
        <v>7</v>
      </c>
      <c r="AF112" s="716">
        <f t="shared" si="111"/>
        <v>7</v>
      </c>
      <c r="AH112" s="587"/>
      <c r="AK112" s="588"/>
      <c r="AM112" s="589"/>
      <c r="AN112" s="590"/>
      <c r="AP112" s="591"/>
      <c r="AQ112" s="591"/>
    </row>
    <row r="113" spans="1:43" s="513" customFormat="1" ht="16.5" hidden="1" customHeight="1" outlineLevel="2">
      <c r="A113" s="584"/>
      <c r="B113" s="551" t="s">
        <v>888</v>
      </c>
      <c r="C113" s="605">
        <f>Insumos!$E$53</f>
        <v>276.43</v>
      </c>
      <c r="D113" s="605">
        <f>C113</f>
        <v>276.43</v>
      </c>
      <c r="E113" s="605">
        <f t="shared" ref="E113:AF113" si="112">D113</f>
        <v>276.43</v>
      </c>
      <c r="F113" s="605">
        <f t="shared" si="112"/>
        <v>276.43</v>
      </c>
      <c r="G113" s="605">
        <f t="shared" si="112"/>
        <v>276.43</v>
      </c>
      <c r="H113" s="605">
        <f t="shared" si="112"/>
        <v>276.43</v>
      </c>
      <c r="I113" s="605">
        <f t="shared" si="112"/>
        <v>276.43</v>
      </c>
      <c r="J113" s="605">
        <f t="shared" si="112"/>
        <v>276.43</v>
      </c>
      <c r="K113" s="605">
        <f t="shared" si="112"/>
        <v>276.43</v>
      </c>
      <c r="L113" s="605">
        <f t="shared" si="112"/>
        <v>276.43</v>
      </c>
      <c r="M113" s="605">
        <f t="shared" si="112"/>
        <v>276.43</v>
      </c>
      <c r="N113" s="605">
        <f t="shared" si="112"/>
        <v>276.43</v>
      </c>
      <c r="O113" s="605">
        <f t="shared" si="112"/>
        <v>276.43</v>
      </c>
      <c r="P113" s="605">
        <f t="shared" si="112"/>
        <v>276.43</v>
      </c>
      <c r="Q113" s="605">
        <f t="shared" si="112"/>
        <v>276.43</v>
      </c>
      <c r="R113" s="605">
        <f t="shared" si="112"/>
        <v>276.43</v>
      </c>
      <c r="S113" s="605">
        <f t="shared" si="112"/>
        <v>276.43</v>
      </c>
      <c r="T113" s="605">
        <f t="shared" si="112"/>
        <v>276.43</v>
      </c>
      <c r="U113" s="605">
        <f t="shared" si="112"/>
        <v>276.43</v>
      </c>
      <c r="V113" s="605">
        <f t="shared" si="112"/>
        <v>276.43</v>
      </c>
      <c r="W113" s="605">
        <f t="shared" si="112"/>
        <v>276.43</v>
      </c>
      <c r="X113" s="605">
        <f t="shared" si="112"/>
        <v>276.43</v>
      </c>
      <c r="Y113" s="605">
        <f t="shared" si="112"/>
        <v>276.43</v>
      </c>
      <c r="Z113" s="605">
        <f t="shared" si="112"/>
        <v>276.43</v>
      </c>
      <c r="AA113" s="605">
        <f t="shared" si="112"/>
        <v>276.43</v>
      </c>
      <c r="AB113" s="605">
        <f t="shared" si="112"/>
        <v>276.43</v>
      </c>
      <c r="AC113" s="605">
        <f t="shared" si="112"/>
        <v>276.43</v>
      </c>
      <c r="AD113" s="605">
        <f t="shared" si="112"/>
        <v>276.43</v>
      </c>
      <c r="AE113" s="605">
        <f t="shared" si="112"/>
        <v>276.43</v>
      </c>
      <c r="AF113" s="605">
        <f t="shared" si="112"/>
        <v>276.43</v>
      </c>
      <c r="AH113" s="538"/>
      <c r="AK113" s="531"/>
      <c r="AM113" s="539"/>
      <c r="AN113" s="535"/>
      <c r="AP113" s="540"/>
      <c r="AQ113" s="540"/>
    </row>
    <row r="114" spans="1:43" ht="3" hidden="1" customHeight="1" outlineLevel="2">
      <c r="A114" s="584"/>
      <c r="B114" s="609"/>
      <c r="C114" s="611"/>
      <c r="D114" s="611"/>
      <c r="E114" s="610"/>
      <c r="F114" s="610"/>
      <c r="G114" s="610"/>
      <c r="H114" s="610"/>
      <c r="I114" s="610"/>
      <c r="J114" s="610"/>
      <c r="K114" s="610"/>
      <c r="L114" s="610"/>
      <c r="M114" s="610"/>
      <c r="N114" s="610"/>
      <c r="O114" s="610"/>
      <c r="P114" s="610"/>
      <c r="Q114" s="610"/>
      <c r="R114" s="610"/>
      <c r="S114" s="610"/>
      <c r="T114" s="610"/>
      <c r="U114" s="610"/>
      <c r="V114" s="610"/>
      <c r="W114" s="610"/>
      <c r="X114" s="610"/>
      <c r="Y114" s="610"/>
      <c r="Z114" s="610"/>
      <c r="AA114" s="610"/>
      <c r="AB114" s="610"/>
      <c r="AC114" s="610"/>
      <c r="AD114" s="610"/>
      <c r="AE114" s="610"/>
      <c r="AF114" s="610"/>
      <c r="AH114" s="593"/>
      <c r="AK114" s="531"/>
      <c r="AM114" s="594"/>
      <c r="AN114" s="535"/>
      <c r="AP114" s="535"/>
      <c r="AQ114" s="535"/>
    </row>
    <row r="115" spans="1:43" s="564" customFormat="1" ht="16.5" hidden="1" customHeight="1" outlineLevel="1" collapsed="1">
      <c r="A115" s="584"/>
      <c r="B115" s="576" t="s">
        <v>922</v>
      </c>
      <c r="C115" s="577">
        <f>(C116+C119)*12/10^3</f>
        <v>2.7936000000000005</v>
      </c>
      <c r="D115" s="577">
        <f t="shared" ref="D115:AF115" si="113">(D116+D119)*12/10^3</f>
        <v>2.7936000000000005</v>
      </c>
      <c r="E115" s="577">
        <f t="shared" si="113"/>
        <v>2.7936000000000005</v>
      </c>
      <c r="F115" s="577">
        <f t="shared" si="113"/>
        <v>2.7936000000000005</v>
      </c>
      <c r="G115" s="577">
        <f t="shared" si="113"/>
        <v>2.7936000000000005</v>
      </c>
      <c r="H115" s="577">
        <f t="shared" si="113"/>
        <v>2.7936000000000005</v>
      </c>
      <c r="I115" s="577">
        <f t="shared" si="113"/>
        <v>2.7936000000000005</v>
      </c>
      <c r="J115" s="577">
        <f t="shared" si="113"/>
        <v>2.7936000000000005</v>
      </c>
      <c r="K115" s="577">
        <f t="shared" si="113"/>
        <v>2.7936000000000005</v>
      </c>
      <c r="L115" s="577">
        <f t="shared" si="113"/>
        <v>2.7936000000000005</v>
      </c>
      <c r="M115" s="577">
        <f t="shared" si="113"/>
        <v>2.7936000000000005</v>
      </c>
      <c r="N115" s="577">
        <f t="shared" si="113"/>
        <v>2.7936000000000005</v>
      </c>
      <c r="O115" s="577">
        <f t="shared" si="113"/>
        <v>2.7936000000000005</v>
      </c>
      <c r="P115" s="577">
        <f t="shared" si="113"/>
        <v>2.7936000000000005</v>
      </c>
      <c r="Q115" s="577">
        <f t="shared" si="113"/>
        <v>2.7936000000000005</v>
      </c>
      <c r="R115" s="577">
        <f t="shared" si="113"/>
        <v>2.7936000000000005</v>
      </c>
      <c r="S115" s="577">
        <f t="shared" si="113"/>
        <v>2.7936000000000005</v>
      </c>
      <c r="T115" s="577">
        <f t="shared" si="113"/>
        <v>2.7936000000000005</v>
      </c>
      <c r="U115" s="577">
        <f t="shared" si="113"/>
        <v>2.7936000000000005</v>
      </c>
      <c r="V115" s="577">
        <f t="shared" si="113"/>
        <v>2.7936000000000005</v>
      </c>
      <c r="W115" s="577">
        <f t="shared" si="113"/>
        <v>2.7936000000000005</v>
      </c>
      <c r="X115" s="577">
        <f t="shared" si="113"/>
        <v>2.7936000000000005</v>
      </c>
      <c r="Y115" s="577">
        <f t="shared" si="113"/>
        <v>2.7936000000000005</v>
      </c>
      <c r="Z115" s="577">
        <f t="shared" si="113"/>
        <v>2.7936000000000005</v>
      </c>
      <c r="AA115" s="577">
        <f t="shared" si="113"/>
        <v>2.7936000000000005</v>
      </c>
      <c r="AB115" s="577">
        <f t="shared" si="113"/>
        <v>2.7936000000000005</v>
      </c>
      <c r="AC115" s="577">
        <f t="shared" si="113"/>
        <v>2.7936000000000005</v>
      </c>
      <c r="AD115" s="577">
        <f t="shared" si="113"/>
        <v>2.7936000000000005</v>
      </c>
      <c r="AE115" s="577">
        <f t="shared" si="113"/>
        <v>2.7936000000000005</v>
      </c>
      <c r="AF115" s="577">
        <f t="shared" si="113"/>
        <v>2.7936000000000005</v>
      </c>
      <c r="AH115" s="578">
        <f>SUM(C115:AF115)</f>
        <v>83.807999999999979</v>
      </c>
      <c r="AJ115" s="579"/>
      <c r="AK115" s="531"/>
      <c r="AM115" s="567"/>
      <c r="AN115" s="535"/>
      <c r="AP115" s="568"/>
      <c r="AQ115" s="568"/>
    </row>
    <row r="116" spans="1:43" s="546" customFormat="1" ht="16.5" hidden="1" customHeight="1" outlineLevel="2">
      <c r="A116" s="584"/>
      <c r="B116" s="569" t="s">
        <v>923</v>
      </c>
      <c r="C116" s="581">
        <f>C117*C118</f>
        <v>115</v>
      </c>
      <c r="D116" s="581">
        <f t="shared" ref="D116:AF116" si="114">D117*D118</f>
        <v>115</v>
      </c>
      <c r="E116" s="581">
        <f t="shared" si="114"/>
        <v>115</v>
      </c>
      <c r="F116" s="581">
        <f t="shared" si="114"/>
        <v>115</v>
      </c>
      <c r="G116" s="581">
        <f t="shared" si="114"/>
        <v>115</v>
      </c>
      <c r="H116" s="581">
        <f t="shared" si="114"/>
        <v>115</v>
      </c>
      <c r="I116" s="581">
        <f t="shared" si="114"/>
        <v>115</v>
      </c>
      <c r="J116" s="581">
        <f t="shared" si="114"/>
        <v>115</v>
      </c>
      <c r="K116" s="581">
        <f t="shared" si="114"/>
        <v>115</v>
      </c>
      <c r="L116" s="581">
        <f t="shared" si="114"/>
        <v>115</v>
      </c>
      <c r="M116" s="581">
        <f t="shared" si="114"/>
        <v>115</v>
      </c>
      <c r="N116" s="581">
        <f t="shared" si="114"/>
        <v>115</v>
      </c>
      <c r="O116" s="581">
        <f t="shared" si="114"/>
        <v>115</v>
      </c>
      <c r="P116" s="581">
        <f t="shared" si="114"/>
        <v>115</v>
      </c>
      <c r="Q116" s="581">
        <f t="shared" si="114"/>
        <v>115</v>
      </c>
      <c r="R116" s="581">
        <f t="shared" si="114"/>
        <v>115</v>
      </c>
      <c r="S116" s="581">
        <f t="shared" si="114"/>
        <v>115</v>
      </c>
      <c r="T116" s="581">
        <f t="shared" si="114"/>
        <v>115</v>
      </c>
      <c r="U116" s="581">
        <f t="shared" si="114"/>
        <v>115</v>
      </c>
      <c r="V116" s="581">
        <f t="shared" si="114"/>
        <v>115</v>
      </c>
      <c r="W116" s="581">
        <f t="shared" si="114"/>
        <v>115</v>
      </c>
      <c r="X116" s="581">
        <f t="shared" si="114"/>
        <v>115</v>
      </c>
      <c r="Y116" s="581">
        <f t="shared" si="114"/>
        <v>115</v>
      </c>
      <c r="Z116" s="581">
        <f t="shared" si="114"/>
        <v>115</v>
      </c>
      <c r="AA116" s="581">
        <f t="shared" si="114"/>
        <v>115</v>
      </c>
      <c r="AB116" s="581">
        <f t="shared" si="114"/>
        <v>115</v>
      </c>
      <c r="AC116" s="581">
        <f t="shared" si="114"/>
        <v>115</v>
      </c>
      <c r="AD116" s="581">
        <f t="shared" si="114"/>
        <v>115</v>
      </c>
      <c r="AE116" s="581">
        <f t="shared" si="114"/>
        <v>115</v>
      </c>
      <c r="AF116" s="581">
        <f t="shared" si="114"/>
        <v>115</v>
      </c>
      <c r="AH116" s="571"/>
      <c r="AK116" s="531"/>
      <c r="AM116" s="548"/>
      <c r="AN116" s="535"/>
      <c r="AP116" s="549"/>
      <c r="AQ116" s="549"/>
    </row>
    <row r="117" spans="1:43" s="586" customFormat="1" ht="16.5" hidden="1" customHeight="1" outlineLevel="2">
      <c r="A117" s="584"/>
      <c r="B117" s="585" t="s">
        <v>805</v>
      </c>
      <c r="C117" s="716">
        <f>ROUNDUP(((C12)*1)*1.2,0)</f>
        <v>5</v>
      </c>
      <c r="D117" s="716">
        <f>ROUNDUP(((D12)*1)*1.2,0)</f>
        <v>5</v>
      </c>
      <c r="E117" s="716">
        <f t="shared" ref="E117:AF117" si="115">ROUNDUP(((E12)*1)*1.2,0)</f>
        <v>5</v>
      </c>
      <c r="F117" s="716">
        <f t="shared" si="115"/>
        <v>5</v>
      </c>
      <c r="G117" s="716">
        <f t="shared" si="115"/>
        <v>5</v>
      </c>
      <c r="H117" s="716">
        <f t="shared" si="115"/>
        <v>5</v>
      </c>
      <c r="I117" s="716">
        <f t="shared" si="115"/>
        <v>5</v>
      </c>
      <c r="J117" s="716">
        <f t="shared" si="115"/>
        <v>5</v>
      </c>
      <c r="K117" s="716">
        <f t="shared" si="115"/>
        <v>5</v>
      </c>
      <c r="L117" s="716">
        <f t="shared" si="115"/>
        <v>5</v>
      </c>
      <c r="M117" s="716">
        <f t="shared" si="115"/>
        <v>5</v>
      </c>
      <c r="N117" s="716">
        <f t="shared" si="115"/>
        <v>5</v>
      </c>
      <c r="O117" s="716">
        <f t="shared" si="115"/>
        <v>5</v>
      </c>
      <c r="P117" s="716">
        <f t="shared" si="115"/>
        <v>5</v>
      </c>
      <c r="Q117" s="716">
        <f t="shared" si="115"/>
        <v>5</v>
      </c>
      <c r="R117" s="716">
        <f t="shared" si="115"/>
        <v>5</v>
      </c>
      <c r="S117" s="716">
        <f t="shared" si="115"/>
        <v>5</v>
      </c>
      <c r="T117" s="716">
        <f t="shared" si="115"/>
        <v>5</v>
      </c>
      <c r="U117" s="716">
        <f t="shared" si="115"/>
        <v>5</v>
      </c>
      <c r="V117" s="716">
        <f t="shared" si="115"/>
        <v>5</v>
      </c>
      <c r="W117" s="716">
        <f t="shared" si="115"/>
        <v>5</v>
      </c>
      <c r="X117" s="716">
        <f t="shared" si="115"/>
        <v>5</v>
      </c>
      <c r="Y117" s="716">
        <f t="shared" si="115"/>
        <v>5</v>
      </c>
      <c r="Z117" s="716">
        <f t="shared" si="115"/>
        <v>5</v>
      </c>
      <c r="AA117" s="716">
        <f t="shared" si="115"/>
        <v>5</v>
      </c>
      <c r="AB117" s="716">
        <f t="shared" si="115"/>
        <v>5</v>
      </c>
      <c r="AC117" s="716">
        <f t="shared" si="115"/>
        <v>5</v>
      </c>
      <c r="AD117" s="716">
        <f t="shared" si="115"/>
        <v>5</v>
      </c>
      <c r="AE117" s="716">
        <f t="shared" si="115"/>
        <v>5</v>
      </c>
      <c r="AF117" s="716">
        <f t="shared" si="115"/>
        <v>5</v>
      </c>
      <c r="AH117" s="587"/>
      <c r="AK117" s="588"/>
      <c r="AM117" s="589"/>
      <c r="AN117" s="590"/>
      <c r="AP117" s="591"/>
      <c r="AQ117" s="591"/>
    </row>
    <row r="118" spans="1:43" s="513" customFormat="1" ht="16.5" hidden="1" customHeight="1" outlineLevel="2">
      <c r="A118" s="584"/>
      <c r="B118" s="572" t="s">
        <v>924</v>
      </c>
      <c r="C118" s="605">
        <f>Insumos!E68</f>
        <v>23</v>
      </c>
      <c r="D118" s="605">
        <f>C118</f>
        <v>23</v>
      </c>
      <c r="E118" s="605">
        <f t="shared" ref="E118:AF118" si="116">D118</f>
        <v>23</v>
      </c>
      <c r="F118" s="605">
        <f t="shared" si="116"/>
        <v>23</v>
      </c>
      <c r="G118" s="605">
        <f t="shared" si="116"/>
        <v>23</v>
      </c>
      <c r="H118" s="605">
        <f t="shared" si="116"/>
        <v>23</v>
      </c>
      <c r="I118" s="605">
        <f t="shared" si="116"/>
        <v>23</v>
      </c>
      <c r="J118" s="605">
        <f t="shared" si="116"/>
        <v>23</v>
      </c>
      <c r="K118" s="605">
        <f t="shared" si="116"/>
        <v>23</v>
      </c>
      <c r="L118" s="605">
        <f t="shared" si="116"/>
        <v>23</v>
      </c>
      <c r="M118" s="605">
        <f t="shared" si="116"/>
        <v>23</v>
      </c>
      <c r="N118" s="605">
        <f t="shared" si="116"/>
        <v>23</v>
      </c>
      <c r="O118" s="605">
        <f t="shared" si="116"/>
        <v>23</v>
      </c>
      <c r="P118" s="605">
        <f t="shared" si="116"/>
        <v>23</v>
      </c>
      <c r="Q118" s="605">
        <f t="shared" si="116"/>
        <v>23</v>
      </c>
      <c r="R118" s="605">
        <f t="shared" si="116"/>
        <v>23</v>
      </c>
      <c r="S118" s="605">
        <f t="shared" si="116"/>
        <v>23</v>
      </c>
      <c r="T118" s="605">
        <f t="shared" si="116"/>
        <v>23</v>
      </c>
      <c r="U118" s="605">
        <f t="shared" si="116"/>
        <v>23</v>
      </c>
      <c r="V118" s="605">
        <f t="shared" si="116"/>
        <v>23</v>
      </c>
      <c r="W118" s="605">
        <f t="shared" si="116"/>
        <v>23</v>
      </c>
      <c r="X118" s="605">
        <f t="shared" si="116"/>
        <v>23</v>
      </c>
      <c r="Y118" s="605">
        <f t="shared" si="116"/>
        <v>23</v>
      </c>
      <c r="Z118" s="605">
        <f t="shared" si="116"/>
        <v>23</v>
      </c>
      <c r="AA118" s="605">
        <f t="shared" si="116"/>
        <v>23</v>
      </c>
      <c r="AB118" s="605">
        <f t="shared" si="116"/>
        <v>23</v>
      </c>
      <c r="AC118" s="605">
        <f t="shared" si="116"/>
        <v>23</v>
      </c>
      <c r="AD118" s="605">
        <f t="shared" si="116"/>
        <v>23</v>
      </c>
      <c r="AE118" s="605">
        <f t="shared" si="116"/>
        <v>23</v>
      </c>
      <c r="AF118" s="605">
        <f t="shared" si="116"/>
        <v>23</v>
      </c>
      <c r="AH118" s="538"/>
      <c r="AK118" s="531"/>
      <c r="AM118" s="539"/>
      <c r="AN118" s="535"/>
      <c r="AP118" s="540"/>
      <c r="AQ118" s="540"/>
    </row>
    <row r="119" spans="1:43" s="546" customFormat="1" ht="16.5" hidden="1" customHeight="1" outlineLevel="2">
      <c r="A119" s="584"/>
      <c r="B119" s="569" t="s">
        <v>925</v>
      </c>
      <c r="C119" s="581">
        <f>C120*C121</f>
        <v>117.8</v>
      </c>
      <c r="D119" s="581">
        <f>D120*D121</f>
        <v>117.8</v>
      </c>
      <c r="E119" s="581">
        <f t="shared" ref="E119:AF119" si="117">E120*E121</f>
        <v>117.8</v>
      </c>
      <c r="F119" s="581">
        <f t="shared" si="117"/>
        <v>117.8</v>
      </c>
      <c r="G119" s="581">
        <f t="shared" si="117"/>
        <v>117.8</v>
      </c>
      <c r="H119" s="581">
        <f t="shared" si="117"/>
        <v>117.8</v>
      </c>
      <c r="I119" s="581">
        <f t="shared" si="117"/>
        <v>117.8</v>
      </c>
      <c r="J119" s="581">
        <f t="shared" si="117"/>
        <v>117.8</v>
      </c>
      <c r="K119" s="581">
        <f t="shared" si="117"/>
        <v>117.8</v>
      </c>
      <c r="L119" s="581">
        <f t="shared" si="117"/>
        <v>117.8</v>
      </c>
      <c r="M119" s="581">
        <f t="shared" si="117"/>
        <v>117.8</v>
      </c>
      <c r="N119" s="581">
        <f t="shared" si="117"/>
        <v>117.8</v>
      </c>
      <c r="O119" s="581">
        <f t="shared" si="117"/>
        <v>117.8</v>
      </c>
      <c r="P119" s="581">
        <f t="shared" si="117"/>
        <v>117.8</v>
      </c>
      <c r="Q119" s="581">
        <f t="shared" si="117"/>
        <v>117.8</v>
      </c>
      <c r="R119" s="581">
        <f t="shared" si="117"/>
        <v>117.8</v>
      </c>
      <c r="S119" s="581">
        <f t="shared" si="117"/>
        <v>117.8</v>
      </c>
      <c r="T119" s="581">
        <f t="shared" si="117"/>
        <v>117.8</v>
      </c>
      <c r="U119" s="581">
        <f t="shared" si="117"/>
        <v>117.8</v>
      </c>
      <c r="V119" s="581">
        <f t="shared" si="117"/>
        <v>117.8</v>
      </c>
      <c r="W119" s="581">
        <f t="shared" si="117"/>
        <v>117.8</v>
      </c>
      <c r="X119" s="581">
        <f t="shared" si="117"/>
        <v>117.8</v>
      </c>
      <c r="Y119" s="581">
        <f t="shared" si="117"/>
        <v>117.8</v>
      </c>
      <c r="Z119" s="581">
        <f t="shared" si="117"/>
        <v>117.8</v>
      </c>
      <c r="AA119" s="581">
        <f t="shared" si="117"/>
        <v>117.8</v>
      </c>
      <c r="AB119" s="581">
        <f t="shared" si="117"/>
        <v>117.8</v>
      </c>
      <c r="AC119" s="581">
        <f t="shared" si="117"/>
        <v>117.8</v>
      </c>
      <c r="AD119" s="581">
        <f t="shared" si="117"/>
        <v>117.8</v>
      </c>
      <c r="AE119" s="581">
        <f t="shared" si="117"/>
        <v>117.8</v>
      </c>
      <c r="AF119" s="581">
        <f t="shared" si="117"/>
        <v>117.8</v>
      </c>
      <c r="AH119" s="571"/>
      <c r="AK119" s="531"/>
      <c r="AM119" s="548"/>
      <c r="AN119" s="535"/>
      <c r="AP119" s="549"/>
      <c r="AQ119" s="549"/>
    </row>
    <row r="120" spans="1:43" s="586" customFormat="1" ht="16.5" hidden="1" customHeight="1" outlineLevel="2">
      <c r="A120" s="584"/>
      <c r="B120" s="585" t="s">
        <v>805</v>
      </c>
      <c r="C120" s="716">
        <f>ROUNDUP(((C12)*(1/3))*1.2,0)</f>
        <v>2</v>
      </c>
      <c r="D120" s="716">
        <f t="shared" ref="D120:AF120" si="118">ROUNDUP(((D12)*(1/3))*1.2,0)</f>
        <v>2</v>
      </c>
      <c r="E120" s="716">
        <f t="shared" si="118"/>
        <v>2</v>
      </c>
      <c r="F120" s="716">
        <f t="shared" si="118"/>
        <v>2</v>
      </c>
      <c r="G120" s="716">
        <f t="shared" si="118"/>
        <v>2</v>
      </c>
      <c r="H120" s="716">
        <f t="shared" si="118"/>
        <v>2</v>
      </c>
      <c r="I120" s="716">
        <f t="shared" si="118"/>
        <v>2</v>
      </c>
      <c r="J120" s="716">
        <f t="shared" si="118"/>
        <v>2</v>
      </c>
      <c r="K120" s="716">
        <f t="shared" si="118"/>
        <v>2</v>
      </c>
      <c r="L120" s="716">
        <f t="shared" si="118"/>
        <v>2</v>
      </c>
      <c r="M120" s="716">
        <f t="shared" si="118"/>
        <v>2</v>
      </c>
      <c r="N120" s="716">
        <f t="shared" si="118"/>
        <v>2</v>
      </c>
      <c r="O120" s="716">
        <f t="shared" si="118"/>
        <v>2</v>
      </c>
      <c r="P120" s="716">
        <f t="shared" si="118"/>
        <v>2</v>
      </c>
      <c r="Q120" s="716">
        <f t="shared" si="118"/>
        <v>2</v>
      </c>
      <c r="R120" s="716">
        <f t="shared" si="118"/>
        <v>2</v>
      </c>
      <c r="S120" s="716">
        <f t="shared" si="118"/>
        <v>2</v>
      </c>
      <c r="T120" s="716">
        <f t="shared" si="118"/>
        <v>2</v>
      </c>
      <c r="U120" s="716">
        <f t="shared" si="118"/>
        <v>2</v>
      </c>
      <c r="V120" s="716">
        <f t="shared" si="118"/>
        <v>2</v>
      </c>
      <c r="W120" s="716">
        <f t="shared" si="118"/>
        <v>2</v>
      </c>
      <c r="X120" s="716">
        <f t="shared" si="118"/>
        <v>2</v>
      </c>
      <c r="Y120" s="716">
        <f t="shared" si="118"/>
        <v>2</v>
      </c>
      <c r="Z120" s="716">
        <f t="shared" si="118"/>
        <v>2</v>
      </c>
      <c r="AA120" s="716">
        <f t="shared" si="118"/>
        <v>2</v>
      </c>
      <c r="AB120" s="716">
        <f t="shared" si="118"/>
        <v>2</v>
      </c>
      <c r="AC120" s="716">
        <f t="shared" si="118"/>
        <v>2</v>
      </c>
      <c r="AD120" s="716">
        <f t="shared" si="118"/>
        <v>2</v>
      </c>
      <c r="AE120" s="716">
        <f t="shared" si="118"/>
        <v>2</v>
      </c>
      <c r="AF120" s="716">
        <f t="shared" si="118"/>
        <v>2</v>
      </c>
      <c r="AH120" s="587"/>
      <c r="AK120" s="588"/>
      <c r="AM120" s="589"/>
      <c r="AN120" s="590"/>
      <c r="AP120" s="591"/>
      <c r="AQ120" s="591"/>
    </row>
    <row r="121" spans="1:43" s="513" customFormat="1" ht="16.5" hidden="1" customHeight="1" outlineLevel="2">
      <c r="A121" s="584"/>
      <c r="B121" s="572" t="s">
        <v>924</v>
      </c>
      <c r="C121" s="605">
        <f>Insumos!E63</f>
        <v>58.9</v>
      </c>
      <c r="D121" s="605">
        <f>C121</f>
        <v>58.9</v>
      </c>
      <c r="E121" s="605">
        <f>D121</f>
        <v>58.9</v>
      </c>
      <c r="F121" s="605">
        <f t="shared" ref="F121:AF121" si="119">E121</f>
        <v>58.9</v>
      </c>
      <c r="G121" s="605">
        <f t="shared" si="119"/>
        <v>58.9</v>
      </c>
      <c r="H121" s="605">
        <f t="shared" si="119"/>
        <v>58.9</v>
      </c>
      <c r="I121" s="605">
        <f t="shared" si="119"/>
        <v>58.9</v>
      </c>
      <c r="J121" s="605">
        <f t="shared" si="119"/>
        <v>58.9</v>
      </c>
      <c r="K121" s="605">
        <f t="shared" si="119"/>
        <v>58.9</v>
      </c>
      <c r="L121" s="605">
        <f t="shared" si="119"/>
        <v>58.9</v>
      </c>
      <c r="M121" s="605">
        <f t="shared" si="119"/>
        <v>58.9</v>
      </c>
      <c r="N121" s="605">
        <f t="shared" si="119"/>
        <v>58.9</v>
      </c>
      <c r="O121" s="605">
        <f t="shared" si="119"/>
        <v>58.9</v>
      </c>
      <c r="P121" s="605">
        <f t="shared" si="119"/>
        <v>58.9</v>
      </c>
      <c r="Q121" s="605">
        <f t="shared" si="119"/>
        <v>58.9</v>
      </c>
      <c r="R121" s="605">
        <f t="shared" si="119"/>
        <v>58.9</v>
      </c>
      <c r="S121" s="605">
        <f t="shared" si="119"/>
        <v>58.9</v>
      </c>
      <c r="T121" s="605">
        <f t="shared" si="119"/>
        <v>58.9</v>
      </c>
      <c r="U121" s="605">
        <f t="shared" si="119"/>
        <v>58.9</v>
      </c>
      <c r="V121" s="605">
        <f t="shared" si="119"/>
        <v>58.9</v>
      </c>
      <c r="W121" s="605">
        <f t="shared" si="119"/>
        <v>58.9</v>
      </c>
      <c r="X121" s="605">
        <f t="shared" si="119"/>
        <v>58.9</v>
      </c>
      <c r="Y121" s="605">
        <f t="shared" si="119"/>
        <v>58.9</v>
      </c>
      <c r="Z121" s="605">
        <f t="shared" si="119"/>
        <v>58.9</v>
      </c>
      <c r="AA121" s="605">
        <f t="shared" si="119"/>
        <v>58.9</v>
      </c>
      <c r="AB121" s="605">
        <f t="shared" si="119"/>
        <v>58.9</v>
      </c>
      <c r="AC121" s="605">
        <f t="shared" si="119"/>
        <v>58.9</v>
      </c>
      <c r="AD121" s="605">
        <f t="shared" si="119"/>
        <v>58.9</v>
      </c>
      <c r="AE121" s="605">
        <f t="shared" si="119"/>
        <v>58.9</v>
      </c>
      <c r="AF121" s="605">
        <f t="shared" si="119"/>
        <v>58.9</v>
      </c>
      <c r="AH121" s="538"/>
      <c r="AK121" s="531"/>
      <c r="AM121" s="539"/>
      <c r="AN121" s="535"/>
      <c r="AP121" s="540"/>
      <c r="AQ121" s="540"/>
    </row>
    <row r="122" spans="1:43" ht="3" hidden="1" customHeight="1" outlineLevel="2">
      <c r="A122" s="584"/>
      <c r="B122" s="609"/>
      <c r="C122" s="611"/>
      <c r="D122" s="611"/>
      <c r="E122" s="610"/>
      <c r="F122" s="610"/>
      <c r="G122" s="610"/>
      <c r="H122" s="610"/>
      <c r="I122" s="610"/>
      <c r="J122" s="610"/>
      <c r="K122" s="610"/>
      <c r="L122" s="610"/>
      <c r="M122" s="610"/>
      <c r="N122" s="610"/>
      <c r="O122" s="610"/>
      <c r="P122" s="610"/>
      <c r="Q122" s="610"/>
      <c r="R122" s="610"/>
      <c r="S122" s="610"/>
      <c r="T122" s="610"/>
      <c r="U122" s="610"/>
      <c r="V122" s="610"/>
      <c r="W122" s="610"/>
      <c r="X122" s="610"/>
      <c r="Y122" s="610"/>
      <c r="Z122" s="610"/>
      <c r="AA122" s="610"/>
      <c r="AB122" s="610"/>
      <c r="AC122" s="610"/>
      <c r="AD122" s="610"/>
      <c r="AE122" s="610"/>
      <c r="AF122" s="610"/>
      <c r="AH122" s="593"/>
      <c r="AK122" s="531"/>
      <c r="AM122" s="594"/>
      <c r="AN122" s="535"/>
      <c r="AP122" s="535"/>
      <c r="AQ122" s="535"/>
    </row>
    <row r="123" spans="1:43" s="564" customFormat="1" ht="16.5" hidden="1" customHeight="1" outlineLevel="1" collapsed="1">
      <c r="A123" s="584"/>
      <c r="B123" s="576" t="s">
        <v>926</v>
      </c>
      <c r="C123" s="577">
        <f>SUM(C124,C131,C138,C145,C152,C159,C166)*12/10^3</f>
        <v>1042.0282799999998</v>
      </c>
      <c r="D123" s="577">
        <f t="shared" ref="D123:AF123" si="120">SUM(D124,D131,D138,D145,D152,D159,D166)*12/10^3</f>
        <v>1042.0282799999998</v>
      </c>
      <c r="E123" s="577">
        <f t="shared" si="120"/>
        <v>1042.0282799999998</v>
      </c>
      <c r="F123" s="577">
        <f t="shared" si="120"/>
        <v>1042.0282799999998</v>
      </c>
      <c r="G123" s="577">
        <f t="shared" si="120"/>
        <v>1042.0282799999998</v>
      </c>
      <c r="H123" s="577">
        <f t="shared" si="120"/>
        <v>1042.0282799999998</v>
      </c>
      <c r="I123" s="577">
        <f t="shared" si="120"/>
        <v>1042.0282799999998</v>
      </c>
      <c r="J123" s="577">
        <f t="shared" si="120"/>
        <v>1042.0282799999998</v>
      </c>
      <c r="K123" s="577">
        <f t="shared" si="120"/>
        <v>1042.0282799999998</v>
      </c>
      <c r="L123" s="577">
        <f t="shared" si="120"/>
        <v>1042.0282799999998</v>
      </c>
      <c r="M123" s="577">
        <f t="shared" si="120"/>
        <v>1042.0282799999998</v>
      </c>
      <c r="N123" s="577">
        <f t="shared" si="120"/>
        <v>1042.0282799999998</v>
      </c>
      <c r="O123" s="577">
        <f t="shared" si="120"/>
        <v>1042.0282799999998</v>
      </c>
      <c r="P123" s="577">
        <f t="shared" si="120"/>
        <v>1042.0282799999998</v>
      </c>
      <c r="Q123" s="577">
        <f t="shared" si="120"/>
        <v>1042.0282799999998</v>
      </c>
      <c r="R123" s="577">
        <f t="shared" si="120"/>
        <v>1042.0282799999998</v>
      </c>
      <c r="S123" s="577">
        <f t="shared" si="120"/>
        <v>1042.0282799999998</v>
      </c>
      <c r="T123" s="577">
        <f t="shared" si="120"/>
        <v>1042.0282799999998</v>
      </c>
      <c r="U123" s="577">
        <f t="shared" si="120"/>
        <v>1195.93788</v>
      </c>
      <c r="V123" s="577">
        <f t="shared" si="120"/>
        <v>1195.93788</v>
      </c>
      <c r="W123" s="577">
        <f t="shared" si="120"/>
        <v>1195.93788</v>
      </c>
      <c r="X123" s="577">
        <f t="shared" si="120"/>
        <v>1195.93788</v>
      </c>
      <c r="Y123" s="577">
        <f t="shared" si="120"/>
        <v>1195.93788</v>
      </c>
      <c r="Z123" s="577">
        <f t="shared" si="120"/>
        <v>1195.93788</v>
      </c>
      <c r="AA123" s="577">
        <f t="shared" si="120"/>
        <v>1195.93788</v>
      </c>
      <c r="AB123" s="577">
        <f t="shared" si="120"/>
        <v>1195.93788</v>
      </c>
      <c r="AC123" s="577">
        <f t="shared" si="120"/>
        <v>1195.93788</v>
      </c>
      <c r="AD123" s="577">
        <f t="shared" si="120"/>
        <v>1195.93788</v>
      </c>
      <c r="AE123" s="577">
        <f t="shared" si="120"/>
        <v>1195.93788</v>
      </c>
      <c r="AF123" s="577">
        <f t="shared" si="120"/>
        <v>1195.93788</v>
      </c>
      <c r="AH123" s="578">
        <f>SUM(C123:AF123)</f>
        <v>33107.763600000013</v>
      </c>
      <c r="AJ123" s="579"/>
      <c r="AK123" s="531"/>
      <c r="AM123" s="567"/>
      <c r="AN123" s="535"/>
      <c r="AP123" s="568"/>
      <c r="AQ123" s="568"/>
    </row>
    <row r="124" spans="1:43" s="546" customFormat="1" ht="16.5" hidden="1" customHeight="1" outlineLevel="2">
      <c r="A124" s="584"/>
      <c r="B124" s="569" t="s">
        <v>927</v>
      </c>
      <c r="C124" s="581">
        <f>C125*(C126+C128+C129+C130)</f>
        <v>22913.599999999999</v>
      </c>
      <c r="D124" s="581">
        <f t="shared" ref="D124:AF124" si="121">D125*(D126+D128+D129+D130)</f>
        <v>22913.599999999999</v>
      </c>
      <c r="E124" s="581">
        <f t="shared" si="121"/>
        <v>22913.599999999999</v>
      </c>
      <c r="F124" s="581">
        <f t="shared" si="121"/>
        <v>22913.599999999999</v>
      </c>
      <c r="G124" s="581">
        <f t="shared" si="121"/>
        <v>22913.599999999999</v>
      </c>
      <c r="H124" s="581">
        <f t="shared" si="121"/>
        <v>22913.599999999999</v>
      </c>
      <c r="I124" s="581">
        <f t="shared" si="121"/>
        <v>22913.599999999999</v>
      </c>
      <c r="J124" s="581">
        <f t="shared" si="121"/>
        <v>22913.599999999999</v>
      </c>
      <c r="K124" s="581">
        <f t="shared" si="121"/>
        <v>22913.599999999999</v>
      </c>
      <c r="L124" s="581">
        <f t="shared" si="121"/>
        <v>22913.599999999999</v>
      </c>
      <c r="M124" s="581">
        <f t="shared" si="121"/>
        <v>22913.599999999999</v>
      </c>
      <c r="N124" s="581">
        <f t="shared" si="121"/>
        <v>22913.599999999999</v>
      </c>
      <c r="O124" s="581">
        <f t="shared" si="121"/>
        <v>22913.599999999999</v>
      </c>
      <c r="P124" s="581">
        <f t="shared" si="121"/>
        <v>22913.599999999999</v>
      </c>
      <c r="Q124" s="581">
        <f t="shared" si="121"/>
        <v>22913.599999999999</v>
      </c>
      <c r="R124" s="581">
        <f t="shared" si="121"/>
        <v>22913.599999999999</v>
      </c>
      <c r="S124" s="581">
        <f t="shared" si="121"/>
        <v>22913.599999999999</v>
      </c>
      <c r="T124" s="581">
        <f t="shared" si="121"/>
        <v>22913.599999999999</v>
      </c>
      <c r="U124" s="581">
        <f t="shared" si="121"/>
        <v>25777.8</v>
      </c>
      <c r="V124" s="581">
        <f t="shared" si="121"/>
        <v>25777.8</v>
      </c>
      <c r="W124" s="581">
        <f t="shared" si="121"/>
        <v>25777.8</v>
      </c>
      <c r="X124" s="581">
        <f t="shared" si="121"/>
        <v>25777.8</v>
      </c>
      <c r="Y124" s="581">
        <f t="shared" si="121"/>
        <v>25777.8</v>
      </c>
      <c r="Z124" s="581">
        <f t="shared" si="121"/>
        <v>25777.8</v>
      </c>
      <c r="AA124" s="581">
        <f t="shared" si="121"/>
        <v>25777.8</v>
      </c>
      <c r="AB124" s="581">
        <f t="shared" si="121"/>
        <v>25777.8</v>
      </c>
      <c r="AC124" s="581">
        <f t="shared" si="121"/>
        <v>25777.8</v>
      </c>
      <c r="AD124" s="581">
        <f t="shared" si="121"/>
        <v>25777.8</v>
      </c>
      <c r="AE124" s="581">
        <f t="shared" si="121"/>
        <v>25777.8</v>
      </c>
      <c r="AF124" s="581">
        <f t="shared" si="121"/>
        <v>25777.8</v>
      </c>
      <c r="AH124" s="571"/>
      <c r="AK124" s="531"/>
      <c r="AM124" s="548"/>
      <c r="AN124" s="535"/>
      <c r="AP124" s="549"/>
      <c r="AQ124" s="549"/>
    </row>
    <row r="125" spans="1:43" s="586" customFormat="1" ht="16.5" hidden="1" customHeight="1" outlineLevel="2">
      <c r="A125" s="584"/>
      <c r="B125" s="585" t="s">
        <v>805</v>
      </c>
      <c r="C125" s="554">
        <v>8</v>
      </c>
      <c r="D125" s="554">
        <v>8</v>
      </c>
      <c r="E125" s="554">
        <v>8</v>
      </c>
      <c r="F125" s="554">
        <v>8</v>
      </c>
      <c r="G125" s="554">
        <v>8</v>
      </c>
      <c r="H125" s="554">
        <v>8</v>
      </c>
      <c r="I125" s="554">
        <v>8</v>
      </c>
      <c r="J125" s="554">
        <v>8</v>
      </c>
      <c r="K125" s="554">
        <v>8</v>
      </c>
      <c r="L125" s="554">
        <v>8</v>
      </c>
      <c r="M125" s="554">
        <v>8</v>
      </c>
      <c r="N125" s="554">
        <v>8</v>
      </c>
      <c r="O125" s="554">
        <v>8</v>
      </c>
      <c r="P125" s="554">
        <v>8</v>
      </c>
      <c r="Q125" s="554">
        <v>8</v>
      </c>
      <c r="R125" s="554">
        <v>8</v>
      </c>
      <c r="S125" s="554">
        <v>8</v>
      </c>
      <c r="T125" s="554">
        <v>8</v>
      </c>
      <c r="U125" s="554">
        <v>9</v>
      </c>
      <c r="V125" s="554">
        <v>9</v>
      </c>
      <c r="W125" s="554">
        <v>9</v>
      </c>
      <c r="X125" s="554">
        <v>9</v>
      </c>
      <c r="Y125" s="554">
        <v>9</v>
      </c>
      <c r="Z125" s="554">
        <v>9</v>
      </c>
      <c r="AA125" s="554">
        <v>9</v>
      </c>
      <c r="AB125" s="554">
        <v>9</v>
      </c>
      <c r="AC125" s="554">
        <v>9</v>
      </c>
      <c r="AD125" s="554">
        <v>9</v>
      </c>
      <c r="AE125" s="554">
        <v>9</v>
      </c>
      <c r="AF125" s="554">
        <v>9</v>
      </c>
      <c r="AH125" s="587"/>
      <c r="AK125" s="588"/>
      <c r="AM125" s="589"/>
      <c r="AN125" s="590"/>
      <c r="AP125" s="591"/>
      <c r="AQ125" s="591"/>
    </row>
    <row r="126" spans="1:43" s="586" customFormat="1" ht="16.5" hidden="1" customHeight="1" outlineLevel="2">
      <c r="A126" s="584"/>
      <c r="B126" s="585" t="s">
        <v>928</v>
      </c>
      <c r="C126" s="632">
        <f>'Sal._benef.'!$D$23</f>
        <v>2540</v>
      </c>
      <c r="D126" s="632">
        <f t="shared" ref="D126:S130" si="122">C126</f>
        <v>2540</v>
      </c>
      <c r="E126" s="632">
        <f t="shared" si="122"/>
        <v>2540</v>
      </c>
      <c r="F126" s="632">
        <f t="shared" si="122"/>
        <v>2540</v>
      </c>
      <c r="G126" s="632">
        <f t="shared" si="122"/>
        <v>2540</v>
      </c>
      <c r="H126" s="632">
        <f t="shared" si="122"/>
        <v>2540</v>
      </c>
      <c r="I126" s="632">
        <f t="shared" si="122"/>
        <v>2540</v>
      </c>
      <c r="J126" s="632">
        <f t="shared" si="122"/>
        <v>2540</v>
      </c>
      <c r="K126" s="632">
        <f t="shared" si="122"/>
        <v>2540</v>
      </c>
      <c r="L126" s="632">
        <f t="shared" si="122"/>
        <v>2540</v>
      </c>
      <c r="M126" s="632">
        <f t="shared" si="122"/>
        <v>2540</v>
      </c>
      <c r="N126" s="632">
        <f t="shared" si="122"/>
        <v>2540</v>
      </c>
      <c r="O126" s="632">
        <f t="shared" si="122"/>
        <v>2540</v>
      </c>
      <c r="P126" s="632">
        <f t="shared" si="122"/>
        <v>2540</v>
      </c>
      <c r="Q126" s="632">
        <f t="shared" si="122"/>
        <v>2540</v>
      </c>
      <c r="R126" s="632">
        <f t="shared" si="122"/>
        <v>2540</v>
      </c>
      <c r="S126" s="632">
        <f t="shared" si="122"/>
        <v>2540</v>
      </c>
      <c r="T126" s="632">
        <f t="shared" ref="T126:AF130" si="123">S126</f>
        <v>2540</v>
      </c>
      <c r="U126" s="632">
        <f t="shared" si="123"/>
        <v>2540</v>
      </c>
      <c r="V126" s="632">
        <f t="shared" si="123"/>
        <v>2540</v>
      </c>
      <c r="W126" s="632">
        <f t="shared" si="123"/>
        <v>2540</v>
      </c>
      <c r="X126" s="632">
        <f t="shared" si="123"/>
        <v>2540</v>
      </c>
      <c r="Y126" s="632">
        <f t="shared" si="123"/>
        <v>2540</v>
      </c>
      <c r="Z126" s="632">
        <f t="shared" si="123"/>
        <v>2540</v>
      </c>
      <c r="AA126" s="632">
        <f t="shared" si="123"/>
        <v>2540</v>
      </c>
      <c r="AB126" s="632">
        <f t="shared" si="123"/>
        <v>2540</v>
      </c>
      <c r="AC126" s="632">
        <f t="shared" si="123"/>
        <v>2540</v>
      </c>
      <c r="AD126" s="632">
        <f t="shared" si="123"/>
        <v>2540</v>
      </c>
      <c r="AE126" s="632">
        <f t="shared" si="123"/>
        <v>2540</v>
      </c>
      <c r="AF126" s="632">
        <f t="shared" si="123"/>
        <v>2540</v>
      </c>
      <c r="AH126" s="587"/>
      <c r="AK126" s="588"/>
      <c r="AM126" s="589"/>
      <c r="AN126" s="590"/>
      <c r="AP126" s="591"/>
      <c r="AQ126" s="591"/>
    </row>
    <row r="127" spans="1:43" s="586" customFormat="1" ht="16.5" hidden="1" customHeight="1" outlineLevel="2">
      <c r="A127" s="584"/>
      <c r="B127" s="585" t="s">
        <v>929</v>
      </c>
      <c r="C127" s="632">
        <f>'Sal._benef.'!$F$10</f>
        <v>1621</v>
      </c>
      <c r="D127" s="632">
        <f t="shared" si="122"/>
        <v>1621</v>
      </c>
      <c r="E127" s="632">
        <f t="shared" si="122"/>
        <v>1621</v>
      </c>
      <c r="F127" s="632">
        <f t="shared" si="122"/>
        <v>1621</v>
      </c>
      <c r="G127" s="632">
        <f t="shared" si="122"/>
        <v>1621</v>
      </c>
      <c r="H127" s="632">
        <f t="shared" si="122"/>
        <v>1621</v>
      </c>
      <c r="I127" s="632">
        <f t="shared" si="122"/>
        <v>1621</v>
      </c>
      <c r="J127" s="632">
        <f t="shared" si="122"/>
        <v>1621</v>
      </c>
      <c r="K127" s="632">
        <f t="shared" si="122"/>
        <v>1621</v>
      </c>
      <c r="L127" s="632">
        <f t="shared" si="122"/>
        <v>1621</v>
      </c>
      <c r="M127" s="632">
        <f t="shared" si="122"/>
        <v>1621</v>
      </c>
      <c r="N127" s="632">
        <f t="shared" si="122"/>
        <v>1621</v>
      </c>
      <c r="O127" s="632">
        <f t="shared" si="122"/>
        <v>1621</v>
      </c>
      <c r="P127" s="632">
        <f t="shared" si="122"/>
        <v>1621</v>
      </c>
      <c r="Q127" s="632">
        <f t="shared" si="122"/>
        <v>1621</v>
      </c>
      <c r="R127" s="632">
        <f t="shared" si="122"/>
        <v>1621</v>
      </c>
      <c r="S127" s="632">
        <f t="shared" si="122"/>
        <v>1621</v>
      </c>
      <c r="T127" s="632">
        <f t="shared" si="123"/>
        <v>1621</v>
      </c>
      <c r="U127" s="632">
        <f t="shared" si="123"/>
        <v>1621</v>
      </c>
      <c r="V127" s="632">
        <f t="shared" si="123"/>
        <v>1621</v>
      </c>
      <c r="W127" s="632">
        <f t="shared" si="123"/>
        <v>1621</v>
      </c>
      <c r="X127" s="632">
        <f t="shared" si="123"/>
        <v>1621</v>
      </c>
      <c r="Y127" s="632">
        <f t="shared" si="123"/>
        <v>1621</v>
      </c>
      <c r="Z127" s="632">
        <f t="shared" si="123"/>
        <v>1621</v>
      </c>
      <c r="AA127" s="632">
        <f t="shared" si="123"/>
        <v>1621</v>
      </c>
      <c r="AB127" s="632">
        <f t="shared" si="123"/>
        <v>1621</v>
      </c>
      <c r="AC127" s="632">
        <f t="shared" si="123"/>
        <v>1621</v>
      </c>
      <c r="AD127" s="632">
        <f t="shared" si="123"/>
        <v>1621</v>
      </c>
      <c r="AE127" s="632">
        <f t="shared" si="123"/>
        <v>1621</v>
      </c>
      <c r="AF127" s="632">
        <f t="shared" si="123"/>
        <v>1621</v>
      </c>
      <c r="AH127" s="587"/>
      <c r="AK127" s="588"/>
      <c r="AM127" s="589"/>
      <c r="AN127" s="590"/>
      <c r="AP127" s="591"/>
      <c r="AQ127" s="591"/>
    </row>
    <row r="128" spans="1:43" s="586" customFormat="1" ht="16.5" hidden="1" customHeight="1" outlineLevel="2">
      <c r="A128" s="584"/>
      <c r="B128" s="572" t="s">
        <v>1487</v>
      </c>
      <c r="C128" s="632">
        <f>'Sal._benef.'!$F$23*'Sal._benef.'!$F$10</f>
        <v>324.20000000000005</v>
      </c>
      <c r="D128" s="632">
        <f t="shared" si="122"/>
        <v>324.20000000000005</v>
      </c>
      <c r="E128" s="632">
        <f t="shared" si="122"/>
        <v>324.20000000000005</v>
      </c>
      <c r="F128" s="632">
        <f t="shared" si="122"/>
        <v>324.20000000000005</v>
      </c>
      <c r="G128" s="632">
        <f t="shared" si="122"/>
        <v>324.20000000000005</v>
      </c>
      <c r="H128" s="632">
        <f t="shared" si="122"/>
        <v>324.20000000000005</v>
      </c>
      <c r="I128" s="632">
        <f t="shared" si="122"/>
        <v>324.20000000000005</v>
      </c>
      <c r="J128" s="632">
        <f t="shared" si="122"/>
        <v>324.20000000000005</v>
      </c>
      <c r="K128" s="632">
        <f t="shared" si="122"/>
        <v>324.20000000000005</v>
      </c>
      <c r="L128" s="632">
        <f t="shared" si="122"/>
        <v>324.20000000000005</v>
      </c>
      <c r="M128" s="632">
        <f t="shared" si="122"/>
        <v>324.20000000000005</v>
      </c>
      <c r="N128" s="632">
        <f t="shared" si="122"/>
        <v>324.20000000000005</v>
      </c>
      <c r="O128" s="632">
        <f t="shared" si="122"/>
        <v>324.20000000000005</v>
      </c>
      <c r="P128" s="632">
        <f t="shared" si="122"/>
        <v>324.20000000000005</v>
      </c>
      <c r="Q128" s="632">
        <f t="shared" si="122"/>
        <v>324.20000000000005</v>
      </c>
      <c r="R128" s="632">
        <f t="shared" si="122"/>
        <v>324.20000000000005</v>
      </c>
      <c r="S128" s="632">
        <f t="shared" si="122"/>
        <v>324.20000000000005</v>
      </c>
      <c r="T128" s="632">
        <f t="shared" si="123"/>
        <v>324.20000000000005</v>
      </c>
      <c r="U128" s="632">
        <f t="shared" si="123"/>
        <v>324.20000000000005</v>
      </c>
      <c r="V128" s="632">
        <f t="shared" si="123"/>
        <v>324.20000000000005</v>
      </c>
      <c r="W128" s="632">
        <f t="shared" si="123"/>
        <v>324.20000000000005</v>
      </c>
      <c r="X128" s="632">
        <f t="shared" si="123"/>
        <v>324.20000000000005</v>
      </c>
      <c r="Y128" s="632">
        <f t="shared" si="123"/>
        <v>324.20000000000005</v>
      </c>
      <c r="Z128" s="632">
        <f t="shared" si="123"/>
        <v>324.20000000000005</v>
      </c>
      <c r="AA128" s="632">
        <f t="shared" si="123"/>
        <v>324.20000000000005</v>
      </c>
      <c r="AB128" s="632">
        <f t="shared" si="123"/>
        <v>324.20000000000005</v>
      </c>
      <c r="AC128" s="632">
        <f t="shared" si="123"/>
        <v>324.20000000000005</v>
      </c>
      <c r="AD128" s="632">
        <f t="shared" si="123"/>
        <v>324.20000000000005</v>
      </c>
      <c r="AE128" s="632">
        <f t="shared" si="123"/>
        <v>324.20000000000005</v>
      </c>
      <c r="AF128" s="632">
        <f t="shared" si="123"/>
        <v>324.20000000000005</v>
      </c>
      <c r="AH128" s="587"/>
      <c r="AK128" s="588"/>
      <c r="AM128" s="589"/>
      <c r="AN128" s="590"/>
      <c r="AP128" s="591"/>
      <c r="AQ128" s="591"/>
    </row>
    <row r="129" spans="1:43" s="586" customFormat="1" ht="16.5" hidden="1" customHeight="1" outlineLevel="2">
      <c r="A129" s="584"/>
      <c r="B129" s="572" t="s">
        <v>1486</v>
      </c>
      <c r="C129" s="632">
        <v>0</v>
      </c>
      <c r="D129" s="632">
        <f t="shared" si="122"/>
        <v>0</v>
      </c>
      <c r="E129" s="632">
        <f t="shared" si="122"/>
        <v>0</v>
      </c>
      <c r="F129" s="632">
        <f t="shared" si="122"/>
        <v>0</v>
      </c>
      <c r="G129" s="632">
        <f t="shared" si="122"/>
        <v>0</v>
      </c>
      <c r="H129" s="632">
        <f t="shared" si="122"/>
        <v>0</v>
      </c>
      <c r="I129" s="632">
        <f t="shared" si="122"/>
        <v>0</v>
      </c>
      <c r="J129" s="632">
        <f t="shared" si="122"/>
        <v>0</v>
      </c>
      <c r="K129" s="632">
        <f t="shared" si="122"/>
        <v>0</v>
      </c>
      <c r="L129" s="632">
        <f t="shared" si="122"/>
        <v>0</v>
      </c>
      <c r="M129" s="632">
        <f t="shared" si="122"/>
        <v>0</v>
      </c>
      <c r="N129" s="632">
        <f t="shared" si="122"/>
        <v>0</v>
      </c>
      <c r="O129" s="632">
        <f t="shared" si="122"/>
        <v>0</v>
      </c>
      <c r="P129" s="632">
        <f t="shared" si="122"/>
        <v>0</v>
      </c>
      <c r="Q129" s="632">
        <f t="shared" si="122"/>
        <v>0</v>
      </c>
      <c r="R129" s="632">
        <f t="shared" si="122"/>
        <v>0</v>
      </c>
      <c r="S129" s="632">
        <f t="shared" si="122"/>
        <v>0</v>
      </c>
      <c r="T129" s="632">
        <f t="shared" si="123"/>
        <v>0</v>
      </c>
      <c r="U129" s="632">
        <f t="shared" si="123"/>
        <v>0</v>
      </c>
      <c r="V129" s="632">
        <f t="shared" si="123"/>
        <v>0</v>
      </c>
      <c r="W129" s="632">
        <f t="shared" si="123"/>
        <v>0</v>
      </c>
      <c r="X129" s="632">
        <f t="shared" si="123"/>
        <v>0</v>
      </c>
      <c r="Y129" s="632">
        <f t="shared" si="123"/>
        <v>0</v>
      </c>
      <c r="Z129" s="632">
        <f t="shared" si="123"/>
        <v>0</v>
      </c>
      <c r="AA129" s="632">
        <f t="shared" si="123"/>
        <v>0</v>
      </c>
      <c r="AB129" s="632">
        <f t="shared" si="123"/>
        <v>0</v>
      </c>
      <c r="AC129" s="632">
        <f t="shared" si="123"/>
        <v>0</v>
      </c>
      <c r="AD129" s="632">
        <f t="shared" si="123"/>
        <v>0</v>
      </c>
      <c r="AE129" s="632">
        <f t="shared" si="123"/>
        <v>0</v>
      </c>
      <c r="AF129" s="632">
        <f t="shared" si="123"/>
        <v>0</v>
      </c>
      <c r="AH129" s="587"/>
      <c r="AK129" s="588"/>
      <c r="AM129" s="589"/>
      <c r="AN129" s="590"/>
      <c r="AP129" s="591"/>
      <c r="AQ129" s="591"/>
    </row>
    <row r="130" spans="1:43" s="586" customFormat="1" ht="16.5" hidden="1" customHeight="1" outlineLevel="2">
      <c r="A130" s="584"/>
      <c r="B130" s="572" t="s">
        <v>1367</v>
      </c>
      <c r="C130" s="632">
        <v>0</v>
      </c>
      <c r="D130" s="632">
        <f t="shared" si="122"/>
        <v>0</v>
      </c>
      <c r="E130" s="632">
        <f t="shared" si="122"/>
        <v>0</v>
      </c>
      <c r="F130" s="632">
        <f t="shared" si="122"/>
        <v>0</v>
      </c>
      <c r="G130" s="632">
        <f t="shared" si="122"/>
        <v>0</v>
      </c>
      <c r="H130" s="632">
        <f t="shared" si="122"/>
        <v>0</v>
      </c>
      <c r="I130" s="632">
        <f t="shared" si="122"/>
        <v>0</v>
      </c>
      <c r="J130" s="632">
        <f t="shared" si="122"/>
        <v>0</v>
      </c>
      <c r="K130" s="632">
        <f t="shared" si="122"/>
        <v>0</v>
      </c>
      <c r="L130" s="632">
        <f t="shared" si="122"/>
        <v>0</v>
      </c>
      <c r="M130" s="632">
        <f t="shared" si="122"/>
        <v>0</v>
      </c>
      <c r="N130" s="632">
        <f t="shared" si="122"/>
        <v>0</v>
      </c>
      <c r="O130" s="632">
        <f t="shared" si="122"/>
        <v>0</v>
      </c>
      <c r="P130" s="632">
        <f t="shared" si="122"/>
        <v>0</v>
      </c>
      <c r="Q130" s="632">
        <f t="shared" si="122"/>
        <v>0</v>
      </c>
      <c r="R130" s="632">
        <f t="shared" si="122"/>
        <v>0</v>
      </c>
      <c r="S130" s="632">
        <f t="shared" si="122"/>
        <v>0</v>
      </c>
      <c r="T130" s="632">
        <f t="shared" si="123"/>
        <v>0</v>
      </c>
      <c r="U130" s="632">
        <f t="shared" si="123"/>
        <v>0</v>
      </c>
      <c r="V130" s="632">
        <f t="shared" si="123"/>
        <v>0</v>
      </c>
      <c r="W130" s="632">
        <f t="shared" si="123"/>
        <v>0</v>
      </c>
      <c r="X130" s="632">
        <f t="shared" si="123"/>
        <v>0</v>
      </c>
      <c r="Y130" s="632">
        <f t="shared" si="123"/>
        <v>0</v>
      </c>
      <c r="Z130" s="632">
        <f t="shared" si="123"/>
        <v>0</v>
      </c>
      <c r="AA130" s="632">
        <f t="shared" si="123"/>
        <v>0</v>
      </c>
      <c r="AB130" s="632">
        <f t="shared" si="123"/>
        <v>0</v>
      </c>
      <c r="AC130" s="632">
        <f t="shared" si="123"/>
        <v>0</v>
      </c>
      <c r="AD130" s="632">
        <f t="shared" si="123"/>
        <v>0</v>
      </c>
      <c r="AE130" s="632">
        <f t="shared" si="123"/>
        <v>0</v>
      </c>
      <c r="AF130" s="632">
        <f t="shared" si="123"/>
        <v>0</v>
      </c>
      <c r="AH130" s="587"/>
      <c r="AK130" s="588"/>
      <c r="AM130" s="589"/>
      <c r="AN130" s="590"/>
      <c r="AP130" s="591"/>
      <c r="AQ130" s="591"/>
    </row>
    <row r="131" spans="1:43" s="634" customFormat="1" ht="16.5" hidden="1" customHeight="1" outlineLevel="2">
      <c r="A131" s="584"/>
      <c r="B131" s="580" t="s">
        <v>930</v>
      </c>
      <c r="C131" s="583">
        <f>C132*(C133+C135+C136+C137)</f>
        <v>0</v>
      </c>
      <c r="D131" s="583">
        <f t="shared" ref="D131:AF131" si="124">D132*(D133+D135+D136+D137)</f>
        <v>0</v>
      </c>
      <c r="E131" s="583">
        <f t="shared" si="124"/>
        <v>0</v>
      </c>
      <c r="F131" s="583">
        <f t="shared" si="124"/>
        <v>0</v>
      </c>
      <c r="G131" s="583">
        <f t="shared" si="124"/>
        <v>0</v>
      </c>
      <c r="H131" s="583">
        <f t="shared" si="124"/>
        <v>0</v>
      </c>
      <c r="I131" s="583">
        <f t="shared" si="124"/>
        <v>0</v>
      </c>
      <c r="J131" s="583">
        <f t="shared" si="124"/>
        <v>0</v>
      </c>
      <c r="K131" s="583">
        <f t="shared" si="124"/>
        <v>0</v>
      </c>
      <c r="L131" s="583">
        <f t="shared" si="124"/>
        <v>0</v>
      </c>
      <c r="M131" s="583">
        <f t="shared" si="124"/>
        <v>0</v>
      </c>
      <c r="N131" s="583">
        <f t="shared" si="124"/>
        <v>0</v>
      </c>
      <c r="O131" s="583">
        <f t="shared" si="124"/>
        <v>0</v>
      </c>
      <c r="P131" s="583">
        <f t="shared" si="124"/>
        <v>0</v>
      </c>
      <c r="Q131" s="583">
        <f t="shared" si="124"/>
        <v>0</v>
      </c>
      <c r="R131" s="583">
        <f t="shared" si="124"/>
        <v>0</v>
      </c>
      <c r="S131" s="583">
        <f t="shared" si="124"/>
        <v>0</v>
      </c>
      <c r="T131" s="583">
        <f t="shared" si="124"/>
        <v>0</v>
      </c>
      <c r="U131" s="583">
        <f t="shared" si="124"/>
        <v>0</v>
      </c>
      <c r="V131" s="583">
        <f t="shared" si="124"/>
        <v>0</v>
      </c>
      <c r="W131" s="583">
        <f t="shared" si="124"/>
        <v>0</v>
      </c>
      <c r="X131" s="583">
        <f t="shared" si="124"/>
        <v>0</v>
      </c>
      <c r="Y131" s="583">
        <f t="shared" si="124"/>
        <v>0</v>
      </c>
      <c r="Z131" s="583">
        <f t="shared" si="124"/>
        <v>0</v>
      </c>
      <c r="AA131" s="583">
        <f t="shared" si="124"/>
        <v>0</v>
      </c>
      <c r="AB131" s="583">
        <f t="shared" si="124"/>
        <v>0</v>
      </c>
      <c r="AC131" s="583">
        <f t="shared" si="124"/>
        <v>0</v>
      </c>
      <c r="AD131" s="583">
        <f t="shared" si="124"/>
        <v>0</v>
      </c>
      <c r="AE131" s="583">
        <f t="shared" si="124"/>
        <v>0</v>
      </c>
      <c r="AF131" s="583">
        <f t="shared" si="124"/>
        <v>0</v>
      </c>
      <c r="AH131" s="635"/>
      <c r="AK131" s="588"/>
      <c r="AM131" s="715"/>
      <c r="AN131" s="590"/>
      <c r="AP131" s="636"/>
      <c r="AQ131" s="636"/>
    </row>
    <row r="132" spans="1:43" s="586" customFormat="1" ht="16.5" hidden="1" customHeight="1" outlineLevel="2">
      <c r="A132" s="584"/>
      <c r="B132" s="585" t="s">
        <v>805</v>
      </c>
      <c r="C132" s="554">
        <v>0</v>
      </c>
      <c r="D132" s="554">
        <v>0</v>
      </c>
      <c r="E132" s="554">
        <v>0</v>
      </c>
      <c r="F132" s="554">
        <v>0</v>
      </c>
      <c r="G132" s="554">
        <v>0</v>
      </c>
      <c r="H132" s="554">
        <v>0</v>
      </c>
      <c r="I132" s="554">
        <v>0</v>
      </c>
      <c r="J132" s="554">
        <v>0</v>
      </c>
      <c r="K132" s="554">
        <v>0</v>
      </c>
      <c r="L132" s="554">
        <v>0</v>
      </c>
      <c r="M132" s="554">
        <v>0</v>
      </c>
      <c r="N132" s="554">
        <v>0</v>
      </c>
      <c r="O132" s="554">
        <v>0</v>
      </c>
      <c r="P132" s="554">
        <v>0</v>
      </c>
      <c r="Q132" s="554">
        <v>0</v>
      </c>
      <c r="R132" s="554">
        <v>0</v>
      </c>
      <c r="S132" s="554">
        <v>0</v>
      </c>
      <c r="T132" s="554">
        <v>0</v>
      </c>
      <c r="U132" s="554">
        <v>0</v>
      </c>
      <c r="V132" s="554">
        <v>0</v>
      </c>
      <c r="W132" s="554">
        <v>0</v>
      </c>
      <c r="X132" s="554">
        <v>0</v>
      </c>
      <c r="Y132" s="554">
        <v>0</v>
      </c>
      <c r="Z132" s="554">
        <v>0</v>
      </c>
      <c r="AA132" s="554">
        <v>0</v>
      </c>
      <c r="AB132" s="554">
        <v>0</v>
      </c>
      <c r="AC132" s="554">
        <v>0</v>
      </c>
      <c r="AD132" s="554">
        <v>0</v>
      </c>
      <c r="AE132" s="554">
        <v>0</v>
      </c>
      <c r="AF132" s="554">
        <v>0</v>
      </c>
      <c r="AH132" s="587"/>
      <c r="AK132" s="588"/>
      <c r="AM132" s="589"/>
      <c r="AN132" s="590"/>
      <c r="AP132" s="591"/>
      <c r="AQ132" s="591"/>
    </row>
    <row r="133" spans="1:43" s="586" customFormat="1" ht="16.5" hidden="1" customHeight="1" outlineLevel="2">
      <c r="A133" s="584"/>
      <c r="B133" s="585" t="s">
        <v>928</v>
      </c>
      <c r="C133" s="632">
        <f>'Sal._benef.'!$D$23</f>
        <v>2540</v>
      </c>
      <c r="D133" s="632">
        <f t="shared" ref="D133:S137" si="125">C133</f>
        <v>2540</v>
      </c>
      <c r="E133" s="632">
        <f t="shared" si="125"/>
        <v>2540</v>
      </c>
      <c r="F133" s="632">
        <f t="shared" si="125"/>
        <v>2540</v>
      </c>
      <c r="G133" s="632">
        <f t="shared" si="125"/>
        <v>2540</v>
      </c>
      <c r="H133" s="632">
        <f t="shared" si="125"/>
        <v>2540</v>
      </c>
      <c r="I133" s="632">
        <f t="shared" si="125"/>
        <v>2540</v>
      </c>
      <c r="J133" s="632">
        <f t="shared" si="125"/>
        <v>2540</v>
      </c>
      <c r="K133" s="632">
        <f t="shared" si="125"/>
        <v>2540</v>
      </c>
      <c r="L133" s="632">
        <f t="shared" si="125"/>
        <v>2540</v>
      </c>
      <c r="M133" s="632">
        <f t="shared" si="125"/>
        <v>2540</v>
      </c>
      <c r="N133" s="632">
        <f t="shared" si="125"/>
        <v>2540</v>
      </c>
      <c r="O133" s="632">
        <f t="shared" si="125"/>
        <v>2540</v>
      </c>
      <c r="P133" s="632">
        <f t="shared" si="125"/>
        <v>2540</v>
      </c>
      <c r="Q133" s="632">
        <f t="shared" si="125"/>
        <v>2540</v>
      </c>
      <c r="R133" s="632">
        <f t="shared" si="125"/>
        <v>2540</v>
      </c>
      <c r="S133" s="632">
        <f t="shared" si="125"/>
        <v>2540</v>
      </c>
      <c r="T133" s="632">
        <f t="shared" ref="T133:AF137" si="126">S133</f>
        <v>2540</v>
      </c>
      <c r="U133" s="632">
        <f t="shared" si="126"/>
        <v>2540</v>
      </c>
      <c r="V133" s="632">
        <f t="shared" si="126"/>
        <v>2540</v>
      </c>
      <c r="W133" s="632">
        <f t="shared" si="126"/>
        <v>2540</v>
      </c>
      <c r="X133" s="632">
        <f t="shared" si="126"/>
        <v>2540</v>
      </c>
      <c r="Y133" s="632">
        <f t="shared" si="126"/>
        <v>2540</v>
      </c>
      <c r="Z133" s="632">
        <f t="shared" si="126"/>
        <v>2540</v>
      </c>
      <c r="AA133" s="632">
        <f t="shared" si="126"/>
        <v>2540</v>
      </c>
      <c r="AB133" s="632">
        <f t="shared" si="126"/>
        <v>2540</v>
      </c>
      <c r="AC133" s="632">
        <f t="shared" si="126"/>
        <v>2540</v>
      </c>
      <c r="AD133" s="632">
        <f t="shared" si="126"/>
        <v>2540</v>
      </c>
      <c r="AE133" s="632">
        <f t="shared" si="126"/>
        <v>2540</v>
      </c>
      <c r="AF133" s="632">
        <f t="shared" si="126"/>
        <v>2540</v>
      </c>
      <c r="AH133" s="587"/>
      <c r="AK133" s="588"/>
      <c r="AM133" s="589"/>
      <c r="AN133" s="590"/>
      <c r="AP133" s="591"/>
      <c r="AQ133" s="591"/>
    </row>
    <row r="134" spans="1:43" s="586" customFormat="1" ht="16.5" hidden="1" customHeight="1" outlineLevel="2">
      <c r="A134" s="584"/>
      <c r="B134" s="585" t="s">
        <v>929</v>
      </c>
      <c r="C134" s="632">
        <f>'Sal._benef.'!$F$10</f>
        <v>1621</v>
      </c>
      <c r="D134" s="632">
        <f t="shared" si="125"/>
        <v>1621</v>
      </c>
      <c r="E134" s="632">
        <f t="shared" si="125"/>
        <v>1621</v>
      </c>
      <c r="F134" s="632">
        <f t="shared" si="125"/>
        <v>1621</v>
      </c>
      <c r="G134" s="632">
        <f t="shared" si="125"/>
        <v>1621</v>
      </c>
      <c r="H134" s="632">
        <f t="shared" si="125"/>
        <v>1621</v>
      </c>
      <c r="I134" s="632">
        <f t="shared" si="125"/>
        <v>1621</v>
      </c>
      <c r="J134" s="632">
        <f t="shared" si="125"/>
        <v>1621</v>
      </c>
      <c r="K134" s="632">
        <f t="shared" si="125"/>
        <v>1621</v>
      </c>
      <c r="L134" s="632">
        <f t="shared" si="125"/>
        <v>1621</v>
      </c>
      <c r="M134" s="632">
        <f t="shared" si="125"/>
        <v>1621</v>
      </c>
      <c r="N134" s="632">
        <f t="shared" si="125"/>
        <v>1621</v>
      </c>
      <c r="O134" s="632">
        <f t="shared" si="125"/>
        <v>1621</v>
      </c>
      <c r="P134" s="632">
        <f t="shared" si="125"/>
        <v>1621</v>
      </c>
      <c r="Q134" s="632">
        <f t="shared" si="125"/>
        <v>1621</v>
      </c>
      <c r="R134" s="632">
        <f t="shared" si="125"/>
        <v>1621</v>
      </c>
      <c r="S134" s="632">
        <f t="shared" si="125"/>
        <v>1621</v>
      </c>
      <c r="T134" s="632">
        <f t="shared" si="126"/>
        <v>1621</v>
      </c>
      <c r="U134" s="632">
        <f t="shared" si="126"/>
        <v>1621</v>
      </c>
      <c r="V134" s="632">
        <f t="shared" si="126"/>
        <v>1621</v>
      </c>
      <c r="W134" s="632">
        <f t="shared" si="126"/>
        <v>1621</v>
      </c>
      <c r="X134" s="632">
        <f t="shared" si="126"/>
        <v>1621</v>
      </c>
      <c r="Y134" s="632">
        <f t="shared" si="126"/>
        <v>1621</v>
      </c>
      <c r="Z134" s="632">
        <f t="shared" si="126"/>
        <v>1621</v>
      </c>
      <c r="AA134" s="632">
        <f t="shared" si="126"/>
        <v>1621</v>
      </c>
      <c r="AB134" s="632">
        <f t="shared" si="126"/>
        <v>1621</v>
      </c>
      <c r="AC134" s="632">
        <f t="shared" si="126"/>
        <v>1621</v>
      </c>
      <c r="AD134" s="632">
        <f t="shared" si="126"/>
        <v>1621</v>
      </c>
      <c r="AE134" s="632">
        <f t="shared" si="126"/>
        <v>1621</v>
      </c>
      <c r="AF134" s="632">
        <f t="shared" si="126"/>
        <v>1621</v>
      </c>
      <c r="AH134" s="587"/>
      <c r="AK134" s="588"/>
      <c r="AM134" s="589"/>
      <c r="AN134" s="590"/>
      <c r="AP134" s="591"/>
      <c r="AQ134" s="591"/>
    </row>
    <row r="135" spans="1:43" s="586" customFormat="1" ht="16.5" hidden="1" customHeight="1" outlineLevel="2">
      <c r="A135" s="584"/>
      <c r="B135" s="572" t="s">
        <v>1487</v>
      </c>
      <c r="C135" s="632">
        <f>'Sal._benef.'!$F$23*'Sal._benef.'!$F$10</f>
        <v>324.20000000000005</v>
      </c>
      <c r="D135" s="632">
        <f t="shared" si="125"/>
        <v>324.20000000000005</v>
      </c>
      <c r="E135" s="632">
        <f t="shared" si="125"/>
        <v>324.20000000000005</v>
      </c>
      <c r="F135" s="632">
        <f t="shared" si="125"/>
        <v>324.20000000000005</v>
      </c>
      <c r="G135" s="632">
        <f t="shared" si="125"/>
        <v>324.20000000000005</v>
      </c>
      <c r="H135" s="632">
        <f t="shared" si="125"/>
        <v>324.20000000000005</v>
      </c>
      <c r="I135" s="632">
        <f t="shared" si="125"/>
        <v>324.20000000000005</v>
      </c>
      <c r="J135" s="632">
        <f t="shared" si="125"/>
        <v>324.20000000000005</v>
      </c>
      <c r="K135" s="632">
        <f t="shared" si="125"/>
        <v>324.20000000000005</v>
      </c>
      <c r="L135" s="632">
        <f t="shared" si="125"/>
        <v>324.20000000000005</v>
      </c>
      <c r="M135" s="632">
        <f t="shared" si="125"/>
        <v>324.20000000000005</v>
      </c>
      <c r="N135" s="632">
        <f t="shared" si="125"/>
        <v>324.20000000000005</v>
      </c>
      <c r="O135" s="632">
        <f t="shared" si="125"/>
        <v>324.20000000000005</v>
      </c>
      <c r="P135" s="632">
        <f t="shared" si="125"/>
        <v>324.20000000000005</v>
      </c>
      <c r="Q135" s="632">
        <f t="shared" si="125"/>
        <v>324.20000000000005</v>
      </c>
      <c r="R135" s="632">
        <f t="shared" si="125"/>
        <v>324.20000000000005</v>
      </c>
      <c r="S135" s="632">
        <f t="shared" si="125"/>
        <v>324.20000000000005</v>
      </c>
      <c r="T135" s="632">
        <f t="shared" si="126"/>
        <v>324.20000000000005</v>
      </c>
      <c r="U135" s="632">
        <f t="shared" si="126"/>
        <v>324.20000000000005</v>
      </c>
      <c r="V135" s="632">
        <f t="shared" si="126"/>
        <v>324.20000000000005</v>
      </c>
      <c r="W135" s="632">
        <f t="shared" si="126"/>
        <v>324.20000000000005</v>
      </c>
      <c r="X135" s="632">
        <f t="shared" si="126"/>
        <v>324.20000000000005</v>
      </c>
      <c r="Y135" s="632">
        <f t="shared" si="126"/>
        <v>324.20000000000005</v>
      </c>
      <c r="Z135" s="632">
        <f t="shared" si="126"/>
        <v>324.20000000000005</v>
      </c>
      <c r="AA135" s="632">
        <f t="shared" si="126"/>
        <v>324.20000000000005</v>
      </c>
      <c r="AB135" s="632">
        <f t="shared" si="126"/>
        <v>324.20000000000005</v>
      </c>
      <c r="AC135" s="632">
        <f t="shared" si="126"/>
        <v>324.20000000000005</v>
      </c>
      <c r="AD135" s="632">
        <f t="shared" si="126"/>
        <v>324.20000000000005</v>
      </c>
      <c r="AE135" s="632">
        <f t="shared" si="126"/>
        <v>324.20000000000005</v>
      </c>
      <c r="AF135" s="632">
        <f t="shared" si="126"/>
        <v>324.20000000000005</v>
      </c>
      <c r="AH135" s="587"/>
      <c r="AK135" s="588"/>
      <c r="AM135" s="589"/>
      <c r="AN135" s="590"/>
      <c r="AP135" s="591"/>
      <c r="AQ135" s="591"/>
    </row>
    <row r="136" spans="1:43" s="586" customFormat="1" ht="16.5" hidden="1" customHeight="1" outlineLevel="2">
      <c r="A136" s="584"/>
      <c r="B136" s="572" t="s">
        <v>1486</v>
      </c>
      <c r="C136" s="632">
        <v>0</v>
      </c>
      <c r="D136" s="632">
        <f t="shared" si="125"/>
        <v>0</v>
      </c>
      <c r="E136" s="632">
        <f t="shared" si="125"/>
        <v>0</v>
      </c>
      <c r="F136" s="632">
        <f t="shared" si="125"/>
        <v>0</v>
      </c>
      <c r="G136" s="632">
        <f t="shared" si="125"/>
        <v>0</v>
      </c>
      <c r="H136" s="632">
        <f t="shared" si="125"/>
        <v>0</v>
      </c>
      <c r="I136" s="632">
        <f t="shared" si="125"/>
        <v>0</v>
      </c>
      <c r="J136" s="632">
        <f t="shared" si="125"/>
        <v>0</v>
      </c>
      <c r="K136" s="632">
        <f t="shared" si="125"/>
        <v>0</v>
      </c>
      <c r="L136" s="632">
        <f t="shared" si="125"/>
        <v>0</v>
      </c>
      <c r="M136" s="632">
        <f t="shared" si="125"/>
        <v>0</v>
      </c>
      <c r="N136" s="632">
        <f t="shared" si="125"/>
        <v>0</v>
      </c>
      <c r="O136" s="632">
        <f t="shared" si="125"/>
        <v>0</v>
      </c>
      <c r="P136" s="632">
        <f t="shared" si="125"/>
        <v>0</v>
      </c>
      <c r="Q136" s="632">
        <f t="shared" si="125"/>
        <v>0</v>
      </c>
      <c r="R136" s="632">
        <f t="shared" si="125"/>
        <v>0</v>
      </c>
      <c r="S136" s="632">
        <f t="shared" si="125"/>
        <v>0</v>
      </c>
      <c r="T136" s="632">
        <f t="shared" si="126"/>
        <v>0</v>
      </c>
      <c r="U136" s="632">
        <f t="shared" si="126"/>
        <v>0</v>
      </c>
      <c r="V136" s="632">
        <f t="shared" si="126"/>
        <v>0</v>
      </c>
      <c r="W136" s="632">
        <f t="shared" si="126"/>
        <v>0</v>
      </c>
      <c r="X136" s="632">
        <f t="shared" si="126"/>
        <v>0</v>
      </c>
      <c r="Y136" s="632">
        <f t="shared" si="126"/>
        <v>0</v>
      </c>
      <c r="Z136" s="632">
        <f t="shared" si="126"/>
        <v>0</v>
      </c>
      <c r="AA136" s="632">
        <f t="shared" si="126"/>
        <v>0</v>
      </c>
      <c r="AB136" s="632">
        <f t="shared" si="126"/>
        <v>0</v>
      </c>
      <c r="AC136" s="632">
        <f t="shared" si="126"/>
        <v>0</v>
      </c>
      <c r="AD136" s="632">
        <f t="shared" si="126"/>
        <v>0</v>
      </c>
      <c r="AE136" s="632">
        <f t="shared" si="126"/>
        <v>0</v>
      </c>
      <c r="AF136" s="632">
        <f t="shared" si="126"/>
        <v>0</v>
      </c>
      <c r="AH136" s="587"/>
      <c r="AK136" s="588"/>
      <c r="AM136" s="589"/>
      <c r="AN136" s="590"/>
      <c r="AP136" s="591"/>
      <c r="AQ136" s="591"/>
    </row>
    <row r="137" spans="1:43" s="586" customFormat="1" ht="16.5" hidden="1" customHeight="1" outlineLevel="2">
      <c r="A137" s="584"/>
      <c r="B137" s="572" t="s">
        <v>1367</v>
      </c>
      <c r="C137" s="632">
        <f>'Sal._benef.'!$E$23*'Sal._benef.'!$H$23</f>
        <v>477.33840000000004</v>
      </c>
      <c r="D137" s="632">
        <f t="shared" si="125"/>
        <v>477.33840000000004</v>
      </c>
      <c r="E137" s="632">
        <f t="shared" si="125"/>
        <v>477.33840000000004</v>
      </c>
      <c r="F137" s="632">
        <f t="shared" si="125"/>
        <v>477.33840000000004</v>
      </c>
      <c r="G137" s="632">
        <f t="shared" si="125"/>
        <v>477.33840000000004</v>
      </c>
      <c r="H137" s="632">
        <f t="shared" si="125"/>
        <v>477.33840000000004</v>
      </c>
      <c r="I137" s="632">
        <f t="shared" si="125"/>
        <v>477.33840000000004</v>
      </c>
      <c r="J137" s="632">
        <f t="shared" si="125"/>
        <v>477.33840000000004</v>
      </c>
      <c r="K137" s="632">
        <f t="shared" si="125"/>
        <v>477.33840000000004</v>
      </c>
      <c r="L137" s="632">
        <f t="shared" si="125"/>
        <v>477.33840000000004</v>
      </c>
      <c r="M137" s="632">
        <f t="shared" si="125"/>
        <v>477.33840000000004</v>
      </c>
      <c r="N137" s="632">
        <f t="shared" si="125"/>
        <v>477.33840000000004</v>
      </c>
      <c r="O137" s="632">
        <f t="shared" si="125"/>
        <v>477.33840000000004</v>
      </c>
      <c r="P137" s="632">
        <f t="shared" si="125"/>
        <v>477.33840000000004</v>
      </c>
      <c r="Q137" s="632">
        <f t="shared" si="125"/>
        <v>477.33840000000004</v>
      </c>
      <c r="R137" s="632">
        <f t="shared" si="125"/>
        <v>477.33840000000004</v>
      </c>
      <c r="S137" s="632">
        <f t="shared" si="125"/>
        <v>477.33840000000004</v>
      </c>
      <c r="T137" s="632">
        <f t="shared" si="126"/>
        <v>477.33840000000004</v>
      </c>
      <c r="U137" s="632">
        <f t="shared" si="126"/>
        <v>477.33840000000004</v>
      </c>
      <c r="V137" s="632">
        <f t="shared" si="126"/>
        <v>477.33840000000004</v>
      </c>
      <c r="W137" s="632">
        <f t="shared" si="126"/>
        <v>477.33840000000004</v>
      </c>
      <c r="X137" s="632">
        <f t="shared" si="126"/>
        <v>477.33840000000004</v>
      </c>
      <c r="Y137" s="632">
        <f t="shared" si="126"/>
        <v>477.33840000000004</v>
      </c>
      <c r="Z137" s="632">
        <f t="shared" si="126"/>
        <v>477.33840000000004</v>
      </c>
      <c r="AA137" s="632">
        <f t="shared" si="126"/>
        <v>477.33840000000004</v>
      </c>
      <c r="AB137" s="632">
        <f t="shared" si="126"/>
        <v>477.33840000000004</v>
      </c>
      <c r="AC137" s="632">
        <f t="shared" si="126"/>
        <v>477.33840000000004</v>
      </c>
      <c r="AD137" s="632">
        <f t="shared" si="126"/>
        <v>477.33840000000004</v>
      </c>
      <c r="AE137" s="632">
        <f t="shared" si="126"/>
        <v>477.33840000000004</v>
      </c>
      <c r="AF137" s="632">
        <f t="shared" si="126"/>
        <v>477.33840000000004</v>
      </c>
      <c r="AH137" s="587"/>
      <c r="AK137" s="588"/>
      <c r="AM137" s="589"/>
      <c r="AN137" s="590"/>
      <c r="AP137" s="591"/>
      <c r="AQ137" s="591"/>
    </row>
    <row r="138" spans="1:43" s="546" customFormat="1" ht="16.5" hidden="1" customHeight="1" outlineLevel="2">
      <c r="A138" s="584"/>
      <c r="B138" s="569" t="s">
        <v>931</v>
      </c>
      <c r="C138" s="581">
        <f>C139*(C140+C142+C143+C144)</f>
        <v>54788.800000000003</v>
      </c>
      <c r="D138" s="581">
        <f t="shared" ref="D138:AF138" si="127">D139*(D140+D142+D143+D144)</f>
        <v>54788.800000000003</v>
      </c>
      <c r="E138" s="581">
        <f t="shared" si="127"/>
        <v>54788.800000000003</v>
      </c>
      <c r="F138" s="581">
        <f t="shared" si="127"/>
        <v>54788.800000000003</v>
      </c>
      <c r="G138" s="581">
        <f t="shared" si="127"/>
        <v>54788.800000000003</v>
      </c>
      <c r="H138" s="581">
        <f t="shared" si="127"/>
        <v>54788.800000000003</v>
      </c>
      <c r="I138" s="581">
        <f t="shared" si="127"/>
        <v>54788.800000000003</v>
      </c>
      <c r="J138" s="581">
        <f t="shared" si="127"/>
        <v>54788.800000000003</v>
      </c>
      <c r="K138" s="581">
        <f t="shared" si="127"/>
        <v>54788.800000000003</v>
      </c>
      <c r="L138" s="581">
        <f t="shared" si="127"/>
        <v>54788.800000000003</v>
      </c>
      <c r="M138" s="581">
        <f t="shared" si="127"/>
        <v>54788.800000000003</v>
      </c>
      <c r="N138" s="581">
        <f t="shared" si="127"/>
        <v>54788.800000000003</v>
      </c>
      <c r="O138" s="581">
        <f t="shared" si="127"/>
        <v>54788.800000000003</v>
      </c>
      <c r="P138" s="581">
        <f t="shared" si="127"/>
        <v>54788.800000000003</v>
      </c>
      <c r="Q138" s="581">
        <f t="shared" si="127"/>
        <v>54788.800000000003</v>
      </c>
      <c r="R138" s="581">
        <f t="shared" si="127"/>
        <v>54788.800000000003</v>
      </c>
      <c r="S138" s="581">
        <f t="shared" si="127"/>
        <v>54788.800000000003</v>
      </c>
      <c r="T138" s="581">
        <f t="shared" si="127"/>
        <v>54788.800000000003</v>
      </c>
      <c r="U138" s="581">
        <f t="shared" si="127"/>
        <v>64750.400000000001</v>
      </c>
      <c r="V138" s="581">
        <f t="shared" si="127"/>
        <v>64750.400000000001</v>
      </c>
      <c r="W138" s="581">
        <f t="shared" si="127"/>
        <v>64750.400000000001</v>
      </c>
      <c r="X138" s="581">
        <f t="shared" si="127"/>
        <v>64750.400000000001</v>
      </c>
      <c r="Y138" s="581">
        <f t="shared" si="127"/>
        <v>64750.400000000001</v>
      </c>
      <c r="Z138" s="581">
        <f t="shared" si="127"/>
        <v>64750.400000000001</v>
      </c>
      <c r="AA138" s="581">
        <f t="shared" si="127"/>
        <v>64750.400000000001</v>
      </c>
      <c r="AB138" s="581">
        <f t="shared" si="127"/>
        <v>64750.400000000001</v>
      </c>
      <c r="AC138" s="581">
        <f t="shared" si="127"/>
        <v>64750.400000000001</v>
      </c>
      <c r="AD138" s="581">
        <f t="shared" si="127"/>
        <v>64750.400000000001</v>
      </c>
      <c r="AE138" s="581">
        <f t="shared" si="127"/>
        <v>64750.400000000001</v>
      </c>
      <c r="AF138" s="581">
        <f t="shared" si="127"/>
        <v>64750.400000000001</v>
      </c>
      <c r="AH138" s="571"/>
      <c r="AK138" s="531"/>
      <c r="AM138" s="548"/>
      <c r="AN138" s="535"/>
      <c r="AP138" s="549"/>
      <c r="AQ138" s="549"/>
    </row>
    <row r="139" spans="1:43" s="513" customFormat="1" ht="16.5" hidden="1" customHeight="1" outlineLevel="2">
      <c r="A139" s="584"/>
      <c r="B139" s="572" t="s">
        <v>805</v>
      </c>
      <c r="C139" s="554">
        <v>22</v>
      </c>
      <c r="D139" s="554">
        <v>22</v>
      </c>
      <c r="E139" s="554">
        <v>22</v>
      </c>
      <c r="F139" s="554">
        <v>22</v>
      </c>
      <c r="G139" s="554">
        <v>22</v>
      </c>
      <c r="H139" s="554">
        <v>22</v>
      </c>
      <c r="I139" s="554">
        <v>22</v>
      </c>
      <c r="J139" s="554">
        <v>22</v>
      </c>
      <c r="K139" s="554">
        <v>22</v>
      </c>
      <c r="L139" s="554">
        <v>22</v>
      </c>
      <c r="M139" s="554">
        <v>22</v>
      </c>
      <c r="N139" s="554">
        <v>22</v>
      </c>
      <c r="O139" s="554">
        <v>22</v>
      </c>
      <c r="P139" s="554">
        <v>22</v>
      </c>
      <c r="Q139" s="554">
        <v>22</v>
      </c>
      <c r="R139" s="554">
        <v>22</v>
      </c>
      <c r="S139" s="554">
        <v>22</v>
      </c>
      <c r="T139" s="554">
        <v>22</v>
      </c>
      <c r="U139" s="554">
        <v>26</v>
      </c>
      <c r="V139" s="554">
        <v>26</v>
      </c>
      <c r="W139" s="554">
        <v>26</v>
      </c>
      <c r="X139" s="554">
        <v>26</v>
      </c>
      <c r="Y139" s="554">
        <v>26</v>
      </c>
      <c r="Z139" s="554">
        <v>26</v>
      </c>
      <c r="AA139" s="554">
        <v>26</v>
      </c>
      <c r="AB139" s="554">
        <v>26</v>
      </c>
      <c r="AC139" s="554">
        <v>26</v>
      </c>
      <c r="AD139" s="554">
        <v>26</v>
      </c>
      <c r="AE139" s="554">
        <v>26</v>
      </c>
      <c r="AF139" s="554">
        <v>26</v>
      </c>
      <c r="AH139" s="538"/>
      <c r="AK139" s="531"/>
      <c r="AM139" s="539"/>
      <c r="AN139" s="535"/>
      <c r="AP139" s="540"/>
      <c r="AQ139" s="540"/>
    </row>
    <row r="140" spans="1:43" s="513" customFormat="1" ht="16.5" hidden="1" customHeight="1" outlineLevel="2">
      <c r="A140" s="584"/>
      <c r="B140" s="572" t="s">
        <v>928</v>
      </c>
      <c r="C140" s="574">
        <f>'Sal._benef.'!$D$19</f>
        <v>1842</v>
      </c>
      <c r="D140" s="574">
        <f>C140</f>
        <v>1842</v>
      </c>
      <c r="E140" s="574">
        <f t="shared" ref="E140:T144" si="128">D140</f>
        <v>1842</v>
      </c>
      <c r="F140" s="574">
        <f t="shared" si="128"/>
        <v>1842</v>
      </c>
      <c r="G140" s="574">
        <f t="shared" si="128"/>
        <v>1842</v>
      </c>
      <c r="H140" s="574">
        <f t="shared" si="128"/>
        <v>1842</v>
      </c>
      <c r="I140" s="574">
        <f t="shared" si="128"/>
        <v>1842</v>
      </c>
      <c r="J140" s="574">
        <f t="shared" si="128"/>
        <v>1842</v>
      </c>
      <c r="K140" s="574">
        <f t="shared" si="128"/>
        <v>1842</v>
      </c>
      <c r="L140" s="574">
        <f t="shared" si="128"/>
        <v>1842</v>
      </c>
      <c r="M140" s="574">
        <f t="shared" si="128"/>
        <v>1842</v>
      </c>
      <c r="N140" s="574">
        <f t="shared" si="128"/>
        <v>1842</v>
      </c>
      <c r="O140" s="574">
        <f t="shared" si="128"/>
        <v>1842</v>
      </c>
      <c r="P140" s="574">
        <f t="shared" si="128"/>
        <v>1842</v>
      </c>
      <c r="Q140" s="574">
        <f t="shared" si="128"/>
        <v>1842</v>
      </c>
      <c r="R140" s="574">
        <f t="shared" si="128"/>
        <v>1842</v>
      </c>
      <c r="S140" s="574">
        <f t="shared" si="128"/>
        <v>1842</v>
      </c>
      <c r="T140" s="574">
        <f t="shared" si="128"/>
        <v>1842</v>
      </c>
      <c r="U140" s="574">
        <f t="shared" ref="U140:AF144" si="129">T140</f>
        <v>1842</v>
      </c>
      <c r="V140" s="574">
        <f t="shared" si="129"/>
        <v>1842</v>
      </c>
      <c r="W140" s="574">
        <f t="shared" si="129"/>
        <v>1842</v>
      </c>
      <c r="X140" s="574">
        <f t="shared" si="129"/>
        <v>1842</v>
      </c>
      <c r="Y140" s="574">
        <f t="shared" si="129"/>
        <v>1842</v>
      </c>
      <c r="Z140" s="574">
        <f t="shared" si="129"/>
        <v>1842</v>
      </c>
      <c r="AA140" s="574">
        <f t="shared" si="129"/>
        <v>1842</v>
      </c>
      <c r="AB140" s="574">
        <f t="shared" si="129"/>
        <v>1842</v>
      </c>
      <c r="AC140" s="574">
        <f t="shared" si="129"/>
        <v>1842</v>
      </c>
      <c r="AD140" s="574">
        <f t="shared" si="129"/>
        <v>1842</v>
      </c>
      <c r="AE140" s="574">
        <f t="shared" si="129"/>
        <v>1842</v>
      </c>
      <c r="AF140" s="574">
        <f t="shared" si="129"/>
        <v>1842</v>
      </c>
      <c r="AH140" s="538"/>
      <c r="AK140" s="531"/>
      <c r="AM140" s="539"/>
      <c r="AN140" s="535"/>
      <c r="AP140" s="540"/>
      <c r="AQ140" s="540"/>
    </row>
    <row r="141" spans="1:43" s="513" customFormat="1" ht="16.5" hidden="1" customHeight="1" outlineLevel="2">
      <c r="A141" s="584"/>
      <c r="B141" s="572" t="s">
        <v>929</v>
      </c>
      <c r="C141" s="632">
        <f>'Sal._benef.'!$F$10</f>
        <v>1621</v>
      </c>
      <c r="D141" s="574">
        <f>C141</f>
        <v>1621</v>
      </c>
      <c r="E141" s="574">
        <f t="shared" si="128"/>
        <v>1621</v>
      </c>
      <c r="F141" s="574">
        <f t="shared" si="128"/>
        <v>1621</v>
      </c>
      <c r="G141" s="574">
        <f t="shared" si="128"/>
        <v>1621</v>
      </c>
      <c r="H141" s="574">
        <f t="shared" si="128"/>
        <v>1621</v>
      </c>
      <c r="I141" s="574">
        <f t="shared" si="128"/>
        <v>1621</v>
      </c>
      <c r="J141" s="574">
        <f t="shared" si="128"/>
        <v>1621</v>
      </c>
      <c r="K141" s="574">
        <f t="shared" si="128"/>
        <v>1621</v>
      </c>
      <c r="L141" s="574">
        <f t="shared" si="128"/>
        <v>1621</v>
      </c>
      <c r="M141" s="574">
        <f t="shared" si="128"/>
        <v>1621</v>
      </c>
      <c r="N141" s="574">
        <f t="shared" si="128"/>
        <v>1621</v>
      </c>
      <c r="O141" s="574">
        <f t="shared" si="128"/>
        <v>1621</v>
      </c>
      <c r="P141" s="574">
        <f t="shared" si="128"/>
        <v>1621</v>
      </c>
      <c r="Q141" s="574">
        <f t="shared" si="128"/>
        <v>1621</v>
      </c>
      <c r="R141" s="574">
        <f t="shared" si="128"/>
        <v>1621</v>
      </c>
      <c r="S141" s="574">
        <f t="shared" si="128"/>
        <v>1621</v>
      </c>
      <c r="T141" s="574">
        <f t="shared" si="128"/>
        <v>1621</v>
      </c>
      <c r="U141" s="574">
        <f t="shared" si="129"/>
        <v>1621</v>
      </c>
      <c r="V141" s="574">
        <f t="shared" si="129"/>
        <v>1621</v>
      </c>
      <c r="W141" s="574">
        <f t="shared" si="129"/>
        <v>1621</v>
      </c>
      <c r="X141" s="574">
        <f t="shared" si="129"/>
        <v>1621</v>
      </c>
      <c r="Y141" s="574">
        <f t="shared" si="129"/>
        <v>1621</v>
      </c>
      <c r="Z141" s="574">
        <f t="shared" si="129"/>
        <v>1621</v>
      </c>
      <c r="AA141" s="574">
        <f t="shared" si="129"/>
        <v>1621</v>
      </c>
      <c r="AB141" s="574">
        <f t="shared" si="129"/>
        <v>1621</v>
      </c>
      <c r="AC141" s="574">
        <f t="shared" si="129"/>
        <v>1621</v>
      </c>
      <c r="AD141" s="574">
        <f t="shared" si="129"/>
        <v>1621</v>
      </c>
      <c r="AE141" s="574">
        <f t="shared" si="129"/>
        <v>1621</v>
      </c>
      <c r="AF141" s="574">
        <f t="shared" si="129"/>
        <v>1621</v>
      </c>
      <c r="AH141" s="538"/>
      <c r="AK141" s="531"/>
      <c r="AM141" s="539"/>
      <c r="AN141" s="535"/>
      <c r="AP141" s="540"/>
      <c r="AQ141" s="540"/>
    </row>
    <row r="142" spans="1:43" s="513" customFormat="1" ht="16.5" hidden="1" customHeight="1" outlineLevel="2">
      <c r="A142" s="584"/>
      <c r="B142" s="572" t="s">
        <v>1487</v>
      </c>
      <c r="C142" s="574">
        <f>'Sal._benef.'!$F$19*'Sal._benef.'!$F$10</f>
        <v>648.40000000000009</v>
      </c>
      <c r="D142" s="574">
        <f>C142</f>
        <v>648.40000000000009</v>
      </c>
      <c r="E142" s="574">
        <f t="shared" si="128"/>
        <v>648.40000000000009</v>
      </c>
      <c r="F142" s="574">
        <f>E142</f>
        <v>648.40000000000009</v>
      </c>
      <c r="G142" s="574">
        <f t="shared" si="128"/>
        <v>648.40000000000009</v>
      </c>
      <c r="H142" s="574">
        <f t="shared" si="128"/>
        <v>648.40000000000009</v>
      </c>
      <c r="I142" s="574">
        <f t="shared" si="128"/>
        <v>648.40000000000009</v>
      </c>
      <c r="J142" s="574">
        <f t="shared" si="128"/>
        <v>648.40000000000009</v>
      </c>
      <c r="K142" s="574">
        <f t="shared" si="128"/>
        <v>648.40000000000009</v>
      </c>
      <c r="L142" s="574">
        <f t="shared" si="128"/>
        <v>648.40000000000009</v>
      </c>
      <c r="M142" s="574">
        <f t="shared" si="128"/>
        <v>648.40000000000009</v>
      </c>
      <c r="N142" s="574">
        <f t="shared" si="128"/>
        <v>648.40000000000009</v>
      </c>
      <c r="O142" s="574">
        <f t="shared" si="128"/>
        <v>648.40000000000009</v>
      </c>
      <c r="P142" s="574">
        <f t="shared" si="128"/>
        <v>648.40000000000009</v>
      </c>
      <c r="Q142" s="574">
        <f t="shared" si="128"/>
        <v>648.40000000000009</v>
      </c>
      <c r="R142" s="574">
        <f t="shared" si="128"/>
        <v>648.40000000000009</v>
      </c>
      <c r="S142" s="574">
        <f t="shared" si="128"/>
        <v>648.40000000000009</v>
      </c>
      <c r="T142" s="574">
        <f t="shared" si="128"/>
        <v>648.40000000000009</v>
      </c>
      <c r="U142" s="574">
        <f t="shared" si="129"/>
        <v>648.40000000000009</v>
      </c>
      <c r="V142" s="574">
        <f t="shared" si="129"/>
        <v>648.40000000000009</v>
      </c>
      <c r="W142" s="574">
        <f t="shared" si="129"/>
        <v>648.40000000000009</v>
      </c>
      <c r="X142" s="574">
        <f t="shared" si="129"/>
        <v>648.40000000000009</v>
      </c>
      <c r="Y142" s="574">
        <f t="shared" si="129"/>
        <v>648.40000000000009</v>
      </c>
      <c r="Z142" s="574">
        <f t="shared" si="129"/>
        <v>648.40000000000009</v>
      </c>
      <c r="AA142" s="574">
        <f t="shared" si="129"/>
        <v>648.40000000000009</v>
      </c>
      <c r="AB142" s="574">
        <f t="shared" si="129"/>
        <v>648.40000000000009</v>
      </c>
      <c r="AC142" s="574">
        <f t="shared" si="129"/>
        <v>648.40000000000009</v>
      </c>
      <c r="AD142" s="574">
        <f t="shared" si="129"/>
        <v>648.40000000000009</v>
      </c>
      <c r="AE142" s="574">
        <f t="shared" si="129"/>
        <v>648.40000000000009</v>
      </c>
      <c r="AF142" s="574">
        <f t="shared" si="129"/>
        <v>648.40000000000009</v>
      </c>
      <c r="AH142" s="538"/>
      <c r="AK142" s="531"/>
      <c r="AM142" s="539"/>
      <c r="AN142" s="535"/>
      <c r="AP142" s="540"/>
      <c r="AQ142" s="540"/>
    </row>
    <row r="143" spans="1:43" s="513" customFormat="1" ht="16.5" hidden="1" customHeight="1" outlineLevel="2">
      <c r="A143" s="584"/>
      <c r="B143" s="572" t="s">
        <v>1486</v>
      </c>
      <c r="C143" s="574">
        <v>0</v>
      </c>
      <c r="D143" s="574">
        <f>C143</f>
        <v>0</v>
      </c>
      <c r="E143" s="574">
        <f t="shared" si="128"/>
        <v>0</v>
      </c>
      <c r="F143" s="574">
        <f t="shared" si="128"/>
        <v>0</v>
      </c>
      <c r="G143" s="574">
        <f t="shared" si="128"/>
        <v>0</v>
      </c>
      <c r="H143" s="574">
        <f t="shared" si="128"/>
        <v>0</v>
      </c>
      <c r="I143" s="574">
        <f t="shared" si="128"/>
        <v>0</v>
      </c>
      <c r="J143" s="574">
        <f t="shared" si="128"/>
        <v>0</v>
      </c>
      <c r="K143" s="574">
        <f t="shared" si="128"/>
        <v>0</v>
      </c>
      <c r="L143" s="574">
        <f t="shared" si="128"/>
        <v>0</v>
      </c>
      <c r="M143" s="574">
        <f t="shared" si="128"/>
        <v>0</v>
      </c>
      <c r="N143" s="574">
        <f t="shared" si="128"/>
        <v>0</v>
      </c>
      <c r="O143" s="574">
        <f t="shared" si="128"/>
        <v>0</v>
      </c>
      <c r="P143" s="574">
        <f t="shared" si="128"/>
        <v>0</v>
      </c>
      <c r="Q143" s="574">
        <f t="shared" si="128"/>
        <v>0</v>
      </c>
      <c r="R143" s="574">
        <f t="shared" si="128"/>
        <v>0</v>
      </c>
      <c r="S143" s="574">
        <f t="shared" si="128"/>
        <v>0</v>
      </c>
      <c r="T143" s="574">
        <f t="shared" si="128"/>
        <v>0</v>
      </c>
      <c r="U143" s="574">
        <f t="shared" si="129"/>
        <v>0</v>
      </c>
      <c r="V143" s="574">
        <f t="shared" si="129"/>
        <v>0</v>
      </c>
      <c r="W143" s="574">
        <f t="shared" si="129"/>
        <v>0</v>
      </c>
      <c r="X143" s="574">
        <f t="shared" si="129"/>
        <v>0</v>
      </c>
      <c r="Y143" s="574">
        <f t="shared" si="129"/>
        <v>0</v>
      </c>
      <c r="Z143" s="574">
        <f t="shared" si="129"/>
        <v>0</v>
      </c>
      <c r="AA143" s="574">
        <f t="shared" si="129"/>
        <v>0</v>
      </c>
      <c r="AB143" s="574">
        <f t="shared" si="129"/>
        <v>0</v>
      </c>
      <c r="AC143" s="574">
        <f t="shared" si="129"/>
        <v>0</v>
      </c>
      <c r="AD143" s="574">
        <f t="shared" si="129"/>
        <v>0</v>
      </c>
      <c r="AE143" s="574">
        <f t="shared" si="129"/>
        <v>0</v>
      </c>
      <c r="AF143" s="574">
        <f t="shared" si="129"/>
        <v>0</v>
      </c>
      <c r="AH143" s="538"/>
      <c r="AK143" s="531"/>
      <c r="AM143" s="539"/>
      <c r="AN143" s="535"/>
      <c r="AP143" s="540"/>
      <c r="AQ143" s="540"/>
    </row>
    <row r="144" spans="1:43" s="513" customFormat="1" ht="16.5" hidden="1" customHeight="1" outlineLevel="2">
      <c r="A144" s="584"/>
      <c r="B144" s="572" t="s">
        <v>1367</v>
      </c>
      <c r="C144" s="574">
        <v>0</v>
      </c>
      <c r="D144" s="574">
        <f>C144</f>
        <v>0</v>
      </c>
      <c r="E144" s="574">
        <f t="shared" si="128"/>
        <v>0</v>
      </c>
      <c r="F144" s="574">
        <f t="shared" si="128"/>
        <v>0</v>
      </c>
      <c r="G144" s="574">
        <f t="shared" si="128"/>
        <v>0</v>
      </c>
      <c r="H144" s="574">
        <f t="shared" si="128"/>
        <v>0</v>
      </c>
      <c r="I144" s="574">
        <f t="shared" si="128"/>
        <v>0</v>
      </c>
      <c r="J144" s="574">
        <f t="shared" si="128"/>
        <v>0</v>
      </c>
      <c r="K144" s="574">
        <f t="shared" si="128"/>
        <v>0</v>
      </c>
      <c r="L144" s="574">
        <f t="shared" si="128"/>
        <v>0</v>
      </c>
      <c r="M144" s="574">
        <f t="shared" si="128"/>
        <v>0</v>
      </c>
      <c r="N144" s="574">
        <f t="shared" si="128"/>
        <v>0</v>
      </c>
      <c r="O144" s="574">
        <f t="shared" si="128"/>
        <v>0</v>
      </c>
      <c r="P144" s="574">
        <f t="shared" si="128"/>
        <v>0</v>
      </c>
      <c r="Q144" s="574">
        <f t="shared" si="128"/>
        <v>0</v>
      </c>
      <c r="R144" s="574">
        <f t="shared" si="128"/>
        <v>0</v>
      </c>
      <c r="S144" s="574">
        <f t="shared" si="128"/>
        <v>0</v>
      </c>
      <c r="T144" s="574">
        <f t="shared" si="128"/>
        <v>0</v>
      </c>
      <c r="U144" s="574">
        <f t="shared" si="129"/>
        <v>0</v>
      </c>
      <c r="V144" s="574">
        <f t="shared" si="129"/>
        <v>0</v>
      </c>
      <c r="W144" s="574">
        <f t="shared" si="129"/>
        <v>0</v>
      </c>
      <c r="X144" s="574">
        <f t="shared" si="129"/>
        <v>0</v>
      </c>
      <c r="Y144" s="574">
        <f t="shared" si="129"/>
        <v>0</v>
      </c>
      <c r="Z144" s="574">
        <f t="shared" si="129"/>
        <v>0</v>
      </c>
      <c r="AA144" s="574">
        <f t="shared" si="129"/>
        <v>0</v>
      </c>
      <c r="AB144" s="574">
        <f t="shared" si="129"/>
        <v>0</v>
      </c>
      <c r="AC144" s="574">
        <f t="shared" si="129"/>
        <v>0</v>
      </c>
      <c r="AD144" s="574">
        <f t="shared" si="129"/>
        <v>0</v>
      </c>
      <c r="AE144" s="574">
        <f t="shared" si="129"/>
        <v>0</v>
      </c>
      <c r="AF144" s="574">
        <f t="shared" si="129"/>
        <v>0</v>
      </c>
      <c r="AH144" s="538"/>
      <c r="AK144" s="531"/>
      <c r="AM144" s="539"/>
      <c r="AN144" s="535"/>
      <c r="AP144" s="540"/>
      <c r="AQ144" s="540"/>
    </row>
    <row r="145" spans="1:43" s="546" customFormat="1" ht="16.5" hidden="1" customHeight="1" outlineLevel="2">
      <c r="A145" s="584"/>
      <c r="B145" s="569" t="s">
        <v>932</v>
      </c>
      <c r="C145" s="581">
        <f>C146*(C147+C149+C150+C151)</f>
        <v>0</v>
      </c>
      <c r="D145" s="581">
        <f t="shared" ref="D145:AF145" si="130">D146*(D147+D149+D150+D151)</f>
        <v>0</v>
      </c>
      <c r="E145" s="581">
        <f t="shared" si="130"/>
        <v>0</v>
      </c>
      <c r="F145" s="581">
        <f t="shared" si="130"/>
        <v>0</v>
      </c>
      <c r="G145" s="581">
        <f t="shared" si="130"/>
        <v>0</v>
      </c>
      <c r="H145" s="581">
        <f t="shared" si="130"/>
        <v>0</v>
      </c>
      <c r="I145" s="581">
        <f t="shared" si="130"/>
        <v>0</v>
      </c>
      <c r="J145" s="581">
        <f t="shared" si="130"/>
        <v>0</v>
      </c>
      <c r="K145" s="581">
        <f t="shared" si="130"/>
        <v>0</v>
      </c>
      <c r="L145" s="581">
        <f t="shared" si="130"/>
        <v>0</v>
      </c>
      <c r="M145" s="581">
        <f t="shared" si="130"/>
        <v>0</v>
      </c>
      <c r="N145" s="581">
        <f t="shared" si="130"/>
        <v>0</v>
      </c>
      <c r="O145" s="581">
        <f t="shared" si="130"/>
        <v>0</v>
      </c>
      <c r="P145" s="581">
        <f t="shared" si="130"/>
        <v>0</v>
      </c>
      <c r="Q145" s="581">
        <f t="shared" si="130"/>
        <v>0</v>
      </c>
      <c r="R145" s="581">
        <f t="shared" si="130"/>
        <v>0</v>
      </c>
      <c r="S145" s="581">
        <f t="shared" si="130"/>
        <v>0</v>
      </c>
      <c r="T145" s="581">
        <f t="shared" si="130"/>
        <v>0</v>
      </c>
      <c r="U145" s="581">
        <f t="shared" si="130"/>
        <v>0</v>
      </c>
      <c r="V145" s="581">
        <f t="shared" si="130"/>
        <v>0</v>
      </c>
      <c r="W145" s="581">
        <f t="shared" si="130"/>
        <v>0</v>
      </c>
      <c r="X145" s="581">
        <f t="shared" si="130"/>
        <v>0</v>
      </c>
      <c r="Y145" s="581">
        <f t="shared" si="130"/>
        <v>0</v>
      </c>
      <c r="Z145" s="581">
        <f t="shared" si="130"/>
        <v>0</v>
      </c>
      <c r="AA145" s="581">
        <f t="shared" si="130"/>
        <v>0</v>
      </c>
      <c r="AB145" s="581">
        <f t="shared" si="130"/>
        <v>0</v>
      </c>
      <c r="AC145" s="581">
        <f t="shared" si="130"/>
        <v>0</v>
      </c>
      <c r="AD145" s="581">
        <f t="shared" si="130"/>
        <v>0</v>
      </c>
      <c r="AE145" s="581">
        <f t="shared" si="130"/>
        <v>0</v>
      </c>
      <c r="AF145" s="581">
        <f t="shared" si="130"/>
        <v>0</v>
      </c>
      <c r="AH145" s="571"/>
      <c r="AK145" s="531"/>
      <c r="AM145" s="548"/>
      <c r="AN145" s="535"/>
      <c r="AP145" s="549"/>
      <c r="AQ145" s="549"/>
    </row>
    <row r="146" spans="1:43" s="513" customFormat="1" ht="16.5" hidden="1" customHeight="1" outlineLevel="2">
      <c r="A146" s="584"/>
      <c r="B146" s="572" t="s">
        <v>805</v>
      </c>
      <c r="C146" s="552">
        <v>0</v>
      </c>
      <c r="D146" s="552">
        <v>0</v>
      </c>
      <c r="E146" s="552">
        <v>0</v>
      </c>
      <c r="F146" s="552">
        <v>0</v>
      </c>
      <c r="G146" s="552">
        <v>0</v>
      </c>
      <c r="H146" s="552">
        <v>0</v>
      </c>
      <c r="I146" s="552">
        <v>0</v>
      </c>
      <c r="J146" s="552">
        <v>0</v>
      </c>
      <c r="K146" s="552">
        <v>0</v>
      </c>
      <c r="L146" s="552">
        <v>0</v>
      </c>
      <c r="M146" s="552">
        <v>0</v>
      </c>
      <c r="N146" s="552">
        <v>0</v>
      </c>
      <c r="O146" s="552">
        <v>0</v>
      </c>
      <c r="P146" s="552">
        <v>0</v>
      </c>
      <c r="Q146" s="552">
        <v>0</v>
      </c>
      <c r="R146" s="552">
        <v>0</v>
      </c>
      <c r="S146" s="552">
        <v>0</v>
      </c>
      <c r="T146" s="552">
        <v>0</v>
      </c>
      <c r="U146" s="552">
        <v>0</v>
      </c>
      <c r="V146" s="552">
        <v>0</v>
      </c>
      <c r="W146" s="552">
        <v>0</v>
      </c>
      <c r="X146" s="552">
        <v>0</v>
      </c>
      <c r="Y146" s="552">
        <v>0</v>
      </c>
      <c r="Z146" s="552">
        <v>0</v>
      </c>
      <c r="AA146" s="552">
        <v>0</v>
      </c>
      <c r="AB146" s="552">
        <v>0</v>
      </c>
      <c r="AC146" s="552">
        <v>0</v>
      </c>
      <c r="AD146" s="552">
        <v>0</v>
      </c>
      <c r="AE146" s="552">
        <v>0</v>
      </c>
      <c r="AF146" s="552">
        <v>0</v>
      </c>
      <c r="AH146" s="538"/>
      <c r="AK146" s="531"/>
      <c r="AM146" s="539"/>
      <c r="AN146" s="535"/>
      <c r="AP146" s="540"/>
      <c r="AQ146" s="540"/>
    </row>
    <row r="147" spans="1:43" s="513" customFormat="1" ht="16.5" hidden="1" customHeight="1" outlineLevel="2">
      <c r="A147" s="584"/>
      <c r="B147" s="572" t="s">
        <v>928</v>
      </c>
      <c r="C147" s="574">
        <f>'Sal._benef.'!$D$19</f>
        <v>1842</v>
      </c>
      <c r="D147" s="574">
        <f>C147</f>
        <v>1842</v>
      </c>
      <c r="E147" s="574">
        <f t="shared" ref="E147:T151" si="131">D147</f>
        <v>1842</v>
      </c>
      <c r="F147" s="574">
        <f t="shared" si="131"/>
        <v>1842</v>
      </c>
      <c r="G147" s="574">
        <f t="shared" si="131"/>
        <v>1842</v>
      </c>
      <c r="H147" s="574">
        <f t="shared" si="131"/>
        <v>1842</v>
      </c>
      <c r="I147" s="574">
        <f t="shared" si="131"/>
        <v>1842</v>
      </c>
      <c r="J147" s="574">
        <f t="shared" si="131"/>
        <v>1842</v>
      </c>
      <c r="K147" s="574">
        <f t="shared" si="131"/>
        <v>1842</v>
      </c>
      <c r="L147" s="574">
        <f t="shared" si="131"/>
        <v>1842</v>
      </c>
      <c r="M147" s="574">
        <f t="shared" si="131"/>
        <v>1842</v>
      </c>
      <c r="N147" s="574">
        <f t="shared" si="131"/>
        <v>1842</v>
      </c>
      <c r="O147" s="574">
        <f t="shared" si="131"/>
        <v>1842</v>
      </c>
      <c r="P147" s="574">
        <f t="shared" si="131"/>
        <v>1842</v>
      </c>
      <c r="Q147" s="574">
        <f t="shared" si="131"/>
        <v>1842</v>
      </c>
      <c r="R147" s="574">
        <f t="shared" si="131"/>
        <v>1842</v>
      </c>
      <c r="S147" s="574">
        <f t="shared" si="131"/>
        <v>1842</v>
      </c>
      <c r="T147" s="574">
        <f t="shared" si="131"/>
        <v>1842</v>
      </c>
      <c r="U147" s="574">
        <f t="shared" ref="U147:AF151" si="132">T147</f>
        <v>1842</v>
      </c>
      <c r="V147" s="574">
        <f t="shared" si="132"/>
        <v>1842</v>
      </c>
      <c r="W147" s="574">
        <f t="shared" si="132"/>
        <v>1842</v>
      </c>
      <c r="X147" s="574">
        <f t="shared" si="132"/>
        <v>1842</v>
      </c>
      <c r="Y147" s="574">
        <f t="shared" si="132"/>
        <v>1842</v>
      </c>
      <c r="Z147" s="574">
        <f t="shared" si="132"/>
        <v>1842</v>
      </c>
      <c r="AA147" s="574">
        <f t="shared" si="132"/>
        <v>1842</v>
      </c>
      <c r="AB147" s="574">
        <f t="shared" si="132"/>
        <v>1842</v>
      </c>
      <c r="AC147" s="574">
        <f t="shared" si="132"/>
        <v>1842</v>
      </c>
      <c r="AD147" s="574">
        <f t="shared" si="132"/>
        <v>1842</v>
      </c>
      <c r="AE147" s="574">
        <f t="shared" si="132"/>
        <v>1842</v>
      </c>
      <c r="AF147" s="574">
        <f t="shared" si="132"/>
        <v>1842</v>
      </c>
      <c r="AH147" s="538"/>
      <c r="AK147" s="531"/>
      <c r="AM147" s="539"/>
      <c r="AN147" s="535"/>
      <c r="AP147" s="540"/>
      <c r="AQ147" s="540"/>
    </row>
    <row r="148" spans="1:43" s="513" customFormat="1" ht="16.5" hidden="1" customHeight="1" outlineLevel="2">
      <c r="A148" s="584"/>
      <c r="B148" s="572" t="s">
        <v>929</v>
      </c>
      <c r="C148" s="632">
        <f>'Sal._benef.'!$F$10</f>
        <v>1621</v>
      </c>
      <c r="D148" s="574">
        <f>C148</f>
        <v>1621</v>
      </c>
      <c r="E148" s="574">
        <f t="shared" si="131"/>
        <v>1621</v>
      </c>
      <c r="F148" s="574">
        <f t="shared" si="131"/>
        <v>1621</v>
      </c>
      <c r="G148" s="574">
        <f t="shared" si="131"/>
        <v>1621</v>
      </c>
      <c r="H148" s="574">
        <f t="shared" si="131"/>
        <v>1621</v>
      </c>
      <c r="I148" s="574">
        <f t="shared" si="131"/>
        <v>1621</v>
      </c>
      <c r="J148" s="574">
        <f t="shared" si="131"/>
        <v>1621</v>
      </c>
      <c r="K148" s="574">
        <f t="shared" si="131"/>
        <v>1621</v>
      </c>
      <c r="L148" s="574">
        <f t="shared" si="131"/>
        <v>1621</v>
      </c>
      <c r="M148" s="574">
        <f t="shared" si="131"/>
        <v>1621</v>
      </c>
      <c r="N148" s="574">
        <f t="shared" si="131"/>
        <v>1621</v>
      </c>
      <c r="O148" s="574">
        <f t="shared" si="131"/>
        <v>1621</v>
      </c>
      <c r="P148" s="574">
        <f t="shared" si="131"/>
        <v>1621</v>
      </c>
      <c r="Q148" s="574">
        <f t="shared" si="131"/>
        <v>1621</v>
      </c>
      <c r="R148" s="574">
        <f t="shared" si="131"/>
        <v>1621</v>
      </c>
      <c r="S148" s="574">
        <f t="shared" si="131"/>
        <v>1621</v>
      </c>
      <c r="T148" s="574">
        <f t="shared" si="131"/>
        <v>1621</v>
      </c>
      <c r="U148" s="574">
        <f t="shared" si="132"/>
        <v>1621</v>
      </c>
      <c r="V148" s="574">
        <f t="shared" si="132"/>
        <v>1621</v>
      </c>
      <c r="W148" s="574">
        <f t="shared" si="132"/>
        <v>1621</v>
      </c>
      <c r="X148" s="574">
        <f t="shared" si="132"/>
        <v>1621</v>
      </c>
      <c r="Y148" s="574">
        <f t="shared" si="132"/>
        <v>1621</v>
      </c>
      <c r="Z148" s="574">
        <f t="shared" si="132"/>
        <v>1621</v>
      </c>
      <c r="AA148" s="574">
        <f t="shared" si="132"/>
        <v>1621</v>
      </c>
      <c r="AB148" s="574">
        <f t="shared" si="132"/>
        <v>1621</v>
      </c>
      <c r="AC148" s="574">
        <f t="shared" si="132"/>
        <v>1621</v>
      </c>
      <c r="AD148" s="574">
        <f t="shared" si="132"/>
        <v>1621</v>
      </c>
      <c r="AE148" s="574">
        <f t="shared" si="132"/>
        <v>1621</v>
      </c>
      <c r="AF148" s="574">
        <f t="shared" si="132"/>
        <v>1621</v>
      </c>
      <c r="AH148" s="538"/>
      <c r="AK148" s="531"/>
      <c r="AM148" s="539"/>
      <c r="AN148" s="535"/>
      <c r="AP148" s="540"/>
      <c r="AQ148" s="540"/>
    </row>
    <row r="149" spans="1:43" s="513" customFormat="1" ht="16.5" hidden="1" customHeight="1" outlineLevel="2">
      <c r="A149" s="584"/>
      <c r="B149" s="572" t="s">
        <v>1487</v>
      </c>
      <c r="C149" s="574">
        <f>'Sal._benef.'!$F$19*'Sal._benef.'!$F$10</f>
        <v>648.40000000000009</v>
      </c>
      <c r="D149" s="574">
        <f>C149</f>
        <v>648.40000000000009</v>
      </c>
      <c r="E149" s="574">
        <f t="shared" si="131"/>
        <v>648.40000000000009</v>
      </c>
      <c r="F149" s="574">
        <f t="shared" si="131"/>
        <v>648.40000000000009</v>
      </c>
      <c r="G149" s="574">
        <f t="shared" si="131"/>
        <v>648.40000000000009</v>
      </c>
      <c r="H149" s="574">
        <f t="shared" si="131"/>
        <v>648.40000000000009</v>
      </c>
      <c r="I149" s="574">
        <f t="shared" si="131"/>
        <v>648.40000000000009</v>
      </c>
      <c r="J149" s="574">
        <f t="shared" si="131"/>
        <v>648.40000000000009</v>
      </c>
      <c r="K149" s="574">
        <f t="shared" si="131"/>
        <v>648.40000000000009</v>
      </c>
      <c r="L149" s="574">
        <f t="shared" si="131"/>
        <v>648.40000000000009</v>
      </c>
      <c r="M149" s="574">
        <f t="shared" si="131"/>
        <v>648.40000000000009</v>
      </c>
      <c r="N149" s="574">
        <f t="shared" si="131"/>
        <v>648.40000000000009</v>
      </c>
      <c r="O149" s="574">
        <f t="shared" si="131"/>
        <v>648.40000000000009</v>
      </c>
      <c r="P149" s="574">
        <f t="shared" si="131"/>
        <v>648.40000000000009</v>
      </c>
      <c r="Q149" s="574">
        <f t="shared" si="131"/>
        <v>648.40000000000009</v>
      </c>
      <c r="R149" s="574">
        <f t="shared" si="131"/>
        <v>648.40000000000009</v>
      </c>
      <c r="S149" s="574">
        <f t="shared" si="131"/>
        <v>648.40000000000009</v>
      </c>
      <c r="T149" s="574">
        <f t="shared" si="131"/>
        <v>648.40000000000009</v>
      </c>
      <c r="U149" s="574">
        <f t="shared" si="132"/>
        <v>648.40000000000009</v>
      </c>
      <c r="V149" s="574">
        <f t="shared" si="132"/>
        <v>648.40000000000009</v>
      </c>
      <c r="W149" s="574">
        <f t="shared" si="132"/>
        <v>648.40000000000009</v>
      </c>
      <c r="X149" s="574">
        <f t="shared" si="132"/>
        <v>648.40000000000009</v>
      </c>
      <c r="Y149" s="574">
        <f t="shared" si="132"/>
        <v>648.40000000000009</v>
      </c>
      <c r="Z149" s="574">
        <f t="shared" si="132"/>
        <v>648.40000000000009</v>
      </c>
      <c r="AA149" s="574">
        <f t="shared" si="132"/>
        <v>648.40000000000009</v>
      </c>
      <c r="AB149" s="574">
        <f t="shared" si="132"/>
        <v>648.40000000000009</v>
      </c>
      <c r="AC149" s="574">
        <f t="shared" si="132"/>
        <v>648.40000000000009</v>
      </c>
      <c r="AD149" s="574">
        <f t="shared" si="132"/>
        <v>648.40000000000009</v>
      </c>
      <c r="AE149" s="574">
        <f t="shared" si="132"/>
        <v>648.40000000000009</v>
      </c>
      <c r="AF149" s="574">
        <f t="shared" si="132"/>
        <v>648.40000000000009</v>
      </c>
      <c r="AH149" s="538"/>
      <c r="AK149" s="531"/>
      <c r="AM149" s="539"/>
      <c r="AN149" s="535"/>
      <c r="AP149" s="540"/>
      <c r="AQ149" s="540"/>
    </row>
    <row r="150" spans="1:43" s="513" customFormat="1" ht="16.5" hidden="1" customHeight="1" outlineLevel="2">
      <c r="A150" s="584"/>
      <c r="B150" s="572" t="s">
        <v>1486</v>
      </c>
      <c r="C150" s="574">
        <v>0</v>
      </c>
      <c r="D150" s="574">
        <f>C150</f>
        <v>0</v>
      </c>
      <c r="E150" s="574">
        <f t="shared" si="131"/>
        <v>0</v>
      </c>
      <c r="F150" s="574">
        <f t="shared" si="131"/>
        <v>0</v>
      </c>
      <c r="G150" s="574">
        <f t="shared" si="131"/>
        <v>0</v>
      </c>
      <c r="H150" s="574">
        <f t="shared" si="131"/>
        <v>0</v>
      </c>
      <c r="I150" s="574">
        <f t="shared" si="131"/>
        <v>0</v>
      </c>
      <c r="J150" s="574">
        <f t="shared" si="131"/>
        <v>0</v>
      </c>
      <c r="K150" s="574">
        <f t="shared" si="131"/>
        <v>0</v>
      </c>
      <c r="L150" s="574">
        <f t="shared" si="131"/>
        <v>0</v>
      </c>
      <c r="M150" s="574">
        <f t="shared" si="131"/>
        <v>0</v>
      </c>
      <c r="N150" s="574">
        <f t="shared" si="131"/>
        <v>0</v>
      </c>
      <c r="O150" s="574">
        <f t="shared" si="131"/>
        <v>0</v>
      </c>
      <c r="P150" s="574">
        <f t="shared" si="131"/>
        <v>0</v>
      </c>
      <c r="Q150" s="574">
        <f t="shared" si="131"/>
        <v>0</v>
      </c>
      <c r="R150" s="574">
        <f t="shared" si="131"/>
        <v>0</v>
      </c>
      <c r="S150" s="574">
        <f t="shared" si="131"/>
        <v>0</v>
      </c>
      <c r="T150" s="574">
        <f t="shared" si="131"/>
        <v>0</v>
      </c>
      <c r="U150" s="574">
        <f t="shared" si="132"/>
        <v>0</v>
      </c>
      <c r="V150" s="574">
        <f t="shared" si="132"/>
        <v>0</v>
      </c>
      <c r="W150" s="574">
        <f t="shared" si="132"/>
        <v>0</v>
      </c>
      <c r="X150" s="574">
        <f t="shared" si="132"/>
        <v>0</v>
      </c>
      <c r="Y150" s="574">
        <f t="shared" si="132"/>
        <v>0</v>
      </c>
      <c r="Z150" s="574">
        <f t="shared" si="132"/>
        <v>0</v>
      </c>
      <c r="AA150" s="574">
        <f t="shared" si="132"/>
        <v>0</v>
      </c>
      <c r="AB150" s="574">
        <f t="shared" si="132"/>
        <v>0</v>
      </c>
      <c r="AC150" s="574">
        <f t="shared" si="132"/>
        <v>0</v>
      </c>
      <c r="AD150" s="574">
        <f t="shared" si="132"/>
        <v>0</v>
      </c>
      <c r="AE150" s="574">
        <f t="shared" si="132"/>
        <v>0</v>
      </c>
      <c r="AF150" s="574">
        <f t="shared" si="132"/>
        <v>0</v>
      </c>
      <c r="AH150" s="538"/>
      <c r="AK150" s="531"/>
      <c r="AM150" s="539"/>
      <c r="AN150" s="535"/>
      <c r="AP150" s="540"/>
      <c r="AQ150" s="540"/>
    </row>
    <row r="151" spans="1:43" s="513" customFormat="1" ht="16.5" hidden="1" customHeight="1" outlineLevel="2">
      <c r="A151" s="584"/>
      <c r="B151" s="572" t="s">
        <v>1367</v>
      </c>
      <c r="C151" s="574">
        <f>'Sal._benef.'!$E$19*'Sal._benef.'!$H$19</f>
        <v>345.91535999999996</v>
      </c>
      <c r="D151" s="574">
        <f>C151</f>
        <v>345.91535999999996</v>
      </c>
      <c r="E151" s="574">
        <f t="shared" si="131"/>
        <v>345.91535999999996</v>
      </c>
      <c r="F151" s="574">
        <f t="shared" si="131"/>
        <v>345.91535999999996</v>
      </c>
      <c r="G151" s="574">
        <f t="shared" si="131"/>
        <v>345.91535999999996</v>
      </c>
      <c r="H151" s="574">
        <f t="shared" si="131"/>
        <v>345.91535999999996</v>
      </c>
      <c r="I151" s="574">
        <f t="shared" si="131"/>
        <v>345.91535999999996</v>
      </c>
      <c r="J151" s="574">
        <f t="shared" si="131"/>
        <v>345.91535999999996</v>
      </c>
      <c r="K151" s="574">
        <f t="shared" si="131"/>
        <v>345.91535999999996</v>
      </c>
      <c r="L151" s="574">
        <f t="shared" si="131"/>
        <v>345.91535999999996</v>
      </c>
      <c r="M151" s="574">
        <f t="shared" si="131"/>
        <v>345.91535999999996</v>
      </c>
      <c r="N151" s="574">
        <f t="shared" si="131"/>
        <v>345.91535999999996</v>
      </c>
      <c r="O151" s="574">
        <f t="shared" si="131"/>
        <v>345.91535999999996</v>
      </c>
      <c r="P151" s="574">
        <f t="shared" si="131"/>
        <v>345.91535999999996</v>
      </c>
      <c r="Q151" s="574">
        <f t="shared" si="131"/>
        <v>345.91535999999996</v>
      </c>
      <c r="R151" s="574">
        <f t="shared" si="131"/>
        <v>345.91535999999996</v>
      </c>
      <c r="S151" s="574">
        <f t="shared" si="131"/>
        <v>345.91535999999996</v>
      </c>
      <c r="T151" s="574">
        <f t="shared" si="131"/>
        <v>345.91535999999996</v>
      </c>
      <c r="U151" s="574">
        <f t="shared" si="132"/>
        <v>345.91535999999996</v>
      </c>
      <c r="V151" s="574">
        <f t="shared" si="132"/>
        <v>345.91535999999996</v>
      </c>
      <c r="W151" s="574">
        <f t="shared" si="132"/>
        <v>345.91535999999996</v>
      </c>
      <c r="X151" s="574">
        <f t="shared" si="132"/>
        <v>345.91535999999996</v>
      </c>
      <c r="Y151" s="574">
        <f t="shared" si="132"/>
        <v>345.91535999999996</v>
      </c>
      <c r="Z151" s="574">
        <f t="shared" si="132"/>
        <v>345.91535999999996</v>
      </c>
      <c r="AA151" s="574">
        <f t="shared" si="132"/>
        <v>345.91535999999996</v>
      </c>
      <c r="AB151" s="574">
        <f t="shared" si="132"/>
        <v>345.91535999999996</v>
      </c>
      <c r="AC151" s="574">
        <f t="shared" si="132"/>
        <v>345.91535999999996</v>
      </c>
      <c r="AD151" s="574">
        <f t="shared" si="132"/>
        <v>345.91535999999996</v>
      </c>
      <c r="AE151" s="574">
        <f t="shared" si="132"/>
        <v>345.91535999999996</v>
      </c>
      <c r="AF151" s="574">
        <f t="shared" si="132"/>
        <v>345.91535999999996</v>
      </c>
      <c r="AH151" s="538"/>
      <c r="AK151" s="531"/>
      <c r="AM151" s="539"/>
      <c r="AN151" s="535"/>
      <c r="AP151" s="540"/>
      <c r="AQ151" s="540"/>
    </row>
    <row r="152" spans="1:43" s="546" customFormat="1" ht="16.5" hidden="1" customHeight="1" outlineLevel="2">
      <c r="A152" s="584"/>
      <c r="B152" s="569" t="s">
        <v>933</v>
      </c>
      <c r="C152" s="581">
        <f>C153*(C154+C156+C157+C158)</f>
        <v>4217.92</v>
      </c>
      <c r="D152" s="581">
        <f t="shared" ref="D152:AF152" si="133">D153*(D154+D156+D157+D158)</f>
        <v>4217.92</v>
      </c>
      <c r="E152" s="581">
        <f t="shared" si="133"/>
        <v>4217.92</v>
      </c>
      <c r="F152" s="581">
        <f t="shared" si="133"/>
        <v>4217.92</v>
      </c>
      <c r="G152" s="581">
        <f t="shared" si="133"/>
        <v>4217.92</v>
      </c>
      <c r="H152" s="581">
        <f t="shared" si="133"/>
        <v>4217.92</v>
      </c>
      <c r="I152" s="581">
        <f t="shared" si="133"/>
        <v>4217.92</v>
      </c>
      <c r="J152" s="581">
        <f t="shared" si="133"/>
        <v>4217.92</v>
      </c>
      <c r="K152" s="581">
        <f t="shared" si="133"/>
        <v>4217.92</v>
      </c>
      <c r="L152" s="581">
        <f t="shared" si="133"/>
        <v>4217.92</v>
      </c>
      <c r="M152" s="581">
        <f t="shared" si="133"/>
        <v>4217.92</v>
      </c>
      <c r="N152" s="581">
        <f t="shared" si="133"/>
        <v>4217.92</v>
      </c>
      <c r="O152" s="581">
        <f t="shared" si="133"/>
        <v>4217.92</v>
      </c>
      <c r="P152" s="581">
        <f t="shared" si="133"/>
        <v>4217.92</v>
      </c>
      <c r="Q152" s="581">
        <f t="shared" si="133"/>
        <v>4217.92</v>
      </c>
      <c r="R152" s="581">
        <f t="shared" si="133"/>
        <v>4217.92</v>
      </c>
      <c r="S152" s="581">
        <f t="shared" si="133"/>
        <v>4217.92</v>
      </c>
      <c r="T152" s="581">
        <f t="shared" si="133"/>
        <v>4217.92</v>
      </c>
      <c r="U152" s="581">
        <f t="shared" si="133"/>
        <v>4217.92</v>
      </c>
      <c r="V152" s="581">
        <f t="shared" si="133"/>
        <v>4217.92</v>
      </c>
      <c r="W152" s="581">
        <f t="shared" si="133"/>
        <v>4217.92</v>
      </c>
      <c r="X152" s="581">
        <f t="shared" si="133"/>
        <v>4217.92</v>
      </c>
      <c r="Y152" s="581">
        <f t="shared" si="133"/>
        <v>4217.92</v>
      </c>
      <c r="Z152" s="581">
        <f t="shared" si="133"/>
        <v>4217.92</v>
      </c>
      <c r="AA152" s="581">
        <f t="shared" si="133"/>
        <v>4217.92</v>
      </c>
      <c r="AB152" s="581">
        <f t="shared" si="133"/>
        <v>4217.92</v>
      </c>
      <c r="AC152" s="581">
        <f t="shared" si="133"/>
        <v>4217.92</v>
      </c>
      <c r="AD152" s="581">
        <f t="shared" si="133"/>
        <v>4217.92</v>
      </c>
      <c r="AE152" s="581">
        <f t="shared" si="133"/>
        <v>4217.92</v>
      </c>
      <c r="AF152" s="581">
        <f t="shared" si="133"/>
        <v>4217.92</v>
      </c>
      <c r="AH152" s="571"/>
      <c r="AK152" s="531"/>
      <c r="AM152" s="548"/>
      <c r="AN152" s="535"/>
      <c r="AP152" s="549"/>
      <c r="AQ152" s="549"/>
    </row>
    <row r="153" spans="1:43" s="586" customFormat="1" ht="16.5" hidden="1" customHeight="1" outlineLevel="2">
      <c r="A153" s="584"/>
      <c r="B153" s="585" t="s">
        <v>805</v>
      </c>
      <c r="C153" s="554">
        <v>1</v>
      </c>
      <c r="D153" s="554">
        <v>1</v>
      </c>
      <c r="E153" s="554">
        <v>1</v>
      </c>
      <c r="F153" s="554">
        <v>1</v>
      </c>
      <c r="G153" s="554">
        <v>1</v>
      </c>
      <c r="H153" s="554">
        <v>1</v>
      </c>
      <c r="I153" s="554">
        <v>1</v>
      </c>
      <c r="J153" s="554">
        <v>1</v>
      </c>
      <c r="K153" s="554">
        <v>1</v>
      </c>
      <c r="L153" s="554">
        <v>1</v>
      </c>
      <c r="M153" s="554">
        <v>1</v>
      </c>
      <c r="N153" s="554">
        <v>1</v>
      </c>
      <c r="O153" s="554">
        <v>1</v>
      </c>
      <c r="P153" s="554">
        <v>1</v>
      </c>
      <c r="Q153" s="554">
        <v>1</v>
      </c>
      <c r="R153" s="554">
        <v>1</v>
      </c>
      <c r="S153" s="554">
        <v>1</v>
      </c>
      <c r="T153" s="554">
        <v>1</v>
      </c>
      <c r="U153" s="554">
        <v>1</v>
      </c>
      <c r="V153" s="554">
        <v>1</v>
      </c>
      <c r="W153" s="554">
        <v>1</v>
      </c>
      <c r="X153" s="554">
        <v>1</v>
      </c>
      <c r="Y153" s="554">
        <v>1</v>
      </c>
      <c r="Z153" s="554">
        <v>1</v>
      </c>
      <c r="AA153" s="554">
        <v>1</v>
      </c>
      <c r="AB153" s="554">
        <v>1</v>
      </c>
      <c r="AC153" s="554">
        <v>1</v>
      </c>
      <c r="AD153" s="554">
        <v>1</v>
      </c>
      <c r="AE153" s="554">
        <v>1</v>
      </c>
      <c r="AF153" s="554">
        <v>1</v>
      </c>
      <c r="AH153" s="587"/>
      <c r="AK153" s="588"/>
      <c r="AM153" s="589"/>
      <c r="AN153" s="590"/>
      <c r="AP153" s="591"/>
      <c r="AQ153" s="591"/>
    </row>
    <row r="154" spans="1:43" s="513" customFormat="1" ht="16.5" hidden="1" customHeight="1" outlineLevel="2">
      <c r="A154" s="584"/>
      <c r="B154" s="572" t="s">
        <v>928</v>
      </c>
      <c r="C154" s="574">
        <f>'Sal._benef.'!$D$21</f>
        <v>3245.32</v>
      </c>
      <c r="D154" s="574">
        <f>C154</f>
        <v>3245.32</v>
      </c>
      <c r="E154" s="574">
        <f t="shared" ref="E154:T158" si="134">D154</f>
        <v>3245.32</v>
      </c>
      <c r="F154" s="574">
        <f t="shared" si="134"/>
        <v>3245.32</v>
      </c>
      <c r="G154" s="574">
        <f t="shared" si="134"/>
        <v>3245.32</v>
      </c>
      <c r="H154" s="574">
        <f t="shared" si="134"/>
        <v>3245.32</v>
      </c>
      <c r="I154" s="574">
        <f t="shared" si="134"/>
        <v>3245.32</v>
      </c>
      <c r="J154" s="574">
        <f t="shared" si="134"/>
        <v>3245.32</v>
      </c>
      <c r="K154" s="574">
        <f t="shared" si="134"/>
        <v>3245.32</v>
      </c>
      <c r="L154" s="574">
        <f t="shared" si="134"/>
        <v>3245.32</v>
      </c>
      <c r="M154" s="574">
        <f t="shared" si="134"/>
        <v>3245.32</v>
      </c>
      <c r="N154" s="574">
        <f t="shared" si="134"/>
        <v>3245.32</v>
      </c>
      <c r="O154" s="574">
        <f t="shared" si="134"/>
        <v>3245.32</v>
      </c>
      <c r="P154" s="574">
        <f t="shared" si="134"/>
        <v>3245.32</v>
      </c>
      <c r="Q154" s="574">
        <f t="shared" si="134"/>
        <v>3245.32</v>
      </c>
      <c r="R154" s="574">
        <f t="shared" si="134"/>
        <v>3245.32</v>
      </c>
      <c r="S154" s="574">
        <f t="shared" si="134"/>
        <v>3245.32</v>
      </c>
      <c r="T154" s="574">
        <f t="shared" si="134"/>
        <v>3245.32</v>
      </c>
      <c r="U154" s="574">
        <f t="shared" ref="U154:AF158" si="135">T154</f>
        <v>3245.32</v>
      </c>
      <c r="V154" s="574">
        <f t="shared" si="135"/>
        <v>3245.32</v>
      </c>
      <c r="W154" s="574">
        <f t="shared" si="135"/>
        <v>3245.32</v>
      </c>
      <c r="X154" s="574">
        <f t="shared" si="135"/>
        <v>3245.32</v>
      </c>
      <c r="Y154" s="574">
        <f t="shared" si="135"/>
        <v>3245.32</v>
      </c>
      <c r="Z154" s="574">
        <f t="shared" si="135"/>
        <v>3245.32</v>
      </c>
      <c r="AA154" s="574">
        <f t="shared" si="135"/>
        <v>3245.32</v>
      </c>
      <c r="AB154" s="574">
        <f t="shared" si="135"/>
        <v>3245.32</v>
      </c>
      <c r="AC154" s="574">
        <f t="shared" si="135"/>
        <v>3245.32</v>
      </c>
      <c r="AD154" s="574">
        <f t="shared" si="135"/>
        <v>3245.32</v>
      </c>
      <c r="AE154" s="574">
        <f t="shared" si="135"/>
        <v>3245.32</v>
      </c>
      <c r="AF154" s="574">
        <f t="shared" si="135"/>
        <v>3245.32</v>
      </c>
      <c r="AH154" s="538"/>
      <c r="AK154" s="531"/>
      <c r="AM154" s="539"/>
      <c r="AN154" s="535"/>
      <c r="AP154" s="540"/>
      <c r="AQ154" s="540"/>
    </row>
    <row r="155" spans="1:43" s="513" customFormat="1" ht="16.5" hidden="1" customHeight="1" outlineLevel="2">
      <c r="A155" s="584"/>
      <c r="B155" s="572" t="s">
        <v>929</v>
      </c>
      <c r="C155" s="632">
        <f>'Sal._benef.'!$F$10</f>
        <v>1621</v>
      </c>
      <c r="D155" s="574">
        <f>C155</f>
        <v>1621</v>
      </c>
      <c r="E155" s="574">
        <f t="shared" si="134"/>
        <v>1621</v>
      </c>
      <c r="F155" s="574">
        <f t="shared" si="134"/>
        <v>1621</v>
      </c>
      <c r="G155" s="574">
        <f t="shared" si="134"/>
        <v>1621</v>
      </c>
      <c r="H155" s="574">
        <f t="shared" si="134"/>
        <v>1621</v>
      </c>
      <c r="I155" s="574">
        <f t="shared" si="134"/>
        <v>1621</v>
      </c>
      <c r="J155" s="574">
        <f t="shared" si="134"/>
        <v>1621</v>
      </c>
      <c r="K155" s="574">
        <f t="shared" si="134"/>
        <v>1621</v>
      </c>
      <c r="L155" s="574">
        <f t="shared" si="134"/>
        <v>1621</v>
      </c>
      <c r="M155" s="574">
        <f t="shared" si="134"/>
        <v>1621</v>
      </c>
      <c r="N155" s="574">
        <f t="shared" si="134"/>
        <v>1621</v>
      </c>
      <c r="O155" s="574">
        <f t="shared" si="134"/>
        <v>1621</v>
      </c>
      <c r="P155" s="574">
        <f t="shared" si="134"/>
        <v>1621</v>
      </c>
      <c r="Q155" s="574">
        <f t="shared" si="134"/>
        <v>1621</v>
      </c>
      <c r="R155" s="574">
        <f t="shared" si="134"/>
        <v>1621</v>
      </c>
      <c r="S155" s="574">
        <f t="shared" si="134"/>
        <v>1621</v>
      </c>
      <c r="T155" s="574">
        <f t="shared" si="134"/>
        <v>1621</v>
      </c>
      <c r="U155" s="574">
        <f t="shared" si="135"/>
        <v>1621</v>
      </c>
      <c r="V155" s="574">
        <f t="shared" si="135"/>
        <v>1621</v>
      </c>
      <c r="W155" s="574">
        <f t="shared" si="135"/>
        <v>1621</v>
      </c>
      <c r="X155" s="574">
        <f t="shared" si="135"/>
        <v>1621</v>
      </c>
      <c r="Y155" s="574">
        <f t="shared" si="135"/>
        <v>1621</v>
      </c>
      <c r="Z155" s="574">
        <f t="shared" si="135"/>
        <v>1621</v>
      </c>
      <c r="AA155" s="574">
        <f t="shared" si="135"/>
        <v>1621</v>
      </c>
      <c r="AB155" s="574">
        <f t="shared" si="135"/>
        <v>1621</v>
      </c>
      <c r="AC155" s="574">
        <f t="shared" si="135"/>
        <v>1621</v>
      </c>
      <c r="AD155" s="574">
        <f t="shared" si="135"/>
        <v>1621</v>
      </c>
      <c r="AE155" s="574">
        <f t="shared" si="135"/>
        <v>1621</v>
      </c>
      <c r="AF155" s="574">
        <f t="shared" si="135"/>
        <v>1621</v>
      </c>
      <c r="AH155" s="538"/>
      <c r="AK155" s="531"/>
      <c r="AM155" s="539"/>
      <c r="AN155" s="535"/>
      <c r="AP155" s="540"/>
      <c r="AQ155" s="540"/>
    </row>
    <row r="156" spans="1:43" s="513" customFormat="1" ht="16.5" hidden="1" customHeight="1" outlineLevel="2">
      <c r="A156" s="584"/>
      <c r="B156" s="572" t="s">
        <v>1487</v>
      </c>
      <c r="C156" s="574">
        <f>C155*'Sal._benef.'!F21</f>
        <v>648.40000000000009</v>
      </c>
      <c r="D156" s="574">
        <f>C156</f>
        <v>648.40000000000009</v>
      </c>
      <c r="E156" s="574">
        <f t="shared" si="134"/>
        <v>648.40000000000009</v>
      </c>
      <c r="F156" s="574">
        <f t="shared" si="134"/>
        <v>648.40000000000009</v>
      </c>
      <c r="G156" s="574">
        <f t="shared" si="134"/>
        <v>648.40000000000009</v>
      </c>
      <c r="H156" s="574">
        <f t="shared" si="134"/>
        <v>648.40000000000009</v>
      </c>
      <c r="I156" s="574">
        <f t="shared" si="134"/>
        <v>648.40000000000009</v>
      </c>
      <c r="J156" s="574">
        <f t="shared" si="134"/>
        <v>648.40000000000009</v>
      </c>
      <c r="K156" s="574">
        <f t="shared" si="134"/>
        <v>648.40000000000009</v>
      </c>
      <c r="L156" s="574">
        <f t="shared" si="134"/>
        <v>648.40000000000009</v>
      </c>
      <c r="M156" s="574">
        <f t="shared" si="134"/>
        <v>648.40000000000009</v>
      </c>
      <c r="N156" s="574">
        <f t="shared" si="134"/>
        <v>648.40000000000009</v>
      </c>
      <c r="O156" s="574">
        <f t="shared" si="134"/>
        <v>648.40000000000009</v>
      </c>
      <c r="P156" s="574">
        <f t="shared" si="134"/>
        <v>648.40000000000009</v>
      </c>
      <c r="Q156" s="574">
        <f t="shared" si="134"/>
        <v>648.40000000000009</v>
      </c>
      <c r="R156" s="574">
        <f t="shared" si="134"/>
        <v>648.40000000000009</v>
      </c>
      <c r="S156" s="574">
        <f t="shared" si="134"/>
        <v>648.40000000000009</v>
      </c>
      <c r="T156" s="574">
        <f t="shared" si="134"/>
        <v>648.40000000000009</v>
      </c>
      <c r="U156" s="574">
        <f t="shared" si="135"/>
        <v>648.40000000000009</v>
      </c>
      <c r="V156" s="574">
        <f t="shared" si="135"/>
        <v>648.40000000000009</v>
      </c>
      <c r="W156" s="574">
        <f t="shared" si="135"/>
        <v>648.40000000000009</v>
      </c>
      <c r="X156" s="574">
        <f t="shared" si="135"/>
        <v>648.40000000000009</v>
      </c>
      <c r="Y156" s="574">
        <f t="shared" si="135"/>
        <v>648.40000000000009</v>
      </c>
      <c r="Z156" s="574">
        <f t="shared" si="135"/>
        <v>648.40000000000009</v>
      </c>
      <c r="AA156" s="574">
        <f t="shared" si="135"/>
        <v>648.40000000000009</v>
      </c>
      <c r="AB156" s="574">
        <f t="shared" si="135"/>
        <v>648.40000000000009</v>
      </c>
      <c r="AC156" s="574">
        <f t="shared" si="135"/>
        <v>648.40000000000009</v>
      </c>
      <c r="AD156" s="574">
        <f t="shared" si="135"/>
        <v>648.40000000000009</v>
      </c>
      <c r="AE156" s="574">
        <f t="shared" si="135"/>
        <v>648.40000000000009</v>
      </c>
      <c r="AF156" s="574">
        <f t="shared" si="135"/>
        <v>648.40000000000009</v>
      </c>
      <c r="AH156" s="538"/>
      <c r="AK156" s="531"/>
      <c r="AM156" s="539"/>
      <c r="AN156" s="535"/>
      <c r="AP156" s="540"/>
      <c r="AQ156" s="540"/>
    </row>
    <row r="157" spans="1:43" s="513" customFormat="1" ht="16.5" hidden="1" customHeight="1" outlineLevel="2">
      <c r="A157" s="584"/>
      <c r="B157" s="572" t="s">
        <v>1486</v>
      </c>
      <c r="C157" s="574">
        <f>C155*'Sal._benef.'!G21</f>
        <v>324.20000000000005</v>
      </c>
      <c r="D157" s="574">
        <f>C157</f>
        <v>324.20000000000005</v>
      </c>
      <c r="E157" s="574">
        <f t="shared" si="134"/>
        <v>324.20000000000005</v>
      </c>
      <c r="F157" s="574">
        <f t="shared" si="134"/>
        <v>324.20000000000005</v>
      </c>
      <c r="G157" s="574">
        <f t="shared" si="134"/>
        <v>324.20000000000005</v>
      </c>
      <c r="H157" s="574">
        <f t="shared" si="134"/>
        <v>324.20000000000005</v>
      </c>
      <c r="I157" s="574">
        <f t="shared" si="134"/>
        <v>324.20000000000005</v>
      </c>
      <c r="J157" s="574">
        <f t="shared" si="134"/>
        <v>324.20000000000005</v>
      </c>
      <c r="K157" s="574">
        <f t="shared" si="134"/>
        <v>324.20000000000005</v>
      </c>
      <c r="L157" s="574">
        <f t="shared" si="134"/>
        <v>324.20000000000005</v>
      </c>
      <c r="M157" s="574">
        <f t="shared" si="134"/>
        <v>324.20000000000005</v>
      </c>
      <c r="N157" s="574">
        <f t="shared" si="134"/>
        <v>324.20000000000005</v>
      </c>
      <c r="O157" s="574">
        <f t="shared" si="134"/>
        <v>324.20000000000005</v>
      </c>
      <c r="P157" s="574">
        <f t="shared" si="134"/>
        <v>324.20000000000005</v>
      </c>
      <c r="Q157" s="574">
        <f t="shared" si="134"/>
        <v>324.20000000000005</v>
      </c>
      <c r="R157" s="574">
        <f t="shared" si="134"/>
        <v>324.20000000000005</v>
      </c>
      <c r="S157" s="574">
        <f t="shared" si="134"/>
        <v>324.20000000000005</v>
      </c>
      <c r="T157" s="574">
        <f t="shared" si="134"/>
        <v>324.20000000000005</v>
      </c>
      <c r="U157" s="574">
        <f t="shared" si="135"/>
        <v>324.20000000000005</v>
      </c>
      <c r="V157" s="574">
        <f t="shared" si="135"/>
        <v>324.20000000000005</v>
      </c>
      <c r="W157" s="574">
        <f t="shared" si="135"/>
        <v>324.20000000000005</v>
      </c>
      <c r="X157" s="574">
        <f t="shared" si="135"/>
        <v>324.20000000000005</v>
      </c>
      <c r="Y157" s="574">
        <f t="shared" si="135"/>
        <v>324.20000000000005</v>
      </c>
      <c r="Z157" s="574">
        <f t="shared" si="135"/>
        <v>324.20000000000005</v>
      </c>
      <c r="AA157" s="574">
        <f t="shared" si="135"/>
        <v>324.20000000000005</v>
      </c>
      <c r="AB157" s="574">
        <f t="shared" si="135"/>
        <v>324.20000000000005</v>
      </c>
      <c r="AC157" s="574">
        <f t="shared" si="135"/>
        <v>324.20000000000005</v>
      </c>
      <c r="AD157" s="574">
        <f t="shared" si="135"/>
        <v>324.20000000000005</v>
      </c>
      <c r="AE157" s="574">
        <f t="shared" si="135"/>
        <v>324.20000000000005</v>
      </c>
      <c r="AF157" s="574">
        <f t="shared" si="135"/>
        <v>324.20000000000005</v>
      </c>
      <c r="AH157" s="538"/>
      <c r="AK157" s="531"/>
      <c r="AM157" s="539"/>
      <c r="AN157" s="535"/>
      <c r="AP157" s="540"/>
      <c r="AQ157" s="540"/>
    </row>
    <row r="158" spans="1:43" s="513" customFormat="1" ht="16.5" hidden="1" customHeight="1" outlineLevel="2">
      <c r="A158" s="584"/>
      <c r="B158" s="572" t="s">
        <v>1367</v>
      </c>
      <c r="C158" s="574">
        <v>0</v>
      </c>
      <c r="D158" s="574">
        <f>C158</f>
        <v>0</v>
      </c>
      <c r="E158" s="574">
        <f t="shared" si="134"/>
        <v>0</v>
      </c>
      <c r="F158" s="574">
        <f t="shared" si="134"/>
        <v>0</v>
      </c>
      <c r="G158" s="574">
        <f t="shared" si="134"/>
        <v>0</v>
      </c>
      <c r="H158" s="574">
        <f t="shared" si="134"/>
        <v>0</v>
      </c>
      <c r="I158" s="574">
        <f t="shared" si="134"/>
        <v>0</v>
      </c>
      <c r="J158" s="574">
        <f t="shared" si="134"/>
        <v>0</v>
      </c>
      <c r="K158" s="574">
        <f t="shared" si="134"/>
        <v>0</v>
      </c>
      <c r="L158" s="574">
        <f t="shared" si="134"/>
        <v>0</v>
      </c>
      <c r="M158" s="574">
        <f t="shared" si="134"/>
        <v>0</v>
      </c>
      <c r="N158" s="574">
        <f t="shared" si="134"/>
        <v>0</v>
      </c>
      <c r="O158" s="574">
        <f t="shared" si="134"/>
        <v>0</v>
      </c>
      <c r="P158" s="574">
        <f t="shared" si="134"/>
        <v>0</v>
      </c>
      <c r="Q158" s="574">
        <f t="shared" si="134"/>
        <v>0</v>
      </c>
      <c r="R158" s="574">
        <f t="shared" si="134"/>
        <v>0</v>
      </c>
      <c r="S158" s="574">
        <f t="shared" si="134"/>
        <v>0</v>
      </c>
      <c r="T158" s="574">
        <f t="shared" si="134"/>
        <v>0</v>
      </c>
      <c r="U158" s="574">
        <f t="shared" si="135"/>
        <v>0</v>
      </c>
      <c r="V158" s="574">
        <f t="shared" si="135"/>
        <v>0</v>
      </c>
      <c r="W158" s="574">
        <f t="shared" si="135"/>
        <v>0</v>
      </c>
      <c r="X158" s="574">
        <f t="shared" si="135"/>
        <v>0</v>
      </c>
      <c r="Y158" s="574">
        <f t="shared" si="135"/>
        <v>0</v>
      </c>
      <c r="Z158" s="574">
        <f t="shared" si="135"/>
        <v>0</v>
      </c>
      <c r="AA158" s="574">
        <f t="shared" si="135"/>
        <v>0</v>
      </c>
      <c r="AB158" s="574">
        <f t="shared" si="135"/>
        <v>0</v>
      </c>
      <c r="AC158" s="574">
        <f t="shared" si="135"/>
        <v>0</v>
      </c>
      <c r="AD158" s="574">
        <f t="shared" si="135"/>
        <v>0</v>
      </c>
      <c r="AE158" s="574">
        <f t="shared" si="135"/>
        <v>0</v>
      </c>
      <c r="AF158" s="574">
        <f t="shared" si="135"/>
        <v>0</v>
      </c>
      <c r="AH158" s="538"/>
      <c r="AK158" s="531"/>
      <c r="AM158" s="539"/>
      <c r="AN158" s="535"/>
      <c r="AP158" s="540"/>
      <c r="AQ158" s="540"/>
    </row>
    <row r="159" spans="1:43" s="546" customFormat="1" ht="16.5" hidden="1" customHeight="1" outlineLevel="2">
      <c r="A159" s="584"/>
      <c r="B159" s="569" t="s">
        <v>934</v>
      </c>
      <c r="C159" s="581">
        <f>C160*(C161+C163+C164+C165)</f>
        <v>0</v>
      </c>
      <c r="D159" s="581">
        <f t="shared" ref="D159:AF159" si="136">D160*(D161+D163+D164+D165)</f>
        <v>0</v>
      </c>
      <c r="E159" s="581">
        <f t="shared" si="136"/>
        <v>0</v>
      </c>
      <c r="F159" s="581">
        <f t="shared" si="136"/>
        <v>0</v>
      </c>
      <c r="G159" s="581">
        <f t="shared" si="136"/>
        <v>0</v>
      </c>
      <c r="H159" s="581">
        <f t="shared" si="136"/>
        <v>0</v>
      </c>
      <c r="I159" s="581">
        <f t="shared" si="136"/>
        <v>0</v>
      </c>
      <c r="J159" s="581">
        <f t="shared" si="136"/>
        <v>0</v>
      </c>
      <c r="K159" s="581">
        <f t="shared" si="136"/>
        <v>0</v>
      </c>
      <c r="L159" s="581">
        <f t="shared" si="136"/>
        <v>0</v>
      </c>
      <c r="M159" s="581">
        <f t="shared" si="136"/>
        <v>0</v>
      </c>
      <c r="N159" s="581">
        <f t="shared" si="136"/>
        <v>0</v>
      </c>
      <c r="O159" s="581">
        <f t="shared" si="136"/>
        <v>0</v>
      </c>
      <c r="P159" s="581">
        <f t="shared" si="136"/>
        <v>0</v>
      </c>
      <c r="Q159" s="581">
        <f t="shared" si="136"/>
        <v>0</v>
      </c>
      <c r="R159" s="581">
        <f t="shared" si="136"/>
        <v>0</v>
      </c>
      <c r="S159" s="581">
        <f t="shared" si="136"/>
        <v>0</v>
      </c>
      <c r="T159" s="581">
        <f t="shared" si="136"/>
        <v>0</v>
      </c>
      <c r="U159" s="581">
        <f t="shared" si="136"/>
        <v>0</v>
      </c>
      <c r="V159" s="581">
        <f t="shared" si="136"/>
        <v>0</v>
      </c>
      <c r="W159" s="581">
        <f t="shared" si="136"/>
        <v>0</v>
      </c>
      <c r="X159" s="581">
        <f t="shared" si="136"/>
        <v>0</v>
      </c>
      <c r="Y159" s="581">
        <f t="shared" si="136"/>
        <v>0</v>
      </c>
      <c r="Z159" s="581">
        <f t="shared" si="136"/>
        <v>0</v>
      </c>
      <c r="AA159" s="581">
        <f t="shared" si="136"/>
        <v>0</v>
      </c>
      <c r="AB159" s="581">
        <f t="shared" si="136"/>
        <v>0</v>
      </c>
      <c r="AC159" s="581">
        <f t="shared" si="136"/>
        <v>0</v>
      </c>
      <c r="AD159" s="581">
        <f t="shared" si="136"/>
        <v>0</v>
      </c>
      <c r="AE159" s="581">
        <f t="shared" si="136"/>
        <v>0</v>
      </c>
      <c r="AF159" s="581">
        <f t="shared" si="136"/>
        <v>0</v>
      </c>
      <c r="AH159" s="571"/>
      <c r="AK159" s="531"/>
      <c r="AM159" s="548"/>
      <c r="AN159" s="535"/>
      <c r="AP159" s="549"/>
      <c r="AQ159" s="549"/>
    </row>
    <row r="160" spans="1:43" s="513" customFormat="1" ht="16.5" hidden="1" customHeight="1" outlineLevel="2">
      <c r="A160" s="584"/>
      <c r="B160" s="572" t="s">
        <v>805</v>
      </c>
      <c r="C160" s="552">
        <v>0</v>
      </c>
      <c r="D160" s="552">
        <v>0</v>
      </c>
      <c r="E160" s="552">
        <v>0</v>
      </c>
      <c r="F160" s="552">
        <v>0</v>
      </c>
      <c r="G160" s="552">
        <v>0</v>
      </c>
      <c r="H160" s="552">
        <v>0</v>
      </c>
      <c r="I160" s="552">
        <v>0</v>
      </c>
      <c r="J160" s="552">
        <v>0</v>
      </c>
      <c r="K160" s="552">
        <v>0</v>
      </c>
      <c r="L160" s="552">
        <v>0</v>
      </c>
      <c r="M160" s="552">
        <v>0</v>
      </c>
      <c r="N160" s="552">
        <v>0</v>
      </c>
      <c r="O160" s="552">
        <v>0</v>
      </c>
      <c r="P160" s="552">
        <v>0</v>
      </c>
      <c r="Q160" s="552">
        <v>0</v>
      </c>
      <c r="R160" s="552">
        <v>0</v>
      </c>
      <c r="S160" s="552">
        <v>0</v>
      </c>
      <c r="T160" s="552">
        <v>0</v>
      </c>
      <c r="U160" s="552">
        <v>0</v>
      </c>
      <c r="V160" s="552">
        <v>0</v>
      </c>
      <c r="W160" s="552">
        <v>0</v>
      </c>
      <c r="X160" s="552">
        <v>0</v>
      </c>
      <c r="Y160" s="552">
        <v>0</v>
      </c>
      <c r="Z160" s="552">
        <v>0</v>
      </c>
      <c r="AA160" s="552">
        <v>0</v>
      </c>
      <c r="AB160" s="552">
        <v>0</v>
      </c>
      <c r="AC160" s="552">
        <v>0</v>
      </c>
      <c r="AD160" s="552">
        <v>0</v>
      </c>
      <c r="AE160" s="552">
        <v>0</v>
      </c>
      <c r="AF160" s="552">
        <v>0</v>
      </c>
      <c r="AH160" s="538"/>
      <c r="AK160" s="531"/>
      <c r="AM160" s="539"/>
      <c r="AN160" s="535"/>
      <c r="AP160" s="540"/>
      <c r="AQ160" s="540"/>
    </row>
    <row r="161" spans="1:43" s="513" customFormat="1" ht="16.5" hidden="1" customHeight="1" outlineLevel="2">
      <c r="A161" s="584"/>
      <c r="B161" s="572" t="s">
        <v>928</v>
      </c>
      <c r="C161" s="574">
        <f>'Sal._benef.'!$D$21</f>
        <v>3245.32</v>
      </c>
      <c r="D161" s="574">
        <f>C161</f>
        <v>3245.32</v>
      </c>
      <c r="E161" s="574">
        <f t="shared" ref="E161:T165" si="137">D161</f>
        <v>3245.32</v>
      </c>
      <c r="F161" s="574">
        <f t="shared" si="137"/>
        <v>3245.32</v>
      </c>
      <c r="G161" s="574">
        <f t="shared" si="137"/>
        <v>3245.32</v>
      </c>
      <c r="H161" s="574">
        <f t="shared" si="137"/>
        <v>3245.32</v>
      </c>
      <c r="I161" s="574">
        <f t="shared" si="137"/>
        <v>3245.32</v>
      </c>
      <c r="J161" s="574">
        <f t="shared" si="137"/>
        <v>3245.32</v>
      </c>
      <c r="K161" s="574">
        <f t="shared" si="137"/>
        <v>3245.32</v>
      </c>
      <c r="L161" s="574">
        <f t="shared" si="137"/>
        <v>3245.32</v>
      </c>
      <c r="M161" s="574">
        <f t="shared" si="137"/>
        <v>3245.32</v>
      </c>
      <c r="N161" s="574">
        <f t="shared" si="137"/>
        <v>3245.32</v>
      </c>
      <c r="O161" s="574">
        <f t="shared" si="137"/>
        <v>3245.32</v>
      </c>
      <c r="P161" s="574">
        <f t="shared" si="137"/>
        <v>3245.32</v>
      </c>
      <c r="Q161" s="574">
        <f t="shared" si="137"/>
        <v>3245.32</v>
      </c>
      <c r="R161" s="574">
        <f t="shared" si="137"/>
        <v>3245.32</v>
      </c>
      <c r="S161" s="574">
        <f t="shared" si="137"/>
        <v>3245.32</v>
      </c>
      <c r="T161" s="574">
        <f t="shared" si="137"/>
        <v>3245.32</v>
      </c>
      <c r="U161" s="574">
        <f t="shared" ref="U161:AF165" si="138">T161</f>
        <v>3245.32</v>
      </c>
      <c r="V161" s="574">
        <f t="shared" si="138"/>
        <v>3245.32</v>
      </c>
      <c r="W161" s="574">
        <f t="shared" si="138"/>
        <v>3245.32</v>
      </c>
      <c r="X161" s="574">
        <f t="shared" si="138"/>
        <v>3245.32</v>
      </c>
      <c r="Y161" s="574">
        <f t="shared" si="138"/>
        <v>3245.32</v>
      </c>
      <c r="Z161" s="574">
        <f t="shared" si="138"/>
        <v>3245.32</v>
      </c>
      <c r="AA161" s="574">
        <f t="shared" si="138"/>
        <v>3245.32</v>
      </c>
      <c r="AB161" s="574">
        <f t="shared" si="138"/>
        <v>3245.32</v>
      </c>
      <c r="AC161" s="574">
        <f t="shared" si="138"/>
        <v>3245.32</v>
      </c>
      <c r="AD161" s="574">
        <f t="shared" si="138"/>
        <v>3245.32</v>
      </c>
      <c r="AE161" s="574">
        <f t="shared" si="138"/>
        <v>3245.32</v>
      </c>
      <c r="AF161" s="574">
        <f t="shared" si="138"/>
        <v>3245.32</v>
      </c>
      <c r="AH161" s="538"/>
      <c r="AK161" s="531"/>
      <c r="AM161" s="539"/>
      <c r="AN161" s="535"/>
      <c r="AP161" s="540"/>
      <c r="AQ161" s="540"/>
    </row>
    <row r="162" spans="1:43" s="513" customFormat="1" ht="16.5" hidden="1" customHeight="1" outlineLevel="2">
      <c r="A162" s="584"/>
      <c r="B162" s="572" t="s">
        <v>929</v>
      </c>
      <c r="C162" s="632">
        <f>'Sal._benef.'!$F$10</f>
        <v>1621</v>
      </c>
      <c r="D162" s="574">
        <f>C162</f>
        <v>1621</v>
      </c>
      <c r="E162" s="574">
        <f t="shared" si="137"/>
        <v>1621</v>
      </c>
      <c r="F162" s="574">
        <f t="shared" si="137"/>
        <v>1621</v>
      </c>
      <c r="G162" s="574">
        <f t="shared" si="137"/>
        <v>1621</v>
      </c>
      <c r="H162" s="574">
        <f t="shared" si="137"/>
        <v>1621</v>
      </c>
      <c r="I162" s="574">
        <f t="shared" si="137"/>
        <v>1621</v>
      </c>
      <c r="J162" s="574">
        <f t="shared" si="137"/>
        <v>1621</v>
      </c>
      <c r="K162" s="574">
        <f t="shared" si="137"/>
        <v>1621</v>
      </c>
      <c r="L162" s="574">
        <f t="shared" si="137"/>
        <v>1621</v>
      </c>
      <c r="M162" s="574">
        <f t="shared" si="137"/>
        <v>1621</v>
      </c>
      <c r="N162" s="574">
        <f t="shared" si="137"/>
        <v>1621</v>
      </c>
      <c r="O162" s="574">
        <f t="shared" si="137"/>
        <v>1621</v>
      </c>
      <c r="P162" s="574">
        <f t="shared" si="137"/>
        <v>1621</v>
      </c>
      <c r="Q162" s="574">
        <f t="shared" si="137"/>
        <v>1621</v>
      </c>
      <c r="R162" s="574">
        <f t="shared" si="137"/>
        <v>1621</v>
      </c>
      <c r="S162" s="574">
        <f t="shared" si="137"/>
        <v>1621</v>
      </c>
      <c r="T162" s="574">
        <f t="shared" si="137"/>
        <v>1621</v>
      </c>
      <c r="U162" s="574">
        <f t="shared" si="138"/>
        <v>1621</v>
      </c>
      <c r="V162" s="574">
        <f t="shared" si="138"/>
        <v>1621</v>
      </c>
      <c r="W162" s="574">
        <f t="shared" si="138"/>
        <v>1621</v>
      </c>
      <c r="X162" s="574">
        <f t="shared" si="138"/>
        <v>1621</v>
      </c>
      <c r="Y162" s="574">
        <f t="shared" si="138"/>
        <v>1621</v>
      </c>
      <c r="Z162" s="574">
        <f t="shared" si="138"/>
        <v>1621</v>
      </c>
      <c r="AA162" s="574">
        <f t="shared" si="138"/>
        <v>1621</v>
      </c>
      <c r="AB162" s="574">
        <f t="shared" si="138"/>
        <v>1621</v>
      </c>
      <c r="AC162" s="574">
        <f t="shared" si="138"/>
        <v>1621</v>
      </c>
      <c r="AD162" s="574">
        <f t="shared" si="138"/>
        <v>1621</v>
      </c>
      <c r="AE162" s="574">
        <f t="shared" si="138"/>
        <v>1621</v>
      </c>
      <c r="AF162" s="574">
        <f t="shared" si="138"/>
        <v>1621</v>
      </c>
      <c r="AH162" s="538"/>
      <c r="AK162" s="531"/>
      <c r="AM162" s="539"/>
      <c r="AN162" s="535"/>
      <c r="AP162" s="540"/>
      <c r="AQ162" s="540"/>
    </row>
    <row r="163" spans="1:43" s="513" customFormat="1" ht="16.5" hidden="1" customHeight="1" outlineLevel="2">
      <c r="A163" s="584"/>
      <c r="B163" s="572" t="s">
        <v>1487</v>
      </c>
      <c r="C163" s="574">
        <f>C162*'Sal._benef.'!F21</f>
        <v>648.40000000000009</v>
      </c>
      <c r="D163" s="574">
        <f>C163</f>
        <v>648.40000000000009</v>
      </c>
      <c r="E163" s="574">
        <f t="shared" si="137"/>
        <v>648.40000000000009</v>
      </c>
      <c r="F163" s="574">
        <f t="shared" si="137"/>
        <v>648.40000000000009</v>
      </c>
      <c r="G163" s="574">
        <f t="shared" si="137"/>
        <v>648.40000000000009</v>
      </c>
      <c r="H163" s="574">
        <f t="shared" si="137"/>
        <v>648.40000000000009</v>
      </c>
      <c r="I163" s="574">
        <f t="shared" si="137"/>
        <v>648.40000000000009</v>
      </c>
      <c r="J163" s="574">
        <f t="shared" si="137"/>
        <v>648.40000000000009</v>
      </c>
      <c r="K163" s="574">
        <f t="shared" si="137"/>
        <v>648.40000000000009</v>
      </c>
      <c r="L163" s="574">
        <f t="shared" si="137"/>
        <v>648.40000000000009</v>
      </c>
      <c r="M163" s="574">
        <f t="shared" si="137"/>
        <v>648.40000000000009</v>
      </c>
      <c r="N163" s="574">
        <f t="shared" si="137"/>
        <v>648.40000000000009</v>
      </c>
      <c r="O163" s="574">
        <f t="shared" si="137"/>
        <v>648.40000000000009</v>
      </c>
      <c r="P163" s="574">
        <f t="shared" si="137"/>
        <v>648.40000000000009</v>
      </c>
      <c r="Q163" s="574">
        <f t="shared" si="137"/>
        <v>648.40000000000009</v>
      </c>
      <c r="R163" s="574">
        <f t="shared" si="137"/>
        <v>648.40000000000009</v>
      </c>
      <c r="S163" s="574">
        <f t="shared" si="137"/>
        <v>648.40000000000009</v>
      </c>
      <c r="T163" s="574">
        <f t="shared" si="137"/>
        <v>648.40000000000009</v>
      </c>
      <c r="U163" s="574">
        <f t="shared" si="138"/>
        <v>648.40000000000009</v>
      </c>
      <c r="V163" s="574">
        <f t="shared" si="138"/>
        <v>648.40000000000009</v>
      </c>
      <c r="W163" s="574">
        <f t="shared" si="138"/>
        <v>648.40000000000009</v>
      </c>
      <c r="X163" s="574">
        <f t="shared" si="138"/>
        <v>648.40000000000009</v>
      </c>
      <c r="Y163" s="574">
        <f t="shared" si="138"/>
        <v>648.40000000000009</v>
      </c>
      <c r="Z163" s="574">
        <f t="shared" si="138"/>
        <v>648.40000000000009</v>
      </c>
      <c r="AA163" s="574">
        <f t="shared" si="138"/>
        <v>648.40000000000009</v>
      </c>
      <c r="AB163" s="574">
        <f t="shared" si="138"/>
        <v>648.40000000000009</v>
      </c>
      <c r="AC163" s="574">
        <f t="shared" si="138"/>
        <v>648.40000000000009</v>
      </c>
      <c r="AD163" s="574">
        <f t="shared" si="138"/>
        <v>648.40000000000009</v>
      </c>
      <c r="AE163" s="574">
        <f t="shared" si="138"/>
        <v>648.40000000000009</v>
      </c>
      <c r="AF163" s="574">
        <f t="shared" si="138"/>
        <v>648.40000000000009</v>
      </c>
      <c r="AH163" s="538"/>
      <c r="AK163" s="531"/>
      <c r="AM163" s="539"/>
      <c r="AN163" s="535"/>
      <c r="AP163" s="540"/>
      <c r="AQ163" s="540"/>
    </row>
    <row r="164" spans="1:43" s="513" customFormat="1" ht="16.5" hidden="1" customHeight="1" outlineLevel="2">
      <c r="A164" s="584"/>
      <c r="B164" s="572" t="s">
        <v>1486</v>
      </c>
      <c r="C164" s="574">
        <f>C162*'Sal._benef.'!G21</f>
        <v>324.20000000000005</v>
      </c>
      <c r="D164" s="574">
        <f>C164</f>
        <v>324.20000000000005</v>
      </c>
      <c r="E164" s="574">
        <f t="shared" si="137"/>
        <v>324.20000000000005</v>
      </c>
      <c r="F164" s="574">
        <f t="shared" si="137"/>
        <v>324.20000000000005</v>
      </c>
      <c r="G164" s="574">
        <f t="shared" si="137"/>
        <v>324.20000000000005</v>
      </c>
      <c r="H164" s="574">
        <f t="shared" si="137"/>
        <v>324.20000000000005</v>
      </c>
      <c r="I164" s="574">
        <f t="shared" si="137"/>
        <v>324.20000000000005</v>
      </c>
      <c r="J164" s="574">
        <f t="shared" si="137"/>
        <v>324.20000000000005</v>
      </c>
      <c r="K164" s="574">
        <f t="shared" si="137"/>
        <v>324.20000000000005</v>
      </c>
      <c r="L164" s="574">
        <f t="shared" si="137"/>
        <v>324.20000000000005</v>
      </c>
      <c r="M164" s="574">
        <f t="shared" si="137"/>
        <v>324.20000000000005</v>
      </c>
      <c r="N164" s="574">
        <f t="shared" si="137"/>
        <v>324.20000000000005</v>
      </c>
      <c r="O164" s="574">
        <f t="shared" si="137"/>
        <v>324.20000000000005</v>
      </c>
      <c r="P164" s="574">
        <f t="shared" si="137"/>
        <v>324.20000000000005</v>
      </c>
      <c r="Q164" s="574">
        <f t="shared" si="137"/>
        <v>324.20000000000005</v>
      </c>
      <c r="R164" s="574">
        <f t="shared" si="137"/>
        <v>324.20000000000005</v>
      </c>
      <c r="S164" s="574">
        <f t="shared" si="137"/>
        <v>324.20000000000005</v>
      </c>
      <c r="T164" s="574">
        <f t="shared" si="137"/>
        <v>324.20000000000005</v>
      </c>
      <c r="U164" s="574">
        <f t="shared" si="138"/>
        <v>324.20000000000005</v>
      </c>
      <c r="V164" s="574">
        <f t="shared" si="138"/>
        <v>324.20000000000005</v>
      </c>
      <c r="W164" s="574">
        <f t="shared" si="138"/>
        <v>324.20000000000005</v>
      </c>
      <c r="X164" s="574">
        <f t="shared" si="138"/>
        <v>324.20000000000005</v>
      </c>
      <c r="Y164" s="574">
        <f t="shared" si="138"/>
        <v>324.20000000000005</v>
      </c>
      <c r="Z164" s="574">
        <f t="shared" si="138"/>
        <v>324.20000000000005</v>
      </c>
      <c r="AA164" s="574">
        <f t="shared" si="138"/>
        <v>324.20000000000005</v>
      </c>
      <c r="AB164" s="574">
        <f t="shared" si="138"/>
        <v>324.20000000000005</v>
      </c>
      <c r="AC164" s="574">
        <f t="shared" si="138"/>
        <v>324.20000000000005</v>
      </c>
      <c r="AD164" s="574">
        <f t="shared" si="138"/>
        <v>324.20000000000005</v>
      </c>
      <c r="AE164" s="574">
        <f t="shared" si="138"/>
        <v>324.20000000000005</v>
      </c>
      <c r="AF164" s="574">
        <f t="shared" si="138"/>
        <v>324.20000000000005</v>
      </c>
      <c r="AH164" s="538"/>
      <c r="AK164" s="531"/>
      <c r="AM164" s="539"/>
      <c r="AN164" s="535"/>
      <c r="AP164" s="540"/>
      <c r="AQ164" s="540"/>
    </row>
    <row r="165" spans="1:43" s="513" customFormat="1" ht="16.5" hidden="1" customHeight="1" outlineLevel="2">
      <c r="A165" s="584"/>
      <c r="B165" s="572" t="s">
        <v>1367</v>
      </c>
      <c r="C165" s="574">
        <f>'Sal._benef.'!$E$21*'Sal._benef.'!$H$21</f>
        <v>609.58800000000008</v>
      </c>
      <c r="D165" s="574">
        <f>C165</f>
        <v>609.58800000000008</v>
      </c>
      <c r="E165" s="574">
        <f t="shared" si="137"/>
        <v>609.58800000000008</v>
      </c>
      <c r="F165" s="574">
        <f t="shared" si="137"/>
        <v>609.58800000000008</v>
      </c>
      <c r="G165" s="574">
        <f t="shared" si="137"/>
        <v>609.58800000000008</v>
      </c>
      <c r="H165" s="574">
        <f t="shared" si="137"/>
        <v>609.58800000000008</v>
      </c>
      <c r="I165" s="574">
        <f t="shared" si="137"/>
        <v>609.58800000000008</v>
      </c>
      <c r="J165" s="574">
        <f t="shared" si="137"/>
        <v>609.58800000000008</v>
      </c>
      <c r="K165" s="574">
        <f t="shared" si="137"/>
        <v>609.58800000000008</v>
      </c>
      <c r="L165" s="574">
        <f t="shared" si="137"/>
        <v>609.58800000000008</v>
      </c>
      <c r="M165" s="574">
        <f t="shared" si="137"/>
        <v>609.58800000000008</v>
      </c>
      <c r="N165" s="574">
        <f t="shared" si="137"/>
        <v>609.58800000000008</v>
      </c>
      <c r="O165" s="574">
        <f t="shared" si="137"/>
        <v>609.58800000000008</v>
      </c>
      <c r="P165" s="574">
        <f t="shared" si="137"/>
        <v>609.58800000000008</v>
      </c>
      <c r="Q165" s="574">
        <f t="shared" si="137"/>
        <v>609.58800000000008</v>
      </c>
      <c r="R165" s="574">
        <f t="shared" si="137"/>
        <v>609.58800000000008</v>
      </c>
      <c r="S165" s="574">
        <f t="shared" si="137"/>
        <v>609.58800000000008</v>
      </c>
      <c r="T165" s="574">
        <f t="shared" si="137"/>
        <v>609.58800000000008</v>
      </c>
      <c r="U165" s="574">
        <f t="shared" si="138"/>
        <v>609.58800000000008</v>
      </c>
      <c r="V165" s="574">
        <f t="shared" si="138"/>
        <v>609.58800000000008</v>
      </c>
      <c r="W165" s="574">
        <f t="shared" si="138"/>
        <v>609.58800000000008</v>
      </c>
      <c r="X165" s="574">
        <f t="shared" si="138"/>
        <v>609.58800000000008</v>
      </c>
      <c r="Y165" s="574">
        <f t="shared" si="138"/>
        <v>609.58800000000008</v>
      </c>
      <c r="Z165" s="574">
        <f t="shared" si="138"/>
        <v>609.58800000000008</v>
      </c>
      <c r="AA165" s="574">
        <f t="shared" si="138"/>
        <v>609.58800000000008</v>
      </c>
      <c r="AB165" s="574">
        <f t="shared" si="138"/>
        <v>609.58800000000008</v>
      </c>
      <c r="AC165" s="574">
        <f t="shared" si="138"/>
        <v>609.58800000000008</v>
      </c>
      <c r="AD165" s="574">
        <f t="shared" si="138"/>
        <v>609.58800000000008</v>
      </c>
      <c r="AE165" s="574">
        <f t="shared" si="138"/>
        <v>609.58800000000008</v>
      </c>
      <c r="AF165" s="574">
        <f t="shared" si="138"/>
        <v>609.58800000000008</v>
      </c>
      <c r="AH165" s="538"/>
      <c r="AK165" s="531"/>
      <c r="AM165" s="539"/>
      <c r="AN165" s="535"/>
      <c r="AP165" s="540"/>
      <c r="AQ165" s="540"/>
    </row>
    <row r="166" spans="1:43" s="546" customFormat="1" ht="16.5" hidden="1" customHeight="1" outlineLevel="2">
      <c r="A166" s="584"/>
      <c r="B166" s="569" t="s">
        <v>935</v>
      </c>
      <c r="C166" s="581">
        <f>C167*(C168+C170+C171+C172)</f>
        <v>4915.3700000000008</v>
      </c>
      <c r="D166" s="581">
        <f t="shared" ref="D166:AF166" si="139">D167*(D168+D170+D171+D172)</f>
        <v>4915.3700000000008</v>
      </c>
      <c r="E166" s="581">
        <f t="shared" si="139"/>
        <v>4915.3700000000008</v>
      </c>
      <c r="F166" s="581">
        <f t="shared" si="139"/>
        <v>4915.3700000000008</v>
      </c>
      <c r="G166" s="581">
        <f t="shared" si="139"/>
        <v>4915.3700000000008</v>
      </c>
      <c r="H166" s="581">
        <f t="shared" si="139"/>
        <v>4915.3700000000008</v>
      </c>
      <c r="I166" s="581">
        <f t="shared" si="139"/>
        <v>4915.3700000000008</v>
      </c>
      <c r="J166" s="581">
        <f t="shared" si="139"/>
        <v>4915.3700000000008</v>
      </c>
      <c r="K166" s="581">
        <f t="shared" si="139"/>
        <v>4915.3700000000008</v>
      </c>
      <c r="L166" s="581">
        <f t="shared" si="139"/>
        <v>4915.3700000000008</v>
      </c>
      <c r="M166" s="581">
        <f t="shared" si="139"/>
        <v>4915.3700000000008</v>
      </c>
      <c r="N166" s="581">
        <f t="shared" si="139"/>
        <v>4915.3700000000008</v>
      </c>
      <c r="O166" s="581">
        <f t="shared" si="139"/>
        <v>4915.3700000000008</v>
      </c>
      <c r="P166" s="581">
        <f t="shared" si="139"/>
        <v>4915.3700000000008</v>
      </c>
      <c r="Q166" s="581">
        <f t="shared" si="139"/>
        <v>4915.3700000000008</v>
      </c>
      <c r="R166" s="581">
        <f t="shared" si="139"/>
        <v>4915.3700000000008</v>
      </c>
      <c r="S166" s="581">
        <f t="shared" si="139"/>
        <v>4915.3700000000008</v>
      </c>
      <c r="T166" s="581">
        <f t="shared" si="139"/>
        <v>4915.3700000000008</v>
      </c>
      <c r="U166" s="581">
        <f t="shared" si="139"/>
        <v>4915.3700000000008</v>
      </c>
      <c r="V166" s="581">
        <f t="shared" si="139"/>
        <v>4915.3700000000008</v>
      </c>
      <c r="W166" s="581">
        <f t="shared" si="139"/>
        <v>4915.3700000000008</v>
      </c>
      <c r="X166" s="581">
        <f t="shared" si="139"/>
        <v>4915.3700000000008</v>
      </c>
      <c r="Y166" s="581">
        <f t="shared" si="139"/>
        <v>4915.3700000000008</v>
      </c>
      <c r="Z166" s="581">
        <f t="shared" si="139"/>
        <v>4915.3700000000008</v>
      </c>
      <c r="AA166" s="581">
        <f t="shared" si="139"/>
        <v>4915.3700000000008</v>
      </c>
      <c r="AB166" s="581">
        <f t="shared" si="139"/>
        <v>4915.3700000000008</v>
      </c>
      <c r="AC166" s="581">
        <f t="shared" si="139"/>
        <v>4915.3700000000008</v>
      </c>
      <c r="AD166" s="581">
        <f t="shared" si="139"/>
        <v>4915.3700000000008</v>
      </c>
      <c r="AE166" s="581">
        <f t="shared" si="139"/>
        <v>4915.3700000000008</v>
      </c>
      <c r="AF166" s="581">
        <f t="shared" si="139"/>
        <v>4915.3700000000008</v>
      </c>
      <c r="AH166" s="571"/>
      <c r="AK166" s="531"/>
      <c r="AM166" s="548"/>
      <c r="AN166" s="535"/>
      <c r="AP166" s="549"/>
      <c r="AQ166" s="549"/>
    </row>
    <row r="167" spans="1:43" s="586" customFormat="1" ht="16.5" hidden="1" customHeight="1" outlineLevel="2">
      <c r="A167" s="584"/>
      <c r="B167" s="585" t="s">
        <v>805</v>
      </c>
      <c r="C167" s="554">
        <v>1</v>
      </c>
      <c r="D167" s="554">
        <v>1</v>
      </c>
      <c r="E167" s="554">
        <v>1</v>
      </c>
      <c r="F167" s="554">
        <v>1</v>
      </c>
      <c r="G167" s="554">
        <v>1</v>
      </c>
      <c r="H167" s="554">
        <v>1</v>
      </c>
      <c r="I167" s="554">
        <v>1</v>
      </c>
      <c r="J167" s="554">
        <v>1</v>
      </c>
      <c r="K167" s="554">
        <v>1</v>
      </c>
      <c r="L167" s="554">
        <v>1</v>
      </c>
      <c r="M167" s="554">
        <v>1</v>
      </c>
      <c r="N167" s="554">
        <v>1</v>
      </c>
      <c r="O167" s="554">
        <v>1</v>
      </c>
      <c r="P167" s="554">
        <v>1</v>
      </c>
      <c r="Q167" s="554">
        <v>1</v>
      </c>
      <c r="R167" s="554">
        <v>1</v>
      </c>
      <c r="S167" s="554">
        <v>1</v>
      </c>
      <c r="T167" s="554">
        <v>1</v>
      </c>
      <c r="U167" s="554">
        <v>1</v>
      </c>
      <c r="V167" s="554">
        <v>1</v>
      </c>
      <c r="W167" s="554">
        <v>1</v>
      </c>
      <c r="X167" s="554">
        <v>1</v>
      </c>
      <c r="Y167" s="554">
        <v>1</v>
      </c>
      <c r="Z167" s="554">
        <v>1</v>
      </c>
      <c r="AA167" s="554">
        <v>1</v>
      </c>
      <c r="AB167" s="554">
        <v>1</v>
      </c>
      <c r="AC167" s="554">
        <v>1</v>
      </c>
      <c r="AD167" s="554">
        <v>1</v>
      </c>
      <c r="AE167" s="554">
        <v>1</v>
      </c>
      <c r="AF167" s="554">
        <v>1</v>
      </c>
      <c r="AH167" s="587"/>
      <c r="AK167" s="588"/>
      <c r="AM167" s="589"/>
      <c r="AN167" s="590"/>
      <c r="AP167" s="591"/>
      <c r="AQ167" s="591"/>
    </row>
    <row r="168" spans="1:43" s="586" customFormat="1" ht="16.5" hidden="1" customHeight="1" outlineLevel="2">
      <c r="A168" s="584"/>
      <c r="B168" s="585" t="s">
        <v>928</v>
      </c>
      <c r="C168" s="632">
        <f>'Sal._benef.'!$D$20</f>
        <v>4266.97</v>
      </c>
      <c r="D168" s="632">
        <f>C168</f>
        <v>4266.97</v>
      </c>
      <c r="E168" s="632">
        <f t="shared" ref="E168:T172" si="140">D168</f>
        <v>4266.97</v>
      </c>
      <c r="F168" s="632">
        <f t="shared" si="140"/>
        <v>4266.97</v>
      </c>
      <c r="G168" s="632">
        <f t="shared" si="140"/>
        <v>4266.97</v>
      </c>
      <c r="H168" s="632">
        <f t="shared" si="140"/>
        <v>4266.97</v>
      </c>
      <c r="I168" s="632">
        <f t="shared" si="140"/>
        <v>4266.97</v>
      </c>
      <c r="J168" s="632">
        <f t="shared" si="140"/>
        <v>4266.97</v>
      </c>
      <c r="K168" s="632">
        <f t="shared" si="140"/>
        <v>4266.97</v>
      </c>
      <c r="L168" s="632">
        <f t="shared" si="140"/>
        <v>4266.97</v>
      </c>
      <c r="M168" s="632">
        <f t="shared" si="140"/>
        <v>4266.97</v>
      </c>
      <c r="N168" s="632">
        <f t="shared" si="140"/>
        <v>4266.97</v>
      </c>
      <c r="O168" s="632">
        <f t="shared" si="140"/>
        <v>4266.97</v>
      </c>
      <c r="P168" s="632">
        <f t="shared" si="140"/>
        <v>4266.97</v>
      </c>
      <c r="Q168" s="632">
        <f t="shared" si="140"/>
        <v>4266.97</v>
      </c>
      <c r="R168" s="632">
        <f t="shared" si="140"/>
        <v>4266.97</v>
      </c>
      <c r="S168" s="632">
        <f t="shared" si="140"/>
        <v>4266.97</v>
      </c>
      <c r="T168" s="632">
        <f t="shared" si="140"/>
        <v>4266.97</v>
      </c>
      <c r="U168" s="632">
        <f t="shared" ref="U168:AF172" si="141">T168</f>
        <v>4266.97</v>
      </c>
      <c r="V168" s="632">
        <f t="shared" si="141"/>
        <v>4266.97</v>
      </c>
      <c r="W168" s="632">
        <f t="shared" si="141"/>
        <v>4266.97</v>
      </c>
      <c r="X168" s="632">
        <f t="shared" si="141"/>
        <v>4266.97</v>
      </c>
      <c r="Y168" s="632">
        <f t="shared" si="141"/>
        <v>4266.97</v>
      </c>
      <c r="Z168" s="632">
        <f t="shared" si="141"/>
        <v>4266.97</v>
      </c>
      <c r="AA168" s="632">
        <f t="shared" si="141"/>
        <v>4266.97</v>
      </c>
      <c r="AB168" s="632">
        <f t="shared" si="141"/>
        <v>4266.97</v>
      </c>
      <c r="AC168" s="632">
        <f t="shared" si="141"/>
        <v>4266.97</v>
      </c>
      <c r="AD168" s="632">
        <f t="shared" si="141"/>
        <v>4266.97</v>
      </c>
      <c r="AE168" s="632">
        <f t="shared" si="141"/>
        <v>4266.97</v>
      </c>
      <c r="AF168" s="632">
        <f t="shared" si="141"/>
        <v>4266.97</v>
      </c>
      <c r="AH168" s="587"/>
      <c r="AK168" s="588"/>
      <c r="AM168" s="589"/>
      <c r="AN168" s="590"/>
      <c r="AP168" s="591"/>
      <c r="AQ168" s="591"/>
    </row>
    <row r="169" spans="1:43" s="586" customFormat="1" ht="16.5" hidden="1" customHeight="1" outlineLevel="2">
      <c r="A169" s="584"/>
      <c r="B169" s="585" t="s">
        <v>929</v>
      </c>
      <c r="C169" s="632">
        <f>'Sal._benef.'!$F$10</f>
        <v>1621</v>
      </c>
      <c r="D169" s="632">
        <f>C169</f>
        <v>1621</v>
      </c>
      <c r="E169" s="632">
        <f t="shared" si="140"/>
        <v>1621</v>
      </c>
      <c r="F169" s="632">
        <f t="shared" si="140"/>
        <v>1621</v>
      </c>
      <c r="G169" s="632">
        <f t="shared" si="140"/>
        <v>1621</v>
      </c>
      <c r="H169" s="632">
        <f t="shared" si="140"/>
        <v>1621</v>
      </c>
      <c r="I169" s="632">
        <f t="shared" si="140"/>
        <v>1621</v>
      </c>
      <c r="J169" s="632">
        <f t="shared" si="140"/>
        <v>1621</v>
      </c>
      <c r="K169" s="632">
        <f t="shared" si="140"/>
        <v>1621</v>
      </c>
      <c r="L169" s="632">
        <f t="shared" si="140"/>
        <v>1621</v>
      </c>
      <c r="M169" s="632">
        <f t="shared" si="140"/>
        <v>1621</v>
      </c>
      <c r="N169" s="632">
        <f t="shared" si="140"/>
        <v>1621</v>
      </c>
      <c r="O169" s="632">
        <f t="shared" si="140"/>
        <v>1621</v>
      </c>
      <c r="P169" s="632">
        <f t="shared" si="140"/>
        <v>1621</v>
      </c>
      <c r="Q169" s="632">
        <f t="shared" si="140"/>
        <v>1621</v>
      </c>
      <c r="R169" s="632">
        <f t="shared" si="140"/>
        <v>1621</v>
      </c>
      <c r="S169" s="632">
        <f t="shared" si="140"/>
        <v>1621</v>
      </c>
      <c r="T169" s="632">
        <f t="shared" si="140"/>
        <v>1621</v>
      </c>
      <c r="U169" s="632">
        <f t="shared" si="141"/>
        <v>1621</v>
      </c>
      <c r="V169" s="632">
        <f t="shared" si="141"/>
        <v>1621</v>
      </c>
      <c r="W169" s="632">
        <f t="shared" si="141"/>
        <v>1621</v>
      </c>
      <c r="X169" s="632">
        <f t="shared" si="141"/>
        <v>1621</v>
      </c>
      <c r="Y169" s="632">
        <f t="shared" si="141"/>
        <v>1621</v>
      </c>
      <c r="Z169" s="632">
        <f t="shared" si="141"/>
        <v>1621</v>
      </c>
      <c r="AA169" s="632">
        <f t="shared" si="141"/>
        <v>1621</v>
      </c>
      <c r="AB169" s="632">
        <f t="shared" si="141"/>
        <v>1621</v>
      </c>
      <c r="AC169" s="632">
        <f t="shared" si="141"/>
        <v>1621</v>
      </c>
      <c r="AD169" s="632">
        <f t="shared" si="141"/>
        <v>1621</v>
      </c>
      <c r="AE169" s="632">
        <f t="shared" si="141"/>
        <v>1621</v>
      </c>
      <c r="AF169" s="632">
        <f t="shared" si="141"/>
        <v>1621</v>
      </c>
      <c r="AH169" s="587"/>
      <c r="AK169" s="588"/>
      <c r="AM169" s="589"/>
      <c r="AN169" s="590"/>
      <c r="AP169" s="591"/>
      <c r="AQ169" s="591"/>
    </row>
    <row r="170" spans="1:43" s="586" customFormat="1" ht="16.5" hidden="1" customHeight="1" outlineLevel="2">
      <c r="A170" s="584"/>
      <c r="B170" s="572" t="s">
        <v>1487</v>
      </c>
      <c r="C170" s="632">
        <f>'Sal._benef.'!$F$20*'Sal._benef.'!$F$10</f>
        <v>648.40000000000009</v>
      </c>
      <c r="D170" s="632">
        <f>C170</f>
        <v>648.40000000000009</v>
      </c>
      <c r="E170" s="632">
        <f t="shared" si="140"/>
        <v>648.40000000000009</v>
      </c>
      <c r="F170" s="632">
        <f t="shared" si="140"/>
        <v>648.40000000000009</v>
      </c>
      <c r="G170" s="632">
        <f t="shared" si="140"/>
        <v>648.40000000000009</v>
      </c>
      <c r="H170" s="632">
        <f t="shared" si="140"/>
        <v>648.40000000000009</v>
      </c>
      <c r="I170" s="632">
        <f t="shared" si="140"/>
        <v>648.40000000000009</v>
      </c>
      <c r="J170" s="632">
        <f t="shared" si="140"/>
        <v>648.40000000000009</v>
      </c>
      <c r="K170" s="632">
        <f t="shared" si="140"/>
        <v>648.40000000000009</v>
      </c>
      <c r="L170" s="632">
        <f t="shared" si="140"/>
        <v>648.40000000000009</v>
      </c>
      <c r="M170" s="632">
        <f t="shared" si="140"/>
        <v>648.40000000000009</v>
      </c>
      <c r="N170" s="632">
        <f t="shared" si="140"/>
        <v>648.40000000000009</v>
      </c>
      <c r="O170" s="632">
        <f t="shared" si="140"/>
        <v>648.40000000000009</v>
      </c>
      <c r="P170" s="632">
        <f t="shared" si="140"/>
        <v>648.40000000000009</v>
      </c>
      <c r="Q170" s="632">
        <f t="shared" si="140"/>
        <v>648.40000000000009</v>
      </c>
      <c r="R170" s="632">
        <f t="shared" si="140"/>
        <v>648.40000000000009</v>
      </c>
      <c r="S170" s="632">
        <f t="shared" si="140"/>
        <v>648.40000000000009</v>
      </c>
      <c r="T170" s="632">
        <f t="shared" si="140"/>
        <v>648.40000000000009</v>
      </c>
      <c r="U170" s="632">
        <f t="shared" si="141"/>
        <v>648.40000000000009</v>
      </c>
      <c r="V170" s="632">
        <f t="shared" si="141"/>
        <v>648.40000000000009</v>
      </c>
      <c r="W170" s="632">
        <f t="shared" si="141"/>
        <v>648.40000000000009</v>
      </c>
      <c r="X170" s="632">
        <f t="shared" si="141"/>
        <v>648.40000000000009</v>
      </c>
      <c r="Y170" s="632">
        <f t="shared" si="141"/>
        <v>648.40000000000009</v>
      </c>
      <c r="Z170" s="632">
        <f t="shared" si="141"/>
        <v>648.40000000000009</v>
      </c>
      <c r="AA170" s="632">
        <f t="shared" si="141"/>
        <v>648.40000000000009</v>
      </c>
      <c r="AB170" s="632">
        <f t="shared" si="141"/>
        <v>648.40000000000009</v>
      </c>
      <c r="AC170" s="632">
        <f t="shared" si="141"/>
        <v>648.40000000000009</v>
      </c>
      <c r="AD170" s="632">
        <f t="shared" si="141"/>
        <v>648.40000000000009</v>
      </c>
      <c r="AE170" s="632">
        <f t="shared" si="141"/>
        <v>648.40000000000009</v>
      </c>
      <c r="AF170" s="632">
        <f t="shared" si="141"/>
        <v>648.40000000000009</v>
      </c>
      <c r="AH170" s="587"/>
      <c r="AK170" s="588"/>
      <c r="AM170" s="589"/>
      <c r="AN170" s="590"/>
      <c r="AP170" s="591"/>
      <c r="AQ170" s="591"/>
    </row>
    <row r="171" spans="1:43" s="513" customFormat="1" ht="16.5" hidden="1" customHeight="1" outlineLevel="2">
      <c r="A171" s="584"/>
      <c r="B171" s="572" t="s">
        <v>1486</v>
      </c>
      <c r="C171" s="574">
        <v>0</v>
      </c>
      <c r="D171" s="574">
        <f>C171</f>
        <v>0</v>
      </c>
      <c r="E171" s="574">
        <f t="shared" si="140"/>
        <v>0</v>
      </c>
      <c r="F171" s="574">
        <f t="shared" si="140"/>
        <v>0</v>
      </c>
      <c r="G171" s="574">
        <f t="shared" si="140"/>
        <v>0</v>
      </c>
      <c r="H171" s="574">
        <f t="shared" si="140"/>
        <v>0</v>
      </c>
      <c r="I171" s="574">
        <f>H171</f>
        <v>0</v>
      </c>
      <c r="J171" s="574">
        <f t="shared" si="140"/>
        <v>0</v>
      </c>
      <c r="K171" s="574">
        <f t="shared" si="140"/>
        <v>0</v>
      </c>
      <c r="L171" s="574">
        <f t="shared" si="140"/>
        <v>0</v>
      </c>
      <c r="M171" s="574">
        <f t="shared" si="140"/>
        <v>0</v>
      </c>
      <c r="N171" s="574">
        <f t="shared" si="140"/>
        <v>0</v>
      </c>
      <c r="O171" s="574">
        <f t="shared" si="140"/>
        <v>0</v>
      </c>
      <c r="P171" s="574">
        <f t="shared" si="140"/>
        <v>0</v>
      </c>
      <c r="Q171" s="574">
        <f t="shared" si="140"/>
        <v>0</v>
      </c>
      <c r="R171" s="574">
        <f t="shared" si="140"/>
        <v>0</v>
      </c>
      <c r="S171" s="574">
        <f t="shared" si="140"/>
        <v>0</v>
      </c>
      <c r="T171" s="574">
        <f t="shared" si="140"/>
        <v>0</v>
      </c>
      <c r="U171" s="574">
        <f t="shared" si="141"/>
        <v>0</v>
      </c>
      <c r="V171" s="574">
        <f t="shared" si="141"/>
        <v>0</v>
      </c>
      <c r="W171" s="574">
        <f t="shared" si="141"/>
        <v>0</v>
      </c>
      <c r="X171" s="574">
        <f t="shared" si="141"/>
        <v>0</v>
      </c>
      <c r="Y171" s="574">
        <f t="shared" si="141"/>
        <v>0</v>
      </c>
      <c r="Z171" s="574">
        <f t="shared" si="141"/>
        <v>0</v>
      </c>
      <c r="AA171" s="574">
        <f t="shared" si="141"/>
        <v>0</v>
      </c>
      <c r="AB171" s="574">
        <f t="shared" si="141"/>
        <v>0</v>
      </c>
      <c r="AC171" s="574">
        <f t="shared" si="141"/>
        <v>0</v>
      </c>
      <c r="AD171" s="574">
        <f t="shared" si="141"/>
        <v>0</v>
      </c>
      <c r="AE171" s="574">
        <f t="shared" si="141"/>
        <v>0</v>
      </c>
      <c r="AF171" s="574">
        <f t="shared" si="141"/>
        <v>0</v>
      </c>
      <c r="AH171" s="538"/>
      <c r="AK171" s="531"/>
      <c r="AM171" s="539"/>
      <c r="AN171" s="535"/>
      <c r="AP171" s="540"/>
      <c r="AQ171" s="540"/>
    </row>
    <row r="172" spans="1:43" s="513" customFormat="1" ht="16.5" hidden="1" customHeight="1" outlineLevel="2">
      <c r="A172" s="584"/>
      <c r="B172" s="572" t="s">
        <v>1367</v>
      </c>
      <c r="C172" s="574">
        <v>0</v>
      </c>
      <c r="D172" s="574">
        <f>C172</f>
        <v>0</v>
      </c>
      <c r="E172" s="574">
        <f t="shared" si="140"/>
        <v>0</v>
      </c>
      <c r="F172" s="574">
        <f t="shared" si="140"/>
        <v>0</v>
      </c>
      <c r="G172" s="574">
        <f t="shared" si="140"/>
        <v>0</v>
      </c>
      <c r="H172" s="574">
        <f t="shared" si="140"/>
        <v>0</v>
      </c>
      <c r="I172" s="574">
        <f t="shared" si="140"/>
        <v>0</v>
      </c>
      <c r="J172" s="574">
        <f t="shared" si="140"/>
        <v>0</v>
      </c>
      <c r="K172" s="574">
        <f t="shared" si="140"/>
        <v>0</v>
      </c>
      <c r="L172" s="574">
        <f t="shared" si="140"/>
        <v>0</v>
      </c>
      <c r="M172" s="574">
        <f t="shared" si="140"/>
        <v>0</v>
      </c>
      <c r="N172" s="574">
        <f t="shared" si="140"/>
        <v>0</v>
      </c>
      <c r="O172" s="574">
        <f t="shared" si="140"/>
        <v>0</v>
      </c>
      <c r="P172" s="574">
        <f t="shared" si="140"/>
        <v>0</v>
      </c>
      <c r="Q172" s="574">
        <f t="shared" si="140"/>
        <v>0</v>
      </c>
      <c r="R172" s="574">
        <f t="shared" si="140"/>
        <v>0</v>
      </c>
      <c r="S172" s="574">
        <f t="shared" si="140"/>
        <v>0</v>
      </c>
      <c r="T172" s="574">
        <f t="shared" si="140"/>
        <v>0</v>
      </c>
      <c r="U172" s="574">
        <f t="shared" si="141"/>
        <v>0</v>
      </c>
      <c r="V172" s="574">
        <f t="shared" si="141"/>
        <v>0</v>
      </c>
      <c r="W172" s="574">
        <f t="shared" si="141"/>
        <v>0</v>
      </c>
      <c r="X172" s="574">
        <f t="shared" si="141"/>
        <v>0</v>
      </c>
      <c r="Y172" s="574">
        <f t="shared" si="141"/>
        <v>0</v>
      </c>
      <c r="Z172" s="574">
        <f t="shared" si="141"/>
        <v>0</v>
      </c>
      <c r="AA172" s="574">
        <f t="shared" si="141"/>
        <v>0</v>
      </c>
      <c r="AB172" s="574">
        <f t="shared" si="141"/>
        <v>0</v>
      </c>
      <c r="AC172" s="574">
        <f t="shared" si="141"/>
        <v>0</v>
      </c>
      <c r="AD172" s="574">
        <f t="shared" si="141"/>
        <v>0</v>
      </c>
      <c r="AE172" s="574">
        <f t="shared" si="141"/>
        <v>0</v>
      </c>
      <c r="AF172" s="574">
        <f t="shared" si="141"/>
        <v>0</v>
      </c>
      <c r="AH172" s="538"/>
      <c r="AK172" s="531"/>
      <c r="AM172" s="539"/>
      <c r="AN172" s="535"/>
      <c r="AP172" s="540"/>
      <c r="AQ172" s="540"/>
    </row>
    <row r="173" spans="1:43" ht="3" hidden="1" customHeight="1" outlineLevel="2">
      <c r="A173" s="584"/>
      <c r="B173" s="609"/>
      <c r="C173" s="611"/>
      <c r="D173" s="611"/>
      <c r="E173" s="610"/>
      <c r="F173" s="610"/>
      <c r="G173" s="610"/>
      <c r="H173" s="610"/>
      <c r="I173" s="610"/>
      <c r="J173" s="610"/>
      <c r="K173" s="610"/>
      <c r="L173" s="610"/>
      <c r="M173" s="610"/>
      <c r="N173" s="610"/>
      <c r="O173" s="610"/>
      <c r="P173" s="610"/>
      <c r="Q173" s="610"/>
      <c r="R173" s="610"/>
      <c r="S173" s="610"/>
      <c r="T173" s="610"/>
      <c r="U173" s="610"/>
      <c r="V173" s="610"/>
      <c r="W173" s="610"/>
      <c r="X173" s="610"/>
      <c r="Y173" s="610"/>
      <c r="Z173" s="610"/>
      <c r="AA173" s="610"/>
      <c r="AB173" s="610"/>
      <c r="AC173" s="610"/>
      <c r="AD173" s="610"/>
      <c r="AE173" s="610"/>
      <c r="AF173" s="610"/>
      <c r="AH173" s="593"/>
      <c r="AK173" s="531"/>
      <c r="AM173" s="594"/>
      <c r="AN173" s="535"/>
      <c r="AP173" s="535"/>
      <c r="AQ173" s="535"/>
    </row>
    <row r="174" spans="1:43" s="564" customFormat="1" ht="16.5" hidden="1" customHeight="1" outlineLevel="1" collapsed="1">
      <c r="A174" s="584"/>
      <c r="B174" s="576" t="s">
        <v>936</v>
      </c>
      <c r="C174" s="577">
        <f>C175</f>
        <v>740.15268728399985</v>
      </c>
      <c r="D174" s="577">
        <f t="shared" ref="D174:AF174" si="142">D175</f>
        <v>740.15268728399985</v>
      </c>
      <c r="E174" s="577">
        <f t="shared" si="142"/>
        <v>740.15268728399985</v>
      </c>
      <c r="F174" s="577">
        <f t="shared" si="142"/>
        <v>740.15268728399985</v>
      </c>
      <c r="G174" s="577">
        <f t="shared" si="142"/>
        <v>740.15268728399985</v>
      </c>
      <c r="H174" s="577">
        <f t="shared" si="142"/>
        <v>740.15268728399985</v>
      </c>
      <c r="I174" s="577">
        <f t="shared" si="142"/>
        <v>740.15268728399985</v>
      </c>
      <c r="J174" s="577">
        <f t="shared" si="142"/>
        <v>740.15268728399985</v>
      </c>
      <c r="K174" s="577">
        <f t="shared" si="142"/>
        <v>740.15268728399985</v>
      </c>
      <c r="L174" s="577">
        <f t="shared" si="142"/>
        <v>740.15268728399985</v>
      </c>
      <c r="M174" s="577">
        <f t="shared" si="142"/>
        <v>740.15268728399985</v>
      </c>
      <c r="N174" s="577">
        <f t="shared" si="142"/>
        <v>740.15268728399985</v>
      </c>
      <c r="O174" s="577">
        <f t="shared" si="142"/>
        <v>740.15268728399985</v>
      </c>
      <c r="P174" s="577">
        <f t="shared" si="142"/>
        <v>740.15268728399985</v>
      </c>
      <c r="Q174" s="577">
        <f t="shared" si="142"/>
        <v>740.15268728399985</v>
      </c>
      <c r="R174" s="577">
        <f t="shared" si="142"/>
        <v>740.15268728399985</v>
      </c>
      <c r="S174" s="577">
        <f t="shared" si="142"/>
        <v>740.15268728399985</v>
      </c>
      <c r="T174" s="577">
        <f t="shared" si="142"/>
        <v>740.15268728399985</v>
      </c>
      <c r="U174" s="577">
        <f t="shared" si="142"/>
        <v>849.47467616400002</v>
      </c>
      <c r="V174" s="577">
        <f t="shared" si="142"/>
        <v>849.47467616400002</v>
      </c>
      <c r="W174" s="577">
        <f t="shared" si="142"/>
        <v>849.47467616400002</v>
      </c>
      <c r="X174" s="577">
        <f t="shared" si="142"/>
        <v>849.47467616400002</v>
      </c>
      <c r="Y174" s="577">
        <f t="shared" si="142"/>
        <v>849.47467616400002</v>
      </c>
      <c r="Z174" s="577">
        <f t="shared" si="142"/>
        <v>849.47467616400002</v>
      </c>
      <c r="AA174" s="577">
        <f t="shared" si="142"/>
        <v>849.47467616400002</v>
      </c>
      <c r="AB174" s="577">
        <f t="shared" si="142"/>
        <v>849.47467616400002</v>
      </c>
      <c r="AC174" s="577">
        <f t="shared" si="142"/>
        <v>849.47467616400002</v>
      </c>
      <c r="AD174" s="577">
        <f t="shared" si="142"/>
        <v>849.47467616400002</v>
      </c>
      <c r="AE174" s="577">
        <f t="shared" si="142"/>
        <v>849.47467616400002</v>
      </c>
      <c r="AF174" s="577">
        <f t="shared" si="142"/>
        <v>849.47467616400002</v>
      </c>
      <c r="AH174" s="578">
        <f>SUM(C174:AF174)</f>
        <v>23516.444485080014</v>
      </c>
      <c r="AJ174" s="579"/>
      <c r="AK174" s="531"/>
      <c r="AM174" s="567"/>
      <c r="AN174" s="535"/>
      <c r="AP174" s="568"/>
      <c r="AQ174" s="568"/>
    </row>
    <row r="175" spans="1:43" s="546" customFormat="1" ht="16.5" hidden="1" customHeight="1" outlineLevel="2">
      <c r="A175" s="584"/>
      <c r="B175" s="569" t="s">
        <v>937</v>
      </c>
      <c r="C175" s="570">
        <f t="shared" ref="C175:AF175" si="143">C123*C176</f>
        <v>740.15268728399985</v>
      </c>
      <c r="D175" s="570">
        <f t="shared" si="143"/>
        <v>740.15268728399985</v>
      </c>
      <c r="E175" s="570">
        <f t="shared" si="143"/>
        <v>740.15268728399985</v>
      </c>
      <c r="F175" s="570">
        <f t="shared" si="143"/>
        <v>740.15268728399985</v>
      </c>
      <c r="G175" s="570">
        <f t="shared" si="143"/>
        <v>740.15268728399985</v>
      </c>
      <c r="H175" s="570">
        <f t="shared" si="143"/>
        <v>740.15268728399985</v>
      </c>
      <c r="I175" s="570">
        <f t="shared" si="143"/>
        <v>740.15268728399985</v>
      </c>
      <c r="J175" s="570">
        <f t="shared" si="143"/>
        <v>740.15268728399985</v>
      </c>
      <c r="K175" s="570">
        <f t="shared" si="143"/>
        <v>740.15268728399985</v>
      </c>
      <c r="L175" s="570">
        <f t="shared" si="143"/>
        <v>740.15268728399985</v>
      </c>
      <c r="M175" s="570">
        <f t="shared" si="143"/>
        <v>740.15268728399985</v>
      </c>
      <c r="N175" s="570">
        <f t="shared" si="143"/>
        <v>740.15268728399985</v>
      </c>
      <c r="O175" s="570">
        <f t="shared" si="143"/>
        <v>740.15268728399985</v>
      </c>
      <c r="P175" s="570">
        <f t="shared" si="143"/>
        <v>740.15268728399985</v>
      </c>
      <c r="Q175" s="570">
        <f t="shared" si="143"/>
        <v>740.15268728399985</v>
      </c>
      <c r="R175" s="570">
        <f t="shared" si="143"/>
        <v>740.15268728399985</v>
      </c>
      <c r="S175" s="570">
        <f t="shared" si="143"/>
        <v>740.15268728399985</v>
      </c>
      <c r="T175" s="570">
        <f t="shared" si="143"/>
        <v>740.15268728399985</v>
      </c>
      <c r="U175" s="570">
        <f t="shared" si="143"/>
        <v>849.47467616400002</v>
      </c>
      <c r="V175" s="570">
        <f t="shared" si="143"/>
        <v>849.47467616400002</v>
      </c>
      <c r="W175" s="570">
        <f t="shared" si="143"/>
        <v>849.47467616400002</v>
      </c>
      <c r="X175" s="570">
        <f t="shared" si="143"/>
        <v>849.47467616400002</v>
      </c>
      <c r="Y175" s="570">
        <f t="shared" si="143"/>
        <v>849.47467616400002</v>
      </c>
      <c r="Z175" s="570">
        <f t="shared" si="143"/>
        <v>849.47467616400002</v>
      </c>
      <c r="AA175" s="570">
        <f t="shared" si="143"/>
        <v>849.47467616400002</v>
      </c>
      <c r="AB175" s="570">
        <f t="shared" si="143"/>
        <v>849.47467616400002</v>
      </c>
      <c r="AC175" s="570">
        <f t="shared" si="143"/>
        <v>849.47467616400002</v>
      </c>
      <c r="AD175" s="570">
        <f t="shared" si="143"/>
        <v>849.47467616400002</v>
      </c>
      <c r="AE175" s="570">
        <f t="shared" si="143"/>
        <v>849.47467616400002</v>
      </c>
      <c r="AF175" s="570">
        <f t="shared" si="143"/>
        <v>849.47467616400002</v>
      </c>
      <c r="AH175" s="571"/>
      <c r="AK175" s="531"/>
      <c r="AM175" s="548"/>
      <c r="AN175" s="535"/>
      <c r="AP175" s="549"/>
      <c r="AQ175" s="549"/>
    </row>
    <row r="176" spans="1:43" s="513" customFormat="1" ht="16.5" hidden="1" customHeight="1" outlineLevel="2">
      <c r="A176" s="584"/>
      <c r="B176" s="572" t="s">
        <v>938</v>
      </c>
      <c r="C176" s="378">
        <f>'Sal._benef.'!$F$11</f>
        <v>0.71030000000000004</v>
      </c>
      <c r="D176" s="378">
        <f>C176</f>
        <v>0.71030000000000004</v>
      </c>
      <c r="E176" s="378">
        <f t="shared" ref="E176:AF176" si="144">D176</f>
        <v>0.71030000000000004</v>
      </c>
      <c r="F176" s="378">
        <f t="shared" si="144"/>
        <v>0.71030000000000004</v>
      </c>
      <c r="G176" s="378">
        <f t="shared" si="144"/>
        <v>0.71030000000000004</v>
      </c>
      <c r="H176" s="378">
        <f t="shared" si="144"/>
        <v>0.71030000000000004</v>
      </c>
      <c r="I176" s="378">
        <f t="shared" si="144"/>
        <v>0.71030000000000004</v>
      </c>
      <c r="J176" s="378">
        <f t="shared" si="144"/>
        <v>0.71030000000000004</v>
      </c>
      <c r="K176" s="378">
        <f t="shared" si="144"/>
        <v>0.71030000000000004</v>
      </c>
      <c r="L176" s="378">
        <f t="shared" si="144"/>
        <v>0.71030000000000004</v>
      </c>
      <c r="M176" s="378">
        <f t="shared" si="144"/>
        <v>0.71030000000000004</v>
      </c>
      <c r="N176" s="378">
        <f t="shared" si="144"/>
        <v>0.71030000000000004</v>
      </c>
      <c r="O176" s="378">
        <f t="shared" si="144"/>
        <v>0.71030000000000004</v>
      </c>
      <c r="P176" s="378">
        <f t="shared" si="144"/>
        <v>0.71030000000000004</v>
      </c>
      <c r="Q176" s="378">
        <f t="shared" si="144"/>
        <v>0.71030000000000004</v>
      </c>
      <c r="R176" s="378">
        <f t="shared" si="144"/>
        <v>0.71030000000000004</v>
      </c>
      <c r="S176" s="378">
        <f t="shared" si="144"/>
        <v>0.71030000000000004</v>
      </c>
      <c r="T176" s="378">
        <f t="shared" si="144"/>
        <v>0.71030000000000004</v>
      </c>
      <c r="U176" s="378">
        <f t="shared" si="144"/>
        <v>0.71030000000000004</v>
      </c>
      <c r="V176" s="378">
        <f t="shared" si="144"/>
        <v>0.71030000000000004</v>
      </c>
      <c r="W176" s="378">
        <f t="shared" si="144"/>
        <v>0.71030000000000004</v>
      </c>
      <c r="X176" s="378">
        <f t="shared" si="144"/>
        <v>0.71030000000000004</v>
      </c>
      <c r="Y176" s="378">
        <f t="shared" si="144"/>
        <v>0.71030000000000004</v>
      </c>
      <c r="Z176" s="378">
        <f t="shared" si="144"/>
        <v>0.71030000000000004</v>
      </c>
      <c r="AA176" s="378">
        <f t="shared" si="144"/>
        <v>0.71030000000000004</v>
      </c>
      <c r="AB176" s="378">
        <f t="shared" si="144"/>
        <v>0.71030000000000004</v>
      </c>
      <c r="AC176" s="378">
        <f t="shared" si="144"/>
        <v>0.71030000000000004</v>
      </c>
      <c r="AD176" s="378">
        <f t="shared" si="144"/>
        <v>0.71030000000000004</v>
      </c>
      <c r="AE176" s="378">
        <f t="shared" si="144"/>
        <v>0.71030000000000004</v>
      </c>
      <c r="AF176" s="378">
        <f t="shared" si="144"/>
        <v>0.71030000000000004</v>
      </c>
      <c r="AH176" s="538"/>
      <c r="AK176" s="531"/>
      <c r="AM176" s="539"/>
      <c r="AN176" s="535"/>
      <c r="AP176" s="540"/>
      <c r="AQ176" s="540"/>
    </row>
    <row r="177" spans="1:43" ht="3" hidden="1" customHeight="1" outlineLevel="2">
      <c r="A177" s="584"/>
      <c r="B177" s="609"/>
      <c r="C177" s="611"/>
      <c r="D177" s="611"/>
      <c r="E177" s="610"/>
      <c r="F177" s="610"/>
      <c r="G177" s="610"/>
      <c r="H177" s="610"/>
      <c r="I177" s="610"/>
      <c r="J177" s="610"/>
      <c r="K177" s="610"/>
      <c r="L177" s="610"/>
      <c r="M177" s="610"/>
      <c r="N177" s="610"/>
      <c r="O177" s="610"/>
      <c r="P177" s="610"/>
      <c r="Q177" s="610"/>
      <c r="R177" s="610"/>
      <c r="S177" s="610"/>
      <c r="T177" s="610"/>
      <c r="U177" s="610"/>
      <c r="V177" s="610"/>
      <c r="W177" s="610"/>
      <c r="X177" s="610"/>
      <c r="Y177" s="610"/>
      <c r="Z177" s="610"/>
      <c r="AA177" s="610"/>
      <c r="AB177" s="610"/>
      <c r="AC177" s="610"/>
      <c r="AD177" s="610"/>
      <c r="AE177" s="610"/>
      <c r="AF177" s="610"/>
      <c r="AH177" s="593"/>
      <c r="AK177" s="531"/>
      <c r="AM177" s="594"/>
      <c r="AN177" s="535"/>
      <c r="AP177" s="535"/>
      <c r="AQ177" s="535"/>
    </row>
    <row r="178" spans="1:43" s="564" customFormat="1" ht="16.5" hidden="1" customHeight="1" outlineLevel="1" collapsed="1">
      <c r="A178" s="584"/>
      <c r="B178" s="576" t="s">
        <v>939</v>
      </c>
      <c r="C178" s="599">
        <f t="shared" ref="C178:AF178" si="145">SUM(C179,C185,C191,C197,C203,C209,C215)*12/10^3</f>
        <v>241.61160960000004</v>
      </c>
      <c r="D178" s="599">
        <f t="shared" si="145"/>
        <v>241.61160960000004</v>
      </c>
      <c r="E178" s="599">
        <f t="shared" si="145"/>
        <v>241.61160960000004</v>
      </c>
      <c r="F178" s="599">
        <f t="shared" si="145"/>
        <v>241.61160960000004</v>
      </c>
      <c r="G178" s="599">
        <f t="shared" si="145"/>
        <v>241.61160960000004</v>
      </c>
      <c r="H178" s="599">
        <f t="shared" si="145"/>
        <v>241.61160960000004</v>
      </c>
      <c r="I178" s="599">
        <f t="shared" si="145"/>
        <v>241.61160960000004</v>
      </c>
      <c r="J178" s="599">
        <f t="shared" si="145"/>
        <v>241.61160960000004</v>
      </c>
      <c r="K178" s="599">
        <f t="shared" si="145"/>
        <v>241.61160960000004</v>
      </c>
      <c r="L178" s="599">
        <f t="shared" si="145"/>
        <v>241.61160960000004</v>
      </c>
      <c r="M178" s="599">
        <f t="shared" si="145"/>
        <v>241.61160960000004</v>
      </c>
      <c r="N178" s="599">
        <f t="shared" si="145"/>
        <v>241.61160960000004</v>
      </c>
      <c r="O178" s="599">
        <f t="shared" si="145"/>
        <v>241.61160960000004</v>
      </c>
      <c r="P178" s="599">
        <f t="shared" si="145"/>
        <v>241.61160960000004</v>
      </c>
      <c r="Q178" s="599">
        <f t="shared" si="145"/>
        <v>241.61160960000004</v>
      </c>
      <c r="R178" s="599">
        <f t="shared" si="145"/>
        <v>241.61160960000004</v>
      </c>
      <c r="S178" s="599">
        <f t="shared" si="145"/>
        <v>241.61160960000004</v>
      </c>
      <c r="T178" s="599">
        <f t="shared" si="145"/>
        <v>241.61160960000004</v>
      </c>
      <c r="U178" s="599">
        <f t="shared" si="145"/>
        <v>279.91164960000003</v>
      </c>
      <c r="V178" s="599">
        <f t="shared" si="145"/>
        <v>279.91164960000003</v>
      </c>
      <c r="W178" s="599">
        <f t="shared" si="145"/>
        <v>279.91164960000003</v>
      </c>
      <c r="X178" s="599">
        <f t="shared" si="145"/>
        <v>279.91164960000003</v>
      </c>
      <c r="Y178" s="599">
        <f t="shared" si="145"/>
        <v>279.91164960000003</v>
      </c>
      <c r="Z178" s="599">
        <f t="shared" si="145"/>
        <v>279.91164960000003</v>
      </c>
      <c r="AA178" s="599">
        <f t="shared" si="145"/>
        <v>279.91164960000003</v>
      </c>
      <c r="AB178" s="599">
        <f t="shared" si="145"/>
        <v>279.91164960000003</v>
      </c>
      <c r="AC178" s="599">
        <f t="shared" si="145"/>
        <v>279.91164960000003</v>
      </c>
      <c r="AD178" s="599">
        <f t="shared" si="145"/>
        <v>279.91164960000003</v>
      </c>
      <c r="AE178" s="599">
        <f t="shared" si="145"/>
        <v>279.91164960000003</v>
      </c>
      <c r="AF178" s="599">
        <f t="shared" si="145"/>
        <v>279.91164960000003</v>
      </c>
      <c r="AH178" s="578">
        <f>SUM(C178:AF178)</f>
        <v>7707.9487679999966</v>
      </c>
      <c r="AJ178" s="579"/>
      <c r="AK178" s="531"/>
      <c r="AM178" s="567"/>
      <c r="AN178" s="535"/>
      <c r="AP178" s="568"/>
      <c r="AQ178" s="568"/>
    </row>
    <row r="179" spans="1:43" s="546" customFormat="1" ht="16.5" hidden="1" customHeight="1" outlineLevel="2">
      <c r="A179" s="584"/>
      <c r="B179" s="613" t="s">
        <v>927</v>
      </c>
      <c r="C179" s="570">
        <f>C180*(C181+C182+C183+C184)</f>
        <v>4838.6399999999994</v>
      </c>
      <c r="D179" s="570">
        <f t="shared" ref="D179:AF179" si="146">D180*(D181+D182+D183+D184)</f>
        <v>4838.6399999999994</v>
      </c>
      <c r="E179" s="570">
        <f t="shared" si="146"/>
        <v>4838.6399999999994</v>
      </c>
      <c r="F179" s="570">
        <f t="shared" si="146"/>
        <v>4838.6399999999994</v>
      </c>
      <c r="G179" s="570">
        <f t="shared" si="146"/>
        <v>4838.6399999999994</v>
      </c>
      <c r="H179" s="570">
        <f t="shared" si="146"/>
        <v>4838.6399999999994</v>
      </c>
      <c r="I179" s="570">
        <f t="shared" si="146"/>
        <v>4838.6399999999994</v>
      </c>
      <c r="J179" s="570">
        <f t="shared" si="146"/>
        <v>4838.6399999999994</v>
      </c>
      <c r="K179" s="570">
        <f t="shared" si="146"/>
        <v>4838.6399999999994</v>
      </c>
      <c r="L179" s="570">
        <f t="shared" si="146"/>
        <v>4838.6399999999994</v>
      </c>
      <c r="M179" s="570">
        <f t="shared" si="146"/>
        <v>4838.6399999999994</v>
      </c>
      <c r="N179" s="570">
        <f t="shared" si="146"/>
        <v>4838.6399999999994</v>
      </c>
      <c r="O179" s="570">
        <f t="shared" si="146"/>
        <v>4838.6399999999994</v>
      </c>
      <c r="P179" s="570">
        <f t="shared" si="146"/>
        <v>4838.6399999999994</v>
      </c>
      <c r="Q179" s="570">
        <f t="shared" si="146"/>
        <v>4838.6399999999994</v>
      </c>
      <c r="R179" s="570">
        <f t="shared" si="146"/>
        <v>4838.6399999999994</v>
      </c>
      <c r="S179" s="570">
        <f t="shared" si="146"/>
        <v>4838.6399999999994</v>
      </c>
      <c r="T179" s="570">
        <f t="shared" si="146"/>
        <v>4838.6399999999994</v>
      </c>
      <c r="U179" s="570">
        <f t="shared" si="146"/>
        <v>5443.4699999999993</v>
      </c>
      <c r="V179" s="570">
        <f t="shared" si="146"/>
        <v>5443.4699999999993</v>
      </c>
      <c r="W179" s="570">
        <f t="shared" si="146"/>
        <v>5443.4699999999993</v>
      </c>
      <c r="X179" s="570">
        <f t="shared" si="146"/>
        <v>5443.4699999999993</v>
      </c>
      <c r="Y179" s="570">
        <f t="shared" si="146"/>
        <v>5443.4699999999993</v>
      </c>
      <c r="Z179" s="570">
        <f t="shared" si="146"/>
        <v>5443.4699999999993</v>
      </c>
      <c r="AA179" s="570">
        <f t="shared" si="146"/>
        <v>5443.4699999999993</v>
      </c>
      <c r="AB179" s="570">
        <f t="shared" si="146"/>
        <v>5443.4699999999993</v>
      </c>
      <c r="AC179" s="570">
        <f t="shared" si="146"/>
        <v>5443.4699999999993</v>
      </c>
      <c r="AD179" s="570">
        <f t="shared" si="146"/>
        <v>5443.4699999999993</v>
      </c>
      <c r="AE179" s="570">
        <f t="shared" si="146"/>
        <v>5443.4699999999993</v>
      </c>
      <c r="AF179" s="570">
        <f t="shared" si="146"/>
        <v>5443.4699999999993</v>
      </c>
      <c r="AH179" s="571"/>
      <c r="AK179" s="531"/>
      <c r="AM179" s="548"/>
      <c r="AN179" s="535"/>
      <c r="AP179" s="549"/>
      <c r="AQ179" s="549"/>
    </row>
    <row r="180" spans="1:43" s="586" customFormat="1" ht="16.5" hidden="1" customHeight="1" outlineLevel="2">
      <c r="A180" s="584"/>
      <c r="B180" s="585" t="s">
        <v>805</v>
      </c>
      <c r="C180" s="716">
        <f t="shared" ref="C180:AF180" si="147">C125</f>
        <v>8</v>
      </c>
      <c r="D180" s="716">
        <f t="shared" si="147"/>
        <v>8</v>
      </c>
      <c r="E180" s="716">
        <f t="shared" si="147"/>
        <v>8</v>
      </c>
      <c r="F180" s="716">
        <f t="shared" si="147"/>
        <v>8</v>
      </c>
      <c r="G180" s="716">
        <f t="shared" si="147"/>
        <v>8</v>
      </c>
      <c r="H180" s="716">
        <f t="shared" si="147"/>
        <v>8</v>
      </c>
      <c r="I180" s="716">
        <f t="shared" si="147"/>
        <v>8</v>
      </c>
      <c r="J180" s="716">
        <f t="shared" si="147"/>
        <v>8</v>
      </c>
      <c r="K180" s="716">
        <f t="shared" si="147"/>
        <v>8</v>
      </c>
      <c r="L180" s="716">
        <f t="shared" si="147"/>
        <v>8</v>
      </c>
      <c r="M180" s="716">
        <f t="shared" si="147"/>
        <v>8</v>
      </c>
      <c r="N180" s="716">
        <f t="shared" si="147"/>
        <v>8</v>
      </c>
      <c r="O180" s="716">
        <f t="shared" si="147"/>
        <v>8</v>
      </c>
      <c r="P180" s="716">
        <f t="shared" si="147"/>
        <v>8</v>
      </c>
      <c r="Q180" s="716">
        <f t="shared" si="147"/>
        <v>8</v>
      </c>
      <c r="R180" s="716">
        <f t="shared" si="147"/>
        <v>8</v>
      </c>
      <c r="S180" s="716">
        <f t="shared" si="147"/>
        <v>8</v>
      </c>
      <c r="T180" s="716">
        <f t="shared" si="147"/>
        <v>8</v>
      </c>
      <c r="U180" s="716">
        <f t="shared" si="147"/>
        <v>9</v>
      </c>
      <c r="V180" s="716">
        <f t="shared" si="147"/>
        <v>9</v>
      </c>
      <c r="W180" s="716">
        <f t="shared" si="147"/>
        <v>9</v>
      </c>
      <c r="X180" s="716">
        <f t="shared" si="147"/>
        <v>9</v>
      </c>
      <c r="Y180" s="716">
        <f t="shared" si="147"/>
        <v>9</v>
      </c>
      <c r="Z180" s="716">
        <f t="shared" si="147"/>
        <v>9</v>
      </c>
      <c r="AA180" s="716">
        <f t="shared" si="147"/>
        <v>9</v>
      </c>
      <c r="AB180" s="716">
        <f t="shared" si="147"/>
        <v>9</v>
      </c>
      <c r="AC180" s="716">
        <f t="shared" si="147"/>
        <v>9</v>
      </c>
      <c r="AD180" s="716">
        <f t="shared" si="147"/>
        <v>9</v>
      </c>
      <c r="AE180" s="716">
        <f t="shared" si="147"/>
        <v>9</v>
      </c>
      <c r="AF180" s="716">
        <f t="shared" si="147"/>
        <v>9</v>
      </c>
      <c r="AH180" s="587"/>
      <c r="AK180" s="591"/>
      <c r="AM180" s="589"/>
      <c r="AN180" s="590"/>
      <c r="AP180" s="591"/>
      <c r="AQ180" s="591"/>
    </row>
    <row r="181" spans="1:43" s="513" customFormat="1" ht="16.5" hidden="1" customHeight="1" outlineLevel="2">
      <c r="A181" s="584"/>
      <c r="B181" s="572" t="s">
        <v>940</v>
      </c>
      <c r="C181" s="592">
        <f>'Sal._benef.'!$I$23</f>
        <v>500</v>
      </c>
      <c r="D181" s="592">
        <f>C181</f>
        <v>500</v>
      </c>
      <c r="E181" s="592">
        <f t="shared" ref="E181:T184" si="148">D181</f>
        <v>500</v>
      </c>
      <c r="F181" s="592">
        <f t="shared" si="148"/>
        <v>500</v>
      </c>
      <c r="G181" s="592">
        <f t="shared" si="148"/>
        <v>500</v>
      </c>
      <c r="H181" s="592">
        <f t="shared" si="148"/>
        <v>500</v>
      </c>
      <c r="I181" s="592">
        <f t="shared" si="148"/>
        <v>500</v>
      </c>
      <c r="J181" s="592">
        <f t="shared" si="148"/>
        <v>500</v>
      </c>
      <c r="K181" s="592">
        <f t="shared" si="148"/>
        <v>500</v>
      </c>
      <c r="L181" s="592">
        <f t="shared" si="148"/>
        <v>500</v>
      </c>
      <c r="M181" s="592">
        <f t="shared" si="148"/>
        <v>500</v>
      </c>
      <c r="N181" s="592">
        <f t="shared" si="148"/>
        <v>500</v>
      </c>
      <c r="O181" s="592">
        <f t="shared" si="148"/>
        <v>500</v>
      </c>
      <c r="P181" s="592">
        <f t="shared" si="148"/>
        <v>500</v>
      </c>
      <c r="Q181" s="592">
        <f t="shared" si="148"/>
        <v>500</v>
      </c>
      <c r="R181" s="592">
        <f t="shared" si="148"/>
        <v>500</v>
      </c>
      <c r="S181" s="592">
        <f t="shared" si="148"/>
        <v>500</v>
      </c>
      <c r="T181" s="592">
        <f t="shared" si="148"/>
        <v>500</v>
      </c>
      <c r="U181" s="592">
        <f t="shared" ref="U181:AF184" si="149">T181</f>
        <v>500</v>
      </c>
      <c r="V181" s="592">
        <f t="shared" si="149"/>
        <v>500</v>
      </c>
      <c r="W181" s="592">
        <f t="shared" si="149"/>
        <v>500</v>
      </c>
      <c r="X181" s="592">
        <f t="shared" si="149"/>
        <v>500</v>
      </c>
      <c r="Y181" s="592">
        <f t="shared" si="149"/>
        <v>500</v>
      </c>
      <c r="Z181" s="592">
        <f t="shared" si="149"/>
        <v>500</v>
      </c>
      <c r="AA181" s="592">
        <f t="shared" si="149"/>
        <v>500</v>
      </c>
      <c r="AB181" s="592">
        <f t="shared" si="149"/>
        <v>500</v>
      </c>
      <c r="AC181" s="592">
        <f t="shared" si="149"/>
        <v>500</v>
      </c>
      <c r="AD181" s="592">
        <f t="shared" si="149"/>
        <v>500</v>
      </c>
      <c r="AE181" s="592">
        <f t="shared" si="149"/>
        <v>500</v>
      </c>
      <c r="AF181" s="592">
        <f t="shared" si="149"/>
        <v>500</v>
      </c>
      <c r="AH181" s="538"/>
      <c r="AK181" s="531"/>
      <c r="AM181" s="539"/>
      <c r="AN181" s="535"/>
      <c r="AP181" s="540"/>
      <c r="AQ181" s="540"/>
    </row>
    <row r="182" spans="1:43" s="513" customFormat="1" ht="16.5" hidden="1" customHeight="1" outlineLevel="2">
      <c r="A182" s="584"/>
      <c r="B182" s="572" t="s">
        <v>941</v>
      </c>
      <c r="C182" s="592">
        <f>'Sal._benef.'!$K$23</f>
        <v>5.53</v>
      </c>
      <c r="D182" s="592">
        <f>C182</f>
        <v>5.53</v>
      </c>
      <c r="E182" s="592">
        <f t="shared" si="148"/>
        <v>5.53</v>
      </c>
      <c r="F182" s="592">
        <f t="shared" si="148"/>
        <v>5.53</v>
      </c>
      <c r="G182" s="592">
        <f t="shared" si="148"/>
        <v>5.53</v>
      </c>
      <c r="H182" s="592">
        <f t="shared" si="148"/>
        <v>5.53</v>
      </c>
      <c r="I182" s="592">
        <f t="shared" si="148"/>
        <v>5.53</v>
      </c>
      <c r="J182" s="592">
        <f t="shared" si="148"/>
        <v>5.53</v>
      </c>
      <c r="K182" s="592">
        <f t="shared" si="148"/>
        <v>5.53</v>
      </c>
      <c r="L182" s="592">
        <f t="shared" si="148"/>
        <v>5.53</v>
      </c>
      <c r="M182" s="592">
        <f t="shared" si="148"/>
        <v>5.53</v>
      </c>
      <c r="N182" s="592">
        <f t="shared" si="148"/>
        <v>5.53</v>
      </c>
      <c r="O182" s="592">
        <f t="shared" si="148"/>
        <v>5.53</v>
      </c>
      <c r="P182" s="592">
        <f t="shared" si="148"/>
        <v>5.53</v>
      </c>
      <c r="Q182" s="592">
        <f t="shared" si="148"/>
        <v>5.53</v>
      </c>
      <c r="R182" s="592">
        <f t="shared" si="148"/>
        <v>5.53</v>
      </c>
      <c r="S182" s="592">
        <f t="shared" si="148"/>
        <v>5.53</v>
      </c>
      <c r="T182" s="592">
        <f t="shared" si="148"/>
        <v>5.53</v>
      </c>
      <c r="U182" s="592">
        <f t="shared" si="149"/>
        <v>5.53</v>
      </c>
      <c r="V182" s="592">
        <f t="shared" si="149"/>
        <v>5.53</v>
      </c>
      <c r="W182" s="592">
        <f t="shared" si="149"/>
        <v>5.53</v>
      </c>
      <c r="X182" s="592">
        <f t="shared" si="149"/>
        <v>5.53</v>
      </c>
      <c r="Y182" s="592">
        <f t="shared" si="149"/>
        <v>5.53</v>
      </c>
      <c r="Z182" s="592">
        <f t="shared" si="149"/>
        <v>5.53</v>
      </c>
      <c r="AA182" s="592">
        <f t="shared" si="149"/>
        <v>5.53</v>
      </c>
      <c r="AB182" s="592">
        <f t="shared" si="149"/>
        <v>5.53</v>
      </c>
      <c r="AC182" s="592">
        <f t="shared" si="149"/>
        <v>5.53</v>
      </c>
      <c r="AD182" s="592">
        <f t="shared" si="149"/>
        <v>5.53</v>
      </c>
      <c r="AE182" s="592">
        <f t="shared" si="149"/>
        <v>5.53</v>
      </c>
      <c r="AF182" s="592">
        <f t="shared" si="149"/>
        <v>5.53</v>
      </c>
      <c r="AH182" s="538"/>
      <c r="AK182" s="531"/>
      <c r="AM182" s="539"/>
      <c r="AN182" s="535"/>
      <c r="AP182" s="540"/>
      <c r="AQ182" s="540"/>
    </row>
    <row r="183" spans="1:43" s="513" customFormat="1" ht="16.5" hidden="1" customHeight="1" outlineLevel="2">
      <c r="A183" s="584"/>
      <c r="B183" s="572" t="s">
        <v>942</v>
      </c>
      <c r="C183" s="592">
        <f>'Sal._benef.'!$J$23</f>
        <v>99.300000000000011</v>
      </c>
      <c r="D183" s="592">
        <f>C183</f>
        <v>99.300000000000011</v>
      </c>
      <c r="E183" s="592">
        <f t="shared" si="148"/>
        <v>99.300000000000011</v>
      </c>
      <c r="F183" s="592">
        <f t="shared" si="148"/>
        <v>99.300000000000011</v>
      </c>
      <c r="G183" s="592">
        <f t="shared" si="148"/>
        <v>99.300000000000011</v>
      </c>
      <c r="H183" s="592">
        <f t="shared" si="148"/>
        <v>99.300000000000011</v>
      </c>
      <c r="I183" s="592">
        <f t="shared" si="148"/>
        <v>99.300000000000011</v>
      </c>
      <c r="J183" s="592">
        <f t="shared" si="148"/>
        <v>99.300000000000011</v>
      </c>
      <c r="K183" s="592">
        <f t="shared" si="148"/>
        <v>99.300000000000011</v>
      </c>
      <c r="L183" s="592">
        <f t="shared" si="148"/>
        <v>99.300000000000011</v>
      </c>
      <c r="M183" s="592">
        <f t="shared" si="148"/>
        <v>99.300000000000011</v>
      </c>
      <c r="N183" s="592">
        <f t="shared" si="148"/>
        <v>99.300000000000011</v>
      </c>
      <c r="O183" s="592">
        <f t="shared" si="148"/>
        <v>99.300000000000011</v>
      </c>
      <c r="P183" s="592">
        <f t="shared" si="148"/>
        <v>99.300000000000011</v>
      </c>
      <c r="Q183" s="592">
        <f t="shared" si="148"/>
        <v>99.300000000000011</v>
      </c>
      <c r="R183" s="592">
        <f t="shared" si="148"/>
        <v>99.300000000000011</v>
      </c>
      <c r="S183" s="592">
        <f t="shared" si="148"/>
        <v>99.300000000000011</v>
      </c>
      <c r="T183" s="592">
        <f t="shared" si="148"/>
        <v>99.300000000000011</v>
      </c>
      <c r="U183" s="592">
        <f t="shared" si="149"/>
        <v>99.300000000000011</v>
      </c>
      <c r="V183" s="592">
        <f t="shared" si="149"/>
        <v>99.300000000000011</v>
      </c>
      <c r="W183" s="592">
        <f t="shared" si="149"/>
        <v>99.300000000000011</v>
      </c>
      <c r="X183" s="592">
        <f t="shared" si="149"/>
        <v>99.300000000000011</v>
      </c>
      <c r="Y183" s="592">
        <f t="shared" si="149"/>
        <v>99.300000000000011</v>
      </c>
      <c r="Z183" s="592">
        <f t="shared" si="149"/>
        <v>99.300000000000011</v>
      </c>
      <c r="AA183" s="592">
        <f t="shared" si="149"/>
        <v>99.300000000000011</v>
      </c>
      <c r="AB183" s="592">
        <f t="shared" si="149"/>
        <v>99.300000000000011</v>
      </c>
      <c r="AC183" s="592">
        <f t="shared" si="149"/>
        <v>99.300000000000011</v>
      </c>
      <c r="AD183" s="592">
        <f t="shared" si="149"/>
        <v>99.300000000000011</v>
      </c>
      <c r="AE183" s="592">
        <f t="shared" si="149"/>
        <v>99.300000000000011</v>
      </c>
      <c r="AF183" s="592">
        <f t="shared" si="149"/>
        <v>99.300000000000011</v>
      </c>
      <c r="AH183" s="538"/>
      <c r="AK183" s="531"/>
      <c r="AM183" s="539"/>
      <c r="AN183" s="535"/>
      <c r="AP183" s="540"/>
      <c r="AQ183" s="540"/>
    </row>
    <row r="184" spans="1:43" s="513" customFormat="1" ht="16.5" hidden="1" customHeight="1" outlineLevel="2">
      <c r="A184" s="584"/>
      <c r="B184" s="572" t="s">
        <v>862</v>
      </c>
      <c r="C184" s="592">
        <v>0</v>
      </c>
      <c r="D184" s="592">
        <f t="shared" ref="D184" si="150">C184</f>
        <v>0</v>
      </c>
      <c r="E184" s="592">
        <f t="shared" si="148"/>
        <v>0</v>
      </c>
      <c r="F184" s="592">
        <f t="shared" si="148"/>
        <v>0</v>
      </c>
      <c r="G184" s="592">
        <f t="shared" si="148"/>
        <v>0</v>
      </c>
      <c r="H184" s="592">
        <f t="shared" si="148"/>
        <v>0</v>
      </c>
      <c r="I184" s="592">
        <f t="shared" si="148"/>
        <v>0</v>
      </c>
      <c r="J184" s="592">
        <f t="shared" si="148"/>
        <v>0</v>
      </c>
      <c r="K184" s="592">
        <f t="shared" si="148"/>
        <v>0</v>
      </c>
      <c r="L184" s="592">
        <f t="shared" si="148"/>
        <v>0</v>
      </c>
      <c r="M184" s="592">
        <f t="shared" si="148"/>
        <v>0</v>
      </c>
      <c r="N184" s="592">
        <f t="shared" si="148"/>
        <v>0</v>
      </c>
      <c r="O184" s="592">
        <f t="shared" si="148"/>
        <v>0</v>
      </c>
      <c r="P184" s="592">
        <f t="shared" si="148"/>
        <v>0</v>
      </c>
      <c r="Q184" s="592">
        <f t="shared" si="148"/>
        <v>0</v>
      </c>
      <c r="R184" s="592">
        <f t="shared" si="148"/>
        <v>0</v>
      </c>
      <c r="S184" s="592">
        <f t="shared" si="148"/>
        <v>0</v>
      </c>
      <c r="T184" s="592">
        <f t="shared" si="148"/>
        <v>0</v>
      </c>
      <c r="U184" s="592">
        <f t="shared" si="149"/>
        <v>0</v>
      </c>
      <c r="V184" s="592">
        <f t="shared" si="149"/>
        <v>0</v>
      </c>
      <c r="W184" s="592">
        <f t="shared" si="149"/>
        <v>0</v>
      </c>
      <c r="X184" s="592">
        <f t="shared" si="149"/>
        <v>0</v>
      </c>
      <c r="Y184" s="592">
        <f t="shared" si="149"/>
        <v>0</v>
      </c>
      <c r="Z184" s="592">
        <f t="shared" si="149"/>
        <v>0</v>
      </c>
      <c r="AA184" s="592">
        <f t="shared" si="149"/>
        <v>0</v>
      </c>
      <c r="AB184" s="592">
        <f t="shared" si="149"/>
        <v>0</v>
      </c>
      <c r="AC184" s="592">
        <f t="shared" si="149"/>
        <v>0</v>
      </c>
      <c r="AD184" s="592">
        <f t="shared" si="149"/>
        <v>0</v>
      </c>
      <c r="AE184" s="592">
        <f t="shared" si="149"/>
        <v>0</v>
      </c>
      <c r="AF184" s="592">
        <f t="shared" si="149"/>
        <v>0</v>
      </c>
      <c r="AH184" s="538"/>
      <c r="AK184" s="531"/>
      <c r="AM184" s="539"/>
      <c r="AN184" s="535"/>
      <c r="AP184" s="540"/>
      <c r="AQ184" s="540"/>
    </row>
    <row r="185" spans="1:43" s="546" customFormat="1" ht="16.5" hidden="1" customHeight="1" outlineLevel="2">
      <c r="A185" s="584"/>
      <c r="B185" s="613" t="s">
        <v>930</v>
      </c>
      <c r="C185" s="570">
        <f>C186*(C187+C188+C189+C190)</f>
        <v>0</v>
      </c>
      <c r="D185" s="570">
        <f t="shared" ref="D185:AF185" si="151">D186*(D187+D188+D189+D190)</f>
        <v>0</v>
      </c>
      <c r="E185" s="570">
        <f t="shared" si="151"/>
        <v>0</v>
      </c>
      <c r="F185" s="570">
        <f t="shared" si="151"/>
        <v>0</v>
      </c>
      <c r="G185" s="570">
        <f t="shared" si="151"/>
        <v>0</v>
      </c>
      <c r="H185" s="570">
        <f t="shared" si="151"/>
        <v>0</v>
      </c>
      <c r="I185" s="570">
        <f t="shared" si="151"/>
        <v>0</v>
      </c>
      <c r="J185" s="570">
        <f t="shared" si="151"/>
        <v>0</v>
      </c>
      <c r="K185" s="570">
        <f t="shared" si="151"/>
        <v>0</v>
      </c>
      <c r="L185" s="570">
        <f t="shared" si="151"/>
        <v>0</v>
      </c>
      <c r="M185" s="570">
        <f t="shared" si="151"/>
        <v>0</v>
      </c>
      <c r="N185" s="570">
        <f t="shared" si="151"/>
        <v>0</v>
      </c>
      <c r="O185" s="570">
        <f t="shared" si="151"/>
        <v>0</v>
      </c>
      <c r="P185" s="570">
        <f t="shared" si="151"/>
        <v>0</v>
      </c>
      <c r="Q185" s="570">
        <f t="shared" si="151"/>
        <v>0</v>
      </c>
      <c r="R185" s="570">
        <f t="shared" si="151"/>
        <v>0</v>
      </c>
      <c r="S185" s="570">
        <f t="shared" si="151"/>
        <v>0</v>
      </c>
      <c r="T185" s="570">
        <f t="shared" si="151"/>
        <v>0</v>
      </c>
      <c r="U185" s="570">
        <f t="shared" si="151"/>
        <v>0</v>
      </c>
      <c r="V185" s="570">
        <f t="shared" si="151"/>
        <v>0</v>
      </c>
      <c r="W185" s="570">
        <f t="shared" si="151"/>
        <v>0</v>
      </c>
      <c r="X185" s="570">
        <f t="shared" si="151"/>
        <v>0</v>
      </c>
      <c r="Y185" s="570">
        <f t="shared" si="151"/>
        <v>0</v>
      </c>
      <c r="Z185" s="570">
        <f t="shared" si="151"/>
        <v>0</v>
      </c>
      <c r="AA185" s="570">
        <f t="shared" si="151"/>
        <v>0</v>
      </c>
      <c r="AB185" s="570">
        <f t="shared" si="151"/>
        <v>0</v>
      </c>
      <c r="AC185" s="570">
        <f t="shared" si="151"/>
        <v>0</v>
      </c>
      <c r="AD185" s="570">
        <f t="shared" si="151"/>
        <v>0</v>
      </c>
      <c r="AE185" s="570">
        <f t="shared" si="151"/>
        <v>0</v>
      </c>
      <c r="AF185" s="570">
        <f t="shared" si="151"/>
        <v>0</v>
      </c>
      <c r="AH185" s="571"/>
      <c r="AK185" s="531"/>
      <c r="AM185" s="548"/>
      <c r="AN185" s="535"/>
      <c r="AP185" s="549"/>
      <c r="AQ185" s="549"/>
    </row>
    <row r="186" spans="1:43" s="586" customFormat="1" ht="16.5" hidden="1" customHeight="1" outlineLevel="2">
      <c r="A186" s="584"/>
      <c r="B186" s="585" t="s">
        <v>805</v>
      </c>
      <c r="C186" s="716">
        <f t="shared" ref="C186:AF186" si="152">C132</f>
        <v>0</v>
      </c>
      <c r="D186" s="716">
        <f t="shared" si="152"/>
        <v>0</v>
      </c>
      <c r="E186" s="716">
        <f t="shared" si="152"/>
        <v>0</v>
      </c>
      <c r="F186" s="716">
        <f t="shared" si="152"/>
        <v>0</v>
      </c>
      <c r="G186" s="716">
        <f t="shared" si="152"/>
        <v>0</v>
      </c>
      <c r="H186" s="716">
        <f t="shared" si="152"/>
        <v>0</v>
      </c>
      <c r="I186" s="716">
        <f t="shared" si="152"/>
        <v>0</v>
      </c>
      <c r="J186" s="716">
        <f t="shared" si="152"/>
        <v>0</v>
      </c>
      <c r="K186" s="716">
        <f t="shared" si="152"/>
        <v>0</v>
      </c>
      <c r="L186" s="716">
        <f t="shared" si="152"/>
        <v>0</v>
      </c>
      <c r="M186" s="716">
        <f t="shared" si="152"/>
        <v>0</v>
      </c>
      <c r="N186" s="716">
        <f t="shared" si="152"/>
        <v>0</v>
      </c>
      <c r="O186" s="716">
        <f t="shared" si="152"/>
        <v>0</v>
      </c>
      <c r="P186" s="716">
        <f t="shared" si="152"/>
        <v>0</v>
      </c>
      <c r="Q186" s="716">
        <f t="shared" si="152"/>
        <v>0</v>
      </c>
      <c r="R186" s="716">
        <f t="shared" si="152"/>
        <v>0</v>
      </c>
      <c r="S186" s="716">
        <f t="shared" si="152"/>
        <v>0</v>
      </c>
      <c r="T186" s="716">
        <f t="shared" si="152"/>
        <v>0</v>
      </c>
      <c r="U186" s="716">
        <f t="shared" si="152"/>
        <v>0</v>
      </c>
      <c r="V186" s="716">
        <f t="shared" si="152"/>
        <v>0</v>
      </c>
      <c r="W186" s="716">
        <f t="shared" si="152"/>
        <v>0</v>
      </c>
      <c r="X186" s="716">
        <f t="shared" si="152"/>
        <v>0</v>
      </c>
      <c r="Y186" s="716">
        <f t="shared" si="152"/>
        <v>0</v>
      </c>
      <c r="Z186" s="716">
        <f t="shared" si="152"/>
        <v>0</v>
      </c>
      <c r="AA186" s="716">
        <f t="shared" si="152"/>
        <v>0</v>
      </c>
      <c r="AB186" s="716">
        <f t="shared" si="152"/>
        <v>0</v>
      </c>
      <c r="AC186" s="716">
        <f t="shared" si="152"/>
        <v>0</v>
      </c>
      <c r="AD186" s="716">
        <f t="shared" si="152"/>
        <v>0</v>
      </c>
      <c r="AE186" s="716">
        <f t="shared" si="152"/>
        <v>0</v>
      </c>
      <c r="AF186" s="716">
        <f t="shared" si="152"/>
        <v>0</v>
      </c>
      <c r="AH186" s="587"/>
      <c r="AK186" s="591"/>
      <c r="AM186" s="589"/>
      <c r="AN186" s="590"/>
      <c r="AP186" s="591"/>
      <c r="AQ186" s="591"/>
    </row>
    <row r="187" spans="1:43" s="513" customFormat="1" ht="16.5" hidden="1" customHeight="1" outlineLevel="2">
      <c r="A187" s="584"/>
      <c r="B187" s="572" t="s">
        <v>940</v>
      </c>
      <c r="C187" s="592">
        <f>'Sal._benef.'!$I$23</f>
        <v>500</v>
      </c>
      <c r="D187" s="592">
        <f>C187</f>
        <v>500</v>
      </c>
      <c r="E187" s="592">
        <f t="shared" ref="E187:T190" si="153">D187</f>
        <v>500</v>
      </c>
      <c r="F187" s="592">
        <f t="shared" si="153"/>
        <v>500</v>
      </c>
      <c r="G187" s="592">
        <f t="shared" si="153"/>
        <v>500</v>
      </c>
      <c r="H187" s="592">
        <f t="shared" si="153"/>
        <v>500</v>
      </c>
      <c r="I187" s="592">
        <f t="shared" si="153"/>
        <v>500</v>
      </c>
      <c r="J187" s="592">
        <f t="shared" si="153"/>
        <v>500</v>
      </c>
      <c r="K187" s="592">
        <f t="shared" si="153"/>
        <v>500</v>
      </c>
      <c r="L187" s="592">
        <f t="shared" si="153"/>
        <v>500</v>
      </c>
      <c r="M187" s="592">
        <f t="shared" si="153"/>
        <v>500</v>
      </c>
      <c r="N187" s="592">
        <f t="shared" si="153"/>
        <v>500</v>
      </c>
      <c r="O187" s="592">
        <f t="shared" si="153"/>
        <v>500</v>
      </c>
      <c r="P187" s="592">
        <f t="shared" si="153"/>
        <v>500</v>
      </c>
      <c r="Q187" s="592">
        <f t="shared" si="153"/>
        <v>500</v>
      </c>
      <c r="R187" s="592">
        <f t="shared" si="153"/>
        <v>500</v>
      </c>
      <c r="S187" s="592">
        <f t="shared" si="153"/>
        <v>500</v>
      </c>
      <c r="T187" s="592">
        <f t="shared" si="153"/>
        <v>500</v>
      </c>
      <c r="U187" s="592">
        <f t="shared" ref="U187:AF190" si="154">T187</f>
        <v>500</v>
      </c>
      <c r="V187" s="592">
        <f t="shared" si="154"/>
        <v>500</v>
      </c>
      <c r="W187" s="592">
        <f t="shared" si="154"/>
        <v>500</v>
      </c>
      <c r="X187" s="592">
        <f t="shared" si="154"/>
        <v>500</v>
      </c>
      <c r="Y187" s="592">
        <f t="shared" si="154"/>
        <v>500</v>
      </c>
      <c r="Z187" s="592">
        <f t="shared" si="154"/>
        <v>500</v>
      </c>
      <c r="AA187" s="592">
        <f t="shared" si="154"/>
        <v>500</v>
      </c>
      <c r="AB187" s="592">
        <f t="shared" si="154"/>
        <v>500</v>
      </c>
      <c r="AC187" s="592">
        <f t="shared" si="154"/>
        <v>500</v>
      </c>
      <c r="AD187" s="592">
        <f t="shared" si="154"/>
        <v>500</v>
      </c>
      <c r="AE187" s="592">
        <f t="shared" si="154"/>
        <v>500</v>
      </c>
      <c r="AF187" s="592">
        <f t="shared" si="154"/>
        <v>500</v>
      </c>
      <c r="AH187" s="538"/>
      <c r="AK187" s="531"/>
      <c r="AM187" s="539"/>
      <c r="AN187" s="535"/>
      <c r="AP187" s="540"/>
      <c r="AQ187" s="540"/>
    </row>
    <row r="188" spans="1:43" s="513" customFormat="1" ht="16.5" hidden="1" customHeight="1" outlineLevel="2">
      <c r="A188" s="584"/>
      <c r="B188" s="572" t="s">
        <v>941</v>
      </c>
      <c r="C188" s="592">
        <f>'Sal._benef.'!$K$23</f>
        <v>5.53</v>
      </c>
      <c r="D188" s="592">
        <f>C188</f>
        <v>5.53</v>
      </c>
      <c r="E188" s="592">
        <f t="shared" si="153"/>
        <v>5.53</v>
      </c>
      <c r="F188" s="592">
        <f t="shared" si="153"/>
        <v>5.53</v>
      </c>
      <c r="G188" s="592">
        <f t="shared" si="153"/>
        <v>5.53</v>
      </c>
      <c r="H188" s="592">
        <f t="shared" si="153"/>
        <v>5.53</v>
      </c>
      <c r="I188" s="592">
        <f t="shared" si="153"/>
        <v>5.53</v>
      </c>
      <c r="J188" s="592">
        <f t="shared" si="153"/>
        <v>5.53</v>
      </c>
      <c r="K188" s="592">
        <f t="shared" si="153"/>
        <v>5.53</v>
      </c>
      <c r="L188" s="592">
        <f t="shared" si="153"/>
        <v>5.53</v>
      </c>
      <c r="M188" s="592">
        <f t="shared" si="153"/>
        <v>5.53</v>
      </c>
      <c r="N188" s="592">
        <f t="shared" si="153"/>
        <v>5.53</v>
      </c>
      <c r="O188" s="592">
        <f t="shared" si="153"/>
        <v>5.53</v>
      </c>
      <c r="P188" s="592">
        <f t="shared" si="153"/>
        <v>5.53</v>
      </c>
      <c r="Q188" s="592">
        <f t="shared" si="153"/>
        <v>5.53</v>
      </c>
      <c r="R188" s="592">
        <f t="shared" si="153"/>
        <v>5.53</v>
      </c>
      <c r="S188" s="592">
        <f t="shared" si="153"/>
        <v>5.53</v>
      </c>
      <c r="T188" s="592">
        <f t="shared" si="153"/>
        <v>5.53</v>
      </c>
      <c r="U188" s="592">
        <f t="shared" si="154"/>
        <v>5.53</v>
      </c>
      <c r="V188" s="592">
        <f t="shared" si="154"/>
        <v>5.53</v>
      </c>
      <c r="W188" s="592">
        <f t="shared" si="154"/>
        <v>5.53</v>
      </c>
      <c r="X188" s="592">
        <f t="shared" si="154"/>
        <v>5.53</v>
      </c>
      <c r="Y188" s="592">
        <f t="shared" si="154"/>
        <v>5.53</v>
      </c>
      <c r="Z188" s="592">
        <f t="shared" si="154"/>
        <v>5.53</v>
      </c>
      <c r="AA188" s="592">
        <f t="shared" si="154"/>
        <v>5.53</v>
      </c>
      <c r="AB188" s="592">
        <f t="shared" si="154"/>
        <v>5.53</v>
      </c>
      <c r="AC188" s="592">
        <f t="shared" si="154"/>
        <v>5.53</v>
      </c>
      <c r="AD188" s="592">
        <f t="shared" si="154"/>
        <v>5.53</v>
      </c>
      <c r="AE188" s="592">
        <f t="shared" si="154"/>
        <v>5.53</v>
      </c>
      <c r="AF188" s="592">
        <f t="shared" si="154"/>
        <v>5.53</v>
      </c>
      <c r="AH188" s="538"/>
      <c r="AK188" s="531"/>
      <c r="AM188" s="539"/>
      <c r="AN188" s="535"/>
      <c r="AP188" s="540"/>
      <c r="AQ188" s="540"/>
    </row>
    <row r="189" spans="1:43" s="513" customFormat="1" ht="16.5" hidden="1" customHeight="1" outlineLevel="2">
      <c r="A189" s="584"/>
      <c r="B189" s="572" t="s">
        <v>942</v>
      </c>
      <c r="C189" s="592">
        <f>'Sal._benef.'!$J$23</f>
        <v>99.300000000000011</v>
      </c>
      <c r="D189" s="592">
        <f>C189</f>
        <v>99.300000000000011</v>
      </c>
      <c r="E189" s="592">
        <f t="shared" si="153"/>
        <v>99.300000000000011</v>
      </c>
      <c r="F189" s="592">
        <f t="shared" si="153"/>
        <v>99.300000000000011</v>
      </c>
      <c r="G189" s="592">
        <f t="shared" si="153"/>
        <v>99.300000000000011</v>
      </c>
      <c r="H189" s="592">
        <f t="shared" si="153"/>
        <v>99.300000000000011</v>
      </c>
      <c r="I189" s="592">
        <f t="shared" si="153"/>
        <v>99.300000000000011</v>
      </c>
      <c r="J189" s="592">
        <f t="shared" si="153"/>
        <v>99.300000000000011</v>
      </c>
      <c r="K189" s="592">
        <f t="shared" si="153"/>
        <v>99.300000000000011</v>
      </c>
      <c r="L189" s="592">
        <f t="shared" si="153"/>
        <v>99.300000000000011</v>
      </c>
      <c r="M189" s="592">
        <f t="shared" si="153"/>
        <v>99.300000000000011</v>
      </c>
      <c r="N189" s="592">
        <f t="shared" si="153"/>
        <v>99.300000000000011</v>
      </c>
      <c r="O189" s="592">
        <f t="shared" si="153"/>
        <v>99.300000000000011</v>
      </c>
      <c r="P189" s="592">
        <f t="shared" si="153"/>
        <v>99.300000000000011</v>
      </c>
      <c r="Q189" s="592">
        <f t="shared" si="153"/>
        <v>99.300000000000011</v>
      </c>
      <c r="R189" s="592">
        <f t="shared" si="153"/>
        <v>99.300000000000011</v>
      </c>
      <c r="S189" s="592">
        <f t="shared" si="153"/>
        <v>99.300000000000011</v>
      </c>
      <c r="T189" s="592">
        <f t="shared" si="153"/>
        <v>99.300000000000011</v>
      </c>
      <c r="U189" s="592">
        <f t="shared" si="154"/>
        <v>99.300000000000011</v>
      </c>
      <c r="V189" s="592">
        <f t="shared" si="154"/>
        <v>99.300000000000011</v>
      </c>
      <c r="W189" s="592">
        <f t="shared" si="154"/>
        <v>99.300000000000011</v>
      </c>
      <c r="X189" s="592">
        <f t="shared" si="154"/>
        <v>99.300000000000011</v>
      </c>
      <c r="Y189" s="592">
        <f t="shared" si="154"/>
        <v>99.300000000000011</v>
      </c>
      <c r="Z189" s="592">
        <f t="shared" si="154"/>
        <v>99.300000000000011</v>
      </c>
      <c r="AA189" s="592">
        <f t="shared" si="154"/>
        <v>99.300000000000011</v>
      </c>
      <c r="AB189" s="592">
        <f t="shared" si="154"/>
        <v>99.300000000000011</v>
      </c>
      <c r="AC189" s="592">
        <f t="shared" si="154"/>
        <v>99.300000000000011</v>
      </c>
      <c r="AD189" s="592">
        <f t="shared" si="154"/>
        <v>99.300000000000011</v>
      </c>
      <c r="AE189" s="592">
        <f t="shared" si="154"/>
        <v>99.300000000000011</v>
      </c>
      <c r="AF189" s="592">
        <f t="shared" si="154"/>
        <v>99.300000000000011</v>
      </c>
      <c r="AG189" s="614"/>
      <c r="AH189" s="538"/>
      <c r="AK189" s="531"/>
      <c r="AM189" s="539"/>
      <c r="AN189" s="535"/>
      <c r="AP189" s="540"/>
      <c r="AQ189" s="540"/>
    </row>
    <row r="190" spans="1:43" s="513" customFormat="1" ht="16.5" hidden="1" customHeight="1" outlineLevel="2">
      <c r="A190" s="584"/>
      <c r="B190" s="572" t="s">
        <v>862</v>
      </c>
      <c r="C190" s="592">
        <v>0</v>
      </c>
      <c r="D190" s="592">
        <f t="shared" ref="D190" si="155">C190</f>
        <v>0</v>
      </c>
      <c r="E190" s="592">
        <f t="shared" si="153"/>
        <v>0</v>
      </c>
      <c r="F190" s="592">
        <f t="shared" si="153"/>
        <v>0</v>
      </c>
      <c r="G190" s="592">
        <f t="shared" si="153"/>
        <v>0</v>
      </c>
      <c r="H190" s="592">
        <f t="shared" si="153"/>
        <v>0</v>
      </c>
      <c r="I190" s="592">
        <f t="shared" si="153"/>
        <v>0</v>
      </c>
      <c r="J190" s="592">
        <f t="shared" si="153"/>
        <v>0</v>
      </c>
      <c r="K190" s="592">
        <f t="shared" si="153"/>
        <v>0</v>
      </c>
      <c r="L190" s="592">
        <f t="shared" si="153"/>
        <v>0</v>
      </c>
      <c r="M190" s="592">
        <f t="shared" si="153"/>
        <v>0</v>
      </c>
      <c r="N190" s="592">
        <f t="shared" si="153"/>
        <v>0</v>
      </c>
      <c r="O190" s="592">
        <f t="shared" si="153"/>
        <v>0</v>
      </c>
      <c r="P190" s="592">
        <f t="shared" si="153"/>
        <v>0</v>
      </c>
      <c r="Q190" s="592">
        <f t="shared" si="153"/>
        <v>0</v>
      </c>
      <c r="R190" s="592">
        <f t="shared" si="153"/>
        <v>0</v>
      </c>
      <c r="S190" s="592">
        <f t="shared" si="153"/>
        <v>0</v>
      </c>
      <c r="T190" s="592">
        <f t="shared" si="153"/>
        <v>0</v>
      </c>
      <c r="U190" s="592">
        <f t="shared" si="154"/>
        <v>0</v>
      </c>
      <c r="V190" s="592">
        <f t="shared" si="154"/>
        <v>0</v>
      </c>
      <c r="W190" s="592">
        <f t="shared" si="154"/>
        <v>0</v>
      </c>
      <c r="X190" s="592">
        <f t="shared" si="154"/>
        <v>0</v>
      </c>
      <c r="Y190" s="592">
        <f t="shared" si="154"/>
        <v>0</v>
      </c>
      <c r="Z190" s="592">
        <f t="shared" si="154"/>
        <v>0</v>
      </c>
      <c r="AA190" s="592">
        <f t="shared" si="154"/>
        <v>0</v>
      </c>
      <c r="AB190" s="592">
        <f t="shared" si="154"/>
        <v>0</v>
      </c>
      <c r="AC190" s="592">
        <f t="shared" si="154"/>
        <v>0</v>
      </c>
      <c r="AD190" s="592">
        <f t="shared" si="154"/>
        <v>0</v>
      </c>
      <c r="AE190" s="592">
        <f t="shared" si="154"/>
        <v>0</v>
      </c>
      <c r="AF190" s="592">
        <f t="shared" si="154"/>
        <v>0</v>
      </c>
      <c r="AH190" s="538"/>
      <c r="AK190" s="531"/>
      <c r="AM190" s="539"/>
      <c r="AN190" s="535"/>
      <c r="AP190" s="540"/>
      <c r="AQ190" s="540"/>
    </row>
    <row r="191" spans="1:43" s="546" customFormat="1" ht="16.5" hidden="1" customHeight="1" outlineLevel="2">
      <c r="A191" s="584"/>
      <c r="B191" s="613" t="s">
        <v>931</v>
      </c>
      <c r="C191" s="570">
        <f>C192*(C193+C194+C195+C196)</f>
        <v>14227.62</v>
      </c>
      <c r="D191" s="570">
        <f t="shared" ref="D191:AF191" si="156">D192*(D193+D194+D195+D196)</f>
        <v>14227.62</v>
      </c>
      <c r="E191" s="570">
        <f t="shared" si="156"/>
        <v>14227.62</v>
      </c>
      <c r="F191" s="570">
        <f t="shared" si="156"/>
        <v>14227.62</v>
      </c>
      <c r="G191" s="570">
        <f t="shared" si="156"/>
        <v>14227.62</v>
      </c>
      <c r="H191" s="570">
        <f t="shared" si="156"/>
        <v>14227.62</v>
      </c>
      <c r="I191" s="570">
        <f t="shared" si="156"/>
        <v>14227.62</v>
      </c>
      <c r="J191" s="570">
        <f t="shared" si="156"/>
        <v>14227.62</v>
      </c>
      <c r="K191" s="570">
        <f t="shared" si="156"/>
        <v>14227.62</v>
      </c>
      <c r="L191" s="570">
        <f t="shared" si="156"/>
        <v>14227.62</v>
      </c>
      <c r="M191" s="570">
        <f t="shared" si="156"/>
        <v>14227.62</v>
      </c>
      <c r="N191" s="570">
        <f t="shared" si="156"/>
        <v>14227.62</v>
      </c>
      <c r="O191" s="570">
        <f t="shared" si="156"/>
        <v>14227.62</v>
      </c>
      <c r="P191" s="570">
        <f t="shared" si="156"/>
        <v>14227.62</v>
      </c>
      <c r="Q191" s="570">
        <f t="shared" si="156"/>
        <v>14227.62</v>
      </c>
      <c r="R191" s="570">
        <f t="shared" si="156"/>
        <v>14227.62</v>
      </c>
      <c r="S191" s="570">
        <f t="shared" si="156"/>
        <v>14227.62</v>
      </c>
      <c r="T191" s="570">
        <f t="shared" si="156"/>
        <v>14227.62</v>
      </c>
      <c r="U191" s="570">
        <f t="shared" si="156"/>
        <v>16814.46</v>
      </c>
      <c r="V191" s="570">
        <f t="shared" si="156"/>
        <v>16814.46</v>
      </c>
      <c r="W191" s="570">
        <f t="shared" si="156"/>
        <v>16814.46</v>
      </c>
      <c r="X191" s="570">
        <f t="shared" si="156"/>
        <v>16814.46</v>
      </c>
      <c r="Y191" s="570">
        <f t="shared" si="156"/>
        <v>16814.46</v>
      </c>
      <c r="Z191" s="570">
        <f t="shared" si="156"/>
        <v>16814.46</v>
      </c>
      <c r="AA191" s="570">
        <f t="shared" si="156"/>
        <v>16814.46</v>
      </c>
      <c r="AB191" s="570">
        <f t="shared" si="156"/>
        <v>16814.46</v>
      </c>
      <c r="AC191" s="570">
        <f t="shared" si="156"/>
        <v>16814.46</v>
      </c>
      <c r="AD191" s="570">
        <f t="shared" si="156"/>
        <v>16814.46</v>
      </c>
      <c r="AE191" s="570">
        <f t="shared" si="156"/>
        <v>16814.46</v>
      </c>
      <c r="AF191" s="570">
        <f t="shared" si="156"/>
        <v>16814.46</v>
      </c>
      <c r="AH191" s="571"/>
      <c r="AK191" s="531"/>
      <c r="AM191" s="548"/>
      <c r="AN191" s="535"/>
      <c r="AP191" s="549"/>
      <c r="AQ191" s="549"/>
    </row>
    <row r="192" spans="1:43" s="586" customFormat="1" ht="16.5" hidden="1" customHeight="1" outlineLevel="2">
      <c r="A192" s="584"/>
      <c r="B192" s="585" t="s">
        <v>805</v>
      </c>
      <c r="C192" s="716">
        <f t="shared" ref="C192:AF192" si="157">C139</f>
        <v>22</v>
      </c>
      <c r="D192" s="716">
        <f t="shared" si="157"/>
        <v>22</v>
      </c>
      <c r="E192" s="716">
        <f t="shared" si="157"/>
        <v>22</v>
      </c>
      <c r="F192" s="716">
        <f t="shared" si="157"/>
        <v>22</v>
      </c>
      <c r="G192" s="716">
        <f t="shared" si="157"/>
        <v>22</v>
      </c>
      <c r="H192" s="716">
        <f t="shared" si="157"/>
        <v>22</v>
      </c>
      <c r="I192" s="716">
        <f t="shared" si="157"/>
        <v>22</v>
      </c>
      <c r="J192" s="716">
        <f t="shared" si="157"/>
        <v>22</v>
      </c>
      <c r="K192" s="716">
        <f t="shared" si="157"/>
        <v>22</v>
      </c>
      <c r="L192" s="716">
        <f t="shared" si="157"/>
        <v>22</v>
      </c>
      <c r="M192" s="716">
        <f t="shared" si="157"/>
        <v>22</v>
      </c>
      <c r="N192" s="716">
        <f t="shared" si="157"/>
        <v>22</v>
      </c>
      <c r="O192" s="716">
        <f t="shared" si="157"/>
        <v>22</v>
      </c>
      <c r="P192" s="716">
        <f t="shared" si="157"/>
        <v>22</v>
      </c>
      <c r="Q192" s="716">
        <f t="shared" si="157"/>
        <v>22</v>
      </c>
      <c r="R192" s="716">
        <f t="shared" si="157"/>
        <v>22</v>
      </c>
      <c r="S192" s="716">
        <f t="shared" si="157"/>
        <v>22</v>
      </c>
      <c r="T192" s="716">
        <f t="shared" si="157"/>
        <v>22</v>
      </c>
      <c r="U192" s="716">
        <f t="shared" si="157"/>
        <v>26</v>
      </c>
      <c r="V192" s="716">
        <f t="shared" si="157"/>
        <v>26</v>
      </c>
      <c r="W192" s="716">
        <f t="shared" si="157"/>
        <v>26</v>
      </c>
      <c r="X192" s="716">
        <f t="shared" si="157"/>
        <v>26</v>
      </c>
      <c r="Y192" s="716">
        <f t="shared" si="157"/>
        <v>26</v>
      </c>
      <c r="Z192" s="716">
        <f t="shared" si="157"/>
        <v>26</v>
      </c>
      <c r="AA192" s="716">
        <f t="shared" si="157"/>
        <v>26</v>
      </c>
      <c r="AB192" s="716">
        <f t="shared" si="157"/>
        <v>26</v>
      </c>
      <c r="AC192" s="716">
        <f t="shared" si="157"/>
        <v>26</v>
      </c>
      <c r="AD192" s="716">
        <f t="shared" si="157"/>
        <v>26</v>
      </c>
      <c r="AE192" s="716">
        <f t="shared" si="157"/>
        <v>26</v>
      </c>
      <c r="AF192" s="716">
        <f t="shared" si="157"/>
        <v>26</v>
      </c>
      <c r="AH192" s="587"/>
      <c r="AK192" s="591"/>
      <c r="AM192" s="589"/>
      <c r="AN192" s="590"/>
      <c r="AP192" s="591"/>
      <c r="AQ192" s="591"/>
    </row>
    <row r="193" spans="1:43" s="513" customFormat="1" ht="16.5" hidden="1" customHeight="1" outlineLevel="2">
      <c r="A193" s="584"/>
      <c r="B193" s="572" t="s">
        <v>940</v>
      </c>
      <c r="C193" s="592">
        <f>'Sal._benef.'!$I$19</f>
        <v>500</v>
      </c>
      <c r="D193" s="592">
        <f>C193</f>
        <v>500</v>
      </c>
      <c r="E193" s="592">
        <f t="shared" ref="E193:T196" si="158">D193</f>
        <v>500</v>
      </c>
      <c r="F193" s="592">
        <f t="shared" si="158"/>
        <v>500</v>
      </c>
      <c r="G193" s="592">
        <f t="shared" si="158"/>
        <v>500</v>
      </c>
      <c r="H193" s="592">
        <f t="shared" si="158"/>
        <v>500</v>
      </c>
      <c r="I193" s="592">
        <f t="shared" si="158"/>
        <v>500</v>
      </c>
      <c r="J193" s="592">
        <f t="shared" si="158"/>
        <v>500</v>
      </c>
      <c r="K193" s="592">
        <f t="shared" si="158"/>
        <v>500</v>
      </c>
      <c r="L193" s="592">
        <f t="shared" si="158"/>
        <v>500</v>
      </c>
      <c r="M193" s="592">
        <f t="shared" si="158"/>
        <v>500</v>
      </c>
      <c r="N193" s="592">
        <f t="shared" si="158"/>
        <v>500</v>
      </c>
      <c r="O193" s="592">
        <f t="shared" si="158"/>
        <v>500</v>
      </c>
      <c r="P193" s="592">
        <f t="shared" si="158"/>
        <v>500</v>
      </c>
      <c r="Q193" s="592">
        <f t="shared" si="158"/>
        <v>500</v>
      </c>
      <c r="R193" s="592">
        <f t="shared" si="158"/>
        <v>500</v>
      </c>
      <c r="S193" s="592">
        <f t="shared" si="158"/>
        <v>500</v>
      </c>
      <c r="T193" s="592">
        <f t="shared" si="158"/>
        <v>500</v>
      </c>
      <c r="U193" s="592">
        <f t="shared" ref="U193:AF196" si="159">T193</f>
        <v>500</v>
      </c>
      <c r="V193" s="592">
        <f t="shared" si="159"/>
        <v>500</v>
      </c>
      <c r="W193" s="592">
        <f t="shared" si="159"/>
        <v>500</v>
      </c>
      <c r="X193" s="592">
        <f t="shared" si="159"/>
        <v>500</v>
      </c>
      <c r="Y193" s="592">
        <f t="shared" si="159"/>
        <v>500</v>
      </c>
      <c r="Z193" s="592">
        <f t="shared" si="159"/>
        <v>500</v>
      </c>
      <c r="AA193" s="592">
        <f t="shared" si="159"/>
        <v>500</v>
      </c>
      <c r="AB193" s="592">
        <f t="shared" si="159"/>
        <v>500</v>
      </c>
      <c r="AC193" s="592">
        <f t="shared" si="159"/>
        <v>500</v>
      </c>
      <c r="AD193" s="592">
        <f t="shared" si="159"/>
        <v>500</v>
      </c>
      <c r="AE193" s="592">
        <f t="shared" si="159"/>
        <v>500</v>
      </c>
      <c r="AF193" s="592">
        <f t="shared" si="159"/>
        <v>500</v>
      </c>
      <c r="AH193" s="538"/>
      <c r="AK193" s="531"/>
      <c r="AM193" s="539"/>
      <c r="AN193" s="535"/>
      <c r="AP193" s="540"/>
      <c r="AQ193" s="540"/>
    </row>
    <row r="194" spans="1:43" s="513" customFormat="1" ht="16.5" hidden="1" customHeight="1" outlineLevel="2">
      <c r="A194" s="584"/>
      <c r="B194" s="572" t="s">
        <v>941</v>
      </c>
      <c r="C194" s="592">
        <f>'Sal._benef.'!$K$19</f>
        <v>5.53</v>
      </c>
      <c r="D194" s="592">
        <f>C194</f>
        <v>5.53</v>
      </c>
      <c r="E194" s="592">
        <f t="shared" si="158"/>
        <v>5.53</v>
      </c>
      <c r="F194" s="592">
        <f t="shared" si="158"/>
        <v>5.53</v>
      </c>
      <c r="G194" s="592">
        <f t="shared" si="158"/>
        <v>5.53</v>
      </c>
      <c r="H194" s="592">
        <f t="shared" si="158"/>
        <v>5.53</v>
      </c>
      <c r="I194" s="592">
        <f t="shared" si="158"/>
        <v>5.53</v>
      </c>
      <c r="J194" s="592">
        <f t="shared" si="158"/>
        <v>5.53</v>
      </c>
      <c r="K194" s="592">
        <f t="shared" si="158"/>
        <v>5.53</v>
      </c>
      <c r="L194" s="592">
        <f t="shared" si="158"/>
        <v>5.53</v>
      </c>
      <c r="M194" s="592">
        <f t="shared" si="158"/>
        <v>5.53</v>
      </c>
      <c r="N194" s="592">
        <f t="shared" si="158"/>
        <v>5.53</v>
      </c>
      <c r="O194" s="592">
        <f t="shared" si="158"/>
        <v>5.53</v>
      </c>
      <c r="P194" s="592">
        <f t="shared" si="158"/>
        <v>5.53</v>
      </c>
      <c r="Q194" s="592">
        <f t="shared" si="158"/>
        <v>5.53</v>
      </c>
      <c r="R194" s="592">
        <f t="shared" si="158"/>
        <v>5.53</v>
      </c>
      <c r="S194" s="592">
        <f t="shared" si="158"/>
        <v>5.53</v>
      </c>
      <c r="T194" s="592">
        <f t="shared" si="158"/>
        <v>5.53</v>
      </c>
      <c r="U194" s="592">
        <f t="shared" si="159"/>
        <v>5.53</v>
      </c>
      <c r="V194" s="592">
        <f t="shared" si="159"/>
        <v>5.53</v>
      </c>
      <c r="W194" s="592">
        <f t="shared" si="159"/>
        <v>5.53</v>
      </c>
      <c r="X194" s="592">
        <f t="shared" si="159"/>
        <v>5.53</v>
      </c>
      <c r="Y194" s="592">
        <f t="shared" si="159"/>
        <v>5.53</v>
      </c>
      <c r="Z194" s="592">
        <f t="shared" si="159"/>
        <v>5.53</v>
      </c>
      <c r="AA194" s="592">
        <f t="shared" si="159"/>
        <v>5.53</v>
      </c>
      <c r="AB194" s="592">
        <f t="shared" si="159"/>
        <v>5.53</v>
      </c>
      <c r="AC194" s="592">
        <f t="shared" si="159"/>
        <v>5.53</v>
      </c>
      <c r="AD194" s="592">
        <f t="shared" si="159"/>
        <v>5.53</v>
      </c>
      <c r="AE194" s="592">
        <f t="shared" si="159"/>
        <v>5.53</v>
      </c>
      <c r="AF194" s="592">
        <f t="shared" si="159"/>
        <v>5.53</v>
      </c>
      <c r="AH194" s="538"/>
      <c r="AK194" s="531"/>
      <c r="AM194" s="539"/>
      <c r="AN194" s="535"/>
      <c r="AP194" s="540"/>
      <c r="AQ194" s="540"/>
    </row>
    <row r="195" spans="1:43" s="513" customFormat="1" ht="16.5" hidden="1" customHeight="1" outlineLevel="2">
      <c r="A195" s="584"/>
      <c r="B195" s="572" t="s">
        <v>942</v>
      </c>
      <c r="C195" s="592">
        <f>'Sal._benef.'!$J$19</f>
        <v>141.18</v>
      </c>
      <c r="D195" s="592">
        <f>C195</f>
        <v>141.18</v>
      </c>
      <c r="E195" s="592">
        <f t="shared" si="158"/>
        <v>141.18</v>
      </c>
      <c r="F195" s="592">
        <f t="shared" si="158"/>
        <v>141.18</v>
      </c>
      <c r="G195" s="592">
        <f t="shared" si="158"/>
        <v>141.18</v>
      </c>
      <c r="H195" s="592">
        <f t="shared" si="158"/>
        <v>141.18</v>
      </c>
      <c r="I195" s="592">
        <f t="shared" si="158"/>
        <v>141.18</v>
      </c>
      <c r="J195" s="592">
        <f t="shared" si="158"/>
        <v>141.18</v>
      </c>
      <c r="K195" s="592">
        <f t="shared" si="158"/>
        <v>141.18</v>
      </c>
      <c r="L195" s="592">
        <f t="shared" si="158"/>
        <v>141.18</v>
      </c>
      <c r="M195" s="592">
        <f t="shared" si="158"/>
        <v>141.18</v>
      </c>
      <c r="N195" s="592">
        <f t="shared" si="158"/>
        <v>141.18</v>
      </c>
      <c r="O195" s="592">
        <f t="shared" si="158"/>
        <v>141.18</v>
      </c>
      <c r="P195" s="592">
        <f t="shared" si="158"/>
        <v>141.18</v>
      </c>
      <c r="Q195" s="592">
        <f t="shared" si="158"/>
        <v>141.18</v>
      </c>
      <c r="R195" s="592">
        <f t="shared" si="158"/>
        <v>141.18</v>
      </c>
      <c r="S195" s="592">
        <f t="shared" si="158"/>
        <v>141.18</v>
      </c>
      <c r="T195" s="592">
        <f t="shared" si="158"/>
        <v>141.18</v>
      </c>
      <c r="U195" s="592">
        <f t="shared" si="159"/>
        <v>141.18</v>
      </c>
      <c r="V195" s="592">
        <f t="shared" si="159"/>
        <v>141.18</v>
      </c>
      <c r="W195" s="592">
        <f t="shared" si="159"/>
        <v>141.18</v>
      </c>
      <c r="X195" s="592">
        <f t="shared" si="159"/>
        <v>141.18</v>
      </c>
      <c r="Y195" s="592">
        <f t="shared" si="159"/>
        <v>141.18</v>
      </c>
      <c r="Z195" s="592">
        <f t="shared" si="159"/>
        <v>141.18</v>
      </c>
      <c r="AA195" s="592">
        <f t="shared" si="159"/>
        <v>141.18</v>
      </c>
      <c r="AB195" s="592">
        <f t="shared" si="159"/>
        <v>141.18</v>
      </c>
      <c r="AC195" s="592">
        <f t="shared" si="159"/>
        <v>141.18</v>
      </c>
      <c r="AD195" s="592">
        <f t="shared" si="159"/>
        <v>141.18</v>
      </c>
      <c r="AE195" s="592">
        <f t="shared" si="159"/>
        <v>141.18</v>
      </c>
      <c r="AF195" s="592">
        <f t="shared" si="159"/>
        <v>141.18</v>
      </c>
      <c r="AG195" s="614"/>
      <c r="AH195" s="538"/>
      <c r="AK195" s="531"/>
      <c r="AM195" s="539"/>
      <c r="AN195" s="535"/>
      <c r="AP195" s="540"/>
      <c r="AQ195" s="540"/>
    </row>
    <row r="196" spans="1:43" s="513" customFormat="1" ht="16.5" hidden="1" customHeight="1" outlineLevel="2">
      <c r="A196" s="584"/>
      <c r="B196" s="572" t="s">
        <v>862</v>
      </c>
      <c r="C196" s="592">
        <v>0</v>
      </c>
      <c r="D196" s="592">
        <f t="shared" ref="D196" si="160">C196</f>
        <v>0</v>
      </c>
      <c r="E196" s="592">
        <f t="shared" si="158"/>
        <v>0</v>
      </c>
      <c r="F196" s="592">
        <f t="shared" si="158"/>
        <v>0</v>
      </c>
      <c r="G196" s="592">
        <f t="shared" si="158"/>
        <v>0</v>
      </c>
      <c r="H196" s="592">
        <f t="shared" si="158"/>
        <v>0</v>
      </c>
      <c r="I196" s="592">
        <f t="shared" si="158"/>
        <v>0</v>
      </c>
      <c r="J196" s="592">
        <f t="shared" si="158"/>
        <v>0</v>
      </c>
      <c r="K196" s="592">
        <f t="shared" si="158"/>
        <v>0</v>
      </c>
      <c r="L196" s="592">
        <f t="shared" si="158"/>
        <v>0</v>
      </c>
      <c r="M196" s="592">
        <f t="shared" si="158"/>
        <v>0</v>
      </c>
      <c r="N196" s="592">
        <f t="shared" si="158"/>
        <v>0</v>
      </c>
      <c r="O196" s="592">
        <f t="shared" si="158"/>
        <v>0</v>
      </c>
      <c r="P196" s="592">
        <f t="shared" si="158"/>
        <v>0</v>
      </c>
      <c r="Q196" s="592">
        <f t="shared" si="158"/>
        <v>0</v>
      </c>
      <c r="R196" s="592">
        <f t="shared" si="158"/>
        <v>0</v>
      </c>
      <c r="S196" s="592">
        <f t="shared" si="158"/>
        <v>0</v>
      </c>
      <c r="T196" s="592">
        <f t="shared" si="158"/>
        <v>0</v>
      </c>
      <c r="U196" s="592">
        <f t="shared" si="159"/>
        <v>0</v>
      </c>
      <c r="V196" s="592">
        <f t="shared" si="159"/>
        <v>0</v>
      </c>
      <c r="W196" s="592">
        <f t="shared" si="159"/>
        <v>0</v>
      </c>
      <c r="X196" s="592">
        <f t="shared" si="159"/>
        <v>0</v>
      </c>
      <c r="Y196" s="592">
        <f t="shared" si="159"/>
        <v>0</v>
      </c>
      <c r="Z196" s="592">
        <f t="shared" si="159"/>
        <v>0</v>
      </c>
      <c r="AA196" s="592">
        <f t="shared" si="159"/>
        <v>0</v>
      </c>
      <c r="AB196" s="592">
        <f t="shared" si="159"/>
        <v>0</v>
      </c>
      <c r="AC196" s="592">
        <f t="shared" si="159"/>
        <v>0</v>
      </c>
      <c r="AD196" s="592">
        <f t="shared" si="159"/>
        <v>0</v>
      </c>
      <c r="AE196" s="592">
        <f t="shared" si="159"/>
        <v>0</v>
      </c>
      <c r="AF196" s="592">
        <f t="shared" si="159"/>
        <v>0</v>
      </c>
      <c r="AH196" s="538"/>
      <c r="AK196" s="531"/>
      <c r="AM196" s="539"/>
      <c r="AN196" s="535"/>
      <c r="AP196" s="540"/>
      <c r="AQ196" s="540"/>
    </row>
    <row r="197" spans="1:43" s="546" customFormat="1" ht="16.5" hidden="1" customHeight="1" outlineLevel="2">
      <c r="A197" s="584"/>
      <c r="B197" s="613" t="s">
        <v>932</v>
      </c>
      <c r="C197" s="570">
        <f>C198*(C199+C200+C201+C202)</f>
        <v>0</v>
      </c>
      <c r="D197" s="570">
        <f t="shared" ref="D197:AF197" si="161">D198*(D199+D200+D201+D202)</f>
        <v>0</v>
      </c>
      <c r="E197" s="570">
        <f t="shared" si="161"/>
        <v>0</v>
      </c>
      <c r="F197" s="570">
        <f t="shared" si="161"/>
        <v>0</v>
      </c>
      <c r="G197" s="570">
        <f t="shared" si="161"/>
        <v>0</v>
      </c>
      <c r="H197" s="570">
        <f t="shared" si="161"/>
        <v>0</v>
      </c>
      <c r="I197" s="570">
        <f t="shared" si="161"/>
        <v>0</v>
      </c>
      <c r="J197" s="570">
        <f t="shared" si="161"/>
        <v>0</v>
      </c>
      <c r="K197" s="570">
        <f t="shared" si="161"/>
        <v>0</v>
      </c>
      <c r="L197" s="570">
        <f t="shared" si="161"/>
        <v>0</v>
      </c>
      <c r="M197" s="570">
        <f t="shared" si="161"/>
        <v>0</v>
      </c>
      <c r="N197" s="570">
        <f t="shared" si="161"/>
        <v>0</v>
      </c>
      <c r="O197" s="570">
        <f t="shared" si="161"/>
        <v>0</v>
      </c>
      <c r="P197" s="570">
        <f t="shared" si="161"/>
        <v>0</v>
      </c>
      <c r="Q197" s="570">
        <f t="shared" si="161"/>
        <v>0</v>
      </c>
      <c r="R197" s="570">
        <f t="shared" si="161"/>
        <v>0</v>
      </c>
      <c r="S197" s="570">
        <f t="shared" si="161"/>
        <v>0</v>
      </c>
      <c r="T197" s="570">
        <f t="shared" si="161"/>
        <v>0</v>
      </c>
      <c r="U197" s="570">
        <f t="shared" si="161"/>
        <v>0</v>
      </c>
      <c r="V197" s="570">
        <f t="shared" si="161"/>
        <v>0</v>
      </c>
      <c r="W197" s="570">
        <f t="shared" si="161"/>
        <v>0</v>
      </c>
      <c r="X197" s="570">
        <f t="shared" si="161"/>
        <v>0</v>
      </c>
      <c r="Y197" s="570">
        <f t="shared" si="161"/>
        <v>0</v>
      </c>
      <c r="Z197" s="570">
        <f t="shared" si="161"/>
        <v>0</v>
      </c>
      <c r="AA197" s="570">
        <f t="shared" si="161"/>
        <v>0</v>
      </c>
      <c r="AB197" s="570">
        <f t="shared" si="161"/>
        <v>0</v>
      </c>
      <c r="AC197" s="570">
        <f t="shared" si="161"/>
        <v>0</v>
      </c>
      <c r="AD197" s="570">
        <f t="shared" si="161"/>
        <v>0</v>
      </c>
      <c r="AE197" s="570">
        <f t="shared" si="161"/>
        <v>0</v>
      </c>
      <c r="AF197" s="570">
        <f t="shared" si="161"/>
        <v>0</v>
      </c>
      <c r="AH197" s="571"/>
      <c r="AK197" s="531"/>
      <c r="AM197" s="548"/>
      <c r="AN197" s="535"/>
      <c r="AP197" s="549"/>
      <c r="AQ197" s="549"/>
    </row>
    <row r="198" spans="1:43" s="586" customFormat="1" ht="16.5" hidden="1" customHeight="1" outlineLevel="2">
      <c r="A198" s="584"/>
      <c r="B198" s="585" t="s">
        <v>805</v>
      </c>
      <c r="C198" s="716">
        <f t="shared" ref="C198:AF198" si="162">C146</f>
        <v>0</v>
      </c>
      <c r="D198" s="716">
        <f t="shared" si="162"/>
        <v>0</v>
      </c>
      <c r="E198" s="716">
        <f t="shared" si="162"/>
        <v>0</v>
      </c>
      <c r="F198" s="716">
        <f t="shared" si="162"/>
        <v>0</v>
      </c>
      <c r="G198" s="716">
        <f t="shared" si="162"/>
        <v>0</v>
      </c>
      <c r="H198" s="716">
        <f t="shared" si="162"/>
        <v>0</v>
      </c>
      <c r="I198" s="716">
        <f t="shared" si="162"/>
        <v>0</v>
      </c>
      <c r="J198" s="716">
        <f t="shared" si="162"/>
        <v>0</v>
      </c>
      <c r="K198" s="716">
        <f t="shared" si="162"/>
        <v>0</v>
      </c>
      <c r="L198" s="716">
        <f t="shared" si="162"/>
        <v>0</v>
      </c>
      <c r="M198" s="716">
        <f t="shared" si="162"/>
        <v>0</v>
      </c>
      <c r="N198" s="716">
        <f t="shared" si="162"/>
        <v>0</v>
      </c>
      <c r="O198" s="716">
        <f t="shared" si="162"/>
        <v>0</v>
      </c>
      <c r="P198" s="716">
        <f t="shared" si="162"/>
        <v>0</v>
      </c>
      <c r="Q198" s="716">
        <f t="shared" si="162"/>
        <v>0</v>
      </c>
      <c r="R198" s="716">
        <f t="shared" si="162"/>
        <v>0</v>
      </c>
      <c r="S198" s="716">
        <f t="shared" si="162"/>
        <v>0</v>
      </c>
      <c r="T198" s="716">
        <f t="shared" si="162"/>
        <v>0</v>
      </c>
      <c r="U198" s="716">
        <f t="shared" si="162"/>
        <v>0</v>
      </c>
      <c r="V198" s="716">
        <f t="shared" si="162"/>
        <v>0</v>
      </c>
      <c r="W198" s="716">
        <f t="shared" si="162"/>
        <v>0</v>
      </c>
      <c r="X198" s="716">
        <f t="shared" si="162"/>
        <v>0</v>
      </c>
      <c r="Y198" s="716">
        <f t="shared" si="162"/>
        <v>0</v>
      </c>
      <c r="Z198" s="716">
        <f t="shared" si="162"/>
        <v>0</v>
      </c>
      <c r="AA198" s="716">
        <f t="shared" si="162"/>
        <v>0</v>
      </c>
      <c r="AB198" s="716">
        <f t="shared" si="162"/>
        <v>0</v>
      </c>
      <c r="AC198" s="716">
        <f t="shared" si="162"/>
        <v>0</v>
      </c>
      <c r="AD198" s="716">
        <f t="shared" si="162"/>
        <v>0</v>
      </c>
      <c r="AE198" s="716">
        <f t="shared" si="162"/>
        <v>0</v>
      </c>
      <c r="AF198" s="716">
        <f t="shared" si="162"/>
        <v>0</v>
      </c>
      <c r="AH198" s="587"/>
      <c r="AK198" s="591"/>
      <c r="AM198" s="589"/>
      <c r="AN198" s="590"/>
      <c r="AP198" s="591"/>
      <c r="AQ198" s="591"/>
    </row>
    <row r="199" spans="1:43" s="513" customFormat="1" ht="16.5" hidden="1" customHeight="1" outlineLevel="2">
      <c r="A199" s="584"/>
      <c r="B199" s="572" t="s">
        <v>940</v>
      </c>
      <c r="C199" s="592">
        <f>'Sal._benef.'!$I$19</f>
        <v>500</v>
      </c>
      <c r="D199" s="592">
        <f>C199</f>
        <v>500</v>
      </c>
      <c r="E199" s="592">
        <f t="shared" ref="E199:T202" si="163">D199</f>
        <v>500</v>
      </c>
      <c r="F199" s="592">
        <f t="shared" si="163"/>
        <v>500</v>
      </c>
      <c r="G199" s="592">
        <f t="shared" si="163"/>
        <v>500</v>
      </c>
      <c r="H199" s="592">
        <f t="shared" si="163"/>
        <v>500</v>
      </c>
      <c r="I199" s="592">
        <f t="shared" si="163"/>
        <v>500</v>
      </c>
      <c r="J199" s="592">
        <f t="shared" si="163"/>
        <v>500</v>
      </c>
      <c r="K199" s="592">
        <f t="shared" si="163"/>
        <v>500</v>
      </c>
      <c r="L199" s="592">
        <f t="shared" si="163"/>
        <v>500</v>
      </c>
      <c r="M199" s="592">
        <f t="shared" si="163"/>
        <v>500</v>
      </c>
      <c r="N199" s="592">
        <f t="shared" si="163"/>
        <v>500</v>
      </c>
      <c r="O199" s="592">
        <f t="shared" si="163"/>
        <v>500</v>
      </c>
      <c r="P199" s="592">
        <f t="shared" si="163"/>
        <v>500</v>
      </c>
      <c r="Q199" s="592">
        <f t="shared" si="163"/>
        <v>500</v>
      </c>
      <c r="R199" s="592">
        <f t="shared" si="163"/>
        <v>500</v>
      </c>
      <c r="S199" s="592">
        <f t="shared" si="163"/>
        <v>500</v>
      </c>
      <c r="T199" s="592">
        <f t="shared" si="163"/>
        <v>500</v>
      </c>
      <c r="U199" s="592">
        <f t="shared" ref="U199:AF202" si="164">T199</f>
        <v>500</v>
      </c>
      <c r="V199" s="592">
        <f t="shared" si="164"/>
        <v>500</v>
      </c>
      <c r="W199" s="592">
        <f t="shared" si="164"/>
        <v>500</v>
      </c>
      <c r="X199" s="592">
        <f t="shared" si="164"/>
        <v>500</v>
      </c>
      <c r="Y199" s="592">
        <f t="shared" si="164"/>
        <v>500</v>
      </c>
      <c r="Z199" s="592">
        <f t="shared" si="164"/>
        <v>500</v>
      </c>
      <c r="AA199" s="592">
        <f t="shared" si="164"/>
        <v>500</v>
      </c>
      <c r="AB199" s="592">
        <f t="shared" si="164"/>
        <v>500</v>
      </c>
      <c r="AC199" s="592">
        <f t="shared" si="164"/>
        <v>500</v>
      </c>
      <c r="AD199" s="592">
        <f t="shared" si="164"/>
        <v>500</v>
      </c>
      <c r="AE199" s="592">
        <f t="shared" si="164"/>
        <v>500</v>
      </c>
      <c r="AF199" s="592">
        <f t="shared" si="164"/>
        <v>500</v>
      </c>
      <c r="AH199" s="538"/>
      <c r="AK199" s="531"/>
      <c r="AM199" s="539"/>
      <c r="AN199" s="535"/>
      <c r="AP199" s="540"/>
      <c r="AQ199" s="540"/>
    </row>
    <row r="200" spans="1:43" s="513" customFormat="1" ht="16.5" hidden="1" customHeight="1" outlineLevel="2">
      <c r="A200" s="584"/>
      <c r="B200" s="572" t="s">
        <v>941</v>
      </c>
      <c r="C200" s="592">
        <f>'Sal._benef.'!$K$19</f>
        <v>5.53</v>
      </c>
      <c r="D200" s="592">
        <f>C200</f>
        <v>5.53</v>
      </c>
      <c r="E200" s="592">
        <f t="shared" si="163"/>
        <v>5.53</v>
      </c>
      <c r="F200" s="592">
        <f t="shared" si="163"/>
        <v>5.53</v>
      </c>
      <c r="G200" s="592">
        <f t="shared" si="163"/>
        <v>5.53</v>
      </c>
      <c r="H200" s="592">
        <f t="shared" si="163"/>
        <v>5.53</v>
      </c>
      <c r="I200" s="592">
        <f t="shared" si="163"/>
        <v>5.53</v>
      </c>
      <c r="J200" s="592">
        <f t="shared" si="163"/>
        <v>5.53</v>
      </c>
      <c r="K200" s="592">
        <f t="shared" si="163"/>
        <v>5.53</v>
      </c>
      <c r="L200" s="592">
        <f t="shared" si="163"/>
        <v>5.53</v>
      </c>
      <c r="M200" s="592">
        <f t="shared" si="163"/>
        <v>5.53</v>
      </c>
      <c r="N200" s="592">
        <f t="shared" si="163"/>
        <v>5.53</v>
      </c>
      <c r="O200" s="592">
        <f t="shared" si="163"/>
        <v>5.53</v>
      </c>
      <c r="P200" s="592">
        <f t="shared" si="163"/>
        <v>5.53</v>
      </c>
      <c r="Q200" s="592">
        <f t="shared" si="163"/>
        <v>5.53</v>
      </c>
      <c r="R200" s="592">
        <f t="shared" si="163"/>
        <v>5.53</v>
      </c>
      <c r="S200" s="592">
        <f t="shared" si="163"/>
        <v>5.53</v>
      </c>
      <c r="T200" s="592">
        <f t="shared" si="163"/>
        <v>5.53</v>
      </c>
      <c r="U200" s="592">
        <f t="shared" si="164"/>
        <v>5.53</v>
      </c>
      <c r="V200" s="592">
        <f t="shared" si="164"/>
        <v>5.53</v>
      </c>
      <c r="W200" s="592">
        <f t="shared" si="164"/>
        <v>5.53</v>
      </c>
      <c r="X200" s="592">
        <f t="shared" si="164"/>
        <v>5.53</v>
      </c>
      <c r="Y200" s="592">
        <f t="shared" si="164"/>
        <v>5.53</v>
      </c>
      <c r="Z200" s="592">
        <f t="shared" si="164"/>
        <v>5.53</v>
      </c>
      <c r="AA200" s="592">
        <f t="shared" si="164"/>
        <v>5.53</v>
      </c>
      <c r="AB200" s="592">
        <f t="shared" si="164"/>
        <v>5.53</v>
      </c>
      <c r="AC200" s="592">
        <f t="shared" si="164"/>
        <v>5.53</v>
      </c>
      <c r="AD200" s="592">
        <f t="shared" si="164"/>
        <v>5.53</v>
      </c>
      <c r="AE200" s="592">
        <f t="shared" si="164"/>
        <v>5.53</v>
      </c>
      <c r="AF200" s="592">
        <f t="shared" si="164"/>
        <v>5.53</v>
      </c>
      <c r="AH200" s="538"/>
      <c r="AK200" s="531"/>
      <c r="AM200" s="539"/>
      <c r="AN200" s="535"/>
      <c r="AP200" s="540"/>
      <c r="AQ200" s="540"/>
    </row>
    <row r="201" spans="1:43" s="513" customFormat="1" ht="16.5" hidden="1" customHeight="1" outlineLevel="2">
      <c r="A201" s="584"/>
      <c r="B201" s="572" t="s">
        <v>942</v>
      </c>
      <c r="C201" s="592">
        <f>'Sal._benef.'!$J$19</f>
        <v>141.18</v>
      </c>
      <c r="D201" s="592">
        <f>C201</f>
        <v>141.18</v>
      </c>
      <c r="E201" s="592">
        <f t="shared" si="163"/>
        <v>141.18</v>
      </c>
      <c r="F201" s="592">
        <f t="shared" si="163"/>
        <v>141.18</v>
      </c>
      <c r="G201" s="592">
        <f t="shared" si="163"/>
        <v>141.18</v>
      </c>
      <c r="H201" s="592">
        <f t="shared" si="163"/>
        <v>141.18</v>
      </c>
      <c r="I201" s="592">
        <f t="shared" si="163"/>
        <v>141.18</v>
      </c>
      <c r="J201" s="592">
        <f t="shared" si="163"/>
        <v>141.18</v>
      </c>
      <c r="K201" s="592">
        <f t="shared" si="163"/>
        <v>141.18</v>
      </c>
      <c r="L201" s="592">
        <f t="shared" si="163"/>
        <v>141.18</v>
      </c>
      <c r="M201" s="592">
        <f t="shared" si="163"/>
        <v>141.18</v>
      </c>
      <c r="N201" s="592">
        <f t="shared" si="163"/>
        <v>141.18</v>
      </c>
      <c r="O201" s="592">
        <f t="shared" si="163"/>
        <v>141.18</v>
      </c>
      <c r="P201" s="592">
        <f t="shared" si="163"/>
        <v>141.18</v>
      </c>
      <c r="Q201" s="592">
        <f t="shared" si="163"/>
        <v>141.18</v>
      </c>
      <c r="R201" s="592">
        <f t="shared" si="163"/>
        <v>141.18</v>
      </c>
      <c r="S201" s="592">
        <f t="shared" si="163"/>
        <v>141.18</v>
      </c>
      <c r="T201" s="592">
        <f t="shared" si="163"/>
        <v>141.18</v>
      </c>
      <c r="U201" s="592">
        <f t="shared" si="164"/>
        <v>141.18</v>
      </c>
      <c r="V201" s="592">
        <f t="shared" si="164"/>
        <v>141.18</v>
      </c>
      <c r="W201" s="592">
        <f t="shared" si="164"/>
        <v>141.18</v>
      </c>
      <c r="X201" s="592">
        <f t="shared" si="164"/>
        <v>141.18</v>
      </c>
      <c r="Y201" s="592">
        <f t="shared" si="164"/>
        <v>141.18</v>
      </c>
      <c r="Z201" s="592">
        <f t="shared" si="164"/>
        <v>141.18</v>
      </c>
      <c r="AA201" s="592">
        <f t="shared" si="164"/>
        <v>141.18</v>
      </c>
      <c r="AB201" s="592">
        <f t="shared" si="164"/>
        <v>141.18</v>
      </c>
      <c r="AC201" s="592">
        <f t="shared" si="164"/>
        <v>141.18</v>
      </c>
      <c r="AD201" s="592">
        <f t="shared" si="164"/>
        <v>141.18</v>
      </c>
      <c r="AE201" s="592">
        <f t="shared" si="164"/>
        <v>141.18</v>
      </c>
      <c r="AF201" s="592">
        <f t="shared" si="164"/>
        <v>141.18</v>
      </c>
      <c r="AG201" s="614"/>
      <c r="AH201" s="538"/>
      <c r="AK201" s="531"/>
      <c r="AM201" s="539"/>
      <c r="AN201" s="535"/>
      <c r="AP201" s="540"/>
      <c r="AQ201" s="540"/>
    </row>
    <row r="202" spans="1:43" s="513" customFormat="1" ht="16.5" hidden="1" customHeight="1" outlineLevel="2">
      <c r="A202" s="584"/>
      <c r="B202" s="572" t="s">
        <v>862</v>
      </c>
      <c r="C202" s="592">
        <v>0</v>
      </c>
      <c r="D202" s="592">
        <f t="shared" ref="D202" si="165">C202</f>
        <v>0</v>
      </c>
      <c r="E202" s="592">
        <f t="shared" si="163"/>
        <v>0</v>
      </c>
      <c r="F202" s="592">
        <f t="shared" si="163"/>
        <v>0</v>
      </c>
      <c r="G202" s="592">
        <f t="shared" si="163"/>
        <v>0</v>
      </c>
      <c r="H202" s="592">
        <f t="shared" si="163"/>
        <v>0</v>
      </c>
      <c r="I202" s="592">
        <f t="shared" si="163"/>
        <v>0</v>
      </c>
      <c r="J202" s="592">
        <f t="shared" si="163"/>
        <v>0</v>
      </c>
      <c r="K202" s="592">
        <f t="shared" si="163"/>
        <v>0</v>
      </c>
      <c r="L202" s="592">
        <f t="shared" si="163"/>
        <v>0</v>
      </c>
      <c r="M202" s="592">
        <f t="shared" si="163"/>
        <v>0</v>
      </c>
      <c r="N202" s="592">
        <f t="shared" si="163"/>
        <v>0</v>
      </c>
      <c r="O202" s="592">
        <f t="shared" si="163"/>
        <v>0</v>
      </c>
      <c r="P202" s="592">
        <f t="shared" si="163"/>
        <v>0</v>
      </c>
      <c r="Q202" s="592">
        <f t="shared" si="163"/>
        <v>0</v>
      </c>
      <c r="R202" s="592">
        <f t="shared" si="163"/>
        <v>0</v>
      </c>
      <c r="S202" s="592">
        <f t="shared" si="163"/>
        <v>0</v>
      </c>
      <c r="T202" s="592">
        <f t="shared" si="163"/>
        <v>0</v>
      </c>
      <c r="U202" s="592">
        <f t="shared" si="164"/>
        <v>0</v>
      </c>
      <c r="V202" s="592">
        <f t="shared" si="164"/>
        <v>0</v>
      </c>
      <c r="W202" s="592">
        <f t="shared" si="164"/>
        <v>0</v>
      </c>
      <c r="X202" s="592">
        <f t="shared" si="164"/>
        <v>0</v>
      </c>
      <c r="Y202" s="592">
        <f t="shared" si="164"/>
        <v>0</v>
      </c>
      <c r="Z202" s="592">
        <f t="shared" si="164"/>
        <v>0</v>
      </c>
      <c r="AA202" s="592">
        <f t="shared" si="164"/>
        <v>0</v>
      </c>
      <c r="AB202" s="592">
        <f t="shared" si="164"/>
        <v>0</v>
      </c>
      <c r="AC202" s="592">
        <f t="shared" si="164"/>
        <v>0</v>
      </c>
      <c r="AD202" s="592">
        <f t="shared" si="164"/>
        <v>0</v>
      </c>
      <c r="AE202" s="592">
        <f t="shared" si="164"/>
        <v>0</v>
      </c>
      <c r="AF202" s="592">
        <f t="shared" si="164"/>
        <v>0</v>
      </c>
      <c r="AH202" s="538"/>
      <c r="AK202" s="531"/>
      <c r="AM202" s="539"/>
      <c r="AN202" s="535"/>
      <c r="AP202" s="540"/>
      <c r="AQ202" s="540"/>
    </row>
    <row r="203" spans="1:43" s="546" customFormat="1" ht="16.5" hidden="1" customHeight="1" outlineLevel="2">
      <c r="A203" s="584"/>
      <c r="B203" s="613" t="s">
        <v>933</v>
      </c>
      <c r="C203" s="570">
        <f>C204*(C205+C206+C207+C208)</f>
        <v>562.51080000000002</v>
      </c>
      <c r="D203" s="570">
        <f t="shared" ref="D203:AF203" si="166">D204*(D205+D206+D207+D208)</f>
        <v>562.51080000000002</v>
      </c>
      <c r="E203" s="570">
        <f t="shared" si="166"/>
        <v>562.51080000000002</v>
      </c>
      <c r="F203" s="570">
        <f t="shared" si="166"/>
        <v>562.51080000000002</v>
      </c>
      <c r="G203" s="570">
        <f t="shared" si="166"/>
        <v>562.51080000000002</v>
      </c>
      <c r="H203" s="570">
        <f t="shared" si="166"/>
        <v>562.51080000000002</v>
      </c>
      <c r="I203" s="570">
        <f t="shared" si="166"/>
        <v>562.51080000000002</v>
      </c>
      <c r="J203" s="570">
        <f t="shared" si="166"/>
        <v>562.51080000000002</v>
      </c>
      <c r="K203" s="570">
        <f t="shared" si="166"/>
        <v>562.51080000000002</v>
      </c>
      <c r="L203" s="570">
        <f t="shared" si="166"/>
        <v>562.51080000000002</v>
      </c>
      <c r="M203" s="570">
        <f t="shared" si="166"/>
        <v>562.51080000000002</v>
      </c>
      <c r="N203" s="570">
        <f t="shared" si="166"/>
        <v>562.51080000000002</v>
      </c>
      <c r="O203" s="570">
        <f t="shared" si="166"/>
        <v>562.51080000000002</v>
      </c>
      <c r="P203" s="570">
        <f t="shared" si="166"/>
        <v>562.51080000000002</v>
      </c>
      <c r="Q203" s="570">
        <f t="shared" si="166"/>
        <v>562.51080000000002</v>
      </c>
      <c r="R203" s="570">
        <f t="shared" si="166"/>
        <v>562.51080000000002</v>
      </c>
      <c r="S203" s="570">
        <f t="shared" si="166"/>
        <v>562.51080000000002</v>
      </c>
      <c r="T203" s="570">
        <f t="shared" si="166"/>
        <v>562.51080000000002</v>
      </c>
      <c r="U203" s="570">
        <f t="shared" si="166"/>
        <v>562.51080000000002</v>
      </c>
      <c r="V203" s="570">
        <f t="shared" si="166"/>
        <v>562.51080000000002</v>
      </c>
      <c r="W203" s="570">
        <f t="shared" si="166"/>
        <v>562.51080000000002</v>
      </c>
      <c r="X203" s="570">
        <f t="shared" si="166"/>
        <v>562.51080000000002</v>
      </c>
      <c r="Y203" s="570">
        <f t="shared" si="166"/>
        <v>562.51080000000002</v>
      </c>
      <c r="Z203" s="570">
        <f t="shared" si="166"/>
        <v>562.51080000000002</v>
      </c>
      <c r="AA203" s="570">
        <f t="shared" si="166"/>
        <v>562.51080000000002</v>
      </c>
      <c r="AB203" s="570">
        <f t="shared" si="166"/>
        <v>562.51080000000002</v>
      </c>
      <c r="AC203" s="570">
        <f t="shared" si="166"/>
        <v>562.51080000000002</v>
      </c>
      <c r="AD203" s="570">
        <f t="shared" si="166"/>
        <v>562.51080000000002</v>
      </c>
      <c r="AE203" s="570">
        <f t="shared" si="166"/>
        <v>562.51080000000002</v>
      </c>
      <c r="AF203" s="570">
        <f t="shared" si="166"/>
        <v>562.51080000000002</v>
      </c>
      <c r="AH203" s="571"/>
      <c r="AK203" s="531"/>
      <c r="AM203" s="548"/>
      <c r="AN203" s="535"/>
      <c r="AP203" s="549"/>
      <c r="AQ203" s="549"/>
    </row>
    <row r="204" spans="1:43" s="586" customFormat="1" ht="16.5" hidden="1" customHeight="1" outlineLevel="2">
      <c r="A204" s="584"/>
      <c r="B204" s="585" t="s">
        <v>805</v>
      </c>
      <c r="C204" s="716">
        <f t="shared" ref="C204:AF204" si="167">C153</f>
        <v>1</v>
      </c>
      <c r="D204" s="716">
        <f t="shared" si="167"/>
        <v>1</v>
      </c>
      <c r="E204" s="716">
        <f t="shared" si="167"/>
        <v>1</v>
      </c>
      <c r="F204" s="716">
        <f t="shared" si="167"/>
        <v>1</v>
      </c>
      <c r="G204" s="716">
        <f t="shared" si="167"/>
        <v>1</v>
      </c>
      <c r="H204" s="716">
        <f t="shared" si="167"/>
        <v>1</v>
      </c>
      <c r="I204" s="716">
        <f t="shared" si="167"/>
        <v>1</v>
      </c>
      <c r="J204" s="716">
        <f t="shared" si="167"/>
        <v>1</v>
      </c>
      <c r="K204" s="716">
        <f t="shared" si="167"/>
        <v>1</v>
      </c>
      <c r="L204" s="716">
        <f t="shared" si="167"/>
        <v>1</v>
      </c>
      <c r="M204" s="716">
        <f t="shared" si="167"/>
        <v>1</v>
      </c>
      <c r="N204" s="716">
        <f t="shared" si="167"/>
        <v>1</v>
      </c>
      <c r="O204" s="716">
        <f t="shared" si="167"/>
        <v>1</v>
      </c>
      <c r="P204" s="716">
        <f t="shared" si="167"/>
        <v>1</v>
      </c>
      <c r="Q204" s="716">
        <f t="shared" si="167"/>
        <v>1</v>
      </c>
      <c r="R204" s="716">
        <f t="shared" si="167"/>
        <v>1</v>
      </c>
      <c r="S204" s="716">
        <f t="shared" si="167"/>
        <v>1</v>
      </c>
      <c r="T204" s="716">
        <f t="shared" si="167"/>
        <v>1</v>
      </c>
      <c r="U204" s="716">
        <f t="shared" si="167"/>
        <v>1</v>
      </c>
      <c r="V204" s="716">
        <f t="shared" si="167"/>
        <v>1</v>
      </c>
      <c r="W204" s="716">
        <f t="shared" si="167"/>
        <v>1</v>
      </c>
      <c r="X204" s="716">
        <f t="shared" si="167"/>
        <v>1</v>
      </c>
      <c r="Y204" s="716">
        <f t="shared" si="167"/>
        <v>1</v>
      </c>
      <c r="Z204" s="716">
        <f t="shared" si="167"/>
        <v>1</v>
      </c>
      <c r="AA204" s="716">
        <f t="shared" si="167"/>
        <v>1</v>
      </c>
      <c r="AB204" s="716">
        <f t="shared" si="167"/>
        <v>1</v>
      </c>
      <c r="AC204" s="716">
        <f t="shared" si="167"/>
        <v>1</v>
      </c>
      <c r="AD204" s="716">
        <f t="shared" si="167"/>
        <v>1</v>
      </c>
      <c r="AE204" s="716">
        <f t="shared" si="167"/>
        <v>1</v>
      </c>
      <c r="AF204" s="716">
        <f t="shared" si="167"/>
        <v>1</v>
      </c>
      <c r="AH204" s="587"/>
      <c r="AK204" s="591"/>
      <c r="AM204" s="589"/>
      <c r="AN204" s="590"/>
      <c r="AP204" s="591"/>
      <c r="AQ204" s="591"/>
    </row>
    <row r="205" spans="1:43" s="513" customFormat="1" ht="16.5" hidden="1" customHeight="1" outlineLevel="2">
      <c r="A205" s="584"/>
      <c r="B205" s="572" t="s">
        <v>940</v>
      </c>
      <c r="C205" s="592">
        <f>'Sal._benef.'!$I$21</f>
        <v>500</v>
      </c>
      <c r="D205" s="592">
        <f>C205</f>
        <v>500</v>
      </c>
      <c r="E205" s="592">
        <f t="shared" ref="E205:T208" si="168">D205</f>
        <v>500</v>
      </c>
      <c r="F205" s="592">
        <f t="shared" si="168"/>
        <v>500</v>
      </c>
      <c r="G205" s="592">
        <f t="shared" si="168"/>
        <v>500</v>
      </c>
      <c r="H205" s="592">
        <f t="shared" si="168"/>
        <v>500</v>
      </c>
      <c r="I205" s="592">
        <f t="shared" si="168"/>
        <v>500</v>
      </c>
      <c r="J205" s="592">
        <f t="shared" si="168"/>
        <v>500</v>
      </c>
      <c r="K205" s="592">
        <f t="shared" si="168"/>
        <v>500</v>
      </c>
      <c r="L205" s="592">
        <f t="shared" si="168"/>
        <v>500</v>
      </c>
      <c r="M205" s="592">
        <f t="shared" si="168"/>
        <v>500</v>
      </c>
      <c r="N205" s="592">
        <f t="shared" si="168"/>
        <v>500</v>
      </c>
      <c r="O205" s="592">
        <f t="shared" si="168"/>
        <v>500</v>
      </c>
      <c r="P205" s="592">
        <f t="shared" si="168"/>
        <v>500</v>
      </c>
      <c r="Q205" s="592">
        <f t="shared" si="168"/>
        <v>500</v>
      </c>
      <c r="R205" s="592">
        <f t="shared" si="168"/>
        <v>500</v>
      </c>
      <c r="S205" s="592">
        <f t="shared" si="168"/>
        <v>500</v>
      </c>
      <c r="T205" s="592">
        <f t="shared" si="168"/>
        <v>500</v>
      </c>
      <c r="U205" s="592">
        <f t="shared" ref="U205:AF208" si="169">T205</f>
        <v>500</v>
      </c>
      <c r="V205" s="592">
        <f t="shared" si="169"/>
        <v>500</v>
      </c>
      <c r="W205" s="592">
        <f t="shared" si="169"/>
        <v>500</v>
      </c>
      <c r="X205" s="592">
        <f t="shared" si="169"/>
        <v>500</v>
      </c>
      <c r="Y205" s="592">
        <f t="shared" si="169"/>
        <v>500</v>
      </c>
      <c r="Z205" s="592">
        <f t="shared" si="169"/>
        <v>500</v>
      </c>
      <c r="AA205" s="592">
        <f t="shared" si="169"/>
        <v>500</v>
      </c>
      <c r="AB205" s="592">
        <f t="shared" si="169"/>
        <v>500</v>
      </c>
      <c r="AC205" s="592">
        <f t="shared" si="169"/>
        <v>500</v>
      </c>
      <c r="AD205" s="592">
        <f t="shared" si="169"/>
        <v>500</v>
      </c>
      <c r="AE205" s="592">
        <f t="shared" si="169"/>
        <v>500</v>
      </c>
      <c r="AF205" s="592">
        <f t="shared" si="169"/>
        <v>500</v>
      </c>
      <c r="AH205" s="538"/>
      <c r="AK205" s="531"/>
      <c r="AM205" s="539"/>
      <c r="AN205" s="535"/>
      <c r="AP205" s="540"/>
      <c r="AQ205" s="540"/>
    </row>
    <row r="206" spans="1:43" s="513" customFormat="1" ht="16.5" hidden="1" customHeight="1" outlineLevel="2">
      <c r="A206" s="584"/>
      <c r="B206" s="572" t="s">
        <v>941</v>
      </c>
      <c r="C206" s="592">
        <f>'Sal._benef.'!$K$21</f>
        <v>5.53</v>
      </c>
      <c r="D206" s="592">
        <f>C206</f>
        <v>5.53</v>
      </c>
      <c r="E206" s="592">
        <f t="shared" si="168"/>
        <v>5.53</v>
      </c>
      <c r="F206" s="592">
        <f t="shared" si="168"/>
        <v>5.53</v>
      </c>
      <c r="G206" s="592">
        <f t="shared" si="168"/>
        <v>5.53</v>
      </c>
      <c r="H206" s="592">
        <f t="shared" si="168"/>
        <v>5.53</v>
      </c>
      <c r="I206" s="592">
        <f t="shared" si="168"/>
        <v>5.53</v>
      </c>
      <c r="J206" s="592">
        <f t="shared" si="168"/>
        <v>5.53</v>
      </c>
      <c r="K206" s="592">
        <f t="shared" si="168"/>
        <v>5.53</v>
      </c>
      <c r="L206" s="592">
        <f t="shared" si="168"/>
        <v>5.53</v>
      </c>
      <c r="M206" s="592">
        <f t="shared" si="168"/>
        <v>5.53</v>
      </c>
      <c r="N206" s="592">
        <f t="shared" si="168"/>
        <v>5.53</v>
      </c>
      <c r="O206" s="592">
        <f t="shared" si="168"/>
        <v>5.53</v>
      </c>
      <c r="P206" s="592">
        <f t="shared" si="168"/>
        <v>5.53</v>
      </c>
      <c r="Q206" s="592">
        <f t="shared" si="168"/>
        <v>5.53</v>
      </c>
      <c r="R206" s="592">
        <f t="shared" si="168"/>
        <v>5.53</v>
      </c>
      <c r="S206" s="592">
        <f t="shared" si="168"/>
        <v>5.53</v>
      </c>
      <c r="T206" s="592">
        <f t="shared" si="168"/>
        <v>5.53</v>
      </c>
      <c r="U206" s="592">
        <f t="shared" si="169"/>
        <v>5.53</v>
      </c>
      <c r="V206" s="592">
        <f t="shared" si="169"/>
        <v>5.53</v>
      </c>
      <c r="W206" s="592">
        <f t="shared" si="169"/>
        <v>5.53</v>
      </c>
      <c r="X206" s="592">
        <f t="shared" si="169"/>
        <v>5.53</v>
      </c>
      <c r="Y206" s="592">
        <f t="shared" si="169"/>
        <v>5.53</v>
      </c>
      <c r="Z206" s="592">
        <f t="shared" si="169"/>
        <v>5.53</v>
      </c>
      <c r="AA206" s="592">
        <f t="shared" si="169"/>
        <v>5.53</v>
      </c>
      <c r="AB206" s="592">
        <f t="shared" si="169"/>
        <v>5.53</v>
      </c>
      <c r="AC206" s="592">
        <f t="shared" si="169"/>
        <v>5.53</v>
      </c>
      <c r="AD206" s="592">
        <f t="shared" si="169"/>
        <v>5.53</v>
      </c>
      <c r="AE206" s="592">
        <f t="shared" si="169"/>
        <v>5.53</v>
      </c>
      <c r="AF206" s="592">
        <f t="shared" si="169"/>
        <v>5.53</v>
      </c>
      <c r="AH206" s="538"/>
      <c r="AK206" s="531"/>
      <c r="AM206" s="539"/>
      <c r="AN206" s="535"/>
      <c r="AP206" s="540"/>
      <c r="AQ206" s="540"/>
    </row>
    <row r="207" spans="1:43" s="513" customFormat="1" ht="16.5" hidden="1" customHeight="1" outlineLevel="2">
      <c r="A207" s="584"/>
      <c r="B207" s="572" t="s">
        <v>942</v>
      </c>
      <c r="C207" s="592">
        <f>'Sal._benef.'!$J$21</f>
        <v>56.980800000000016</v>
      </c>
      <c r="D207" s="592">
        <f>C207</f>
        <v>56.980800000000016</v>
      </c>
      <c r="E207" s="592">
        <f t="shared" si="168"/>
        <v>56.980800000000016</v>
      </c>
      <c r="F207" s="592">
        <f t="shared" si="168"/>
        <v>56.980800000000016</v>
      </c>
      <c r="G207" s="592">
        <f t="shared" si="168"/>
        <v>56.980800000000016</v>
      </c>
      <c r="H207" s="592">
        <f t="shared" si="168"/>
        <v>56.980800000000016</v>
      </c>
      <c r="I207" s="592">
        <f t="shared" si="168"/>
        <v>56.980800000000016</v>
      </c>
      <c r="J207" s="592">
        <f t="shared" si="168"/>
        <v>56.980800000000016</v>
      </c>
      <c r="K207" s="592">
        <f t="shared" si="168"/>
        <v>56.980800000000016</v>
      </c>
      <c r="L207" s="592">
        <f t="shared" si="168"/>
        <v>56.980800000000016</v>
      </c>
      <c r="M207" s="592">
        <f t="shared" si="168"/>
        <v>56.980800000000016</v>
      </c>
      <c r="N207" s="592">
        <f t="shared" si="168"/>
        <v>56.980800000000016</v>
      </c>
      <c r="O207" s="592">
        <f t="shared" si="168"/>
        <v>56.980800000000016</v>
      </c>
      <c r="P207" s="592">
        <f t="shared" si="168"/>
        <v>56.980800000000016</v>
      </c>
      <c r="Q207" s="592">
        <f t="shared" si="168"/>
        <v>56.980800000000016</v>
      </c>
      <c r="R207" s="592">
        <f t="shared" si="168"/>
        <v>56.980800000000016</v>
      </c>
      <c r="S207" s="592">
        <f t="shared" si="168"/>
        <v>56.980800000000016</v>
      </c>
      <c r="T207" s="592">
        <f t="shared" si="168"/>
        <v>56.980800000000016</v>
      </c>
      <c r="U207" s="592">
        <f t="shared" si="169"/>
        <v>56.980800000000016</v>
      </c>
      <c r="V207" s="592">
        <f t="shared" si="169"/>
        <v>56.980800000000016</v>
      </c>
      <c r="W207" s="592">
        <f t="shared" si="169"/>
        <v>56.980800000000016</v>
      </c>
      <c r="X207" s="592">
        <f t="shared" si="169"/>
        <v>56.980800000000016</v>
      </c>
      <c r="Y207" s="592">
        <f t="shared" si="169"/>
        <v>56.980800000000016</v>
      </c>
      <c r="Z207" s="592">
        <f t="shared" si="169"/>
        <v>56.980800000000016</v>
      </c>
      <c r="AA207" s="592">
        <f t="shared" si="169"/>
        <v>56.980800000000016</v>
      </c>
      <c r="AB207" s="592">
        <f t="shared" si="169"/>
        <v>56.980800000000016</v>
      </c>
      <c r="AC207" s="592">
        <f t="shared" si="169"/>
        <v>56.980800000000016</v>
      </c>
      <c r="AD207" s="592">
        <f t="shared" si="169"/>
        <v>56.980800000000016</v>
      </c>
      <c r="AE207" s="592">
        <f t="shared" si="169"/>
        <v>56.980800000000016</v>
      </c>
      <c r="AF207" s="592">
        <f t="shared" si="169"/>
        <v>56.980800000000016</v>
      </c>
      <c r="AG207" s="614"/>
      <c r="AH207" s="538"/>
      <c r="AK207" s="531"/>
      <c r="AM207" s="539"/>
      <c r="AN207" s="535"/>
      <c r="AP207" s="540"/>
      <c r="AQ207" s="540"/>
    </row>
    <row r="208" spans="1:43" s="513" customFormat="1" ht="16.5" hidden="1" customHeight="1" outlineLevel="2">
      <c r="A208" s="584"/>
      <c r="B208" s="572" t="s">
        <v>862</v>
      </c>
      <c r="C208" s="592">
        <v>0</v>
      </c>
      <c r="D208" s="592">
        <f t="shared" ref="D208" si="170">C208</f>
        <v>0</v>
      </c>
      <c r="E208" s="592">
        <f t="shared" si="168"/>
        <v>0</v>
      </c>
      <c r="F208" s="592">
        <f t="shared" si="168"/>
        <v>0</v>
      </c>
      <c r="G208" s="592">
        <f t="shared" si="168"/>
        <v>0</v>
      </c>
      <c r="H208" s="592">
        <f t="shared" si="168"/>
        <v>0</v>
      </c>
      <c r="I208" s="592">
        <f t="shared" si="168"/>
        <v>0</v>
      </c>
      <c r="J208" s="592">
        <f t="shared" si="168"/>
        <v>0</v>
      </c>
      <c r="K208" s="592">
        <f t="shared" si="168"/>
        <v>0</v>
      </c>
      <c r="L208" s="592">
        <f t="shared" si="168"/>
        <v>0</v>
      </c>
      <c r="M208" s="592">
        <f t="shared" si="168"/>
        <v>0</v>
      </c>
      <c r="N208" s="592">
        <f t="shared" si="168"/>
        <v>0</v>
      </c>
      <c r="O208" s="592">
        <f t="shared" si="168"/>
        <v>0</v>
      </c>
      <c r="P208" s="592">
        <f t="shared" si="168"/>
        <v>0</v>
      </c>
      <c r="Q208" s="592">
        <f t="shared" si="168"/>
        <v>0</v>
      </c>
      <c r="R208" s="592">
        <f t="shared" si="168"/>
        <v>0</v>
      </c>
      <c r="S208" s="592">
        <f t="shared" si="168"/>
        <v>0</v>
      </c>
      <c r="T208" s="592">
        <f t="shared" si="168"/>
        <v>0</v>
      </c>
      <c r="U208" s="592">
        <f t="shared" si="169"/>
        <v>0</v>
      </c>
      <c r="V208" s="592">
        <f t="shared" si="169"/>
        <v>0</v>
      </c>
      <c r="W208" s="592">
        <f t="shared" si="169"/>
        <v>0</v>
      </c>
      <c r="X208" s="592">
        <f t="shared" si="169"/>
        <v>0</v>
      </c>
      <c r="Y208" s="592">
        <f t="shared" si="169"/>
        <v>0</v>
      </c>
      <c r="Z208" s="592">
        <f t="shared" si="169"/>
        <v>0</v>
      </c>
      <c r="AA208" s="592">
        <f t="shared" si="169"/>
        <v>0</v>
      </c>
      <c r="AB208" s="592">
        <f t="shared" si="169"/>
        <v>0</v>
      </c>
      <c r="AC208" s="592">
        <f t="shared" si="169"/>
        <v>0</v>
      </c>
      <c r="AD208" s="592">
        <f t="shared" si="169"/>
        <v>0</v>
      </c>
      <c r="AE208" s="592">
        <f t="shared" si="169"/>
        <v>0</v>
      </c>
      <c r="AF208" s="592">
        <f t="shared" si="169"/>
        <v>0</v>
      </c>
      <c r="AH208" s="538"/>
      <c r="AK208" s="531"/>
      <c r="AM208" s="539"/>
      <c r="AN208" s="535"/>
      <c r="AP208" s="540"/>
      <c r="AQ208" s="540"/>
    </row>
    <row r="209" spans="1:43" s="546" customFormat="1" ht="16.5" hidden="1" customHeight="1" outlineLevel="2">
      <c r="A209" s="584"/>
      <c r="B209" s="613" t="s">
        <v>934</v>
      </c>
      <c r="C209" s="570">
        <f>C210*(C211+C212+C213+C214)</f>
        <v>0</v>
      </c>
      <c r="D209" s="570">
        <f t="shared" ref="D209:AF209" si="171">D210*(D211+D212+D213+D214)</f>
        <v>0</v>
      </c>
      <c r="E209" s="570">
        <f t="shared" si="171"/>
        <v>0</v>
      </c>
      <c r="F209" s="570">
        <f t="shared" si="171"/>
        <v>0</v>
      </c>
      <c r="G209" s="570">
        <f t="shared" si="171"/>
        <v>0</v>
      </c>
      <c r="H209" s="570">
        <f t="shared" si="171"/>
        <v>0</v>
      </c>
      <c r="I209" s="570">
        <f t="shared" si="171"/>
        <v>0</v>
      </c>
      <c r="J209" s="570">
        <f t="shared" si="171"/>
        <v>0</v>
      </c>
      <c r="K209" s="570">
        <f t="shared" si="171"/>
        <v>0</v>
      </c>
      <c r="L209" s="570">
        <f t="shared" si="171"/>
        <v>0</v>
      </c>
      <c r="M209" s="570">
        <f t="shared" si="171"/>
        <v>0</v>
      </c>
      <c r="N209" s="570">
        <f t="shared" si="171"/>
        <v>0</v>
      </c>
      <c r="O209" s="570">
        <f t="shared" si="171"/>
        <v>0</v>
      </c>
      <c r="P209" s="570">
        <f t="shared" si="171"/>
        <v>0</v>
      </c>
      <c r="Q209" s="570">
        <f t="shared" si="171"/>
        <v>0</v>
      </c>
      <c r="R209" s="570">
        <f t="shared" si="171"/>
        <v>0</v>
      </c>
      <c r="S209" s="570">
        <f t="shared" si="171"/>
        <v>0</v>
      </c>
      <c r="T209" s="570">
        <f t="shared" si="171"/>
        <v>0</v>
      </c>
      <c r="U209" s="570">
        <f t="shared" si="171"/>
        <v>0</v>
      </c>
      <c r="V209" s="570">
        <f t="shared" si="171"/>
        <v>0</v>
      </c>
      <c r="W209" s="570">
        <f t="shared" si="171"/>
        <v>0</v>
      </c>
      <c r="X209" s="570">
        <f t="shared" si="171"/>
        <v>0</v>
      </c>
      <c r="Y209" s="570">
        <f t="shared" si="171"/>
        <v>0</v>
      </c>
      <c r="Z209" s="570">
        <f t="shared" si="171"/>
        <v>0</v>
      </c>
      <c r="AA209" s="570">
        <f t="shared" si="171"/>
        <v>0</v>
      </c>
      <c r="AB209" s="570">
        <f t="shared" si="171"/>
        <v>0</v>
      </c>
      <c r="AC209" s="570">
        <f t="shared" si="171"/>
        <v>0</v>
      </c>
      <c r="AD209" s="570">
        <f t="shared" si="171"/>
        <v>0</v>
      </c>
      <c r="AE209" s="570">
        <f t="shared" si="171"/>
        <v>0</v>
      </c>
      <c r="AF209" s="570">
        <f t="shared" si="171"/>
        <v>0</v>
      </c>
      <c r="AH209" s="571"/>
      <c r="AK209" s="531"/>
      <c r="AM209" s="548"/>
      <c r="AN209" s="535"/>
      <c r="AP209" s="549"/>
      <c r="AQ209" s="549"/>
    </row>
    <row r="210" spans="1:43" s="586" customFormat="1" ht="16.5" hidden="1" customHeight="1" outlineLevel="2">
      <c r="A210" s="584"/>
      <c r="B210" s="585" t="s">
        <v>805</v>
      </c>
      <c r="C210" s="716">
        <f t="shared" ref="C210:AF210" si="172">C160</f>
        <v>0</v>
      </c>
      <c r="D210" s="716">
        <f t="shared" si="172"/>
        <v>0</v>
      </c>
      <c r="E210" s="716">
        <f t="shared" si="172"/>
        <v>0</v>
      </c>
      <c r="F210" s="716">
        <f t="shared" si="172"/>
        <v>0</v>
      </c>
      <c r="G210" s="716">
        <f t="shared" si="172"/>
        <v>0</v>
      </c>
      <c r="H210" s="716">
        <f t="shared" si="172"/>
        <v>0</v>
      </c>
      <c r="I210" s="716">
        <f t="shared" si="172"/>
        <v>0</v>
      </c>
      <c r="J210" s="716">
        <f t="shared" si="172"/>
        <v>0</v>
      </c>
      <c r="K210" s="716">
        <f t="shared" si="172"/>
        <v>0</v>
      </c>
      <c r="L210" s="716">
        <f t="shared" si="172"/>
        <v>0</v>
      </c>
      <c r="M210" s="716">
        <f t="shared" si="172"/>
        <v>0</v>
      </c>
      <c r="N210" s="716">
        <f t="shared" si="172"/>
        <v>0</v>
      </c>
      <c r="O210" s="716">
        <f t="shared" si="172"/>
        <v>0</v>
      </c>
      <c r="P210" s="716">
        <f t="shared" si="172"/>
        <v>0</v>
      </c>
      <c r="Q210" s="716">
        <f t="shared" si="172"/>
        <v>0</v>
      </c>
      <c r="R210" s="716">
        <f t="shared" si="172"/>
        <v>0</v>
      </c>
      <c r="S210" s="716">
        <f t="shared" si="172"/>
        <v>0</v>
      </c>
      <c r="T210" s="716">
        <f t="shared" si="172"/>
        <v>0</v>
      </c>
      <c r="U210" s="716">
        <f t="shared" si="172"/>
        <v>0</v>
      </c>
      <c r="V210" s="716">
        <f t="shared" si="172"/>
        <v>0</v>
      </c>
      <c r="W210" s="716">
        <f t="shared" si="172"/>
        <v>0</v>
      </c>
      <c r="X210" s="716">
        <f t="shared" si="172"/>
        <v>0</v>
      </c>
      <c r="Y210" s="716">
        <f t="shared" si="172"/>
        <v>0</v>
      </c>
      <c r="Z210" s="716">
        <f t="shared" si="172"/>
        <v>0</v>
      </c>
      <c r="AA210" s="716">
        <f t="shared" si="172"/>
        <v>0</v>
      </c>
      <c r="AB210" s="716">
        <f t="shared" si="172"/>
        <v>0</v>
      </c>
      <c r="AC210" s="716">
        <f t="shared" si="172"/>
        <v>0</v>
      </c>
      <c r="AD210" s="716">
        <f t="shared" si="172"/>
        <v>0</v>
      </c>
      <c r="AE210" s="716">
        <f t="shared" si="172"/>
        <v>0</v>
      </c>
      <c r="AF210" s="716">
        <f t="shared" si="172"/>
        <v>0</v>
      </c>
      <c r="AH210" s="587"/>
      <c r="AK210" s="591"/>
      <c r="AM210" s="589"/>
      <c r="AN210" s="590"/>
      <c r="AP210" s="591"/>
      <c r="AQ210" s="591"/>
    </row>
    <row r="211" spans="1:43" s="513" customFormat="1" ht="16.5" hidden="1" customHeight="1" outlineLevel="2">
      <c r="A211" s="584"/>
      <c r="B211" s="572" t="s">
        <v>940</v>
      </c>
      <c r="C211" s="592">
        <f>'Sal._benef.'!$I$21</f>
        <v>500</v>
      </c>
      <c r="D211" s="592">
        <f>C211</f>
        <v>500</v>
      </c>
      <c r="E211" s="592">
        <f t="shared" ref="E211:T214" si="173">D211</f>
        <v>500</v>
      </c>
      <c r="F211" s="592">
        <f t="shared" si="173"/>
        <v>500</v>
      </c>
      <c r="G211" s="592">
        <f t="shared" si="173"/>
        <v>500</v>
      </c>
      <c r="H211" s="592">
        <f t="shared" si="173"/>
        <v>500</v>
      </c>
      <c r="I211" s="592">
        <f t="shared" si="173"/>
        <v>500</v>
      </c>
      <c r="J211" s="592">
        <f t="shared" si="173"/>
        <v>500</v>
      </c>
      <c r="K211" s="592">
        <f t="shared" si="173"/>
        <v>500</v>
      </c>
      <c r="L211" s="592">
        <f t="shared" si="173"/>
        <v>500</v>
      </c>
      <c r="M211" s="592">
        <f t="shared" si="173"/>
        <v>500</v>
      </c>
      <c r="N211" s="592">
        <f t="shared" si="173"/>
        <v>500</v>
      </c>
      <c r="O211" s="592">
        <f t="shared" si="173"/>
        <v>500</v>
      </c>
      <c r="P211" s="592">
        <f t="shared" si="173"/>
        <v>500</v>
      </c>
      <c r="Q211" s="592">
        <f t="shared" si="173"/>
        <v>500</v>
      </c>
      <c r="R211" s="592">
        <f t="shared" si="173"/>
        <v>500</v>
      </c>
      <c r="S211" s="592">
        <f t="shared" si="173"/>
        <v>500</v>
      </c>
      <c r="T211" s="592">
        <f t="shared" si="173"/>
        <v>500</v>
      </c>
      <c r="U211" s="592">
        <f t="shared" ref="U211:AF214" si="174">T211</f>
        <v>500</v>
      </c>
      <c r="V211" s="592">
        <f t="shared" si="174"/>
        <v>500</v>
      </c>
      <c r="W211" s="592">
        <f t="shared" si="174"/>
        <v>500</v>
      </c>
      <c r="X211" s="592">
        <f t="shared" si="174"/>
        <v>500</v>
      </c>
      <c r="Y211" s="592">
        <f t="shared" si="174"/>
        <v>500</v>
      </c>
      <c r="Z211" s="592">
        <f t="shared" si="174"/>
        <v>500</v>
      </c>
      <c r="AA211" s="592">
        <f t="shared" si="174"/>
        <v>500</v>
      </c>
      <c r="AB211" s="592">
        <f t="shared" si="174"/>
        <v>500</v>
      </c>
      <c r="AC211" s="592">
        <f t="shared" si="174"/>
        <v>500</v>
      </c>
      <c r="AD211" s="592">
        <f t="shared" si="174"/>
        <v>500</v>
      </c>
      <c r="AE211" s="592">
        <f t="shared" si="174"/>
        <v>500</v>
      </c>
      <c r="AF211" s="592">
        <f t="shared" si="174"/>
        <v>500</v>
      </c>
      <c r="AH211" s="538"/>
      <c r="AK211" s="531"/>
      <c r="AM211" s="539"/>
      <c r="AN211" s="535"/>
      <c r="AP211" s="540"/>
      <c r="AQ211" s="540"/>
    </row>
    <row r="212" spans="1:43" s="513" customFormat="1" ht="16.5" hidden="1" customHeight="1" outlineLevel="2">
      <c r="A212" s="584"/>
      <c r="B212" s="572" t="s">
        <v>941</v>
      </c>
      <c r="C212" s="592">
        <f>'Sal._benef.'!$K$21</f>
        <v>5.53</v>
      </c>
      <c r="D212" s="592">
        <f>C212</f>
        <v>5.53</v>
      </c>
      <c r="E212" s="592">
        <f t="shared" si="173"/>
        <v>5.53</v>
      </c>
      <c r="F212" s="592">
        <f t="shared" si="173"/>
        <v>5.53</v>
      </c>
      <c r="G212" s="592">
        <f t="shared" si="173"/>
        <v>5.53</v>
      </c>
      <c r="H212" s="592">
        <f t="shared" si="173"/>
        <v>5.53</v>
      </c>
      <c r="I212" s="592">
        <f t="shared" si="173"/>
        <v>5.53</v>
      </c>
      <c r="J212" s="592">
        <f t="shared" si="173"/>
        <v>5.53</v>
      </c>
      <c r="K212" s="592">
        <f t="shared" si="173"/>
        <v>5.53</v>
      </c>
      <c r="L212" s="592">
        <f t="shared" si="173"/>
        <v>5.53</v>
      </c>
      <c r="M212" s="592">
        <f t="shared" si="173"/>
        <v>5.53</v>
      </c>
      <c r="N212" s="592">
        <f t="shared" si="173"/>
        <v>5.53</v>
      </c>
      <c r="O212" s="592">
        <f t="shared" si="173"/>
        <v>5.53</v>
      </c>
      <c r="P212" s="592">
        <f t="shared" si="173"/>
        <v>5.53</v>
      </c>
      <c r="Q212" s="592">
        <f t="shared" si="173"/>
        <v>5.53</v>
      </c>
      <c r="R212" s="592">
        <f t="shared" si="173"/>
        <v>5.53</v>
      </c>
      <c r="S212" s="592">
        <f t="shared" si="173"/>
        <v>5.53</v>
      </c>
      <c r="T212" s="592">
        <f t="shared" si="173"/>
        <v>5.53</v>
      </c>
      <c r="U212" s="592">
        <f t="shared" si="174"/>
        <v>5.53</v>
      </c>
      <c r="V212" s="592">
        <f t="shared" si="174"/>
        <v>5.53</v>
      </c>
      <c r="W212" s="592">
        <f t="shared" si="174"/>
        <v>5.53</v>
      </c>
      <c r="X212" s="592">
        <f t="shared" si="174"/>
        <v>5.53</v>
      </c>
      <c r="Y212" s="592">
        <f t="shared" si="174"/>
        <v>5.53</v>
      </c>
      <c r="Z212" s="592">
        <f t="shared" si="174"/>
        <v>5.53</v>
      </c>
      <c r="AA212" s="592">
        <f t="shared" si="174"/>
        <v>5.53</v>
      </c>
      <c r="AB212" s="592">
        <f t="shared" si="174"/>
        <v>5.53</v>
      </c>
      <c r="AC212" s="592">
        <f t="shared" si="174"/>
        <v>5.53</v>
      </c>
      <c r="AD212" s="592">
        <f t="shared" si="174"/>
        <v>5.53</v>
      </c>
      <c r="AE212" s="592">
        <f t="shared" si="174"/>
        <v>5.53</v>
      </c>
      <c r="AF212" s="592">
        <f t="shared" si="174"/>
        <v>5.53</v>
      </c>
      <c r="AH212" s="538"/>
      <c r="AK212" s="531"/>
      <c r="AM212" s="539"/>
      <c r="AN212" s="535"/>
      <c r="AP212" s="540"/>
      <c r="AQ212" s="540"/>
    </row>
    <row r="213" spans="1:43" s="513" customFormat="1" ht="16.5" hidden="1" customHeight="1" outlineLevel="2">
      <c r="A213" s="584"/>
      <c r="B213" s="572" t="s">
        <v>942</v>
      </c>
      <c r="C213" s="592">
        <f>'Sal._benef.'!$J$21</f>
        <v>56.980800000000016</v>
      </c>
      <c r="D213" s="592">
        <f>C213</f>
        <v>56.980800000000016</v>
      </c>
      <c r="E213" s="592">
        <f t="shared" si="173"/>
        <v>56.980800000000016</v>
      </c>
      <c r="F213" s="592">
        <f t="shared" si="173"/>
        <v>56.980800000000016</v>
      </c>
      <c r="G213" s="592">
        <f t="shared" si="173"/>
        <v>56.980800000000016</v>
      </c>
      <c r="H213" s="592">
        <f t="shared" si="173"/>
        <v>56.980800000000016</v>
      </c>
      <c r="I213" s="592">
        <f t="shared" si="173"/>
        <v>56.980800000000016</v>
      </c>
      <c r="J213" s="592">
        <f t="shared" si="173"/>
        <v>56.980800000000016</v>
      </c>
      <c r="K213" s="592">
        <f t="shared" si="173"/>
        <v>56.980800000000016</v>
      </c>
      <c r="L213" s="592">
        <f t="shared" si="173"/>
        <v>56.980800000000016</v>
      </c>
      <c r="M213" s="592">
        <f t="shared" si="173"/>
        <v>56.980800000000016</v>
      </c>
      <c r="N213" s="592">
        <f t="shared" si="173"/>
        <v>56.980800000000016</v>
      </c>
      <c r="O213" s="592">
        <f t="shared" si="173"/>
        <v>56.980800000000016</v>
      </c>
      <c r="P213" s="592">
        <f t="shared" si="173"/>
        <v>56.980800000000016</v>
      </c>
      <c r="Q213" s="592">
        <f t="shared" si="173"/>
        <v>56.980800000000016</v>
      </c>
      <c r="R213" s="592">
        <f t="shared" si="173"/>
        <v>56.980800000000016</v>
      </c>
      <c r="S213" s="592">
        <f t="shared" si="173"/>
        <v>56.980800000000016</v>
      </c>
      <c r="T213" s="592">
        <f t="shared" si="173"/>
        <v>56.980800000000016</v>
      </c>
      <c r="U213" s="592">
        <f t="shared" si="174"/>
        <v>56.980800000000016</v>
      </c>
      <c r="V213" s="592">
        <f t="shared" si="174"/>
        <v>56.980800000000016</v>
      </c>
      <c r="W213" s="592">
        <f t="shared" si="174"/>
        <v>56.980800000000016</v>
      </c>
      <c r="X213" s="592">
        <f t="shared" si="174"/>
        <v>56.980800000000016</v>
      </c>
      <c r="Y213" s="592">
        <f t="shared" si="174"/>
        <v>56.980800000000016</v>
      </c>
      <c r="Z213" s="592">
        <f t="shared" si="174"/>
        <v>56.980800000000016</v>
      </c>
      <c r="AA213" s="592">
        <f t="shared" si="174"/>
        <v>56.980800000000016</v>
      </c>
      <c r="AB213" s="592">
        <f t="shared" si="174"/>
        <v>56.980800000000016</v>
      </c>
      <c r="AC213" s="592">
        <f t="shared" si="174"/>
        <v>56.980800000000016</v>
      </c>
      <c r="AD213" s="592">
        <f t="shared" si="174"/>
        <v>56.980800000000016</v>
      </c>
      <c r="AE213" s="592">
        <f t="shared" si="174"/>
        <v>56.980800000000016</v>
      </c>
      <c r="AF213" s="592">
        <f t="shared" si="174"/>
        <v>56.980800000000016</v>
      </c>
      <c r="AG213" s="614"/>
      <c r="AH213" s="538"/>
      <c r="AK213" s="531"/>
      <c r="AM213" s="539"/>
      <c r="AN213" s="535"/>
      <c r="AP213" s="540"/>
      <c r="AQ213" s="540"/>
    </row>
    <row r="214" spans="1:43" s="513" customFormat="1" ht="16.5" hidden="1" customHeight="1" outlineLevel="2">
      <c r="A214" s="584"/>
      <c r="B214" s="572" t="s">
        <v>862</v>
      </c>
      <c r="C214" s="592">
        <v>0</v>
      </c>
      <c r="D214" s="592">
        <f t="shared" ref="D214" si="175">C214</f>
        <v>0</v>
      </c>
      <c r="E214" s="592">
        <f t="shared" si="173"/>
        <v>0</v>
      </c>
      <c r="F214" s="592">
        <f t="shared" si="173"/>
        <v>0</v>
      </c>
      <c r="G214" s="592">
        <f t="shared" si="173"/>
        <v>0</v>
      </c>
      <c r="H214" s="592">
        <f t="shared" si="173"/>
        <v>0</v>
      </c>
      <c r="I214" s="592">
        <f t="shared" si="173"/>
        <v>0</v>
      </c>
      <c r="J214" s="592">
        <f t="shared" si="173"/>
        <v>0</v>
      </c>
      <c r="K214" s="592">
        <f t="shared" si="173"/>
        <v>0</v>
      </c>
      <c r="L214" s="592">
        <f t="shared" si="173"/>
        <v>0</v>
      </c>
      <c r="M214" s="592">
        <f t="shared" si="173"/>
        <v>0</v>
      </c>
      <c r="N214" s="592">
        <f t="shared" si="173"/>
        <v>0</v>
      </c>
      <c r="O214" s="592">
        <f t="shared" si="173"/>
        <v>0</v>
      </c>
      <c r="P214" s="592">
        <f t="shared" si="173"/>
        <v>0</v>
      </c>
      <c r="Q214" s="592">
        <f t="shared" si="173"/>
        <v>0</v>
      </c>
      <c r="R214" s="592">
        <f t="shared" si="173"/>
        <v>0</v>
      </c>
      <c r="S214" s="592">
        <f t="shared" si="173"/>
        <v>0</v>
      </c>
      <c r="T214" s="592">
        <f t="shared" si="173"/>
        <v>0</v>
      </c>
      <c r="U214" s="592">
        <f t="shared" si="174"/>
        <v>0</v>
      </c>
      <c r="V214" s="592">
        <f t="shared" si="174"/>
        <v>0</v>
      </c>
      <c r="W214" s="592">
        <f t="shared" si="174"/>
        <v>0</v>
      </c>
      <c r="X214" s="592">
        <f t="shared" si="174"/>
        <v>0</v>
      </c>
      <c r="Y214" s="592">
        <f t="shared" si="174"/>
        <v>0</v>
      </c>
      <c r="Z214" s="592">
        <f t="shared" si="174"/>
        <v>0</v>
      </c>
      <c r="AA214" s="592">
        <f t="shared" si="174"/>
        <v>0</v>
      </c>
      <c r="AB214" s="592">
        <f t="shared" si="174"/>
        <v>0</v>
      </c>
      <c r="AC214" s="592">
        <f t="shared" si="174"/>
        <v>0</v>
      </c>
      <c r="AD214" s="592">
        <f t="shared" si="174"/>
        <v>0</v>
      </c>
      <c r="AE214" s="592">
        <f t="shared" si="174"/>
        <v>0</v>
      </c>
      <c r="AF214" s="592">
        <f t="shared" si="174"/>
        <v>0</v>
      </c>
      <c r="AH214" s="538"/>
      <c r="AK214" s="531"/>
      <c r="AM214" s="539"/>
      <c r="AN214" s="535"/>
      <c r="AP214" s="540"/>
      <c r="AQ214" s="540"/>
    </row>
    <row r="215" spans="1:43" s="546" customFormat="1" ht="16.5" hidden="1" customHeight="1" outlineLevel="2">
      <c r="A215" s="584"/>
      <c r="B215" s="613" t="s">
        <v>935</v>
      </c>
      <c r="C215" s="570">
        <f>C216*(C217+C218+C219+C220)</f>
        <v>505.53</v>
      </c>
      <c r="D215" s="570">
        <f t="shared" ref="D215:AF215" si="176">D216*(D217+D218+D219+D220)</f>
        <v>505.53</v>
      </c>
      <c r="E215" s="570">
        <f t="shared" si="176"/>
        <v>505.53</v>
      </c>
      <c r="F215" s="570">
        <f t="shared" si="176"/>
        <v>505.53</v>
      </c>
      <c r="G215" s="570">
        <f t="shared" si="176"/>
        <v>505.53</v>
      </c>
      <c r="H215" s="570">
        <f t="shared" si="176"/>
        <v>505.53</v>
      </c>
      <c r="I215" s="570">
        <f t="shared" si="176"/>
        <v>505.53</v>
      </c>
      <c r="J215" s="570">
        <f t="shared" si="176"/>
        <v>505.53</v>
      </c>
      <c r="K215" s="570">
        <f t="shared" si="176"/>
        <v>505.53</v>
      </c>
      <c r="L215" s="570">
        <f t="shared" si="176"/>
        <v>505.53</v>
      </c>
      <c r="M215" s="570">
        <f t="shared" si="176"/>
        <v>505.53</v>
      </c>
      <c r="N215" s="570">
        <f t="shared" si="176"/>
        <v>505.53</v>
      </c>
      <c r="O215" s="570">
        <f t="shared" si="176"/>
        <v>505.53</v>
      </c>
      <c r="P215" s="570">
        <f t="shared" si="176"/>
        <v>505.53</v>
      </c>
      <c r="Q215" s="570">
        <f t="shared" si="176"/>
        <v>505.53</v>
      </c>
      <c r="R215" s="570">
        <f t="shared" si="176"/>
        <v>505.53</v>
      </c>
      <c r="S215" s="570">
        <f t="shared" si="176"/>
        <v>505.53</v>
      </c>
      <c r="T215" s="570">
        <f t="shared" si="176"/>
        <v>505.53</v>
      </c>
      <c r="U215" s="570">
        <f t="shared" si="176"/>
        <v>505.53</v>
      </c>
      <c r="V215" s="570">
        <f t="shared" si="176"/>
        <v>505.53</v>
      </c>
      <c r="W215" s="570">
        <f t="shared" si="176"/>
        <v>505.53</v>
      </c>
      <c r="X215" s="570">
        <f t="shared" si="176"/>
        <v>505.53</v>
      </c>
      <c r="Y215" s="570">
        <f t="shared" si="176"/>
        <v>505.53</v>
      </c>
      <c r="Z215" s="570">
        <f t="shared" si="176"/>
        <v>505.53</v>
      </c>
      <c r="AA215" s="570">
        <f t="shared" si="176"/>
        <v>505.53</v>
      </c>
      <c r="AB215" s="570">
        <f t="shared" si="176"/>
        <v>505.53</v>
      </c>
      <c r="AC215" s="570">
        <f t="shared" si="176"/>
        <v>505.53</v>
      </c>
      <c r="AD215" s="570">
        <f t="shared" si="176"/>
        <v>505.53</v>
      </c>
      <c r="AE215" s="570">
        <f t="shared" si="176"/>
        <v>505.53</v>
      </c>
      <c r="AF215" s="570">
        <f t="shared" si="176"/>
        <v>505.53</v>
      </c>
      <c r="AH215" s="571"/>
      <c r="AK215" s="531"/>
      <c r="AM215" s="548"/>
      <c r="AN215" s="535"/>
      <c r="AP215" s="549"/>
      <c r="AQ215" s="549"/>
    </row>
    <row r="216" spans="1:43" s="586" customFormat="1" ht="16.5" hidden="1" customHeight="1" outlineLevel="2">
      <c r="A216" s="584"/>
      <c r="B216" s="585" t="s">
        <v>805</v>
      </c>
      <c r="C216" s="716">
        <f t="shared" ref="C216:AF216" si="177">C167</f>
        <v>1</v>
      </c>
      <c r="D216" s="716">
        <f t="shared" si="177"/>
        <v>1</v>
      </c>
      <c r="E216" s="716">
        <f t="shared" si="177"/>
        <v>1</v>
      </c>
      <c r="F216" s="716">
        <f t="shared" si="177"/>
        <v>1</v>
      </c>
      <c r="G216" s="716">
        <f t="shared" si="177"/>
        <v>1</v>
      </c>
      <c r="H216" s="716">
        <f t="shared" si="177"/>
        <v>1</v>
      </c>
      <c r="I216" s="716">
        <f t="shared" si="177"/>
        <v>1</v>
      </c>
      <c r="J216" s="716">
        <f t="shared" si="177"/>
        <v>1</v>
      </c>
      <c r="K216" s="716">
        <f t="shared" si="177"/>
        <v>1</v>
      </c>
      <c r="L216" s="716">
        <f t="shared" si="177"/>
        <v>1</v>
      </c>
      <c r="M216" s="716">
        <f t="shared" si="177"/>
        <v>1</v>
      </c>
      <c r="N216" s="716">
        <f t="shared" si="177"/>
        <v>1</v>
      </c>
      <c r="O216" s="716">
        <f t="shared" si="177"/>
        <v>1</v>
      </c>
      <c r="P216" s="716">
        <f t="shared" si="177"/>
        <v>1</v>
      </c>
      <c r="Q216" s="716">
        <f t="shared" si="177"/>
        <v>1</v>
      </c>
      <c r="R216" s="716">
        <f t="shared" si="177"/>
        <v>1</v>
      </c>
      <c r="S216" s="716">
        <f t="shared" si="177"/>
        <v>1</v>
      </c>
      <c r="T216" s="716">
        <f t="shared" si="177"/>
        <v>1</v>
      </c>
      <c r="U216" s="716">
        <f t="shared" si="177"/>
        <v>1</v>
      </c>
      <c r="V216" s="716">
        <f t="shared" si="177"/>
        <v>1</v>
      </c>
      <c r="W216" s="716">
        <f t="shared" si="177"/>
        <v>1</v>
      </c>
      <c r="X216" s="716">
        <f t="shared" si="177"/>
        <v>1</v>
      </c>
      <c r="Y216" s="716">
        <f t="shared" si="177"/>
        <v>1</v>
      </c>
      <c r="Z216" s="716">
        <f t="shared" si="177"/>
        <v>1</v>
      </c>
      <c r="AA216" s="716">
        <f t="shared" si="177"/>
        <v>1</v>
      </c>
      <c r="AB216" s="716">
        <f t="shared" si="177"/>
        <v>1</v>
      </c>
      <c r="AC216" s="716">
        <f t="shared" si="177"/>
        <v>1</v>
      </c>
      <c r="AD216" s="716">
        <f t="shared" si="177"/>
        <v>1</v>
      </c>
      <c r="AE216" s="716">
        <f t="shared" si="177"/>
        <v>1</v>
      </c>
      <c r="AF216" s="716">
        <f t="shared" si="177"/>
        <v>1</v>
      </c>
      <c r="AH216" s="587"/>
      <c r="AK216" s="591"/>
      <c r="AM216" s="589"/>
      <c r="AN216" s="590"/>
      <c r="AP216" s="591"/>
      <c r="AQ216" s="591"/>
    </row>
    <row r="217" spans="1:43" s="513" customFormat="1" ht="16.5" hidden="1" customHeight="1" outlineLevel="2">
      <c r="A217" s="584"/>
      <c r="B217" s="572" t="s">
        <v>940</v>
      </c>
      <c r="C217" s="592">
        <f>'Sal._benef.'!$I$20</f>
        <v>500</v>
      </c>
      <c r="D217" s="592">
        <f>C217</f>
        <v>500</v>
      </c>
      <c r="E217" s="592">
        <f t="shared" ref="E217:T220" si="178">D217</f>
        <v>500</v>
      </c>
      <c r="F217" s="592">
        <f t="shared" si="178"/>
        <v>500</v>
      </c>
      <c r="G217" s="592">
        <f t="shared" si="178"/>
        <v>500</v>
      </c>
      <c r="H217" s="592">
        <f t="shared" si="178"/>
        <v>500</v>
      </c>
      <c r="I217" s="592">
        <f t="shared" si="178"/>
        <v>500</v>
      </c>
      <c r="J217" s="592">
        <f t="shared" si="178"/>
        <v>500</v>
      </c>
      <c r="K217" s="592">
        <f t="shared" si="178"/>
        <v>500</v>
      </c>
      <c r="L217" s="592">
        <f t="shared" si="178"/>
        <v>500</v>
      </c>
      <c r="M217" s="592">
        <f t="shared" si="178"/>
        <v>500</v>
      </c>
      <c r="N217" s="592">
        <f t="shared" si="178"/>
        <v>500</v>
      </c>
      <c r="O217" s="592">
        <f t="shared" si="178"/>
        <v>500</v>
      </c>
      <c r="P217" s="592">
        <f t="shared" si="178"/>
        <v>500</v>
      </c>
      <c r="Q217" s="592">
        <f t="shared" si="178"/>
        <v>500</v>
      </c>
      <c r="R217" s="592">
        <f t="shared" si="178"/>
        <v>500</v>
      </c>
      <c r="S217" s="592">
        <f t="shared" si="178"/>
        <v>500</v>
      </c>
      <c r="T217" s="592">
        <f t="shared" si="178"/>
        <v>500</v>
      </c>
      <c r="U217" s="592">
        <f t="shared" ref="U217:AF220" si="179">T217</f>
        <v>500</v>
      </c>
      <c r="V217" s="592">
        <f t="shared" si="179"/>
        <v>500</v>
      </c>
      <c r="W217" s="592">
        <f t="shared" si="179"/>
        <v>500</v>
      </c>
      <c r="X217" s="592">
        <f t="shared" si="179"/>
        <v>500</v>
      </c>
      <c r="Y217" s="592">
        <f t="shared" si="179"/>
        <v>500</v>
      </c>
      <c r="Z217" s="592">
        <f t="shared" si="179"/>
        <v>500</v>
      </c>
      <c r="AA217" s="592">
        <f t="shared" si="179"/>
        <v>500</v>
      </c>
      <c r="AB217" s="592">
        <f t="shared" si="179"/>
        <v>500</v>
      </c>
      <c r="AC217" s="592">
        <f t="shared" si="179"/>
        <v>500</v>
      </c>
      <c r="AD217" s="592">
        <f t="shared" si="179"/>
        <v>500</v>
      </c>
      <c r="AE217" s="592">
        <f t="shared" si="179"/>
        <v>500</v>
      </c>
      <c r="AF217" s="592">
        <f t="shared" si="179"/>
        <v>500</v>
      </c>
      <c r="AH217" s="538"/>
      <c r="AK217" s="531"/>
      <c r="AM217" s="539"/>
      <c r="AN217" s="535"/>
      <c r="AP217" s="540"/>
      <c r="AQ217" s="540"/>
    </row>
    <row r="218" spans="1:43" s="513" customFormat="1" ht="16.5" hidden="1" customHeight="1" outlineLevel="2">
      <c r="A218" s="584"/>
      <c r="B218" s="572" t="s">
        <v>941</v>
      </c>
      <c r="C218" s="592">
        <f>'Sal._benef.'!$K$20</f>
        <v>5.53</v>
      </c>
      <c r="D218" s="592">
        <f>C218</f>
        <v>5.53</v>
      </c>
      <c r="E218" s="592">
        <f t="shared" si="178"/>
        <v>5.53</v>
      </c>
      <c r="F218" s="592">
        <f t="shared" si="178"/>
        <v>5.53</v>
      </c>
      <c r="G218" s="592">
        <f t="shared" si="178"/>
        <v>5.53</v>
      </c>
      <c r="H218" s="592">
        <f t="shared" si="178"/>
        <v>5.53</v>
      </c>
      <c r="I218" s="592">
        <f t="shared" si="178"/>
        <v>5.53</v>
      </c>
      <c r="J218" s="592">
        <f t="shared" si="178"/>
        <v>5.53</v>
      </c>
      <c r="K218" s="592">
        <f t="shared" si="178"/>
        <v>5.53</v>
      </c>
      <c r="L218" s="592">
        <f t="shared" si="178"/>
        <v>5.53</v>
      </c>
      <c r="M218" s="592">
        <f t="shared" si="178"/>
        <v>5.53</v>
      </c>
      <c r="N218" s="592">
        <f t="shared" si="178"/>
        <v>5.53</v>
      </c>
      <c r="O218" s="592">
        <f t="shared" si="178"/>
        <v>5.53</v>
      </c>
      <c r="P218" s="592">
        <f t="shared" si="178"/>
        <v>5.53</v>
      </c>
      <c r="Q218" s="592">
        <f t="shared" si="178"/>
        <v>5.53</v>
      </c>
      <c r="R218" s="592">
        <f t="shared" si="178"/>
        <v>5.53</v>
      </c>
      <c r="S218" s="592">
        <f t="shared" si="178"/>
        <v>5.53</v>
      </c>
      <c r="T218" s="592">
        <f t="shared" si="178"/>
        <v>5.53</v>
      </c>
      <c r="U218" s="592">
        <f t="shared" si="179"/>
        <v>5.53</v>
      </c>
      <c r="V218" s="592">
        <f t="shared" si="179"/>
        <v>5.53</v>
      </c>
      <c r="W218" s="592">
        <f t="shared" si="179"/>
        <v>5.53</v>
      </c>
      <c r="X218" s="592">
        <f t="shared" si="179"/>
        <v>5.53</v>
      </c>
      <c r="Y218" s="592">
        <f t="shared" si="179"/>
        <v>5.53</v>
      </c>
      <c r="Z218" s="592">
        <f t="shared" si="179"/>
        <v>5.53</v>
      </c>
      <c r="AA218" s="592">
        <f t="shared" si="179"/>
        <v>5.53</v>
      </c>
      <c r="AB218" s="592">
        <f t="shared" si="179"/>
        <v>5.53</v>
      </c>
      <c r="AC218" s="592">
        <f t="shared" si="179"/>
        <v>5.53</v>
      </c>
      <c r="AD218" s="592">
        <f t="shared" si="179"/>
        <v>5.53</v>
      </c>
      <c r="AE218" s="592">
        <f t="shared" si="179"/>
        <v>5.53</v>
      </c>
      <c r="AF218" s="592">
        <f t="shared" si="179"/>
        <v>5.53</v>
      </c>
      <c r="AH218" s="538"/>
      <c r="AK218" s="531"/>
      <c r="AM218" s="539"/>
      <c r="AN218" s="535"/>
      <c r="AP218" s="540"/>
      <c r="AQ218" s="540"/>
    </row>
    <row r="219" spans="1:43" s="513" customFormat="1" ht="16.5" hidden="1" customHeight="1" outlineLevel="2">
      <c r="A219" s="584"/>
      <c r="B219" s="572" t="s">
        <v>942</v>
      </c>
      <c r="C219" s="592">
        <f>'Sal._benef.'!$J$20</f>
        <v>0</v>
      </c>
      <c r="D219" s="592">
        <f>C219</f>
        <v>0</v>
      </c>
      <c r="E219" s="592">
        <f t="shared" si="178"/>
        <v>0</v>
      </c>
      <c r="F219" s="592">
        <f t="shared" si="178"/>
        <v>0</v>
      </c>
      <c r="G219" s="592">
        <f t="shared" si="178"/>
        <v>0</v>
      </c>
      <c r="H219" s="592">
        <f t="shared" si="178"/>
        <v>0</v>
      </c>
      <c r="I219" s="592">
        <f t="shared" si="178"/>
        <v>0</v>
      </c>
      <c r="J219" s="592">
        <f t="shared" si="178"/>
        <v>0</v>
      </c>
      <c r="K219" s="592">
        <f t="shared" si="178"/>
        <v>0</v>
      </c>
      <c r="L219" s="592">
        <f t="shared" si="178"/>
        <v>0</v>
      </c>
      <c r="M219" s="592">
        <f t="shared" si="178"/>
        <v>0</v>
      </c>
      <c r="N219" s="592">
        <f t="shared" si="178"/>
        <v>0</v>
      </c>
      <c r="O219" s="592">
        <f t="shared" si="178"/>
        <v>0</v>
      </c>
      <c r="P219" s="592">
        <f t="shared" si="178"/>
        <v>0</v>
      </c>
      <c r="Q219" s="592">
        <f t="shared" si="178"/>
        <v>0</v>
      </c>
      <c r="R219" s="592">
        <f t="shared" si="178"/>
        <v>0</v>
      </c>
      <c r="S219" s="592">
        <f t="shared" si="178"/>
        <v>0</v>
      </c>
      <c r="T219" s="592">
        <f t="shared" si="178"/>
        <v>0</v>
      </c>
      <c r="U219" s="592">
        <f t="shared" si="179"/>
        <v>0</v>
      </c>
      <c r="V219" s="592">
        <f t="shared" si="179"/>
        <v>0</v>
      </c>
      <c r="W219" s="592">
        <f t="shared" si="179"/>
        <v>0</v>
      </c>
      <c r="X219" s="592">
        <f t="shared" si="179"/>
        <v>0</v>
      </c>
      <c r="Y219" s="592">
        <f t="shared" si="179"/>
        <v>0</v>
      </c>
      <c r="Z219" s="592">
        <f t="shared" si="179"/>
        <v>0</v>
      </c>
      <c r="AA219" s="592">
        <f t="shared" si="179"/>
        <v>0</v>
      </c>
      <c r="AB219" s="592">
        <f t="shared" si="179"/>
        <v>0</v>
      </c>
      <c r="AC219" s="592">
        <f t="shared" si="179"/>
        <v>0</v>
      </c>
      <c r="AD219" s="592">
        <f t="shared" si="179"/>
        <v>0</v>
      </c>
      <c r="AE219" s="592">
        <f t="shared" si="179"/>
        <v>0</v>
      </c>
      <c r="AF219" s="592">
        <f t="shared" si="179"/>
        <v>0</v>
      </c>
      <c r="AG219" s="614"/>
      <c r="AH219" s="538"/>
      <c r="AK219" s="531"/>
      <c r="AM219" s="539"/>
      <c r="AN219" s="535"/>
      <c r="AP219" s="540"/>
      <c r="AQ219" s="540"/>
    </row>
    <row r="220" spans="1:43" s="513" customFormat="1" ht="16.5" hidden="1" customHeight="1" outlineLevel="2">
      <c r="A220" s="584"/>
      <c r="B220" s="572" t="s">
        <v>862</v>
      </c>
      <c r="C220" s="592">
        <v>0</v>
      </c>
      <c r="D220" s="592">
        <f t="shared" ref="D220" si="180">C220</f>
        <v>0</v>
      </c>
      <c r="E220" s="592">
        <f t="shared" si="178"/>
        <v>0</v>
      </c>
      <c r="F220" s="592">
        <f t="shared" si="178"/>
        <v>0</v>
      </c>
      <c r="G220" s="592">
        <f t="shared" si="178"/>
        <v>0</v>
      </c>
      <c r="H220" s="592">
        <f t="shared" si="178"/>
        <v>0</v>
      </c>
      <c r="I220" s="592">
        <f t="shared" si="178"/>
        <v>0</v>
      </c>
      <c r="J220" s="592">
        <f t="shared" si="178"/>
        <v>0</v>
      </c>
      <c r="K220" s="592">
        <f t="shared" si="178"/>
        <v>0</v>
      </c>
      <c r="L220" s="592">
        <f t="shared" si="178"/>
        <v>0</v>
      </c>
      <c r="M220" s="592">
        <f t="shared" si="178"/>
        <v>0</v>
      </c>
      <c r="N220" s="592">
        <f t="shared" si="178"/>
        <v>0</v>
      </c>
      <c r="O220" s="592">
        <f t="shared" si="178"/>
        <v>0</v>
      </c>
      <c r="P220" s="592">
        <f t="shared" si="178"/>
        <v>0</v>
      </c>
      <c r="Q220" s="592">
        <f t="shared" si="178"/>
        <v>0</v>
      </c>
      <c r="R220" s="592">
        <f t="shared" si="178"/>
        <v>0</v>
      </c>
      <c r="S220" s="592">
        <f t="shared" si="178"/>
        <v>0</v>
      </c>
      <c r="T220" s="592">
        <f t="shared" si="178"/>
        <v>0</v>
      </c>
      <c r="U220" s="592">
        <f t="shared" si="179"/>
        <v>0</v>
      </c>
      <c r="V220" s="592">
        <f t="shared" si="179"/>
        <v>0</v>
      </c>
      <c r="W220" s="592">
        <f t="shared" si="179"/>
        <v>0</v>
      </c>
      <c r="X220" s="592">
        <f t="shared" si="179"/>
        <v>0</v>
      </c>
      <c r="Y220" s="592">
        <f t="shared" si="179"/>
        <v>0</v>
      </c>
      <c r="Z220" s="592">
        <f t="shared" si="179"/>
        <v>0</v>
      </c>
      <c r="AA220" s="592">
        <f t="shared" si="179"/>
        <v>0</v>
      </c>
      <c r="AB220" s="592">
        <f t="shared" si="179"/>
        <v>0</v>
      </c>
      <c r="AC220" s="592">
        <f t="shared" si="179"/>
        <v>0</v>
      </c>
      <c r="AD220" s="592">
        <f t="shared" si="179"/>
        <v>0</v>
      </c>
      <c r="AE220" s="592">
        <f t="shared" si="179"/>
        <v>0</v>
      </c>
      <c r="AF220" s="592">
        <f t="shared" si="179"/>
        <v>0</v>
      </c>
      <c r="AH220" s="538"/>
      <c r="AK220" s="531"/>
      <c r="AM220" s="539"/>
      <c r="AN220" s="535"/>
      <c r="AP220" s="540"/>
      <c r="AQ220" s="540"/>
    </row>
    <row r="221" spans="1:43" ht="3" hidden="1" customHeight="1" outlineLevel="2">
      <c r="A221" s="584"/>
      <c r="B221" s="609"/>
      <c r="C221" s="611"/>
      <c r="D221" s="611"/>
      <c r="E221" s="610"/>
      <c r="F221" s="610"/>
      <c r="G221" s="610"/>
      <c r="H221" s="610"/>
      <c r="I221" s="610"/>
      <c r="J221" s="610"/>
      <c r="K221" s="610"/>
      <c r="L221" s="610"/>
      <c r="M221" s="610"/>
      <c r="N221" s="610"/>
      <c r="O221" s="610"/>
      <c r="P221" s="610"/>
      <c r="Q221" s="610"/>
      <c r="R221" s="610"/>
      <c r="S221" s="610"/>
      <c r="T221" s="610"/>
      <c r="U221" s="610"/>
      <c r="V221" s="610"/>
      <c r="W221" s="610"/>
      <c r="X221" s="610"/>
      <c r="Y221" s="610"/>
      <c r="Z221" s="610"/>
      <c r="AA221" s="610"/>
      <c r="AB221" s="610"/>
      <c r="AC221" s="610"/>
      <c r="AD221" s="610"/>
      <c r="AE221" s="610"/>
      <c r="AF221" s="610"/>
      <c r="AH221" s="593"/>
      <c r="AK221" s="531"/>
      <c r="AM221" s="594"/>
      <c r="AN221" s="535"/>
      <c r="AP221" s="535"/>
      <c r="AQ221" s="535"/>
    </row>
    <row r="222" spans="1:43" s="564" customFormat="1" ht="16.5" hidden="1" customHeight="1" outlineLevel="1" collapsed="1">
      <c r="A222" s="584"/>
      <c r="B222" s="576" t="s">
        <v>943</v>
      </c>
      <c r="C222" s="577">
        <f>SUM(C223,C226,C229,C232,C235,C238,C241)/10^3</f>
        <v>139.20859000000002</v>
      </c>
      <c r="D222" s="577">
        <f t="shared" ref="D222:AF222" si="181">SUM(D223,D226,D229,D232,D235,D238,D241)/10^3</f>
        <v>139.20859000000002</v>
      </c>
      <c r="E222" s="577">
        <f t="shared" si="181"/>
        <v>139.20859000000002</v>
      </c>
      <c r="F222" s="577">
        <f t="shared" si="181"/>
        <v>139.20859000000002</v>
      </c>
      <c r="G222" s="577">
        <f t="shared" si="181"/>
        <v>139.20859000000002</v>
      </c>
      <c r="H222" s="577">
        <f t="shared" si="181"/>
        <v>139.20859000000002</v>
      </c>
      <c r="I222" s="577">
        <f t="shared" si="181"/>
        <v>139.20859000000002</v>
      </c>
      <c r="J222" s="577">
        <f t="shared" si="181"/>
        <v>139.20859000000002</v>
      </c>
      <c r="K222" s="577">
        <f t="shared" si="181"/>
        <v>139.20859000000002</v>
      </c>
      <c r="L222" s="577">
        <f t="shared" si="181"/>
        <v>139.20859000000002</v>
      </c>
      <c r="M222" s="577">
        <f t="shared" si="181"/>
        <v>139.20859000000002</v>
      </c>
      <c r="N222" s="577">
        <f t="shared" si="181"/>
        <v>139.20859000000002</v>
      </c>
      <c r="O222" s="577">
        <f t="shared" si="181"/>
        <v>139.20859000000002</v>
      </c>
      <c r="P222" s="577">
        <f t="shared" si="181"/>
        <v>139.20859000000002</v>
      </c>
      <c r="Q222" s="577">
        <f t="shared" si="181"/>
        <v>139.20859000000002</v>
      </c>
      <c r="R222" s="577">
        <f t="shared" si="181"/>
        <v>139.20859000000002</v>
      </c>
      <c r="S222" s="577">
        <f t="shared" si="181"/>
        <v>139.20859000000002</v>
      </c>
      <c r="T222" s="577">
        <f t="shared" si="181"/>
        <v>139.20859000000002</v>
      </c>
      <c r="U222" s="577">
        <f t="shared" si="181"/>
        <v>162.51051000000001</v>
      </c>
      <c r="V222" s="577">
        <f t="shared" si="181"/>
        <v>162.51051000000001</v>
      </c>
      <c r="W222" s="577">
        <f t="shared" si="181"/>
        <v>162.51051000000001</v>
      </c>
      <c r="X222" s="577">
        <f t="shared" si="181"/>
        <v>162.51051000000001</v>
      </c>
      <c r="Y222" s="577">
        <f t="shared" si="181"/>
        <v>162.51051000000001</v>
      </c>
      <c r="Z222" s="577">
        <f t="shared" si="181"/>
        <v>162.51051000000001</v>
      </c>
      <c r="AA222" s="577">
        <f t="shared" si="181"/>
        <v>162.51051000000001</v>
      </c>
      <c r="AB222" s="577">
        <f t="shared" si="181"/>
        <v>162.51051000000001</v>
      </c>
      <c r="AC222" s="577">
        <f t="shared" si="181"/>
        <v>162.51051000000001</v>
      </c>
      <c r="AD222" s="577">
        <f t="shared" si="181"/>
        <v>162.51051000000001</v>
      </c>
      <c r="AE222" s="577">
        <f t="shared" si="181"/>
        <v>162.51051000000001</v>
      </c>
      <c r="AF222" s="577">
        <f t="shared" si="181"/>
        <v>162.51051000000001</v>
      </c>
      <c r="AH222" s="578">
        <f>SUM(C222:AF222)</f>
        <v>4455.8807400000005</v>
      </c>
      <c r="AJ222" s="579"/>
      <c r="AK222" s="531"/>
      <c r="AM222" s="567"/>
      <c r="AN222" s="535"/>
      <c r="AP222" s="568"/>
      <c r="AQ222" s="568"/>
    </row>
    <row r="223" spans="1:43" s="546" customFormat="1" ht="16.5" hidden="1" customHeight="1" outlineLevel="2">
      <c r="A223" s="584"/>
      <c r="B223" s="613" t="s">
        <v>927</v>
      </c>
      <c r="C223" s="570">
        <f>C224*C225</f>
        <v>21463.68</v>
      </c>
      <c r="D223" s="570">
        <f t="shared" ref="D223:AF223" si="182">D224*D225</f>
        <v>21463.68</v>
      </c>
      <c r="E223" s="570">
        <f t="shared" si="182"/>
        <v>21463.68</v>
      </c>
      <c r="F223" s="570">
        <f t="shared" si="182"/>
        <v>21463.68</v>
      </c>
      <c r="G223" s="570">
        <f t="shared" si="182"/>
        <v>21463.68</v>
      </c>
      <c r="H223" s="570">
        <f t="shared" si="182"/>
        <v>21463.68</v>
      </c>
      <c r="I223" s="570">
        <f t="shared" si="182"/>
        <v>21463.68</v>
      </c>
      <c r="J223" s="570">
        <f t="shared" si="182"/>
        <v>21463.68</v>
      </c>
      <c r="K223" s="570">
        <f t="shared" si="182"/>
        <v>21463.68</v>
      </c>
      <c r="L223" s="570">
        <f t="shared" si="182"/>
        <v>21463.68</v>
      </c>
      <c r="M223" s="570">
        <f t="shared" si="182"/>
        <v>21463.68</v>
      </c>
      <c r="N223" s="570">
        <f t="shared" si="182"/>
        <v>21463.68</v>
      </c>
      <c r="O223" s="570">
        <f t="shared" si="182"/>
        <v>21463.68</v>
      </c>
      <c r="P223" s="570">
        <f t="shared" si="182"/>
        <v>21463.68</v>
      </c>
      <c r="Q223" s="570">
        <f t="shared" si="182"/>
        <v>21463.68</v>
      </c>
      <c r="R223" s="570">
        <f t="shared" si="182"/>
        <v>21463.68</v>
      </c>
      <c r="S223" s="570">
        <f t="shared" si="182"/>
        <v>21463.68</v>
      </c>
      <c r="T223" s="570">
        <f t="shared" si="182"/>
        <v>21463.68</v>
      </c>
      <c r="U223" s="570">
        <f t="shared" si="182"/>
        <v>24146.639999999999</v>
      </c>
      <c r="V223" s="570">
        <f t="shared" si="182"/>
        <v>24146.639999999999</v>
      </c>
      <c r="W223" s="570">
        <f t="shared" si="182"/>
        <v>24146.639999999999</v>
      </c>
      <c r="X223" s="570">
        <f t="shared" si="182"/>
        <v>24146.639999999999</v>
      </c>
      <c r="Y223" s="570">
        <f t="shared" si="182"/>
        <v>24146.639999999999</v>
      </c>
      <c r="Z223" s="570">
        <f t="shared" si="182"/>
        <v>24146.639999999999</v>
      </c>
      <c r="AA223" s="570">
        <f t="shared" si="182"/>
        <v>24146.639999999999</v>
      </c>
      <c r="AB223" s="570">
        <f t="shared" si="182"/>
        <v>24146.639999999999</v>
      </c>
      <c r="AC223" s="570">
        <f t="shared" si="182"/>
        <v>24146.639999999999</v>
      </c>
      <c r="AD223" s="570">
        <f t="shared" si="182"/>
        <v>24146.639999999999</v>
      </c>
      <c r="AE223" s="570">
        <f t="shared" si="182"/>
        <v>24146.639999999999</v>
      </c>
      <c r="AF223" s="570">
        <f t="shared" si="182"/>
        <v>24146.639999999999</v>
      </c>
      <c r="AH223" s="571"/>
      <c r="AK223" s="531"/>
      <c r="AM223" s="548"/>
      <c r="AN223" s="535"/>
      <c r="AP223" s="549"/>
      <c r="AQ223" s="549"/>
    </row>
    <row r="224" spans="1:43" s="586" customFormat="1" ht="16.5" hidden="1" customHeight="1" outlineLevel="2">
      <c r="A224" s="584"/>
      <c r="B224" s="585" t="s">
        <v>805</v>
      </c>
      <c r="C224" s="716">
        <f t="shared" ref="C224:AF224" si="183">C125</f>
        <v>8</v>
      </c>
      <c r="D224" s="716">
        <f t="shared" si="183"/>
        <v>8</v>
      </c>
      <c r="E224" s="716">
        <f t="shared" si="183"/>
        <v>8</v>
      </c>
      <c r="F224" s="716">
        <f t="shared" si="183"/>
        <v>8</v>
      </c>
      <c r="G224" s="716">
        <f t="shared" si="183"/>
        <v>8</v>
      </c>
      <c r="H224" s="716">
        <f t="shared" si="183"/>
        <v>8</v>
      </c>
      <c r="I224" s="716">
        <f t="shared" si="183"/>
        <v>8</v>
      </c>
      <c r="J224" s="716">
        <f t="shared" si="183"/>
        <v>8</v>
      </c>
      <c r="K224" s="716">
        <f t="shared" si="183"/>
        <v>8</v>
      </c>
      <c r="L224" s="716">
        <f t="shared" si="183"/>
        <v>8</v>
      </c>
      <c r="M224" s="716">
        <f t="shared" si="183"/>
        <v>8</v>
      </c>
      <c r="N224" s="716">
        <f t="shared" si="183"/>
        <v>8</v>
      </c>
      <c r="O224" s="716">
        <f t="shared" si="183"/>
        <v>8</v>
      </c>
      <c r="P224" s="716">
        <f t="shared" si="183"/>
        <v>8</v>
      </c>
      <c r="Q224" s="716">
        <f t="shared" si="183"/>
        <v>8</v>
      </c>
      <c r="R224" s="716">
        <f t="shared" si="183"/>
        <v>8</v>
      </c>
      <c r="S224" s="716">
        <f t="shared" si="183"/>
        <v>8</v>
      </c>
      <c r="T224" s="716">
        <f t="shared" si="183"/>
        <v>8</v>
      </c>
      <c r="U224" s="716">
        <f t="shared" si="183"/>
        <v>9</v>
      </c>
      <c r="V224" s="716">
        <f t="shared" si="183"/>
        <v>9</v>
      </c>
      <c r="W224" s="716">
        <f t="shared" si="183"/>
        <v>9</v>
      </c>
      <c r="X224" s="716">
        <f t="shared" si="183"/>
        <v>9</v>
      </c>
      <c r="Y224" s="716">
        <f t="shared" si="183"/>
        <v>9</v>
      </c>
      <c r="Z224" s="716">
        <f t="shared" si="183"/>
        <v>9</v>
      </c>
      <c r="AA224" s="716">
        <f t="shared" si="183"/>
        <v>9</v>
      </c>
      <c r="AB224" s="716">
        <f t="shared" si="183"/>
        <v>9</v>
      </c>
      <c r="AC224" s="716">
        <f t="shared" si="183"/>
        <v>9</v>
      </c>
      <c r="AD224" s="716">
        <f t="shared" si="183"/>
        <v>9</v>
      </c>
      <c r="AE224" s="716">
        <f t="shared" si="183"/>
        <v>9</v>
      </c>
      <c r="AF224" s="716">
        <f t="shared" si="183"/>
        <v>9</v>
      </c>
      <c r="AH224" s="587"/>
      <c r="AK224" s="591"/>
      <c r="AM224" s="589"/>
      <c r="AN224" s="590"/>
      <c r="AP224" s="591"/>
      <c r="AQ224" s="591"/>
    </row>
    <row r="225" spans="1:43" s="513" customFormat="1" ht="16.5" hidden="1" customHeight="1" outlineLevel="2">
      <c r="A225" s="584"/>
      <c r="B225" s="572" t="s">
        <v>888</v>
      </c>
      <c r="C225" s="592">
        <f>EPIs_unif.!$D$16+EPIs_unif.!$D$42</f>
        <v>2682.96</v>
      </c>
      <c r="D225" s="592">
        <f>C225</f>
        <v>2682.96</v>
      </c>
      <c r="E225" s="592">
        <f t="shared" ref="E225:AF225" si="184">D225</f>
        <v>2682.96</v>
      </c>
      <c r="F225" s="592">
        <f t="shared" si="184"/>
        <v>2682.96</v>
      </c>
      <c r="G225" s="592">
        <f t="shared" si="184"/>
        <v>2682.96</v>
      </c>
      <c r="H225" s="592">
        <f t="shared" si="184"/>
        <v>2682.96</v>
      </c>
      <c r="I225" s="592">
        <f t="shared" si="184"/>
        <v>2682.96</v>
      </c>
      <c r="J225" s="592">
        <f t="shared" si="184"/>
        <v>2682.96</v>
      </c>
      <c r="K225" s="592">
        <f t="shared" si="184"/>
        <v>2682.96</v>
      </c>
      <c r="L225" s="592">
        <f t="shared" si="184"/>
        <v>2682.96</v>
      </c>
      <c r="M225" s="592">
        <f t="shared" si="184"/>
        <v>2682.96</v>
      </c>
      <c r="N225" s="592">
        <f t="shared" si="184"/>
        <v>2682.96</v>
      </c>
      <c r="O225" s="592">
        <f t="shared" si="184"/>
        <v>2682.96</v>
      </c>
      <c r="P225" s="592">
        <f t="shared" si="184"/>
        <v>2682.96</v>
      </c>
      <c r="Q225" s="592">
        <f t="shared" si="184"/>
        <v>2682.96</v>
      </c>
      <c r="R225" s="592">
        <f t="shared" si="184"/>
        <v>2682.96</v>
      </c>
      <c r="S225" s="592">
        <f t="shared" si="184"/>
        <v>2682.96</v>
      </c>
      <c r="T225" s="592">
        <f t="shared" si="184"/>
        <v>2682.96</v>
      </c>
      <c r="U225" s="592">
        <f t="shared" si="184"/>
        <v>2682.96</v>
      </c>
      <c r="V225" s="592">
        <f t="shared" si="184"/>
        <v>2682.96</v>
      </c>
      <c r="W225" s="592">
        <f t="shared" si="184"/>
        <v>2682.96</v>
      </c>
      <c r="X225" s="592">
        <f t="shared" si="184"/>
        <v>2682.96</v>
      </c>
      <c r="Y225" s="592">
        <f t="shared" si="184"/>
        <v>2682.96</v>
      </c>
      <c r="Z225" s="592">
        <f t="shared" si="184"/>
        <v>2682.96</v>
      </c>
      <c r="AA225" s="592">
        <f t="shared" si="184"/>
        <v>2682.96</v>
      </c>
      <c r="AB225" s="592">
        <f t="shared" si="184"/>
        <v>2682.96</v>
      </c>
      <c r="AC225" s="592">
        <f t="shared" si="184"/>
        <v>2682.96</v>
      </c>
      <c r="AD225" s="592">
        <f t="shared" si="184"/>
        <v>2682.96</v>
      </c>
      <c r="AE225" s="592">
        <f t="shared" si="184"/>
        <v>2682.96</v>
      </c>
      <c r="AF225" s="592">
        <f t="shared" si="184"/>
        <v>2682.96</v>
      </c>
      <c r="AH225" s="538"/>
      <c r="AK225" s="531"/>
      <c r="AM225" s="539"/>
      <c r="AN225" s="535"/>
      <c r="AP225" s="540"/>
      <c r="AQ225" s="540"/>
    </row>
    <row r="226" spans="1:43" s="546" customFormat="1" ht="16.5" hidden="1" customHeight="1" outlineLevel="2">
      <c r="A226" s="584"/>
      <c r="B226" s="613" t="s">
        <v>930</v>
      </c>
      <c r="C226" s="570">
        <f>C227*C228</f>
        <v>0</v>
      </c>
      <c r="D226" s="570">
        <f t="shared" ref="D226:AF226" si="185">D227*D228</f>
        <v>0</v>
      </c>
      <c r="E226" s="570">
        <f t="shared" si="185"/>
        <v>0</v>
      </c>
      <c r="F226" s="570">
        <f t="shared" si="185"/>
        <v>0</v>
      </c>
      <c r="G226" s="570">
        <f t="shared" si="185"/>
        <v>0</v>
      </c>
      <c r="H226" s="570">
        <f t="shared" si="185"/>
        <v>0</v>
      </c>
      <c r="I226" s="570">
        <f t="shared" si="185"/>
        <v>0</v>
      </c>
      <c r="J226" s="570">
        <f t="shared" si="185"/>
        <v>0</v>
      </c>
      <c r="K226" s="570">
        <f t="shared" si="185"/>
        <v>0</v>
      </c>
      <c r="L226" s="570">
        <f t="shared" si="185"/>
        <v>0</v>
      </c>
      <c r="M226" s="570">
        <f t="shared" si="185"/>
        <v>0</v>
      </c>
      <c r="N226" s="570">
        <f t="shared" si="185"/>
        <v>0</v>
      </c>
      <c r="O226" s="570">
        <f t="shared" si="185"/>
        <v>0</v>
      </c>
      <c r="P226" s="570">
        <f t="shared" si="185"/>
        <v>0</v>
      </c>
      <c r="Q226" s="570">
        <f t="shared" si="185"/>
        <v>0</v>
      </c>
      <c r="R226" s="570">
        <f t="shared" si="185"/>
        <v>0</v>
      </c>
      <c r="S226" s="570">
        <f t="shared" si="185"/>
        <v>0</v>
      </c>
      <c r="T226" s="570">
        <f t="shared" si="185"/>
        <v>0</v>
      </c>
      <c r="U226" s="570">
        <f t="shared" si="185"/>
        <v>0</v>
      </c>
      <c r="V226" s="570">
        <f t="shared" si="185"/>
        <v>0</v>
      </c>
      <c r="W226" s="570">
        <f t="shared" si="185"/>
        <v>0</v>
      </c>
      <c r="X226" s="570">
        <f t="shared" si="185"/>
        <v>0</v>
      </c>
      <c r="Y226" s="570">
        <f t="shared" si="185"/>
        <v>0</v>
      </c>
      <c r="Z226" s="570">
        <f t="shared" si="185"/>
        <v>0</v>
      </c>
      <c r="AA226" s="570">
        <f t="shared" si="185"/>
        <v>0</v>
      </c>
      <c r="AB226" s="570">
        <f t="shared" si="185"/>
        <v>0</v>
      </c>
      <c r="AC226" s="570">
        <f t="shared" si="185"/>
        <v>0</v>
      </c>
      <c r="AD226" s="570">
        <f t="shared" si="185"/>
        <v>0</v>
      </c>
      <c r="AE226" s="570">
        <f t="shared" si="185"/>
        <v>0</v>
      </c>
      <c r="AF226" s="570">
        <f t="shared" si="185"/>
        <v>0</v>
      </c>
      <c r="AH226" s="571"/>
      <c r="AK226" s="531"/>
      <c r="AM226" s="548"/>
      <c r="AN226" s="535"/>
      <c r="AP226" s="549"/>
      <c r="AQ226" s="549"/>
    </row>
    <row r="227" spans="1:43" s="586" customFormat="1" ht="16.5" hidden="1" customHeight="1" outlineLevel="2">
      <c r="A227" s="584"/>
      <c r="B227" s="585" t="s">
        <v>805</v>
      </c>
      <c r="C227" s="716">
        <f t="shared" ref="C227:AF227" si="186">C132</f>
        <v>0</v>
      </c>
      <c r="D227" s="716">
        <f t="shared" si="186"/>
        <v>0</v>
      </c>
      <c r="E227" s="716">
        <f t="shared" si="186"/>
        <v>0</v>
      </c>
      <c r="F227" s="716">
        <f t="shared" si="186"/>
        <v>0</v>
      </c>
      <c r="G227" s="716">
        <f t="shared" si="186"/>
        <v>0</v>
      </c>
      <c r="H227" s="716">
        <f t="shared" si="186"/>
        <v>0</v>
      </c>
      <c r="I227" s="716">
        <f t="shared" si="186"/>
        <v>0</v>
      </c>
      <c r="J227" s="716">
        <f t="shared" si="186"/>
        <v>0</v>
      </c>
      <c r="K227" s="716">
        <f t="shared" si="186"/>
        <v>0</v>
      </c>
      <c r="L227" s="716">
        <f t="shared" si="186"/>
        <v>0</v>
      </c>
      <c r="M227" s="716">
        <f t="shared" si="186"/>
        <v>0</v>
      </c>
      <c r="N227" s="716">
        <f t="shared" si="186"/>
        <v>0</v>
      </c>
      <c r="O227" s="716">
        <f t="shared" si="186"/>
        <v>0</v>
      </c>
      <c r="P227" s="716">
        <f t="shared" si="186"/>
        <v>0</v>
      </c>
      <c r="Q227" s="716">
        <f t="shared" si="186"/>
        <v>0</v>
      </c>
      <c r="R227" s="716">
        <f t="shared" si="186"/>
        <v>0</v>
      </c>
      <c r="S227" s="716">
        <f t="shared" si="186"/>
        <v>0</v>
      </c>
      <c r="T227" s="716">
        <f t="shared" si="186"/>
        <v>0</v>
      </c>
      <c r="U227" s="716">
        <f t="shared" si="186"/>
        <v>0</v>
      </c>
      <c r="V227" s="716">
        <f t="shared" si="186"/>
        <v>0</v>
      </c>
      <c r="W227" s="716">
        <f t="shared" si="186"/>
        <v>0</v>
      </c>
      <c r="X227" s="716">
        <f t="shared" si="186"/>
        <v>0</v>
      </c>
      <c r="Y227" s="716">
        <f t="shared" si="186"/>
        <v>0</v>
      </c>
      <c r="Z227" s="716">
        <f t="shared" si="186"/>
        <v>0</v>
      </c>
      <c r="AA227" s="716">
        <f t="shared" si="186"/>
        <v>0</v>
      </c>
      <c r="AB227" s="716">
        <f t="shared" si="186"/>
        <v>0</v>
      </c>
      <c r="AC227" s="716">
        <f t="shared" si="186"/>
        <v>0</v>
      </c>
      <c r="AD227" s="716">
        <f t="shared" si="186"/>
        <v>0</v>
      </c>
      <c r="AE227" s="716">
        <f t="shared" si="186"/>
        <v>0</v>
      </c>
      <c r="AF227" s="716">
        <f t="shared" si="186"/>
        <v>0</v>
      </c>
      <c r="AH227" s="587"/>
      <c r="AK227" s="591"/>
      <c r="AM227" s="589"/>
      <c r="AN227" s="590"/>
      <c r="AP227" s="591"/>
      <c r="AQ227" s="591"/>
    </row>
    <row r="228" spans="1:43" s="513" customFormat="1" ht="16.5" hidden="1" customHeight="1" outlineLevel="2">
      <c r="A228" s="584"/>
      <c r="B228" s="572" t="s">
        <v>888</v>
      </c>
      <c r="C228" s="592">
        <f>EPIs_unif.!$D$17+EPIs_unif.!$D$43</f>
        <v>2516.64</v>
      </c>
      <c r="D228" s="592">
        <f>C228</f>
        <v>2516.64</v>
      </c>
      <c r="E228" s="592">
        <f t="shared" ref="E228:AF228" si="187">D228</f>
        <v>2516.64</v>
      </c>
      <c r="F228" s="592">
        <f t="shared" si="187"/>
        <v>2516.64</v>
      </c>
      <c r="G228" s="592">
        <f t="shared" si="187"/>
        <v>2516.64</v>
      </c>
      <c r="H228" s="592">
        <f t="shared" si="187"/>
        <v>2516.64</v>
      </c>
      <c r="I228" s="592">
        <f t="shared" si="187"/>
        <v>2516.64</v>
      </c>
      <c r="J228" s="592">
        <f t="shared" si="187"/>
        <v>2516.64</v>
      </c>
      <c r="K228" s="592">
        <f t="shared" si="187"/>
        <v>2516.64</v>
      </c>
      <c r="L228" s="592">
        <f t="shared" si="187"/>
        <v>2516.64</v>
      </c>
      <c r="M228" s="592">
        <f t="shared" si="187"/>
        <v>2516.64</v>
      </c>
      <c r="N228" s="592">
        <f t="shared" si="187"/>
        <v>2516.64</v>
      </c>
      <c r="O228" s="592">
        <f t="shared" si="187"/>
        <v>2516.64</v>
      </c>
      <c r="P228" s="592">
        <f t="shared" si="187"/>
        <v>2516.64</v>
      </c>
      <c r="Q228" s="592">
        <f t="shared" si="187"/>
        <v>2516.64</v>
      </c>
      <c r="R228" s="592">
        <f t="shared" si="187"/>
        <v>2516.64</v>
      </c>
      <c r="S228" s="592">
        <f t="shared" si="187"/>
        <v>2516.64</v>
      </c>
      <c r="T228" s="592">
        <f t="shared" si="187"/>
        <v>2516.64</v>
      </c>
      <c r="U228" s="592">
        <f t="shared" si="187"/>
        <v>2516.64</v>
      </c>
      <c r="V228" s="592">
        <f t="shared" si="187"/>
        <v>2516.64</v>
      </c>
      <c r="W228" s="592">
        <f t="shared" si="187"/>
        <v>2516.64</v>
      </c>
      <c r="X228" s="592">
        <f t="shared" si="187"/>
        <v>2516.64</v>
      </c>
      <c r="Y228" s="592">
        <f t="shared" si="187"/>
        <v>2516.64</v>
      </c>
      <c r="Z228" s="592">
        <f t="shared" si="187"/>
        <v>2516.64</v>
      </c>
      <c r="AA228" s="592">
        <f t="shared" si="187"/>
        <v>2516.64</v>
      </c>
      <c r="AB228" s="592">
        <f t="shared" si="187"/>
        <v>2516.64</v>
      </c>
      <c r="AC228" s="592">
        <f t="shared" si="187"/>
        <v>2516.64</v>
      </c>
      <c r="AD228" s="592">
        <f t="shared" si="187"/>
        <v>2516.64</v>
      </c>
      <c r="AE228" s="592">
        <f t="shared" si="187"/>
        <v>2516.64</v>
      </c>
      <c r="AF228" s="592">
        <f t="shared" si="187"/>
        <v>2516.64</v>
      </c>
      <c r="AH228" s="538"/>
      <c r="AK228" s="531"/>
      <c r="AM228" s="539"/>
      <c r="AN228" s="535"/>
      <c r="AP228" s="540"/>
      <c r="AQ228" s="540"/>
    </row>
    <row r="229" spans="1:43" s="546" customFormat="1" ht="16.5" hidden="1" customHeight="1" outlineLevel="2">
      <c r="A229" s="584"/>
      <c r="B229" s="613" t="s">
        <v>931</v>
      </c>
      <c r="C229" s="570">
        <f>C230*C231</f>
        <v>113404.28000000001</v>
      </c>
      <c r="D229" s="570">
        <f t="shared" ref="D229:AF229" si="188">D230*D231</f>
        <v>113404.28000000001</v>
      </c>
      <c r="E229" s="570">
        <f t="shared" si="188"/>
        <v>113404.28000000001</v>
      </c>
      <c r="F229" s="570">
        <f t="shared" si="188"/>
        <v>113404.28000000001</v>
      </c>
      <c r="G229" s="570">
        <f t="shared" si="188"/>
        <v>113404.28000000001</v>
      </c>
      <c r="H229" s="570">
        <f t="shared" si="188"/>
        <v>113404.28000000001</v>
      </c>
      <c r="I229" s="570">
        <f t="shared" si="188"/>
        <v>113404.28000000001</v>
      </c>
      <c r="J229" s="570">
        <f t="shared" si="188"/>
        <v>113404.28000000001</v>
      </c>
      <c r="K229" s="570">
        <f t="shared" si="188"/>
        <v>113404.28000000001</v>
      </c>
      <c r="L229" s="570">
        <f t="shared" si="188"/>
        <v>113404.28000000001</v>
      </c>
      <c r="M229" s="570">
        <f t="shared" si="188"/>
        <v>113404.28000000001</v>
      </c>
      <c r="N229" s="570">
        <f t="shared" si="188"/>
        <v>113404.28000000001</v>
      </c>
      <c r="O229" s="570">
        <f t="shared" si="188"/>
        <v>113404.28000000001</v>
      </c>
      <c r="P229" s="570">
        <f t="shared" si="188"/>
        <v>113404.28000000001</v>
      </c>
      <c r="Q229" s="570">
        <f t="shared" si="188"/>
        <v>113404.28000000001</v>
      </c>
      <c r="R229" s="570">
        <f t="shared" si="188"/>
        <v>113404.28000000001</v>
      </c>
      <c r="S229" s="570">
        <f t="shared" si="188"/>
        <v>113404.28000000001</v>
      </c>
      <c r="T229" s="570">
        <f t="shared" si="188"/>
        <v>113404.28000000001</v>
      </c>
      <c r="U229" s="570">
        <f t="shared" si="188"/>
        <v>134023.24000000002</v>
      </c>
      <c r="V229" s="570">
        <f t="shared" si="188"/>
        <v>134023.24000000002</v>
      </c>
      <c r="W229" s="570">
        <f t="shared" si="188"/>
        <v>134023.24000000002</v>
      </c>
      <c r="X229" s="570">
        <f t="shared" si="188"/>
        <v>134023.24000000002</v>
      </c>
      <c r="Y229" s="570">
        <f t="shared" si="188"/>
        <v>134023.24000000002</v>
      </c>
      <c r="Z229" s="570">
        <f t="shared" si="188"/>
        <v>134023.24000000002</v>
      </c>
      <c r="AA229" s="570">
        <f t="shared" si="188"/>
        <v>134023.24000000002</v>
      </c>
      <c r="AB229" s="570">
        <f t="shared" si="188"/>
        <v>134023.24000000002</v>
      </c>
      <c r="AC229" s="570">
        <f t="shared" si="188"/>
        <v>134023.24000000002</v>
      </c>
      <c r="AD229" s="570">
        <f t="shared" si="188"/>
        <v>134023.24000000002</v>
      </c>
      <c r="AE229" s="570">
        <f t="shared" si="188"/>
        <v>134023.24000000002</v>
      </c>
      <c r="AF229" s="570">
        <f t="shared" si="188"/>
        <v>134023.24000000002</v>
      </c>
      <c r="AH229" s="571"/>
      <c r="AK229" s="531"/>
      <c r="AM229" s="548"/>
      <c r="AN229" s="535"/>
      <c r="AP229" s="549"/>
      <c r="AQ229" s="549"/>
    </row>
    <row r="230" spans="1:43" s="586" customFormat="1" ht="16.5" hidden="1" customHeight="1" outlineLevel="2">
      <c r="A230" s="584"/>
      <c r="B230" s="585" t="s">
        <v>805</v>
      </c>
      <c r="C230" s="716">
        <f t="shared" ref="C230:AF230" si="189">C139</f>
        <v>22</v>
      </c>
      <c r="D230" s="716">
        <f t="shared" si="189"/>
        <v>22</v>
      </c>
      <c r="E230" s="716">
        <f t="shared" si="189"/>
        <v>22</v>
      </c>
      <c r="F230" s="716">
        <f t="shared" si="189"/>
        <v>22</v>
      </c>
      <c r="G230" s="716">
        <f t="shared" si="189"/>
        <v>22</v>
      </c>
      <c r="H230" s="716">
        <f t="shared" si="189"/>
        <v>22</v>
      </c>
      <c r="I230" s="716">
        <f t="shared" si="189"/>
        <v>22</v>
      </c>
      <c r="J230" s="716">
        <f t="shared" si="189"/>
        <v>22</v>
      </c>
      <c r="K230" s="716">
        <f t="shared" si="189"/>
        <v>22</v>
      </c>
      <c r="L230" s="716">
        <f t="shared" si="189"/>
        <v>22</v>
      </c>
      <c r="M230" s="716">
        <f t="shared" si="189"/>
        <v>22</v>
      </c>
      <c r="N230" s="716">
        <f t="shared" si="189"/>
        <v>22</v>
      </c>
      <c r="O230" s="716">
        <f t="shared" si="189"/>
        <v>22</v>
      </c>
      <c r="P230" s="716">
        <f t="shared" si="189"/>
        <v>22</v>
      </c>
      <c r="Q230" s="716">
        <f t="shared" si="189"/>
        <v>22</v>
      </c>
      <c r="R230" s="716">
        <f t="shared" si="189"/>
        <v>22</v>
      </c>
      <c r="S230" s="716">
        <f t="shared" si="189"/>
        <v>22</v>
      </c>
      <c r="T230" s="716">
        <f t="shared" si="189"/>
        <v>22</v>
      </c>
      <c r="U230" s="716">
        <f t="shared" si="189"/>
        <v>26</v>
      </c>
      <c r="V230" s="716">
        <f t="shared" si="189"/>
        <v>26</v>
      </c>
      <c r="W230" s="716">
        <f t="shared" si="189"/>
        <v>26</v>
      </c>
      <c r="X230" s="716">
        <f t="shared" si="189"/>
        <v>26</v>
      </c>
      <c r="Y230" s="716">
        <f t="shared" si="189"/>
        <v>26</v>
      </c>
      <c r="Z230" s="716">
        <f t="shared" si="189"/>
        <v>26</v>
      </c>
      <c r="AA230" s="716">
        <f t="shared" si="189"/>
        <v>26</v>
      </c>
      <c r="AB230" s="716">
        <f t="shared" si="189"/>
        <v>26</v>
      </c>
      <c r="AC230" s="716">
        <f t="shared" si="189"/>
        <v>26</v>
      </c>
      <c r="AD230" s="716">
        <f t="shared" si="189"/>
        <v>26</v>
      </c>
      <c r="AE230" s="716">
        <f t="shared" si="189"/>
        <v>26</v>
      </c>
      <c r="AF230" s="716">
        <f t="shared" si="189"/>
        <v>26</v>
      </c>
      <c r="AH230" s="587"/>
      <c r="AK230" s="591"/>
      <c r="AM230" s="589"/>
      <c r="AN230" s="590"/>
      <c r="AP230" s="591"/>
      <c r="AQ230" s="591"/>
    </row>
    <row r="231" spans="1:43" s="513" customFormat="1" ht="16.5" hidden="1" customHeight="1" outlineLevel="2">
      <c r="A231" s="584"/>
      <c r="B231" s="572" t="s">
        <v>888</v>
      </c>
      <c r="C231" s="592">
        <f>EPIs_unif.!$D$10+EPIs_unif.!$D$36</f>
        <v>5154.7400000000007</v>
      </c>
      <c r="D231" s="592">
        <f>C231</f>
        <v>5154.7400000000007</v>
      </c>
      <c r="E231" s="592">
        <f t="shared" ref="E231:AF231" si="190">D231</f>
        <v>5154.7400000000007</v>
      </c>
      <c r="F231" s="592">
        <f t="shared" si="190"/>
        <v>5154.7400000000007</v>
      </c>
      <c r="G231" s="592">
        <f t="shared" si="190"/>
        <v>5154.7400000000007</v>
      </c>
      <c r="H231" s="592">
        <f t="shared" si="190"/>
        <v>5154.7400000000007</v>
      </c>
      <c r="I231" s="592">
        <f t="shared" si="190"/>
        <v>5154.7400000000007</v>
      </c>
      <c r="J231" s="592">
        <f t="shared" si="190"/>
        <v>5154.7400000000007</v>
      </c>
      <c r="K231" s="592">
        <f t="shared" si="190"/>
        <v>5154.7400000000007</v>
      </c>
      <c r="L231" s="592">
        <f t="shared" si="190"/>
        <v>5154.7400000000007</v>
      </c>
      <c r="M231" s="592">
        <f t="shared" si="190"/>
        <v>5154.7400000000007</v>
      </c>
      <c r="N231" s="592">
        <f t="shared" si="190"/>
        <v>5154.7400000000007</v>
      </c>
      <c r="O231" s="592">
        <f t="shared" si="190"/>
        <v>5154.7400000000007</v>
      </c>
      <c r="P231" s="592">
        <f t="shared" si="190"/>
        <v>5154.7400000000007</v>
      </c>
      <c r="Q231" s="592">
        <f t="shared" si="190"/>
        <v>5154.7400000000007</v>
      </c>
      <c r="R231" s="592">
        <f t="shared" si="190"/>
        <v>5154.7400000000007</v>
      </c>
      <c r="S231" s="592">
        <f t="shared" si="190"/>
        <v>5154.7400000000007</v>
      </c>
      <c r="T231" s="592">
        <f t="shared" si="190"/>
        <v>5154.7400000000007</v>
      </c>
      <c r="U231" s="592">
        <f t="shared" si="190"/>
        <v>5154.7400000000007</v>
      </c>
      <c r="V231" s="592">
        <f t="shared" si="190"/>
        <v>5154.7400000000007</v>
      </c>
      <c r="W231" s="592">
        <f t="shared" si="190"/>
        <v>5154.7400000000007</v>
      </c>
      <c r="X231" s="592">
        <f t="shared" si="190"/>
        <v>5154.7400000000007</v>
      </c>
      <c r="Y231" s="592">
        <f t="shared" si="190"/>
        <v>5154.7400000000007</v>
      </c>
      <c r="Z231" s="592">
        <f t="shared" si="190"/>
        <v>5154.7400000000007</v>
      </c>
      <c r="AA231" s="592">
        <f t="shared" si="190"/>
        <v>5154.7400000000007</v>
      </c>
      <c r="AB231" s="592">
        <f t="shared" si="190"/>
        <v>5154.7400000000007</v>
      </c>
      <c r="AC231" s="592">
        <f t="shared" si="190"/>
        <v>5154.7400000000007</v>
      </c>
      <c r="AD231" s="592">
        <f t="shared" si="190"/>
        <v>5154.7400000000007</v>
      </c>
      <c r="AE231" s="592">
        <f t="shared" si="190"/>
        <v>5154.7400000000007</v>
      </c>
      <c r="AF231" s="592">
        <f t="shared" si="190"/>
        <v>5154.7400000000007</v>
      </c>
      <c r="AH231" s="538"/>
      <c r="AK231" s="531"/>
      <c r="AM231" s="539"/>
      <c r="AN231" s="535"/>
      <c r="AP231" s="540"/>
      <c r="AQ231" s="540"/>
    </row>
    <row r="232" spans="1:43" s="546" customFormat="1" ht="16.5" hidden="1" customHeight="1" outlineLevel="2">
      <c r="A232" s="584"/>
      <c r="B232" s="613" t="s">
        <v>932</v>
      </c>
      <c r="C232" s="570">
        <f>C233*C234</f>
        <v>0</v>
      </c>
      <c r="D232" s="570">
        <f t="shared" ref="D232:AF232" si="191">D233*D234</f>
        <v>0</v>
      </c>
      <c r="E232" s="570">
        <f t="shared" si="191"/>
        <v>0</v>
      </c>
      <c r="F232" s="570">
        <f t="shared" si="191"/>
        <v>0</v>
      </c>
      <c r="G232" s="570">
        <f t="shared" si="191"/>
        <v>0</v>
      </c>
      <c r="H232" s="570">
        <f t="shared" si="191"/>
        <v>0</v>
      </c>
      <c r="I232" s="570">
        <f t="shared" si="191"/>
        <v>0</v>
      </c>
      <c r="J232" s="570">
        <f t="shared" si="191"/>
        <v>0</v>
      </c>
      <c r="K232" s="570">
        <f t="shared" si="191"/>
        <v>0</v>
      </c>
      <c r="L232" s="570">
        <f t="shared" si="191"/>
        <v>0</v>
      </c>
      <c r="M232" s="570">
        <f t="shared" si="191"/>
        <v>0</v>
      </c>
      <c r="N232" s="570">
        <f t="shared" si="191"/>
        <v>0</v>
      </c>
      <c r="O232" s="570">
        <f t="shared" si="191"/>
        <v>0</v>
      </c>
      <c r="P232" s="570">
        <f t="shared" si="191"/>
        <v>0</v>
      </c>
      <c r="Q232" s="570">
        <f t="shared" si="191"/>
        <v>0</v>
      </c>
      <c r="R232" s="570">
        <f t="shared" si="191"/>
        <v>0</v>
      </c>
      <c r="S232" s="570">
        <f t="shared" si="191"/>
        <v>0</v>
      </c>
      <c r="T232" s="570">
        <f t="shared" si="191"/>
        <v>0</v>
      </c>
      <c r="U232" s="570">
        <f t="shared" si="191"/>
        <v>0</v>
      </c>
      <c r="V232" s="570">
        <f t="shared" si="191"/>
        <v>0</v>
      </c>
      <c r="W232" s="570">
        <f t="shared" si="191"/>
        <v>0</v>
      </c>
      <c r="X232" s="570">
        <f t="shared" si="191"/>
        <v>0</v>
      </c>
      <c r="Y232" s="570">
        <f t="shared" si="191"/>
        <v>0</v>
      </c>
      <c r="Z232" s="570">
        <f t="shared" si="191"/>
        <v>0</v>
      </c>
      <c r="AA232" s="570">
        <f t="shared" si="191"/>
        <v>0</v>
      </c>
      <c r="AB232" s="570">
        <f t="shared" si="191"/>
        <v>0</v>
      </c>
      <c r="AC232" s="570">
        <f t="shared" si="191"/>
        <v>0</v>
      </c>
      <c r="AD232" s="570">
        <f t="shared" si="191"/>
        <v>0</v>
      </c>
      <c r="AE232" s="570">
        <f t="shared" si="191"/>
        <v>0</v>
      </c>
      <c r="AF232" s="570">
        <f t="shared" si="191"/>
        <v>0</v>
      </c>
      <c r="AH232" s="571"/>
      <c r="AK232" s="531"/>
      <c r="AM232" s="548"/>
      <c r="AN232" s="535"/>
      <c r="AP232" s="549"/>
      <c r="AQ232" s="549"/>
    </row>
    <row r="233" spans="1:43" s="586" customFormat="1" ht="16.5" hidden="1" customHeight="1" outlineLevel="2">
      <c r="A233" s="584"/>
      <c r="B233" s="585" t="s">
        <v>805</v>
      </c>
      <c r="C233" s="716">
        <f t="shared" ref="C233:AF233" si="192">C146</f>
        <v>0</v>
      </c>
      <c r="D233" s="716">
        <f t="shared" si="192"/>
        <v>0</v>
      </c>
      <c r="E233" s="716">
        <f t="shared" si="192"/>
        <v>0</v>
      </c>
      <c r="F233" s="716">
        <f t="shared" si="192"/>
        <v>0</v>
      </c>
      <c r="G233" s="716">
        <f t="shared" si="192"/>
        <v>0</v>
      </c>
      <c r="H233" s="716">
        <f t="shared" si="192"/>
        <v>0</v>
      </c>
      <c r="I233" s="716">
        <f t="shared" si="192"/>
        <v>0</v>
      </c>
      <c r="J233" s="716">
        <f t="shared" si="192"/>
        <v>0</v>
      </c>
      <c r="K233" s="716">
        <f t="shared" si="192"/>
        <v>0</v>
      </c>
      <c r="L233" s="716">
        <f t="shared" si="192"/>
        <v>0</v>
      </c>
      <c r="M233" s="716">
        <f t="shared" si="192"/>
        <v>0</v>
      </c>
      <c r="N233" s="716">
        <f t="shared" si="192"/>
        <v>0</v>
      </c>
      <c r="O233" s="716">
        <f t="shared" si="192"/>
        <v>0</v>
      </c>
      <c r="P233" s="716">
        <f t="shared" si="192"/>
        <v>0</v>
      </c>
      <c r="Q233" s="716">
        <f t="shared" si="192"/>
        <v>0</v>
      </c>
      <c r="R233" s="716">
        <f t="shared" si="192"/>
        <v>0</v>
      </c>
      <c r="S233" s="716">
        <f t="shared" si="192"/>
        <v>0</v>
      </c>
      <c r="T233" s="716">
        <f t="shared" si="192"/>
        <v>0</v>
      </c>
      <c r="U233" s="716">
        <f t="shared" si="192"/>
        <v>0</v>
      </c>
      <c r="V233" s="716">
        <f t="shared" si="192"/>
        <v>0</v>
      </c>
      <c r="W233" s="716">
        <f t="shared" si="192"/>
        <v>0</v>
      </c>
      <c r="X233" s="716">
        <f t="shared" si="192"/>
        <v>0</v>
      </c>
      <c r="Y233" s="716">
        <f t="shared" si="192"/>
        <v>0</v>
      </c>
      <c r="Z233" s="716">
        <f t="shared" si="192"/>
        <v>0</v>
      </c>
      <c r="AA233" s="716">
        <f t="shared" si="192"/>
        <v>0</v>
      </c>
      <c r="AB233" s="716">
        <f t="shared" si="192"/>
        <v>0</v>
      </c>
      <c r="AC233" s="716">
        <f t="shared" si="192"/>
        <v>0</v>
      </c>
      <c r="AD233" s="716">
        <f t="shared" si="192"/>
        <v>0</v>
      </c>
      <c r="AE233" s="716">
        <f t="shared" si="192"/>
        <v>0</v>
      </c>
      <c r="AF233" s="716">
        <f t="shared" si="192"/>
        <v>0</v>
      </c>
      <c r="AH233" s="587"/>
      <c r="AK233" s="591"/>
      <c r="AM233" s="589"/>
      <c r="AN233" s="590"/>
      <c r="AP233" s="591"/>
      <c r="AQ233" s="591"/>
    </row>
    <row r="234" spans="1:43" s="513" customFormat="1" ht="16.5" hidden="1" customHeight="1" outlineLevel="2">
      <c r="A234" s="584"/>
      <c r="B234" s="572" t="s">
        <v>888</v>
      </c>
      <c r="C234" s="592">
        <f>EPIs_unif.!$D$11+EPIs_unif.!$D$37</f>
        <v>4929.5</v>
      </c>
      <c r="D234" s="592">
        <f>C234</f>
        <v>4929.5</v>
      </c>
      <c r="E234" s="592">
        <f t="shared" ref="E234:AF234" si="193">D234</f>
        <v>4929.5</v>
      </c>
      <c r="F234" s="592">
        <f t="shared" si="193"/>
        <v>4929.5</v>
      </c>
      <c r="G234" s="592">
        <f t="shared" si="193"/>
        <v>4929.5</v>
      </c>
      <c r="H234" s="592">
        <f t="shared" si="193"/>
        <v>4929.5</v>
      </c>
      <c r="I234" s="592">
        <f t="shared" si="193"/>
        <v>4929.5</v>
      </c>
      <c r="J234" s="592">
        <f t="shared" si="193"/>
        <v>4929.5</v>
      </c>
      <c r="K234" s="592">
        <f t="shared" si="193"/>
        <v>4929.5</v>
      </c>
      <c r="L234" s="592">
        <f t="shared" si="193"/>
        <v>4929.5</v>
      </c>
      <c r="M234" s="592">
        <f t="shared" si="193"/>
        <v>4929.5</v>
      </c>
      <c r="N234" s="592">
        <f t="shared" si="193"/>
        <v>4929.5</v>
      </c>
      <c r="O234" s="592">
        <f t="shared" si="193"/>
        <v>4929.5</v>
      </c>
      <c r="P234" s="592">
        <f t="shared" si="193"/>
        <v>4929.5</v>
      </c>
      <c r="Q234" s="592">
        <f t="shared" si="193"/>
        <v>4929.5</v>
      </c>
      <c r="R234" s="592">
        <f t="shared" si="193"/>
        <v>4929.5</v>
      </c>
      <c r="S234" s="592">
        <f t="shared" si="193"/>
        <v>4929.5</v>
      </c>
      <c r="T234" s="592">
        <f t="shared" si="193"/>
        <v>4929.5</v>
      </c>
      <c r="U234" s="592">
        <f t="shared" si="193"/>
        <v>4929.5</v>
      </c>
      <c r="V234" s="592">
        <f t="shared" si="193"/>
        <v>4929.5</v>
      </c>
      <c r="W234" s="592">
        <f t="shared" si="193"/>
        <v>4929.5</v>
      </c>
      <c r="X234" s="592">
        <f t="shared" si="193"/>
        <v>4929.5</v>
      </c>
      <c r="Y234" s="592">
        <f t="shared" si="193"/>
        <v>4929.5</v>
      </c>
      <c r="Z234" s="592">
        <f t="shared" si="193"/>
        <v>4929.5</v>
      </c>
      <c r="AA234" s="592">
        <f t="shared" si="193"/>
        <v>4929.5</v>
      </c>
      <c r="AB234" s="592">
        <f t="shared" si="193"/>
        <v>4929.5</v>
      </c>
      <c r="AC234" s="592">
        <f t="shared" si="193"/>
        <v>4929.5</v>
      </c>
      <c r="AD234" s="592">
        <f t="shared" si="193"/>
        <v>4929.5</v>
      </c>
      <c r="AE234" s="592">
        <f t="shared" si="193"/>
        <v>4929.5</v>
      </c>
      <c r="AF234" s="592">
        <f t="shared" si="193"/>
        <v>4929.5</v>
      </c>
      <c r="AH234" s="538"/>
      <c r="AK234" s="531"/>
      <c r="AM234" s="539"/>
      <c r="AN234" s="535"/>
      <c r="AP234" s="540"/>
      <c r="AQ234" s="540"/>
    </row>
    <row r="235" spans="1:43" s="546" customFormat="1" ht="16.5" hidden="1" customHeight="1" outlineLevel="2">
      <c r="A235" s="584"/>
      <c r="B235" s="613" t="s">
        <v>944</v>
      </c>
      <c r="C235" s="570">
        <f>C236*C237</f>
        <v>2941.62</v>
      </c>
      <c r="D235" s="570">
        <f t="shared" ref="D235:AF235" si="194">D236*D237</f>
        <v>2941.62</v>
      </c>
      <c r="E235" s="570">
        <f t="shared" si="194"/>
        <v>2941.62</v>
      </c>
      <c r="F235" s="570">
        <f t="shared" si="194"/>
        <v>2941.62</v>
      </c>
      <c r="G235" s="570">
        <f t="shared" si="194"/>
        <v>2941.62</v>
      </c>
      <c r="H235" s="570">
        <f t="shared" si="194"/>
        <v>2941.62</v>
      </c>
      <c r="I235" s="570">
        <f t="shared" si="194"/>
        <v>2941.62</v>
      </c>
      <c r="J235" s="570">
        <f t="shared" si="194"/>
        <v>2941.62</v>
      </c>
      <c r="K235" s="570">
        <f t="shared" si="194"/>
        <v>2941.62</v>
      </c>
      <c r="L235" s="570">
        <f t="shared" si="194"/>
        <v>2941.62</v>
      </c>
      <c r="M235" s="570">
        <f t="shared" si="194"/>
        <v>2941.62</v>
      </c>
      <c r="N235" s="570">
        <f t="shared" si="194"/>
        <v>2941.62</v>
      </c>
      <c r="O235" s="570">
        <f t="shared" si="194"/>
        <v>2941.62</v>
      </c>
      <c r="P235" s="570">
        <f t="shared" si="194"/>
        <v>2941.62</v>
      </c>
      <c r="Q235" s="570">
        <f t="shared" si="194"/>
        <v>2941.62</v>
      </c>
      <c r="R235" s="570">
        <f t="shared" si="194"/>
        <v>2941.62</v>
      </c>
      <c r="S235" s="570">
        <f t="shared" si="194"/>
        <v>2941.62</v>
      </c>
      <c r="T235" s="570">
        <f t="shared" si="194"/>
        <v>2941.62</v>
      </c>
      <c r="U235" s="570">
        <f t="shared" si="194"/>
        <v>2941.62</v>
      </c>
      <c r="V235" s="570">
        <f t="shared" si="194"/>
        <v>2941.62</v>
      </c>
      <c r="W235" s="570">
        <f t="shared" si="194"/>
        <v>2941.62</v>
      </c>
      <c r="X235" s="570">
        <f t="shared" si="194"/>
        <v>2941.62</v>
      </c>
      <c r="Y235" s="570">
        <f t="shared" si="194"/>
        <v>2941.62</v>
      </c>
      <c r="Z235" s="570">
        <f t="shared" si="194"/>
        <v>2941.62</v>
      </c>
      <c r="AA235" s="570">
        <f t="shared" si="194"/>
        <v>2941.62</v>
      </c>
      <c r="AB235" s="570">
        <f t="shared" si="194"/>
        <v>2941.62</v>
      </c>
      <c r="AC235" s="570">
        <f t="shared" si="194"/>
        <v>2941.62</v>
      </c>
      <c r="AD235" s="570">
        <f t="shared" si="194"/>
        <v>2941.62</v>
      </c>
      <c r="AE235" s="570">
        <f t="shared" si="194"/>
        <v>2941.62</v>
      </c>
      <c r="AF235" s="570">
        <f t="shared" si="194"/>
        <v>2941.62</v>
      </c>
      <c r="AH235" s="571"/>
      <c r="AK235" s="531"/>
      <c r="AM235" s="548"/>
      <c r="AN235" s="535"/>
      <c r="AP235" s="549"/>
      <c r="AQ235" s="549"/>
    </row>
    <row r="236" spans="1:43" s="586" customFormat="1" ht="16.5" hidden="1" customHeight="1" outlineLevel="2">
      <c r="A236" s="584"/>
      <c r="B236" s="585" t="s">
        <v>805</v>
      </c>
      <c r="C236" s="716">
        <f t="shared" ref="C236:AF236" si="195">C153</f>
        <v>1</v>
      </c>
      <c r="D236" s="716">
        <f t="shared" si="195"/>
        <v>1</v>
      </c>
      <c r="E236" s="716">
        <f t="shared" si="195"/>
        <v>1</v>
      </c>
      <c r="F236" s="716">
        <f t="shared" si="195"/>
        <v>1</v>
      </c>
      <c r="G236" s="716">
        <f t="shared" si="195"/>
        <v>1</v>
      </c>
      <c r="H236" s="716">
        <f t="shared" si="195"/>
        <v>1</v>
      </c>
      <c r="I236" s="716">
        <f t="shared" si="195"/>
        <v>1</v>
      </c>
      <c r="J236" s="716">
        <f t="shared" si="195"/>
        <v>1</v>
      </c>
      <c r="K236" s="716">
        <f t="shared" si="195"/>
        <v>1</v>
      </c>
      <c r="L236" s="716">
        <f t="shared" si="195"/>
        <v>1</v>
      </c>
      <c r="M236" s="716">
        <f t="shared" si="195"/>
        <v>1</v>
      </c>
      <c r="N236" s="716">
        <f t="shared" si="195"/>
        <v>1</v>
      </c>
      <c r="O236" s="716">
        <f t="shared" si="195"/>
        <v>1</v>
      </c>
      <c r="P236" s="716">
        <f t="shared" si="195"/>
        <v>1</v>
      </c>
      <c r="Q236" s="716">
        <f t="shared" si="195"/>
        <v>1</v>
      </c>
      <c r="R236" s="716">
        <f t="shared" si="195"/>
        <v>1</v>
      </c>
      <c r="S236" s="716">
        <f t="shared" si="195"/>
        <v>1</v>
      </c>
      <c r="T236" s="716">
        <f t="shared" si="195"/>
        <v>1</v>
      </c>
      <c r="U236" s="716">
        <f t="shared" si="195"/>
        <v>1</v>
      </c>
      <c r="V236" s="716">
        <f t="shared" si="195"/>
        <v>1</v>
      </c>
      <c r="W236" s="716">
        <f t="shared" si="195"/>
        <v>1</v>
      </c>
      <c r="X236" s="716">
        <f t="shared" si="195"/>
        <v>1</v>
      </c>
      <c r="Y236" s="716">
        <f t="shared" si="195"/>
        <v>1</v>
      </c>
      <c r="Z236" s="716">
        <f t="shared" si="195"/>
        <v>1</v>
      </c>
      <c r="AA236" s="716">
        <f t="shared" si="195"/>
        <v>1</v>
      </c>
      <c r="AB236" s="716">
        <f t="shared" si="195"/>
        <v>1</v>
      </c>
      <c r="AC236" s="716">
        <f t="shared" si="195"/>
        <v>1</v>
      </c>
      <c r="AD236" s="716">
        <f t="shared" si="195"/>
        <v>1</v>
      </c>
      <c r="AE236" s="716">
        <f t="shared" si="195"/>
        <v>1</v>
      </c>
      <c r="AF236" s="716">
        <f t="shared" si="195"/>
        <v>1</v>
      </c>
      <c r="AH236" s="587"/>
      <c r="AK236" s="591"/>
      <c r="AM236" s="589"/>
      <c r="AN236" s="590"/>
      <c r="AP236" s="591"/>
      <c r="AQ236" s="591"/>
    </row>
    <row r="237" spans="1:43" s="513" customFormat="1" ht="16.5" hidden="1" customHeight="1" outlineLevel="2">
      <c r="A237" s="584"/>
      <c r="B237" s="572" t="s">
        <v>888</v>
      </c>
      <c r="C237" s="592">
        <f>EPIs_unif.!$D$13+EPIs_unif.!$D$39</f>
        <v>2941.62</v>
      </c>
      <c r="D237" s="592">
        <f>C237</f>
        <v>2941.62</v>
      </c>
      <c r="E237" s="592">
        <f t="shared" ref="E237:AF237" si="196">D237</f>
        <v>2941.62</v>
      </c>
      <c r="F237" s="592">
        <f t="shared" si="196"/>
        <v>2941.62</v>
      </c>
      <c r="G237" s="592">
        <f t="shared" si="196"/>
        <v>2941.62</v>
      </c>
      <c r="H237" s="592">
        <f t="shared" si="196"/>
        <v>2941.62</v>
      </c>
      <c r="I237" s="592">
        <f t="shared" si="196"/>
        <v>2941.62</v>
      </c>
      <c r="J237" s="592">
        <f t="shared" si="196"/>
        <v>2941.62</v>
      </c>
      <c r="K237" s="592">
        <f t="shared" si="196"/>
        <v>2941.62</v>
      </c>
      <c r="L237" s="592">
        <f t="shared" si="196"/>
        <v>2941.62</v>
      </c>
      <c r="M237" s="592">
        <f t="shared" si="196"/>
        <v>2941.62</v>
      </c>
      <c r="N237" s="592">
        <f t="shared" si="196"/>
        <v>2941.62</v>
      </c>
      <c r="O237" s="592">
        <f t="shared" si="196"/>
        <v>2941.62</v>
      </c>
      <c r="P237" s="592">
        <f t="shared" si="196"/>
        <v>2941.62</v>
      </c>
      <c r="Q237" s="592">
        <f t="shared" si="196"/>
        <v>2941.62</v>
      </c>
      <c r="R237" s="592">
        <f t="shared" si="196"/>
        <v>2941.62</v>
      </c>
      <c r="S237" s="592">
        <f t="shared" si="196"/>
        <v>2941.62</v>
      </c>
      <c r="T237" s="592">
        <f t="shared" si="196"/>
        <v>2941.62</v>
      </c>
      <c r="U237" s="592">
        <f t="shared" si="196"/>
        <v>2941.62</v>
      </c>
      <c r="V237" s="592">
        <f t="shared" si="196"/>
        <v>2941.62</v>
      </c>
      <c r="W237" s="592">
        <f t="shared" si="196"/>
        <v>2941.62</v>
      </c>
      <c r="X237" s="592">
        <f t="shared" si="196"/>
        <v>2941.62</v>
      </c>
      <c r="Y237" s="592">
        <f t="shared" si="196"/>
        <v>2941.62</v>
      </c>
      <c r="Z237" s="592">
        <f t="shared" si="196"/>
        <v>2941.62</v>
      </c>
      <c r="AA237" s="592">
        <f t="shared" si="196"/>
        <v>2941.62</v>
      </c>
      <c r="AB237" s="592">
        <f t="shared" si="196"/>
        <v>2941.62</v>
      </c>
      <c r="AC237" s="592">
        <f t="shared" si="196"/>
        <v>2941.62</v>
      </c>
      <c r="AD237" s="592">
        <f t="shared" si="196"/>
        <v>2941.62</v>
      </c>
      <c r="AE237" s="592">
        <f t="shared" si="196"/>
        <v>2941.62</v>
      </c>
      <c r="AF237" s="592">
        <f t="shared" si="196"/>
        <v>2941.62</v>
      </c>
      <c r="AH237" s="538"/>
      <c r="AK237" s="531"/>
      <c r="AM237" s="539"/>
      <c r="AN237" s="535"/>
      <c r="AP237" s="540"/>
      <c r="AQ237" s="540"/>
    </row>
    <row r="238" spans="1:43" s="546" customFormat="1" ht="16.5" hidden="1" customHeight="1" outlineLevel="2">
      <c r="A238" s="584"/>
      <c r="B238" s="613" t="s">
        <v>945</v>
      </c>
      <c r="C238" s="570">
        <f>C239*C240</f>
        <v>0</v>
      </c>
      <c r="D238" s="570">
        <f t="shared" ref="D238:AF238" si="197">D239*D240</f>
        <v>0</v>
      </c>
      <c r="E238" s="570">
        <f t="shared" si="197"/>
        <v>0</v>
      </c>
      <c r="F238" s="570">
        <f t="shared" si="197"/>
        <v>0</v>
      </c>
      <c r="G238" s="570">
        <f t="shared" si="197"/>
        <v>0</v>
      </c>
      <c r="H238" s="570">
        <f t="shared" si="197"/>
        <v>0</v>
      </c>
      <c r="I238" s="570">
        <f t="shared" si="197"/>
        <v>0</v>
      </c>
      <c r="J238" s="570">
        <f t="shared" si="197"/>
        <v>0</v>
      </c>
      <c r="K238" s="570">
        <f t="shared" si="197"/>
        <v>0</v>
      </c>
      <c r="L238" s="570">
        <f t="shared" si="197"/>
        <v>0</v>
      </c>
      <c r="M238" s="570">
        <f t="shared" si="197"/>
        <v>0</v>
      </c>
      <c r="N238" s="570">
        <f t="shared" si="197"/>
        <v>0</v>
      </c>
      <c r="O238" s="570">
        <f t="shared" si="197"/>
        <v>0</v>
      </c>
      <c r="P238" s="570">
        <f t="shared" si="197"/>
        <v>0</v>
      </c>
      <c r="Q238" s="570">
        <f t="shared" si="197"/>
        <v>0</v>
      </c>
      <c r="R238" s="570">
        <f t="shared" si="197"/>
        <v>0</v>
      </c>
      <c r="S238" s="570">
        <f t="shared" si="197"/>
        <v>0</v>
      </c>
      <c r="T238" s="570">
        <f t="shared" si="197"/>
        <v>0</v>
      </c>
      <c r="U238" s="570">
        <f t="shared" si="197"/>
        <v>0</v>
      </c>
      <c r="V238" s="570">
        <f t="shared" si="197"/>
        <v>0</v>
      </c>
      <c r="W238" s="570">
        <f t="shared" si="197"/>
        <v>0</v>
      </c>
      <c r="X238" s="570">
        <f t="shared" si="197"/>
        <v>0</v>
      </c>
      <c r="Y238" s="570">
        <f t="shared" si="197"/>
        <v>0</v>
      </c>
      <c r="Z238" s="570">
        <f t="shared" si="197"/>
        <v>0</v>
      </c>
      <c r="AA238" s="570">
        <f t="shared" si="197"/>
        <v>0</v>
      </c>
      <c r="AB238" s="570">
        <f t="shared" si="197"/>
        <v>0</v>
      </c>
      <c r="AC238" s="570">
        <f t="shared" si="197"/>
        <v>0</v>
      </c>
      <c r="AD238" s="570">
        <f t="shared" si="197"/>
        <v>0</v>
      </c>
      <c r="AE238" s="570">
        <f t="shared" si="197"/>
        <v>0</v>
      </c>
      <c r="AF238" s="570">
        <f t="shared" si="197"/>
        <v>0</v>
      </c>
      <c r="AH238" s="571"/>
      <c r="AK238" s="531"/>
      <c r="AM238" s="548"/>
      <c r="AN238" s="535"/>
      <c r="AP238" s="549"/>
      <c r="AQ238" s="549"/>
    </row>
    <row r="239" spans="1:43" s="586" customFormat="1" ht="16.5" hidden="1" customHeight="1" outlineLevel="2">
      <c r="A239" s="584"/>
      <c r="B239" s="585" t="s">
        <v>805</v>
      </c>
      <c r="C239" s="716">
        <f t="shared" ref="C239:AF239" si="198">C160</f>
        <v>0</v>
      </c>
      <c r="D239" s="716">
        <f t="shared" si="198"/>
        <v>0</v>
      </c>
      <c r="E239" s="716">
        <f t="shared" si="198"/>
        <v>0</v>
      </c>
      <c r="F239" s="716">
        <f t="shared" si="198"/>
        <v>0</v>
      </c>
      <c r="G239" s="716">
        <f t="shared" si="198"/>
        <v>0</v>
      </c>
      <c r="H239" s="716">
        <f t="shared" si="198"/>
        <v>0</v>
      </c>
      <c r="I239" s="716">
        <f t="shared" si="198"/>
        <v>0</v>
      </c>
      <c r="J239" s="716">
        <f t="shared" si="198"/>
        <v>0</v>
      </c>
      <c r="K239" s="716">
        <f t="shared" si="198"/>
        <v>0</v>
      </c>
      <c r="L239" s="716">
        <f t="shared" si="198"/>
        <v>0</v>
      </c>
      <c r="M239" s="716">
        <f t="shared" si="198"/>
        <v>0</v>
      </c>
      <c r="N239" s="716">
        <f t="shared" si="198"/>
        <v>0</v>
      </c>
      <c r="O239" s="716">
        <f t="shared" si="198"/>
        <v>0</v>
      </c>
      <c r="P239" s="716">
        <f t="shared" si="198"/>
        <v>0</v>
      </c>
      <c r="Q239" s="716">
        <f t="shared" si="198"/>
        <v>0</v>
      </c>
      <c r="R239" s="716">
        <f t="shared" si="198"/>
        <v>0</v>
      </c>
      <c r="S239" s="716">
        <f t="shared" si="198"/>
        <v>0</v>
      </c>
      <c r="T239" s="716">
        <f t="shared" si="198"/>
        <v>0</v>
      </c>
      <c r="U239" s="716">
        <f t="shared" si="198"/>
        <v>0</v>
      </c>
      <c r="V239" s="716">
        <f t="shared" si="198"/>
        <v>0</v>
      </c>
      <c r="W239" s="716">
        <f t="shared" si="198"/>
        <v>0</v>
      </c>
      <c r="X239" s="716">
        <f t="shared" si="198"/>
        <v>0</v>
      </c>
      <c r="Y239" s="716">
        <f t="shared" si="198"/>
        <v>0</v>
      </c>
      <c r="Z239" s="716">
        <f t="shared" si="198"/>
        <v>0</v>
      </c>
      <c r="AA239" s="716">
        <f t="shared" si="198"/>
        <v>0</v>
      </c>
      <c r="AB239" s="716">
        <f t="shared" si="198"/>
        <v>0</v>
      </c>
      <c r="AC239" s="716">
        <f t="shared" si="198"/>
        <v>0</v>
      </c>
      <c r="AD239" s="716">
        <f t="shared" si="198"/>
        <v>0</v>
      </c>
      <c r="AE239" s="716">
        <f t="shared" si="198"/>
        <v>0</v>
      </c>
      <c r="AF239" s="716">
        <f t="shared" si="198"/>
        <v>0</v>
      </c>
      <c r="AH239" s="587"/>
      <c r="AK239" s="591"/>
      <c r="AM239" s="589"/>
      <c r="AN239" s="590"/>
      <c r="AP239" s="591"/>
      <c r="AQ239" s="591"/>
    </row>
    <row r="240" spans="1:43" s="513" customFormat="1" ht="16.5" hidden="1" customHeight="1" outlineLevel="2">
      <c r="A240" s="584"/>
      <c r="B240" s="572" t="s">
        <v>888</v>
      </c>
      <c r="C240" s="592">
        <f>EPIs_unif.!$D$14+EPIs_unif.!$D$40</f>
        <v>2775.2999999999997</v>
      </c>
      <c r="D240" s="592">
        <f>C240</f>
        <v>2775.2999999999997</v>
      </c>
      <c r="E240" s="592">
        <f t="shared" ref="E240:AF240" si="199">D240</f>
        <v>2775.2999999999997</v>
      </c>
      <c r="F240" s="592">
        <f t="shared" si="199"/>
        <v>2775.2999999999997</v>
      </c>
      <c r="G240" s="592">
        <f t="shared" si="199"/>
        <v>2775.2999999999997</v>
      </c>
      <c r="H240" s="592">
        <f t="shared" si="199"/>
        <v>2775.2999999999997</v>
      </c>
      <c r="I240" s="592">
        <f t="shared" si="199"/>
        <v>2775.2999999999997</v>
      </c>
      <c r="J240" s="592">
        <f t="shared" si="199"/>
        <v>2775.2999999999997</v>
      </c>
      <c r="K240" s="592">
        <f t="shared" si="199"/>
        <v>2775.2999999999997</v>
      </c>
      <c r="L240" s="592">
        <f t="shared" si="199"/>
        <v>2775.2999999999997</v>
      </c>
      <c r="M240" s="592">
        <f t="shared" si="199"/>
        <v>2775.2999999999997</v>
      </c>
      <c r="N240" s="592">
        <f t="shared" si="199"/>
        <v>2775.2999999999997</v>
      </c>
      <c r="O240" s="592">
        <f t="shared" si="199"/>
        <v>2775.2999999999997</v>
      </c>
      <c r="P240" s="592">
        <f t="shared" si="199"/>
        <v>2775.2999999999997</v>
      </c>
      <c r="Q240" s="592">
        <f t="shared" si="199"/>
        <v>2775.2999999999997</v>
      </c>
      <c r="R240" s="592">
        <f t="shared" si="199"/>
        <v>2775.2999999999997</v>
      </c>
      <c r="S240" s="592">
        <f t="shared" si="199"/>
        <v>2775.2999999999997</v>
      </c>
      <c r="T240" s="592">
        <f t="shared" si="199"/>
        <v>2775.2999999999997</v>
      </c>
      <c r="U240" s="592">
        <f t="shared" si="199"/>
        <v>2775.2999999999997</v>
      </c>
      <c r="V240" s="592">
        <f t="shared" si="199"/>
        <v>2775.2999999999997</v>
      </c>
      <c r="W240" s="592">
        <f t="shared" si="199"/>
        <v>2775.2999999999997</v>
      </c>
      <c r="X240" s="592">
        <f t="shared" si="199"/>
        <v>2775.2999999999997</v>
      </c>
      <c r="Y240" s="592">
        <f t="shared" si="199"/>
        <v>2775.2999999999997</v>
      </c>
      <c r="Z240" s="592">
        <f t="shared" si="199"/>
        <v>2775.2999999999997</v>
      </c>
      <c r="AA240" s="592">
        <f t="shared" si="199"/>
        <v>2775.2999999999997</v>
      </c>
      <c r="AB240" s="592">
        <f t="shared" si="199"/>
        <v>2775.2999999999997</v>
      </c>
      <c r="AC240" s="592">
        <f t="shared" si="199"/>
        <v>2775.2999999999997</v>
      </c>
      <c r="AD240" s="592">
        <f t="shared" si="199"/>
        <v>2775.2999999999997</v>
      </c>
      <c r="AE240" s="592">
        <f t="shared" si="199"/>
        <v>2775.2999999999997</v>
      </c>
      <c r="AF240" s="592">
        <f t="shared" si="199"/>
        <v>2775.2999999999997</v>
      </c>
      <c r="AH240" s="538"/>
      <c r="AK240" s="531"/>
      <c r="AM240" s="539"/>
      <c r="AN240" s="535"/>
      <c r="AP240" s="540"/>
      <c r="AQ240" s="540"/>
    </row>
    <row r="241" spans="1:43" s="546" customFormat="1" ht="16.5" hidden="1" customHeight="1" outlineLevel="2">
      <c r="A241" s="584"/>
      <c r="B241" s="613" t="s">
        <v>935</v>
      </c>
      <c r="C241" s="570">
        <f>C242*C243</f>
        <v>1399.01</v>
      </c>
      <c r="D241" s="570">
        <f t="shared" ref="D241:AF241" si="200">D242*D243</f>
        <v>1399.01</v>
      </c>
      <c r="E241" s="570">
        <f t="shared" si="200"/>
        <v>1399.01</v>
      </c>
      <c r="F241" s="570">
        <f t="shared" si="200"/>
        <v>1399.01</v>
      </c>
      <c r="G241" s="570">
        <f t="shared" si="200"/>
        <v>1399.01</v>
      </c>
      <c r="H241" s="570">
        <f t="shared" si="200"/>
        <v>1399.01</v>
      </c>
      <c r="I241" s="570">
        <f t="shared" si="200"/>
        <v>1399.01</v>
      </c>
      <c r="J241" s="570">
        <f t="shared" si="200"/>
        <v>1399.01</v>
      </c>
      <c r="K241" s="570">
        <f t="shared" si="200"/>
        <v>1399.01</v>
      </c>
      <c r="L241" s="570">
        <f t="shared" si="200"/>
        <v>1399.01</v>
      </c>
      <c r="M241" s="570">
        <f t="shared" si="200"/>
        <v>1399.01</v>
      </c>
      <c r="N241" s="570">
        <f t="shared" si="200"/>
        <v>1399.01</v>
      </c>
      <c r="O241" s="570">
        <f t="shared" si="200"/>
        <v>1399.01</v>
      </c>
      <c r="P241" s="570">
        <f t="shared" si="200"/>
        <v>1399.01</v>
      </c>
      <c r="Q241" s="570">
        <f t="shared" si="200"/>
        <v>1399.01</v>
      </c>
      <c r="R241" s="570">
        <f t="shared" si="200"/>
        <v>1399.01</v>
      </c>
      <c r="S241" s="570">
        <f t="shared" si="200"/>
        <v>1399.01</v>
      </c>
      <c r="T241" s="570">
        <f t="shared" si="200"/>
        <v>1399.01</v>
      </c>
      <c r="U241" s="570">
        <f t="shared" si="200"/>
        <v>1399.01</v>
      </c>
      <c r="V241" s="570">
        <f t="shared" si="200"/>
        <v>1399.01</v>
      </c>
      <c r="W241" s="570">
        <f t="shared" si="200"/>
        <v>1399.01</v>
      </c>
      <c r="X241" s="570">
        <f t="shared" si="200"/>
        <v>1399.01</v>
      </c>
      <c r="Y241" s="570">
        <f t="shared" si="200"/>
        <v>1399.01</v>
      </c>
      <c r="Z241" s="570">
        <f t="shared" si="200"/>
        <v>1399.01</v>
      </c>
      <c r="AA241" s="570">
        <f t="shared" si="200"/>
        <v>1399.01</v>
      </c>
      <c r="AB241" s="570">
        <f t="shared" si="200"/>
        <v>1399.01</v>
      </c>
      <c r="AC241" s="570">
        <f t="shared" si="200"/>
        <v>1399.01</v>
      </c>
      <c r="AD241" s="570">
        <f t="shared" si="200"/>
        <v>1399.01</v>
      </c>
      <c r="AE241" s="570">
        <f t="shared" si="200"/>
        <v>1399.01</v>
      </c>
      <c r="AF241" s="570">
        <f t="shared" si="200"/>
        <v>1399.01</v>
      </c>
      <c r="AH241" s="571"/>
      <c r="AK241" s="531"/>
      <c r="AM241" s="548"/>
      <c r="AN241" s="535"/>
      <c r="AP241" s="549"/>
      <c r="AQ241" s="549"/>
    </row>
    <row r="242" spans="1:43" s="586" customFormat="1" ht="16.5" hidden="1" customHeight="1" outlineLevel="2">
      <c r="A242" s="584"/>
      <c r="B242" s="585" t="s">
        <v>805</v>
      </c>
      <c r="C242" s="716">
        <f t="shared" ref="C242:AF242" si="201">C167</f>
        <v>1</v>
      </c>
      <c r="D242" s="716">
        <f t="shared" si="201"/>
        <v>1</v>
      </c>
      <c r="E242" s="716">
        <f t="shared" si="201"/>
        <v>1</v>
      </c>
      <c r="F242" s="716">
        <f t="shared" si="201"/>
        <v>1</v>
      </c>
      <c r="G242" s="716">
        <f t="shared" si="201"/>
        <v>1</v>
      </c>
      <c r="H242" s="716">
        <f t="shared" si="201"/>
        <v>1</v>
      </c>
      <c r="I242" s="716">
        <f t="shared" si="201"/>
        <v>1</v>
      </c>
      <c r="J242" s="716">
        <f t="shared" si="201"/>
        <v>1</v>
      </c>
      <c r="K242" s="716">
        <f t="shared" si="201"/>
        <v>1</v>
      </c>
      <c r="L242" s="716">
        <f t="shared" si="201"/>
        <v>1</v>
      </c>
      <c r="M242" s="716">
        <f t="shared" si="201"/>
        <v>1</v>
      </c>
      <c r="N242" s="716">
        <f t="shared" si="201"/>
        <v>1</v>
      </c>
      <c r="O242" s="716">
        <f t="shared" si="201"/>
        <v>1</v>
      </c>
      <c r="P242" s="716">
        <f t="shared" si="201"/>
        <v>1</v>
      </c>
      <c r="Q242" s="716">
        <f t="shared" si="201"/>
        <v>1</v>
      </c>
      <c r="R242" s="716">
        <f t="shared" si="201"/>
        <v>1</v>
      </c>
      <c r="S242" s="716">
        <f t="shared" si="201"/>
        <v>1</v>
      </c>
      <c r="T242" s="716">
        <f t="shared" si="201"/>
        <v>1</v>
      </c>
      <c r="U242" s="716">
        <f t="shared" si="201"/>
        <v>1</v>
      </c>
      <c r="V242" s="716">
        <f t="shared" si="201"/>
        <v>1</v>
      </c>
      <c r="W242" s="716">
        <f t="shared" si="201"/>
        <v>1</v>
      </c>
      <c r="X242" s="716">
        <f t="shared" si="201"/>
        <v>1</v>
      </c>
      <c r="Y242" s="716">
        <f t="shared" si="201"/>
        <v>1</v>
      </c>
      <c r="Z242" s="716">
        <f t="shared" si="201"/>
        <v>1</v>
      </c>
      <c r="AA242" s="716">
        <f t="shared" si="201"/>
        <v>1</v>
      </c>
      <c r="AB242" s="716">
        <f t="shared" si="201"/>
        <v>1</v>
      </c>
      <c r="AC242" s="716">
        <f t="shared" si="201"/>
        <v>1</v>
      </c>
      <c r="AD242" s="716">
        <f t="shared" si="201"/>
        <v>1</v>
      </c>
      <c r="AE242" s="716">
        <f t="shared" si="201"/>
        <v>1</v>
      </c>
      <c r="AF242" s="716">
        <f t="shared" si="201"/>
        <v>1</v>
      </c>
      <c r="AH242" s="587"/>
      <c r="AK242" s="591"/>
      <c r="AM242" s="589"/>
      <c r="AN242" s="590"/>
      <c r="AP242" s="591"/>
      <c r="AQ242" s="591"/>
    </row>
    <row r="243" spans="1:43" s="513" customFormat="1" ht="16.5" hidden="1" customHeight="1" outlineLevel="2">
      <c r="A243" s="584"/>
      <c r="B243" s="572" t="s">
        <v>888</v>
      </c>
      <c r="C243" s="592">
        <f>EPIs_unif.!$D$12+EPIs_unif.!$D$38</f>
        <v>1399.01</v>
      </c>
      <c r="D243" s="592">
        <f>C243</f>
        <v>1399.01</v>
      </c>
      <c r="E243" s="592">
        <f t="shared" ref="E243:AF243" si="202">D243</f>
        <v>1399.01</v>
      </c>
      <c r="F243" s="592">
        <f t="shared" si="202"/>
        <v>1399.01</v>
      </c>
      <c r="G243" s="592">
        <f t="shared" si="202"/>
        <v>1399.01</v>
      </c>
      <c r="H243" s="592">
        <f t="shared" si="202"/>
        <v>1399.01</v>
      </c>
      <c r="I243" s="592">
        <f t="shared" si="202"/>
        <v>1399.01</v>
      </c>
      <c r="J243" s="592">
        <f t="shared" si="202"/>
        <v>1399.01</v>
      </c>
      <c r="K243" s="592">
        <f t="shared" si="202"/>
        <v>1399.01</v>
      </c>
      <c r="L243" s="592">
        <f t="shared" si="202"/>
        <v>1399.01</v>
      </c>
      <c r="M243" s="592">
        <f t="shared" si="202"/>
        <v>1399.01</v>
      </c>
      <c r="N243" s="592">
        <f t="shared" si="202"/>
        <v>1399.01</v>
      </c>
      <c r="O243" s="592">
        <f t="shared" si="202"/>
        <v>1399.01</v>
      </c>
      <c r="P243" s="592">
        <f t="shared" si="202"/>
        <v>1399.01</v>
      </c>
      <c r="Q243" s="592">
        <f t="shared" si="202"/>
        <v>1399.01</v>
      </c>
      <c r="R243" s="592">
        <f t="shared" si="202"/>
        <v>1399.01</v>
      </c>
      <c r="S243" s="592">
        <f t="shared" si="202"/>
        <v>1399.01</v>
      </c>
      <c r="T243" s="592">
        <f t="shared" si="202"/>
        <v>1399.01</v>
      </c>
      <c r="U243" s="592">
        <f t="shared" si="202"/>
        <v>1399.01</v>
      </c>
      <c r="V243" s="592">
        <f t="shared" si="202"/>
        <v>1399.01</v>
      </c>
      <c r="W243" s="592">
        <f t="shared" si="202"/>
        <v>1399.01</v>
      </c>
      <c r="X243" s="592">
        <f t="shared" si="202"/>
        <v>1399.01</v>
      </c>
      <c r="Y243" s="592">
        <f t="shared" si="202"/>
        <v>1399.01</v>
      </c>
      <c r="Z243" s="592">
        <f t="shared" si="202"/>
        <v>1399.01</v>
      </c>
      <c r="AA243" s="592">
        <f t="shared" si="202"/>
        <v>1399.01</v>
      </c>
      <c r="AB243" s="592">
        <f t="shared" si="202"/>
        <v>1399.01</v>
      </c>
      <c r="AC243" s="592">
        <f t="shared" si="202"/>
        <v>1399.01</v>
      </c>
      <c r="AD243" s="592">
        <f t="shared" si="202"/>
        <v>1399.01</v>
      </c>
      <c r="AE243" s="592">
        <f t="shared" si="202"/>
        <v>1399.01</v>
      </c>
      <c r="AF243" s="592">
        <f t="shared" si="202"/>
        <v>1399.01</v>
      </c>
      <c r="AH243" s="538"/>
      <c r="AK243" s="531"/>
      <c r="AM243" s="539"/>
      <c r="AN243" s="535"/>
      <c r="AP243" s="540"/>
      <c r="AQ243" s="540"/>
    </row>
    <row r="244" spans="1:43" s="513" customFormat="1" ht="3" hidden="1" customHeight="1" outlineLevel="1" collapsed="1">
      <c r="A244" s="584"/>
      <c r="B244" s="615"/>
      <c r="C244" s="616"/>
      <c r="D244" s="616"/>
      <c r="E244" s="616"/>
      <c r="F244" s="616"/>
      <c r="G244" s="616"/>
      <c r="H244" s="616"/>
      <c r="I244" s="616"/>
      <c r="J244" s="616"/>
      <c r="K244" s="616"/>
      <c r="L244" s="616"/>
      <c r="M244" s="616"/>
      <c r="N244" s="616"/>
      <c r="O244" s="616"/>
      <c r="P244" s="616"/>
      <c r="Q244" s="616"/>
      <c r="R244" s="616"/>
      <c r="S244" s="616"/>
      <c r="T244" s="616"/>
      <c r="U244" s="616"/>
      <c r="V244" s="616"/>
      <c r="W244" s="616"/>
      <c r="X244" s="616"/>
      <c r="Y244" s="616"/>
      <c r="Z244" s="616"/>
      <c r="AA244" s="616"/>
      <c r="AB244" s="616"/>
      <c r="AC244" s="616"/>
      <c r="AD244" s="616"/>
      <c r="AE244" s="616"/>
      <c r="AF244" s="616"/>
      <c r="AH244" s="538"/>
      <c r="AK244" s="531"/>
      <c r="AM244" s="539"/>
      <c r="AN244" s="535"/>
      <c r="AP244" s="540"/>
      <c r="AQ244" s="540"/>
    </row>
    <row r="245" spans="1:43" ht="16.5" customHeight="1">
      <c r="A245" s="584"/>
      <c r="B245" s="749" t="s">
        <v>946</v>
      </c>
      <c r="C245" s="710">
        <f t="shared" ref="C245:AF245" si="203">SUM(C254,C259,C265,C272,C278,C288,C293,C301,C305,C313,C357,C361,C399)*C3</f>
        <v>1214.1571981652173</v>
      </c>
      <c r="D245" s="710">
        <f t="shared" si="203"/>
        <v>1214.1571981652173</v>
      </c>
      <c r="E245" s="710">
        <f t="shared" si="203"/>
        <v>1214.1571981652173</v>
      </c>
      <c r="F245" s="710">
        <f t="shared" si="203"/>
        <v>1538.9907470452174</v>
      </c>
      <c r="G245" s="710">
        <f t="shared" si="203"/>
        <v>1538.9907470452174</v>
      </c>
      <c r="H245" s="710">
        <f t="shared" si="203"/>
        <v>1538.9907470452174</v>
      </c>
      <c r="I245" s="710">
        <f t="shared" si="203"/>
        <v>1538.9907470452174</v>
      </c>
      <c r="J245" s="710">
        <f t="shared" si="203"/>
        <v>1538.9907470452174</v>
      </c>
      <c r="K245" s="710">
        <f t="shared" si="203"/>
        <v>1538.9907470452174</v>
      </c>
      <c r="L245" s="710">
        <f t="shared" si="203"/>
        <v>1538.9907470452174</v>
      </c>
      <c r="M245" s="710">
        <f t="shared" si="203"/>
        <v>1538.9907470452174</v>
      </c>
      <c r="N245" s="710">
        <f t="shared" si="203"/>
        <v>1538.9907470452174</v>
      </c>
      <c r="O245" s="710">
        <f t="shared" si="203"/>
        <v>1538.9907470452174</v>
      </c>
      <c r="P245" s="710">
        <f t="shared" si="203"/>
        <v>1538.9907470452174</v>
      </c>
      <c r="Q245" s="710">
        <f t="shared" si="203"/>
        <v>1538.9907470452174</v>
      </c>
      <c r="R245" s="710">
        <f t="shared" si="203"/>
        <v>1538.9907470452174</v>
      </c>
      <c r="S245" s="710">
        <f t="shared" si="203"/>
        <v>1538.9907470452174</v>
      </c>
      <c r="T245" s="710">
        <f t="shared" si="203"/>
        <v>1538.9907470452174</v>
      </c>
      <c r="U245" s="710">
        <f t="shared" si="203"/>
        <v>1538.9907470452174</v>
      </c>
      <c r="V245" s="710">
        <f t="shared" si="203"/>
        <v>1538.9907470452174</v>
      </c>
      <c r="W245" s="710">
        <f t="shared" si="203"/>
        <v>1538.9907470452174</v>
      </c>
      <c r="X245" s="710">
        <f t="shared" si="203"/>
        <v>1538.9907470452174</v>
      </c>
      <c r="Y245" s="710">
        <f t="shared" si="203"/>
        <v>1538.9907470452174</v>
      </c>
      <c r="Z245" s="710">
        <f t="shared" si="203"/>
        <v>1538.9907470452174</v>
      </c>
      <c r="AA245" s="710">
        <f t="shared" si="203"/>
        <v>1538.9907470452174</v>
      </c>
      <c r="AB245" s="710">
        <f t="shared" si="203"/>
        <v>1538.9907470452174</v>
      </c>
      <c r="AC245" s="710">
        <f t="shared" si="203"/>
        <v>1538.9907470452174</v>
      </c>
      <c r="AD245" s="710">
        <f t="shared" si="203"/>
        <v>1538.9907470452174</v>
      </c>
      <c r="AE245" s="710">
        <f t="shared" si="203"/>
        <v>1538.9907470452174</v>
      </c>
      <c r="AF245" s="710">
        <f t="shared" si="203"/>
        <v>1538.9907470452174</v>
      </c>
      <c r="AG245" s="750"/>
      <c r="AH245" s="751">
        <f>SUM(C245:AF245)</f>
        <v>45195.221764716509</v>
      </c>
      <c r="AK245" s="531"/>
      <c r="AM245" s="533"/>
      <c r="AN245" s="535"/>
      <c r="AP245" s="535"/>
      <c r="AQ245" s="534"/>
    </row>
    <row r="246" spans="1:43" s="513" customFormat="1" ht="3" customHeight="1">
      <c r="A246" s="584"/>
      <c r="B246" s="541"/>
      <c r="C246" s="542"/>
      <c r="D246" s="542"/>
      <c r="E246" s="537"/>
      <c r="F246" s="537"/>
      <c r="G246" s="537"/>
      <c r="H246" s="537"/>
      <c r="I246" s="537"/>
      <c r="J246" s="537"/>
      <c r="K246" s="537"/>
      <c r="L246" s="537"/>
      <c r="M246" s="537"/>
      <c r="N246" s="537"/>
      <c r="O246" s="537"/>
      <c r="P246" s="537"/>
      <c r="Q246" s="537"/>
      <c r="R246" s="537"/>
      <c r="S246" s="537"/>
      <c r="T246" s="537"/>
      <c r="U246" s="537"/>
      <c r="V246" s="537"/>
      <c r="W246" s="537"/>
      <c r="X246" s="537"/>
      <c r="Y246" s="537"/>
      <c r="Z246" s="537"/>
      <c r="AA246" s="537"/>
      <c r="AB246" s="537"/>
      <c r="AC246" s="537"/>
      <c r="AD246" s="537"/>
      <c r="AE246" s="537"/>
      <c r="AF246" s="537"/>
      <c r="AH246" s="538"/>
      <c r="AJ246" s="617"/>
      <c r="AK246" s="531"/>
      <c r="AM246" s="594"/>
      <c r="AN246" s="535"/>
      <c r="AP246" s="540"/>
      <c r="AQ246" s="540"/>
    </row>
    <row r="247" spans="1:43" s="546" customFormat="1" ht="16.5" customHeight="1" collapsed="1">
      <c r="A247" s="584"/>
      <c r="B247" s="544" t="s">
        <v>947</v>
      </c>
      <c r="C247" s="545"/>
      <c r="D247" s="545"/>
      <c r="E247" s="545"/>
      <c r="F247" s="545"/>
      <c r="G247" s="545"/>
      <c r="H247" s="545"/>
      <c r="I247" s="545"/>
      <c r="J247" s="545"/>
      <c r="K247" s="545"/>
      <c r="L247" s="545"/>
      <c r="M247" s="545"/>
      <c r="N247" s="545"/>
      <c r="O247" s="545"/>
      <c r="P247" s="545"/>
      <c r="Q247" s="545"/>
      <c r="R247" s="545"/>
      <c r="S247" s="545"/>
      <c r="T247" s="545"/>
      <c r="U247" s="545"/>
      <c r="V247" s="545"/>
      <c r="W247" s="545"/>
      <c r="X247" s="545"/>
      <c r="Y247" s="545"/>
      <c r="Z247" s="545"/>
      <c r="AA247" s="545"/>
      <c r="AB247" s="545"/>
      <c r="AC247" s="545"/>
      <c r="AD247" s="545"/>
      <c r="AE247" s="545"/>
      <c r="AF247" s="545"/>
      <c r="AH247" s="571"/>
      <c r="AK247" s="531"/>
      <c r="AM247" s="594"/>
      <c r="AN247" s="535"/>
      <c r="AP247" s="549"/>
      <c r="AQ247" s="549"/>
    </row>
    <row r="248" spans="1:43" s="513" customFormat="1" ht="16.5" hidden="1" customHeight="1" outlineLevel="2">
      <c r="A248" s="584"/>
      <c r="B248" s="551" t="s">
        <v>881</v>
      </c>
      <c r="C248" s="553">
        <v>1</v>
      </c>
      <c r="D248" s="553">
        <f>C248</f>
        <v>1</v>
      </c>
      <c r="E248" s="553">
        <f t="shared" ref="E248:T248" si="204">D248</f>
        <v>1</v>
      </c>
      <c r="F248" s="553">
        <f t="shared" si="204"/>
        <v>1</v>
      </c>
      <c r="G248" s="553">
        <f t="shared" si="204"/>
        <v>1</v>
      </c>
      <c r="H248" s="553">
        <f t="shared" si="204"/>
        <v>1</v>
      </c>
      <c r="I248" s="553">
        <f t="shared" si="204"/>
        <v>1</v>
      </c>
      <c r="J248" s="553">
        <f t="shared" si="204"/>
        <v>1</v>
      </c>
      <c r="K248" s="553">
        <f t="shared" si="204"/>
        <v>1</v>
      </c>
      <c r="L248" s="553">
        <f t="shared" si="204"/>
        <v>1</v>
      </c>
      <c r="M248" s="553">
        <f t="shared" si="204"/>
        <v>1</v>
      </c>
      <c r="N248" s="553">
        <f t="shared" si="204"/>
        <v>1</v>
      </c>
      <c r="O248" s="553">
        <f t="shared" si="204"/>
        <v>1</v>
      </c>
      <c r="P248" s="553">
        <f t="shared" si="204"/>
        <v>1</v>
      </c>
      <c r="Q248" s="553">
        <f t="shared" si="204"/>
        <v>1</v>
      </c>
      <c r="R248" s="553">
        <f t="shared" si="204"/>
        <v>1</v>
      </c>
      <c r="S248" s="553">
        <f t="shared" si="204"/>
        <v>1</v>
      </c>
      <c r="T248" s="553">
        <f t="shared" si="204"/>
        <v>1</v>
      </c>
      <c r="U248" s="553">
        <f t="shared" ref="U248:AF248" si="205">T248</f>
        <v>1</v>
      </c>
      <c r="V248" s="553">
        <f t="shared" si="205"/>
        <v>1</v>
      </c>
      <c r="W248" s="553">
        <f t="shared" si="205"/>
        <v>1</v>
      </c>
      <c r="X248" s="553">
        <f t="shared" si="205"/>
        <v>1</v>
      </c>
      <c r="Y248" s="553">
        <f t="shared" si="205"/>
        <v>1</v>
      </c>
      <c r="Z248" s="553">
        <f t="shared" si="205"/>
        <v>1</v>
      </c>
      <c r="AA248" s="553">
        <f t="shared" si="205"/>
        <v>1</v>
      </c>
      <c r="AB248" s="553">
        <f t="shared" si="205"/>
        <v>1</v>
      </c>
      <c r="AC248" s="553">
        <f t="shared" si="205"/>
        <v>1</v>
      </c>
      <c r="AD248" s="553">
        <f t="shared" si="205"/>
        <v>1</v>
      </c>
      <c r="AE248" s="553">
        <f t="shared" si="205"/>
        <v>1</v>
      </c>
      <c r="AF248" s="553">
        <f t="shared" si="205"/>
        <v>1</v>
      </c>
      <c r="AH248" s="538"/>
      <c r="AK248" s="531"/>
      <c r="AM248" s="594"/>
      <c r="AN248" s="535"/>
      <c r="AP248" s="540"/>
      <c r="AQ248" s="540"/>
    </row>
    <row r="249" spans="1:43" s="513" customFormat="1" ht="16.5" hidden="1" customHeight="1" outlineLevel="2">
      <c r="A249" s="584"/>
      <c r="B249" s="551" t="s">
        <v>948</v>
      </c>
      <c r="C249" s="554">
        <f t="shared" ref="C249:AF249" si="206">C15</f>
        <v>225</v>
      </c>
      <c r="D249" s="554">
        <f t="shared" si="206"/>
        <v>225</v>
      </c>
      <c r="E249" s="554">
        <f t="shared" si="206"/>
        <v>225</v>
      </c>
      <c r="F249" s="553">
        <f t="shared" si="206"/>
        <v>225</v>
      </c>
      <c r="G249" s="553">
        <f t="shared" si="206"/>
        <v>225</v>
      </c>
      <c r="H249" s="553">
        <f t="shared" si="206"/>
        <v>225</v>
      </c>
      <c r="I249" s="553">
        <f t="shared" si="206"/>
        <v>225</v>
      </c>
      <c r="J249" s="553">
        <f t="shared" si="206"/>
        <v>225</v>
      </c>
      <c r="K249" s="553">
        <f t="shared" si="206"/>
        <v>225</v>
      </c>
      <c r="L249" s="553">
        <f t="shared" si="206"/>
        <v>225</v>
      </c>
      <c r="M249" s="553">
        <f t="shared" si="206"/>
        <v>225</v>
      </c>
      <c r="N249" s="553">
        <f t="shared" si="206"/>
        <v>225</v>
      </c>
      <c r="O249" s="553">
        <f t="shared" si="206"/>
        <v>225</v>
      </c>
      <c r="P249" s="553">
        <f t="shared" si="206"/>
        <v>225</v>
      </c>
      <c r="Q249" s="553">
        <f t="shared" si="206"/>
        <v>225</v>
      </c>
      <c r="R249" s="553">
        <f t="shared" si="206"/>
        <v>225</v>
      </c>
      <c r="S249" s="553">
        <f t="shared" si="206"/>
        <v>225</v>
      </c>
      <c r="T249" s="553">
        <f t="shared" si="206"/>
        <v>225</v>
      </c>
      <c r="U249" s="553">
        <f t="shared" si="206"/>
        <v>225</v>
      </c>
      <c r="V249" s="553">
        <f t="shared" si="206"/>
        <v>225</v>
      </c>
      <c r="W249" s="553">
        <f t="shared" si="206"/>
        <v>225</v>
      </c>
      <c r="X249" s="553">
        <f t="shared" si="206"/>
        <v>225</v>
      </c>
      <c r="Y249" s="553">
        <f t="shared" si="206"/>
        <v>225</v>
      </c>
      <c r="Z249" s="553">
        <f t="shared" si="206"/>
        <v>225</v>
      </c>
      <c r="AA249" s="553">
        <f t="shared" si="206"/>
        <v>225</v>
      </c>
      <c r="AB249" s="553">
        <f t="shared" si="206"/>
        <v>225</v>
      </c>
      <c r="AC249" s="553">
        <f t="shared" si="206"/>
        <v>225</v>
      </c>
      <c r="AD249" s="553">
        <f t="shared" si="206"/>
        <v>225</v>
      </c>
      <c r="AE249" s="553">
        <f t="shared" si="206"/>
        <v>225</v>
      </c>
      <c r="AF249" s="553">
        <f t="shared" si="206"/>
        <v>225</v>
      </c>
      <c r="AH249" s="538"/>
      <c r="AK249" s="531"/>
      <c r="AM249" s="594"/>
      <c r="AN249" s="535"/>
      <c r="AP249" s="540"/>
      <c r="AQ249" s="540"/>
    </row>
    <row r="250" spans="1:43" s="550" customFormat="1" ht="16.5" customHeight="1" collapsed="1">
      <c r="A250" s="584"/>
      <c r="B250" s="544" t="s">
        <v>885</v>
      </c>
      <c r="C250" s="545"/>
      <c r="D250" s="545"/>
      <c r="E250" s="545"/>
      <c r="F250" s="545"/>
      <c r="G250" s="545"/>
      <c r="H250" s="545"/>
      <c r="I250" s="545"/>
      <c r="J250" s="545"/>
      <c r="K250" s="545"/>
      <c r="L250" s="545"/>
      <c r="M250" s="545"/>
      <c r="N250" s="545"/>
      <c r="O250" s="545"/>
      <c r="P250" s="545"/>
      <c r="Q250" s="545"/>
      <c r="R250" s="545"/>
      <c r="S250" s="545"/>
      <c r="T250" s="545"/>
      <c r="U250" s="545"/>
      <c r="V250" s="545"/>
      <c r="W250" s="545"/>
      <c r="X250" s="545"/>
      <c r="Y250" s="545"/>
      <c r="Z250" s="545"/>
      <c r="AA250" s="545"/>
      <c r="AB250" s="545"/>
      <c r="AC250" s="545"/>
      <c r="AD250" s="545"/>
      <c r="AE250" s="545"/>
      <c r="AF250" s="545"/>
      <c r="AG250" s="546"/>
      <c r="AH250" s="547"/>
      <c r="AI250" s="546"/>
      <c r="AJ250" s="546"/>
      <c r="AK250" s="531"/>
      <c r="AL250" s="546"/>
      <c r="AM250" s="548"/>
      <c r="AN250" s="535"/>
      <c r="AO250" s="546"/>
      <c r="AP250" s="549"/>
      <c r="AQ250" s="549"/>
    </row>
    <row r="251" spans="1:43" s="586" customFormat="1" ht="16.5" hidden="1" customHeight="1" outlineLevel="2">
      <c r="A251" s="584"/>
      <c r="B251" s="608" t="s">
        <v>881</v>
      </c>
      <c r="C251" s="554">
        <v>1</v>
      </c>
      <c r="D251" s="554">
        <f>C251</f>
        <v>1</v>
      </c>
      <c r="E251" s="554">
        <f t="shared" ref="E251" si="207">D251</f>
        <v>1</v>
      </c>
      <c r="F251" s="554">
        <f t="shared" ref="F251" si="208">E251</f>
        <v>1</v>
      </c>
      <c r="G251" s="554">
        <f t="shared" ref="G251" si="209">F251</f>
        <v>1</v>
      </c>
      <c r="H251" s="554">
        <f t="shared" ref="H251" si="210">G251</f>
        <v>1</v>
      </c>
      <c r="I251" s="554">
        <f t="shared" ref="I251" si="211">H251</f>
        <v>1</v>
      </c>
      <c r="J251" s="554">
        <f t="shared" ref="J251" si="212">I251</f>
        <v>1</v>
      </c>
      <c r="K251" s="554">
        <f t="shared" ref="K251" si="213">J251</f>
        <v>1</v>
      </c>
      <c r="L251" s="554">
        <f t="shared" ref="L251" si="214">K251</f>
        <v>1</v>
      </c>
      <c r="M251" s="554">
        <f t="shared" ref="M251" si="215">L251</f>
        <v>1</v>
      </c>
      <c r="N251" s="554">
        <f t="shared" ref="N251" si="216">M251</f>
        <v>1</v>
      </c>
      <c r="O251" s="554">
        <f t="shared" ref="O251" si="217">N251</f>
        <v>1</v>
      </c>
      <c r="P251" s="554">
        <f t="shared" ref="P251" si="218">O251</f>
        <v>1</v>
      </c>
      <c r="Q251" s="554">
        <f t="shared" ref="Q251" si="219">P251</f>
        <v>1</v>
      </c>
      <c r="R251" s="554">
        <f t="shared" ref="R251" si="220">Q251</f>
        <v>1</v>
      </c>
      <c r="S251" s="554">
        <f t="shared" ref="S251" si="221">R251</f>
        <v>1</v>
      </c>
      <c r="T251" s="554">
        <f t="shared" ref="T251" si="222">S251</f>
        <v>1</v>
      </c>
      <c r="U251" s="554">
        <f t="shared" ref="U251" si="223">T251</f>
        <v>1</v>
      </c>
      <c r="V251" s="554">
        <f t="shared" ref="V251" si="224">U251</f>
        <v>1</v>
      </c>
      <c r="W251" s="554">
        <f t="shared" ref="W251" si="225">V251</f>
        <v>1</v>
      </c>
      <c r="X251" s="554">
        <f t="shared" ref="X251" si="226">W251</f>
        <v>1</v>
      </c>
      <c r="Y251" s="554">
        <f t="shared" ref="Y251" si="227">X251</f>
        <v>1</v>
      </c>
      <c r="Z251" s="554">
        <f t="shared" ref="Z251" si="228">Y251</f>
        <v>1</v>
      </c>
      <c r="AA251" s="554">
        <f t="shared" ref="AA251" si="229">Z251</f>
        <v>1</v>
      </c>
      <c r="AB251" s="554">
        <f t="shared" ref="AB251" si="230">AA251</f>
        <v>1</v>
      </c>
      <c r="AC251" s="554">
        <f t="shared" ref="AC251" si="231">AB251</f>
        <v>1</v>
      </c>
      <c r="AD251" s="554">
        <f t="shared" ref="AD251" si="232">AC251</f>
        <v>1</v>
      </c>
      <c r="AE251" s="554">
        <f t="shared" ref="AE251" si="233">AD251</f>
        <v>1</v>
      </c>
      <c r="AF251" s="554">
        <f t="shared" ref="AF251" si="234">AE251</f>
        <v>1</v>
      </c>
      <c r="AH251" s="587"/>
      <c r="AK251" s="588"/>
      <c r="AM251" s="589"/>
      <c r="AN251" s="590"/>
      <c r="AP251" s="591"/>
      <c r="AQ251" s="591"/>
    </row>
    <row r="252" spans="1:43" s="620" customFormat="1" ht="16.5" customHeight="1" collapsed="1">
      <c r="A252" s="584"/>
      <c r="B252" s="618" t="s">
        <v>886</v>
      </c>
      <c r="C252" s="545">
        <f>SUM(C315,C322,C329,C336,C343,C350)</f>
        <v>6</v>
      </c>
      <c r="D252" s="545">
        <f t="shared" ref="D252:AF252" si="235">SUM(D315,D322,D329,D336,D343,D350)</f>
        <v>6</v>
      </c>
      <c r="E252" s="545">
        <f t="shared" si="235"/>
        <v>6</v>
      </c>
      <c r="F252" s="545">
        <f t="shared" si="235"/>
        <v>11</v>
      </c>
      <c r="G252" s="545">
        <f t="shared" si="235"/>
        <v>11</v>
      </c>
      <c r="H252" s="545">
        <f t="shared" si="235"/>
        <v>11</v>
      </c>
      <c r="I252" s="545">
        <f t="shared" si="235"/>
        <v>11</v>
      </c>
      <c r="J252" s="545">
        <f t="shared" si="235"/>
        <v>11</v>
      </c>
      <c r="K252" s="545">
        <f t="shared" si="235"/>
        <v>11</v>
      </c>
      <c r="L252" s="545">
        <f t="shared" si="235"/>
        <v>11</v>
      </c>
      <c r="M252" s="545">
        <f t="shared" si="235"/>
        <v>11</v>
      </c>
      <c r="N252" s="545">
        <f t="shared" si="235"/>
        <v>11</v>
      </c>
      <c r="O252" s="545">
        <f t="shared" si="235"/>
        <v>11</v>
      </c>
      <c r="P252" s="545">
        <f t="shared" si="235"/>
        <v>11</v>
      </c>
      <c r="Q252" s="545">
        <f t="shared" si="235"/>
        <v>11</v>
      </c>
      <c r="R252" s="545">
        <f t="shared" si="235"/>
        <v>11</v>
      </c>
      <c r="S252" s="545">
        <f t="shared" si="235"/>
        <v>11</v>
      </c>
      <c r="T252" s="545">
        <f t="shared" si="235"/>
        <v>11</v>
      </c>
      <c r="U252" s="545">
        <f t="shared" si="235"/>
        <v>11</v>
      </c>
      <c r="V252" s="545">
        <f t="shared" si="235"/>
        <v>11</v>
      </c>
      <c r="W252" s="545">
        <f t="shared" si="235"/>
        <v>11</v>
      </c>
      <c r="X252" s="545">
        <f t="shared" si="235"/>
        <v>11</v>
      </c>
      <c r="Y252" s="545">
        <f t="shared" si="235"/>
        <v>11</v>
      </c>
      <c r="Z252" s="545">
        <f t="shared" si="235"/>
        <v>11</v>
      </c>
      <c r="AA252" s="545">
        <f t="shared" si="235"/>
        <v>11</v>
      </c>
      <c r="AB252" s="545">
        <f t="shared" si="235"/>
        <v>11</v>
      </c>
      <c r="AC252" s="545">
        <f t="shared" si="235"/>
        <v>11</v>
      </c>
      <c r="AD252" s="545">
        <f t="shared" si="235"/>
        <v>11</v>
      </c>
      <c r="AE252" s="545">
        <f t="shared" si="235"/>
        <v>11</v>
      </c>
      <c r="AF252" s="545">
        <f t="shared" si="235"/>
        <v>11</v>
      </c>
      <c r="AG252" s="546"/>
      <c r="AH252" s="619"/>
      <c r="AI252" s="546"/>
      <c r="AJ252" s="546"/>
      <c r="AK252" s="531"/>
      <c r="AL252" s="546"/>
      <c r="AM252" s="548"/>
      <c r="AN252" s="535"/>
      <c r="AO252" s="546"/>
      <c r="AP252" s="549"/>
      <c r="AQ252" s="549"/>
    </row>
    <row r="253" spans="1:43" s="513" customFormat="1" ht="3" hidden="1" customHeight="1" outlineLevel="2">
      <c r="A253" s="584"/>
      <c r="B253" s="551"/>
      <c r="C253" s="555"/>
      <c r="D253" s="555"/>
      <c r="E253" s="555"/>
      <c r="F253" s="555"/>
      <c r="G253" s="555"/>
      <c r="H253" s="555"/>
      <c r="I253" s="555"/>
      <c r="J253" s="555"/>
      <c r="K253" s="555"/>
      <c r="L253" s="555"/>
      <c r="M253" s="555"/>
      <c r="N253" s="555"/>
      <c r="O253" s="555"/>
      <c r="P253" s="555"/>
      <c r="Q253" s="555"/>
      <c r="R253" s="555"/>
      <c r="S253" s="555"/>
      <c r="T253" s="555"/>
      <c r="U253" s="555"/>
      <c r="V253" s="555"/>
      <c r="W253" s="555"/>
      <c r="X253" s="555"/>
      <c r="Y253" s="555"/>
      <c r="Z253" s="555"/>
      <c r="AA253" s="555"/>
      <c r="AB253" s="555"/>
      <c r="AC253" s="555"/>
      <c r="AD253" s="555"/>
      <c r="AE253" s="555"/>
      <c r="AF253" s="555"/>
      <c r="AH253" s="538"/>
      <c r="AK253" s="531"/>
      <c r="AM253" s="539"/>
      <c r="AN253" s="540"/>
      <c r="AP253" s="540"/>
      <c r="AQ253" s="540"/>
    </row>
    <row r="254" spans="1:43" s="564" customFormat="1" ht="16.5" hidden="1" customHeight="1" outlineLevel="1" collapsed="1">
      <c r="A254" s="584"/>
      <c r="B254" s="562" t="s">
        <v>887</v>
      </c>
      <c r="C254" s="621">
        <f>SUM(C255)*12/10^3</f>
        <v>363.85199999999992</v>
      </c>
      <c r="D254" s="621">
        <f t="shared" ref="D254:AF254" si="236">SUM(D255)*12/10^3</f>
        <v>363.85199999999992</v>
      </c>
      <c r="E254" s="621">
        <f t="shared" si="236"/>
        <v>363.85199999999992</v>
      </c>
      <c r="F254" s="621">
        <f t="shared" si="236"/>
        <v>363.85199999999992</v>
      </c>
      <c r="G254" s="621">
        <f t="shared" si="236"/>
        <v>363.85199999999992</v>
      </c>
      <c r="H254" s="621">
        <f t="shared" si="236"/>
        <v>363.85199999999992</v>
      </c>
      <c r="I254" s="621">
        <f t="shared" si="236"/>
        <v>363.85199999999992</v>
      </c>
      <c r="J254" s="621">
        <f t="shared" si="236"/>
        <v>363.85199999999992</v>
      </c>
      <c r="K254" s="621">
        <f t="shared" si="236"/>
        <v>363.85199999999992</v>
      </c>
      <c r="L254" s="621">
        <f t="shared" si="236"/>
        <v>363.85199999999992</v>
      </c>
      <c r="M254" s="621">
        <f t="shared" si="236"/>
        <v>363.85199999999992</v>
      </c>
      <c r="N254" s="621">
        <f t="shared" si="236"/>
        <v>363.85199999999992</v>
      </c>
      <c r="O254" s="621">
        <f t="shared" si="236"/>
        <v>363.85199999999992</v>
      </c>
      <c r="P254" s="621">
        <f t="shared" si="236"/>
        <v>363.85199999999992</v>
      </c>
      <c r="Q254" s="621">
        <f t="shared" si="236"/>
        <v>363.85199999999992</v>
      </c>
      <c r="R254" s="621">
        <f t="shared" si="236"/>
        <v>363.85199999999992</v>
      </c>
      <c r="S254" s="621">
        <f t="shared" si="236"/>
        <v>363.85199999999992</v>
      </c>
      <c r="T254" s="621">
        <f t="shared" si="236"/>
        <v>363.85199999999992</v>
      </c>
      <c r="U254" s="621">
        <f t="shared" si="236"/>
        <v>363.85199999999992</v>
      </c>
      <c r="V254" s="621">
        <f t="shared" si="236"/>
        <v>363.85199999999992</v>
      </c>
      <c r="W254" s="621">
        <f t="shared" si="236"/>
        <v>363.85199999999992</v>
      </c>
      <c r="X254" s="621">
        <f t="shared" si="236"/>
        <v>363.85199999999992</v>
      </c>
      <c r="Y254" s="621">
        <f t="shared" si="236"/>
        <v>363.85199999999992</v>
      </c>
      <c r="Z254" s="621">
        <f t="shared" si="236"/>
        <v>363.85199999999992</v>
      </c>
      <c r="AA254" s="621">
        <f t="shared" si="236"/>
        <v>363.85199999999992</v>
      </c>
      <c r="AB254" s="621">
        <f t="shared" si="236"/>
        <v>363.85199999999992</v>
      </c>
      <c r="AC254" s="621">
        <f t="shared" si="236"/>
        <v>363.85199999999992</v>
      </c>
      <c r="AD254" s="621">
        <f t="shared" si="236"/>
        <v>363.85199999999992</v>
      </c>
      <c r="AE254" s="621">
        <f t="shared" si="236"/>
        <v>363.85199999999992</v>
      </c>
      <c r="AF254" s="621">
        <f t="shared" si="236"/>
        <v>363.85199999999992</v>
      </c>
      <c r="AH254" s="565">
        <f>SUM(C254:AF254)</f>
        <v>10915.560000000003</v>
      </c>
      <c r="AJ254" s="566"/>
      <c r="AK254" s="531"/>
      <c r="AM254" s="594"/>
      <c r="AN254" s="535"/>
      <c r="AP254" s="568"/>
      <c r="AQ254" s="568"/>
    </row>
    <row r="255" spans="1:43" s="546" customFormat="1" ht="16.5" hidden="1" customHeight="1" outlineLevel="2">
      <c r="A255" s="584"/>
      <c r="B255" s="569" t="s">
        <v>889</v>
      </c>
      <c r="C255" s="570">
        <f>C256*C257</f>
        <v>30320.999999999996</v>
      </c>
      <c r="D255" s="570">
        <f t="shared" ref="D255:AF255" si="237">D256*D257</f>
        <v>30320.999999999996</v>
      </c>
      <c r="E255" s="570">
        <f t="shared" si="237"/>
        <v>30320.999999999996</v>
      </c>
      <c r="F255" s="570">
        <f t="shared" si="237"/>
        <v>30320.999999999996</v>
      </c>
      <c r="G255" s="570">
        <f t="shared" si="237"/>
        <v>30320.999999999996</v>
      </c>
      <c r="H255" s="570">
        <f t="shared" si="237"/>
        <v>30320.999999999996</v>
      </c>
      <c r="I255" s="570">
        <f t="shared" si="237"/>
        <v>30320.999999999996</v>
      </c>
      <c r="J255" s="570">
        <f t="shared" si="237"/>
        <v>30320.999999999996</v>
      </c>
      <c r="K255" s="570">
        <f t="shared" si="237"/>
        <v>30320.999999999996</v>
      </c>
      <c r="L255" s="570">
        <f t="shared" si="237"/>
        <v>30320.999999999996</v>
      </c>
      <c r="M255" s="570">
        <f t="shared" si="237"/>
        <v>30320.999999999996</v>
      </c>
      <c r="N255" s="570">
        <f t="shared" si="237"/>
        <v>30320.999999999996</v>
      </c>
      <c r="O255" s="570">
        <f t="shared" si="237"/>
        <v>30320.999999999996</v>
      </c>
      <c r="P255" s="570">
        <f t="shared" si="237"/>
        <v>30320.999999999996</v>
      </c>
      <c r="Q255" s="570">
        <f t="shared" si="237"/>
        <v>30320.999999999996</v>
      </c>
      <c r="R255" s="570">
        <f t="shared" si="237"/>
        <v>30320.999999999996</v>
      </c>
      <c r="S255" s="570">
        <f t="shared" si="237"/>
        <v>30320.999999999996</v>
      </c>
      <c r="T255" s="570">
        <f t="shared" si="237"/>
        <v>30320.999999999996</v>
      </c>
      <c r="U255" s="570">
        <f t="shared" si="237"/>
        <v>30320.999999999996</v>
      </c>
      <c r="V255" s="570">
        <f t="shared" si="237"/>
        <v>30320.999999999996</v>
      </c>
      <c r="W255" s="570">
        <f t="shared" si="237"/>
        <v>30320.999999999996</v>
      </c>
      <c r="X255" s="570">
        <f t="shared" si="237"/>
        <v>30320.999999999996</v>
      </c>
      <c r="Y255" s="570">
        <f t="shared" si="237"/>
        <v>30320.999999999996</v>
      </c>
      <c r="Z255" s="570">
        <f t="shared" si="237"/>
        <v>30320.999999999996</v>
      </c>
      <c r="AA255" s="570">
        <f t="shared" si="237"/>
        <v>30320.999999999996</v>
      </c>
      <c r="AB255" s="570">
        <f t="shared" si="237"/>
        <v>30320.999999999996</v>
      </c>
      <c r="AC255" s="570">
        <f t="shared" si="237"/>
        <v>30320.999999999996</v>
      </c>
      <c r="AD255" s="570">
        <f t="shared" si="237"/>
        <v>30320.999999999996</v>
      </c>
      <c r="AE255" s="570">
        <f t="shared" si="237"/>
        <v>30320.999999999996</v>
      </c>
      <c r="AF255" s="570">
        <f t="shared" si="237"/>
        <v>30320.999999999996</v>
      </c>
      <c r="AH255" s="571"/>
      <c r="AK255" s="531"/>
      <c r="AM255" s="539"/>
      <c r="AN255" s="540"/>
      <c r="AP255" s="549"/>
      <c r="AQ255" s="549"/>
    </row>
    <row r="256" spans="1:43" s="586" customFormat="1" ht="16.5" hidden="1" customHeight="1" outlineLevel="2">
      <c r="A256" s="584"/>
      <c r="B256" s="585" t="s">
        <v>805</v>
      </c>
      <c r="C256" s="716">
        <f t="shared" ref="C256:AF256" si="238">C249</f>
        <v>225</v>
      </c>
      <c r="D256" s="716">
        <f t="shared" si="238"/>
        <v>225</v>
      </c>
      <c r="E256" s="716">
        <f t="shared" si="238"/>
        <v>225</v>
      </c>
      <c r="F256" s="716">
        <f t="shared" si="238"/>
        <v>225</v>
      </c>
      <c r="G256" s="716">
        <f t="shared" si="238"/>
        <v>225</v>
      </c>
      <c r="H256" s="716">
        <f t="shared" si="238"/>
        <v>225</v>
      </c>
      <c r="I256" s="716">
        <f t="shared" si="238"/>
        <v>225</v>
      </c>
      <c r="J256" s="716">
        <f t="shared" si="238"/>
        <v>225</v>
      </c>
      <c r="K256" s="716">
        <f t="shared" si="238"/>
        <v>225</v>
      </c>
      <c r="L256" s="716">
        <f t="shared" si="238"/>
        <v>225</v>
      </c>
      <c r="M256" s="716">
        <f t="shared" si="238"/>
        <v>225</v>
      </c>
      <c r="N256" s="716">
        <f t="shared" si="238"/>
        <v>225</v>
      </c>
      <c r="O256" s="716">
        <f t="shared" si="238"/>
        <v>225</v>
      </c>
      <c r="P256" s="716">
        <f t="shared" si="238"/>
        <v>225</v>
      </c>
      <c r="Q256" s="716">
        <f t="shared" si="238"/>
        <v>225</v>
      </c>
      <c r="R256" s="716">
        <f t="shared" si="238"/>
        <v>225</v>
      </c>
      <c r="S256" s="716">
        <f t="shared" si="238"/>
        <v>225</v>
      </c>
      <c r="T256" s="716">
        <f t="shared" si="238"/>
        <v>225</v>
      </c>
      <c r="U256" s="716">
        <f t="shared" si="238"/>
        <v>225</v>
      </c>
      <c r="V256" s="716">
        <f t="shared" si="238"/>
        <v>225</v>
      </c>
      <c r="W256" s="716">
        <f t="shared" si="238"/>
        <v>225</v>
      </c>
      <c r="X256" s="716">
        <f t="shared" si="238"/>
        <v>225</v>
      </c>
      <c r="Y256" s="716">
        <f t="shared" si="238"/>
        <v>225</v>
      </c>
      <c r="Z256" s="716">
        <f t="shared" si="238"/>
        <v>225</v>
      </c>
      <c r="AA256" s="716">
        <f t="shared" si="238"/>
        <v>225</v>
      </c>
      <c r="AB256" s="716">
        <f t="shared" si="238"/>
        <v>225</v>
      </c>
      <c r="AC256" s="716">
        <f t="shared" si="238"/>
        <v>225</v>
      </c>
      <c r="AD256" s="716">
        <f t="shared" si="238"/>
        <v>225</v>
      </c>
      <c r="AE256" s="716">
        <f t="shared" si="238"/>
        <v>225</v>
      </c>
      <c r="AF256" s="716">
        <f t="shared" si="238"/>
        <v>225</v>
      </c>
      <c r="AH256" s="587"/>
      <c r="AK256" s="588"/>
      <c r="AM256" s="589"/>
      <c r="AN256" s="590"/>
      <c r="AP256" s="591"/>
      <c r="AQ256" s="591"/>
    </row>
    <row r="257" spans="1:43" s="586" customFormat="1" ht="16.5" hidden="1" customHeight="1" outlineLevel="2">
      <c r="A257" s="584"/>
      <c r="B257" s="585" t="s">
        <v>888</v>
      </c>
      <c r="C257" s="632">
        <f>Insumos!$E$168</f>
        <v>134.76</v>
      </c>
      <c r="D257" s="632">
        <f>C257</f>
        <v>134.76</v>
      </c>
      <c r="E257" s="632">
        <f t="shared" ref="E257:AF257" si="239">D257</f>
        <v>134.76</v>
      </c>
      <c r="F257" s="632">
        <f t="shared" si="239"/>
        <v>134.76</v>
      </c>
      <c r="G257" s="632">
        <f t="shared" si="239"/>
        <v>134.76</v>
      </c>
      <c r="H257" s="632">
        <f t="shared" si="239"/>
        <v>134.76</v>
      </c>
      <c r="I257" s="632">
        <f t="shared" si="239"/>
        <v>134.76</v>
      </c>
      <c r="J257" s="632">
        <f t="shared" si="239"/>
        <v>134.76</v>
      </c>
      <c r="K257" s="632">
        <f t="shared" si="239"/>
        <v>134.76</v>
      </c>
      <c r="L257" s="632">
        <f t="shared" si="239"/>
        <v>134.76</v>
      </c>
      <c r="M257" s="632">
        <f t="shared" si="239"/>
        <v>134.76</v>
      </c>
      <c r="N257" s="632">
        <f t="shared" si="239"/>
        <v>134.76</v>
      </c>
      <c r="O257" s="632">
        <f t="shared" si="239"/>
        <v>134.76</v>
      </c>
      <c r="P257" s="632">
        <f t="shared" si="239"/>
        <v>134.76</v>
      </c>
      <c r="Q257" s="632">
        <f t="shared" si="239"/>
        <v>134.76</v>
      </c>
      <c r="R257" s="632">
        <f t="shared" si="239"/>
        <v>134.76</v>
      </c>
      <c r="S257" s="632">
        <f t="shared" si="239"/>
        <v>134.76</v>
      </c>
      <c r="T257" s="632">
        <f t="shared" si="239"/>
        <v>134.76</v>
      </c>
      <c r="U257" s="632">
        <f t="shared" si="239"/>
        <v>134.76</v>
      </c>
      <c r="V257" s="632">
        <f t="shared" si="239"/>
        <v>134.76</v>
      </c>
      <c r="W257" s="632">
        <f t="shared" si="239"/>
        <v>134.76</v>
      </c>
      <c r="X257" s="632">
        <f t="shared" si="239"/>
        <v>134.76</v>
      </c>
      <c r="Y257" s="632">
        <f t="shared" si="239"/>
        <v>134.76</v>
      </c>
      <c r="Z257" s="632">
        <f t="shared" si="239"/>
        <v>134.76</v>
      </c>
      <c r="AA257" s="632">
        <f t="shared" si="239"/>
        <v>134.76</v>
      </c>
      <c r="AB257" s="632">
        <f t="shared" si="239"/>
        <v>134.76</v>
      </c>
      <c r="AC257" s="632">
        <f t="shared" si="239"/>
        <v>134.76</v>
      </c>
      <c r="AD257" s="632">
        <f t="shared" si="239"/>
        <v>134.76</v>
      </c>
      <c r="AE257" s="632">
        <f t="shared" si="239"/>
        <v>134.76</v>
      </c>
      <c r="AF257" s="632">
        <f t="shared" si="239"/>
        <v>134.76</v>
      </c>
      <c r="AH257" s="587"/>
      <c r="AK257" s="588"/>
      <c r="AM257" s="589"/>
      <c r="AN257" s="591"/>
      <c r="AP257" s="591"/>
      <c r="AQ257" s="591"/>
    </row>
    <row r="258" spans="1:43" s="513" customFormat="1" ht="3" hidden="1" customHeight="1" outlineLevel="2">
      <c r="A258" s="584"/>
      <c r="B258" s="572"/>
      <c r="C258" s="575"/>
      <c r="D258" s="575"/>
      <c r="E258" s="575"/>
      <c r="F258" s="575"/>
      <c r="G258" s="575"/>
      <c r="H258" s="575"/>
      <c r="I258" s="575"/>
      <c r="J258" s="575"/>
      <c r="K258" s="575"/>
      <c r="L258" s="575"/>
      <c r="M258" s="575"/>
      <c r="N258" s="575"/>
      <c r="O258" s="575"/>
      <c r="P258" s="575"/>
      <c r="Q258" s="575"/>
      <c r="R258" s="575"/>
      <c r="S258" s="575"/>
      <c r="T258" s="575"/>
      <c r="U258" s="575"/>
      <c r="V258" s="575"/>
      <c r="W258" s="575"/>
      <c r="X258" s="575"/>
      <c r="Y258" s="575"/>
      <c r="Z258" s="575"/>
      <c r="AA258" s="575"/>
      <c r="AB258" s="575"/>
      <c r="AC258" s="575"/>
      <c r="AD258" s="575"/>
      <c r="AE258" s="575"/>
      <c r="AF258" s="575"/>
      <c r="AH258" s="538"/>
      <c r="AK258" s="531"/>
      <c r="AM258" s="594"/>
      <c r="AN258" s="535"/>
      <c r="AP258" s="540"/>
      <c r="AQ258" s="540"/>
    </row>
    <row r="259" spans="1:43" s="564" customFormat="1" ht="16.5" hidden="1" customHeight="1" outlineLevel="1" collapsed="1">
      <c r="A259" s="584"/>
      <c r="B259" s="576" t="s">
        <v>890</v>
      </c>
      <c r="C259" s="621">
        <f>SUM(C260)*12/10^3</f>
        <v>264.22383299999996</v>
      </c>
      <c r="D259" s="621">
        <f t="shared" ref="D259:AF259" si="240">SUM(D260)*12/10^3</f>
        <v>264.22383299999996</v>
      </c>
      <c r="E259" s="621">
        <f t="shared" si="240"/>
        <v>264.22383299999996</v>
      </c>
      <c r="F259" s="621">
        <f t="shared" si="240"/>
        <v>264.22383299999996</v>
      </c>
      <c r="G259" s="621">
        <f t="shared" si="240"/>
        <v>264.22383299999996</v>
      </c>
      <c r="H259" s="621">
        <f t="shared" si="240"/>
        <v>264.22383299999996</v>
      </c>
      <c r="I259" s="621">
        <f t="shared" si="240"/>
        <v>264.22383299999996</v>
      </c>
      <c r="J259" s="621">
        <f t="shared" si="240"/>
        <v>264.22383299999996</v>
      </c>
      <c r="K259" s="621">
        <f t="shared" si="240"/>
        <v>264.22383299999996</v>
      </c>
      <c r="L259" s="621">
        <f t="shared" si="240"/>
        <v>264.22383299999996</v>
      </c>
      <c r="M259" s="621">
        <f t="shared" si="240"/>
        <v>264.22383299999996</v>
      </c>
      <c r="N259" s="621">
        <f t="shared" si="240"/>
        <v>264.22383299999996</v>
      </c>
      <c r="O259" s="621">
        <f t="shared" si="240"/>
        <v>264.22383299999996</v>
      </c>
      <c r="P259" s="621">
        <f t="shared" si="240"/>
        <v>264.22383299999996</v>
      </c>
      <c r="Q259" s="621">
        <f t="shared" si="240"/>
        <v>264.22383299999996</v>
      </c>
      <c r="R259" s="621">
        <f t="shared" si="240"/>
        <v>264.22383299999996</v>
      </c>
      <c r="S259" s="621">
        <f t="shared" si="240"/>
        <v>264.22383299999996</v>
      </c>
      <c r="T259" s="621">
        <f t="shared" si="240"/>
        <v>264.22383299999996</v>
      </c>
      <c r="U259" s="621">
        <f t="shared" si="240"/>
        <v>264.22383299999996</v>
      </c>
      <c r="V259" s="621">
        <f t="shared" si="240"/>
        <v>264.22383299999996</v>
      </c>
      <c r="W259" s="621">
        <f t="shared" si="240"/>
        <v>264.22383299999996</v>
      </c>
      <c r="X259" s="621">
        <f t="shared" si="240"/>
        <v>264.22383299999996</v>
      </c>
      <c r="Y259" s="621">
        <f t="shared" si="240"/>
        <v>264.22383299999996</v>
      </c>
      <c r="Z259" s="621">
        <f t="shared" si="240"/>
        <v>264.22383299999996</v>
      </c>
      <c r="AA259" s="621">
        <f t="shared" si="240"/>
        <v>264.22383299999996</v>
      </c>
      <c r="AB259" s="621">
        <f t="shared" si="240"/>
        <v>264.22383299999996</v>
      </c>
      <c r="AC259" s="621">
        <f t="shared" si="240"/>
        <v>264.22383299999996</v>
      </c>
      <c r="AD259" s="621">
        <f t="shared" si="240"/>
        <v>264.22383299999996</v>
      </c>
      <c r="AE259" s="621">
        <f t="shared" si="240"/>
        <v>264.22383299999996</v>
      </c>
      <c r="AF259" s="621">
        <f t="shared" si="240"/>
        <v>264.22383299999996</v>
      </c>
      <c r="AH259" s="578">
        <f>SUM(C259:AF259)</f>
        <v>7926.7149899999995</v>
      </c>
      <c r="AK259" s="531"/>
      <c r="AM259" s="594"/>
      <c r="AN259" s="535"/>
      <c r="AP259" s="568"/>
      <c r="AQ259" s="568"/>
    </row>
    <row r="260" spans="1:43" s="546" customFormat="1" ht="16.5" hidden="1" customHeight="1" outlineLevel="2">
      <c r="A260" s="584"/>
      <c r="B260" s="580" t="s">
        <v>814</v>
      </c>
      <c r="C260" s="581">
        <f>C262*C263</f>
        <v>22018.652750000001</v>
      </c>
      <c r="D260" s="581">
        <f t="shared" ref="D260:AF260" si="241">D262*D263</f>
        <v>22018.652750000001</v>
      </c>
      <c r="E260" s="581">
        <f t="shared" si="241"/>
        <v>22018.652750000001</v>
      </c>
      <c r="F260" s="581">
        <f t="shared" si="241"/>
        <v>22018.652750000001</v>
      </c>
      <c r="G260" s="581">
        <f t="shared" si="241"/>
        <v>22018.652750000001</v>
      </c>
      <c r="H260" s="581">
        <f t="shared" si="241"/>
        <v>22018.652750000001</v>
      </c>
      <c r="I260" s="581">
        <f t="shared" si="241"/>
        <v>22018.652750000001</v>
      </c>
      <c r="J260" s="581">
        <f t="shared" si="241"/>
        <v>22018.652750000001</v>
      </c>
      <c r="K260" s="581">
        <f t="shared" si="241"/>
        <v>22018.652750000001</v>
      </c>
      <c r="L260" s="581">
        <f t="shared" si="241"/>
        <v>22018.652750000001</v>
      </c>
      <c r="M260" s="581">
        <f t="shared" si="241"/>
        <v>22018.652750000001</v>
      </c>
      <c r="N260" s="581">
        <f t="shared" si="241"/>
        <v>22018.652750000001</v>
      </c>
      <c r="O260" s="581">
        <f t="shared" si="241"/>
        <v>22018.652750000001</v>
      </c>
      <c r="P260" s="581">
        <f t="shared" si="241"/>
        <v>22018.652750000001</v>
      </c>
      <c r="Q260" s="581">
        <f t="shared" si="241"/>
        <v>22018.652750000001</v>
      </c>
      <c r="R260" s="581">
        <f t="shared" si="241"/>
        <v>22018.652750000001</v>
      </c>
      <c r="S260" s="581">
        <f t="shared" si="241"/>
        <v>22018.652750000001</v>
      </c>
      <c r="T260" s="581">
        <f t="shared" si="241"/>
        <v>22018.652750000001</v>
      </c>
      <c r="U260" s="581">
        <f t="shared" si="241"/>
        <v>22018.652750000001</v>
      </c>
      <c r="V260" s="581">
        <f t="shared" si="241"/>
        <v>22018.652750000001</v>
      </c>
      <c r="W260" s="581">
        <f t="shared" si="241"/>
        <v>22018.652750000001</v>
      </c>
      <c r="X260" s="581">
        <f t="shared" si="241"/>
        <v>22018.652750000001</v>
      </c>
      <c r="Y260" s="581">
        <f t="shared" si="241"/>
        <v>22018.652750000001</v>
      </c>
      <c r="Z260" s="581">
        <f t="shared" si="241"/>
        <v>22018.652750000001</v>
      </c>
      <c r="AA260" s="581">
        <f t="shared" si="241"/>
        <v>22018.652750000001</v>
      </c>
      <c r="AB260" s="581">
        <f t="shared" si="241"/>
        <v>22018.652750000001</v>
      </c>
      <c r="AC260" s="581">
        <f t="shared" si="241"/>
        <v>22018.652750000001</v>
      </c>
      <c r="AD260" s="581">
        <f t="shared" si="241"/>
        <v>22018.652750000001</v>
      </c>
      <c r="AE260" s="581">
        <f t="shared" si="241"/>
        <v>22018.652750000001</v>
      </c>
      <c r="AF260" s="581">
        <f t="shared" si="241"/>
        <v>22018.652750000001</v>
      </c>
      <c r="AH260" s="571"/>
      <c r="AK260" s="531"/>
      <c r="AM260" s="594"/>
      <c r="AN260" s="535"/>
      <c r="AP260" s="549"/>
      <c r="AQ260" s="549"/>
    </row>
    <row r="261" spans="1:43" s="513" customFormat="1" ht="16.5" hidden="1" customHeight="1" outlineLevel="2">
      <c r="A261" s="584"/>
      <c r="B261" s="572" t="s">
        <v>891</v>
      </c>
      <c r="C261" s="574">
        <f>1332*2</f>
        <v>2664</v>
      </c>
      <c r="D261" s="574">
        <f>C261</f>
        <v>2664</v>
      </c>
      <c r="E261" s="574">
        <f t="shared" ref="E261:T263" si="242">D261</f>
        <v>2664</v>
      </c>
      <c r="F261" s="574">
        <f t="shared" si="242"/>
        <v>2664</v>
      </c>
      <c r="G261" s="574">
        <f t="shared" si="242"/>
        <v>2664</v>
      </c>
      <c r="H261" s="574">
        <f t="shared" si="242"/>
        <v>2664</v>
      </c>
      <c r="I261" s="574">
        <f t="shared" si="242"/>
        <v>2664</v>
      </c>
      <c r="J261" s="574">
        <f t="shared" si="242"/>
        <v>2664</v>
      </c>
      <c r="K261" s="574">
        <f t="shared" si="242"/>
        <v>2664</v>
      </c>
      <c r="L261" s="574">
        <f t="shared" si="242"/>
        <v>2664</v>
      </c>
      <c r="M261" s="574">
        <f t="shared" si="242"/>
        <v>2664</v>
      </c>
      <c r="N261" s="574">
        <f t="shared" si="242"/>
        <v>2664</v>
      </c>
      <c r="O261" s="574">
        <f t="shared" si="242"/>
        <v>2664</v>
      </c>
      <c r="P261" s="574">
        <f t="shared" si="242"/>
        <v>2664</v>
      </c>
      <c r="Q261" s="574">
        <f t="shared" si="242"/>
        <v>2664</v>
      </c>
      <c r="R261" s="574">
        <f t="shared" si="242"/>
        <v>2664</v>
      </c>
      <c r="S261" s="574">
        <f t="shared" si="242"/>
        <v>2664</v>
      </c>
      <c r="T261" s="574">
        <f t="shared" si="242"/>
        <v>2664</v>
      </c>
      <c r="U261" s="574">
        <f t="shared" ref="U261:AF263" si="243">T261</f>
        <v>2664</v>
      </c>
      <c r="V261" s="574">
        <f t="shared" si="243"/>
        <v>2664</v>
      </c>
      <c r="W261" s="574">
        <f t="shared" si="243"/>
        <v>2664</v>
      </c>
      <c r="X261" s="574">
        <f t="shared" si="243"/>
        <v>2664</v>
      </c>
      <c r="Y261" s="574">
        <f t="shared" si="243"/>
        <v>2664</v>
      </c>
      <c r="Z261" s="574">
        <f t="shared" si="243"/>
        <v>2664</v>
      </c>
      <c r="AA261" s="574">
        <f t="shared" si="243"/>
        <v>2664</v>
      </c>
      <c r="AB261" s="574">
        <f t="shared" si="243"/>
        <v>2664</v>
      </c>
      <c r="AC261" s="574">
        <f t="shared" si="243"/>
        <v>2664</v>
      </c>
      <c r="AD261" s="574">
        <f t="shared" si="243"/>
        <v>2664</v>
      </c>
      <c r="AE261" s="574">
        <f t="shared" si="243"/>
        <v>2664</v>
      </c>
      <c r="AF261" s="574">
        <f t="shared" si="243"/>
        <v>2664</v>
      </c>
      <c r="AH261" s="538"/>
      <c r="AK261" s="531"/>
      <c r="AM261" s="539"/>
      <c r="AN261" s="540"/>
      <c r="AP261" s="540"/>
      <c r="AQ261" s="540"/>
    </row>
    <row r="262" spans="1:43" s="513" customFormat="1" ht="16.5" hidden="1" customHeight="1" outlineLevel="2">
      <c r="A262" s="584"/>
      <c r="B262" s="572" t="s">
        <v>805</v>
      </c>
      <c r="C262" s="573">
        <f>C248+C251</f>
        <v>2</v>
      </c>
      <c r="D262" s="573">
        <f t="shared" ref="D262:AF262" si="244">D248+D251</f>
        <v>2</v>
      </c>
      <c r="E262" s="573">
        <f t="shared" si="244"/>
        <v>2</v>
      </c>
      <c r="F262" s="573">
        <f t="shared" si="244"/>
        <v>2</v>
      </c>
      <c r="G262" s="573">
        <f t="shared" si="244"/>
        <v>2</v>
      </c>
      <c r="H262" s="573">
        <f t="shared" si="244"/>
        <v>2</v>
      </c>
      <c r="I262" s="573">
        <f t="shared" si="244"/>
        <v>2</v>
      </c>
      <c r="J262" s="573">
        <f t="shared" si="244"/>
        <v>2</v>
      </c>
      <c r="K262" s="573">
        <f t="shared" si="244"/>
        <v>2</v>
      </c>
      <c r="L262" s="573">
        <f t="shared" si="244"/>
        <v>2</v>
      </c>
      <c r="M262" s="573">
        <f t="shared" si="244"/>
        <v>2</v>
      </c>
      <c r="N262" s="573">
        <f t="shared" si="244"/>
        <v>2</v>
      </c>
      <c r="O262" s="573">
        <f t="shared" si="244"/>
        <v>2</v>
      </c>
      <c r="P262" s="573">
        <f t="shared" si="244"/>
        <v>2</v>
      </c>
      <c r="Q262" s="573">
        <f t="shared" si="244"/>
        <v>2</v>
      </c>
      <c r="R262" s="573">
        <f t="shared" si="244"/>
        <v>2</v>
      </c>
      <c r="S262" s="573">
        <f t="shared" si="244"/>
        <v>2</v>
      </c>
      <c r="T262" s="573">
        <f t="shared" si="244"/>
        <v>2</v>
      </c>
      <c r="U262" s="573">
        <f t="shared" si="244"/>
        <v>2</v>
      </c>
      <c r="V262" s="573">
        <f t="shared" si="244"/>
        <v>2</v>
      </c>
      <c r="W262" s="573">
        <f t="shared" si="244"/>
        <v>2</v>
      </c>
      <c r="X262" s="573">
        <f t="shared" si="244"/>
        <v>2</v>
      </c>
      <c r="Y262" s="573">
        <f t="shared" si="244"/>
        <v>2</v>
      </c>
      <c r="Z262" s="573">
        <f t="shared" si="244"/>
        <v>2</v>
      </c>
      <c r="AA262" s="573">
        <f t="shared" si="244"/>
        <v>2</v>
      </c>
      <c r="AB262" s="573">
        <f t="shared" si="244"/>
        <v>2</v>
      </c>
      <c r="AC262" s="573">
        <f t="shared" si="244"/>
        <v>2</v>
      </c>
      <c r="AD262" s="573">
        <f t="shared" si="244"/>
        <v>2</v>
      </c>
      <c r="AE262" s="573">
        <f t="shared" si="244"/>
        <v>2</v>
      </c>
      <c r="AF262" s="573">
        <f t="shared" si="244"/>
        <v>2</v>
      </c>
      <c r="AH262" s="538"/>
      <c r="AK262" s="531"/>
      <c r="AM262" s="539"/>
      <c r="AN262" s="535"/>
      <c r="AP262" s="540"/>
      <c r="AQ262" s="540"/>
    </row>
    <row r="263" spans="1:43" s="513" customFormat="1" ht="16.5" hidden="1" customHeight="1" outlineLevel="2">
      <c r="A263" s="584"/>
      <c r="B263" s="572" t="s">
        <v>888</v>
      </c>
      <c r="C263" s="574">
        <f>CAPEX!$C$35*(0.83%+0.42%)</f>
        <v>11009.326375000001</v>
      </c>
      <c r="D263" s="574">
        <f>C263</f>
        <v>11009.326375000001</v>
      </c>
      <c r="E263" s="574">
        <f t="shared" si="242"/>
        <v>11009.326375000001</v>
      </c>
      <c r="F263" s="574">
        <f t="shared" si="242"/>
        <v>11009.326375000001</v>
      </c>
      <c r="G263" s="574">
        <f t="shared" si="242"/>
        <v>11009.326375000001</v>
      </c>
      <c r="H263" s="574">
        <f t="shared" si="242"/>
        <v>11009.326375000001</v>
      </c>
      <c r="I263" s="574">
        <f t="shared" si="242"/>
        <v>11009.326375000001</v>
      </c>
      <c r="J263" s="574">
        <f t="shared" si="242"/>
        <v>11009.326375000001</v>
      </c>
      <c r="K263" s="574">
        <f t="shared" si="242"/>
        <v>11009.326375000001</v>
      </c>
      <c r="L263" s="574">
        <f t="shared" si="242"/>
        <v>11009.326375000001</v>
      </c>
      <c r="M263" s="574">
        <f t="shared" si="242"/>
        <v>11009.326375000001</v>
      </c>
      <c r="N263" s="574">
        <f t="shared" si="242"/>
        <v>11009.326375000001</v>
      </c>
      <c r="O263" s="574">
        <f t="shared" si="242"/>
        <v>11009.326375000001</v>
      </c>
      <c r="P263" s="574">
        <f t="shared" si="242"/>
        <v>11009.326375000001</v>
      </c>
      <c r="Q263" s="574">
        <f t="shared" si="242"/>
        <v>11009.326375000001</v>
      </c>
      <c r="R263" s="574">
        <f t="shared" si="242"/>
        <v>11009.326375000001</v>
      </c>
      <c r="S263" s="574">
        <f t="shared" si="242"/>
        <v>11009.326375000001</v>
      </c>
      <c r="T263" s="574">
        <f t="shared" si="242"/>
        <v>11009.326375000001</v>
      </c>
      <c r="U263" s="574">
        <f t="shared" si="243"/>
        <v>11009.326375000001</v>
      </c>
      <c r="V263" s="574">
        <f t="shared" si="243"/>
        <v>11009.326375000001</v>
      </c>
      <c r="W263" s="574">
        <f t="shared" si="243"/>
        <v>11009.326375000001</v>
      </c>
      <c r="X263" s="574">
        <f t="shared" si="243"/>
        <v>11009.326375000001</v>
      </c>
      <c r="Y263" s="574">
        <f t="shared" si="243"/>
        <v>11009.326375000001</v>
      </c>
      <c r="Z263" s="574">
        <f t="shared" si="243"/>
        <v>11009.326375000001</v>
      </c>
      <c r="AA263" s="574">
        <f t="shared" si="243"/>
        <v>11009.326375000001</v>
      </c>
      <c r="AB263" s="574">
        <f t="shared" si="243"/>
        <v>11009.326375000001</v>
      </c>
      <c r="AC263" s="574">
        <f t="shared" si="243"/>
        <v>11009.326375000001</v>
      </c>
      <c r="AD263" s="574">
        <f t="shared" si="243"/>
        <v>11009.326375000001</v>
      </c>
      <c r="AE263" s="574">
        <f t="shared" si="243"/>
        <v>11009.326375000001</v>
      </c>
      <c r="AF263" s="574">
        <f t="shared" si="243"/>
        <v>11009.326375000001</v>
      </c>
      <c r="AH263" s="538"/>
      <c r="AK263" s="531"/>
      <c r="AM263" s="594"/>
      <c r="AN263" s="535"/>
      <c r="AP263" s="540"/>
      <c r="AQ263" s="540"/>
    </row>
    <row r="264" spans="1:43" ht="3" hidden="1" customHeight="1" outlineLevel="2">
      <c r="A264" s="584"/>
      <c r="B264" s="551"/>
      <c r="C264" s="592"/>
      <c r="D264" s="592"/>
      <c r="E264" s="592"/>
      <c r="F264" s="592"/>
      <c r="G264" s="592"/>
      <c r="H264" s="592"/>
      <c r="I264" s="592"/>
      <c r="J264" s="592"/>
      <c r="K264" s="592"/>
      <c r="L264" s="592"/>
      <c r="M264" s="592"/>
      <c r="N264" s="592"/>
      <c r="O264" s="592"/>
      <c r="P264" s="592"/>
      <c r="Q264" s="592"/>
      <c r="R264" s="592"/>
      <c r="S264" s="592"/>
      <c r="T264" s="592"/>
      <c r="U264" s="592"/>
      <c r="V264" s="592"/>
      <c r="W264" s="592"/>
      <c r="X264" s="592"/>
      <c r="Y264" s="592"/>
      <c r="Z264" s="592"/>
      <c r="AA264" s="592"/>
      <c r="AB264" s="592"/>
      <c r="AC264" s="592"/>
      <c r="AD264" s="592"/>
      <c r="AE264" s="592"/>
      <c r="AF264" s="592"/>
      <c r="AH264" s="593"/>
      <c r="AK264" s="531"/>
      <c r="AM264" s="594"/>
      <c r="AN264" s="535"/>
      <c r="AP264" s="535"/>
      <c r="AQ264" s="535"/>
    </row>
    <row r="265" spans="1:43" s="564" customFormat="1" ht="16.5" hidden="1" customHeight="1" outlineLevel="1" collapsed="1">
      <c r="A265" s="584"/>
      <c r="B265" s="576" t="s">
        <v>894</v>
      </c>
      <c r="C265" s="621">
        <f>SUM(C266)*12/10^3</f>
        <v>104.38246956521739</v>
      </c>
      <c r="D265" s="621">
        <f t="shared" ref="D265:AF265" si="245">SUM(D266)*12/10^3</f>
        <v>104.38246956521739</v>
      </c>
      <c r="E265" s="621">
        <f t="shared" si="245"/>
        <v>104.38246956521739</v>
      </c>
      <c r="F265" s="621">
        <f t="shared" si="245"/>
        <v>104.38246956521739</v>
      </c>
      <c r="G265" s="621">
        <f t="shared" si="245"/>
        <v>104.38246956521739</v>
      </c>
      <c r="H265" s="621">
        <f t="shared" si="245"/>
        <v>104.38246956521739</v>
      </c>
      <c r="I265" s="621">
        <f t="shared" si="245"/>
        <v>104.38246956521739</v>
      </c>
      <c r="J265" s="621">
        <f t="shared" si="245"/>
        <v>104.38246956521739</v>
      </c>
      <c r="K265" s="621">
        <f t="shared" si="245"/>
        <v>104.38246956521739</v>
      </c>
      <c r="L265" s="621">
        <f t="shared" si="245"/>
        <v>104.38246956521739</v>
      </c>
      <c r="M265" s="621">
        <f t="shared" si="245"/>
        <v>104.38246956521739</v>
      </c>
      <c r="N265" s="621">
        <f t="shared" si="245"/>
        <v>104.38246956521739</v>
      </c>
      <c r="O265" s="621">
        <f t="shared" si="245"/>
        <v>104.38246956521739</v>
      </c>
      <c r="P265" s="621">
        <f t="shared" si="245"/>
        <v>104.38246956521739</v>
      </c>
      <c r="Q265" s="621">
        <f t="shared" si="245"/>
        <v>104.38246956521739</v>
      </c>
      <c r="R265" s="621">
        <f t="shared" si="245"/>
        <v>104.38246956521739</v>
      </c>
      <c r="S265" s="621">
        <f t="shared" si="245"/>
        <v>104.38246956521739</v>
      </c>
      <c r="T265" s="621">
        <f t="shared" si="245"/>
        <v>104.38246956521739</v>
      </c>
      <c r="U265" s="621">
        <f t="shared" si="245"/>
        <v>104.38246956521739</v>
      </c>
      <c r="V265" s="621">
        <f t="shared" si="245"/>
        <v>104.38246956521739</v>
      </c>
      <c r="W265" s="621">
        <f t="shared" si="245"/>
        <v>104.38246956521739</v>
      </c>
      <c r="X265" s="621">
        <f t="shared" si="245"/>
        <v>104.38246956521739</v>
      </c>
      <c r="Y265" s="621">
        <f t="shared" si="245"/>
        <v>104.38246956521739</v>
      </c>
      <c r="Z265" s="621">
        <f t="shared" si="245"/>
        <v>104.38246956521739</v>
      </c>
      <c r="AA265" s="621">
        <f t="shared" si="245"/>
        <v>104.38246956521739</v>
      </c>
      <c r="AB265" s="621">
        <f t="shared" si="245"/>
        <v>104.38246956521739</v>
      </c>
      <c r="AC265" s="621">
        <f t="shared" si="245"/>
        <v>104.38246956521739</v>
      </c>
      <c r="AD265" s="621">
        <f t="shared" si="245"/>
        <v>104.38246956521739</v>
      </c>
      <c r="AE265" s="621">
        <f t="shared" si="245"/>
        <v>104.38246956521739</v>
      </c>
      <c r="AF265" s="621">
        <f t="shared" si="245"/>
        <v>104.38246956521739</v>
      </c>
      <c r="AH265" s="578">
        <f>SUM(C265:AF265)</f>
        <v>3131.4740869565226</v>
      </c>
      <c r="AK265" s="531"/>
      <c r="AM265" s="594"/>
      <c r="AN265" s="535"/>
      <c r="AP265" s="568"/>
      <c r="AQ265" s="568"/>
    </row>
    <row r="266" spans="1:43" s="546" customFormat="1" ht="16.5" hidden="1" customHeight="1" outlineLevel="2">
      <c r="A266" s="584"/>
      <c r="B266" s="580" t="s">
        <v>814</v>
      </c>
      <c r="C266" s="581">
        <f>C267*(C268/C269)*C270</f>
        <v>8698.5391304347831</v>
      </c>
      <c r="D266" s="581">
        <f>D267*(D268/D269)*D270</f>
        <v>8698.5391304347831</v>
      </c>
      <c r="E266" s="581">
        <f t="shared" ref="E266:AF266" si="246">E267*(E268/E269)*E270</f>
        <v>8698.5391304347831</v>
      </c>
      <c r="F266" s="581">
        <f t="shared" si="246"/>
        <v>8698.5391304347831</v>
      </c>
      <c r="G266" s="581">
        <f t="shared" si="246"/>
        <v>8698.5391304347831</v>
      </c>
      <c r="H266" s="581">
        <f t="shared" si="246"/>
        <v>8698.5391304347831</v>
      </c>
      <c r="I266" s="581">
        <f t="shared" si="246"/>
        <v>8698.5391304347831</v>
      </c>
      <c r="J266" s="581">
        <f t="shared" si="246"/>
        <v>8698.5391304347831</v>
      </c>
      <c r="K266" s="581">
        <f t="shared" si="246"/>
        <v>8698.5391304347831</v>
      </c>
      <c r="L266" s="581">
        <f t="shared" si="246"/>
        <v>8698.5391304347831</v>
      </c>
      <c r="M266" s="581">
        <f t="shared" si="246"/>
        <v>8698.5391304347831</v>
      </c>
      <c r="N266" s="581">
        <f t="shared" si="246"/>
        <v>8698.5391304347831</v>
      </c>
      <c r="O266" s="581">
        <f t="shared" si="246"/>
        <v>8698.5391304347831</v>
      </c>
      <c r="P266" s="581">
        <f t="shared" si="246"/>
        <v>8698.5391304347831</v>
      </c>
      <c r="Q266" s="581">
        <f t="shared" si="246"/>
        <v>8698.5391304347831</v>
      </c>
      <c r="R266" s="581">
        <f t="shared" si="246"/>
        <v>8698.5391304347831</v>
      </c>
      <c r="S266" s="581">
        <f t="shared" si="246"/>
        <v>8698.5391304347831</v>
      </c>
      <c r="T266" s="581">
        <f t="shared" si="246"/>
        <v>8698.5391304347831</v>
      </c>
      <c r="U266" s="581">
        <f t="shared" si="246"/>
        <v>8698.5391304347831</v>
      </c>
      <c r="V266" s="581">
        <f t="shared" si="246"/>
        <v>8698.5391304347831</v>
      </c>
      <c r="W266" s="581">
        <f t="shared" si="246"/>
        <v>8698.5391304347831</v>
      </c>
      <c r="X266" s="581">
        <f t="shared" si="246"/>
        <v>8698.5391304347831</v>
      </c>
      <c r="Y266" s="581">
        <f t="shared" si="246"/>
        <v>8698.5391304347831</v>
      </c>
      <c r="Z266" s="581">
        <f t="shared" si="246"/>
        <v>8698.5391304347831</v>
      </c>
      <c r="AA266" s="581">
        <f t="shared" si="246"/>
        <v>8698.5391304347831</v>
      </c>
      <c r="AB266" s="581">
        <f t="shared" si="246"/>
        <v>8698.5391304347831</v>
      </c>
      <c r="AC266" s="581">
        <f t="shared" si="246"/>
        <v>8698.5391304347831</v>
      </c>
      <c r="AD266" s="581">
        <f t="shared" si="246"/>
        <v>8698.5391304347831</v>
      </c>
      <c r="AE266" s="581">
        <f t="shared" si="246"/>
        <v>8698.5391304347831</v>
      </c>
      <c r="AF266" s="581">
        <f t="shared" si="246"/>
        <v>8698.5391304347831</v>
      </c>
      <c r="AH266" s="571"/>
      <c r="AK266" s="531"/>
      <c r="AM266" s="594"/>
      <c r="AN266" s="535"/>
      <c r="AP266" s="549"/>
      <c r="AQ266" s="549"/>
    </row>
    <row r="267" spans="1:43" s="513" customFormat="1" ht="16.5" hidden="1" customHeight="1" outlineLevel="2">
      <c r="A267" s="584"/>
      <c r="B267" s="572" t="s">
        <v>805</v>
      </c>
      <c r="C267" s="573">
        <f t="shared" ref="C267:AF267" si="247">C248</f>
        <v>1</v>
      </c>
      <c r="D267" s="573">
        <f t="shared" si="247"/>
        <v>1</v>
      </c>
      <c r="E267" s="573">
        <f t="shared" si="247"/>
        <v>1</v>
      </c>
      <c r="F267" s="573">
        <f t="shared" si="247"/>
        <v>1</v>
      </c>
      <c r="G267" s="573">
        <f t="shared" si="247"/>
        <v>1</v>
      </c>
      <c r="H267" s="573">
        <f t="shared" si="247"/>
        <v>1</v>
      </c>
      <c r="I267" s="573">
        <f t="shared" si="247"/>
        <v>1</v>
      </c>
      <c r="J267" s="573">
        <f t="shared" si="247"/>
        <v>1</v>
      </c>
      <c r="K267" s="573">
        <f t="shared" si="247"/>
        <v>1</v>
      </c>
      <c r="L267" s="573">
        <f t="shared" si="247"/>
        <v>1</v>
      </c>
      <c r="M267" s="573">
        <f t="shared" si="247"/>
        <v>1</v>
      </c>
      <c r="N267" s="573">
        <f t="shared" si="247"/>
        <v>1</v>
      </c>
      <c r="O267" s="573">
        <f t="shared" si="247"/>
        <v>1</v>
      </c>
      <c r="P267" s="573">
        <f t="shared" si="247"/>
        <v>1</v>
      </c>
      <c r="Q267" s="573">
        <f t="shared" si="247"/>
        <v>1</v>
      </c>
      <c r="R267" s="573">
        <f t="shared" si="247"/>
        <v>1</v>
      </c>
      <c r="S267" s="573">
        <f t="shared" si="247"/>
        <v>1</v>
      </c>
      <c r="T267" s="573">
        <f t="shared" si="247"/>
        <v>1</v>
      </c>
      <c r="U267" s="573">
        <f t="shared" si="247"/>
        <v>1</v>
      </c>
      <c r="V267" s="573">
        <f t="shared" si="247"/>
        <v>1</v>
      </c>
      <c r="W267" s="573">
        <f t="shared" si="247"/>
        <v>1</v>
      </c>
      <c r="X267" s="573">
        <f t="shared" si="247"/>
        <v>1</v>
      </c>
      <c r="Y267" s="573">
        <f t="shared" si="247"/>
        <v>1</v>
      </c>
      <c r="Z267" s="573">
        <f t="shared" si="247"/>
        <v>1</v>
      </c>
      <c r="AA267" s="573">
        <f t="shared" si="247"/>
        <v>1</v>
      </c>
      <c r="AB267" s="573">
        <f t="shared" si="247"/>
        <v>1</v>
      </c>
      <c r="AC267" s="573">
        <f t="shared" si="247"/>
        <v>1</v>
      </c>
      <c r="AD267" s="573">
        <f t="shared" si="247"/>
        <v>1</v>
      </c>
      <c r="AE267" s="573">
        <f t="shared" si="247"/>
        <v>1</v>
      </c>
      <c r="AF267" s="573">
        <f t="shared" si="247"/>
        <v>1</v>
      </c>
      <c r="AH267" s="538"/>
      <c r="AK267" s="531"/>
      <c r="AM267" s="539"/>
      <c r="AN267" s="535"/>
      <c r="AP267" s="540"/>
      <c r="AQ267" s="540"/>
    </row>
    <row r="268" spans="1:43" s="513" customFormat="1" ht="16.5" hidden="1" customHeight="1" outlineLevel="2">
      <c r="A268" s="584"/>
      <c r="B268" s="572" t="s">
        <v>895</v>
      </c>
      <c r="C268" s="574">
        <f t="shared" ref="C268:AF268" si="248">C261</f>
        <v>2664</v>
      </c>
      <c r="D268" s="574">
        <f t="shared" si="248"/>
        <v>2664</v>
      </c>
      <c r="E268" s="574">
        <f t="shared" si="248"/>
        <v>2664</v>
      </c>
      <c r="F268" s="574">
        <f t="shared" si="248"/>
        <v>2664</v>
      </c>
      <c r="G268" s="574">
        <f t="shared" si="248"/>
        <v>2664</v>
      </c>
      <c r="H268" s="574">
        <f t="shared" si="248"/>
        <v>2664</v>
      </c>
      <c r="I268" s="574">
        <f t="shared" si="248"/>
        <v>2664</v>
      </c>
      <c r="J268" s="574">
        <f t="shared" si="248"/>
        <v>2664</v>
      </c>
      <c r="K268" s="574">
        <f t="shared" si="248"/>
        <v>2664</v>
      </c>
      <c r="L268" s="574">
        <f t="shared" si="248"/>
        <v>2664</v>
      </c>
      <c r="M268" s="574">
        <f t="shared" si="248"/>
        <v>2664</v>
      </c>
      <c r="N268" s="574">
        <f t="shared" si="248"/>
        <v>2664</v>
      </c>
      <c r="O268" s="574">
        <f t="shared" si="248"/>
        <v>2664</v>
      </c>
      <c r="P268" s="574">
        <f t="shared" si="248"/>
        <v>2664</v>
      </c>
      <c r="Q268" s="574">
        <f t="shared" si="248"/>
        <v>2664</v>
      </c>
      <c r="R268" s="574">
        <f t="shared" si="248"/>
        <v>2664</v>
      </c>
      <c r="S268" s="574">
        <f t="shared" si="248"/>
        <v>2664</v>
      </c>
      <c r="T268" s="574">
        <f t="shared" si="248"/>
        <v>2664</v>
      </c>
      <c r="U268" s="574">
        <f t="shared" si="248"/>
        <v>2664</v>
      </c>
      <c r="V268" s="574">
        <f t="shared" si="248"/>
        <v>2664</v>
      </c>
      <c r="W268" s="574">
        <f t="shared" si="248"/>
        <v>2664</v>
      </c>
      <c r="X268" s="574">
        <f t="shared" si="248"/>
        <v>2664</v>
      </c>
      <c r="Y268" s="574">
        <f t="shared" si="248"/>
        <v>2664</v>
      </c>
      <c r="Z268" s="574">
        <f t="shared" si="248"/>
        <v>2664</v>
      </c>
      <c r="AA268" s="574">
        <f t="shared" si="248"/>
        <v>2664</v>
      </c>
      <c r="AB268" s="574">
        <f t="shared" si="248"/>
        <v>2664</v>
      </c>
      <c r="AC268" s="574">
        <f t="shared" si="248"/>
        <v>2664</v>
      </c>
      <c r="AD268" s="574">
        <f t="shared" si="248"/>
        <v>2664</v>
      </c>
      <c r="AE268" s="574">
        <f t="shared" si="248"/>
        <v>2664</v>
      </c>
      <c r="AF268" s="574">
        <f t="shared" si="248"/>
        <v>2664</v>
      </c>
      <c r="AH268" s="538"/>
      <c r="AK268" s="531"/>
      <c r="AM268" s="594"/>
      <c r="AN268" s="535"/>
      <c r="AP268" s="540"/>
      <c r="AQ268" s="540"/>
    </row>
    <row r="269" spans="1:43" s="513" customFormat="1" ht="16.5" hidden="1" customHeight="1" outlineLevel="2">
      <c r="A269" s="584"/>
      <c r="B269" s="572" t="s">
        <v>896</v>
      </c>
      <c r="C269" s="574">
        <v>2.2999999999999998</v>
      </c>
      <c r="D269" s="574">
        <f>C269</f>
        <v>2.2999999999999998</v>
      </c>
      <c r="E269" s="574">
        <f>D269</f>
        <v>2.2999999999999998</v>
      </c>
      <c r="F269" s="574">
        <f t="shared" ref="F269:AF269" si="249">E269</f>
        <v>2.2999999999999998</v>
      </c>
      <c r="G269" s="574">
        <f t="shared" si="249"/>
        <v>2.2999999999999998</v>
      </c>
      <c r="H269" s="574">
        <f t="shared" si="249"/>
        <v>2.2999999999999998</v>
      </c>
      <c r="I269" s="574">
        <f t="shared" si="249"/>
        <v>2.2999999999999998</v>
      </c>
      <c r="J269" s="574">
        <f t="shared" si="249"/>
        <v>2.2999999999999998</v>
      </c>
      <c r="K269" s="574">
        <f t="shared" si="249"/>
        <v>2.2999999999999998</v>
      </c>
      <c r="L269" s="574">
        <f t="shared" si="249"/>
        <v>2.2999999999999998</v>
      </c>
      <c r="M269" s="574">
        <f t="shared" si="249"/>
        <v>2.2999999999999998</v>
      </c>
      <c r="N269" s="574">
        <f t="shared" si="249"/>
        <v>2.2999999999999998</v>
      </c>
      <c r="O269" s="574">
        <f t="shared" si="249"/>
        <v>2.2999999999999998</v>
      </c>
      <c r="P269" s="574">
        <f t="shared" si="249"/>
        <v>2.2999999999999998</v>
      </c>
      <c r="Q269" s="574">
        <f t="shared" si="249"/>
        <v>2.2999999999999998</v>
      </c>
      <c r="R269" s="574">
        <f t="shared" si="249"/>
        <v>2.2999999999999998</v>
      </c>
      <c r="S269" s="574">
        <f t="shared" si="249"/>
        <v>2.2999999999999998</v>
      </c>
      <c r="T269" s="574">
        <f t="shared" si="249"/>
        <v>2.2999999999999998</v>
      </c>
      <c r="U269" s="574">
        <f t="shared" si="249"/>
        <v>2.2999999999999998</v>
      </c>
      <c r="V269" s="574">
        <f t="shared" si="249"/>
        <v>2.2999999999999998</v>
      </c>
      <c r="W269" s="574">
        <f t="shared" si="249"/>
        <v>2.2999999999999998</v>
      </c>
      <c r="X269" s="574">
        <f t="shared" si="249"/>
        <v>2.2999999999999998</v>
      </c>
      <c r="Y269" s="574">
        <f t="shared" si="249"/>
        <v>2.2999999999999998</v>
      </c>
      <c r="Z269" s="574">
        <f t="shared" si="249"/>
        <v>2.2999999999999998</v>
      </c>
      <c r="AA269" s="574">
        <f t="shared" si="249"/>
        <v>2.2999999999999998</v>
      </c>
      <c r="AB269" s="574">
        <f t="shared" si="249"/>
        <v>2.2999999999999998</v>
      </c>
      <c r="AC269" s="574">
        <f t="shared" si="249"/>
        <v>2.2999999999999998</v>
      </c>
      <c r="AD269" s="574">
        <f t="shared" si="249"/>
        <v>2.2999999999999998</v>
      </c>
      <c r="AE269" s="574">
        <f t="shared" si="249"/>
        <v>2.2999999999999998</v>
      </c>
      <c r="AF269" s="574">
        <f t="shared" si="249"/>
        <v>2.2999999999999998</v>
      </c>
      <c r="AH269" s="538"/>
      <c r="AK269" s="531"/>
      <c r="AM269" s="594"/>
      <c r="AN269" s="535"/>
      <c r="AP269" s="540"/>
      <c r="AQ269" s="540"/>
    </row>
    <row r="270" spans="1:43" s="513" customFormat="1" ht="16.5" hidden="1" customHeight="1" outlineLevel="2">
      <c r="A270" s="584"/>
      <c r="B270" s="572" t="s">
        <v>888</v>
      </c>
      <c r="C270" s="574">
        <f>Insumos!$E$37</f>
        <v>7.51</v>
      </c>
      <c r="D270" s="574">
        <f>C270</f>
        <v>7.51</v>
      </c>
      <c r="E270" s="574">
        <f t="shared" ref="E270:AF270" si="250">D270</f>
        <v>7.51</v>
      </c>
      <c r="F270" s="574">
        <f t="shared" si="250"/>
        <v>7.51</v>
      </c>
      <c r="G270" s="574">
        <f t="shared" si="250"/>
        <v>7.51</v>
      </c>
      <c r="H270" s="574">
        <f t="shared" si="250"/>
        <v>7.51</v>
      </c>
      <c r="I270" s="574">
        <f t="shared" si="250"/>
        <v>7.51</v>
      </c>
      <c r="J270" s="574">
        <f t="shared" si="250"/>
        <v>7.51</v>
      </c>
      <c r="K270" s="574">
        <f t="shared" si="250"/>
        <v>7.51</v>
      </c>
      <c r="L270" s="574">
        <f t="shared" si="250"/>
        <v>7.51</v>
      </c>
      <c r="M270" s="574">
        <f t="shared" si="250"/>
        <v>7.51</v>
      </c>
      <c r="N270" s="574">
        <f t="shared" si="250"/>
        <v>7.51</v>
      </c>
      <c r="O270" s="574">
        <f t="shared" si="250"/>
        <v>7.51</v>
      </c>
      <c r="P270" s="574">
        <f t="shared" si="250"/>
        <v>7.51</v>
      </c>
      <c r="Q270" s="574">
        <f t="shared" si="250"/>
        <v>7.51</v>
      </c>
      <c r="R270" s="574">
        <f t="shared" si="250"/>
        <v>7.51</v>
      </c>
      <c r="S270" s="574">
        <f t="shared" si="250"/>
        <v>7.51</v>
      </c>
      <c r="T270" s="574">
        <f t="shared" si="250"/>
        <v>7.51</v>
      </c>
      <c r="U270" s="574">
        <f t="shared" si="250"/>
        <v>7.51</v>
      </c>
      <c r="V270" s="574">
        <f t="shared" si="250"/>
        <v>7.51</v>
      </c>
      <c r="W270" s="574">
        <f t="shared" si="250"/>
        <v>7.51</v>
      </c>
      <c r="X270" s="574">
        <f t="shared" si="250"/>
        <v>7.51</v>
      </c>
      <c r="Y270" s="574">
        <f t="shared" si="250"/>
        <v>7.51</v>
      </c>
      <c r="Z270" s="574">
        <f t="shared" si="250"/>
        <v>7.51</v>
      </c>
      <c r="AA270" s="574">
        <f t="shared" si="250"/>
        <v>7.51</v>
      </c>
      <c r="AB270" s="574">
        <f t="shared" si="250"/>
        <v>7.51</v>
      </c>
      <c r="AC270" s="574">
        <f t="shared" si="250"/>
        <v>7.51</v>
      </c>
      <c r="AD270" s="574">
        <f t="shared" si="250"/>
        <v>7.51</v>
      </c>
      <c r="AE270" s="574">
        <f t="shared" si="250"/>
        <v>7.51</v>
      </c>
      <c r="AF270" s="574">
        <f t="shared" si="250"/>
        <v>7.51</v>
      </c>
      <c r="AH270" s="538"/>
      <c r="AK270" s="531"/>
      <c r="AM270" s="594"/>
      <c r="AN270" s="535"/>
      <c r="AP270" s="540"/>
      <c r="AQ270" s="540"/>
    </row>
    <row r="271" spans="1:43" s="513" customFormat="1" ht="3" hidden="1" customHeight="1" outlineLevel="2">
      <c r="A271" s="584"/>
      <c r="B271" s="572"/>
      <c r="C271" s="574"/>
      <c r="D271" s="574"/>
      <c r="E271" s="574"/>
      <c r="F271" s="574"/>
      <c r="G271" s="574"/>
      <c r="H271" s="574"/>
      <c r="I271" s="574"/>
      <c r="J271" s="574"/>
      <c r="K271" s="574"/>
      <c r="L271" s="574"/>
      <c r="M271" s="574"/>
      <c r="N271" s="574"/>
      <c r="O271" s="574"/>
      <c r="P271" s="574"/>
      <c r="Q271" s="574"/>
      <c r="R271" s="574"/>
      <c r="S271" s="574"/>
      <c r="T271" s="574"/>
      <c r="U271" s="574"/>
      <c r="V271" s="574"/>
      <c r="W271" s="574"/>
      <c r="X271" s="574"/>
      <c r="Y271" s="574"/>
      <c r="Z271" s="574"/>
      <c r="AA271" s="574"/>
      <c r="AB271" s="574"/>
      <c r="AC271" s="574"/>
      <c r="AD271" s="574"/>
      <c r="AE271" s="574"/>
      <c r="AF271" s="574"/>
      <c r="AH271" s="538"/>
      <c r="AK271" s="531"/>
      <c r="AM271" s="594"/>
      <c r="AN271" s="535"/>
      <c r="AP271" s="540"/>
      <c r="AQ271" s="540"/>
    </row>
    <row r="272" spans="1:43" s="564" customFormat="1" ht="16.5" hidden="1" customHeight="1" outlineLevel="2" collapsed="1">
      <c r="A272" s="584"/>
      <c r="B272" s="576" t="s">
        <v>897</v>
      </c>
      <c r="C272" s="599">
        <f>SUM(C273)*12/10^3</f>
        <v>3.8809152000000005</v>
      </c>
      <c r="D272" s="599">
        <f t="shared" ref="D272:AF272" si="251">SUM(D273)*12/10^3</f>
        <v>3.8809152000000005</v>
      </c>
      <c r="E272" s="599">
        <f t="shared" si="251"/>
        <v>3.8809152000000005</v>
      </c>
      <c r="F272" s="599">
        <f t="shared" si="251"/>
        <v>3.8809152000000005</v>
      </c>
      <c r="G272" s="599">
        <f t="shared" si="251"/>
        <v>3.8809152000000005</v>
      </c>
      <c r="H272" s="599">
        <f t="shared" si="251"/>
        <v>3.8809152000000005</v>
      </c>
      <c r="I272" s="599">
        <f t="shared" si="251"/>
        <v>3.8809152000000005</v>
      </c>
      <c r="J272" s="599">
        <f t="shared" si="251"/>
        <v>3.8809152000000005</v>
      </c>
      <c r="K272" s="599">
        <f t="shared" si="251"/>
        <v>3.8809152000000005</v>
      </c>
      <c r="L272" s="599">
        <f t="shared" si="251"/>
        <v>3.8809152000000005</v>
      </c>
      <c r="M272" s="599">
        <f t="shared" si="251"/>
        <v>3.8809152000000005</v>
      </c>
      <c r="N272" s="599">
        <f t="shared" si="251"/>
        <v>3.8809152000000005</v>
      </c>
      <c r="O272" s="599">
        <f t="shared" si="251"/>
        <v>3.8809152000000005</v>
      </c>
      <c r="P272" s="599">
        <f t="shared" si="251"/>
        <v>3.8809152000000005</v>
      </c>
      <c r="Q272" s="599">
        <f t="shared" si="251"/>
        <v>3.8809152000000005</v>
      </c>
      <c r="R272" s="599">
        <f t="shared" si="251"/>
        <v>3.8809152000000005</v>
      </c>
      <c r="S272" s="599">
        <f t="shared" si="251"/>
        <v>3.8809152000000005</v>
      </c>
      <c r="T272" s="599">
        <f t="shared" si="251"/>
        <v>3.8809152000000005</v>
      </c>
      <c r="U272" s="599">
        <f t="shared" si="251"/>
        <v>3.8809152000000005</v>
      </c>
      <c r="V272" s="599">
        <f t="shared" si="251"/>
        <v>3.8809152000000005</v>
      </c>
      <c r="W272" s="599">
        <f t="shared" si="251"/>
        <v>3.8809152000000005</v>
      </c>
      <c r="X272" s="599">
        <f t="shared" si="251"/>
        <v>3.8809152000000005</v>
      </c>
      <c r="Y272" s="599">
        <f t="shared" si="251"/>
        <v>3.8809152000000005</v>
      </c>
      <c r="Z272" s="599">
        <f t="shared" si="251"/>
        <v>3.8809152000000005</v>
      </c>
      <c r="AA272" s="599">
        <f t="shared" si="251"/>
        <v>3.8809152000000005</v>
      </c>
      <c r="AB272" s="599">
        <f t="shared" si="251"/>
        <v>3.8809152000000005</v>
      </c>
      <c r="AC272" s="599">
        <f t="shared" si="251"/>
        <v>3.8809152000000005</v>
      </c>
      <c r="AD272" s="599">
        <f t="shared" si="251"/>
        <v>3.8809152000000005</v>
      </c>
      <c r="AE272" s="599">
        <f t="shared" si="251"/>
        <v>3.8809152000000005</v>
      </c>
      <c r="AF272" s="599">
        <f t="shared" si="251"/>
        <v>3.8809152000000005</v>
      </c>
      <c r="AH272" s="578">
        <f>SUM(C272:AF272)</f>
        <v>116.42745600000009</v>
      </c>
      <c r="AK272" s="531"/>
      <c r="AM272" s="594"/>
      <c r="AN272" s="535"/>
      <c r="AP272" s="568"/>
      <c r="AQ272" s="568"/>
    </row>
    <row r="273" spans="1:43" s="546" customFormat="1" ht="16.5" hidden="1" customHeight="1" outlineLevel="2">
      <c r="A273" s="584"/>
      <c r="B273" s="595" t="s">
        <v>814</v>
      </c>
      <c r="C273" s="581">
        <f>C275*C276*C274</f>
        <v>323.40960000000001</v>
      </c>
      <c r="D273" s="581">
        <f t="shared" ref="D273:AF273" si="252">D275*D276*D274</f>
        <v>323.40960000000001</v>
      </c>
      <c r="E273" s="581">
        <f t="shared" si="252"/>
        <v>323.40960000000001</v>
      </c>
      <c r="F273" s="581">
        <f t="shared" si="252"/>
        <v>323.40960000000001</v>
      </c>
      <c r="G273" s="581">
        <f t="shared" si="252"/>
        <v>323.40960000000001</v>
      </c>
      <c r="H273" s="581">
        <f t="shared" si="252"/>
        <v>323.40960000000001</v>
      </c>
      <c r="I273" s="581">
        <f t="shared" si="252"/>
        <v>323.40960000000001</v>
      </c>
      <c r="J273" s="581">
        <f t="shared" si="252"/>
        <v>323.40960000000001</v>
      </c>
      <c r="K273" s="581">
        <f t="shared" si="252"/>
        <v>323.40960000000001</v>
      </c>
      <c r="L273" s="581">
        <f t="shared" si="252"/>
        <v>323.40960000000001</v>
      </c>
      <c r="M273" s="581">
        <f t="shared" si="252"/>
        <v>323.40960000000001</v>
      </c>
      <c r="N273" s="581">
        <f t="shared" si="252"/>
        <v>323.40960000000001</v>
      </c>
      <c r="O273" s="581">
        <f t="shared" si="252"/>
        <v>323.40960000000001</v>
      </c>
      <c r="P273" s="581">
        <f t="shared" si="252"/>
        <v>323.40960000000001</v>
      </c>
      <c r="Q273" s="581">
        <f t="shared" si="252"/>
        <v>323.40960000000001</v>
      </c>
      <c r="R273" s="581">
        <f t="shared" si="252"/>
        <v>323.40960000000001</v>
      </c>
      <c r="S273" s="581">
        <f t="shared" si="252"/>
        <v>323.40960000000001</v>
      </c>
      <c r="T273" s="581">
        <f t="shared" si="252"/>
        <v>323.40960000000001</v>
      </c>
      <c r="U273" s="581">
        <f t="shared" si="252"/>
        <v>323.40960000000001</v>
      </c>
      <c r="V273" s="581">
        <f t="shared" si="252"/>
        <v>323.40960000000001</v>
      </c>
      <c r="W273" s="581">
        <f t="shared" si="252"/>
        <v>323.40960000000001</v>
      </c>
      <c r="X273" s="581">
        <f t="shared" si="252"/>
        <v>323.40960000000001</v>
      </c>
      <c r="Y273" s="581">
        <f t="shared" si="252"/>
        <v>323.40960000000001</v>
      </c>
      <c r="Z273" s="581">
        <f t="shared" si="252"/>
        <v>323.40960000000001</v>
      </c>
      <c r="AA273" s="581">
        <f t="shared" si="252"/>
        <v>323.40960000000001</v>
      </c>
      <c r="AB273" s="581">
        <f t="shared" si="252"/>
        <v>323.40960000000001</v>
      </c>
      <c r="AC273" s="581">
        <f t="shared" si="252"/>
        <v>323.40960000000001</v>
      </c>
      <c r="AD273" s="581">
        <f t="shared" si="252"/>
        <v>323.40960000000001</v>
      </c>
      <c r="AE273" s="581">
        <f t="shared" si="252"/>
        <v>323.40960000000001</v>
      </c>
      <c r="AF273" s="581">
        <f t="shared" si="252"/>
        <v>323.40960000000001</v>
      </c>
      <c r="AH273" s="571"/>
      <c r="AK273" s="531"/>
      <c r="AM273" s="594"/>
      <c r="AN273" s="535"/>
      <c r="AP273" s="549"/>
      <c r="AQ273" s="549"/>
    </row>
    <row r="274" spans="1:43" s="513" customFormat="1" ht="16.5" hidden="1" customHeight="1" outlineLevel="2">
      <c r="A274" s="584"/>
      <c r="B274" s="572" t="s">
        <v>805</v>
      </c>
      <c r="C274" s="573">
        <f>C248+C251</f>
        <v>2</v>
      </c>
      <c r="D274" s="573">
        <f t="shared" ref="D274:AF274" si="253">D248+D251</f>
        <v>2</v>
      </c>
      <c r="E274" s="573">
        <f t="shared" si="253"/>
        <v>2</v>
      </c>
      <c r="F274" s="573">
        <f t="shared" si="253"/>
        <v>2</v>
      </c>
      <c r="G274" s="573">
        <f t="shared" si="253"/>
        <v>2</v>
      </c>
      <c r="H274" s="573">
        <f t="shared" si="253"/>
        <v>2</v>
      </c>
      <c r="I274" s="573">
        <f t="shared" si="253"/>
        <v>2</v>
      </c>
      <c r="J274" s="573">
        <f t="shared" si="253"/>
        <v>2</v>
      </c>
      <c r="K274" s="573">
        <f t="shared" si="253"/>
        <v>2</v>
      </c>
      <c r="L274" s="573">
        <f t="shared" si="253"/>
        <v>2</v>
      </c>
      <c r="M274" s="573">
        <f t="shared" si="253"/>
        <v>2</v>
      </c>
      <c r="N274" s="573">
        <f t="shared" si="253"/>
        <v>2</v>
      </c>
      <c r="O274" s="573">
        <f t="shared" si="253"/>
        <v>2</v>
      </c>
      <c r="P274" s="573">
        <f t="shared" si="253"/>
        <v>2</v>
      </c>
      <c r="Q274" s="573">
        <f t="shared" si="253"/>
        <v>2</v>
      </c>
      <c r="R274" s="573">
        <f t="shared" si="253"/>
        <v>2</v>
      </c>
      <c r="S274" s="573">
        <f t="shared" si="253"/>
        <v>2</v>
      </c>
      <c r="T274" s="573">
        <f t="shared" si="253"/>
        <v>2</v>
      </c>
      <c r="U274" s="573">
        <f t="shared" si="253"/>
        <v>2</v>
      </c>
      <c r="V274" s="573">
        <f t="shared" si="253"/>
        <v>2</v>
      </c>
      <c r="W274" s="573">
        <f t="shared" si="253"/>
        <v>2</v>
      </c>
      <c r="X274" s="573">
        <f t="shared" si="253"/>
        <v>2</v>
      </c>
      <c r="Y274" s="573">
        <f t="shared" si="253"/>
        <v>2</v>
      </c>
      <c r="Z274" s="573">
        <f t="shared" si="253"/>
        <v>2</v>
      </c>
      <c r="AA274" s="573">
        <f t="shared" si="253"/>
        <v>2</v>
      </c>
      <c r="AB274" s="573">
        <f t="shared" si="253"/>
        <v>2</v>
      </c>
      <c r="AC274" s="573">
        <f t="shared" si="253"/>
        <v>2</v>
      </c>
      <c r="AD274" s="573">
        <f t="shared" si="253"/>
        <v>2</v>
      </c>
      <c r="AE274" s="573">
        <f t="shared" si="253"/>
        <v>2</v>
      </c>
      <c r="AF274" s="573">
        <f t="shared" si="253"/>
        <v>2</v>
      </c>
      <c r="AH274" s="538"/>
      <c r="AK274" s="531"/>
      <c r="AM274" s="539"/>
      <c r="AN274" s="535"/>
      <c r="AP274" s="540"/>
      <c r="AQ274" s="540"/>
    </row>
    <row r="275" spans="1:43" s="513" customFormat="1" ht="16.5" hidden="1" customHeight="1" outlineLevel="2">
      <c r="A275" s="584"/>
      <c r="B275" s="596" t="s">
        <v>895</v>
      </c>
      <c r="C275" s="574">
        <f t="shared" ref="C275:AF275" si="254">C261</f>
        <v>2664</v>
      </c>
      <c r="D275" s="574">
        <f t="shared" si="254"/>
        <v>2664</v>
      </c>
      <c r="E275" s="574">
        <f t="shared" si="254"/>
        <v>2664</v>
      </c>
      <c r="F275" s="574">
        <f t="shared" si="254"/>
        <v>2664</v>
      </c>
      <c r="G275" s="574">
        <f t="shared" si="254"/>
        <v>2664</v>
      </c>
      <c r="H275" s="574">
        <f t="shared" si="254"/>
        <v>2664</v>
      </c>
      <c r="I275" s="574">
        <f t="shared" si="254"/>
        <v>2664</v>
      </c>
      <c r="J275" s="574">
        <f t="shared" si="254"/>
        <v>2664</v>
      </c>
      <c r="K275" s="574">
        <f t="shared" si="254"/>
        <v>2664</v>
      </c>
      <c r="L275" s="574">
        <f t="shared" si="254"/>
        <v>2664</v>
      </c>
      <c r="M275" s="574">
        <f t="shared" si="254"/>
        <v>2664</v>
      </c>
      <c r="N275" s="574">
        <f t="shared" si="254"/>
        <v>2664</v>
      </c>
      <c r="O275" s="574">
        <f t="shared" si="254"/>
        <v>2664</v>
      </c>
      <c r="P275" s="574">
        <f t="shared" si="254"/>
        <v>2664</v>
      </c>
      <c r="Q275" s="574">
        <f t="shared" si="254"/>
        <v>2664</v>
      </c>
      <c r="R275" s="574">
        <f t="shared" si="254"/>
        <v>2664</v>
      </c>
      <c r="S275" s="574">
        <f t="shared" si="254"/>
        <v>2664</v>
      </c>
      <c r="T275" s="574">
        <f t="shared" si="254"/>
        <v>2664</v>
      </c>
      <c r="U275" s="574">
        <f t="shared" si="254"/>
        <v>2664</v>
      </c>
      <c r="V275" s="574">
        <f t="shared" si="254"/>
        <v>2664</v>
      </c>
      <c r="W275" s="574">
        <f t="shared" si="254"/>
        <v>2664</v>
      </c>
      <c r="X275" s="574">
        <f t="shared" si="254"/>
        <v>2664</v>
      </c>
      <c r="Y275" s="574">
        <f t="shared" si="254"/>
        <v>2664</v>
      </c>
      <c r="Z275" s="574">
        <f t="shared" si="254"/>
        <v>2664</v>
      </c>
      <c r="AA275" s="574">
        <f t="shared" si="254"/>
        <v>2664</v>
      </c>
      <c r="AB275" s="574">
        <f t="shared" si="254"/>
        <v>2664</v>
      </c>
      <c r="AC275" s="574">
        <f t="shared" si="254"/>
        <v>2664</v>
      </c>
      <c r="AD275" s="574">
        <f t="shared" si="254"/>
        <v>2664</v>
      </c>
      <c r="AE275" s="574">
        <f t="shared" si="254"/>
        <v>2664</v>
      </c>
      <c r="AF275" s="574">
        <f t="shared" si="254"/>
        <v>2664</v>
      </c>
      <c r="AH275" s="538"/>
      <c r="AK275" s="531"/>
      <c r="AM275" s="594"/>
      <c r="AN275" s="535"/>
      <c r="AP275" s="540"/>
      <c r="AQ275" s="540"/>
    </row>
    <row r="276" spans="1:43" s="513" customFormat="1" ht="16.5" hidden="1" customHeight="1" outlineLevel="2">
      <c r="A276" s="584"/>
      <c r="B276" s="596" t="s">
        <v>898</v>
      </c>
      <c r="C276" s="597">
        <v>6.0699999999999997E-2</v>
      </c>
      <c r="D276" s="597">
        <f>C276</f>
        <v>6.0699999999999997E-2</v>
      </c>
      <c r="E276" s="597">
        <f t="shared" ref="E276:AF276" si="255">D276</f>
        <v>6.0699999999999997E-2</v>
      </c>
      <c r="F276" s="597">
        <f t="shared" si="255"/>
        <v>6.0699999999999997E-2</v>
      </c>
      <c r="G276" s="597">
        <f t="shared" si="255"/>
        <v>6.0699999999999997E-2</v>
      </c>
      <c r="H276" s="597">
        <f t="shared" si="255"/>
        <v>6.0699999999999997E-2</v>
      </c>
      <c r="I276" s="597">
        <f t="shared" si="255"/>
        <v>6.0699999999999997E-2</v>
      </c>
      <c r="J276" s="597">
        <f t="shared" si="255"/>
        <v>6.0699999999999997E-2</v>
      </c>
      <c r="K276" s="597">
        <f t="shared" si="255"/>
        <v>6.0699999999999997E-2</v>
      </c>
      <c r="L276" s="597">
        <f t="shared" si="255"/>
        <v>6.0699999999999997E-2</v>
      </c>
      <c r="M276" s="597">
        <f t="shared" si="255"/>
        <v>6.0699999999999997E-2</v>
      </c>
      <c r="N276" s="597">
        <f t="shared" si="255"/>
        <v>6.0699999999999997E-2</v>
      </c>
      <c r="O276" s="597">
        <f t="shared" si="255"/>
        <v>6.0699999999999997E-2</v>
      </c>
      <c r="P276" s="597">
        <f t="shared" si="255"/>
        <v>6.0699999999999997E-2</v>
      </c>
      <c r="Q276" s="597">
        <f t="shared" si="255"/>
        <v>6.0699999999999997E-2</v>
      </c>
      <c r="R276" s="597">
        <f t="shared" si="255"/>
        <v>6.0699999999999997E-2</v>
      </c>
      <c r="S276" s="597">
        <f t="shared" si="255"/>
        <v>6.0699999999999997E-2</v>
      </c>
      <c r="T276" s="597">
        <f t="shared" si="255"/>
        <v>6.0699999999999997E-2</v>
      </c>
      <c r="U276" s="597">
        <f t="shared" si="255"/>
        <v>6.0699999999999997E-2</v>
      </c>
      <c r="V276" s="597">
        <f t="shared" si="255"/>
        <v>6.0699999999999997E-2</v>
      </c>
      <c r="W276" s="597">
        <f t="shared" si="255"/>
        <v>6.0699999999999997E-2</v>
      </c>
      <c r="X276" s="597">
        <f t="shared" si="255"/>
        <v>6.0699999999999997E-2</v>
      </c>
      <c r="Y276" s="597">
        <f t="shared" si="255"/>
        <v>6.0699999999999997E-2</v>
      </c>
      <c r="Z276" s="597">
        <f t="shared" si="255"/>
        <v>6.0699999999999997E-2</v>
      </c>
      <c r="AA276" s="597">
        <f t="shared" si="255"/>
        <v>6.0699999999999997E-2</v>
      </c>
      <c r="AB276" s="597">
        <f t="shared" si="255"/>
        <v>6.0699999999999997E-2</v>
      </c>
      <c r="AC276" s="597">
        <f t="shared" si="255"/>
        <v>6.0699999999999997E-2</v>
      </c>
      <c r="AD276" s="597">
        <f t="shared" si="255"/>
        <v>6.0699999999999997E-2</v>
      </c>
      <c r="AE276" s="597">
        <f t="shared" si="255"/>
        <v>6.0699999999999997E-2</v>
      </c>
      <c r="AF276" s="597">
        <f t="shared" si="255"/>
        <v>6.0699999999999997E-2</v>
      </c>
      <c r="AH276" s="538"/>
      <c r="AK276" s="531"/>
      <c r="AM276" s="594"/>
      <c r="AN276" s="535"/>
      <c r="AP276" s="540"/>
      <c r="AQ276" s="540"/>
    </row>
    <row r="277" spans="1:43" s="513" customFormat="1" ht="3" hidden="1" customHeight="1" outlineLevel="2">
      <c r="A277" s="584"/>
      <c r="B277" s="596"/>
      <c r="C277" s="598"/>
      <c r="D277" s="598"/>
      <c r="E277" s="598"/>
      <c r="F277" s="598"/>
      <c r="G277" s="598"/>
      <c r="H277" s="598"/>
      <c r="I277" s="598"/>
      <c r="J277" s="598"/>
      <c r="K277" s="598"/>
      <c r="L277" s="598"/>
      <c r="M277" s="598"/>
      <c r="N277" s="598"/>
      <c r="O277" s="598"/>
      <c r="P277" s="598"/>
      <c r="Q277" s="598"/>
      <c r="R277" s="598"/>
      <c r="S277" s="598"/>
      <c r="T277" s="598"/>
      <c r="U277" s="598"/>
      <c r="V277" s="598"/>
      <c r="W277" s="598"/>
      <c r="X277" s="598"/>
      <c r="Y277" s="598"/>
      <c r="Z277" s="598"/>
      <c r="AA277" s="598"/>
      <c r="AB277" s="598"/>
      <c r="AC277" s="598"/>
      <c r="AD277" s="598"/>
      <c r="AE277" s="598"/>
      <c r="AF277" s="598"/>
      <c r="AH277" s="538"/>
      <c r="AK277" s="531"/>
      <c r="AM277" s="594"/>
      <c r="AN277" s="535"/>
      <c r="AP277" s="540"/>
      <c r="AQ277" s="540"/>
    </row>
    <row r="278" spans="1:43" s="564" customFormat="1" ht="16.5" hidden="1" customHeight="1" outlineLevel="1" collapsed="1">
      <c r="A278" s="584"/>
      <c r="B278" s="576" t="s">
        <v>899</v>
      </c>
      <c r="C278" s="621">
        <f>SUM(C279)*12/10^3</f>
        <v>9.8781120000000016</v>
      </c>
      <c r="D278" s="621">
        <f t="shared" ref="D278:AF278" si="256">SUM(D279)*12/10^3</f>
        <v>9.8781120000000016</v>
      </c>
      <c r="E278" s="621">
        <f t="shared" si="256"/>
        <v>9.8781120000000016</v>
      </c>
      <c r="F278" s="621">
        <f t="shared" si="256"/>
        <v>9.8781120000000016</v>
      </c>
      <c r="G278" s="621">
        <f t="shared" si="256"/>
        <v>9.8781120000000016</v>
      </c>
      <c r="H278" s="621">
        <f t="shared" si="256"/>
        <v>9.8781120000000016</v>
      </c>
      <c r="I278" s="621">
        <f t="shared" si="256"/>
        <v>9.8781120000000016</v>
      </c>
      <c r="J278" s="621">
        <f t="shared" si="256"/>
        <v>9.8781120000000016</v>
      </c>
      <c r="K278" s="621">
        <f t="shared" si="256"/>
        <v>9.8781120000000016</v>
      </c>
      <c r="L278" s="621">
        <f t="shared" si="256"/>
        <v>9.8781120000000016</v>
      </c>
      <c r="M278" s="621">
        <f t="shared" si="256"/>
        <v>9.8781120000000016</v>
      </c>
      <c r="N278" s="621">
        <f t="shared" si="256"/>
        <v>9.8781120000000016</v>
      </c>
      <c r="O278" s="621">
        <f t="shared" si="256"/>
        <v>9.8781120000000016</v>
      </c>
      <c r="P278" s="621">
        <f t="shared" si="256"/>
        <v>9.8781120000000016</v>
      </c>
      <c r="Q278" s="621">
        <f t="shared" si="256"/>
        <v>9.8781120000000016</v>
      </c>
      <c r="R278" s="621">
        <f t="shared" si="256"/>
        <v>9.8781120000000016</v>
      </c>
      <c r="S278" s="621">
        <f t="shared" si="256"/>
        <v>9.8781120000000016</v>
      </c>
      <c r="T278" s="621">
        <f t="shared" si="256"/>
        <v>9.8781120000000016</v>
      </c>
      <c r="U278" s="621">
        <f t="shared" si="256"/>
        <v>9.8781120000000016</v>
      </c>
      <c r="V278" s="621">
        <f t="shared" si="256"/>
        <v>9.8781120000000016</v>
      </c>
      <c r="W278" s="621">
        <f t="shared" si="256"/>
        <v>9.8781120000000016</v>
      </c>
      <c r="X278" s="621">
        <f t="shared" si="256"/>
        <v>9.8781120000000016</v>
      </c>
      <c r="Y278" s="621">
        <f t="shared" si="256"/>
        <v>9.8781120000000016</v>
      </c>
      <c r="Z278" s="621">
        <f t="shared" si="256"/>
        <v>9.8781120000000016</v>
      </c>
      <c r="AA278" s="621">
        <f t="shared" si="256"/>
        <v>9.8781120000000016</v>
      </c>
      <c r="AB278" s="621">
        <f t="shared" si="256"/>
        <v>9.8781120000000016</v>
      </c>
      <c r="AC278" s="621">
        <f t="shared" si="256"/>
        <v>9.8781120000000016</v>
      </c>
      <c r="AD278" s="621">
        <f t="shared" si="256"/>
        <v>9.8781120000000016</v>
      </c>
      <c r="AE278" s="621">
        <f t="shared" si="256"/>
        <v>9.8781120000000016</v>
      </c>
      <c r="AF278" s="621">
        <f t="shared" si="256"/>
        <v>9.8781120000000016</v>
      </c>
      <c r="AH278" s="578">
        <f>SUM(C278:AF278)</f>
        <v>296.34335999999979</v>
      </c>
      <c r="AK278" s="531"/>
      <c r="AM278" s="594"/>
      <c r="AN278" s="535"/>
      <c r="AP278" s="568"/>
      <c r="AQ278" s="568"/>
    </row>
    <row r="279" spans="1:43" s="546" customFormat="1" ht="16.5" hidden="1" customHeight="1" outlineLevel="2">
      <c r="A279" s="584"/>
      <c r="B279" s="595" t="s">
        <v>814</v>
      </c>
      <c r="C279" s="581">
        <f>C281*C282*C280</f>
        <v>823.17600000000004</v>
      </c>
      <c r="D279" s="581">
        <f t="shared" ref="D279:AF279" si="257">D281*D282*D280</f>
        <v>823.17600000000004</v>
      </c>
      <c r="E279" s="581">
        <f t="shared" si="257"/>
        <v>823.17600000000004</v>
      </c>
      <c r="F279" s="581">
        <f t="shared" si="257"/>
        <v>823.17600000000004</v>
      </c>
      <c r="G279" s="581">
        <f t="shared" si="257"/>
        <v>823.17600000000004</v>
      </c>
      <c r="H279" s="581">
        <f t="shared" si="257"/>
        <v>823.17600000000004</v>
      </c>
      <c r="I279" s="581">
        <f t="shared" si="257"/>
        <v>823.17600000000004</v>
      </c>
      <c r="J279" s="581">
        <f t="shared" si="257"/>
        <v>823.17600000000004</v>
      </c>
      <c r="K279" s="581">
        <f t="shared" si="257"/>
        <v>823.17600000000004</v>
      </c>
      <c r="L279" s="581">
        <f t="shared" si="257"/>
        <v>823.17600000000004</v>
      </c>
      <c r="M279" s="581">
        <f t="shared" si="257"/>
        <v>823.17600000000004</v>
      </c>
      <c r="N279" s="581">
        <f t="shared" si="257"/>
        <v>823.17600000000004</v>
      </c>
      <c r="O279" s="581">
        <f t="shared" si="257"/>
        <v>823.17600000000004</v>
      </c>
      <c r="P279" s="581">
        <f t="shared" si="257"/>
        <v>823.17600000000004</v>
      </c>
      <c r="Q279" s="581">
        <f t="shared" si="257"/>
        <v>823.17600000000004</v>
      </c>
      <c r="R279" s="581">
        <f t="shared" si="257"/>
        <v>823.17600000000004</v>
      </c>
      <c r="S279" s="581">
        <f t="shared" si="257"/>
        <v>823.17600000000004</v>
      </c>
      <c r="T279" s="581">
        <f t="shared" si="257"/>
        <v>823.17600000000004</v>
      </c>
      <c r="U279" s="581">
        <f t="shared" si="257"/>
        <v>823.17600000000004</v>
      </c>
      <c r="V279" s="581">
        <f t="shared" si="257"/>
        <v>823.17600000000004</v>
      </c>
      <c r="W279" s="581">
        <f t="shared" si="257"/>
        <v>823.17600000000004</v>
      </c>
      <c r="X279" s="581">
        <f t="shared" si="257"/>
        <v>823.17600000000004</v>
      </c>
      <c r="Y279" s="581">
        <f t="shared" si="257"/>
        <v>823.17600000000004</v>
      </c>
      <c r="Z279" s="581">
        <f t="shared" si="257"/>
        <v>823.17600000000004</v>
      </c>
      <c r="AA279" s="581">
        <f t="shared" si="257"/>
        <v>823.17600000000004</v>
      </c>
      <c r="AB279" s="581">
        <f t="shared" si="257"/>
        <v>823.17600000000004</v>
      </c>
      <c r="AC279" s="581">
        <f t="shared" si="257"/>
        <v>823.17600000000004</v>
      </c>
      <c r="AD279" s="581">
        <f t="shared" si="257"/>
        <v>823.17600000000004</v>
      </c>
      <c r="AE279" s="581">
        <f t="shared" si="257"/>
        <v>823.17600000000004</v>
      </c>
      <c r="AF279" s="581">
        <f t="shared" si="257"/>
        <v>823.17600000000004</v>
      </c>
      <c r="AH279" s="571"/>
      <c r="AK279" s="531"/>
      <c r="AM279" s="594"/>
      <c r="AN279" s="535"/>
      <c r="AP279" s="549"/>
      <c r="AQ279" s="549"/>
    </row>
    <row r="280" spans="1:43" s="513" customFormat="1" ht="16.5" hidden="1" customHeight="1" outlineLevel="2">
      <c r="A280" s="584"/>
      <c r="B280" s="572" t="s">
        <v>805</v>
      </c>
      <c r="C280" s="573">
        <f t="shared" ref="C280:AF280" si="258">C248</f>
        <v>1</v>
      </c>
      <c r="D280" s="573">
        <f t="shared" si="258"/>
        <v>1</v>
      </c>
      <c r="E280" s="573">
        <f t="shared" si="258"/>
        <v>1</v>
      </c>
      <c r="F280" s="573">
        <f t="shared" si="258"/>
        <v>1</v>
      </c>
      <c r="G280" s="573">
        <f t="shared" si="258"/>
        <v>1</v>
      </c>
      <c r="H280" s="573">
        <f t="shared" si="258"/>
        <v>1</v>
      </c>
      <c r="I280" s="573">
        <f t="shared" si="258"/>
        <v>1</v>
      </c>
      <c r="J280" s="573">
        <f t="shared" si="258"/>
        <v>1</v>
      </c>
      <c r="K280" s="573">
        <f t="shared" si="258"/>
        <v>1</v>
      </c>
      <c r="L280" s="573">
        <f t="shared" si="258"/>
        <v>1</v>
      </c>
      <c r="M280" s="573">
        <f t="shared" si="258"/>
        <v>1</v>
      </c>
      <c r="N280" s="573">
        <f t="shared" si="258"/>
        <v>1</v>
      </c>
      <c r="O280" s="573">
        <f t="shared" si="258"/>
        <v>1</v>
      </c>
      <c r="P280" s="573">
        <f t="shared" si="258"/>
        <v>1</v>
      </c>
      <c r="Q280" s="573">
        <f t="shared" si="258"/>
        <v>1</v>
      </c>
      <c r="R280" s="573">
        <f t="shared" si="258"/>
        <v>1</v>
      </c>
      <c r="S280" s="573">
        <f t="shared" si="258"/>
        <v>1</v>
      </c>
      <c r="T280" s="573">
        <f t="shared" si="258"/>
        <v>1</v>
      </c>
      <c r="U280" s="573">
        <f t="shared" si="258"/>
        <v>1</v>
      </c>
      <c r="V280" s="573">
        <f t="shared" si="258"/>
        <v>1</v>
      </c>
      <c r="W280" s="573">
        <f t="shared" si="258"/>
        <v>1</v>
      </c>
      <c r="X280" s="573">
        <f t="shared" si="258"/>
        <v>1</v>
      </c>
      <c r="Y280" s="573">
        <f t="shared" si="258"/>
        <v>1</v>
      </c>
      <c r="Z280" s="573">
        <f t="shared" si="258"/>
        <v>1</v>
      </c>
      <c r="AA280" s="573">
        <f t="shared" si="258"/>
        <v>1</v>
      </c>
      <c r="AB280" s="573">
        <f t="shared" si="258"/>
        <v>1</v>
      </c>
      <c r="AC280" s="573">
        <f t="shared" si="258"/>
        <v>1</v>
      </c>
      <c r="AD280" s="573">
        <f t="shared" si="258"/>
        <v>1</v>
      </c>
      <c r="AE280" s="573">
        <f t="shared" si="258"/>
        <v>1</v>
      </c>
      <c r="AF280" s="573">
        <f t="shared" si="258"/>
        <v>1</v>
      </c>
      <c r="AH280" s="538"/>
      <c r="AK280" s="531"/>
      <c r="AM280" s="539"/>
      <c r="AN280" s="535"/>
      <c r="AP280" s="540"/>
      <c r="AQ280" s="540"/>
    </row>
    <row r="281" spans="1:43" s="546" customFormat="1" ht="16.5" hidden="1" customHeight="1" outlineLevel="2">
      <c r="A281" s="584"/>
      <c r="B281" s="572" t="s">
        <v>901</v>
      </c>
      <c r="C281" s="574">
        <f t="shared" ref="C281:AF281" si="259">C261</f>
        <v>2664</v>
      </c>
      <c r="D281" s="574">
        <f t="shared" si="259"/>
        <v>2664</v>
      </c>
      <c r="E281" s="574">
        <f t="shared" si="259"/>
        <v>2664</v>
      </c>
      <c r="F281" s="574">
        <f t="shared" si="259"/>
        <v>2664</v>
      </c>
      <c r="G281" s="574">
        <f t="shared" si="259"/>
        <v>2664</v>
      </c>
      <c r="H281" s="574">
        <f t="shared" si="259"/>
        <v>2664</v>
      </c>
      <c r="I281" s="574">
        <f t="shared" si="259"/>
        <v>2664</v>
      </c>
      <c r="J281" s="574">
        <f t="shared" si="259"/>
        <v>2664</v>
      </c>
      <c r="K281" s="574">
        <f t="shared" si="259"/>
        <v>2664</v>
      </c>
      <c r="L281" s="574">
        <f t="shared" si="259"/>
        <v>2664</v>
      </c>
      <c r="M281" s="574">
        <f t="shared" si="259"/>
        <v>2664</v>
      </c>
      <c r="N281" s="574">
        <f t="shared" si="259"/>
        <v>2664</v>
      </c>
      <c r="O281" s="574">
        <f t="shared" si="259"/>
        <v>2664</v>
      </c>
      <c r="P281" s="574">
        <f t="shared" si="259"/>
        <v>2664</v>
      </c>
      <c r="Q281" s="574">
        <f t="shared" si="259"/>
        <v>2664</v>
      </c>
      <c r="R281" s="574">
        <f t="shared" si="259"/>
        <v>2664</v>
      </c>
      <c r="S281" s="574">
        <f t="shared" si="259"/>
        <v>2664</v>
      </c>
      <c r="T281" s="574">
        <f t="shared" si="259"/>
        <v>2664</v>
      </c>
      <c r="U281" s="574">
        <f t="shared" si="259"/>
        <v>2664</v>
      </c>
      <c r="V281" s="574">
        <f t="shared" si="259"/>
        <v>2664</v>
      </c>
      <c r="W281" s="574">
        <f t="shared" si="259"/>
        <v>2664</v>
      </c>
      <c r="X281" s="574">
        <f t="shared" si="259"/>
        <v>2664</v>
      </c>
      <c r="Y281" s="574">
        <f t="shared" si="259"/>
        <v>2664</v>
      </c>
      <c r="Z281" s="574">
        <f t="shared" si="259"/>
        <v>2664</v>
      </c>
      <c r="AA281" s="574">
        <f t="shared" si="259"/>
        <v>2664</v>
      </c>
      <c r="AB281" s="574">
        <f t="shared" si="259"/>
        <v>2664</v>
      </c>
      <c r="AC281" s="574">
        <f t="shared" si="259"/>
        <v>2664</v>
      </c>
      <c r="AD281" s="574">
        <f t="shared" si="259"/>
        <v>2664</v>
      </c>
      <c r="AE281" s="574">
        <f t="shared" si="259"/>
        <v>2664</v>
      </c>
      <c r="AF281" s="574">
        <f t="shared" si="259"/>
        <v>2664</v>
      </c>
      <c r="AH281" s="571"/>
      <c r="AK281" s="531"/>
      <c r="AM281" s="594"/>
      <c r="AN281" s="535"/>
      <c r="AP281" s="549"/>
      <c r="AQ281" s="549"/>
    </row>
    <row r="282" spans="1:43" s="546" customFormat="1" ht="16.5" hidden="1" customHeight="1" outlineLevel="2">
      <c r="A282" s="584"/>
      <c r="B282" s="572" t="s">
        <v>902</v>
      </c>
      <c r="C282" s="602">
        <f>((C283*C284)+(C285*C286))/C$70</f>
        <v>0.309</v>
      </c>
      <c r="D282" s="602">
        <f>((D283*D284)+(D285*D286))/D$70</f>
        <v>0.309</v>
      </c>
      <c r="E282" s="602">
        <f t="shared" ref="E282:AF282" si="260">((E283*E284)+(E285*E286))/E$70</f>
        <v>0.309</v>
      </c>
      <c r="F282" s="602">
        <f t="shared" si="260"/>
        <v>0.309</v>
      </c>
      <c r="G282" s="602">
        <f t="shared" si="260"/>
        <v>0.309</v>
      </c>
      <c r="H282" s="602">
        <f t="shared" si="260"/>
        <v>0.309</v>
      </c>
      <c r="I282" s="602">
        <f t="shared" si="260"/>
        <v>0.309</v>
      </c>
      <c r="J282" s="602">
        <f t="shared" si="260"/>
        <v>0.309</v>
      </c>
      <c r="K282" s="602">
        <f t="shared" si="260"/>
        <v>0.309</v>
      </c>
      <c r="L282" s="602">
        <f t="shared" si="260"/>
        <v>0.309</v>
      </c>
      <c r="M282" s="602">
        <f t="shared" si="260"/>
        <v>0.309</v>
      </c>
      <c r="N282" s="602">
        <f t="shared" si="260"/>
        <v>0.309</v>
      </c>
      <c r="O282" s="602">
        <f t="shared" si="260"/>
        <v>0.309</v>
      </c>
      <c r="P282" s="602">
        <f t="shared" si="260"/>
        <v>0.309</v>
      </c>
      <c r="Q282" s="602">
        <f t="shared" si="260"/>
        <v>0.309</v>
      </c>
      <c r="R282" s="602">
        <f t="shared" si="260"/>
        <v>0.309</v>
      </c>
      <c r="S282" s="602">
        <f t="shared" si="260"/>
        <v>0.309</v>
      </c>
      <c r="T282" s="602">
        <f t="shared" si="260"/>
        <v>0.309</v>
      </c>
      <c r="U282" s="602">
        <f t="shared" si="260"/>
        <v>0.309</v>
      </c>
      <c r="V282" s="602">
        <f t="shared" si="260"/>
        <v>0.309</v>
      </c>
      <c r="W282" s="602">
        <f t="shared" si="260"/>
        <v>0.309</v>
      </c>
      <c r="X282" s="602">
        <f t="shared" si="260"/>
        <v>0.309</v>
      </c>
      <c r="Y282" s="602">
        <f t="shared" si="260"/>
        <v>0.309</v>
      </c>
      <c r="Z282" s="602">
        <f t="shared" si="260"/>
        <v>0.309</v>
      </c>
      <c r="AA282" s="602">
        <f t="shared" si="260"/>
        <v>0.309</v>
      </c>
      <c r="AB282" s="602">
        <f t="shared" si="260"/>
        <v>0.309</v>
      </c>
      <c r="AC282" s="602">
        <f t="shared" si="260"/>
        <v>0.309</v>
      </c>
      <c r="AD282" s="602">
        <f t="shared" si="260"/>
        <v>0.309</v>
      </c>
      <c r="AE282" s="602">
        <f t="shared" si="260"/>
        <v>0.309</v>
      </c>
      <c r="AF282" s="602">
        <f t="shared" si="260"/>
        <v>0.309</v>
      </c>
      <c r="AH282" s="571"/>
      <c r="AK282" s="531"/>
      <c r="AM282" s="594"/>
      <c r="AN282" s="535"/>
      <c r="AP282" s="549"/>
      <c r="AQ282" s="549"/>
    </row>
    <row r="283" spans="1:43" s="513" customFormat="1" ht="16.5" hidden="1" customHeight="1" outlineLevel="2">
      <c r="A283" s="584"/>
      <c r="B283" s="596" t="s">
        <v>907</v>
      </c>
      <c r="C283" s="366">
        <v>6</v>
      </c>
      <c r="D283" s="366">
        <f>C283</f>
        <v>6</v>
      </c>
      <c r="E283" s="366">
        <f t="shared" ref="E283:T286" si="261">D283</f>
        <v>6</v>
      </c>
      <c r="F283" s="366">
        <f t="shared" si="261"/>
        <v>6</v>
      </c>
      <c r="G283" s="366">
        <f t="shared" si="261"/>
        <v>6</v>
      </c>
      <c r="H283" s="366">
        <f t="shared" si="261"/>
        <v>6</v>
      </c>
      <c r="I283" s="366">
        <f t="shared" si="261"/>
        <v>6</v>
      </c>
      <c r="J283" s="366">
        <f t="shared" si="261"/>
        <v>6</v>
      </c>
      <c r="K283" s="366">
        <f t="shared" si="261"/>
        <v>6</v>
      </c>
      <c r="L283" s="366">
        <f t="shared" si="261"/>
        <v>6</v>
      </c>
      <c r="M283" s="366">
        <f t="shared" si="261"/>
        <v>6</v>
      </c>
      <c r="N283" s="366">
        <f t="shared" si="261"/>
        <v>6</v>
      </c>
      <c r="O283" s="366">
        <f t="shared" si="261"/>
        <v>6</v>
      </c>
      <c r="P283" s="366">
        <f t="shared" si="261"/>
        <v>6</v>
      </c>
      <c r="Q283" s="366">
        <f t="shared" si="261"/>
        <v>6</v>
      </c>
      <c r="R283" s="366">
        <f t="shared" si="261"/>
        <v>6</v>
      </c>
      <c r="S283" s="366">
        <f t="shared" si="261"/>
        <v>6</v>
      </c>
      <c r="T283" s="366">
        <f t="shared" si="261"/>
        <v>6</v>
      </c>
      <c r="U283" s="366">
        <f t="shared" ref="U283:AF286" si="262">T283</f>
        <v>6</v>
      </c>
      <c r="V283" s="366">
        <f t="shared" si="262"/>
        <v>6</v>
      </c>
      <c r="W283" s="366">
        <f t="shared" si="262"/>
        <v>6</v>
      </c>
      <c r="X283" s="366">
        <f t="shared" si="262"/>
        <v>6</v>
      </c>
      <c r="Y283" s="366">
        <f t="shared" si="262"/>
        <v>6</v>
      </c>
      <c r="Z283" s="366">
        <f t="shared" si="262"/>
        <v>6</v>
      </c>
      <c r="AA283" s="366">
        <f t="shared" si="262"/>
        <v>6</v>
      </c>
      <c r="AB283" s="366">
        <f t="shared" si="262"/>
        <v>6</v>
      </c>
      <c r="AC283" s="366">
        <f t="shared" si="262"/>
        <v>6</v>
      </c>
      <c r="AD283" s="366">
        <f t="shared" si="262"/>
        <v>6</v>
      </c>
      <c r="AE283" s="366">
        <f t="shared" si="262"/>
        <v>6</v>
      </c>
      <c r="AF283" s="366">
        <f t="shared" si="262"/>
        <v>6</v>
      </c>
      <c r="AH283" s="538"/>
      <c r="AK283" s="531"/>
      <c r="AM283" s="594"/>
      <c r="AN283" s="535"/>
      <c r="AP283" s="540"/>
      <c r="AQ283" s="540"/>
    </row>
    <row r="284" spans="1:43" s="513" customFormat="1" ht="16.5" hidden="1" customHeight="1" outlineLevel="2">
      <c r="A284" s="584"/>
      <c r="B284" s="596" t="s">
        <v>904</v>
      </c>
      <c r="C284" s="857">
        <f>Insumos!$E$49</f>
        <v>2620</v>
      </c>
      <c r="D284" s="366">
        <f>C284</f>
        <v>2620</v>
      </c>
      <c r="E284" s="366">
        <f t="shared" si="261"/>
        <v>2620</v>
      </c>
      <c r="F284" s="366">
        <f t="shared" si="261"/>
        <v>2620</v>
      </c>
      <c r="G284" s="366">
        <f t="shared" si="261"/>
        <v>2620</v>
      </c>
      <c r="H284" s="366">
        <f t="shared" si="261"/>
        <v>2620</v>
      </c>
      <c r="I284" s="366">
        <f t="shared" si="261"/>
        <v>2620</v>
      </c>
      <c r="J284" s="366">
        <f t="shared" si="261"/>
        <v>2620</v>
      </c>
      <c r="K284" s="366">
        <f t="shared" si="261"/>
        <v>2620</v>
      </c>
      <c r="L284" s="366">
        <f t="shared" si="261"/>
        <v>2620</v>
      </c>
      <c r="M284" s="366">
        <f t="shared" si="261"/>
        <v>2620</v>
      </c>
      <c r="N284" s="366">
        <f t="shared" si="261"/>
        <v>2620</v>
      </c>
      <c r="O284" s="366">
        <f t="shared" si="261"/>
        <v>2620</v>
      </c>
      <c r="P284" s="366">
        <f t="shared" si="261"/>
        <v>2620</v>
      </c>
      <c r="Q284" s="366">
        <f t="shared" si="261"/>
        <v>2620</v>
      </c>
      <c r="R284" s="366">
        <f t="shared" si="261"/>
        <v>2620</v>
      </c>
      <c r="S284" s="366">
        <f t="shared" si="261"/>
        <v>2620</v>
      </c>
      <c r="T284" s="366">
        <f t="shared" si="261"/>
        <v>2620</v>
      </c>
      <c r="U284" s="366">
        <f t="shared" si="262"/>
        <v>2620</v>
      </c>
      <c r="V284" s="366">
        <f t="shared" si="262"/>
        <v>2620</v>
      </c>
      <c r="W284" s="366">
        <f t="shared" si="262"/>
        <v>2620</v>
      </c>
      <c r="X284" s="366">
        <f t="shared" si="262"/>
        <v>2620</v>
      </c>
      <c r="Y284" s="366">
        <f t="shared" si="262"/>
        <v>2620</v>
      </c>
      <c r="Z284" s="366">
        <f t="shared" si="262"/>
        <v>2620</v>
      </c>
      <c r="AA284" s="366">
        <f t="shared" si="262"/>
        <v>2620</v>
      </c>
      <c r="AB284" s="366">
        <f t="shared" si="262"/>
        <v>2620</v>
      </c>
      <c r="AC284" s="366">
        <f t="shared" si="262"/>
        <v>2620</v>
      </c>
      <c r="AD284" s="366">
        <f t="shared" si="262"/>
        <v>2620</v>
      </c>
      <c r="AE284" s="366">
        <f t="shared" si="262"/>
        <v>2620</v>
      </c>
      <c r="AF284" s="366">
        <f t="shared" si="262"/>
        <v>2620</v>
      </c>
      <c r="AH284" s="538"/>
      <c r="AK284" s="531"/>
      <c r="AM284" s="594"/>
      <c r="AN284" s="535"/>
      <c r="AP284" s="540"/>
      <c r="AQ284" s="540"/>
    </row>
    <row r="285" spans="1:43" s="513" customFormat="1" ht="16.5" hidden="1" customHeight="1" outlineLevel="2">
      <c r="A285" s="584"/>
      <c r="B285" s="596" t="s">
        <v>908</v>
      </c>
      <c r="C285" s="366">
        <f>C283*2</f>
        <v>12</v>
      </c>
      <c r="D285" s="366">
        <f>C285</f>
        <v>12</v>
      </c>
      <c r="E285" s="366">
        <f t="shared" si="261"/>
        <v>12</v>
      </c>
      <c r="F285" s="366">
        <f t="shared" si="261"/>
        <v>12</v>
      </c>
      <c r="G285" s="366">
        <f t="shared" si="261"/>
        <v>12</v>
      </c>
      <c r="H285" s="366">
        <f t="shared" si="261"/>
        <v>12</v>
      </c>
      <c r="I285" s="366">
        <f t="shared" si="261"/>
        <v>12</v>
      </c>
      <c r="J285" s="366">
        <f t="shared" si="261"/>
        <v>12</v>
      </c>
      <c r="K285" s="366">
        <f t="shared" si="261"/>
        <v>12</v>
      </c>
      <c r="L285" s="366">
        <f t="shared" si="261"/>
        <v>12</v>
      </c>
      <c r="M285" s="366">
        <f t="shared" si="261"/>
        <v>12</v>
      </c>
      <c r="N285" s="366">
        <f t="shared" si="261"/>
        <v>12</v>
      </c>
      <c r="O285" s="366">
        <f t="shared" si="261"/>
        <v>12</v>
      </c>
      <c r="P285" s="366">
        <f t="shared" si="261"/>
        <v>12</v>
      </c>
      <c r="Q285" s="366">
        <f t="shared" si="261"/>
        <v>12</v>
      </c>
      <c r="R285" s="366">
        <f t="shared" si="261"/>
        <v>12</v>
      </c>
      <c r="S285" s="366">
        <f t="shared" si="261"/>
        <v>12</v>
      </c>
      <c r="T285" s="366">
        <f t="shared" si="261"/>
        <v>12</v>
      </c>
      <c r="U285" s="366">
        <f t="shared" si="262"/>
        <v>12</v>
      </c>
      <c r="V285" s="366">
        <f t="shared" si="262"/>
        <v>12</v>
      </c>
      <c r="W285" s="366">
        <f t="shared" si="262"/>
        <v>12</v>
      </c>
      <c r="X285" s="366">
        <f t="shared" si="262"/>
        <v>12</v>
      </c>
      <c r="Y285" s="366">
        <f t="shared" si="262"/>
        <v>12</v>
      </c>
      <c r="Z285" s="366">
        <f t="shared" si="262"/>
        <v>12</v>
      </c>
      <c r="AA285" s="366">
        <f t="shared" si="262"/>
        <v>12</v>
      </c>
      <c r="AB285" s="366">
        <f t="shared" si="262"/>
        <v>12</v>
      </c>
      <c r="AC285" s="366">
        <f t="shared" si="262"/>
        <v>12</v>
      </c>
      <c r="AD285" s="366">
        <f t="shared" si="262"/>
        <v>12</v>
      </c>
      <c r="AE285" s="366">
        <f t="shared" si="262"/>
        <v>12</v>
      </c>
      <c r="AF285" s="366">
        <f t="shared" si="262"/>
        <v>12</v>
      </c>
      <c r="AH285" s="538"/>
      <c r="AK285" s="531"/>
      <c r="AM285" s="594"/>
      <c r="AN285" s="535"/>
      <c r="AP285" s="540"/>
      <c r="AQ285" s="540"/>
    </row>
    <row r="286" spans="1:43" s="513" customFormat="1" ht="16.5" hidden="1" customHeight="1" outlineLevel="2">
      <c r="A286" s="584"/>
      <c r="B286" s="596" t="s">
        <v>906</v>
      </c>
      <c r="C286" s="639">
        <f>Insumos!$E$50</f>
        <v>750</v>
      </c>
      <c r="D286" s="639">
        <f>C286</f>
        <v>750</v>
      </c>
      <c r="E286" s="639">
        <f t="shared" si="261"/>
        <v>750</v>
      </c>
      <c r="F286" s="639">
        <f t="shared" si="261"/>
        <v>750</v>
      </c>
      <c r="G286" s="639">
        <f t="shared" si="261"/>
        <v>750</v>
      </c>
      <c r="H286" s="639">
        <f t="shared" si="261"/>
        <v>750</v>
      </c>
      <c r="I286" s="639">
        <f t="shared" si="261"/>
        <v>750</v>
      </c>
      <c r="J286" s="639">
        <f t="shared" si="261"/>
        <v>750</v>
      </c>
      <c r="K286" s="639">
        <f t="shared" si="261"/>
        <v>750</v>
      </c>
      <c r="L286" s="639">
        <f t="shared" si="261"/>
        <v>750</v>
      </c>
      <c r="M286" s="639">
        <f t="shared" si="261"/>
        <v>750</v>
      </c>
      <c r="N286" s="639">
        <f t="shared" si="261"/>
        <v>750</v>
      </c>
      <c r="O286" s="639">
        <f t="shared" si="261"/>
        <v>750</v>
      </c>
      <c r="P286" s="639">
        <f t="shared" si="261"/>
        <v>750</v>
      </c>
      <c r="Q286" s="639">
        <f t="shared" si="261"/>
        <v>750</v>
      </c>
      <c r="R286" s="639">
        <f t="shared" si="261"/>
        <v>750</v>
      </c>
      <c r="S286" s="639">
        <f t="shared" si="261"/>
        <v>750</v>
      </c>
      <c r="T286" s="639">
        <f t="shared" si="261"/>
        <v>750</v>
      </c>
      <c r="U286" s="639">
        <f t="shared" si="262"/>
        <v>750</v>
      </c>
      <c r="V286" s="639">
        <f t="shared" si="262"/>
        <v>750</v>
      </c>
      <c r="W286" s="639">
        <f t="shared" si="262"/>
        <v>750</v>
      </c>
      <c r="X286" s="639">
        <f t="shared" si="262"/>
        <v>750</v>
      </c>
      <c r="Y286" s="639">
        <f t="shared" si="262"/>
        <v>750</v>
      </c>
      <c r="Z286" s="639">
        <f t="shared" si="262"/>
        <v>750</v>
      </c>
      <c r="AA286" s="639">
        <f t="shared" si="262"/>
        <v>750</v>
      </c>
      <c r="AB286" s="639">
        <f t="shared" si="262"/>
        <v>750</v>
      </c>
      <c r="AC286" s="639">
        <f t="shared" si="262"/>
        <v>750</v>
      </c>
      <c r="AD286" s="639">
        <f t="shared" si="262"/>
        <v>750</v>
      </c>
      <c r="AE286" s="639">
        <f t="shared" si="262"/>
        <v>750</v>
      </c>
      <c r="AF286" s="639">
        <f t="shared" si="262"/>
        <v>750</v>
      </c>
      <c r="AH286" s="538"/>
      <c r="AK286" s="531"/>
      <c r="AM286" s="594"/>
      <c r="AN286" s="535"/>
      <c r="AP286" s="540"/>
      <c r="AQ286" s="540"/>
    </row>
    <row r="287" spans="1:43" s="513" customFormat="1" ht="3" hidden="1" customHeight="1" outlineLevel="2">
      <c r="A287" s="584"/>
      <c r="B287" s="596"/>
      <c r="C287" s="598"/>
      <c r="D287" s="598"/>
      <c r="E287" s="598"/>
      <c r="F287" s="598"/>
      <c r="G287" s="598"/>
      <c r="H287" s="598"/>
      <c r="I287" s="598"/>
      <c r="J287" s="598"/>
      <c r="K287" s="598"/>
      <c r="L287" s="598"/>
      <c r="M287" s="598"/>
      <c r="N287" s="598"/>
      <c r="O287" s="598"/>
      <c r="P287" s="598"/>
      <c r="Q287" s="598"/>
      <c r="R287" s="598"/>
      <c r="S287" s="598"/>
      <c r="T287" s="598"/>
      <c r="U287" s="598"/>
      <c r="V287" s="598"/>
      <c r="W287" s="598"/>
      <c r="X287" s="598"/>
      <c r="Y287" s="598"/>
      <c r="Z287" s="598"/>
      <c r="AA287" s="598"/>
      <c r="AB287" s="598"/>
      <c r="AC287" s="598"/>
      <c r="AD287" s="598"/>
      <c r="AE287" s="598"/>
      <c r="AF287" s="598"/>
      <c r="AH287" s="538"/>
      <c r="AK287" s="531"/>
      <c r="AM287" s="594"/>
      <c r="AN287" s="535"/>
      <c r="AP287" s="540"/>
      <c r="AQ287" s="540"/>
    </row>
    <row r="288" spans="1:43" s="564" customFormat="1" ht="16.5" hidden="1" customHeight="1" outlineLevel="1" collapsed="1">
      <c r="A288" s="584"/>
      <c r="B288" s="576" t="s">
        <v>909</v>
      </c>
      <c r="C288" s="577">
        <f>C289*12/10^3</f>
        <v>30.96</v>
      </c>
      <c r="D288" s="577">
        <f t="shared" ref="D288:F288" si="263">D289*12/10^3</f>
        <v>30.96</v>
      </c>
      <c r="E288" s="577">
        <f t="shared" si="263"/>
        <v>30.96</v>
      </c>
      <c r="F288" s="577">
        <f t="shared" si="263"/>
        <v>30.96</v>
      </c>
      <c r="G288" s="577">
        <f>G289*12/10^3</f>
        <v>30.96</v>
      </c>
      <c r="H288" s="577">
        <f t="shared" ref="H288:AF288" si="264">H289*12/10^3</f>
        <v>30.96</v>
      </c>
      <c r="I288" s="577">
        <f t="shared" si="264"/>
        <v>30.96</v>
      </c>
      <c r="J288" s="577">
        <f t="shared" si="264"/>
        <v>30.96</v>
      </c>
      <c r="K288" s="577">
        <f t="shared" si="264"/>
        <v>30.96</v>
      </c>
      <c r="L288" s="577">
        <f t="shared" si="264"/>
        <v>30.96</v>
      </c>
      <c r="M288" s="577">
        <f t="shared" si="264"/>
        <v>30.96</v>
      </c>
      <c r="N288" s="577">
        <f t="shared" si="264"/>
        <v>30.96</v>
      </c>
      <c r="O288" s="577">
        <f t="shared" si="264"/>
        <v>30.96</v>
      </c>
      <c r="P288" s="577">
        <f t="shared" si="264"/>
        <v>30.96</v>
      </c>
      <c r="Q288" s="577">
        <f t="shared" si="264"/>
        <v>30.96</v>
      </c>
      <c r="R288" s="577">
        <f t="shared" si="264"/>
        <v>30.96</v>
      </c>
      <c r="S288" s="577">
        <f t="shared" si="264"/>
        <v>30.96</v>
      </c>
      <c r="T288" s="577">
        <f t="shared" si="264"/>
        <v>30.96</v>
      </c>
      <c r="U288" s="577">
        <f t="shared" si="264"/>
        <v>30.96</v>
      </c>
      <c r="V288" s="577">
        <f t="shared" si="264"/>
        <v>30.96</v>
      </c>
      <c r="W288" s="577">
        <f t="shared" si="264"/>
        <v>30.96</v>
      </c>
      <c r="X288" s="577">
        <f t="shared" si="264"/>
        <v>30.96</v>
      </c>
      <c r="Y288" s="577">
        <f t="shared" si="264"/>
        <v>30.96</v>
      </c>
      <c r="Z288" s="577">
        <f t="shared" si="264"/>
        <v>30.96</v>
      </c>
      <c r="AA288" s="577">
        <f t="shared" si="264"/>
        <v>30.96</v>
      </c>
      <c r="AB288" s="577">
        <f t="shared" si="264"/>
        <v>30.96</v>
      </c>
      <c r="AC288" s="577">
        <f t="shared" si="264"/>
        <v>30.96</v>
      </c>
      <c r="AD288" s="577">
        <f t="shared" si="264"/>
        <v>30.96</v>
      </c>
      <c r="AE288" s="577">
        <f t="shared" si="264"/>
        <v>30.96</v>
      </c>
      <c r="AF288" s="577">
        <f t="shared" si="264"/>
        <v>30.96</v>
      </c>
      <c r="AH288" s="578">
        <f>SUM(C288:AF288)</f>
        <v>928.80000000000041</v>
      </c>
      <c r="AK288" s="531"/>
      <c r="AM288" s="594"/>
      <c r="AN288" s="535"/>
      <c r="AP288" s="568"/>
      <c r="AQ288" s="568"/>
    </row>
    <row r="289" spans="1:43" s="546" customFormat="1" ht="16.5" hidden="1" customHeight="1" outlineLevel="2">
      <c r="A289" s="584"/>
      <c r="B289" s="603" t="s">
        <v>910</v>
      </c>
      <c r="C289" s="581">
        <f>(C291*C290)</f>
        <v>2580</v>
      </c>
      <c r="D289" s="581">
        <f t="shared" ref="D289:AF289" si="265">(D291*D290)</f>
        <v>2580</v>
      </c>
      <c r="E289" s="581">
        <f t="shared" si="265"/>
        <v>2580</v>
      </c>
      <c r="F289" s="581">
        <f t="shared" si="265"/>
        <v>2580</v>
      </c>
      <c r="G289" s="581">
        <f t="shared" si="265"/>
        <v>2580</v>
      </c>
      <c r="H289" s="581">
        <f t="shared" si="265"/>
        <v>2580</v>
      </c>
      <c r="I289" s="581">
        <f t="shared" si="265"/>
        <v>2580</v>
      </c>
      <c r="J289" s="581">
        <f t="shared" si="265"/>
        <v>2580</v>
      </c>
      <c r="K289" s="581">
        <f t="shared" si="265"/>
        <v>2580</v>
      </c>
      <c r="L289" s="581">
        <f t="shared" si="265"/>
        <v>2580</v>
      </c>
      <c r="M289" s="581">
        <f t="shared" si="265"/>
        <v>2580</v>
      </c>
      <c r="N289" s="581">
        <f t="shared" si="265"/>
        <v>2580</v>
      </c>
      <c r="O289" s="581">
        <f t="shared" si="265"/>
        <v>2580</v>
      </c>
      <c r="P289" s="581">
        <f t="shared" si="265"/>
        <v>2580</v>
      </c>
      <c r="Q289" s="581">
        <f t="shared" si="265"/>
        <v>2580</v>
      </c>
      <c r="R289" s="581">
        <f t="shared" si="265"/>
        <v>2580</v>
      </c>
      <c r="S289" s="581">
        <f t="shared" si="265"/>
        <v>2580</v>
      </c>
      <c r="T289" s="581">
        <f t="shared" si="265"/>
        <v>2580</v>
      </c>
      <c r="U289" s="581">
        <f t="shared" si="265"/>
        <v>2580</v>
      </c>
      <c r="V289" s="581">
        <f t="shared" si="265"/>
        <v>2580</v>
      </c>
      <c r="W289" s="581">
        <f t="shared" si="265"/>
        <v>2580</v>
      </c>
      <c r="X289" s="581">
        <f t="shared" si="265"/>
        <v>2580</v>
      </c>
      <c r="Y289" s="581">
        <f t="shared" si="265"/>
        <v>2580</v>
      </c>
      <c r="Z289" s="581">
        <f t="shared" si="265"/>
        <v>2580</v>
      </c>
      <c r="AA289" s="581">
        <f t="shared" si="265"/>
        <v>2580</v>
      </c>
      <c r="AB289" s="581">
        <f t="shared" si="265"/>
        <v>2580</v>
      </c>
      <c r="AC289" s="581">
        <f t="shared" si="265"/>
        <v>2580</v>
      </c>
      <c r="AD289" s="581">
        <f t="shared" si="265"/>
        <v>2580</v>
      </c>
      <c r="AE289" s="581">
        <f t="shared" si="265"/>
        <v>2580</v>
      </c>
      <c r="AF289" s="581">
        <f t="shared" si="265"/>
        <v>2580</v>
      </c>
      <c r="AH289" s="571"/>
      <c r="AK289" s="531"/>
      <c r="AM289" s="594"/>
      <c r="AN289" s="535"/>
      <c r="AP289" s="549"/>
      <c r="AQ289" s="549"/>
    </row>
    <row r="290" spans="1:43" s="513" customFormat="1" ht="16.5" hidden="1" customHeight="1" outlineLevel="2">
      <c r="A290" s="584"/>
      <c r="B290" s="604" t="s">
        <v>949</v>
      </c>
      <c r="C290" s="573">
        <f>C280+1</f>
        <v>2</v>
      </c>
      <c r="D290" s="573">
        <f>C290</f>
        <v>2</v>
      </c>
      <c r="E290" s="573">
        <f t="shared" ref="E290:T291" si="266">D290</f>
        <v>2</v>
      </c>
      <c r="F290" s="573">
        <f t="shared" si="266"/>
        <v>2</v>
      </c>
      <c r="G290" s="573">
        <f t="shared" si="266"/>
        <v>2</v>
      </c>
      <c r="H290" s="573">
        <f t="shared" si="266"/>
        <v>2</v>
      </c>
      <c r="I290" s="573">
        <f t="shared" si="266"/>
        <v>2</v>
      </c>
      <c r="J290" s="573">
        <f t="shared" si="266"/>
        <v>2</v>
      </c>
      <c r="K290" s="573">
        <f t="shared" si="266"/>
        <v>2</v>
      </c>
      <c r="L290" s="573">
        <f t="shared" si="266"/>
        <v>2</v>
      </c>
      <c r="M290" s="573">
        <f t="shared" si="266"/>
        <v>2</v>
      </c>
      <c r="N290" s="573">
        <f t="shared" si="266"/>
        <v>2</v>
      </c>
      <c r="O290" s="573">
        <f t="shared" si="266"/>
        <v>2</v>
      </c>
      <c r="P290" s="573">
        <f t="shared" si="266"/>
        <v>2</v>
      </c>
      <c r="Q290" s="573">
        <f t="shared" si="266"/>
        <v>2</v>
      </c>
      <c r="R290" s="573">
        <f t="shared" si="266"/>
        <v>2</v>
      </c>
      <c r="S290" s="573">
        <f t="shared" si="266"/>
        <v>2</v>
      </c>
      <c r="T290" s="573">
        <f t="shared" si="266"/>
        <v>2</v>
      </c>
      <c r="U290" s="573">
        <f t="shared" ref="U290:AF291" si="267">T290</f>
        <v>2</v>
      </c>
      <c r="V290" s="573">
        <f t="shared" si="267"/>
        <v>2</v>
      </c>
      <c r="W290" s="573">
        <f t="shared" si="267"/>
        <v>2</v>
      </c>
      <c r="X290" s="573">
        <f t="shared" si="267"/>
        <v>2</v>
      </c>
      <c r="Y290" s="573">
        <f t="shared" si="267"/>
        <v>2</v>
      </c>
      <c r="Z290" s="573">
        <f t="shared" si="267"/>
        <v>2</v>
      </c>
      <c r="AA290" s="573">
        <f t="shared" si="267"/>
        <v>2</v>
      </c>
      <c r="AB290" s="573">
        <f t="shared" si="267"/>
        <v>2</v>
      </c>
      <c r="AC290" s="573">
        <f t="shared" si="267"/>
        <v>2</v>
      </c>
      <c r="AD290" s="573">
        <f t="shared" si="267"/>
        <v>2</v>
      </c>
      <c r="AE290" s="573">
        <f t="shared" si="267"/>
        <v>2</v>
      </c>
      <c r="AF290" s="573">
        <f t="shared" si="267"/>
        <v>2</v>
      </c>
      <c r="AH290" s="538"/>
      <c r="AK290" s="531"/>
      <c r="AM290" s="539"/>
      <c r="AN290" s="535"/>
      <c r="AP290" s="540"/>
      <c r="AQ290" s="540"/>
    </row>
    <row r="291" spans="1:43" s="513" customFormat="1" ht="16.5" hidden="1" customHeight="1" outlineLevel="2">
      <c r="A291" s="584"/>
      <c r="B291" s="604" t="s">
        <v>912</v>
      </c>
      <c r="C291" s="605">
        <f>Insumos!$E$44*4.3</f>
        <v>1290</v>
      </c>
      <c r="D291" s="605">
        <f>C291</f>
        <v>1290</v>
      </c>
      <c r="E291" s="605">
        <f t="shared" si="266"/>
        <v>1290</v>
      </c>
      <c r="F291" s="605">
        <f t="shared" si="266"/>
        <v>1290</v>
      </c>
      <c r="G291" s="605">
        <f t="shared" si="266"/>
        <v>1290</v>
      </c>
      <c r="H291" s="605">
        <f t="shared" si="266"/>
        <v>1290</v>
      </c>
      <c r="I291" s="605">
        <f t="shared" si="266"/>
        <v>1290</v>
      </c>
      <c r="J291" s="605">
        <f t="shared" si="266"/>
        <v>1290</v>
      </c>
      <c r="K291" s="605">
        <f t="shared" si="266"/>
        <v>1290</v>
      </c>
      <c r="L291" s="605">
        <f t="shared" si="266"/>
        <v>1290</v>
      </c>
      <c r="M291" s="605">
        <f t="shared" si="266"/>
        <v>1290</v>
      </c>
      <c r="N291" s="605">
        <f t="shared" si="266"/>
        <v>1290</v>
      </c>
      <c r="O291" s="605">
        <f t="shared" si="266"/>
        <v>1290</v>
      </c>
      <c r="P291" s="605">
        <f t="shared" si="266"/>
        <v>1290</v>
      </c>
      <c r="Q291" s="605">
        <f t="shared" si="266"/>
        <v>1290</v>
      </c>
      <c r="R291" s="605">
        <f t="shared" si="266"/>
        <v>1290</v>
      </c>
      <c r="S291" s="605">
        <f t="shared" si="266"/>
        <v>1290</v>
      </c>
      <c r="T291" s="605">
        <f t="shared" si="266"/>
        <v>1290</v>
      </c>
      <c r="U291" s="605">
        <f t="shared" si="267"/>
        <v>1290</v>
      </c>
      <c r="V291" s="605">
        <f t="shared" si="267"/>
        <v>1290</v>
      </c>
      <c r="W291" s="605">
        <f t="shared" si="267"/>
        <v>1290</v>
      </c>
      <c r="X291" s="605">
        <f t="shared" si="267"/>
        <v>1290</v>
      </c>
      <c r="Y291" s="605">
        <f t="shared" si="267"/>
        <v>1290</v>
      </c>
      <c r="Z291" s="605">
        <f t="shared" si="267"/>
        <v>1290</v>
      </c>
      <c r="AA291" s="605">
        <f t="shared" si="267"/>
        <v>1290</v>
      </c>
      <c r="AB291" s="605">
        <f t="shared" si="267"/>
        <v>1290</v>
      </c>
      <c r="AC291" s="605">
        <f t="shared" si="267"/>
        <v>1290</v>
      </c>
      <c r="AD291" s="605">
        <f t="shared" si="267"/>
        <v>1290</v>
      </c>
      <c r="AE291" s="605">
        <f t="shared" si="267"/>
        <v>1290</v>
      </c>
      <c r="AF291" s="605">
        <f t="shared" si="267"/>
        <v>1290</v>
      </c>
      <c r="AH291" s="538"/>
      <c r="AK291" s="531"/>
      <c r="AM291" s="594"/>
      <c r="AN291" s="535"/>
      <c r="AP291" s="540"/>
      <c r="AQ291" s="540"/>
    </row>
    <row r="292" spans="1:43" s="513" customFormat="1" ht="3" hidden="1" customHeight="1" outlineLevel="2">
      <c r="A292" s="584"/>
      <c r="B292" s="606"/>
      <c r="C292" s="575"/>
      <c r="D292" s="575"/>
      <c r="E292" s="575"/>
      <c r="F292" s="575"/>
      <c r="G292" s="575"/>
      <c r="H292" s="575"/>
      <c r="I292" s="575"/>
      <c r="J292" s="575"/>
      <c r="K292" s="575"/>
      <c r="L292" s="575"/>
      <c r="M292" s="575"/>
      <c r="N292" s="575"/>
      <c r="O292" s="575"/>
      <c r="P292" s="575"/>
      <c r="Q292" s="575"/>
      <c r="R292" s="575"/>
      <c r="S292" s="575"/>
      <c r="T292" s="575"/>
      <c r="U292" s="575"/>
      <c r="V292" s="575"/>
      <c r="W292" s="575"/>
      <c r="X292" s="575"/>
      <c r="Y292" s="575"/>
      <c r="Z292" s="575"/>
      <c r="AA292" s="575"/>
      <c r="AB292" s="575"/>
      <c r="AC292" s="575"/>
      <c r="AD292" s="575"/>
      <c r="AE292" s="575"/>
      <c r="AF292" s="575"/>
      <c r="AH292" s="538"/>
      <c r="AK292" s="531"/>
      <c r="AM292" s="594"/>
      <c r="AN292" s="535"/>
      <c r="AP292" s="540"/>
      <c r="AQ292" s="540"/>
    </row>
    <row r="293" spans="1:43" s="564" customFormat="1" ht="16.5" hidden="1" customHeight="1" outlineLevel="1" collapsed="1">
      <c r="A293" s="584"/>
      <c r="B293" s="576" t="s">
        <v>915</v>
      </c>
      <c r="C293" s="599">
        <f>SUM(C294)*12/10^3</f>
        <v>35.5285844</v>
      </c>
      <c r="D293" s="599">
        <f t="shared" ref="D293:AF293" si="268">SUM(D294)*12/10^3</f>
        <v>35.5285844</v>
      </c>
      <c r="E293" s="599">
        <f t="shared" si="268"/>
        <v>35.5285844</v>
      </c>
      <c r="F293" s="599">
        <f t="shared" si="268"/>
        <v>35.5285844</v>
      </c>
      <c r="G293" s="599">
        <f t="shared" si="268"/>
        <v>35.5285844</v>
      </c>
      <c r="H293" s="599">
        <f t="shared" si="268"/>
        <v>35.5285844</v>
      </c>
      <c r="I293" s="599">
        <f t="shared" si="268"/>
        <v>35.5285844</v>
      </c>
      <c r="J293" s="599">
        <f t="shared" si="268"/>
        <v>35.5285844</v>
      </c>
      <c r="K293" s="599">
        <f t="shared" si="268"/>
        <v>35.5285844</v>
      </c>
      <c r="L293" s="599">
        <f t="shared" si="268"/>
        <v>35.5285844</v>
      </c>
      <c r="M293" s="599">
        <f t="shared" si="268"/>
        <v>35.5285844</v>
      </c>
      <c r="N293" s="599">
        <f t="shared" si="268"/>
        <v>35.5285844</v>
      </c>
      <c r="O293" s="599">
        <f t="shared" si="268"/>
        <v>35.5285844</v>
      </c>
      <c r="P293" s="599">
        <f t="shared" si="268"/>
        <v>35.5285844</v>
      </c>
      <c r="Q293" s="599">
        <f t="shared" si="268"/>
        <v>35.5285844</v>
      </c>
      <c r="R293" s="599">
        <f t="shared" si="268"/>
        <v>35.5285844</v>
      </c>
      <c r="S293" s="599">
        <f t="shared" si="268"/>
        <v>35.5285844</v>
      </c>
      <c r="T293" s="599">
        <f t="shared" si="268"/>
        <v>35.5285844</v>
      </c>
      <c r="U293" s="599">
        <f t="shared" si="268"/>
        <v>35.5285844</v>
      </c>
      <c r="V293" s="599">
        <f t="shared" si="268"/>
        <v>35.5285844</v>
      </c>
      <c r="W293" s="599">
        <f t="shared" si="268"/>
        <v>35.5285844</v>
      </c>
      <c r="X293" s="599">
        <f t="shared" si="268"/>
        <v>35.5285844</v>
      </c>
      <c r="Y293" s="599">
        <f t="shared" si="268"/>
        <v>35.5285844</v>
      </c>
      <c r="Z293" s="599">
        <f t="shared" si="268"/>
        <v>35.5285844</v>
      </c>
      <c r="AA293" s="599">
        <f t="shared" si="268"/>
        <v>35.5285844</v>
      </c>
      <c r="AB293" s="599">
        <f t="shared" si="268"/>
        <v>35.5285844</v>
      </c>
      <c r="AC293" s="599">
        <f t="shared" si="268"/>
        <v>35.5285844</v>
      </c>
      <c r="AD293" s="599">
        <f t="shared" si="268"/>
        <v>35.5285844</v>
      </c>
      <c r="AE293" s="599">
        <f t="shared" si="268"/>
        <v>35.5285844</v>
      </c>
      <c r="AF293" s="599">
        <f t="shared" si="268"/>
        <v>35.5285844</v>
      </c>
      <c r="AH293" s="578">
        <f>SUM(C293:AF293)</f>
        <v>1065.857532</v>
      </c>
      <c r="AJ293" s="579"/>
      <c r="AK293" s="531"/>
      <c r="AM293" s="594"/>
      <c r="AN293" s="535"/>
      <c r="AP293" s="568"/>
      <c r="AQ293" s="568"/>
    </row>
    <row r="294" spans="1:43" s="546" customFormat="1" ht="16.5" hidden="1" customHeight="1" outlineLevel="2">
      <c r="A294" s="584"/>
      <c r="B294" s="569" t="s">
        <v>814</v>
      </c>
      <c r="C294" s="581">
        <f>((C295*C299)*(C297+C298)/12)+((C296*C295)/12)</f>
        <v>2960.7153666666668</v>
      </c>
      <c r="D294" s="581">
        <f t="shared" ref="D294:AF294" si="269">((D295*D299)*(D297+D298)/12)+((D296*D295)/12)</f>
        <v>2960.7153666666668</v>
      </c>
      <c r="E294" s="581">
        <f t="shared" si="269"/>
        <v>2960.7153666666668</v>
      </c>
      <c r="F294" s="581">
        <f t="shared" si="269"/>
        <v>2960.7153666666668</v>
      </c>
      <c r="G294" s="581">
        <f t="shared" si="269"/>
        <v>2960.7153666666668</v>
      </c>
      <c r="H294" s="581">
        <f t="shared" si="269"/>
        <v>2960.7153666666668</v>
      </c>
      <c r="I294" s="581">
        <f t="shared" si="269"/>
        <v>2960.7153666666668</v>
      </c>
      <c r="J294" s="581">
        <f t="shared" si="269"/>
        <v>2960.7153666666668</v>
      </c>
      <c r="K294" s="581">
        <f t="shared" si="269"/>
        <v>2960.7153666666668</v>
      </c>
      <c r="L294" s="581">
        <f t="shared" si="269"/>
        <v>2960.7153666666668</v>
      </c>
      <c r="M294" s="581">
        <f t="shared" si="269"/>
        <v>2960.7153666666668</v>
      </c>
      <c r="N294" s="581">
        <f t="shared" si="269"/>
        <v>2960.7153666666668</v>
      </c>
      <c r="O294" s="581">
        <f t="shared" si="269"/>
        <v>2960.7153666666668</v>
      </c>
      <c r="P294" s="581">
        <f t="shared" si="269"/>
        <v>2960.7153666666668</v>
      </c>
      <c r="Q294" s="581">
        <f t="shared" si="269"/>
        <v>2960.7153666666668</v>
      </c>
      <c r="R294" s="581">
        <f t="shared" si="269"/>
        <v>2960.7153666666668</v>
      </c>
      <c r="S294" s="581">
        <f t="shared" si="269"/>
        <v>2960.7153666666668</v>
      </c>
      <c r="T294" s="581">
        <f t="shared" si="269"/>
        <v>2960.7153666666668</v>
      </c>
      <c r="U294" s="581">
        <f t="shared" si="269"/>
        <v>2960.7153666666668</v>
      </c>
      <c r="V294" s="581">
        <f t="shared" si="269"/>
        <v>2960.7153666666668</v>
      </c>
      <c r="W294" s="581">
        <f t="shared" si="269"/>
        <v>2960.7153666666668</v>
      </c>
      <c r="X294" s="581">
        <f t="shared" si="269"/>
        <v>2960.7153666666668</v>
      </c>
      <c r="Y294" s="581">
        <f t="shared" si="269"/>
        <v>2960.7153666666668</v>
      </c>
      <c r="Z294" s="581">
        <f t="shared" si="269"/>
        <v>2960.7153666666668</v>
      </c>
      <c r="AA294" s="581">
        <f t="shared" si="269"/>
        <v>2960.7153666666668</v>
      </c>
      <c r="AB294" s="581">
        <f t="shared" si="269"/>
        <v>2960.7153666666668</v>
      </c>
      <c r="AC294" s="581">
        <f t="shared" si="269"/>
        <v>2960.7153666666668</v>
      </c>
      <c r="AD294" s="581">
        <f t="shared" si="269"/>
        <v>2960.7153666666668</v>
      </c>
      <c r="AE294" s="581">
        <f t="shared" si="269"/>
        <v>2960.7153666666668</v>
      </c>
      <c r="AF294" s="581">
        <f t="shared" si="269"/>
        <v>2960.7153666666668</v>
      </c>
      <c r="AH294" s="571"/>
      <c r="AK294" s="531"/>
      <c r="AM294" s="594"/>
      <c r="AN294" s="535"/>
      <c r="AP294" s="549"/>
      <c r="AQ294" s="549"/>
    </row>
    <row r="295" spans="1:43" s="513" customFormat="1" ht="16.5" hidden="1" customHeight="1" outlineLevel="2">
      <c r="A295" s="584"/>
      <c r="B295" s="572" t="s">
        <v>805</v>
      </c>
      <c r="C295" s="718">
        <f t="shared" ref="C295:AF295" si="270">C290</f>
        <v>2</v>
      </c>
      <c r="D295" s="718">
        <f t="shared" si="270"/>
        <v>2</v>
      </c>
      <c r="E295" s="718">
        <f t="shared" si="270"/>
        <v>2</v>
      </c>
      <c r="F295" s="718">
        <f t="shared" si="270"/>
        <v>2</v>
      </c>
      <c r="G295" s="718">
        <f t="shared" si="270"/>
        <v>2</v>
      </c>
      <c r="H295" s="718">
        <f t="shared" si="270"/>
        <v>2</v>
      </c>
      <c r="I295" s="718">
        <f t="shared" si="270"/>
        <v>2</v>
      </c>
      <c r="J295" s="718">
        <f t="shared" si="270"/>
        <v>2</v>
      </c>
      <c r="K295" s="718">
        <f t="shared" si="270"/>
        <v>2</v>
      </c>
      <c r="L295" s="718">
        <f t="shared" si="270"/>
        <v>2</v>
      </c>
      <c r="M295" s="718">
        <f t="shared" si="270"/>
        <v>2</v>
      </c>
      <c r="N295" s="718">
        <f t="shared" si="270"/>
        <v>2</v>
      </c>
      <c r="O295" s="718">
        <f t="shared" si="270"/>
        <v>2</v>
      </c>
      <c r="P295" s="718">
        <f t="shared" si="270"/>
        <v>2</v>
      </c>
      <c r="Q295" s="718">
        <f t="shared" si="270"/>
        <v>2</v>
      </c>
      <c r="R295" s="718">
        <f t="shared" si="270"/>
        <v>2</v>
      </c>
      <c r="S295" s="718">
        <f t="shared" si="270"/>
        <v>2</v>
      </c>
      <c r="T295" s="718">
        <f t="shared" si="270"/>
        <v>2</v>
      </c>
      <c r="U295" s="718">
        <f t="shared" si="270"/>
        <v>2</v>
      </c>
      <c r="V295" s="718">
        <f t="shared" si="270"/>
        <v>2</v>
      </c>
      <c r="W295" s="718">
        <f t="shared" si="270"/>
        <v>2</v>
      </c>
      <c r="X295" s="718">
        <f t="shared" si="270"/>
        <v>2</v>
      </c>
      <c r="Y295" s="718">
        <f t="shared" si="270"/>
        <v>2</v>
      </c>
      <c r="Z295" s="718">
        <f t="shared" si="270"/>
        <v>2</v>
      </c>
      <c r="AA295" s="718">
        <f t="shared" si="270"/>
        <v>2</v>
      </c>
      <c r="AB295" s="718">
        <f t="shared" si="270"/>
        <v>2</v>
      </c>
      <c r="AC295" s="718">
        <f t="shared" si="270"/>
        <v>2</v>
      </c>
      <c r="AD295" s="718">
        <f t="shared" si="270"/>
        <v>2</v>
      </c>
      <c r="AE295" s="718">
        <f t="shared" si="270"/>
        <v>2</v>
      </c>
      <c r="AF295" s="718">
        <f t="shared" si="270"/>
        <v>2</v>
      </c>
      <c r="AH295" s="538"/>
      <c r="AK295" s="719"/>
      <c r="AM295" s="594"/>
      <c r="AN295" s="535"/>
      <c r="AP295" s="540"/>
      <c r="AQ295" s="540"/>
    </row>
    <row r="296" spans="1:43" s="513" customFormat="1" ht="16.5" hidden="1" customHeight="1" outlineLevel="2">
      <c r="A296" s="584"/>
      <c r="B296" s="572" t="s">
        <v>916</v>
      </c>
      <c r="C296" s="605">
        <f>C100</f>
        <v>149.37</v>
      </c>
      <c r="D296" s="605">
        <f>C296</f>
        <v>149.37</v>
      </c>
      <c r="E296" s="605">
        <f t="shared" ref="E296:T299" si="271">D296</f>
        <v>149.37</v>
      </c>
      <c r="F296" s="605">
        <f t="shared" si="271"/>
        <v>149.37</v>
      </c>
      <c r="G296" s="605">
        <f t="shared" si="271"/>
        <v>149.37</v>
      </c>
      <c r="H296" s="605">
        <f t="shared" si="271"/>
        <v>149.37</v>
      </c>
      <c r="I296" s="605">
        <f t="shared" si="271"/>
        <v>149.37</v>
      </c>
      <c r="J296" s="605">
        <f t="shared" si="271"/>
        <v>149.37</v>
      </c>
      <c r="K296" s="605">
        <f t="shared" si="271"/>
        <v>149.37</v>
      </c>
      <c r="L296" s="605">
        <f t="shared" si="271"/>
        <v>149.37</v>
      </c>
      <c r="M296" s="605">
        <f t="shared" si="271"/>
        <v>149.37</v>
      </c>
      <c r="N296" s="605">
        <f t="shared" si="271"/>
        <v>149.37</v>
      </c>
      <c r="O296" s="605">
        <f t="shared" si="271"/>
        <v>149.37</v>
      </c>
      <c r="P296" s="605">
        <f t="shared" si="271"/>
        <v>149.37</v>
      </c>
      <c r="Q296" s="605">
        <f t="shared" si="271"/>
        <v>149.37</v>
      </c>
      <c r="R296" s="605">
        <f t="shared" si="271"/>
        <v>149.37</v>
      </c>
      <c r="S296" s="605">
        <f t="shared" si="271"/>
        <v>149.37</v>
      </c>
      <c r="T296" s="605">
        <f t="shared" si="271"/>
        <v>149.37</v>
      </c>
      <c r="U296" s="605">
        <f t="shared" ref="U296:AF299" si="272">T296</f>
        <v>149.37</v>
      </c>
      <c r="V296" s="605">
        <f t="shared" si="272"/>
        <v>149.37</v>
      </c>
      <c r="W296" s="605">
        <f t="shared" si="272"/>
        <v>149.37</v>
      </c>
      <c r="X296" s="605">
        <f t="shared" si="272"/>
        <v>149.37</v>
      </c>
      <c r="Y296" s="605">
        <f t="shared" si="272"/>
        <v>149.37</v>
      </c>
      <c r="Z296" s="605">
        <f t="shared" si="272"/>
        <v>149.37</v>
      </c>
      <c r="AA296" s="605">
        <f t="shared" si="272"/>
        <v>149.37</v>
      </c>
      <c r="AB296" s="605">
        <f t="shared" si="272"/>
        <v>149.37</v>
      </c>
      <c r="AC296" s="605">
        <f t="shared" si="272"/>
        <v>149.37</v>
      </c>
      <c r="AD296" s="605">
        <f t="shared" si="272"/>
        <v>149.37</v>
      </c>
      <c r="AE296" s="605">
        <f t="shared" si="272"/>
        <v>149.37</v>
      </c>
      <c r="AF296" s="605">
        <f t="shared" si="272"/>
        <v>149.37</v>
      </c>
      <c r="AH296" s="538"/>
      <c r="AK296" s="531"/>
      <c r="AM296" s="594"/>
      <c r="AN296" s="535"/>
      <c r="AP296" s="540"/>
      <c r="AQ296" s="540"/>
    </row>
    <row r="297" spans="1:43" s="513" customFormat="1" ht="16.5" hidden="1" customHeight="1" outlineLevel="2">
      <c r="A297" s="584"/>
      <c r="B297" s="572" t="s">
        <v>917</v>
      </c>
      <c r="C297" s="186">
        <f>C101</f>
        <v>0.01</v>
      </c>
      <c r="D297" s="186">
        <f>C297</f>
        <v>0.01</v>
      </c>
      <c r="E297" s="186">
        <f t="shared" si="271"/>
        <v>0.01</v>
      </c>
      <c r="F297" s="186">
        <f t="shared" si="271"/>
        <v>0.01</v>
      </c>
      <c r="G297" s="186">
        <f t="shared" si="271"/>
        <v>0.01</v>
      </c>
      <c r="H297" s="186">
        <f t="shared" si="271"/>
        <v>0.01</v>
      </c>
      <c r="I297" s="186">
        <f t="shared" si="271"/>
        <v>0.01</v>
      </c>
      <c r="J297" s="186">
        <f t="shared" si="271"/>
        <v>0.01</v>
      </c>
      <c r="K297" s="186">
        <f t="shared" si="271"/>
        <v>0.01</v>
      </c>
      <c r="L297" s="186">
        <f t="shared" si="271"/>
        <v>0.01</v>
      </c>
      <c r="M297" s="186">
        <f t="shared" si="271"/>
        <v>0.01</v>
      </c>
      <c r="N297" s="186">
        <f t="shared" si="271"/>
        <v>0.01</v>
      </c>
      <c r="O297" s="186">
        <f t="shared" si="271"/>
        <v>0.01</v>
      </c>
      <c r="P297" s="186">
        <f t="shared" si="271"/>
        <v>0.01</v>
      </c>
      <c r="Q297" s="186">
        <f t="shared" si="271"/>
        <v>0.01</v>
      </c>
      <c r="R297" s="186">
        <f t="shared" si="271"/>
        <v>0.01</v>
      </c>
      <c r="S297" s="186">
        <f t="shared" si="271"/>
        <v>0.01</v>
      </c>
      <c r="T297" s="186">
        <f t="shared" si="271"/>
        <v>0.01</v>
      </c>
      <c r="U297" s="186">
        <f t="shared" si="272"/>
        <v>0.01</v>
      </c>
      <c r="V297" s="186">
        <f t="shared" si="272"/>
        <v>0.01</v>
      </c>
      <c r="W297" s="186">
        <f t="shared" si="272"/>
        <v>0.01</v>
      </c>
      <c r="X297" s="186">
        <f t="shared" si="272"/>
        <v>0.01</v>
      </c>
      <c r="Y297" s="186">
        <f t="shared" si="272"/>
        <v>0.01</v>
      </c>
      <c r="Z297" s="186">
        <f t="shared" si="272"/>
        <v>0.01</v>
      </c>
      <c r="AA297" s="186">
        <f t="shared" si="272"/>
        <v>0.01</v>
      </c>
      <c r="AB297" s="186">
        <f t="shared" si="272"/>
        <v>0.01</v>
      </c>
      <c r="AC297" s="186">
        <f t="shared" si="272"/>
        <v>0.01</v>
      </c>
      <c r="AD297" s="186">
        <f t="shared" si="272"/>
        <v>0.01</v>
      </c>
      <c r="AE297" s="186">
        <f t="shared" si="272"/>
        <v>0.01</v>
      </c>
      <c r="AF297" s="186">
        <f t="shared" si="272"/>
        <v>0.01</v>
      </c>
      <c r="AH297" s="538"/>
      <c r="AK297" s="531"/>
      <c r="AM297" s="594"/>
      <c r="AN297" s="535"/>
      <c r="AP297" s="540"/>
      <c r="AQ297" s="540"/>
    </row>
    <row r="298" spans="1:43" s="513" customFormat="1" ht="16.5" hidden="1" customHeight="1" outlineLevel="2">
      <c r="A298" s="584"/>
      <c r="B298" s="572" t="s">
        <v>918</v>
      </c>
      <c r="C298" s="186">
        <f>C102</f>
        <v>0.01</v>
      </c>
      <c r="D298" s="186">
        <f>C298</f>
        <v>0.01</v>
      </c>
      <c r="E298" s="186">
        <f t="shared" si="271"/>
        <v>0.01</v>
      </c>
      <c r="F298" s="186">
        <f t="shared" si="271"/>
        <v>0.01</v>
      </c>
      <c r="G298" s="186">
        <f t="shared" si="271"/>
        <v>0.01</v>
      </c>
      <c r="H298" s="186">
        <f t="shared" si="271"/>
        <v>0.01</v>
      </c>
      <c r="I298" s="186">
        <f t="shared" si="271"/>
        <v>0.01</v>
      </c>
      <c r="J298" s="186">
        <f t="shared" si="271"/>
        <v>0.01</v>
      </c>
      <c r="K298" s="186">
        <f t="shared" si="271"/>
        <v>0.01</v>
      </c>
      <c r="L298" s="186">
        <f t="shared" si="271"/>
        <v>0.01</v>
      </c>
      <c r="M298" s="186">
        <f t="shared" si="271"/>
        <v>0.01</v>
      </c>
      <c r="N298" s="186">
        <f t="shared" si="271"/>
        <v>0.01</v>
      </c>
      <c r="O298" s="186">
        <f t="shared" si="271"/>
        <v>0.01</v>
      </c>
      <c r="P298" s="186">
        <f t="shared" si="271"/>
        <v>0.01</v>
      </c>
      <c r="Q298" s="186">
        <f t="shared" si="271"/>
        <v>0.01</v>
      </c>
      <c r="R298" s="186">
        <f t="shared" si="271"/>
        <v>0.01</v>
      </c>
      <c r="S298" s="186">
        <f t="shared" si="271"/>
        <v>0.01</v>
      </c>
      <c r="T298" s="186">
        <f t="shared" si="271"/>
        <v>0.01</v>
      </c>
      <c r="U298" s="186">
        <f t="shared" si="272"/>
        <v>0.01</v>
      </c>
      <c r="V298" s="186">
        <f t="shared" si="272"/>
        <v>0.01</v>
      </c>
      <c r="W298" s="186">
        <f t="shared" si="272"/>
        <v>0.01</v>
      </c>
      <c r="X298" s="186">
        <f t="shared" si="272"/>
        <v>0.01</v>
      </c>
      <c r="Y298" s="186">
        <f t="shared" si="272"/>
        <v>0.01</v>
      </c>
      <c r="Z298" s="186">
        <f t="shared" si="272"/>
        <v>0.01</v>
      </c>
      <c r="AA298" s="186">
        <f t="shared" si="272"/>
        <v>0.01</v>
      </c>
      <c r="AB298" s="186">
        <f t="shared" si="272"/>
        <v>0.01</v>
      </c>
      <c r="AC298" s="186">
        <f t="shared" si="272"/>
        <v>0.01</v>
      </c>
      <c r="AD298" s="186">
        <f t="shared" si="272"/>
        <v>0.01</v>
      </c>
      <c r="AE298" s="186">
        <f t="shared" si="272"/>
        <v>0.01</v>
      </c>
      <c r="AF298" s="186">
        <f t="shared" si="272"/>
        <v>0.01</v>
      </c>
      <c r="AH298" s="538"/>
      <c r="AK298" s="531"/>
      <c r="AM298" s="594"/>
      <c r="AN298" s="535"/>
      <c r="AP298" s="540"/>
      <c r="AQ298" s="540"/>
    </row>
    <row r="299" spans="1:43" s="513" customFormat="1" ht="16.5" hidden="1" customHeight="1" outlineLevel="2">
      <c r="A299" s="584"/>
      <c r="B299" s="572" t="s">
        <v>919</v>
      </c>
      <c r="C299" s="605">
        <f>CAPEX!$C$35</f>
        <v>880746.11</v>
      </c>
      <c r="D299" s="605">
        <f>C299</f>
        <v>880746.11</v>
      </c>
      <c r="E299" s="605">
        <f t="shared" si="271"/>
        <v>880746.11</v>
      </c>
      <c r="F299" s="605">
        <f t="shared" si="271"/>
        <v>880746.11</v>
      </c>
      <c r="G299" s="605">
        <f t="shared" si="271"/>
        <v>880746.11</v>
      </c>
      <c r="H299" s="605">
        <f t="shared" si="271"/>
        <v>880746.11</v>
      </c>
      <c r="I299" s="605">
        <f t="shared" si="271"/>
        <v>880746.11</v>
      </c>
      <c r="J299" s="605">
        <f t="shared" si="271"/>
        <v>880746.11</v>
      </c>
      <c r="K299" s="605">
        <f t="shared" si="271"/>
        <v>880746.11</v>
      </c>
      <c r="L299" s="605">
        <f t="shared" si="271"/>
        <v>880746.11</v>
      </c>
      <c r="M299" s="605">
        <f t="shared" si="271"/>
        <v>880746.11</v>
      </c>
      <c r="N299" s="605">
        <f t="shared" si="271"/>
        <v>880746.11</v>
      </c>
      <c r="O299" s="605">
        <f t="shared" si="271"/>
        <v>880746.11</v>
      </c>
      <c r="P299" s="605">
        <f t="shared" si="271"/>
        <v>880746.11</v>
      </c>
      <c r="Q299" s="605">
        <f t="shared" si="271"/>
        <v>880746.11</v>
      </c>
      <c r="R299" s="605">
        <f t="shared" si="271"/>
        <v>880746.11</v>
      </c>
      <c r="S299" s="605">
        <f t="shared" si="271"/>
        <v>880746.11</v>
      </c>
      <c r="T299" s="605">
        <f t="shared" si="271"/>
        <v>880746.11</v>
      </c>
      <c r="U299" s="605">
        <f t="shared" si="272"/>
        <v>880746.11</v>
      </c>
      <c r="V299" s="605">
        <f t="shared" si="272"/>
        <v>880746.11</v>
      </c>
      <c r="W299" s="605">
        <f t="shared" si="272"/>
        <v>880746.11</v>
      </c>
      <c r="X299" s="605">
        <f t="shared" si="272"/>
        <v>880746.11</v>
      </c>
      <c r="Y299" s="605">
        <f t="shared" si="272"/>
        <v>880746.11</v>
      </c>
      <c r="Z299" s="605">
        <f t="shared" si="272"/>
        <v>880746.11</v>
      </c>
      <c r="AA299" s="605">
        <f t="shared" si="272"/>
        <v>880746.11</v>
      </c>
      <c r="AB299" s="605">
        <f t="shared" si="272"/>
        <v>880746.11</v>
      </c>
      <c r="AC299" s="605">
        <f t="shared" si="272"/>
        <v>880746.11</v>
      </c>
      <c r="AD299" s="605">
        <f t="shared" si="272"/>
        <v>880746.11</v>
      </c>
      <c r="AE299" s="605">
        <f t="shared" si="272"/>
        <v>880746.11</v>
      </c>
      <c r="AF299" s="605">
        <f t="shared" si="272"/>
        <v>880746.11</v>
      </c>
      <c r="AH299" s="538"/>
      <c r="AK299" s="531"/>
      <c r="AM299" s="594"/>
      <c r="AN299" s="535"/>
      <c r="AP299" s="540"/>
      <c r="AQ299" s="540"/>
    </row>
    <row r="300" spans="1:43" s="513" customFormat="1" ht="3" hidden="1" customHeight="1" outlineLevel="2">
      <c r="A300" s="584"/>
      <c r="B300" s="572"/>
      <c r="C300" s="607"/>
      <c r="D300" s="607"/>
      <c r="E300" s="607"/>
      <c r="F300" s="607"/>
      <c r="G300" s="607"/>
      <c r="H300" s="607"/>
      <c r="I300" s="607"/>
      <c r="J300" s="607"/>
      <c r="K300" s="607"/>
      <c r="L300" s="607"/>
      <c r="M300" s="607"/>
      <c r="N300" s="607"/>
      <c r="O300" s="607"/>
      <c r="P300" s="607"/>
      <c r="Q300" s="607"/>
      <c r="R300" s="607"/>
      <c r="S300" s="607"/>
      <c r="T300" s="607"/>
      <c r="U300" s="607"/>
      <c r="V300" s="607"/>
      <c r="W300" s="607"/>
      <c r="X300" s="607"/>
      <c r="Y300" s="607"/>
      <c r="Z300" s="607"/>
      <c r="AA300" s="607"/>
      <c r="AB300" s="607"/>
      <c r="AC300" s="607"/>
      <c r="AD300" s="607"/>
      <c r="AE300" s="607"/>
      <c r="AF300" s="607"/>
      <c r="AH300" s="538"/>
      <c r="AK300" s="531"/>
      <c r="AM300" s="594"/>
      <c r="AN300" s="535"/>
      <c r="AP300" s="540"/>
      <c r="AQ300" s="540"/>
    </row>
    <row r="301" spans="1:43" s="564" customFormat="1" ht="16.5" hidden="1" customHeight="1" outlineLevel="1" collapsed="1">
      <c r="A301" s="584"/>
      <c r="B301" s="576" t="s">
        <v>950</v>
      </c>
      <c r="C301" s="577">
        <f>C302*C303*12/10^3</f>
        <v>6.6343199999999998</v>
      </c>
      <c r="D301" s="577">
        <f t="shared" ref="D301:AF301" si="273">D302*D303*12/10^3</f>
        <v>6.6343199999999998</v>
      </c>
      <c r="E301" s="577">
        <f t="shared" si="273"/>
        <v>6.6343199999999998</v>
      </c>
      <c r="F301" s="577">
        <f t="shared" si="273"/>
        <v>6.6343199999999998</v>
      </c>
      <c r="G301" s="577">
        <f t="shared" si="273"/>
        <v>6.6343199999999998</v>
      </c>
      <c r="H301" s="577">
        <f t="shared" si="273"/>
        <v>6.6343199999999998</v>
      </c>
      <c r="I301" s="577">
        <f t="shared" si="273"/>
        <v>6.6343199999999998</v>
      </c>
      <c r="J301" s="577">
        <f t="shared" si="273"/>
        <v>6.6343199999999998</v>
      </c>
      <c r="K301" s="577">
        <f t="shared" si="273"/>
        <v>6.6343199999999998</v>
      </c>
      <c r="L301" s="577">
        <f t="shared" si="273"/>
        <v>6.6343199999999998</v>
      </c>
      <c r="M301" s="577">
        <f t="shared" si="273"/>
        <v>6.6343199999999998</v>
      </c>
      <c r="N301" s="577">
        <f t="shared" si="273"/>
        <v>6.6343199999999998</v>
      </c>
      <c r="O301" s="577">
        <f t="shared" si="273"/>
        <v>6.6343199999999998</v>
      </c>
      <c r="P301" s="577">
        <f t="shared" si="273"/>
        <v>6.6343199999999998</v>
      </c>
      <c r="Q301" s="577">
        <f t="shared" si="273"/>
        <v>6.6343199999999998</v>
      </c>
      <c r="R301" s="577">
        <f t="shared" si="273"/>
        <v>6.6343199999999998</v>
      </c>
      <c r="S301" s="577">
        <f t="shared" si="273"/>
        <v>6.6343199999999998</v>
      </c>
      <c r="T301" s="577">
        <f t="shared" si="273"/>
        <v>6.6343199999999998</v>
      </c>
      <c r="U301" s="577">
        <f t="shared" si="273"/>
        <v>6.6343199999999998</v>
      </c>
      <c r="V301" s="577">
        <f t="shared" si="273"/>
        <v>6.6343199999999998</v>
      </c>
      <c r="W301" s="577">
        <f t="shared" si="273"/>
        <v>6.6343199999999998</v>
      </c>
      <c r="X301" s="577">
        <f t="shared" si="273"/>
        <v>6.6343199999999998</v>
      </c>
      <c r="Y301" s="577">
        <f t="shared" si="273"/>
        <v>6.6343199999999998</v>
      </c>
      <c r="Z301" s="577">
        <f t="shared" si="273"/>
        <v>6.6343199999999998</v>
      </c>
      <c r="AA301" s="577">
        <f t="shared" si="273"/>
        <v>6.6343199999999998</v>
      </c>
      <c r="AB301" s="577">
        <f t="shared" si="273"/>
        <v>6.6343199999999998</v>
      </c>
      <c r="AC301" s="577">
        <f t="shared" si="273"/>
        <v>6.6343199999999998</v>
      </c>
      <c r="AD301" s="577">
        <f t="shared" si="273"/>
        <v>6.6343199999999998</v>
      </c>
      <c r="AE301" s="577">
        <f t="shared" si="273"/>
        <v>6.6343199999999998</v>
      </c>
      <c r="AF301" s="577">
        <f t="shared" si="273"/>
        <v>6.6343199999999998</v>
      </c>
      <c r="AH301" s="578">
        <f>SUM(C301:AF301)</f>
        <v>199.02960000000004</v>
      </c>
      <c r="AJ301" s="579"/>
      <c r="AK301" s="531"/>
      <c r="AM301" s="594"/>
      <c r="AN301" s="535"/>
      <c r="AP301" s="568"/>
      <c r="AQ301" s="568"/>
    </row>
    <row r="302" spans="1:43" s="513" customFormat="1" ht="16.5" hidden="1" customHeight="1" outlineLevel="2">
      <c r="A302" s="584"/>
      <c r="B302" s="551" t="s">
        <v>921</v>
      </c>
      <c r="C302" s="574">
        <f>C290</f>
        <v>2</v>
      </c>
      <c r="D302" s="574">
        <f t="shared" ref="D302:AF302" si="274">D290</f>
        <v>2</v>
      </c>
      <c r="E302" s="574">
        <f t="shared" si="274"/>
        <v>2</v>
      </c>
      <c r="F302" s="574">
        <f t="shared" si="274"/>
        <v>2</v>
      </c>
      <c r="G302" s="574">
        <f t="shared" si="274"/>
        <v>2</v>
      </c>
      <c r="H302" s="574">
        <f t="shared" si="274"/>
        <v>2</v>
      </c>
      <c r="I302" s="574">
        <f t="shared" si="274"/>
        <v>2</v>
      </c>
      <c r="J302" s="574">
        <f t="shared" si="274"/>
        <v>2</v>
      </c>
      <c r="K302" s="574">
        <f t="shared" si="274"/>
        <v>2</v>
      </c>
      <c r="L302" s="574">
        <f t="shared" si="274"/>
        <v>2</v>
      </c>
      <c r="M302" s="574">
        <f t="shared" si="274"/>
        <v>2</v>
      </c>
      <c r="N302" s="574">
        <f t="shared" si="274"/>
        <v>2</v>
      </c>
      <c r="O302" s="574">
        <f t="shared" si="274"/>
        <v>2</v>
      </c>
      <c r="P302" s="574">
        <f t="shared" si="274"/>
        <v>2</v>
      </c>
      <c r="Q302" s="574">
        <f t="shared" si="274"/>
        <v>2</v>
      </c>
      <c r="R302" s="574">
        <f t="shared" si="274"/>
        <v>2</v>
      </c>
      <c r="S302" s="574">
        <f t="shared" si="274"/>
        <v>2</v>
      </c>
      <c r="T302" s="574">
        <f t="shared" si="274"/>
        <v>2</v>
      </c>
      <c r="U302" s="574">
        <f t="shared" si="274"/>
        <v>2</v>
      </c>
      <c r="V302" s="574">
        <f t="shared" si="274"/>
        <v>2</v>
      </c>
      <c r="W302" s="574">
        <f t="shared" si="274"/>
        <v>2</v>
      </c>
      <c r="X302" s="574">
        <f t="shared" si="274"/>
        <v>2</v>
      </c>
      <c r="Y302" s="574">
        <f t="shared" si="274"/>
        <v>2</v>
      </c>
      <c r="Z302" s="574">
        <f t="shared" si="274"/>
        <v>2</v>
      </c>
      <c r="AA302" s="574">
        <f t="shared" si="274"/>
        <v>2</v>
      </c>
      <c r="AB302" s="574">
        <f t="shared" si="274"/>
        <v>2</v>
      </c>
      <c r="AC302" s="574">
        <f t="shared" si="274"/>
        <v>2</v>
      </c>
      <c r="AD302" s="574">
        <f t="shared" si="274"/>
        <v>2</v>
      </c>
      <c r="AE302" s="574">
        <f t="shared" si="274"/>
        <v>2</v>
      </c>
      <c r="AF302" s="574">
        <f t="shared" si="274"/>
        <v>2</v>
      </c>
      <c r="AG302" s="574">
        <f t="shared" ref="U302:AG303" si="275">AF302</f>
        <v>2</v>
      </c>
      <c r="AH302" s="538"/>
      <c r="AK302" s="531"/>
      <c r="AM302" s="594"/>
      <c r="AN302" s="535"/>
      <c r="AP302" s="540"/>
      <c r="AQ302" s="540"/>
    </row>
    <row r="303" spans="1:43" s="513" customFormat="1" ht="16.5" hidden="1" customHeight="1" outlineLevel="2">
      <c r="A303" s="584"/>
      <c r="B303" s="551" t="s">
        <v>888</v>
      </c>
      <c r="C303" s="605">
        <f>Insumos!$E$53</f>
        <v>276.43</v>
      </c>
      <c r="D303" s="605">
        <f>C303</f>
        <v>276.43</v>
      </c>
      <c r="E303" s="605">
        <f t="shared" ref="E303:T303" si="276">D303</f>
        <v>276.43</v>
      </c>
      <c r="F303" s="605">
        <f t="shared" si="276"/>
        <v>276.43</v>
      </c>
      <c r="G303" s="605">
        <f t="shared" si="276"/>
        <v>276.43</v>
      </c>
      <c r="H303" s="605">
        <f t="shared" si="276"/>
        <v>276.43</v>
      </c>
      <c r="I303" s="605">
        <f t="shared" si="276"/>
        <v>276.43</v>
      </c>
      <c r="J303" s="605">
        <f t="shared" si="276"/>
        <v>276.43</v>
      </c>
      <c r="K303" s="605">
        <f t="shared" si="276"/>
        <v>276.43</v>
      </c>
      <c r="L303" s="605">
        <f t="shared" si="276"/>
        <v>276.43</v>
      </c>
      <c r="M303" s="605">
        <f t="shared" si="276"/>
        <v>276.43</v>
      </c>
      <c r="N303" s="605">
        <f t="shared" si="276"/>
        <v>276.43</v>
      </c>
      <c r="O303" s="605">
        <f t="shared" si="276"/>
        <v>276.43</v>
      </c>
      <c r="P303" s="605">
        <f t="shared" si="276"/>
        <v>276.43</v>
      </c>
      <c r="Q303" s="605">
        <f t="shared" si="276"/>
        <v>276.43</v>
      </c>
      <c r="R303" s="605">
        <f t="shared" si="276"/>
        <v>276.43</v>
      </c>
      <c r="S303" s="605">
        <f t="shared" si="276"/>
        <v>276.43</v>
      </c>
      <c r="T303" s="605">
        <f t="shared" si="276"/>
        <v>276.43</v>
      </c>
      <c r="U303" s="605">
        <f t="shared" si="275"/>
        <v>276.43</v>
      </c>
      <c r="V303" s="605">
        <f t="shared" si="275"/>
        <v>276.43</v>
      </c>
      <c r="W303" s="605">
        <f t="shared" si="275"/>
        <v>276.43</v>
      </c>
      <c r="X303" s="605">
        <f t="shared" si="275"/>
        <v>276.43</v>
      </c>
      <c r="Y303" s="605">
        <f t="shared" si="275"/>
        <v>276.43</v>
      </c>
      <c r="Z303" s="605">
        <f t="shared" si="275"/>
        <v>276.43</v>
      </c>
      <c r="AA303" s="605">
        <f t="shared" si="275"/>
        <v>276.43</v>
      </c>
      <c r="AB303" s="605">
        <f t="shared" si="275"/>
        <v>276.43</v>
      </c>
      <c r="AC303" s="605">
        <f t="shared" si="275"/>
        <v>276.43</v>
      </c>
      <c r="AD303" s="605">
        <f t="shared" si="275"/>
        <v>276.43</v>
      </c>
      <c r="AE303" s="605">
        <f t="shared" si="275"/>
        <v>276.43</v>
      </c>
      <c r="AF303" s="605">
        <f t="shared" si="275"/>
        <v>276.43</v>
      </c>
      <c r="AH303" s="538"/>
      <c r="AK303" s="531"/>
      <c r="AM303" s="594"/>
      <c r="AN303" s="535"/>
      <c r="AP303" s="540"/>
      <c r="AQ303" s="540"/>
    </row>
    <row r="304" spans="1:43" ht="3" hidden="1" customHeight="1" outlineLevel="2">
      <c r="A304" s="584"/>
      <c r="B304" s="609"/>
      <c r="C304" s="611"/>
      <c r="D304" s="611"/>
      <c r="E304" s="610"/>
      <c r="F304" s="610"/>
      <c r="G304" s="610"/>
      <c r="H304" s="610"/>
      <c r="I304" s="610"/>
      <c r="J304" s="610"/>
      <c r="K304" s="610"/>
      <c r="L304" s="610"/>
      <c r="M304" s="610"/>
      <c r="N304" s="610"/>
      <c r="O304" s="610"/>
      <c r="P304" s="610"/>
      <c r="Q304" s="610"/>
      <c r="R304" s="610"/>
      <c r="S304" s="610"/>
      <c r="T304" s="610"/>
      <c r="U304" s="610"/>
      <c r="V304" s="610"/>
      <c r="W304" s="610"/>
      <c r="X304" s="610"/>
      <c r="Y304" s="610"/>
      <c r="Z304" s="610"/>
      <c r="AA304" s="610"/>
      <c r="AB304" s="610"/>
      <c r="AC304" s="610"/>
      <c r="AD304" s="610"/>
      <c r="AE304" s="610"/>
      <c r="AF304" s="610"/>
      <c r="AH304" s="593"/>
      <c r="AK304" s="531"/>
      <c r="AM304" s="594"/>
      <c r="AN304" s="535"/>
      <c r="AP304" s="535"/>
      <c r="AQ304" s="535"/>
    </row>
    <row r="305" spans="1:43" s="564" customFormat="1" ht="16.5" hidden="1" customHeight="1" outlineLevel="1" collapsed="1">
      <c r="A305" s="584"/>
      <c r="B305" s="576" t="s">
        <v>922</v>
      </c>
      <c r="C305" s="577">
        <f>(C306+C309)*12/10^3</f>
        <v>1.2588000000000001</v>
      </c>
      <c r="D305" s="577">
        <f t="shared" ref="D305:AF305" si="277">(D306+D309)*12/10^3</f>
        <v>1.2588000000000001</v>
      </c>
      <c r="E305" s="577">
        <f t="shared" si="277"/>
        <v>1.2588000000000001</v>
      </c>
      <c r="F305" s="577">
        <f t="shared" si="277"/>
        <v>1.2588000000000001</v>
      </c>
      <c r="G305" s="577">
        <f t="shared" si="277"/>
        <v>1.2588000000000001</v>
      </c>
      <c r="H305" s="577">
        <f t="shared" si="277"/>
        <v>1.2588000000000001</v>
      </c>
      <c r="I305" s="577">
        <f t="shared" si="277"/>
        <v>1.2588000000000001</v>
      </c>
      <c r="J305" s="577">
        <f t="shared" si="277"/>
        <v>1.2588000000000001</v>
      </c>
      <c r="K305" s="577">
        <f t="shared" si="277"/>
        <v>1.2588000000000001</v>
      </c>
      <c r="L305" s="577">
        <f t="shared" si="277"/>
        <v>1.2588000000000001</v>
      </c>
      <c r="M305" s="577">
        <f t="shared" si="277"/>
        <v>1.2588000000000001</v>
      </c>
      <c r="N305" s="577">
        <f t="shared" si="277"/>
        <v>1.2588000000000001</v>
      </c>
      <c r="O305" s="577">
        <f t="shared" si="277"/>
        <v>1.2588000000000001</v>
      </c>
      <c r="P305" s="577">
        <f t="shared" si="277"/>
        <v>1.2588000000000001</v>
      </c>
      <c r="Q305" s="577">
        <f t="shared" si="277"/>
        <v>1.2588000000000001</v>
      </c>
      <c r="R305" s="577">
        <f t="shared" si="277"/>
        <v>1.2588000000000001</v>
      </c>
      <c r="S305" s="577">
        <f t="shared" si="277"/>
        <v>1.2588000000000001</v>
      </c>
      <c r="T305" s="577">
        <f t="shared" si="277"/>
        <v>1.2588000000000001</v>
      </c>
      <c r="U305" s="577">
        <f t="shared" si="277"/>
        <v>1.2588000000000001</v>
      </c>
      <c r="V305" s="577">
        <f t="shared" si="277"/>
        <v>1.2588000000000001</v>
      </c>
      <c r="W305" s="577">
        <f t="shared" si="277"/>
        <v>1.2588000000000001</v>
      </c>
      <c r="X305" s="577">
        <f t="shared" si="277"/>
        <v>1.2588000000000001</v>
      </c>
      <c r="Y305" s="577">
        <f t="shared" si="277"/>
        <v>1.2588000000000001</v>
      </c>
      <c r="Z305" s="577">
        <f t="shared" si="277"/>
        <v>1.2588000000000001</v>
      </c>
      <c r="AA305" s="577">
        <f t="shared" si="277"/>
        <v>1.2588000000000001</v>
      </c>
      <c r="AB305" s="577">
        <f t="shared" si="277"/>
        <v>1.2588000000000001</v>
      </c>
      <c r="AC305" s="577">
        <f t="shared" si="277"/>
        <v>1.2588000000000001</v>
      </c>
      <c r="AD305" s="577">
        <f t="shared" si="277"/>
        <v>1.2588000000000001</v>
      </c>
      <c r="AE305" s="577">
        <f t="shared" si="277"/>
        <v>1.2588000000000001</v>
      </c>
      <c r="AF305" s="577">
        <f t="shared" si="277"/>
        <v>1.2588000000000001</v>
      </c>
      <c r="AH305" s="578">
        <f>SUM(C305:AF305)</f>
        <v>37.764000000000017</v>
      </c>
      <c r="AJ305" s="579"/>
      <c r="AK305" s="531"/>
      <c r="AM305" s="594"/>
      <c r="AN305" s="535"/>
      <c r="AP305" s="568"/>
      <c r="AQ305" s="568"/>
    </row>
    <row r="306" spans="1:43" s="546" customFormat="1" ht="16.5" hidden="1" customHeight="1" outlineLevel="2">
      <c r="A306" s="584"/>
      <c r="B306" s="580" t="s">
        <v>923</v>
      </c>
      <c r="C306" s="581">
        <f>C307*C308</f>
        <v>46</v>
      </c>
      <c r="D306" s="581">
        <f t="shared" ref="D306:AF306" si="278">D307*D308</f>
        <v>46</v>
      </c>
      <c r="E306" s="581">
        <f t="shared" si="278"/>
        <v>46</v>
      </c>
      <c r="F306" s="581">
        <f t="shared" si="278"/>
        <v>46</v>
      </c>
      <c r="G306" s="581">
        <f t="shared" si="278"/>
        <v>46</v>
      </c>
      <c r="H306" s="581">
        <f t="shared" si="278"/>
        <v>46</v>
      </c>
      <c r="I306" s="581">
        <f t="shared" si="278"/>
        <v>46</v>
      </c>
      <c r="J306" s="581">
        <f t="shared" si="278"/>
        <v>46</v>
      </c>
      <c r="K306" s="581">
        <f t="shared" si="278"/>
        <v>46</v>
      </c>
      <c r="L306" s="581">
        <f t="shared" si="278"/>
        <v>46</v>
      </c>
      <c r="M306" s="581">
        <f t="shared" si="278"/>
        <v>46</v>
      </c>
      <c r="N306" s="581">
        <f t="shared" si="278"/>
        <v>46</v>
      </c>
      <c r="O306" s="581">
        <f t="shared" si="278"/>
        <v>46</v>
      </c>
      <c r="P306" s="581">
        <f t="shared" si="278"/>
        <v>46</v>
      </c>
      <c r="Q306" s="581">
        <f t="shared" si="278"/>
        <v>46</v>
      </c>
      <c r="R306" s="581">
        <f t="shared" si="278"/>
        <v>46</v>
      </c>
      <c r="S306" s="581">
        <f t="shared" si="278"/>
        <v>46</v>
      </c>
      <c r="T306" s="581">
        <f t="shared" si="278"/>
        <v>46</v>
      </c>
      <c r="U306" s="581">
        <f t="shared" si="278"/>
        <v>46</v>
      </c>
      <c r="V306" s="581">
        <f t="shared" si="278"/>
        <v>46</v>
      </c>
      <c r="W306" s="581">
        <f t="shared" si="278"/>
        <v>46</v>
      </c>
      <c r="X306" s="581">
        <f t="shared" si="278"/>
        <v>46</v>
      </c>
      <c r="Y306" s="581">
        <f t="shared" si="278"/>
        <v>46</v>
      </c>
      <c r="Z306" s="581">
        <f t="shared" si="278"/>
        <v>46</v>
      </c>
      <c r="AA306" s="581">
        <f t="shared" si="278"/>
        <v>46</v>
      </c>
      <c r="AB306" s="581">
        <f t="shared" si="278"/>
        <v>46</v>
      </c>
      <c r="AC306" s="581">
        <f t="shared" si="278"/>
        <v>46</v>
      </c>
      <c r="AD306" s="581">
        <f t="shared" si="278"/>
        <v>46</v>
      </c>
      <c r="AE306" s="581">
        <f t="shared" si="278"/>
        <v>46</v>
      </c>
      <c r="AF306" s="581">
        <f t="shared" si="278"/>
        <v>46</v>
      </c>
      <c r="AH306" s="571"/>
      <c r="AK306" s="531"/>
      <c r="AM306" s="594"/>
      <c r="AN306" s="535"/>
      <c r="AP306" s="549"/>
      <c r="AQ306" s="549"/>
    </row>
    <row r="307" spans="1:43" s="513" customFormat="1" ht="16.5" hidden="1" customHeight="1" outlineLevel="2">
      <c r="A307" s="584"/>
      <c r="B307" s="585" t="s">
        <v>805</v>
      </c>
      <c r="C307" s="716">
        <f>ROUNDUP((C248*1*1.2),0)</f>
        <v>2</v>
      </c>
      <c r="D307" s="716">
        <f t="shared" ref="D307:AF307" si="279">ROUNDUP((D248*1*1.2),0)</f>
        <v>2</v>
      </c>
      <c r="E307" s="716">
        <f t="shared" si="279"/>
        <v>2</v>
      </c>
      <c r="F307" s="716">
        <f t="shared" si="279"/>
        <v>2</v>
      </c>
      <c r="G307" s="716">
        <f t="shared" si="279"/>
        <v>2</v>
      </c>
      <c r="H307" s="716">
        <f t="shared" si="279"/>
        <v>2</v>
      </c>
      <c r="I307" s="716">
        <f t="shared" si="279"/>
        <v>2</v>
      </c>
      <c r="J307" s="716">
        <f t="shared" si="279"/>
        <v>2</v>
      </c>
      <c r="K307" s="716">
        <f t="shared" si="279"/>
        <v>2</v>
      </c>
      <c r="L307" s="716">
        <f t="shared" si="279"/>
        <v>2</v>
      </c>
      <c r="M307" s="716">
        <f t="shared" si="279"/>
        <v>2</v>
      </c>
      <c r="N307" s="716">
        <f t="shared" si="279"/>
        <v>2</v>
      </c>
      <c r="O307" s="716">
        <f t="shared" si="279"/>
        <v>2</v>
      </c>
      <c r="P307" s="716">
        <f t="shared" si="279"/>
        <v>2</v>
      </c>
      <c r="Q307" s="716">
        <f t="shared" si="279"/>
        <v>2</v>
      </c>
      <c r="R307" s="716">
        <f t="shared" si="279"/>
        <v>2</v>
      </c>
      <c r="S307" s="716">
        <f t="shared" si="279"/>
        <v>2</v>
      </c>
      <c r="T307" s="716">
        <f t="shared" si="279"/>
        <v>2</v>
      </c>
      <c r="U307" s="716">
        <f t="shared" si="279"/>
        <v>2</v>
      </c>
      <c r="V307" s="716">
        <f t="shared" si="279"/>
        <v>2</v>
      </c>
      <c r="W307" s="716">
        <f t="shared" si="279"/>
        <v>2</v>
      </c>
      <c r="X307" s="716">
        <f t="shared" si="279"/>
        <v>2</v>
      </c>
      <c r="Y307" s="716">
        <f t="shared" si="279"/>
        <v>2</v>
      </c>
      <c r="Z307" s="716">
        <f t="shared" si="279"/>
        <v>2</v>
      </c>
      <c r="AA307" s="716">
        <f t="shared" si="279"/>
        <v>2</v>
      </c>
      <c r="AB307" s="716">
        <f t="shared" si="279"/>
        <v>2</v>
      </c>
      <c r="AC307" s="716">
        <f t="shared" si="279"/>
        <v>2</v>
      </c>
      <c r="AD307" s="716">
        <f t="shared" si="279"/>
        <v>2</v>
      </c>
      <c r="AE307" s="716">
        <f t="shared" si="279"/>
        <v>2</v>
      </c>
      <c r="AF307" s="716">
        <f t="shared" si="279"/>
        <v>2</v>
      </c>
      <c r="AG307" s="513">
        <v>6</v>
      </c>
      <c r="AH307" s="538"/>
      <c r="AK307" s="719"/>
      <c r="AM307" s="594"/>
      <c r="AN307" s="535"/>
      <c r="AP307" s="540"/>
      <c r="AQ307" s="540"/>
    </row>
    <row r="308" spans="1:43" s="513" customFormat="1" ht="16.5" hidden="1" customHeight="1" outlineLevel="2">
      <c r="A308" s="584"/>
      <c r="B308" s="585" t="s">
        <v>924</v>
      </c>
      <c r="C308" s="605">
        <f>Insumos!E68</f>
        <v>23</v>
      </c>
      <c r="D308" s="605">
        <f>C308</f>
        <v>23</v>
      </c>
      <c r="E308" s="605">
        <f t="shared" ref="E308:AF308" si="280">D308</f>
        <v>23</v>
      </c>
      <c r="F308" s="605">
        <f t="shared" si="280"/>
        <v>23</v>
      </c>
      <c r="G308" s="605">
        <f t="shared" si="280"/>
        <v>23</v>
      </c>
      <c r="H308" s="605">
        <f t="shared" si="280"/>
        <v>23</v>
      </c>
      <c r="I308" s="605">
        <f t="shared" si="280"/>
        <v>23</v>
      </c>
      <c r="J308" s="605">
        <f t="shared" si="280"/>
        <v>23</v>
      </c>
      <c r="K308" s="605">
        <f t="shared" si="280"/>
        <v>23</v>
      </c>
      <c r="L308" s="605">
        <f t="shared" si="280"/>
        <v>23</v>
      </c>
      <c r="M308" s="605">
        <f t="shared" si="280"/>
        <v>23</v>
      </c>
      <c r="N308" s="605">
        <f t="shared" si="280"/>
        <v>23</v>
      </c>
      <c r="O308" s="605">
        <f t="shared" si="280"/>
        <v>23</v>
      </c>
      <c r="P308" s="605">
        <f t="shared" si="280"/>
        <v>23</v>
      </c>
      <c r="Q308" s="605">
        <f t="shared" si="280"/>
        <v>23</v>
      </c>
      <c r="R308" s="605">
        <f t="shared" si="280"/>
        <v>23</v>
      </c>
      <c r="S308" s="605">
        <f t="shared" si="280"/>
        <v>23</v>
      </c>
      <c r="T308" s="605">
        <f t="shared" si="280"/>
        <v>23</v>
      </c>
      <c r="U308" s="605">
        <f t="shared" si="280"/>
        <v>23</v>
      </c>
      <c r="V308" s="605">
        <f t="shared" si="280"/>
        <v>23</v>
      </c>
      <c r="W308" s="605">
        <f t="shared" si="280"/>
        <v>23</v>
      </c>
      <c r="X308" s="605">
        <f t="shared" si="280"/>
        <v>23</v>
      </c>
      <c r="Y308" s="605">
        <f t="shared" si="280"/>
        <v>23</v>
      </c>
      <c r="Z308" s="605">
        <f t="shared" si="280"/>
        <v>23</v>
      </c>
      <c r="AA308" s="605">
        <f t="shared" si="280"/>
        <v>23</v>
      </c>
      <c r="AB308" s="605">
        <f t="shared" si="280"/>
        <v>23</v>
      </c>
      <c r="AC308" s="605">
        <f t="shared" si="280"/>
        <v>23</v>
      </c>
      <c r="AD308" s="605">
        <f t="shared" si="280"/>
        <v>23</v>
      </c>
      <c r="AE308" s="605">
        <f t="shared" si="280"/>
        <v>23</v>
      </c>
      <c r="AF308" s="605">
        <f t="shared" si="280"/>
        <v>23</v>
      </c>
      <c r="AH308" s="538"/>
      <c r="AK308" s="531"/>
      <c r="AM308" s="594"/>
      <c r="AN308" s="535"/>
      <c r="AP308" s="540"/>
      <c r="AQ308" s="540"/>
    </row>
    <row r="309" spans="1:43" s="546" customFormat="1" ht="16.5" hidden="1" customHeight="1" outlineLevel="2">
      <c r="A309" s="584"/>
      <c r="B309" s="580" t="s">
        <v>925</v>
      </c>
      <c r="C309" s="581">
        <f>C310*C311</f>
        <v>58.9</v>
      </c>
      <c r="D309" s="581">
        <f t="shared" ref="D309:AF309" si="281">D310*D311</f>
        <v>58.9</v>
      </c>
      <c r="E309" s="581">
        <f t="shared" si="281"/>
        <v>58.9</v>
      </c>
      <c r="F309" s="581">
        <f t="shared" si="281"/>
        <v>58.9</v>
      </c>
      <c r="G309" s="581">
        <f t="shared" si="281"/>
        <v>58.9</v>
      </c>
      <c r="H309" s="581">
        <f t="shared" si="281"/>
        <v>58.9</v>
      </c>
      <c r="I309" s="581">
        <f t="shared" si="281"/>
        <v>58.9</v>
      </c>
      <c r="J309" s="581">
        <f t="shared" si="281"/>
        <v>58.9</v>
      </c>
      <c r="K309" s="581">
        <f t="shared" si="281"/>
        <v>58.9</v>
      </c>
      <c r="L309" s="581">
        <f t="shared" si="281"/>
        <v>58.9</v>
      </c>
      <c r="M309" s="581">
        <f t="shared" si="281"/>
        <v>58.9</v>
      </c>
      <c r="N309" s="581">
        <f t="shared" si="281"/>
        <v>58.9</v>
      </c>
      <c r="O309" s="581">
        <f t="shared" si="281"/>
        <v>58.9</v>
      </c>
      <c r="P309" s="581">
        <f t="shared" si="281"/>
        <v>58.9</v>
      </c>
      <c r="Q309" s="581">
        <f t="shared" si="281"/>
        <v>58.9</v>
      </c>
      <c r="R309" s="581">
        <f t="shared" si="281"/>
        <v>58.9</v>
      </c>
      <c r="S309" s="581">
        <f t="shared" si="281"/>
        <v>58.9</v>
      </c>
      <c r="T309" s="581">
        <f t="shared" si="281"/>
        <v>58.9</v>
      </c>
      <c r="U309" s="581">
        <f t="shared" si="281"/>
        <v>58.9</v>
      </c>
      <c r="V309" s="581">
        <f t="shared" si="281"/>
        <v>58.9</v>
      </c>
      <c r="W309" s="581">
        <f t="shared" si="281"/>
        <v>58.9</v>
      </c>
      <c r="X309" s="581">
        <f t="shared" si="281"/>
        <v>58.9</v>
      </c>
      <c r="Y309" s="581">
        <f t="shared" si="281"/>
        <v>58.9</v>
      </c>
      <c r="Z309" s="581">
        <f t="shared" si="281"/>
        <v>58.9</v>
      </c>
      <c r="AA309" s="581">
        <f t="shared" si="281"/>
        <v>58.9</v>
      </c>
      <c r="AB309" s="581">
        <f t="shared" si="281"/>
        <v>58.9</v>
      </c>
      <c r="AC309" s="581">
        <f t="shared" si="281"/>
        <v>58.9</v>
      </c>
      <c r="AD309" s="581">
        <f t="shared" si="281"/>
        <v>58.9</v>
      </c>
      <c r="AE309" s="581">
        <f t="shared" si="281"/>
        <v>58.9</v>
      </c>
      <c r="AF309" s="581">
        <f t="shared" si="281"/>
        <v>58.9</v>
      </c>
      <c r="AH309" s="571"/>
      <c r="AK309" s="531"/>
      <c r="AM309" s="594"/>
      <c r="AN309" s="535"/>
      <c r="AP309" s="549"/>
      <c r="AQ309" s="549"/>
    </row>
    <row r="310" spans="1:43" s="513" customFormat="1" ht="16.5" hidden="1" customHeight="1" outlineLevel="2">
      <c r="A310" s="584"/>
      <c r="B310" s="585" t="s">
        <v>805</v>
      </c>
      <c r="C310" s="716">
        <f>ROUNDUP(((C248)*(4/12)*1.2),0)</f>
        <v>1</v>
      </c>
      <c r="D310" s="716">
        <f t="shared" ref="D310:AF310" si="282">ROUNDUP(((D248)*(4/12)*1.2),0)</f>
        <v>1</v>
      </c>
      <c r="E310" s="716">
        <f t="shared" si="282"/>
        <v>1</v>
      </c>
      <c r="F310" s="716">
        <f t="shared" si="282"/>
        <v>1</v>
      </c>
      <c r="G310" s="716">
        <f t="shared" si="282"/>
        <v>1</v>
      </c>
      <c r="H310" s="716">
        <f t="shared" si="282"/>
        <v>1</v>
      </c>
      <c r="I310" s="716">
        <f t="shared" si="282"/>
        <v>1</v>
      </c>
      <c r="J310" s="716">
        <f t="shared" si="282"/>
        <v>1</v>
      </c>
      <c r="K310" s="716">
        <f t="shared" si="282"/>
        <v>1</v>
      </c>
      <c r="L310" s="716">
        <f t="shared" si="282"/>
        <v>1</v>
      </c>
      <c r="M310" s="716">
        <f t="shared" si="282"/>
        <v>1</v>
      </c>
      <c r="N310" s="716">
        <f t="shared" si="282"/>
        <v>1</v>
      </c>
      <c r="O310" s="716">
        <f t="shared" si="282"/>
        <v>1</v>
      </c>
      <c r="P310" s="716">
        <f t="shared" si="282"/>
        <v>1</v>
      </c>
      <c r="Q310" s="716">
        <f t="shared" si="282"/>
        <v>1</v>
      </c>
      <c r="R310" s="716">
        <f t="shared" si="282"/>
        <v>1</v>
      </c>
      <c r="S310" s="716">
        <f t="shared" si="282"/>
        <v>1</v>
      </c>
      <c r="T310" s="716">
        <f t="shared" si="282"/>
        <v>1</v>
      </c>
      <c r="U310" s="716">
        <f t="shared" si="282"/>
        <v>1</v>
      </c>
      <c r="V310" s="716">
        <f t="shared" si="282"/>
        <v>1</v>
      </c>
      <c r="W310" s="716">
        <f t="shared" si="282"/>
        <v>1</v>
      </c>
      <c r="X310" s="716">
        <f t="shared" si="282"/>
        <v>1</v>
      </c>
      <c r="Y310" s="716">
        <f t="shared" si="282"/>
        <v>1</v>
      </c>
      <c r="Z310" s="716">
        <f t="shared" si="282"/>
        <v>1</v>
      </c>
      <c r="AA310" s="716">
        <f t="shared" si="282"/>
        <v>1</v>
      </c>
      <c r="AB310" s="716">
        <f t="shared" si="282"/>
        <v>1</v>
      </c>
      <c r="AC310" s="716">
        <f t="shared" si="282"/>
        <v>1</v>
      </c>
      <c r="AD310" s="716">
        <f t="shared" si="282"/>
        <v>1</v>
      </c>
      <c r="AE310" s="716">
        <f t="shared" si="282"/>
        <v>1</v>
      </c>
      <c r="AF310" s="716">
        <f t="shared" si="282"/>
        <v>1</v>
      </c>
      <c r="AH310" s="538"/>
      <c r="AK310" s="719"/>
      <c r="AM310" s="594"/>
      <c r="AN310" s="535"/>
      <c r="AP310" s="540"/>
      <c r="AQ310" s="540"/>
    </row>
    <row r="311" spans="1:43" s="513" customFormat="1" ht="16.5" hidden="1" customHeight="1" outlineLevel="2">
      <c r="A311" s="584"/>
      <c r="B311" s="585" t="s">
        <v>924</v>
      </c>
      <c r="C311" s="605">
        <f>Insumos!E63</f>
        <v>58.9</v>
      </c>
      <c r="D311" s="605">
        <f>C311</f>
        <v>58.9</v>
      </c>
      <c r="E311" s="605">
        <f t="shared" ref="E311:AF311" si="283">D311</f>
        <v>58.9</v>
      </c>
      <c r="F311" s="605">
        <f t="shared" si="283"/>
        <v>58.9</v>
      </c>
      <c r="G311" s="605">
        <f t="shared" si="283"/>
        <v>58.9</v>
      </c>
      <c r="H311" s="605">
        <f t="shared" si="283"/>
        <v>58.9</v>
      </c>
      <c r="I311" s="605">
        <f t="shared" si="283"/>
        <v>58.9</v>
      </c>
      <c r="J311" s="605">
        <f t="shared" si="283"/>
        <v>58.9</v>
      </c>
      <c r="K311" s="605">
        <f t="shared" si="283"/>
        <v>58.9</v>
      </c>
      <c r="L311" s="605">
        <f t="shared" si="283"/>
        <v>58.9</v>
      </c>
      <c r="M311" s="605">
        <f t="shared" si="283"/>
        <v>58.9</v>
      </c>
      <c r="N311" s="605">
        <f t="shared" si="283"/>
        <v>58.9</v>
      </c>
      <c r="O311" s="605">
        <f t="shared" si="283"/>
        <v>58.9</v>
      </c>
      <c r="P311" s="605">
        <f t="shared" si="283"/>
        <v>58.9</v>
      </c>
      <c r="Q311" s="605">
        <f t="shared" si="283"/>
        <v>58.9</v>
      </c>
      <c r="R311" s="605">
        <f t="shared" si="283"/>
        <v>58.9</v>
      </c>
      <c r="S311" s="605">
        <f t="shared" si="283"/>
        <v>58.9</v>
      </c>
      <c r="T311" s="605">
        <f t="shared" si="283"/>
        <v>58.9</v>
      </c>
      <c r="U311" s="605">
        <f t="shared" si="283"/>
        <v>58.9</v>
      </c>
      <c r="V311" s="605">
        <f t="shared" si="283"/>
        <v>58.9</v>
      </c>
      <c r="W311" s="605">
        <f t="shared" si="283"/>
        <v>58.9</v>
      </c>
      <c r="X311" s="605">
        <f t="shared" si="283"/>
        <v>58.9</v>
      </c>
      <c r="Y311" s="605">
        <f t="shared" si="283"/>
        <v>58.9</v>
      </c>
      <c r="Z311" s="605">
        <f t="shared" si="283"/>
        <v>58.9</v>
      </c>
      <c r="AA311" s="605">
        <f t="shared" si="283"/>
        <v>58.9</v>
      </c>
      <c r="AB311" s="605">
        <f t="shared" si="283"/>
        <v>58.9</v>
      </c>
      <c r="AC311" s="605">
        <f t="shared" si="283"/>
        <v>58.9</v>
      </c>
      <c r="AD311" s="605">
        <f t="shared" si="283"/>
        <v>58.9</v>
      </c>
      <c r="AE311" s="605">
        <f t="shared" si="283"/>
        <v>58.9</v>
      </c>
      <c r="AF311" s="605">
        <f t="shared" si="283"/>
        <v>58.9</v>
      </c>
      <c r="AH311" s="538"/>
      <c r="AK311" s="531"/>
      <c r="AM311" s="594"/>
      <c r="AN311" s="535"/>
      <c r="AP311" s="540"/>
      <c r="AQ311" s="540"/>
    </row>
    <row r="312" spans="1:43" ht="3" hidden="1" customHeight="1" outlineLevel="2">
      <c r="A312" s="584"/>
      <c r="B312" s="609"/>
      <c r="C312" s="611"/>
      <c r="D312" s="611"/>
      <c r="E312" s="610"/>
      <c r="F312" s="610"/>
      <c r="G312" s="610"/>
      <c r="H312" s="610"/>
      <c r="I312" s="610"/>
      <c r="J312" s="610"/>
      <c r="K312" s="610"/>
      <c r="L312" s="610"/>
      <c r="M312" s="610"/>
      <c r="N312" s="610"/>
      <c r="O312" s="610"/>
      <c r="P312" s="610"/>
      <c r="Q312" s="610"/>
      <c r="R312" s="610"/>
      <c r="S312" s="610"/>
      <c r="T312" s="610"/>
      <c r="U312" s="610"/>
      <c r="V312" s="610"/>
      <c r="W312" s="610"/>
      <c r="X312" s="610"/>
      <c r="Y312" s="610"/>
      <c r="Z312" s="610"/>
      <c r="AA312" s="610"/>
      <c r="AB312" s="610"/>
      <c r="AC312" s="610"/>
      <c r="AD312" s="610"/>
      <c r="AE312" s="610"/>
      <c r="AF312" s="610"/>
      <c r="AH312" s="593"/>
      <c r="AK312" s="531"/>
      <c r="AM312" s="594"/>
      <c r="AN312" s="535"/>
      <c r="AP312" s="535"/>
      <c r="AQ312" s="535"/>
    </row>
    <row r="313" spans="1:43" s="564" customFormat="1" ht="16.5" hidden="1" customHeight="1" outlineLevel="1" collapsed="1">
      <c r="A313" s="584"/>
      <c r="B313" s="576" t="s">
        <v>926</v>
      </c>
      <c r="C313" s="599">
        <f>SUM(C314,C321,C328,C335,C342,C349)*12/10^3</f>
        <v>188.28</v>
      </c>
      <c r="D313" s="599">
        <f t="shared" ref="D313:AF313" si="284">SUM(D314,D321,D328,D335,D342,D349)*12/10^3</f>
        <v>188.28</v>
      </c>
      <c r="E313" s="599">
        <f t="shared" si="284"/>
        <v>188.28</v>
      </c>
      <c r="F313" s="599">
        <f t="shared" si="284"/>
        <v>342.18959999999998</v>
      </c>
      <c r="G313" s="599">
        <f t="shared" si="284"/>
        <v>342.18959999999998</v>
      </c>
      <c r="H313" s="599">
        <f t="shared" si="284"/>
        <v>342.18959999999998</v>
      </c>
      <c r="I313" s="599">
        <f t="shared" si="284"/>
        <v>342.18959999999998</v>
      </c>
      <c r="J313" s="599">
        <f t="shared" si="284"/>
        <v>342.18959999999998</v>
      </c>
      <c r="K313" s="599">
        <f t="shared" si="284"/>
        <v>342.18959999999998</v>
      </c>
      <c r="L313" s="599">
        <f t="shared" si="284"/>
        <v>342.18959999999998</v>
      </c>
      <c r="M313" s="599">
        <f t="shared" si="284"/>
        <v>342.18959999999998</v>
      </c>
      <c r="N313" s="599">
        <f t="shared" si="284"/>
        <v>342.18959999999998</v>
      </c>
      <c r="O313" s="599">
        <f t="shared" si="284"/>
        <v>342.18959999999998</v>
      </c>
      <c r="P313" s="599">
        <f t="shared" si="284"/>
        <v>342.18959999999998</v>
      </c>
      <c r="Q313" s="599">
        <f t="shared" si="284"/>
        <v>342.18959999999998</v>
      </c>
      <c r="R313" s="599">
        <f t="shared" si="284"/>
        <v>342.18959999999998</v>
      </c>
      <c r="S313" s="599">
        <f t="shared" si="284"/>
        <v>342.18959999999998</v>
      </c>
      <c r="T313" s="599">
        <f t="shared" si="284"/>
        <v>342.18959999999998</v>
      </c>
      <c r="U313" s="599">
        <f t="shared" si="284"/>
        <v>342.18959999999998</v>
      </c>
      <c r="V313" s="599">
        <f t="shared" si="284"/>
        <v>342.18959999999998</v>
      </c>
      <c r="W313" s="599">
        <f t="shared" si="284"/>
        <v>342.18959999999998</v>
      </c>
      <c r="X313" s="599">
        <f t="shared" si="284"/>
        <v>342.18959999999998</v>
      </c>
      <c r="Y313" s="599">
        <f t="shared" si="284"/>
        <v>342.18959999999998</v>
      </c>
      <c r="Z313" s="599">
        <f t="shared" si="284"/>
        <v>342.18959999999998</v>
      </c>
      <c r="AA313" s="599">
        <f t="shared" si="284"/>
        <v>342.18959999999998</v>
      </c>
      <c r="AB313" s="599">
        <f t="shared" si="284"/>
        <v>342.18959999999998</v>
      </c>
      <c r="AC313" s="599">
        <f t="shared" si="284"/>
        <v>342.18959999999998</v>
      </c>
      <c r="AD313" s="599">
        <f t="shared" si="284"/>
        <v>342.18959999999998</v>
      </c>
      <c r="AE313" s="599">
        <f t="shared" si="284"/>
        <v>342.18959999999998</v>
      </c>
      <c r="AF313" s="599">
        <f t="shared" si="284"/>
        <v>342.18959999999998</v>
      </c>
      <c r="AH313" s="578">
        <f>SUM(C313:AF313)</f>
        <v>9803.9591999999957</v>
      </c>
      <c r="AJ313" s="579"/>
      <c r="AK313" s="531"/>
      <c r="AM313" s="594"/>
      <c r="AN313" s="535"/>
      <c r="AP313" s="568"/>
      <c r="AQ313" s="568"/>
    </row>
    <row r="314" spans="1:43" s="634" customFormat="1" ht="16.5" hidden="1" customHeight="1" outlineLevel="2">
      <c r="A314" s="584"/>
      <c r="B314" s="580" t="s">
        <v>927</v>
      </c>
      <c r="C314" s="583">
        <f>C315*(C316+C318+C319+C320)</f>
        <v>5728.4</v>
      </c>
      <c r="D314" s="583">
        <f t="shared" ref="D314:AF314" si="285">D315*(D316+D318+D319+D320)</f>
        <v>5728.4</v>
      </c>
      <c r="E314" s="583">
        <f t="shared" si="285"/>
        <v>5728.4</v>
      </c>
      <c r="F314" s="583">
        <f t="shared" si="285"/>
        <v>8592.5999999999985</v>
      </c>
      <c r="G314" s="583">
        <f t="shared" si="285"/>
        <v>8592.5999999999985</v>
      </c>
      <c r="H314" s="583">
        <f t="shared" si="285"/>
        <v>8592.5999999999985</v>
      </c>
      <c r="I314" s="583">
        <f t="shared" si="285"/>
        <v>8592.5999999999985</v>
      </c>
      <c r="J314" s="583">
        <f t="shared" si="285"/>
        <v>8592.5999999999985</v>
      </c>
      <c r="K314" s="583">
        <f t="shared" si="285"/>
        <v>8592.5999999999985</v>
      </c>
      <c r="L314" s="583">
        <f t="shared" si="285"/>
        <v>8592.5999999999985</v>
      </c>
      <c r="M314" s="583">
        <f t="shared" si="285"/>
        <v>8592.5999999999985</v>
      </c>
      <c r="N314" s="583">
        <f t="shared" si="285"/>
        <v>8592.5999999999985</v>
      </c>
      <c r="O314" s="583">
        <f t="shared" si="285"/>
        <v>8592.5999999999985</v>
      </c>
      <c r="P314" s="583">
        <f t="shared" si="285"/>
        <v>8592.5999999999985</v>
      </c>
      <c r="Q314" s="583">
        <f t="shared" si="285"/>
        <v>8592.5999999999985</v>
      </c>
      <c r="R314" s="583">
        <f t="shared" si="285"/>
        <v>8592.5999999999985</v>
      </c>
      <c r="S314" s="583">
        <f t="shared" si="285"/>
        <v>8592.5999999999985</v>
      </c>
      <c r="T314" s="583">
        <f t="shared" si="285"/>
        <v>8592.5999999999985</v>
      </c>
      <c r="U314" s="583">
        <f t="shared" si="285"/>
        <v>8592.5999999999985</v>
      </c>
      <c r="V314" s="583">
        <f t="shared" si="285"/>
        <v>8592.5999999999985</v>
      </c>
      <c r="W314" s="583">
        <f t="shared" si="285"/>
        <v>8592.5999999999985</v>
      </c>
      <c r="X314" s="583">
        <f t="shared" si="285"/>
        <v>8592.5999999999985</v>
      </c>
      <c r="Y314" s="583">
        <f t="shared" si="285"/>
        <v>8592.5999999999985</v>
      </c>
      <c r="Z314" s="583">
        <f t="shared" si="285"/>
        <v>8592.5999999999985</v>
      </c>
      <c r="AA314" s="583">
        <f t="shared" si="285"/>
        <v>8592.5999999999985</v>
      </c>
      <c r="AB314" s="583">
        <f t="shared" si="285"/>
        <v>8592.5999999999985</v>
      </c>
      <c r="AC314" s="583">
        <f t="shared" si="285"/>
        <v>8592.5999999999985</v>
      </c>
      <c r="AD314" s="583">
        <f t="shared" si="285"/>
        <v>8592.5999999999985</v>
      </c>
      <c r="AE314" s="583">
        <f t="shared" si="285"/>
        <v>8592.5999999999985</v>
      </c>
      <c r="AF314" s="583">
        <f t="shared" si="285"/>
        <v>8592.5999999999985</v>
      </c>
      <c r="AH314" s="635"/>
      <c r="AK314" s="588"/>
      <c r="AM314" s="624"/>
      <c r="AN314" s="590"/>
      <c r="AP314" s="636"/>
      <c r="AQ314" s="636"/>
    </row>
    <row r="315" spans="1:43" s="586" customFormat="1" ht="16.5" hidden="1" customHeight="1" outlineLevel="2">
      <c r="A315" s="584"/>
      <c r="B315" s="585" t="s">
        <v>805</v>
      </c>
      <c r="C315" s="554">
        <v>2</v>
      </c>
      <c r="D315" s="554">
        <v>2</v>
      </c>
      <c r="E315" s="554">
        <v>2</v>
      </c>
      <c r="F315" s="554">
        <v>3</v>
      </c>
      <c r="G315" s="554">
        <v>3</v>
      </c>
      <c r="H315" s="554">
        <v>3</v>
      </c>
      <c r="I315" s="554">
        <v>3</v>
      </c>
      <c r="J315" s="554">
        <v>3</v>
      </c>
      <c r="K315" s="554">
        <v>3</v>
      </c>
      <c r="L315" s="554">
        <v>3</v>
      </c>
      <c r="M315" s="554">
        <v>3</v>
      </c>
      <c r="N315" s="554">
        <v>3</v>
      </c>
      <c r="O315" s="554">
        <v>3</v>
      </c>
      <c r="P315" s="554">
        <v>3</v>
      </c>
      <c r="Q315" s="554">
        <v>3</v>
      </c>
      <c r="R315" s="554">
        <v>3</v>
      </c>
      <c r="S315" s="554">
        <v>3</v>
      </c>
      <c r="T315" s="554">
        <v>3</v>
      </c>
      <c r="U315" s="554">
        <v>3</v>
      </c>
      <c r="V315" s="554">
        <v>3</v>
      </c>
      <c r="W315" s="554">
        <v>3</v>
      </c>
      <c r="X315" s="554">
        <v>3</v>
      </c>
      <c r="Y315" s="554">
        <v>3</v>
      </c>
      <c r="Z315" s="554">
        <v>3</v>
      </c>
      <c r="AA315" s="554">
        <v>3</v>
      </c>
      <c r="AB315" s="554">
        <v>3</v>
      </c>
      <c r="AC315" s="554">
        <v>3</v>
      </c>
      <c r="AD315" s="554">
        <v>3</v>
      </c>
      <c r="AE315" s="554">
        <v>3</v>
      </c>
      <c r="AF315" s="554">
        <v>3</v>
      </c>
      <c r="AH315" s="587"/>
      <c r="AK315" s="588"/>
      <c r="AM315" s="624"/>
      <c r="AN315" s="590"/>
      <c r="AP315" s="591"/>
      <c r="AQ315" s="591"/>
    </row>
    <row r="316" spans="1:43" s="586" customFormat="1" ht="16.5" hidden="1" customHeight="1" outlineLevel="2">
      <c r="A316" s="584"/>
      <c r="B316" s="585" t="s">
        <v>928</v>
      </c>
      <c r="C316" s="632">
        <f>'Sal._benef.'!$D$23</f>
        <v>2540</v>
      </c>
      <c r="D316" s="632">
        <f>C316</f>
        <v>2540</v>
      </c>
      <c r="E316" s="632">
        <f t="shared" ref="E316:T320" si="286">D316</f>
        <v>2540</v>
      </c>
      <c r="F316" s="632">
        <f t="shared" si="286"/>
        <v>2540</v>
      </c>
      <c r="G316" s="632">
        <f t="shared" si="286"/>
        <v>2540</v>
      </c>
      <c r="H316" s="632">
        <f t="shared" si="286"/>
        <v>2540</v>
      </c>
      <c r="I316" s="632">
        <f t="shared" si="286"/>
        <v>2540</v>
      </c>
      <c r="J316" s="632">
        <f t="shared" si="286"/>
        <v>2540</v>
      </c>
      <c r="K316" s="632">
        <f t="shared" si="286"/>
        <v>2540</v>
      </c>
      <c r="L316" s="632">
        <f t="shared" si="286"/>
        <v>2540</v>
      </c>
      <c r="M316" s="632">
        <f t="shared" si="286"/>
        <v>2540</v>
      </c>
      <c r="N316" s="632">
        <f t="shared" si="286"/>
        <v>2540</v>
      </c>
      <c r="O316" s="632">
        <f t="shared" si="286"/>
        <v>2540</v>
      </c>
      <c r="P316" s="632">
        <f t="shared" si="286"/>
        <v>2540</v>
      </c>
      <c r="Q316" s="632">
        <f t="shared" si="286"/>
        <v>2540</v>
      </c>
      <c r="R316" s="632">
        <f t="shared" si="286"/>
        <v>2540</v>
      </c>
      <c r="S316" s="632">
        <f t="shared" si="286"/>
        <v>2540</v>
      </c>
      <c r="T316" s="632">
        <f t="shared" si="286"/>
        <v>2540</v>
      </c>
      <c r="U316" s="632">
        <f t="shared" ref="U316:AF320" si="287">T316</f>
        <v>2540</v>
      </c>
      <c r="V316" s="632">
        <f t="shared" si="287"/>
        <v>2540</v>
      </c>
      <c r="W316" s="632">
        <f t="shared" si="287"/>
        <v>2540</v>
      </c>
      <c r="X316" s="632">
        <f t="shared" si="287"/>
        <v>2540</v>
      </c>
      <c r="Y316" s="632">
        <f t="shared" si="287"/>
        <v>2540</v>
      </c>
      <c r="Z316" s="632">
        <f t="shared" si="287"/>
        <v>2540</v>
      </c>
      <c r="AA316" s="632">
        <f t="shared" si="287"/>
        <v>2540</v>
      </c>
      <c r="AB316" s="632">
        <f t="shared" si="287"/>
        <v>2540</v>
      </c>
      <c r="AC316" s="632">
        <f t="shared" si="287"/>
        <v>2540</v>
      </c>
      <c r="AD316" s="632">
        <f t="shared" si="287"/>
        <v>2540</v>
      </c>
      <c r="AE316" s="632">
        <f t="shared" si="287"/>
        <v>2540</v>
      </c>
      <c r="AF316" s="632">
        <f t="shared" si="287"/>
        <v>2540</v>
      </c>
      <c r="AH316" s="587"/>
      <c r="AK316" s="588"/>
      <c r="AM316" s="624"/>
      <c r="AN316" s="590"/>
      <c r="AP316" s="591"/>
      <c r="AQ316" s="591"/>
    </row>
    <row r="317" spans="1:43" s="586" customFormat="1" ht="16.5" hidden="1" customHeight="1" outlineLevel="2">
      <c r="A317" s="584"/>
      <c r="B317" s="585" t="s">
        <v>929</v>
      </c>
      <c r="C317" s="632">
        <f>'Sal._benef.'!$F$10</f>
        <v>1621</v>
      </c>
      <c r="D317" s="632">
        <f>C317</f>
        <v>1621</v>
      </c>
      <c r="E317" s="632">
        <f t="shared" si="286"/>
        <v>1621</v>
      </c>
      <c r="F317" s="632">
        <f t="shared" si="286"/>
        <v>1621</v>
      </c>
      <c r="G317" s="632">
        <f t="shared" si="286"/>
        <v>1621</v>
      </c>
      <c r="H317" s="632">
        <f t="shared" si="286"/>
        <v>1621</v>
      </c>
      <c r="I317" s="632">
        <f t="shared" si="286"/>
        <v>1621</v>
      </c>
      <c r="J317" s="632">
        <f t="shared" si="286"/>
        <v>1621</v>
      </c>
      <c r="K317" s="632">
        <f t="shared" si="286"/>
        <v>1621</v>
      </c>
      <c r="L317" s="632">
        <f t="shared" si="286"/>
        <v>1621</v>
      </c>
      <c r="M317" s="632">
        <f t="shared" si="286"/>
        <v>1621</v>
      </c>
      <c r="N317" s="632">
        <f t="shared" si="286"/>
        <v>1621</v>
      </c>
      <c r="O317" s="632">
        <f t="shared" si="286"/>
        <v>1621</v>
      </c>
      <c r="P317" s="632">
        <f t="shared" si="286"/>
        <v>1621</v>
      </c>
      <c r="Q317" s="632">
        <f t="shared" si="286"/>
        <v>1621</v>
      </c>
      <c r="R317" s="632">
        <f t="shared" si="286"/>
        <v>1621</v>
      </c>
      <c r="S317" s="632">
        <f t="shared" si="286"/>
        <v>1621</v>
      </c>
      <c r="T317" s="632">
        <f t="shared" si="286"/>
        <v>1621</v>
      </c>
      <c r="U317" s="632">
        <f t="shared" si="287"/>
        <v>1621</v>
      </c>
      <c r="V317" s="632">
        <f t="shared" si="287"/>
        <v>1621</v>
      </c>
      <c r="W317" s="632">
        <f t="shared" si="287"/>
        <v>1621</v>
      </c>
      <c r="X317" s="632">
        <f t="shared" si="287"/>
        <v>1621</v>
      </c>
      <c r="Y317" s="632">
        <f t="shared" si="287"/>
        <v>1621</v>
      </c>
      <c r="Z317" s="632">
        <f t="shared" si="287"/>
        <v>1621</v>
      </c>
      <c r="AA317" s="632">
        <f t="shared" si="287"/>
        <v>1621</v>
      </c>
      <c r="AB317" s="632">
        <f t="shared" si="287"/>
        <v>1621</v>
      </c>
      <c r="AC317" s="632">
        <f t="shared" si="287"/>
        <v>1621</v>
      </c>
      <c r="AD317" s="632">
        <f t="shared" si="287"/>
        <v>1621</v>
      </c>
      <c r="AE317" s="632">
        <f t="shared" si="287"/>
        <v>1621</v>
      </c>
      <c r="AF317" s="632">
        <f t="shared" si="287"/>
        <v>1621</v>
      </c>
      <c r="AH317" s="587"/>
      <c r="AK317" s="588"/>
      <c r="AM317" s="624"/>
      <c r="AN317" s="590"/>
      <c r="AP317" s="591"/>
      <c r="AQ317" s="591"/>
    </row>
    <row r="318" spans="1:43" s="586" customFormat="1" ht="16.5" hidden="1" customHeight="1" outlineLevel="2">
      <c r="A318" s="584"/>
      <c r="B318" s="585" t="s">
        <v>1487</v>
      </c>
      <c r="C318" s="632">
        <f>'Sal._benef.'!$F$23*'Sal._benef.'!$F$10</f>
        <v>324.20000000000005</v>
      </c>
      <c r="D318" s="632">
        <f>C318</f>
        <v>324.20000000000005</v>
      </c>
      <c r="E318" s="632">
        <f t="shared" si="286"/>
        <v>324.20000000000005</v>
      </c>
      <c r="F318" s="632">
        <f t="shared" si="286"/>
        <v>324.20000000000005</v>
      </c>
      <c r="G318" s="632">
        <f t="shared" si="286"/>
        <v>324.20000000000005</v>
      </c>
      <c r="H318" s="632">
        <f t="shared" si="286"/>
        <v>324.20000000000005</v>
      </c>
      <c r="I318" s="632">
        <f t="shared" si="286"/>
        <v>324.20000000000005</v>
      </c>
      <c r="J318" s="632">
        <f t="shared" si="286"/>
        <v>324.20000000000005</v>
      </c>
      <c r="K318" s="632">
        <f t="shared" si="286"/>
        <v>324.20000000000005</v>
      </c>
      <c r="L318" s="632">
        <f t="shared" si="286"/>
        <v>324.20000000000005</v>
      </c>
      <c r="M318" s="632">
        <f t="shared" si="286"/>
        <v>324.20000000000005</v>
      </c>
      <c r="N318" s="632">
        <f t="shared" si="286"/>
        <v>324.20000000000005</v>
      </c>
      <c r="O318" s="632">
        <f t="shared" si="286"/>
        <v>324.20000000000005</v>
      </c>
      <c r="P318" s="632">
        <f t="shared" si="286"/>
        <v>324.20000000000005</v>
      </c>
      <c r="Q318" s="632">
        <f t="shared" si="286"/>
        <v>324.20000000000005</v>
      </c>
      <c r="R318" s="632">
        <f t="shared" si="286"/>
        <v>324.20000000000005</v>
      </c>
      <c r="S318" s="632">
        <f t="shared" si="286"/>
        <v>324.20000000000005</v>
      </c>
      <c r="T318" s="632">
        <f t="shared" si="286"/>
        <v>324.20000000000005</v>
      </c>
      <c r="U318" s="632">
        <f t="shared" si="287"/>
        <v>324.20000000000005</v>
      </c>
      <c r="V318" s="632">
        <f t="shared" si="287"/>
        <v>324.20000000000005</v>
      </c>
      <c r="W318" s="632">
        <f t="shared" si="287"/>
        <v>324.20000000000005</v>
      </c>
      <c r="X318" s="632">
        <f t="shared" si="287"/>
        <v>324.20000000000005</v>
      </c>
      <c r="Y318" s="632">
        <f t="shared" si="287"/>
        <v>324.20000000000005</v>
      </c>
      <c r="Z318" s="632">
        <f t="shared" si="287"/>
        <v>324.20000000000005</v>
      </c>
      <c r="AA318" s="632">
        <f t="shared" si="287"/>
        <v>324.20000000000005</v>
      </c>
      <c r="AB318" s="632">
        <f t="shared" si="287"/>
        <v>324.20000000000005</v>
      </c>
      <c r="AC318" s="632">
        <f t="shared" si="287"/>
        <v>324.20000000000005</v>
      </c>
      <c r="AD318" s="632">
        <f t="shared" si="287"/>
        <v>324.20000000000005</v>
      </c>
      <c r="AE318" s="632">
        <f t="shared" si="287"/>
        <v>324.20000000000005</v>
      </c>
      <c r="AF318" s="632">
        <f t="shared" si="287"/>
        <v>324.20000000000005</v>
      </c>
      <c r="AH318" s="587"/>
      <c r="AK318" s="588"/>
      <c r="AM318" s="624"/>
      <c r="AN318" s="590"/>
      <c r="AP318" s="591"/>
      <c r="AQ318" s="591"/>
    </row>
    <row r="319" spans="1:43" s="586" customFormat="1" ht="16.5" hidden="1" customHeight="1" outlineLevel="2">
      <c r="A319" s="584"/>
      <c r="B319" s="585" t="s">
        <v>1486</v>
      </c>
      <c r="C319" s="632">
        <v>0</v>
      </c>
      <c r="D319" s="632">
        <f>C319</f>
        <v>0</v>
      </c>
      <c r="E319" s="632">
        <f t="shared" si="286"/>
        <v>0</v>
      </c>
      <c r="F319" s="632">
        <f t="shared" si="286"/>
        <v>0</v>
      </c>
      <c r="G319" s="632">
        <f t="shared" si="286"/>
        <v>0</v>
      </c>
      <c r="H319" s="632">
        <f t="shared" si="286"/>
        <v>0</v>
      </c>
      <c r="I319" s="632">
        <f t="shared" si="286"/>
        <v>0</v>
      </c>
      <c r="J319" s="632">
        <f t="shared" si="286"/>
        <v>0</v>
      </c>
      <c r="K319" s="632">
        <f t="shared" si="286"/>
        <v>0</v>
      </c>
      <c r="L319" s="632">
        <f t="shared" si="286"/>
        <v>0</v>
      </c>
      <c r="M319" s="632">
        <f t="shared" si="286"/>
        <v>0</v>
      </c>
      <c r="N319" s="632">
        <f t="shared" si="286"/>
        <v>0</v>
      </c>
      <c r="O319" s="632">
        <f t="shared" si="286"/>
        <v>0</v>
      </c>
      <c r="P319" s="632">
        <f t="shared" si="286"/>
        <v>0</v>
      </c>
      <c r="Q319" s="632">
        <f t="shared" si="286"/>
        <v>0</v>
      </c>
      <c r="R319" s="632">
        <f t="shared" si="286"/>
        <v>0</v>
      </c>
      <c r="S319" s="632">
        <f t="shared" si="286"/>
        <v>0</v>
      </c>
      <c r="T319" s="632">
        <f t="shared" si="286"/>
        <v>0</v>
      </c>
      <c r="U319" s="632">
        <f t="shared" si="287"/>
        <v>0</v>
      </c>
      <c r="V319" s="632">
        <f t="shared" si="287"/>
        <v>0</v>
      </c>
      <c r="W319" s="632">
        <f t="shared" si="287"/>
        <v>0</v>
      </c>
      <c r="X319" s="632">
        <f t="shared" si="287"/>
        <v>0</v>
      </c>
      <c r="Y319" s="632">
        <f t="shared" si="287"/>
        <v>0</v>
      </c>
      <c r="Z319" s="632">
        <f t="shared" si="287"/>
        <v>0</v>
      </c>
      <c r="AA319" s="632">
        <f t="shared" si="287"/>
        <v>0</v>
      </c>
      <c r="AB319" s="632">
        <f t="shared" si="287"/>
        <v>0</v>
      </c>
      <c r="AC319" s="632">
        <f t="shared" si="287"/>
        <v>0</v>
      </c>
      <c r="AD319" s="632">
        <f t="shared" si="287"/>
        <v>0</v>
      </c>
      <c r="AE319" s="632">
        <f t="shared" si="287"/>
        <v>0</v>
      </c>
      <c r="AF319" s="632">
        <f t="shared" si="287"/>
        <v>0</v>
      </c>
      <c r="AH319" s="587"/>
      <c r="AK319" s="588"/>
      <c r="AM319" s="624"/>
      <c r="AN319" s="590"/>
      <c r="AP319" s="591"/>
      <c r="AQ319" s="591"/>
    </row>
    <row r="320" spans="1:43" s="513" customFormat="1" ht="16.5" hidden="1" customHeight="1" outlineLevel="2">
      <c r="A320" s="584"/>
      <c r="B320" s="572" t="s">
        <v>1367</v>
      </c>
      <c r="C320" s="574">
        <v>0</v>
      </c>
      <c r="D320" s="574">
        <f>C320</f>
        <v>0</v>
      </c>
      <c r="E320" s="574">
        <f t="shared" si="286"/>
        <v>0</v>
      </c>
      <c r="F320" s="574">
        <f t="shared" si="286"/>
        <v>0</v>
      </c>
      <c r="G320" s="574">
        <f t="shared" si="286"/>
        <v>0</v>
      </c>
      <c r="H320" s="574">
        <f t="shared" si="286"/>
        <v>0</v>
      </c>
      <c r="I320" s="574">
        <f t="shared" si="286"/>
        <v>0</v>
      </c>
      <c r="J320" s="574">
        <f t="shared" si="286"/>
        <v>0</v>
      </c>
      <c r="K320" s="574">
        <f t="shared" si="286"/>
        <v>0</v>
      </c>
      <c r="L320" s="574">
        <f t="shared" si="286"/>
        <v>0</v>
      </c>
      <c r="M320" s="574">
        <f t="shared" si="286"/>
        <v>0</v>
      </c>
      <c r="N320" s="574">
        <f t="shared" si="286"/>
        <v>0</v>
      </c>
      <c r="O320" s="574">
        <f t="shared" si="286"/>
        <v>0</v>
      </c>
      <c r="P320" s="574">
        <f t="shared" si="286"/>
        <v>0</v>
      </c>
      <c r="Q320" s="574">
        <f t="shared" si="286"/>
        <v>0</v>
      </c>
      <c r="R320" s="574">
        <f t="shared" si="286"/>
        <v>0</v>
      </c>
      <c r="S320" s="574">
        <f t="shared" si="286"/>
        <v>0</v>
      </c>
      <c r="T320" s="574">
        <f t="shared" si="286"/>
        <v>0</v>
      </c>
      <c r="U320" s="574">
        <f t="shared" si="287"/>
        <v>0</v>
      </c>
      <c r="V320" s="574">
        <f t="shared" si="287"/>
        <v>0</v>
      </c>
      <c r="W320" s="574">
        <f t="shared" si="287"/>
        <v>0</v>
      </c>
      <c r="X320" s="574">
        <f t="shared" si="287"/>
        <v>0</v>
      </c>
      <c r="Y320" s="574">
        <f t="shared" si="287"/>
        <v>0</v>
      </c>
      <c r="Z320" s="574">
        <f t="shared" si="287"/>
        <v>0</v>
      </c>
      <c r="AA320" s="574">
        <f t="shared" si="287"/>
        <v>0</v>
      </c>
      <c r="AB320" s="574">
        <f t="shared" si="287"/>
        <v>0</v>
      </c>
      <c r="AC320" s="574">
        <f t="shared" si="287"/>
        <v>0</v>
      </c>
      <c r="AD320" s="574">
        <f t="shared" si="287"/>
        <v>0</v>
      </c>
      <c r="AE320" s="574">
        <f t="shared" si="287"/>
        <v>0</v>
      </c>
      <c r="AF320" s="574">
        <f t="shared" si="287"/>
        <v>0</v>
      </c>
      <c r="AH320" s="538"/>
      <c r="AK320" s="531"/>
      <c r="AM320" s="594"/>
      <c r="AN320" s="535"/>
      <c r="AP320" s="540"/>
      <c r="AQ320" s="540"/>
    </row>
    <row r="321" spans="1:43" s="546" customFormat="1" ht="16.5" hidden="1" customHeight="1" outlineLevel="2">
      <c r="A321" s="584"/>
      <c r="B321" s="569" t="s">
        <v>930</v>
      </c>
      <c r="C321" s="581">
        <f>C322*(C323+C325+C326+C327)</f>
        <v>0</v>
      </c>
      <c r="D321" s="581">
        <f t="shared" ref="D321:AF321" si="288">D322*(D323+D325+D326+D327)</f>
        <v>0</v>
      </c>
      <c r="E321" s="581">
        <f t="shared" si="288"/>
        <v>0</v>
      </c>
      <c r="F321" s="581">
        <f t="shared" si="288"/>
        <v>0</v>
      </c>
      <c r="G321" s="581">
        <f t="shared" si="288"/>
        <v>0</v>
      </c>
      <c r="H321" s="581">
        <f t="shared" si="288"/>
        <v>0</v>
      </c>
      <c r="I321" s="581">
        <f t="shared" si="288"/>
        <v>0</v>
      </c>
      <c r="J321" s="581">
        <f t="shared" si="288"/>
        <v>0</v>
      </c>
      <c r="K321" s="581">
        <f t="shared" si="288"/>
        <v>0</v>
      </c>
      <c r="L321" s="581">
        <f t="shared" si="288"/>
        <v>0</v>
      </c>
      <c r="M321" s="581">
        <f t="shared" si="288"/>
        <v>0</v>
      </c>
      <c r="N321" s="581">
        <f t="shared" si="288"/>
        <v>0</v>
      </c>
      <c r="O321" s="581">
        <f t="shared" si="288"/>
        <v>0</v>
      </c>
      <c r="P321" s="581">
        <f t="shared" si="288"/>
        <v>0</v>
      </c>
      <c r="Q321" s="581">
        <f t="shared" si="288"/>
        <v>0</v>
      </c>
      <c r="R321" s="581">
        <f t="shared" si="288"/>
        <v>0</v>
      </c>
      <c r="S321" s="581">
        <f t="shared" si="288"/>
        <v>0</v>
      </c>
      <c r="T321" s="581">
        <f t="shared" si="288"/>
        <v>0</v>
      </c>
      <c r="U321" s="581">
        <f t="shared" si="288"/>
        <v>0</v>
      </c>
      <c r="V321" s="581">
        <f t="shared" si="288"/>
        <v>0</v>
      </c>
      <c r="W321" s="581">
        <f t="shared" si="288"/>
        <v>0</v>
      </c>
      <c r="X321" s="581">
        <f t="shared" si="288"/>
        <v>0</v>
      </c>
      <c r="Y321" s="581">
        <f t="shared" si="288"/>
        <v>0</v>
      </c>
      <c r="Z321" s="581">
        <f t="shared" si="288"/>
        <v>0</v>
      </c>
      <c r="AA321" s="581">
        <f t="shared" si="288"/>
        <v>0</v>
      </c>
      <c r="AB321" s="581">
        <f t="shared" si="288"/>
        <v>0</v>
      </c>
      <c r="AC321" s="581">
        <f t="shared" si="288"/>
        <v>0</v>
      </c>
      <c r="AD321" s="581">
        <f t="shared" si="288"/>
        <v>0</v>
      </c>
      <c r="AE321" s="581">
        <f t="shared" si="288"/>
        <v>0</v>
      </c>
      <c r="AF321" s="581">
        <f t="shared" si="288"/>
        <v>0</v>
      </c>
      <c r="AH321" s="571"/>
      <c r="AK321" s="531"/>
      <c r="AM321" s="594"/>
      <c r="AN321" s="535"/>
      <c r="AP321" s="549"/>
      <c r="AQ321" s="549"/>
    </row>
    <row r="322" spans="1:43" s="513" customFormat="1" ht="16.5" hidden="1" customHeight="1" outlineLevel="2">
      <c r="A322" s="584"/>
      <c r="B322" s="572" t="s">
        <v>805</v>
      </c>
      <c r="C322" s="553">
        <v>0</v>
      </c>
      <c r="D322" s="553">
        <v>0</v>
      </c>
      <c r="E322" s="553">
        <v>0</v>
      </c>
      <c r="F322" s="553">
        <v>0</v>
      </c>
      <c r="G322" s="553">
        <v>0</v>
      </c>
      <c r="H322" s="553">
        <v>0</v>
      </c>
      <c r="I322" s="553">
        <v>0</v>
      </c>
      <c r="J322" s="553">
        <v>0</v>
      </c>
      <c r="K322" s="553">
        <v>0</v>
      </c>
      <c r="L322" s="553">
        <v>0</v>
      </c>
      <c r="M322" s="553">
        <v>0</v>
      </c>
      <c r="N322" s="553">
        <v>0</v>
      </c>
      <c r="O322" s="553">
        <v>0</v>
      </c>
      <c r="P322" s="553">
        <v>0</v>
      </c>
      <c r="Q322" s="553">
        <v>0</v>
      </c>
      <c r="R322" s="553">
        <v>0</v>
      </c>
      <c r="S322" s="553">
        <v>0</v>
      </c>
      <c r="T322" s="553">
        <v>0</v>
      </c>
      <c r="U322" s="553">
        <v>0</v>
      </c>
      <c r="V322" s="553">
        <v>0</v>
      </c>
      <c r="W322" s="553">
        <v>0</v>
      </c>
      <c r="X322" s="553">
        <v>0</v>
      </c>
      <c r="Y322" s="553">
        <v>0</v>
      </c>
      <c r="Z322" s="553">
        <v>0</v>
      </c>
      <c r="AA322" s="553">
        <v>0</v>
      </c>
      <c r="AB322" s="553">
        <v>0</v>
      </c>
      <c r="AC322" s="553">
        <v>0</v>
      </c>
      <c r="AD322" s="553">
        <v>0</v>
      </c>
      <c r="AE322" s="553">
        <v>0</v>
      </c>
      <c r="AF322" s="553">
        <v>0</v>
      </c>
      <c r="AH322" s="538"/>
      <c r="AK322" s="531"/>
      <c r="AM322" s="594"/>
      <c r="AN322" s="535"/>
      <c r="AP322" s="540"/>
      <c r="AQ322" s="540"/>
    </row>
    <row r="323" spans="1:43" s="513" customFormat="1" ht="16.5" hidden="1" customHeight="1" outlineLevel="2">
      <c r="A323" s="584"/>
      <c r="B323" s="572" t="s">
        <v>928</v>
      </c>
      <c r="C323" s="632">
        <f>'Sal._benef.'!$D$23</f>
        <v>2540</v>
      </c>
      <c r="D323" s="574">
        <f>C323</f>
        <v>2540</v>
      </c>
      <c r="E323" s="574">
        <f t="shared" ref="E323:T327" si="289">D323</f>
        <v>2540</v>
      </c>
      <c r="F323" s="574">
        <f t="shared" si="289"/>
        <v>2540</v>
      </c>
      <c r="G323" s="574">
        <f t="shared" si="289"/>
        <v>2540</v>
      </c>
      <c r="H323" s="574">
        <f t="shared" si="289"/>
        <v>2540</v>
      </c>
      <c r="I323" s="574">
        <f t="shared" si="289"/>
        <v>2540</v>
      </c>
      <c r="J323" s="574">
        <f t="shared" si="289"/>
        <v>2540</v>
      </c>
      <c r="K323" s="574">
        <f t="shared" si="289"/>
        <v>2540</v>
      </c>
      <c r="L323" s="574">
        <f t="shared" si="289"/>
        <v>2540</v>
      </c>
      <c r="M323" s="574">
        <f t="shared" si="289"/>
        <v>2540</v>
      </c>
      <c r="N323" s="574">
        <f t="shared" si="289"/>
        <v>2540</v>
      </c>
      <c r="O323" s="574">
        <f t="shared" si="289"/>
        <v>2540</v>
      </c>
      <c r="P323" s="574">
        <f t="shared" si="289"/>
        <v>2540</v>
      </c>
      <c r="Q323" s="574">
        <f t="shared" si="289"/>
        <v>2540</v>
      </c>
      <c r="R323" s="574">
        <f t="shared" si="289"/>
        <v>2540</v>
      </c>
      <c r="S323" s="574">
        <f t="shared" si="289"/>
        <v>2540</v>
      </c>
      <c r="T323" s="574">
        <f t="shared" si="289"/>
        <v>2540</v>
      </c>
      <c r="U323" s="574">
        <f t="shared" ref="U323:AF327" si="290">T323</f>
        <v>2540</v>
      </c>
      <c r="V323" s="574">
        <f t="shared" si="290"/>
        <v>2540</v>
      </c>
      <c r="W323" s="574">
        <f t="shared" si="290"/>
        <v>2540</v>
      </c>
      <c r="X323" s="574">
        <f t="shared" si="290"/>
        <v>2540</v>
      </c>
      <c r="Y323" s="574">
        <f t="shared" si="290"/>
        <v>2540</v>
      </c>
      <c r="Z323" s="574">
        <f t="shared" si="290"/>
        <v>2540</v>
      </c>
      <c r="AA323" s="574">
        <f t="shared" si="290"/>
        <v>2540</v>
      </c>
      <c r="AB323" s="574">
        <f t="shared" si="290"/>
        <v>2540</v>
      </c>
      <c r="AC323" s="574">
        <f t="shared" si="290"/>
        <v>2540</v>
      </c>
      <c r="AD323" s="574">
        <f t="shared" si="290"/>
        <v>2540</v>
      </c>
      <c r="AE323" s="574">
        <f t="shared" si="290"/>
        <v>2540</v>
      </c>
      <c r="AF323" s="574">
        <f t="shared" si="290"/>
        <v>2540</v>
      </c>
      <c r="AH323" s="538"/>
      <c r="AK323" s="531"/>
      <c r="AM323" s="594"/>
      <c r="AN323" s="535"/>
      <c r="AP323" s="540"/>
      <c r="AQ323" s="540"/>
    </row>
    <row r="324" spans="1:43" s="513" customFormat="1" ht="16.5" hidden="1" customHeight="1" outlineLevel="2">
      <c r="A324" s="584"/>
      <c r="B324" s="572" t="s">
        <v>929</v>
      </c>
      <c r="C324" s="632">
        <f>'Sal._benef.'!$F$10</f>
        <v>1621</v>
      </c>
      <c r="D324" s="574">
        <f>C324</f>
        <v>1621</v>
      </c>
      <c r="E324" s="574">
        <f t="shared" si="289"/>
        <v>1621</v>
      </c>
      <c r="F324" s="574">
        <f t="shared" si="289"/>
        <v>1621</v>
      </c>
      <c r="G324" s="574">
        <f t="shared" si="289"/>
        <v>1621</v>
      </c>
      <c r="H324" s="574">
        <f t="shared" si="289"/>
        <v>1621</v>
      </c>
      <c r="I324" s="574">
        <f t="shared" si="289"/>
        <v>1621</v>
      </c>
      <c r="J324" s="574">
        <f t="shared" si="289"/>
        <v>1621</v>
      </c>
      <c r="K324" s="574">
        <f t="shared" si="289"/>
        <v>1621</v>
      </c>
      <c r="L324" s="574">
        <f t="shared" si="289"/>
        <v>1621</v>
      </c>
      <c r="M324" s="574">
        <f t="shared" si="289"/>
        <v>1621</v>
      </c>
      <c r="N324" s="574">
        <f t="shared" si="289"/>
        <v>1621</v>
      </c>
      <c r="O324" s="574">
        <f t="shared" si="289"/>
        <v>1621</v>
      </c>
      <c r="P324" s="574">
        <f t="shared" si="289"/>
        <v>1621</v>
      </c>
      <c r="Q324" s="574">
        <f t="shared" si="289"/>
        <v>1621</v>
      </c>
      <c r="R324" s="574">
        <f t="shared" si="289"/>
        <v>1621</v>
      </c>
      <c r="S324" s="574">
        <f t="shared" si="289"/>
        <v>1621</v>
      </c>
      <c r="T324" s="574">
        <f t="shared" si="289"/>
        <v>1621</v>
      </c>
      <c r="U324" s="574">
        <f t="shared" si="290"/>
        <v>1621</v>
      </c>
      <c r="V324" s="574">
        <f t="shared" si="290"/>
        <v>1621</v>
      </c>
      <c r="W324" s="574">
        <f t="shared" si="290"/>
        <v>1621</v>
      </c>
      <c r="X324" s="574">
        <f t="shared" si="290"/>
        <v>1621</v>
      </c>
      <c r="Y324" s="574">
        <f t="shared" si="290"/>
        <v>1621</v>
      </c>
      <c r="Z324" s="574">
        <f t="shared" si="290"/>
        <v>1621</v>
      </c>
      <c r="AA324" s="574">
        <f t="shared" si="290"/>
        <v>1621</v>
      </c>
      <c r="AB324" s="574">
        <f t="shared" si="290"/>
        <v>1621</v>
      </c>
      <c r="AC324" s="574">
        <f t="shared" si="290"/>
        <v>1621</v>
      </c>
      <c r="AD324" s="574">
        <f t="shared" si="290"/>
        <v>1621</v>
      </c>
      <c r="AE324" s="574">
        <f t="shared" si="290"/>
        <v>1621</v>
      </c>
      <c r="AF324" s="574">
        <f t="shared" si="290"/>
        <v>1621</v>
      </c>
      <c r="AH324" s="538"/>
      <c r="AK324" s="531"/>
      <c r="AM324" s="594"/>
      <c r="AN324" s="535"/>
      <c r="AP324" s="540"/>
      <c r="AQ324" s="540"/>
    </row>
    <row r="325" spans="1:43" s="513" customFormat="1" ht="16.5" hidden="1" customHeight="1" outlineLevel="2">
      <c r="A325" s="584"/>
      <c r="B325" s="585" t="s">
        <v>1487</v>
      </c>
      <c r="C325" s="632">
        <f>'Sal._benef.'!$F$23*'Sal._benef.'!$F$10</f>
        <v>324.20000000000005</v>
      </c>
      <c r="D325" s="574">
        <f>C325</f>
        <v>324.20000000000005</v>
      </c>
      <c r="E325" s="574">
        <f t="shared" si="289"/>
        <v>324.20000000000005</v>
      </c>
      <c r="F325" s="574">
        <f t="shared" si="289"/>
        <v>324.20000000000005</v>
      </c>
      <c r="G325" s="574">
        <f t="shared" si="289"/>
        <v>324.20000000000005</v>
      </c>
      <c r="H325" s="574">
        <f t="shared" si="289"/>
        <v>324.20000000000005</v>
      </c>
      <c r="I325" s="574">
        <f t="shared" si="289"/>
        <v>324.20000000000005</v>
      </c>
      <c r="J325" s="574">
        <f t="shared" si="289"/>
        <v>324.20000000000005</v>
      </c>
      <c r="K325" s="574">
        <f t="shared" si="289"/>
        <v>324.20000000000005</v>
      </c>
      <c r="L325" s="574">
        <f t="shared" si="289"/>
        <v>324.20000000000005</v>
      </c>
      <c r="M325" s="574">
        <f t="shared" si="289"/>
        <v>324.20000000000005</v>
      </c>
      <c r="N325" s="574">
        <f t="shared" si="289"/>
        <v>324.20000000000005</v>
      </c>
      <c r="O325" s="574">
        <f t="shared" si="289"/>
        <v>324.20000000000005</v>
      </c>
      <c r="P325" s="574">
        <f t="shared" si="289"/>
        <v>324.20000000000005</v>
      </c>
      <c r="Q325" s="574">
        <f t="shared" si="289"/>
        <v>324.20000000000005</v>
      </c>
      <c r="R325" s="574">
        <f t="shared" si="289"/>
        <v>324.20000000000005</v>
      </c>
      <c r="S325" s="574">
        <f t="shared" si="289"/>
        <v>324.20000000000005</v>
      </c>
      <c r="T325" s="574">
        <f t="shared" si="289"/>
        <v>324.20000000000005</v>
      </c>
      <c r="U325" s="574">
        <f t="shared" si="290"/>
        <v>324.20000000000005</v>
      </c>
      <c r="V325" s="574">
        <f t="shared" si="290"/>
        <v>324.20000000000005</v>
      </c>
      <c r="W325" s="574">
        <f t="shared" si="290"/>
        <v>324.20000000000005</v>
      </c>
      <c r="X325" s="574">
        <f t="shared" si="290"/>
        <v>324.20000000000005</v>
      </c>
      <c r="Y325" s="574">
        <f t="shared" si="290"/>
        <v>324.20000000000005</v>
      </c>
      <c r="Z325" s="574">
        <f t="shared" si="290"/>
        <v>324.20000000000005</v>
      </c>
      <c r="AA325" s="574">
        <f t="shared" si="290"/>
        <v>324.20000000000005</v>
      </c>
      <c r="AB325" s="574">
        <f t="shared" si="290"/>
        <v>324.20000000000005</v>
      </c>
      <c r="AC325" s="574">
        <f t="shared" si="290"/>
        <v>324.20000000000005</v>
      </c>
      <c r="AD325" s="574">
        <f t="shared" si="290"/>
        <v>324.20000000000005</v>
      </c>
      <c r="AE325" s="574">
        <f t="shared" si="290"/>
        <v>324.20000000000005</v>
      </c>
      <c r="AF325" s="574">
        <f t="shared" si="290"/>
        <v>324.20000000000005</v>
      </c>
      <c r="AH325" s="538"/>
      <c r="AK325" s="531"/>
      <c r="AM325" s="594"/>
      <c r="AN325" s="535"/>
      <c r="AP325" s="540"/>
      <c r="AQ325" s="540"/>
    </row>
    <row r="326" spans="1:43" s="513" customFormat="1" ht="16.5" hidden="1" customHeight="1" outlineLevel="2">
      <c r="A326" s="584"/>
      <c r="B326" s="585" t="s">
        <v>1486</v>
      </c>
      <c r="C326" s="574">
        <v>0</v>
      </c>
      <c r="D326" s="574">
        <f>C326</f>
        <v>0</v>
      </c>
      <c r="E326" s="574">
        <f t="shared" si="289"/>
        <v>0</v>
      </c>
      <c r="F326" s="574">
        <f t="shared" si="289"/>
        <v>0</v>
      </c>
      <c r="G326" s="574">
        <f t="shared" si="289"/>
        <v>0</v>
      </c>
      <c r="H326" s="574">
        <f t="shared" si="289"/>
        <v>0</v>
      </c>
      <c r="I326" s="574">
        <f t="shared" si="289"/>
        <v>0</v>
      </c>
      <c r="J326" s="574">
        <f t="shared" si="289"/>
        <v>0</v>
      </c>
      <c r="K326" s="574">
        <f t="shared" si="289"/>
        <v>0</v>
      </c>
      <c r="L326" s="574">
        <f t="shared" si="289"/>
        <v>0</v>
      </c>
      <c r="M326" s="574">
        <f t="shared" si="289"/>
        <v>0</v>
      </c>
      <c r="N326" s="574">
        <f t="shared" si="289"/>
        <v>0</v>
      </c>
      <c r="O326" s="574">
        <f t="shared" si="289"/>
        <v>0</v>
      </c>
      <c r="P326" s="574">
        <f t="shared" si="289"/>
        <v>0</v>
      </c>
      <c r="Q326" s="574">
        <f t="shared" si="289"/>
        <v>0</v>
      </c>
      <c r="R326" s="574">
        <f t="shared" si="289"/>
        <v>0</v>
      </c>
      <c r="S326" s="574">
        <f t="shared" si="289"/>
        <v>0</v>
      </c>
      <c r="T326" s="574">
        <f t="shared" si="289"/>
        <v>0</v>
      </c>
      <c r="U326" s="574">
        <f t="shared" si="290"/>
        <v>0</v>
      </c>
      <c r="V326" s="574">
        <f t="shared" si="290"/>
        <v>0</v>
      </c>
      <c r="W326" s="574">
        <f t="shared" si="290"/>
        <v>0</v>
      </c>
      <c r="X326" s="574">
        <f t="shared" si="290"/>
        <v>0</v>
      </c>
      <c r="Y326" s="574">
        <f t="shared" si="290"/>
        <v>0</v>
      </c>
      <c r="Z326" s="574">
        <f t="shared" si="290"/>
        <v>0</v>
      </c>
      <c r="AA326" s="574">
        <f t="shared" si="290"/>
        <v>0</v>
      </c>
      <c r="AB326" s="574">
        <f t="shared" si="290"/>
        <v>0</v>
      </c>
      <c r="AC326" s="574">
        <f t="shared" si="290"/>
        <v>0</v>
      </c>
      <c r="AD326" s="574">
        <f t="shared" si="290"/>
        <v>0</v>
      </c>
      <c r="AE326" s="574">
        <f t="shared" si="290"/>
        <v>0</v>
      </c>
      <c r="AF326" s="574">
        <f t="shared" si="290"/>
        <v>0</v>
      </c>
      <c r="AH326" s="538"/>
      <c r="AK326" s="531"/>
      <c r="AM326" s="594"/>
      <c r="AN326" s="535"/>
      <c r="AP326" s="540"/>
      <c r="AQ326" s="540"/>
    </row>
    <row r="327" spans="1:43" s="513" customFormat="1" ht="16.5" hidden="1" customHeight="1" outlineLevel="2">
      <c r="A327" s="584"/>
      <c r="B327" s="572" t="s">
        <v>1367</v>
      </c>
      <c r="C327" s="632">
        <f>'Sal._benef.'!$E$23*'Sal._benef.'!$H$23</f>
        <v>477.33840000000004</v>
      </c>
      <c r="D327" s="574">
        <f>C327</f>
        <v>477.33840000000004</v>
      </c>
      <c r="E327" s="574">
        <f t="shared" si="289"/>
        <v>477.33840000000004</v>
      </c>
      <c r="F327" s="574">
        <f t="shared" si="289"/>
        <v>477.33840000000004</v>
      </c>
      <c r="G327" s="574">
        <f t="shared" si="289"/>
        <v>477.33840000000004</v>
      </c>
      <c r="H327" s="574">
        <f t="shared" si="289"/>
        <v>477.33840000000004</v>
      </c>
      <c r="I327" s="574">
        <f t="shared" si="289"/>
        <v>477.33840000000004</v>
      </c>
      <c r="J327" s="574">
        <f t="shared" si="289"/>
        <v>477.33840000000004</v>
      </c>
      <c r="K327" s="574">
        <f t="shared" si="289"/>
        <v>477.33840000000004</v>
      </c>
      <c r="L327" s="574">
        <f t="shared" si="289"/>
        <v>477.33840000000004</v>
      </c>
      <c r="M327" s="574">
        <f t="shared" si="289"/>
        <v>477.33840000000004</v>
      </c>
      <c r="N327" s="574">
        <f t="shared" si="289"/>
        <v>477.33840000000004</v>
      </c>
      <c r="O327" s="574">
        <f t="shared" si="289"/>
        <v>477.33840000000004</v>
      </c>
      <c r="P327" s="574">
        <f t="shared" si="289"/>
        <v>477.33840000000004</v>
      </c>
      <c r="Q327" s="574">
        <f t="shared" si="289"/>
        <v>477.33840000000004</v>
      </c>
      <c r="R327" s="574">
        <f t="shared" si="289"/>
        <v>477.33840000000004</v>
      </c>
      <c r="S327" s="574">
        <f t="shared" si="289"/>
        <v>477.33840000000004</v>
      </c>
      <c r="T327" s="574">
        <f t="shared" si="289"/>
        <v>477.33840000000004</v>
      </c>
      <c r="U327" s="574">
        <f t="shared" si="290"/>
        <v>477.33840000000004</v>
      </c>
      <c r="V327" s="574">
        <f t="shared" si="290"/>
        <v>477.33840000000004</v>
      </c>
      <c r="W327" s="574">
        <f t="shared" si="290"/>
        <v>477.33840000000004</v>
      </c>
      <c r="X327" s="574">
        <f t="shared" si="290"/>
        <v>477.33840000000004</v>
      </c>
      <c r="Y327" s="574">
        <f t="shared" si="290"/>
        <v>477.33840000000004</v>
      </c>
      <c r="Z327" s="574">
        <f t="shared" si="290"/>
        <v>477.33840000000004</v>
      </c>
      <c r="AA327" s="574">
        <f t="shared" si="290"/>
        <v>477.33840000000004</v>
      </c>
      <c r="AB327" s="574">
        <f t="shared" si="290"/>
        <v>477.33840000000004</v>
      </c>
      <c r="AC327" s="574">
        <f t="shared" si="290"/>
        <v>477.33840000000004</v>
      </c>
      <c r="AD327" s="574">
        <f t="shared" si="290"/>
        <v>477.33840000000004</v>
      </c>
      <c r="AE327" s="574">
        <f t="shared" si="290"/>
        <v>477.33840000000004</v>
      </c>
      <c r="AF327" s="574">
        <f t="shared" si="290"/>
        <v>477.33840000000004</v>
      </c>
      <c r="AH327" s="538"/>
      <c r="AK327" s="531"/>
      <c r="AM327" s="594"/>
      <c r="AN327" s="535"/>
      <c r="AP327" s="540"/>
      <c r="AQ327" s="540"/>
    </row>
    <row r="328" spans="1:43" s="546" customFormat="1" ht="16.5" hidden="1" customHeight="1" outlineLevel="2">
      <c r="A328" s="584"/>
      <c r="B328" s="569" t="s">
        <v>931</v>
      </c>
      <c r="C328" s="581">
        <f>C329*(C330+C332+C333+C334)</f>
        <v>9961.6</v>
      </c>
      <c r="D328" s="581">
        <f t="shared" ref="D328:AF328" si="291">D329*(D330+D332+D333+D334)</f>
        <v>9961.6</v>
      </c>
      <c r="E328" s="581">
        <f t="shared" si="291"/>
        <v>9961.6</v>
      </c>
      <c r="F328" s="581">
        <f t="shared" si="291"/>
        <v>19923.2</v>
      </c>
      <c r="G328" s="581">
        <f t="shared" si="291"/>
        <v>19923.2</v>
      </c>
      <c r="H328" s="581">
        <f t="shared" si="291"/>
        <v>19923.2</v>
      </c>
      <c r="I328" s="581">
        <f t="shared" si="291"/>
        <v>19923.2</v>
      </c>
      <c r="J328" s="581">
        <f t="shared" si="291"/>
        <v>19923.2</v>
      </c>
      <c r="K328" s="581">
        <f t="shared" si="291"/>
        <v>19923.2</v>
      </c>
      <c r="L328" s="581">
        <f t="shared" si="291"/>
        <v>19923.2</v>
      </c>
      <c r="M328" s="581">
        <f t="shared" si="291"/>
        <v>19923.2</v>
      </c>
      <c r="N328" s="581">
        <f t="shared" si="291"/>
        <v>19923.2</v>
      </c>
      <c r="O328" s="581">
        <f t="shared" si="291"/>
        <v>19923.2</v>
      </c>
      <c r="P328" s="581">
        <f t="shared" si="291"/>
        <v>19923.2</v>
      </c>
      <c r="Q328" s="581">
        <f t="shared" si="291"/>
        <v>19923.2</v>
      </c>
      <c r="R328" s="581">
        <f t="shared" si="291"/>
        <v>19923.2</v>
      </c>
      <c r="S328" s="581">
        <f t="shared" si="291"/>
        <v>19923.2</v>
      </c>
      <c r="T328" s="581">
        <f t="shared" si="291"/>
        <v>19923.2</v>
      </c>
      <c r="U328" s="581">
        <f t="shared" si="291"/>
        <v>19923.2</v>
      </c>
      <c r="V328" s="581">
        <f t="shared" si="291"/>
        <v>19923.2</v>
      </c>
      <c r="W328" s="581">
        <f t="shared" si="291"/>
        <v>19923.2</v>
      </c>
      <c r="X328" s="581">
        <f t="shared" si="291"/>
        <v>19923.2</v>
      </c>
      <c r="Y328" s="581">
        <f t="shared" si="291"/>
        <v>19923.2</v>
      </c>
      <c r="Z328" s="581">
        <f t="shared" si="291"/>
        <v>19923.2</v>
      </c>
      <c r="AA328" s="581">
        <f t="shared" si="291"/>
        <v>19923.2</v>
      </c>
      <c r="AB328" s="581">
        <f t="shared" si="291"/>
        <v>19923.2</v>
      </c>
      <c r="AC328" s="581">
        <f t="shared" si="291"/>
        <v>19923.2</v>
      </c>
      <c r="AD328" s="581">
        <f t="shared" si="291"/>
        <v>19923.2</v>
      </c>
      <c r="AE328" s="581">
        <f t="shared" si="291"/>
        <v>19923.2</v>
      </c>
      <c r="AF328" s="581">
        <f t="shared" si="291"/>
        <v>19923.2</v>
      </c>
      <c r="AH328" s="571"/>
      <c r="AK328" s="531"/>
      <c r="AM328" s="594"/>
      <c r="AN328" s="535"/>
      <c r="AP328" s="549"/>
      <c r="AQ328" s="549"/>
    </row>
    <row r="329" spans="1:43" s="586" customFormat="1" ht="16.5" hidden="1" customHeight="1" outlineLevel="2">
      <c r="A329" s="584"/>
      <c r="B329" s="585" t="s">
        <v>805</v>
      </c>
      <c r="C329" s="554">
        <v>4</v>
      </c>
      <c r="D329" s="554">
        <v>4</v>
      </c>
      <c r="E329" s="554">
        <v>4</v>
      </c>
      <c r="F329" s="554">
        <v>8</v>
      </c>
      <c r="G329" s="554">
        <v>8</v>
      </c>
      <c r="H329" s="554">
        <v>8</v>
      </c>
      <c r="I329" s="554">
        <v>8</v>
      </c>
      <c r="J329" s="554">
        <v>8</v>
      </c>
      <c r="K329" s="554">
        <v>8</v>
      </c>
      <c r="L329" s="554">
        <v>8</v>
      </c>
      <c r="M329" s="554">
        <v>8</v>
      </c>
      <c r="N329" s="554">
        <v>8</v>
      </c>
      <c r="O329" s="554">
        <v>8</v>
      </c>
      <c r="P329" s="554">
        <v>8</v>
      </c>
      <c r="Q329" s="554">
        <v>8</v>
      </c>
      <c r="R329" s="554">
        <v>8</v>
      </c>
      <c r="S329" s="554">
        <v>8</v>
      </c>
      <c r="T329" s="554">
        <v>8</v>
      </c>
      <c r="U329" s="554">
        <v>8</v>
      </c>
      <c r="V329" s="554">
        <v>8</v>
      </c>
      <c r="W329" s="554">
        <v>8</v>
      </c>
      <c r="X329" s="554">
        <v>8</v>
      </c>
      <c r="Y329" s="554">
        <v>8</v>
      </c>
      <c r="Z329" s="554">
        <v>8</v>
      </c>
      <c r="AA329" s="554">
        <v>8</v>
      </c>
      <c r="AB329" s="554">
        <v>8</v>
      </c>
      <c r="AC329" s="554">
        <v>8</v>
      </c>
      <c r="AD329" s="554">
        <v>8</v>
      </c>
      <c r="AE329" s="554">
        <v>8</v>
      </c>
      <c r="AF329" s="554">
        <v>8</v>
      </c>
      <c r="AH329" s="587"/>
      <c r="AK329" s="588"/>
      <c r="AM329" s="624"/>
      <c r="AN329" s="590"/>
      <c r="AP329" s="591"/>
      <c r="AQ329" s="591"/>
    </row>
    <row r="330" spans="1:43" s="586" customFormat="1" ht="16.5" hidden="1" customHeight="1" outlineLevel="2">
      <c r="A330" s="584"/>
      <c r="B330" s="585" t="s">
        <v>928</v>
      </c>
      <c r="C330" s="574">
        <f>'Sal._benef.'!$D$19</f>
        <v>1842</v>
      </c>
      <c r="D330" s="632">
        <f t="shared" ref="D330:S334" si="292">C330</f>
        <v>1842</v>
      </c>
      <c r="E330" s="632">
        <f t="shared" si="292"/>
        <v>1842</v>
      </c>
      <c r="F330" s="632">
        <f t="shared" si="292"/>
        <v>1842</v>
      </c>
      <c r="G330" s="632">
        <f t="shared" si="292"/>
        <v>1842</v>
      </c>
      <c r="H330" s="632">
        <f t="shared" si="292"/>
        <v>1842</v>
      </c>
      <c r="I330" s="632">
        <f t="shared" si="292"/>
        <v>1842</v>
      </c>
      <c r="J330" s="632">
        <f t="shared" si="292"/>
        <v>1842</v>
      </c>
      <c r="K330" s="632">
        <f t="shared" si="292"/>
        <v>1842</v>
      </c>
      <c r="L330" s="632">
        <f t="shared" si="292"/>
        <v>1842</v>
      </c>
      <c r="M330" s="632">
        <f t="shared" si="292"/>
        <v>1842</v>
      </c>
      <c r="N330" s="632">
        <f t="shared" si="292"/>
        <v>1842</v>
      </c>
      <c r="O330" s="632">
        <f t="shared" si="292"/>
        <v>1842</v>
      </c>
      <c r="P330" s="632">
        <f t="shared" si="292"/>
        <v>1842</v>
      </c>
      <c r="Q330" s="632">
        <f t="shared" si="292"/>
        <v>1842</v>
      </c>
      <c r="R330" s="632">
        <f t="shared" si="292"/>
        <v>1842</v>
      </c>
      <c r="S330" s="632">
        <f t="shared" si="292"/>
        <v>1842</v>
      </c>
      <c r="T330" s="632">
        <f t="shared" ref="T330:AF334" si="293">S330</f>
        <v>1842</v>
      </c>
      <c r="U330" s="632">
        <f t="shared" si="293"/>
        <v>1842</v>
      </c>
      <c r="V330" s="632">
        <f t="shared" si="293"/>
        <v>1842</v>
      </c>
      <c r="W330" s="632">
        <f t="shared" si="293"/>
        <v>1842</v>
      </c>
      <c r="X330" s="632">
        <f t="shared" si="293"/>
        <v>1842</v>
      </c>
      <c r="Y330" s="632">
        <f t="shared" si="293"/>
        <v>1842</v>
      </c>
      <c r="Z330" s="632">
        <f t="shared" si="293"/>
        <v>1842</v>
      </c>
      <c r="AA330" s="632">
        <f t="shared" si="293"/>
        <v>1842</v>
      </c>
      <c r="AB330" s="632">
        <f t="shared" si="293"/>
        <v>1842</v>
      </c>
      <c r="AC330" s="632">
        <f t="shared" si="293"/>
        <v>1842</v>
      </c>
      <c r="AD330" s="632">
        <f t="shared" si="293"/>
        <v>1842</v>
      </c>
      <c r="AE330" s="632">
        <f t="shared" si="293"/>
        <v>1842</v>
      </c>
      <c r="AF330" s="632">
        <f t="shared" si="293"/>
        <v>1842</v>
      </c>
      <c r="AH330" s="587"/>
      <c r="AK330" s="588"/>
      <c r="AM330" s="624"/>
      <c r="AN330" s="590"/>
      <c r="AP330" s="591"/>
      <c r="AQ330" s="591"/>
    </row>
    <row r="331" spans="1:43" s="586" customFormat="1" ht="16.5" hidden="1" customHeight="1" outlineLevel="2">
      <c r="A331" s="584"/>
      <c r="B331" s="585" t="s">
        <v>929</v>
      </c>
      <c r="C331" s="632">
        <f>'Sal._benef.'!$F$10</f>
        <v>1621</v>
      </c>
      <c r="D331" s="632">
        <f t="shared" si="292"/>
        <v>1621</v>
      </c>
      <c r="E331" s="632">
        <f t="shared" si="292"/>
        <v>1621</v>
      </c>
      <c r="F331" s="632">
        <f t="shared" si="292"/>
        <v>1621</v>
      </c>
      <c r="G331" s="632">
        <f t="shared" si="292"/>
        <v>1621</v>
      </c>
      <c r="H331" s="632">
        <f t="shared" si="292"/>
        <v>1621</v>
      </c>
      <c r="I331" s="632">
        <f t="shared" si="292"/>
        <v>1621</v>
      </c>
      <c r="J331" s="632">
        <f t="shared" si="292"/>
        <v>1621</v>
      </c>
      <c r="K331" s="632">
        <f t="shared" si="292"/>
        <v>1621</v>
      </c>
      <c r="L331" s="632">
        <f t="shared" si="292"/>
        <v>1621</v>
      </c>
      <c r="M331" s="632">
        <f t="shared" si="292"/>
        <v>1621</v>
      </c>
      <c r="N331" s="632">
        <f t="shared" si="292"/>
        <v>1621</v>
      </c>
      <c r="O331" s="632">
        <f t="shared" si="292"/>
        <v>1621</v>
      </c>
      <c r="P331" s="632">
        <f t="shared" si="292"/>
        <v>1621</v>
      </c>
      <c r="Q331" s="632">
        <f t="shared" si="292"/>
        <v>1621</v>
      </c>
      <c r="R331" s="632">
        <f t="shared" si="292"/>
        <v>1621</v>
      </c>
      <c r="S331" s="632">
        <f t="shared" si="292"/>
        <v>1621</v>
      </c>
      <c r="T331" s="632">
        <f t="shared" si="293"/>
        <v>1621</v>
      </c>
      <c r="U331" s="632">
        <f t="shared" si="293"/>
        <v>1621</v>
      </c>
      <c r="V331" s="632">
        <f t="shared" si="293"/>
        <v>1621</v>
      </c>
      <c r="W331" s="632">
        <f t="shared" si="293"/>
        <v>1621</v>
      </c>
      <c r="X331" s="632">
        <f t="shared" si="293"/>
        <v>1621</v>
      </c>
      <c r="Y331" s="632">
        <f t="shared" si="293"/>
        <v>1621</v>
      </c>
      <c r="Z331" s="632">
        <f t="shared" si="293"/>
        <v>1621</v>
      </c>
      <c r="AA331" s="632">
        <f t="shared" si="293"/>
        <v>1621</v>
      </c>
      <c r="AB331" s="632">
        <f t="shared" si="293"/>
        <v>1621</v>
      </c>
      <c r="AC331" s="632">
        <f t="shared" si="293"/>
        <v>1621</v>
      </c>
      <c r="AD331" s="632">
        <f t="shared" si="293"/>
        <v>1621</v>
      </c>
      <c r="AE331" s="632">
        <f t="shared" si="293"/>
        <v>1621</v>
      </c>
      <c r="AF331" s="632">
        <f t="shared" si="293"/>
        <v>1621</v>
      </c>
      <c r="AH331" s="587"/>
      <c r="AK331" s="588"/>
      <c r="AM331" s="624"/>
      <c r="AN331" s="590"/>
      <c r="AP331" s="591"/>
      <c r="AQ331" s="591"/>
    </row>
    <row r="332" spans="1:43" s="586" customFormat="1" ht="16.5" hidden="1" customHeight="1" outlineLevel="2">
      <c r="A332" s="584"/>
      <c r="B332" s="585" t="s">
        <v>1487</v>
      </c>
      <c r="C332" s="574">
        <f>'Sal._benef.'!$F$19*'Sal._benef.'!$F$10</f>
        <v>648.40000000000009</v>
      </c>
      <c r="D332" s="632">
        <f t="shared" si="292"/>
        <v>648.40000000000009</v>
      </c>
      <c r="E332" s="632">
        <f t="shared" si="292"/>
        <v>648.40000000000009</v>
      </c>
      <c r="F332" s="632">
        <f t="shared" si="292"/>
        <v>648.40000000000009</v>
      </c>
      <c r="G332" s="632">
        <f t="shared" si="292"/>
        <v>648.40000000000009</v>
      </c>
      <c r="H332" s="632">
        <f t="shared" si="292"/>
        <v>648.40000000000009</v>
      </c>
      <c r="I332" s="632">
        <f t="shared" si="292"/>
        <v>648.40000000000009</v>
      </c>
      <c r="J332" s="632">
        <f t="shared" si="292"/>
        <v>648.40000000000009</v>
      </c>
      <c r="K332" s="632">
        <f t="shared" si="292"/>
        <v>648.40000000000009</v>
      </c>
      <c r="L332" s="632">
        <f t="shared" si="292"/>
        <v>648.40000000000009</v>
      </c>
      <c r="M332" s="632">
        <f t="shared" si="292"/>
        <v>648.40000000000009</v>
      </c>
      <c r="N332" s="632">
        <f t="shared" si="292"/>
        <v>648.40000000000009</v>
      </c>
      <c r="O332" s="632">
        <f t="shared" si="292"/>
        <v>648.40000000000009</v>
      </c>
      <c r="P332" s="632">
        <f t="shared" si="292"/>
        <v>648.40000000000009</v>
      </c>
      <c r="Q332" s="632">
        <f t="shared" si="292"/>
        <v>648.40000000000009</v>
      </c>
      <c r="R332" s="632">
        <f t="shared" si="292"/>
        <v>648.40000000000009</v>
      </c>
      <c r="S332" s="632">
        <f t="shared" si="292"/>
        <v>648.40000000000009</v>
      </c>
      <c r="T332" s="632">
        <f t="shared" si="293"/>
        <v>648.40000000000009</v>
      </c>
      <c r="U332" s="632">
        <f t="shared" si="293"/>
        <v>648.40000000000009</v>
      </c>
      <c r="V332" s="632">
        <f t="shared" si="293"/>
        <v>648.40000000000009</v>
      </c>
      <c r="W332" s="632">
        <f t="shared" si="293"/>
        <v>648.40000000000009</v>
      </c>
      <c r="X332" s="632">
        <f t="shared" si="293"/>
        <v>648.40000000000009</v>
      </c>
      <c r="Y332" s="632">
        <f t="shared" si="293"/>
        <v>648.40000000000009</v>
      </c>
      <c r="Z332" s="632">
        <f t="shared" si="293"/>
        <v>648.40000000000009</v>
      </c>
      <c r="AA332" s="632">
        <f t="shared" si="293"/>
        <v>648.40000000000009</v>
      </c>
      <c r="AB332" s="632">
        <f t="shared" si="293"/>
        <v>648.40000000000009</v>
      </c>
      <c r="AC332" s="632">
        <f t="shared" si="293"/>
        <v>648.40000000000009</v>
      </c>
      <c r="AD332" s="632">
        <f t="shared" si="293"/>
        <v>648.40000000000009</v>
      </c>
      <c r="AE332" s="632">
        <f t="shared" si="293"/>
        <v>648.40000000000009</v>
      </c>
      <c r="AF332" s="632">
        <f t="shared" si="293"/>
        <v>648.40000000000009</v>
      </c>
      <c r="AH332" s="587"/>
      <c r="AK332" s="588"/>
      <c r="AM332" s="624"/>
      <c r="AN332" s="590"/>
      <c r="AP332" s="591"/>
      <c r="AQ332" s="591"/>
    </row>
    <row r="333" spans="1:43" s="513" customFormat="1" ht="16.5" hidden="1" customHeight="1" outlineLevel="2">
      <c r="A333" s="584"/>
      <c r="B333" s="585" t="s">
        <v>1486</v>
      </c>
      <c r="C333" s="574">
        <v>0</v>
      </c>
      <c r="D333" s="574">
        <f t="shared" si="292"/>
        <v>0</v>
      </c>
      <c r="E333" s="574">
        <f t="shared" si="292"/>
        <v>0</v>
      </c>
      <c r="F333" s="574">
        <f t="shared" si="292"/>
        <v>0</v>
      </c>
      <c r="G333" s="574">
        <f t="shared" si="292"/>
        <v>0</v>
      </c>
      <c r="H333" s="574">
        <f t="shared" si="292"/>
        <v>0</v>
      </c>
      <c r="I333" s="574">
        <f t="shared" si="292"/>
        <v>0</v>
      </c>
      <c r="J333" s="574">
        <f t="shared" si="292"/>
        <v>0</v>
      </c>
      <c r="K333" s="574">
        <f t="shared" si="292"/>
        <v>0</v>
      </c>
      <c r="L333" s="574">
        <f t="shared" si="292"/>
        <v>0</v>
      </c>
      <c r="M333" s="574">
        <f t="shared" si="292"/>
        <v>0</v>
      </c>
      <c r="N333" s="574">
        <f t="shared" si="292"/>
        <v>0</v>
      </c>
      <c r="O333" s="574">
        <f t="shared" si="292"/>
        <v>0</v>
      </c>
      <c r="P333" s="574">
        <f t="shared" si="292"/>
        <v>0</v>
      </c>
      <c r="Q333" s="574">
        <f t="shared" si="292"/>
        <v>0</v>
      </c>
      <c r="R333" s="574">
        <f t="shared" si="292"/>
        <v>0</v>
      </c>
      <c r="S333" s="574">
        <f t="shared" si="292"/>
        <v>0</v>
      </c>
      <c r="T333" s="574">
        <f t="shared" si="293"/>
        <v>0</v>
      </c>
      <c r="U333" s="574">
        <f t="shared" si="293"/>
        <v>0</v>
      </c>
      <c r="V333" s="574">
        <f t="shared" si="293"/>
        <v>0</v>
      </c>
      <c r="W333" s="574">
        <f t="shared" si="293"/>
        <v>0</v>
      </c>
      <c r="X333" s="574">
        <f t="shared" si="293"/>
        <v>0</v>
      </c>
      <c r="Y333" s="574">
        <f t="shared" si="293"/>
        <v>0</v>
      </c>
      <c r="Z333" s="574">
        <f t="shared" si="293"/>
        <v>0</v>
      </c>
      <c r="AA333" s="574">
        <f t="shared" si="293"/>
        <v>0</v>
      </c>
      <c r="AB333" s="574">
        <f t="shared" si="293"/>
        <v>0</v>
      </c>
      <c r="AC333" s="574">
        <f t="shared" si="293"/>
        <v>0</v>
      </c>
      <c r="AD333" s="574">
        <f t="shared" si="293"/>
        <v>0</v>
      </c>
      <c r="AE333" s="574">
        <f t="shared" si="293"/>
        <v>0</v>
      </c>
      <c r="AF333" s="574">
        <f t="shared" si="293"/>
        <v>0</v>
      </c>
      <c r="AH333" s="538"/>
      <c r="AK333" s="531"/>
      <c r="AM333" s="594"/>
      <c r="AN333" s="535"/>
      <c r="AP333" s="540"/>
      <c r="AQ333" s="540"/>
    </row>
    <row r="334" spans="1:43" s="513" customFormat="1" ht="16.5" hidden="1" customHeight="1" outlineLevel="2">
      <c r="A334" s="584"/>
      <c r="B334" s="572" t="s">
        <v>1367</v>
      </c>
      <c r="C334" s="574">
        <v>0</v>
      </c>
      <c r="D334" s="574">
        <f t="shared" si="292"/>
        <v>0</v>
      </c>
      <c r="E334" s="574">
        <f t="shared" si="292"/>
        <v>0</v>
      </c>
      <c r="F334" s="574">
        <f t="shared" si="292"/>
        <v>0</v>
      </c>
      <c r="G334" s="574">
        <f t="shared" si="292"/>
        <v>0</v>
      </c>
      <c r="H334" s="574">
        <f t="shared" si="292"/>
        <v>0</v>
      </c>
      <c r="I334" s="574">
        <f t="shared" si="292"/>
        <v>0</v>
      </c>
      <c r="J334" s="574">
        <f t="shared" si="292"/>
        <v>0</v>
      </c>
      <c r="K334" s="574">
        <f t="shared" si="292"/>
        <v>0</v>
      </c>
      <c r="L334" s="574">
        <f t="shared" si="292"/>
        <v>0</v>
      </c>
      <c r="M334" s="574">
        <f t="shared" si="292"/>
        <v>0</v>
      </c>
      <c r="N334" s="574">
        <f t="shared" si="292"/>
        <v>0</v>
      </c>
      <c r="O334" s="574">
        <f t="shared" si="292"/>
        <v>0</v>
      </c>
      <c r="P334" s="574">
        <f t="shared" si="292"/>
        <v>0</v>
      </c>
      <c r="Q334" s="574">
        <f t="shared" si="292"/>
        <v>0</v>
      </c>
      <c r="R334" s="574">
        <f t="shared" si="292"/>
        <v>0</v>
      </c>
      <c r="S334" s="574">
        <f t="shared" si="292"/>
        <v>0</v>
      </c>
      <c r="T334" s="574">
        <f t="shared" si="293"/>
        <v>0</v>
      </c>
      <c r="U334" s="574">
        <f t="shared" si="293"/>
        <v>0</v>
      </c>
      <c r="V334" s="574">
        <f t="shared" si="293"/>
        <v>0</v>
      </c>
      <c r="W334" s="574">
        <f t="shared" si="293"/>
        <v>0</v>
      </c>
      <c r="X334" s="574">
        <f t="shared" si="293"/>
        <v>0</v>
      </c>
      <c r="Y334" s="574">
        <f t="shared" si="293"/>
        <v>0</v>
      </c>
      <c r="Z334" s="574">
        <f t="shared" si="293"/>
        <v>0</v>
      </c>
      <c r="AA334" s="574">
        <f t="shared" si="293"/>
        <v>0</v>
      </c>
      <c r="AB334" s="574">
        <f t="shared" si="293"/>
        <v>0</v>
      </c>
      <c r="AC334" s="574">
        <f t="shared" si="293"/>
        <v>0</v>
      </c>
      <c r="AD334" s="574">
        <f t="shared" si="293"/>
        <v>0</v>
      </c>
      <c r="AE334" s="574">
        <f t="shared" si="293"/>
        <v>0</v>
      </c>
      <c r="AF334" s="574">
        <f t="shared" si="293"/>
        <v>0</v>
      </c>
      <c r="AH334" s="538"/>
      <c r="AK334" s="531"/>
      <c r="AM334" s="594"/>
      <c r="AN334" s="535"/>
      <c r="AP334" s="540"/>
      <c r="AQ334" s="540"/>
    </row>
    <row r="335" spans="1:43" s="546" customFormat="1" ht="16.5" hidden="1" customHeight="1" outlineLevel="2">
      <c r="A335" s="584"/>
      <c r="B335" s="569" t="s">
        <v>932</v>
      </c>
      <c r="C335" s="581">
        <f>C336*(C337+C339+C340+C341)</f>
        <v>0</v>
      </c>
      <c r="D335" s="581">
        <f t="shared" ref="D335:AF335" si="294">D336*(D337+D339+D340+D341)</f>
        <v>0</v>
      </c>
      <c r="E335" s="581">
        <f t="shared" si="294"/>
        <v>0</v>
      </c>
      <c r="F335" s="581">
        <f t="shared" si="294"/>
        <v>0</v>
      </c>
      <c r="G335" s="581">
        <f t="shared" si="294"/>
        <v>0</v>
      </c>
      <c r="H335" s="581">
        <f t="shared" si="294"/>
        <v>0</v>
      </c>
      <c r="I335" s="581">
        <f t="shared" si="294"/>
        <v>0</v>
      </c>
      <c r="J335" s="581">
        <f t="shared" si="294"/>
        <v>0</v>
      </c>
      <c r="K335" s="581">
        <f t="shared" si="294"/>
        <v>0</v>
      </c>
      <c r="L335" s="581">
        <f t="shared" si="294"/>
        <v>0</v>
      </c>
      <c r="M335" s="581">
        <f t="shared" si="294"/>
        <v>0</v>
      </c>
      <c r="N335" s="581">
        <f t="shared" si="294"/>
        <v>0</v>
      </c>
      <c r="O335" s="581">
        <f t="shared" si="294"/>
        <v>0</v>
      </c>
      <c r="P335" s="581">
        <f t="shared" si="294"/>
        <v>0</v>
      </c>
      <c r="Q335" s="581">
        <f t="shared" si="294"/>
        <v>0</v>
      </c>
      <c r="R335" s="581">
        <f t="shared" si="294"/>
        <v>0</v>
      </c>
      <c r="S335" s="581">
        <f t="shared" si="294"/>
        <v>0</v>
      </c>
      <c r="T335" s="581">
        <f t="shared" si="294"/>
        <v>0</v>
      </c>
      <c r="U335" s="581">
        <f t="shared" si="294"/>
        <v>0</v>
      </c>
      <c r="V335" s="581">
        <f t="shared" si="294"/>
        <v>0</v>
      </c>
      <c r="W335" s="581">
        <f t="shared" si="294"/>
        <v>0</v>
      </c>
      <c r="X335" s="581">
        <f t="shared" si="294"/>
        <v>0</v>
      </c>
      <c r="Y335" s="581">
        <f t="shared" si="294"/>
        <v>0</v>
      </c>
      <c r="Z335" s="581">
        <f t="shared" si="294"/>
        <v>0</v>
      </c>
      <c r="AA335" s="581">
        <f t="shared" si="294"/>
        <v>0</v>
      </c>
      <c r="AB335" s="581">
        <f t="shared" si="294"/>
        <v>0</v>
      </c>
      <c r="AC335" s="581">
        <f t="shared" si="294"/>
        <v>0</v>
      </c>
      <c r="AD335" s="581">
        <f t="shared" si="294"/>
        <v>0</v>
      </c>
      <c r="AE335" s="581">
        <f t="shared" si="294"/>
        <v>0</v>
      </c>
      <c r="AF335" s="581">
        <f t="shared" si="294"/>
        <v>0</v>
      </c>
      <c r="AH335" s="571"/>
      <c r="AK335" s="531"/>
      <c r="AM335" s="594"/>
      <c r="AN335" s="535"/>
      <c r="AP335" s="549"/>
      <c r="AQ335" s="549"/>
    </row>
    <row r="336" spans="1:43" s="513" customFormat="1" ht="16.5" hidden="1" customHeight="1" outlineLevel="2">
      <c r="A336" s="584"/>
      <c r="B336" s="572" t="s">
        <v>805</v>
      </c>
      <c r="C336" s="553">
        <v>0</v>
      </c>
      <c r="D336" s="553">
        <v>0</v>
      </c>
      <c r="E336" s="553">
        <v>0</v>
      </c>
      <c r="F336" s="553">
        <v>0</v>
      </c>
      <c r="G336" s="553">
        <v>0</v>
      </c>
      <c r="H336" s="553">
        <v>0</v>
      </c>
      <c r="I336" s="553">
        <v>0</v>
      </c>
      <c r="J336" s="553">
        <v>0</v>
      </c>
      <c r="K336" s="553">
        <v>0</v>
      </c>
      <c r="L336" s="553">
        <v>0</v>
      </c>
      <c r="M336" s="553">
        <v>0</v>
      </c>
      <c r="N336" s="553">
        <v>0</v>
      </c>
      <c r="O336" s="553">
        <v>0</v>
      </c>
      <c r="P336" s="553">
        <v>0</v>
      </c>
      <c r="Q336" s="553">
        <v>0</v>
      </c>
      <c r="R336" s="553">
        <v>0</v>
      </c>
      <c r="S336" s="553">
        <v>0</v>
      </c>
      <c r="T336" s="553">
        <v>0</v>
      </c>
      <c r="U336" s="553">
        <v>0</v>
      </c>
      <c r="V336" s="553">
        <v>0</v>
      </c>
      <c r="W336" s="553">
        <v>0</v>
      </c>
      <c r="X336" s="553">
        <v>0</v>
      </c>
      <c r="Y336" s="553">
        <v>0</v>
      </c>
      <c r="Z336" s="553">
        <v>0</v>
      </c>
      <c r="AA336" s="553">
        <v>0</v>
      </c>
      <c r="AB336" s="553">
        <v>0</v>
      </c>
      <c r="AC336" s="553">
        <v>0</v>
      </c>
      <c r="AD336" s="553">
        <v>0</v>
      </c>
      <c r="AE336" s="553">
        <v>0</v>
      </c>
      <c r="AF336" s="553">
        <v>0</v>
      </c>
      <c r="AH336" s="538"/>
      <c r="AK336" s="531"/>
      <c r="AM336" s="594"/>
      <c r="AN336" s="535"/>
      <c r="AP336" s="540"/>
      <c r="AQ336" s="540"/>
    </row>
    <row r="337" spans="1:43" s="513" customFormat="1" ht="16.5" hidden="1" customHeight="1" outlineLevel="2">
      <c r="A337" s="584"/>
      <c r="B337" s="572" t="s">
        <v>928</v>
      </c>
      <c r="C337" s="574">
        <f>'Sal._benef.'!$D$19</f>
        <v>1842</v>
      </c>
      <c r="D337" s="574">
        <f>C337</f>
        <v>1842</v>
      </c>
      <c r="E337" s="574">
        <f t="shared" ref="E337:T341" si="295">D337</f>
        <v>1842</v>
      </c>
      <c r="F337" s="574">
        <f t="shared" si="295"/>
        <v>1842</v>
      </c>
      <c r="G337" s="574">
        <f t="shared" si="295"/>
        <v>1842</v>
      </c>
      <c r="H337" s="574">
        <f t="shared" si="295"/>
        <v>1842</v>
      </c>
      <c r="I337" s="574">
        <f t="shared" si="295"/>
        <v>1842</v>
      </c>
      <c r="J337" s="574">
        <f t="shared" si="295"/>
        <v>1842</v>
      </c>
      <c r="K337" s="574">
        <f t="shared" si="295"/>
        <v>1842</v>
      </c>
      <c r="L337" s="574">
        <f t="shared" si="295"/>
        <v>1842</v>
      </c>
      <c r="M337" s="574">
        <f t="shared" si="295"/>
        <v>1842</v>
      </c>
      <c r="N337" s="574">
        <f t="shared" si="295"/>
        <v>1842</v>
      </c>
      <c r="O337" s="574">
        <f t="shared" si="295"/>
        <v>1842</v>
      </c>
      <c r="P337" s="574">
        <f t="shared" si="295"/>
        <v>1842</v>
      </c>
      <c r="Q337" s="574">
        <f t="shared" si="295"/>
        <v>1842</v>
      </c>
      <c r="R337" s="574">
        <f t="shared" si="295"/>
        <v>1842</v>
      </c>
      <c r="S337" s="574">
        <f t="shared" si="295"/>
        <v>1842</v>
      </c>
      <c r="T337" s="574">
        <f t="shared" si="295"/>
        <v>1842</v>
      </c>
      <c r="U337" s="574">
        <f t="shared" ref="U337:AF341" si="296">T337</f>
        <v>1842</v>
      </c>
      <c r="V337" s="574">
        <f t="shared" si="296"/>
        <v>1842</v>
      </c>
      <c r="W337" s="574">
        <f t="shared" si="296"/>
        <v>1842</v>
      </c>
      <c r="X337" s="574">
        <f t="shared" si="296"/>
        <v>1842</v>
      </c>
      <c r="Y337" s="574">
        <f t="shared" si="296"/>
        <v>1842</v>
      </c>
      <c r="Z337" s="574">
        <f t="shared" si="296"/>
        <v>1842</v>
      </c>
      <c r="AA337" s="574">
        <f t="shared" si="296"/>
        <v>1842</v>
      </c>
      <c r="AB337" s="574">
        <f t="shared" si="296"/>
        <v>1842</v>
      </c>
      <c r="AC337" s="574">
        <f t="shared" si="296"/>
        <v>1842</v>
      </c>
      <c r="AD337" s="574">
        <f t="shared" si="296"/>
        <v>1842</v>
      </c>
      <c r="AE337" s="574">
        <f t="shared" si="296"/>
        <v>1842</v>
      </c>
      <c r="AF337" s="574">
        <f t="shared" si="296"/>
        <v>1842</v>
      </c>
      <c r="AH337" s="538"/>
      <c r="AK337" s="531"/>
      <c r="AM337" s="594"/>
      <c r="AN337" s="535"/>
      <c r="AP337" s="540"/>
      <c r="AQ337" s="540"/>
    </row>
    <row r="338" spans="1:43" s="513" customFormat="1" ht="16.5" hidden="1" customHeight="1" outlineLevel="2">
      <c r="A338" s="584"/>
      <c r="B338" s="572" t="s">
        <v>929</v>
      </c>
      <c r="C338" s="632">
        <f>'Sal._benef.'!$F$10</f>
        <v>1621</v>
      </c>
      <c r="D338" s="574">
        <f>C338</f>
        <v>1621</v>
      </c>
      <c r="E338" s="574">
        <f t="shared" si="295"/>
        <v>1621</v>
      </c>
      <c r="F338" s="574">
        <f t="shared" si="295"/>
        <v>1621</v>
      </c>
      <c r="G338" s="574">
        <f t="shared" si="295"/>
        <v>1621</v>
      </c>
      <c r="H338" s="574">
        <f t="shared" si="295"/>
        <v>1621</v>
      </c>
      <c r="I338" s="574">
        <f t="shared" si="295"/>
        <v>1621</v>
      </c>
      <c r="J338" s="574">
        <f t="shared" si="295"/>
        <v>1621</v>
      </c>
      <c r="K338" s="574">
        <f t="shared" si="295"/>
        <v>1621</v>
      </c>
      <c r="L338" s="574">
        <f t="shared" si="295"/>
        <v>1621</v>
      </c>
      <c r="M338" s="574">
        <f t="shared" si="295"/>
        <v>1621</v>
      </c>
      <c r="N338" s="574">
        <f t="shared" si="295"/>
        <v>1621</v>
      </c>
      <c r="O338" s="574">
        <f t="shared" si="295"/>
        <v>1621</v>
      </c>
      <c r="P338" s="574">
        <f t="shared" si="295"/>
        <v>1621</v>
      </c>
      <c r="Q338" s="574">
        <f t="shared" si="295"/>
        <v>1621</v>
      </c>
      <c r="R338" s="574">
        <f t="shared" si="295"/>
        <v>1621</v>
      </c>
      <c r="S338" s="574">
        <f t="shared" si="295"/>
        <v>1621</v>
      </c>
      <c r="T338" s="574">
        <f t="shared" si="295"/>
        <v>1621</v>
      </c>
      <c r="U338" s="574">
        <f t="shared" si="296"/>
        <v>1621</v>
      </c>
      <c r="V338" s="574">
        <f t="shared" si="296"/>
        <v>1621</v>
      </c>
      <c r="W338" s="574">
        <f t="shared" si="296"/>
        <v>1621</v>
      </c>
      <c r="X338" s="574">
        <f t="shared" si="296"/>
        <v>1621</v>
      </c>
      <c r="Y338" s="574">
        <f t="shared" si="296"/>
        <v>1621</v>
      </c>
      <c r="Z338" s="574">
        <f t="shared" si="296"/>
        <v>1621</v>
      </c>
      <c r="AA338" s="574">
        <f t="shared" si="296"/>
        <v>1621</v>
      </c>
      <c r="AB338" s="574">
        <f t="shared" si="296"/>
        <v>1621</v>
      </c>
      <c r="AC338" s="574">
        <f t="shared" si="296"/>
        <v>1621</v>
      </c>
      <c r="AD338" s="574">
        <f t="shared" si="296"/>
        <v>1621</v>
      </c>
      <c r="AE338" s="574">
        <f t="shared" si="296"/>
        <v>1621</v>
      </c>
      <c r="AF338" s="574">
        <f t="shared" si="296"/>
        <v>1621</v>
      </c>
      <c r="AH338" s="538"/>
      <c r="AK338" s="531"/>
      <c r="AM338" s="594"/>
      <c r="AN338" s="535"/>
      <c r="AP338" s="540"/>
      <c r="AQ338" s="540"/>
    </row>
    <row r="339" spans="1:43" s="513" customFormat="1" ht="16.5" hidden="1" customHeight="1" outlineLevel="2">
      <c r="A339" s="584"/>
      <c r="B339" s="585" t="s">
        <v>1487</v>
      </c>
      <c r="C339" s="574">
        <f>'Sal._benef.'!$F$19*'Sal._benef.'!$F$10</f>
        <v>648.40000000000009</v>
      </c>
      <c r="D339" s="574">
        <f>C339</f>
        <v>648.40000000000009</v>
      </c>
      <c r="E339" s="574">
        <f t="shared" si="295"/>
        <v>648.40000000000009</v>
      </c>
      <c r="F339" s="574">
        <f t="shared" si="295"/>
        <v>648.40000000000009</v>
      </c>
      <c r="G339" s="574">
        <f t="shared" si="295"/>
        <v>648.40000000000009</v>
      </c>
      <c r="H339" s="574">
        <f t="shared" si="295"/>
        <v>648.40000000000009</v>
      </c>
      <c r="I339" s="574">
        <f t="shared" si="295"/>
        <v>648.40000000000009</v>
      </c>
      <c r="J339" s="574">
        <f t="shared" si="295"/>
        <v>648.40000000000009</v>
      </c>
      <c r="K339" s="574">
        <f t="shared" si="295"/>
        <v>648.40000000000009</v>
      </c>
      <c r="L339" s="574">
        <f t="shared" si="295"/>
        <v>648.40000000000009</v>
      </c>
      <c r="M339" s="574">
        <f t="shared" si="295"/>
        <v>648.40000000000009</v>
      </c>
      <c r="N339" s="574">
        <f t="shared" si="295"/>
        <v>648.40000000000009</v>
      </c>
      <c r="O339" s="574">
        <f t="shared" si="295"/>
        <v>648.40000000000009</v>
      </c>
      <c r="P339" s="574">
        <f t="shared" si="295"/>
        <v>648.40000000000009</v>
      </c>
      <c r="Q339" s="574">
        <f t="shared" si="295"/>
        <v>648.40000000000009</v>
      </c>
      <c r="R339" s="574">
        <f t="shared" si="295"/>
        <v>648.40000000000009</v>
      </c>
      <c r="S339" s="574">
        <f t="shared" si="295"/>
        <v>648.40000000000009</v>
      </c>
      <c r="T339" s="574">
        <f t="shared" si="295"/>
        <v>648.40000000000009</v>
      </c>
      <c r="U339" s="574">
        <f t="shared" si="296"/>
        <v>648.40000000000009</v>
      </c>
      <c r="V339" s="574">
        <f t="shared" si="296"/>
        <v>648.40000000000009</v>
      </c>
      <c r="W339" s="574">
        <f t="shared" si="296"/>
        <v>648.40000000000009</v>
      </c>
      <c r="X339" s="574">
        <f t="shared" si="296"/>
        <v>648.40000000000009</v>
      </c>
      <c r="Y339" s="574">
        <f t="shared" si="296"/>
        <v>648.40000000000009</v>
      </c>
      <c r="Z339" s="574">
        <f t="shared" si="296"/>
        <v>648.40000000000009</v>
      </c>
      <c r="AA339" s="574">
        <f t="shared" si="296"/>
        <v>648.40000000000009</v>
      </c>
      <c r="AB339" s="574">
        <f t="shared" si="296"/>
        <v>648.40000000000009</v>
      </c>
      <c r="AC339" s="574">
        <f t="shared" si="296"/>
        <v>648.40000000000009</v>
      </c>
      <c r="AD339" s="574">
        <f t="shared" si="296"/>
        <v>648.40000000000009</v>
      </c>
      <c r="AE339" s="574">
        <f t="shared" si="296"/>
        <v>648.40000000000009</v>
      </c>
      <c r="AF339" s="574">
        <f t="shared" si="296"/>
        <v>648.40000000000009</v>
      </c>
      <c r="AH339" s="538"/>
      <c r="AK339" s="531"/>
      <c r="AM339" s="594"/>
      <c r="AN339" s="535"/>
      <c r="AP339" s="540"/>
      <c r="AQ339" s="540"/>
    </row>
    <row r="340" spans="1:43" s="513" customFormat="1" ht="16.5" hidden="1" customHeight="1" outlineLevel="2">
      <c r="A340" s="584"/>
      <c r="B340" s="585" t="s">
        <v>1486</v>
      </c>
      <c r="C340" s="574">
        <v>0</v>
      </c>
      <c r="D340" s="574">
        <f>C340</f>
        <v>0</v>
      </c>
      <c r="E340" s="574">
        <f t="shared" si="295"/>
        <v>0</v>
      </c>
      <c r="F340" s="574">
        <f t="shared" si="295"/>
        <v>0</v>
      </c>
      <c r="G340" s="574">
        <f t="shared" si="295"/>
        <v>0</v>
      </c>
      <c r="H340" s="574">
        <f t="shared" si="295"/>
        <v>0</v>
      </c>
      <c r="I340" s="574">
        <f t="shared" si="295"/>
        <v>0</v>
      </c>
      <c r="J340" s="574">
        <f t="shared" si="295"/>
        <v>0</v>
      </c>
      <c r="K340" s="574">
        <f t="shared" si="295"/>
        <v>0</v>
      </c>
      <c r="L340" s="574">
        <f t="shared" si="295"/>
        <v>0</v>
      </c>
      <c r="M340" s="574">
        <f t="shared" si="295"/>
        <v>0</v>
      </c>
      <c r="N340" s="574">
        <f t="shared" si="295"/>
        <v>0</v>
      </c>
      <c r="O340" s="574">
        <f t="shared" si="295"/>
        <v>0</v>
      </c>
      <c r="P340" s="574">
        <f t="shared" si="295"/>
        <v>0</v>
      </c>
      <c r="Q340" s="574">
        <f t="shared" si="295"/>
        <v>0</v>
      </c>
      <c r="R340" s="574">
        <f t="shared" si="295"/>
        <v>0</v>
      </c>
      <c r="S340" s="574">
        <f t="shared" si="295"/>
        <v>0</v>
      </c>
      <c r="T340" s="574">
        <f t="shared" si="295"/>
        <v>0</v>
      </c>
      <c r="U340" s="574">
        <f t="shared" si="296"/>
        <v>0</v>
      </c>
      <c r="V340" s="574">
        <f t="shared" si="296"/>
        <v>0</v>
      </c>
      <c r="W340" s="574">
        <f t="shared" si="296"/>
        <v>0</v>
      </c>
      <c r="X340" s="574">
        <f t="shared" si="296"/>
        <v>0</v>
      </c>
      <c r="Y340" s="574">
        <f t="shared" si="296"/>
        <v>0</v>
      </c>
      <c r="Z340" s="574">
        <f t="shared" si="296"/>
        <v>0</v>
      </c>
      <c r="AA340" s="574">
        <f t="shared" si="296"/>
        <v>0</v>
      </c>
      <c r="AB340" s="574">
        <f t="shared" si="296"/>
        <v>0</v>
      </c>
      <c r="AC340" s="574">
        <f t="shared" si="296"/>
        <v>0</v>
      </c>
      <c r="AD340" s="574">
        <f t="shared" si="296"/>
        <v>0</v>
      </c>
      <c r="AE340" s="574">
        <f t="shared" si="296"/>
        <v>0</v>
      </c>
      <c r="AF340" s="574">
        <f t="shared" si="296"/>
        <v>0</v>
      </c>
      <c r="AH340" s="538"/>
      <c r="AK340" s="531"/>
      <c r="AM340" s="594"/>
      <c r="AN340" s="535"/>
      <c r="AP340" s="540"/>
      <c r="AQ340" s="540"/>
    </row>
    <row r="341" spans="1:43" s="513" customFormat="1" ht="16.5" hidden="1" customHeight="1" outlineLevel="2">
      <c r="A341" s="584"/>
      <c r="B341" s="572" t="s">
        <v>1367</v>
      </c>
      <c r="C341" s="574">
        <f>'Sal._benef.'!$E$19*'Sal._benef.'!$H$19</f>
        <v>345.91535999999996</v>
      </c>
      <c r="D341" s="574">
        <f>C341</f>
        <v>345.91535999999996</v>
      </c>
      <c r="E341" s="574">
        <f t="shared" si="295"/>
        <v>345.91535999999996</v>
      </c>
      <c r="F341" s="574">
        <f t="shared" si="295"/>
        <v>345.91535999999996</v>
      </c>
      <c r="G341" s="574">
        <f t="shared" si="295"/>
        <v>345.91535999999996</v>
      </c>
      <c r="H341" s="574">
        <f t="shared" si="295"/>
        <v>345.91535999999996</v>
      </c>
      <c r="I341" s="574">
        <f t="shared" si="295"/>
        <v>345.91535999999996</v>
      </c>
      <c r="J341" s="574">
        <f t="shared" si="295"/>
        <v>345.91535999999996</v>
      </c>
      <c r="K341" s="574">
        <f t="shared" si="295"/>
        <v>345.91535999999996</v>
      </c>
      <c r="L341" s="574">
        <f t="shared" si="295"/>
        <v>345.91535999999996</v>
      </c>
      <c r="M341" s="574">
        <f t="shared" si="295"/>
        <v>345.91535999999996</v>
      </c>
      <c r="N341" s="574">
        <f t="shared" si="295"/>
        <v>345.91535999999996</v>
      </c>
      <c r="O341" s="574">
        <f t="shared" si="295"/>
        <v>345.91535999999996</v>
      </c>
      <c r="P341" s="574">
        <f t="shared" si="295"/>
        <v>345.91535999999996</v>
      </c>
      <c r="Q341" s="574">
        <f t="shared" si="295"/>
        <v>345.91535999999996</v>
      </c>
      <c r="R341" s="574">
        <f t="shared" si="295"/>
        <v>345.91535999999996</v>
      </c>
      <c r="S341" s="574">
        <f t="shared" si="295"/>
        <v>345.91535999999996</v>
      </c>
      <c r="T341" s="574">
        <f t="shared" si="295"/>
        <v>345.91535999999996</v>
      </c>
      <c r="U341" s="574">
        <f t="shared" si="296"/>
        <v>345.91535999999996</v>
      </c>
      <c r="V341" s="574">
        <f t="shared" si="296"/>
        <v>345.91535999999996</v>
      </c>
      <c r="W341" s="574">
        <f t="shared" si="296"/>
        <v>345.91535999999996</v>
      </c>
      <c r="X341" s="574">
        <f t="shared" si="296"/>
        <v>345.91535999999996</v>
      </c>
      <c r="Y341" s="574">
        <f t="shared" si="296"/>
        <v>345.91535999999996</v>
      </c>
      <c r="Z341" s="574">
        <f t="shared" si="296"/>
        <v>345.91535999999996</v>
      </c>
      <c r="AA341" s="574">
        <f t="shared" si="296"/>
        <v>345.91535999999996</v>
      </c>
      <c r="AB341" s="574">
        <f t="shared" si="296"/>
        <v>345.91535999999996</v>
      </c>
      <c r="AC341" s="574">
        <f t="shared" si="296"/>
        <v>345.91535999999996</v>
      </c>
      <c r="AD341" s="574">
        <f t="shared" si="296"/>
        <v>345.91535999999996</v>
      </c>
      <c r="AE341" s="574">
        <f t="shared" si="296"/>
        <v>345.91535999999996</v>
      </c>
      <c r="AF341" s="574">
        <f t="shared" si="296"/>
        <v>345.91535999999996</v>
      </c>
      <c r="AH341" s="538"/>
      <c r="AK341" s="531"/>
      <c r="AM341" s="594"/>
      <c r="AN341" s="535"/>
      <c r="AP341" s="540"/>
      <c r="AQ341" s="540"/>
    </row>
    <row r="342" spans="1:43" s="546" customFormat="1" ht="16.5" hidden="1" customHeight="1" outlineLevel="2">
      <c r="A342" s="584"/>
      <c r="B342" s="569" t="s">
        <v>933</v>
      </c>
      <c r="C342" s="581">
        <f>C343*(C344+C346+C347+C348)</f>
        <v>0</v>
      </c>
      <c r="D342" s="581">
        <f t="shared" ref="D342:AF342" si="297">D343*(D344+D346+D347+D348)</f>
        <v>0</v>
      </c>
      <c r="E342" s="581">
        <f t="shared" si="297"/>
        <v>0</v>
      </c>
      <c r="F342" s="581">
        <f t="shared" si="297"/>
        <v>0</v>
      </c>
      <c r="G342" s="581">
        <f t="shared" si="297"/>
        <v>0</v>
      </c>
      <c r="H342" s="581">
        <f t="shared" si="297"/>
        <v>0</v>
      </c>
      <c r="I342" s="581">
        <f t="shared" si="297"/>
        <v>0</v>
      </c>
      <c r="J342" s="581">
        <f t="shared" si="297"/>
        <v>0</v>
      </c>
      <c r="K342" s="581">
        <f t="shared" si="297"/>
        <v>0</v>
      </c>
      <c r="L342" s="581">
        <f t="shared" si="297"/>
        <v>0</v>
      </c>
      <c r="M342" s="581">
        <f t="shared" si="297"/>
        <v>0</v>
      </c>
      <c r="N342" s="581">
        <f t="shared" si="297"/>
        <v>0</v>
      </c>
      <c r="O342" s="581">
        <f t="shared" si="297"/>
        <v>0</v>
      </c>
      <c r="P342" s="581">
        <f t="shared" si="297"/>
        <v>0</v>
      </c>
      <c r="Q342" s="581">
        <f t="shared" si="297"/>
        <v>0</v>
      </c>
      <c r="R342" s="581">
        <f t="shared" si="297"/>
        <v>0</v>
      </c>
      <c r="S342" s="581">
        <f t="shared" si="297"/>
        <v>0</v>
      </c>
      <c r="T342" s="581">
        <f t="shared" si="297"/>
        <v>0</v>
      </c>
      <c r="U342" s="581">
        <f t="shared" si="297"/>
        <v>0</v>
      </c>
      <c r="V342" s="581">
        <f t="shared" si="297"/>
        <v>0</v>
      </c>
      <c r="W342" s="581">
        <f t="shared" si="297"/>
        <v>0</v>
      </c>
      <c r="X342" s="581">
        <f t="shared" si="297"/>
        <v>0</v>
      </c>
      <c r="Y342" s="581">
        <f t="shared" si="297"/>
        <v>0</v>
      </c>
      <c r="Z342" s="581">
        <f t="shared" si="297"/>
        <v>0</v>
      </c>
      <c r="AA342" s="581">
        <f t="shared" si="297"/>
        <v>0</v>
      </c>
      <c r="AB342" s="581">
        <f t="shared" si="297"/>
        <v>0</v>
      </c>
      <c r="AC342" s="581">
        <f t="shared" si="297"/>
        <v>0</v>
      </c>
      <c r="AD342" s="581">
        <f t="shared" si="297"/>
        <v>0</v>
      </c>
      <c r="AE342" s="581">
        <f t="shared" si="297"/>
        <v>0</v>
      </c>
      <c r="AF342" s="581">
        <f t="shared" si="297"/>
        <v>0</v>
      </c>
      <c r="AH342" s="571"/>
      <c r="AK342" s="531"/>
      <c r="AM342" s="594"/>
      <c r="AN342" s="535"/>
      <c r="AP342" s="549"/>
      <c r="AQ342" s="549"/>
    </row>
    <row r="343" spans="1:43" s="586" customFormat="1" ht="16.5" hidden="1" customHeight="1" outlineLevel="2">
      <c r="A343" s="584"/>
      <c r="B343" s="585" t="s">
        <v>805</v>
      </c>
      <c r="C343" s="716">
        <v>0</v>
      </c>
      <c r="D343" s="716">
        <f t="shared" ref="D343:D348" si="298">C343</f>
        <v>0</v>
      </c>
      <c r="E343" s="716">
        <f t="shared" ref="E343:AF343" si="299">D343</f>
        <v>0</v>
      </c>
      <c r="F343" s="716">
        <f t="shared" si="299"/>
        <v>0</v>
      </c>
      <c r="G343" s="716">
        <f t="shared" si="299"/>
        <v>0</v>
      </c>
      <c r="H343" s="716">
        <f t="shared" si="299"/>
        <v>0</v>
      </c>
      <c r="I343" s="716">
        <f t="shared" si="299"/>
        <v>0</v>
      </c>
      <c r="J343" s="716">
        <f t="shared" si="299"/>
        <v>0</v>
      </c>
      <c r="K343" s="716">
        <f t="shared" si="299"/>
        <v>0</v>
      </c>
      <c r="L343" s="716">
        <f t="shared" si="299"/>
        <v>0</v>
      </c>
      <c r="M343" s="716">
        <f t="shared" si="299"/>
        <v>0</v>
      </c>
      <c r="N343" s="716">
        <f t="shared" si="299"/>
        <v>0</v>
      </c>
      <c r="O343" s="716">
        <f t="shared" si="299"/>
        <v>0</v>
      </c>
      <c r="P343" s="716">
        <f t="shared" si="299"/>
        <v>0</v>
      </c>
      <c r="Q343" s="716">
        <f t="shared" si="299"/>
        <v>0</v>
      </c>
      <c r="R343" s="716">
        <f t="shared" si="299"/>
        <v>0</v>
      </c>
      <c r="S343" s="716">
        <f t="shared" si="299"/>
        <v>0</v>
      </c>
      <c r="T343" s="716">
        <f t="shared" si="299"/>
        <v>0</v>
      </c>
      <c r="U343" s="716">
        <f t="shared" si="299"/>
        <v>0</v>
      </c>
      <c r="V343" s="716">
        <f t="shared" si="299"/>
        <v>0</v>
      </c>
      <c r="W343" s="716">
        <f t="shared" si="299"/>
        <v>0</v>
      </c>
      <c r="X343" s="716">
        <f t="shared" si="299"/>
        <v>0</v>
      </c>
      <c r="Y343" s="716">
        <f t="shared" si="299"/>
        <v>0</v>
      </c>
      <c r="Z343" s="716">
        <f t="shared" si="299"/>
        <v>0</v>
      </c>
      <c r="AA343" s="716">
        <f t="shared" si="299"/>
        <v>0</v>
      </c>
      <c r="AB343" s="716">
        <f t="shared" si="299"/>
        <v>0</v>
      </c>
      <c r="AC343" s="716">
        <f t="shared" si="299"/>
        <v>0</v>
      </c>
      <c r="AD343" s="716">
        <f t="shared" si="299"/>
        <v>0</v>
      </c>
      <c r="AE343" s="716">
        <f t="shared" si="299"/>
        <v>0</v>
      </c>
      <c r="AF343" s="716">
        <f t="shared" si="299"/>
        <v>0</v>
      </c>
      <c r="AH343" s="587"/>
      <c r="AK343" s="588"/>
      <c r="AM343" s="624"/>
      <c r="AN343" s="590"/>
      <c r="AP343" s="591"/>
      <c r="AQ343" s="591"/>
    </row>
    <row r="344" spans="1:43" s="586" customFormat="1" ht="16.5" hidden="1" customHeight="1" outlineLevel="2">
      <c r="A344" s="584"/>
      <c r="B344" s="585" t="s">
        <v>928</v>
      </c>
      <c r="C344" s="574">
        <f>'Sal._benef.'!$D$21</f>
        <v>3245.32</v>
      </c>
      <c r="D344" s="632">
        <f t="shared" si="298"/>
        <v>3245.32</v>
      </c>
      <c r="E344" s="632">
        <f t="shared" ref="E344:T348" si="300">D344</f>
        <v>3245.32</v>
      </c>
      <c r="F344" s="632">
        <f t="shared" si="300"/>
        <v>3245.32</v>
      </c>
      <c r="G344" s="632">
        <f t="shared" si="300"/>
        <v>3245.32</v>
      </c>
      <c r="H344" s="632">
        <f t="shared" si="300"/>
        <v>3245.32</v>
      </c>
      <c r="I344" s="632">
        <f t="shared" si="300"/>
        <v>3245.32</v>
      </c>
      <c r="J344" s="632">
        <f t="shared" si="300"/>
        <v>3245.32</v>
      </c>
      <c r="K344" s="632">
        <f t="shared" si="300"/>
        <v>3245.32</v>
      </c>
      <c r="L344" s="632">
        <f t="shared" si="300"/>
        <v>3245.32</v>
      </c>
      <c r="M344" s="632">
        <f t="shared" si="300"/>
        <v>3245.32</v>
      </c>
      <c r="N344" s="632">
        <f t="shared" si="300"/>
        <v>3245.32</v>
      </c>
      <c r="O344" s="632">
        <f t="shared" si="300"/>
        <v>3245.32</v>
      </c>
      <c r="P344" s="632">
        <f t="shared" si="300"/>
        <v>3245.32</v>
      </c>
      <c r="Q344" s="632">
        <f t="shared" si="300"/>
        <v>3245.32</v>
      </c>
      <c r="R344" s="632">
        <f t="shared" si="300"/>
        <v>3245.32</v>
      </c>
      <c r="S344" s="632">
        <f t="shared" si="300"/>
        <v>3245.32</v>
      </c>
      <c r="T344" s="632">
        <f t="shared" si="300"/>
        <v>3245.32</v>
      </c>
      <c r="U344" s="632">
        <f t="shared" ref="U344:AF348" si="301">T344</f>
        <v>3245.32</v>
      </c>
      <c r="V344" s="632">
        <f t="shared" si="301"/>
        <v>3245.32</v>
      </c>
      <c r="W344" s="632">
        <f t="shared" si="301"/>
        <v>3245.32</v>
      </c>
      <c r="X344" s="632">
        <f t="shared" si="301"/>
        <v>3245.32</v>
      </c>
      <c r="Y344" s="632">
        <f t="shared" si="301"/>
        <v>3245.32</v>
      </c>
      <c r="Z344" s="632">
        <f t="shared" si="301"/>
        <v>3245.32</v>
      </c>
      <c r="AA344" s="632">
        <f t="shared" si="301"/>
        <v>3245.32</v>
      </c>
      <c r="AB344" s="632">
        <f t="shared" si="301"/>
        <v>3245.32</v>
      </c>
      <c r="AC344" s="632">
        <f t="shared" si="301"/>
        <v>3245.32</v>
      </c>
      <c r="AD344" s="632">
        <f t="shared" si="301"/>
        <v>3245.32</v>
      </c>
      <c r="AE344" s="632">
        <f t="shared" si="301"/>
        <v>3245.32</v>
      </c>
      <c r="AF344" s="632">
        <f t="shared" si="301"/>
        <v>3245.32</v>
      </c>
      <c r="AH344" s="587"/>
      <c r="AK344" s="588"/>
      <c r="AM344" s="624"/>
      <c r="AN344" s="590"/>
      <c r="AP344" s="591"/>
      <c r="AQ344" s="591"/>
    </row>
    <row r="345" spans="1:43" s="586" customFormat="1" ht="16.5" hidden="1" customHeight="1" outlineLevel="2">
      <c r="A345" s="584"/>
      <c r="B345" s="585" t="s">
        <v>929</v>
      </c>
      <c r="C345" s="632">
        <f>'Sal._benef.'!$F$10</f>
        <v>1621</v>
      </c>
      <c r="D345" s="632">
        <f t="shared" si="298"/>
        <v>1621</v>
      </c>
      <c r="E345" s="632">
        <f t="shared" si="300"/>
        <v>1621</v>
      </c>
      <c r="F345" s="632">
        <f t="shared" si="300"/>
        <v>1621</v>
      </c>
      <c r="G345" s="632">
        <f t="shared" si="300"/>
        <v>1621</v>
      </c>
      <c r="H345" s="632">
        <f t="shared" si="300"/>
        <v>1621</v>
      </c>
      <c r="I345" s="632">
        <f t="shared" si="300"/>
        <v>1621</v>
      </c>
      <c r="J345" s="632">
        <f t="shared" si="300"/>
        <v>1621</v>
      </c>
      <c r="K345" s="632">
        <f t="shared" si="300"/>
        <v>1621</v>
      </c>
      <c r="L345" s="632">
        <f t="shared" si="300"/>
        <v>1621</v>
      </c>
      <c r="M345" s="632">
        <f t="shared" si="300"/>
        <v>1621</v>
      </c>
      <c r="N345" s="632">
        <f t="shared" si="300"/>
        <v>1621</v>
      </c>
      <c r="O345" s="632">
        <f t="shared" si="300"/>
        <v>1621</v>
      </c>
      <c r="P345" s="632">
        <f t="shared" si="300"/>
        <v>1621</v>
      </c>
      <c r="Q345" s="632">
        <f t="shared" si="300"/>
        <v>1621</v>
      </c>
      <c r="R345" s="632">
        <f t="shared" si="300"/>
        <v>1621</v>
      </c>
      <c r="S345" s="632">
        <f t="shared" si="300"/>
        <v>1621</v>
      </c>
      <c r="T345" s="632">
        <f t="shared" si="300"/>
        <v>1621</v>
      </c>
      <c r="U345" s="632">
        <f t="shared" si="301"/>
        <v>1621</v>
      </c>
      <c r="V345" s="632">
        <f t="shared" si="301"/>
        <v>1621</v>
      </c>
      <c r="W345" s="632">
        <f t="shared" si="301"/>
        <v>1621</v>
      </c>
      <c r="X345" s="632">
        <f t="shared" si="301"/>
        <v>1621</v>
      </c>
      <c r="Y345" s="632">
        <f t="shared" si="301"/>
        <v>1621</v>
      </c>
      <c r="Z345" s="632">
        <f t="shared" si="301"/>
        <v>1621</v>
      </c>
      <c r="AA345" s="632">
        <f t="shared" si="301"/>
        <v>1621</v>
      </c>
      <c r="AB345" s="632">
        <f t="shared" si="301"/>
        <v>1621</v>
      </c>
      <c r="AC345" s="632">
        <f t="shared" si="301"/>
        <v>1621</v>
      </c>
      <c r="AD345" s="632">
        <f t="shared" si="301"/>
        <v>1621</v>
      </c>
      <c r="AE345" s="632">
        <f t="shared" si="301"/>
        <v>1621</v>
      </c>
      <c r="AF345" s="632">
        <f t="shared" si="301"/>
        <v>1621</v>
      </c>
      <c r="AH345" s="587"/>
      <c r="AK345" s="588"/>
      <c r="AM345" s="624"/>
      <c r="AN345" s="590"/>
      <c r="AP345" s="591"/>
      <c r="AQ345" s="591"/>
    </row>
    <row r="346" spans="1:43" s="586" customFormat="1" ht="16.5" hidden="1" customHeight="1" outlineLevel="2">
      <c r="A346" s="584"/>
      <c r="B346" s="585" t="s">
        <v>1487</v>
      </c>
      <c r="C346" s="574">
        <f>C345*'Sal._benef.'!F21</f>
        <v>648.40000000000009</v>
      </c>
      <c r="D346" s="632">
        <f t="shared" si="298"/>
        <v>648.40000000000009</v>
      </c>
      <c r="E346" s="632">
        <f t="shared" si="300"/>
        <v>648.40000000000009</v>
      </c>
      <c r="F346" s="632">
        <f t="shared" si="300"/>
        <v>648.40000000000009</v>
      </c>
      <c r="G346" s="632">
        <f t="shared" si="300"/>
        <v>648.40000000000009</v>
      </c>
      <c r="H346" s="632">
        <f t="shared" si="300"/>
        <v>648.40000000000009</v>
      </c>
      <c r="I346" s="632">
        <f t="shared" si="300"/>
        <v>648.40000000000009</v>
      </c>
      <c r="J346" s="632">
        <f t="shared" si="300"/>
        <v>648.40000000000009</v>
      </c>
      <c r="K346" s="632">
        <f t="shared" si="300"/>
        <v>648.40000000000009</v>
      </c>
      <c r="L346" s="632">
        <f t="shared" si="300"/>
        <v>648.40000000000009</v>
      </c>
      <c r="M346" s="632">
        <f t="shared" si="300"/>
        <v>648.40000000000009</v>
      </c>
      <c r="N346" s="632">
        <f t="shared" si="300"/>
        <v>648.40000000000009</v>
      </c>
      <c r="O346" s="632">
        <f t="shared" si="300"/>
        <v>648.40000000000009</v>
      </c>
      <c r="P346" s="632">
        <f t="shared" si="300"/>
        <v>648.40000000000009</v>
      </c>
      <c r="Q346" s="632">
        <f t="shared" si="300"/>
        <v>648.40000000000009</v>
      </c>
      <c r="R346" s="632">
        <f t="shared" si="300"/>
        <v>648.40000000000009</v>
      </c>
      <c r="S346" s="632">
        <f t="shared" si="300"/>
        <v>648.40000000000009</v>
      </c>
      <c r="T346" s="632">
        <f t="shared" si="300"/>
        <v>648.40000000000009</v>
      </c>
      <c r="U346" s="632">
        <f t="shared" si="301"/>
        <v>648.40000000000009</v>
      </c>
      <c r="V346" s="632">
        <f t="shared" si="301"/>
        <v>648.40000000000009</v>
      </c>
      <c r="W346" s="632">
        <f t="shared" si="301"/>
        <v>648.40000000000009</v>
      </c>
      <c r="X346" s="632">
        <f t="shared" si="301"/>
        <v>648.40000000000009</v>
      </c>
      <c r="Y346" s="632">
        <f t="shared" si="301"/>
        <v>648.40000000000009</v>
      </c>
      <c r="Z346" s="632">
        <f t="shared" si="301"/>
        <v>648.40000000000009</v>
      </c>
      <c r="AA346" s="632">
        <f t="shared" si="301"/>
        <v>648.40000000000009</v>
      </c>
      <c r="AB346" s="632">
        <f t="shared" si="301"/>
        <v>648.40000000000009</v>
      </c>
      <c r="AC346" s="632">
        <f t="shared" si="301"/>
        <v>648.40000000000009</v>
      </c>
      <c r="AD346" s="632">
        <f t="shared" si="301"/>
        <v>648.40000000000009</v>
      </c>
      <c r="AE346" s="632">
        <f t="shared" si="301"/>
        <v>648.40000000000009</v>
      </c>
      <c r="AF346" s="632">
        <f t="shared" si="301"/>
        <v>648.40000000000009</v>
      </c>
      <c r="AH346" s="587"/>
      <c r="AK346" s="588"/>
      <c r="AM346" s="624"/>
      <c r="AN346" s="590"/>
      <c r="AP346" s="591"/>
      <c r="AQ346" s="591"/>
    </row>
    <row r="347" spans="1:43" s="513" customFormat="1" ht="16.5" hidden="1" customHeight="1" outlineLevel="2">
      <c r="A347" s="584"/>
      <c r="B347" s="585" t="s">
        <v>1486</v>
      </c>
      <c r="C347" s="574">
        <f>C345*'Sal._benef.'!G21</f>
        <v>324.20000000000005</v>
      </c>
      <c r="D347" s="574">
        <f t="shared" si="298"/>
        <v>324.20000000000005</v>
      </c>
      <c r="E347" s="574">
        <f t="shared" si="300"/>
        <v>324.20000000000005</v>
      </c>
      <c r="F347" s="574">
        <f t="shared" si="300"/>
        <v>324.20000000000005</v>
      </c>
      <c r="G347" s="574">
        <f t="shared" si="300"/>
        <v>324.20000000000005</v>
      </c>
      <c r="H347" s="574">
        <f t="shared" si="300"/>
        <v>324.20000000000005</v>
      </c>
      <c r="I347" s="574">
        <f t="shared" si="300"/>
        <v>324.20000000000005</v>
      </c>
      <c r="J347" s="574">
        <f t="shared" si="300"/>
        <v>324.20000000000005</v>
      </c>
      <c r="K347" s="574">
        <f t="shared" si="300"/>
        <v>324.20000000000005</v>
      </c>
      <c r="L347" s="574">
        <f t="shared" si="300"/>
        <v>324.20000000000005</v>
      </c>
      <c r="M347" s="574">
        <f t="shared" si="300"/>
        <v>324.20000000000005</v>
      </c>
      <c r="N347" s="574">
        <f t="shared" si="300"/>
        <v>324.20000000000005</v>
      </c>
      <c r="O347" s="574">
        <f t="shared" si="300"/>
        <v>324.20000000000005</v>
      </c>
      <c r="P347" s="574">
        <f t="shared" si="300"/>
        <v>324.20000000000005</v>
      </c>
      <c r="Q347" s="574">
        <f t="shared" si="300"/>
        <v>324.20000000000005</v>
      </c>
      <c r="R347" s="574">
        <f t="shared" si="300"/>
        <v>324.20000000000005</v>
      </c>
      <c r="S347" s="574">
        <f t="shared" si="300"/>
        <v>324.20000000000005</v>
      </c>
      <c r="T347" s="574">
        <f t="shared" si="300"/>
        <v>324.20000000000005</v>
      </c>
      <c r="U347" s="574">
        <f t="shared" si="301"/>
        <v>324.20000000000005</v>
      </c>
      <c r="V347" s="574">
        <f t="shared" si="301"/>
        <v>324.20000000000005</v>
      </c>
      <c r="W347" s="574">
        <f t="shared" si="301"/>
        <v>324.20000000000005</v>
      </c>
      <c r="X347" s="574">
        <f t="shared" si="301"/>
        <v>324.20000000000005</v>
      </c>
      <c r="Y347" s="574">
        <f t="shared" si="301"/>
        <v>324.20000000000005</v>
      </c>
      <c r="Z347" s="574">
        <f t="shared" si="301"/>
        <v>324.20000000000005</v>
      </c>
      <c r="AA347" s="574">
        <f t="shared" si="301"/>
        <v>324.20000000000005</v>
      </c>
      <c r="AB347" s="574">
        <f t="shared" si="301"/>
        <v>324.20000000000005</v>
      </c>
      <c r="AC347" s="574">
        <f t="shared" si="301"/>
        <v>324.20000000000005</v>
      </c>
      <c r="AD347" s="574">
        <f t="shared" si="301"/>
        <v>324.20000000000005</v>
      </c>
      <c r="AE347" s="574">
        <f t="shared" si="301"/>
        <v>324.20000000000005</v>
      </c>
      <c r="AF347" s="574">
        <f t="shared" si="301"/>
        <v>324.20000000000005</v>
      </c>
      <c r="AH347" s="538"/>
      <c r="AK347" s="531"/>
      <c r="AM347" s="594"/>
      <c r="AN347" s="535"/>
      <c r="AP347" s="540"/>
      <c r="AQ347" s="540"/>
    </row>
    <row r="348" spans="1:43" s="513" customFormat="1" ht="16.5" hidden="1" customHeight="1" outlineLevel="2">
      <c r="A348" s="584"/>
      <c r="B348" s="572" t="s">
        <v>1367</v>
      </c>
      <c r="C348" s="574">
        <v>0</v>
      </c>
      <c r="D348" s="574">
        <f t="shared" si="298"/>
        <v>0</v>
      </c>
      <c r="E348" s="574">
        <f t="shared" si="300"/>
        <v>0</v>
      </c>
      <c r="F348" s="574">
        <f t="shared" si="300"/>
        <v>0</v>
      </c>
      <c r="G348" s="574">
        <f t="shared" si="300"/>
        <v>0</v>
      </c>
      <c r="H348" s="574">
        <f t="shared" si="300"/>
        <v>0</v>
      </c>
      <c r="I348" s="574">
        <f t="shared" si="300"/>
        <v>0</v>
      </c>
      <c r="J348" s="574">
        <f t="shared" si="300"/>
        <v>0</v>
      </c>
      <c r="K348" s="574">
        <f t="shared" si="300"/>
        <v>0</v>
      </c>
      <c r="L348" s="574">
        <f t="shared" si="300"/>
        <v>0</v>
      </c>
      <c r="M348" s="574">
        <f t="shared" si="300"/>
        <v>0</v>
      </c>
      <c r="N348" s="574">
        <f t="shared" si="300"/>
        <v>0</v>
      </c>
      <c r="O348" s="574">
        <f t="shared" si="300"/>
        <v>0</v>
      </c>
      <c r="P348" s="574">
        <f t="shared" si="300"/>
        <v>0</v>
      </c>
      <c r="Q348" s="574">
        <f t="shared" si="300"/>
        <v>0</v>
      </c>
      <c r="R348" s="574">
        <f t="shared" si="300"/>
        <v>0</v>
      </c>
      <c r="S348" s="574">
        <f t="shared" si="300"/>
        <v>0</v>
      </c>
      <c r="T348" s="574">
        <f t="shared" si="300"/>
        <v>0</v>
      </c>
      <c r="U348" s="574">
        <f t="shared" si="301"/>
        <v>0</v>
      </c>
      <c r="V348" s="574">
        <f t="shared" si="301"/>
        <v>0</v>
      </c>
      <c r="W348" s="574">
        <f t="shared" si="301"/>
        <v>0</v>
      </c>
      <c r="X348" s="574">
        <f t="shared" si="301"/>
        <v>0</v>
      </c>
      <c r="Y348" s="574">
        <f t="shared" si="301"/>
        <v>0</v>
      </c>
      <c r="Z348" s="574">
        <f t="shared" si="301"/>
        <v>0</v>
      </c>
      <c r="AA348" s="574">
        <f t="shared" si="301"/>
        <v>0</v>
      </c>
      <c r="AB348" s="574">
        <f t="shared" si="301"/>
        <v>0</v>
      </c>
      <c r="AC348" s="574">
        <f t="shared" si="301"/>
        <v>0</v>
      </c>
      <c r="AD348" s="574">
        <f t="shared" si="301"/>
        <v>0</v>
      </c>
      <c r="AE348" s="574">
        <f t="shared" si="301"/>
        <v>0</v>
      </c>
      <c r="AF348" s="574">
        <f t="shared" si="301"/>
        <v>0</v>
      </c>
      <c r="AH348" s="538"/>
      <c r="AK348" s="531"/>
      <c r="AM348" s="594"/>
      <c r="AN348" s="535"/>
      <c r="AP348" s="540"/>
      <c r="AQ348" s="540"/>
    </row>
    <row r="349" spans="1:43" s="546" customFormat="1" ht="16.5" hidden="1" customHeight="1" outlineLevel="2">
      <c r="A349" s="584"/>
      <c r="B349" s="569" t="s">
        <v>935</v>
      </c>
      <c r="C349" s="581">
        <f>C350*(C351+C353+C354+C355)</f>
        <v>0</v>
      </c>
      <c r="D349" s="581">
        <f t="shared" ref="D349:AF349" si="302">D350*(D351+D353+D354+D355)</f>
        <v>0</v>
      </c>
      <c r="E349" s="581">
        <f t="shared" si="302"/>
        <v>0</v>
      </c>
      <c r="F349" s="581">
        <f t="shared" si="302"/>
        <v>0</v>
      </c>
      <c r="G349" s="581">
        <f t="shared" si="302"/>
        <v>0</v>
      </c>
      <c r="H349" s="581">
        <f t="shared" si="302"/>
        <v>0</v>
      </c>
      <c r="I349" s="581">
        <f t="shared" si="302"/>
        <v>0</v>
      </c>
      <c r="J349" s="581">
        <f t="shared" si="302"/>
        <v>0</v>
      </c>
      <c r="K349" s="581">
        <f t="shared" si="302"/>
        <v>0</v>
      </c>
      <c r="L349" s="581">
        <f t="shared" si="302"/>
        <v>0</v>
      </c>
      <c r="M349" s="581">
        <f t="shared" si="302"/>
        <v>0</v>
      </c>
      <c r="N349" s="581">
        <f t="shared" si="302"/>
        <v>0</v>
      </c>
      <c r="O349" s="581">
        <f t="shared" si="302"/>
        <v>0</v>
      </c>
      <c r="P349" s="581">
        <f t="shared" si="302"/>
        <v>0</v>
      </c>
      <c r="Q349" s="581">
        <f t="shared" si="302"/>
        <v>0</v>
      </c>
      <c r="R349" s="581">
        <f t="shared" si="302"/>
        <v>0</v>
      </c>
      <c r="S349" s="581">
        <f t="shared" si="302"/>
        <v>0</v>
      </c>
      <c r="T349" s="581">
        <f t="shared" si="302"/>
        <v>0</v>
      </c>
      <c r="U349" s="581">
        <f t="shared" si="302"/>
        <v>0</v>
      </c>
      <c r="V349" s="581">
        <f t="shared" si="302"/>
        <v>0</v>
      </c>
      <c r="W349" s="581">
        <f t="shared" si="302"/>
        <v>0</v>
      </c>
      <c r="X349" s="581">
        <f t="shared" si="302"/>
        <v>0</v>
      </c>
      <c r="Y349" s="581">
        <f t="shared" si="302"/>
        <v>0</v>
      </c>
      <c r="Z349" s="581">
        <f t="shared" si="302"/>
        <v>0</v>
      </c>
      <c r="AA349" s="581">
        <f t="shared" si="302"/>
        <v>0</v>
      </c>
      <c r="AB349" s="581">
        <f t="shared" si="302"/>
        <v>0</v>
      </c>
      <c r="AC349" s="581">
        <f t="shared" si="302"/>
        <v>0</v>
      </c>
      <c r="AD349" s="581">
        <f t="shared" si="302"/>
        <v>0</v>
      </c>
      <c r="AE349" s="581">
        <f t="shared" si="302"/>
        <v>0</v>
      </c>
      <c r="AF349" s="581">
        <f t="shared" si="302"/>
        <v>0</v>
      </c>
      <c r="AH349" s="571"/>
      <c r="AK349" s="531"/>
      <c r="AM349" s="594"/>
      <c r="AN349" s="535"/>
      <c r="AP349" s="549"/>
      <c r="AQ349" s="549"/>
    </row>
    <row r="350" spans="1:43" s="586" customFormat="1" ht="16.5" hidden="1" customHeight="1" outlineLevel="2">
      <c r="A350" s="584"/>
      <c r="B350" s="585" t="s">
        <v>805</v>
      </c>
      <c r="C350" s="554">
        <v>0</v>
      </c>
      <c r="D350" s="554">
        <v>0</v>
      </c>
      <c r="E350" s="554">
        <f>D350</f>
        <v>0</v>
      </c>
      <c r="F350" s="554">
        <f t="shared" ref="F350:U355" si="303">E350</f>
        <v>0</v>
      </c>
      <c r="G350" s="554">
        <f t="shared" si="303"/>
        <v>0</v>
      </c>
      <c r="H350" s="554">
        <f t="shared" si="303"/>
        <v>0</v>
      </c>
      <c r="I350" s="554">
        <f t="shared" si="303"/>
        <v>0</v>
      </c>
      <c r="J350" s="554">
        <f t="shared" si="303"/>
        <v>0</v>
      </c>
      <c r="K350" s="554">
        <f t="shared" si="303"/>
        <v>0</v>
      </c>
      <c r="L350" s="554">
        <f t="shared" si="303"/>
        <v>0</v>
      </c>
      <c r="M350" s="554">
        <f t="shared" si="303"/>
        <v>0</v>
      </c>
      <c r="N350" s="554">
        <f t="shared" si="303"/>
        <v>0</v>
      </c>
      <c r="O350" s="554">
        <f t="shared" si="303"/>
        <v>0</v>
      </c>
      <c r="P350" s="554">
        <f t="shared" si="303"/>
        <v>0</v>
      </c>
      <c r="Q350" s="554">
        <f t="shared" si="303"/>
        <v>0</v>
      </c>
      <c r="R350" s="554">
        <f t="shared" si="303"/>
        <v>0</v>
      </c>
      <c r="S350" s="554">
        <f t="shared" si="303"/>
        <v>0</v>
      </c>
      <c r="T350" s="554">
        <f t="shared" si="303"/>
        <v>0</v>
      </c>
      <c r="U350" s="554">
        <f t="shared" si="303"/>
        <v>0</v>
      </c>
      <c r="V350" s="554">
        <f t="shared" ref="V350:AF355" si="304">U350</f>
        <v>0</v>
      </c>
      <c r="W350" s="554">
        <f t="shared" si="304"/>
        <v>0</v>
      </c>
      <c r="X350" s="554">
        <f t="shared" si="304"/>
        <v>0</v>
      </c>
      <c r="Y350" s="554">
        <f t="shared" si="304"/>
        <v>0</v>
      </c>
      <c r="Z350" s="554">
        <f t="shared" si="304"/>
        <v>0</v>
      </c>
      <c r="AA350" s="554">
        <f t="shared" si="304"/>
        <v>0</v>
      </c>
      <c r="AB350" s="554">
        <f t="shared" si="304"/>
        <v>0</v>
      </c>
      <c r="AC350" s="554">
        <f t="shared" si="304"/>
        <v>0</v>
      </c>
      <c r="AD350" s="554">
        <f t="shared" si="304"/>
        <v>0</v>
      </c>
      <c r="AE350" s="554">
        <f t="shared" si="304"/>
        <v>0</v>
      </c>
      <c r="AF350" s="554">
        <f t="shared" si="304"/>
        <v>0</v>
      </c>
      <c r="AH350" s="587"/>
      <c r="AK350" s="588"/>
      <c r="AM350" s="624"/>
      <c r="AN350" s="590"/>
      <c r="AP350" s="591"/>
      <c r="AQ350" s="591"/>
    </row>
    <row r="351" spans="1:43" s="513" customFormat="1" ht="16.5" hidden="1" customHeight="1" outlineLevel="2">
      <c r="A351" s="584"/>
      <c r="B351" s="572" t="s">
        <v>928</v>
      </c>
      <c r="C351" s="632">
        <f>'Sal._benef.'!$D$20</f>
        <v>4266.97</v>
      </c>
      <c r="D351" s="574">
        <f>C351</f>
        <v>4266.97</v>
      </c>
      <c r="E351" s="574">
        <f t="shared" ref="E351:E355" si="305">D351</f>
        <v>4266.97</v>
      </c>
      <c r="F351" s="574">
        <f t="shared" si="303"/>
        <v>4266.97</v>
      </c>
      <c r="G351" s="574">
        <f t="shared" si="303"/>
        <v>4266.97</v>
      </c>
      <c r="H351" s="574">
        <f t="shared" si="303"/>
        <v>4266.97</v>
      </c>
      <c r="I351" s="574">
        <f t="shared" si="303"/>
        <v>4266.97</v>
      </c>
      <c r="J351" s="574">
        <f t="shared" si="303"/>
        <v>4266.97</v>
      </c>
      <c r="K351" s="574">
        <f t="shared" si="303"/>
        <v>4266.97</v>
      </c>
      <c r="L351" s="574">
        <f t="shared" si="303"/>
        <v>4266.97</v>
      </c>
      <c r="M351" s="574">
        <f t="shared" si="303"/>
        <v>4266.97</v>
      </c>
      <c r="N351" s="574">
        <f t="shared" si="303"/>
        <v>4266.97</v>
      </c>
      <c r="O351" s="574">
        <f t="shared" si="303"/>
        <v>4266.97</v>
      </c>
      <c r="P351" s="574">
        <f t="shared" si="303"/>
        <v>4266.97</v>
      </c>
      <c r="Q351" s="574">
        <f t="shared" si="303"/>
        <v>4266.97</v>
      </c>
      <c r="R351" s="574">
        <f t="shared" si="303"/>
        <v>4266.97</v>
      </c>
      <c r="S351" s="574">
        <f t="shared" si="303"/>
        <v>4266.97</v>
      </c>
      <c r="T351" s="574">
        <f t="shared" si="303"/>
        <v>4266.97</v>
      </c>
      <c r="U351" s="574">
        <f t="shared" si="303"/>
        <v>4266.97</v>
      </c>
      <c r="V351" s="574">
        <f t="shared" si="304"/>
        <v>4266.97</v>
      </c>
      <c r="W351" s="574">
        <f t="shared" si="304"/>
        <v>4266.97</v>
      </c>
      <c r="X351" s="574">
        <f t="shared" si="304"/>
        <v>4266.97</v>
      </c>
      <c r="Y351" s="574">
        <f t="shared" si="304"/>
        <v>4266.97</v>
      </c>
      <c r="Z351" s="574">
        <f t="shared" si="304"/>
        <v>4266.97</v>
      </c>
      <c r="AA351" s="574">
        <f t="shared" si="304"/>
        <v>4266.97</v>
      </c>
      <c r="AB351" s="574">
        <f t="shared" si="304"/>
        <v>4266.97</v>
      </c>
      <c r="AC351" s="574">
        <f t="shared" si="304"/>
        <v>4266.97</v>
      </c>
      <c r="AD351" s="574">
        <f t="shared" si="304"/>
        <v>4266.97</v>
      </c>
      <c r="AE351" s="574">
        <f t="shared" si="304"/>
        <v>4266.97</v>
      </c>
      <c r="AF351" s="574">
        <f t="shared" si="304"/>
        <v>4266.97</v>
      </c>
      <c r="AH351" s="538"/>
      <c r="AK351" s="531"/>
      <c r="AM351" s="594"/>
      <c r="AN351" s="535"/>
      <c r="AP351" s="540"/>
      <c r="AQ351" s="540"/>
    </row>
    <row r="352" spans="1:43" s="513" customFormat="1" ht="16.5" hidden="1" customHeight="1" outlineLevel="2">
      <c r="A352" s="584"/>
      <c r="B352" s="572" t="s">
        <v>929</v>
      </c>
      <c r="C352" s="632">
        <f>'Sal._benef.'!$F$10</f>
        <v>1621</v>
      </c>
      <c r="D352" s="574">
        <f>C352</f>
        <v>1621</v>
      </c>
      <c r="E352" s="574">
        <f t="shared" si="305"/>
        <v>1621</v>
      </c>
      <c r="F352" s="574">
        <f t="shared" si="303"/>
        <v>1621</v>
      </c>
      <c r="G352" s="574">
        <f t="shared" si="303"/>
        <v>1621</v>
      </c>
      <c r="H352" s="574">
        <f t="shared" si="303"/>
        <v>1621</v>
      </c>
      <c r="I352" s="574">
        <f t="shared" si="303"/>
        <v>1621</v>
      </c>
      <c r="J352" s="574">
        <f t="shared" si="303"/>
        <v>1621</v>
      </c>
      <c r="K352" s="574">
        <f t="shared" si="303"/>
        <v>1621</v>
      </c>
      <c r="L352" s="574">
        <f t="shared" si="303"/>
        <v>1621</v>
      </c>
      <c r="M352" s="574">
        <f t="shared" si="303"/>
        <v>1621</v>
      </c>
      <c r="N352" s="574">
        <f t="shared" si="303"/>
        <v>1621</v>
      </c>
      <c r="O352" s="574">
        <f t="shared" si="303"/>
        <v>1621</v>
      </c>
      <c r="P352" s="574">
        <f t="shared" si="303"/>
        <v>1621</v>
      </c>
      <c r="Q352" s="574">
        <f t="shared" si="303"/>
        <v>1621</v>
      </c>
      <c r="R352" s="574">
        <f t="shared" si="303"/>
        <v>1621</v>
      </c>
      <c r="S352" s="574">
        <f t="shared" si="303"/>
        <v>1621</v>
      </c>
      <c r="T352" s="574">
        <f t="shared" si="303"/>
        <v>1621</v>
      </c>
      <c r="U352" s="574">
        <f t="shared" si="303"/>
        <v>1621</v>
      </c>
      <c r="V352" s="574">
        <f t="shared" si="304"/>
        <v>1621</v>
      </c>
      <c r="W352" s="574">
        <f t="shared" si="304"/>
        <v>1621</v>
      </c>
      <c r="X352" s="574">
        <f t="shared" si="304"/>
        <v>1621</v>
      </c>
      <c r="Y352" s="574">
        <f t="shared" si="304"/>
        <v>1621</v>
      </c>
      <c r="Z352" s="574">
        <f t="shared" si="304"/>
        <v>1621</v>
      </c>
      <c r="AA352" s="574">
        <f t="shared" si="304"/>
        <v>1621</v>
      </c>
      <c r="AB352" s="574">
        <f t="shared" si="304"/>
        <v>1621</v>
      </c>
      <c r="AC352" s="574">
        <f t="shared" si="304"/>
        <v>1621</v>
      </c>
      <c r="AD352" s="574">
        <f t="shared" si="304"/>
        <v>1621</v>
      </c>
      <c r="AE352" s="574">
        <f t="shared" si="304"/>
        <v>1621</v>
      </c>
      <c r="AF352" s="574">
        <f t="shared" si="304"/>
        <v>1621</v>
      </c>
      <c r="AH352" s="538"/>
      <c r="AK352" s="531"/>
      <c r="AM352" s="594"/>
      <c r="AN352" s="535"/>
      <c r="AP352" s="540"/>
      <c r="AQ352" s="540"/>
    </row>
    <row r="353" spans="1:43" s="513" customFormat="1" ht="16.5" hidden="1" customHeight="1" outlineLevel="2">
      <c r="A353" s="584"/>
      <c r="B353" s="585" t="s">
        <v>1487</v>
      </c>
      <c r="C353" s="632">
        <f>'Sal._benef.'!$F$20*'Sal._benef.'!$F$10</f>
        <v>648.40000000000009</v>
      </c>
      <c r="D353" s="574">
        <f>C353</f>
        <v>648.40000000000009</v>
      </c>
      <c r="E353" s="574">
        <f t="shared" si="305"/>
        <v>648.40000000000009</v>
      </c>
      <c r="F353" s="574">
        <f t="shared" si="303"/>
        <v>648.40000000000009</v>
      </c>
      <c r="G353" s="574">
        <f t="shared" si="303"/>
        <v>648.40000000000009</v>
      </c>
      <c r="H353" s="574">
        <f t="shared" si="303"/>
        <v>648.40000000000009</v>
      </c>
      <c r="I353" s="574">
        <f t="shared" si="303"/>
        <v>648.40000000000009</v>
      </c>
      <c r="J353" s="574">
        <f t="shared" si="303"/>
        <v>648.40000000000009</v>
      </c>
      <c r="K353" s="574">
        <f t="shared" si="303"/>
        <v>648.40000000000009</v>
      </c>
      <c r="L353" s="574">
        <f t="shared" si="303"/>
        <v>648.40000000000009</v>
      </c>
      <c r="M353" s="574">
        <f t="shared" si="303"/>
        <v>648.40000000000009</v>
      </c>
      <c r="N353" s="574">
        <f t="shared" si="303"/>
        <v>648.40000000000009</v>
      </c>
      <c r="O353" s="574">
        <f t="shared" si="303"/>
        <v>648.40000000000009</v>
      </c>
      <c r="P353" s="574">
        <f t="shared" si="303"/>
        <v>648.40000000000009</v>
      </c>
      <c r="Q353" s="574">
        <f t="shared" si="303"/>
        <v>648.40000000000009</v>
      </c>
      <c r="R353" s="574">
        <f t="shared" si="303"/>
        <v>648.40000000000009</v>
      </c>
      <c r="S353" s="574">
        <f t="shared" si="303"/>
        <v>648.40000000000009</v>
      </c>
      <c r="T353" s="574">
        <f t="shared" si="303"/>
        <v>648.40000000000009</v>
      </c>
      <c r="U353" s="574">
        <f t="shared" si="303"/>
        <v>648.40000000000009</v>
      </c>
      <c r="V353" s="574">
        <f t="shared" si="304"/>
        <v>648.40000000000009</v>
      </c>
      <c r="W353" s="574">
        <f t="shared" si="304"/>
        <v>648.40000000000009</v>
      </c>
      <c r="X353" s="574">
        <f t="shared" si="304"/>
        <v>648.40000000000009</v>
      </c>
      <c r="Y353" s="574">
        <f t="shared" si="304"/>
        <v>648.40000000000009</v>
      </c>
      <c r="Z353" s="574">
        <f t="shared" si="304"/>
        <v>648.40000000000009</v>
      </c>
      <c r="AA353" s="574">
        <f t="shared" si="304"/>
        <v>648.40000000000009</v>
      </c>
      <c r="AB353" s="574">
        <f t="shared" si="304"/>
        <v>648.40000000000009</v>
      </c>
      <c r="AC353" s="574">
        <f t="shared" si="304"/>
        <v>648.40000000000009</v>
      </c>
      <c r="AD353" s="574">
        <f t="shared" si="304"/>
        <v>648.40000000000009</v>
      </c>
      <c r="AE353" s="574">
        <f t="shared" si="304"/>
        <v>648.40000000000009</v>
      </c>
      <c r="AF353" s="574">
        <f t="shared" si="304"/>
        <v>648.40000000000009</v>
      </c>
      <c r="AH353" s="538"/>
      <c r="AK353" s="531"/>
      <c r="AM353" s="594"/>
      <c r="AN353" s="535"/>
      <c r="AP353" s="540"/>
      <c r="AQ353" s="540"/>
    </row>
    <row r="354" spans="1:43" s="513" customFormat="1" ht="16.5" hidden="1" customHeight="1" outlineLevel="2">
      <c r="A354" s="584"/>
      <c r="B354" s="585" t="s">
        <v>1486</v>
      </c>
      <c r="C354" s="574">
        <v>0</v>
      </c>
      <c r="D354" s="574">
        <f>C354</f>
        <v>0</v>
      </c>
      <c r="E354" s="574">
        <f t="shared" si="305"/>
        <v>0</v>
      </c>
      <c r="F354" s="574">
        <f t="shared" si="303"/>
        <v>0</v>
      </c>
      <c r="G354" s="574">
        <f t="shared" si="303"/>
        <v>0</v>
      </c>
      <c r="H354" s="574">
        <f t="shared" si="303"/>
        <v>0</v>
      </c>
      <c r="I354" s="574">
        <f>H354</f>
        <v>0</v>
      </c>
      <c r="J354" s="574">
        <f t="shared" si="303"/>
        <v>0</v>
      </c>
      <c r="K354" s="574">
        <f t="shared" si="303"/>
        <v>0</v>
      </c>
      <c r="L354" s="574">
        <f t="shared" si="303"/>
        <v>0</v>
      </c>
      <c r="M354" s="574">
        <f t="shared" si="303"/>
        <v>0</v>
      </c>
      <c r="N354" s="574">
        <f t="shared" si="303"/>
        <v>0</v>
      </c>
      <c r="O354" s="574">
        <f t="shared" si="303"/>
        <v>0</v>
      </c>
      <c r="P354" s="574">
        <f t="shared" si="303"/>
        <v>0</v>
      </c>
      <c r="Q354" s="574">
        <f t="shared" si="303"/>
        <v>0</v>
      </c>
      <c r="R354" s="574">
        <f t="shared" si="303"/>
        <v>0</v>
      </c>
      <c r="S354" s="574">
        <f t="shared" si="303"/>
        <v>0</v>
      </c>
      <c r="T354" s="574">
        <f t="shared" si="303"/>
        <v>0</v>
      </c>
      <c r="U354" s="574">
        <f t="shared" si="303"/>
        <v>0</v>
      </c>
      <c r="V354" s="574">
        <f t="shared" si="304"/>
        <v>0</v>
      </c>
      <c r="W354" s="574">
        <f t="shared" si="304"/>
        <v>0</v>
      </c>
      <c r="X354" s="574">
        <f t="shared" si="304"/>
        <v>0</v>
      </c>
      <c r="Y354" s="574">
        <f t="shared" si="304"/>
        <v>0</v>
      </c>
      <c r="Z354" s="574">
        <f t="shared" si="304"/>
        <v>0</v>
      </c>
      <c r="AA354" s="574">
        <f t="shared" si="304"/>
        <v>0</v>
      </c>
      <c r="AB354" s="574">
        <f t="shared" si="304"/>
        <v>0</v>
      </c>
      <c r="AC354" s="574">
        <f t="shared" si="304"/>
        <v>0</v>
      </c>
      <c r="AD354" s="574">
        <f t="shared" si="304"/>
        <v>0</v>
      </c>
      <c r="AE354" s="574">
        <f t="shared" si="304"/>
        <v>0</v>
      </c>
      <c r="AF354" s="574">
        <f t="shared" si="304"/>
        <v>0</v>
      </c>
      <c r="AH354" s="538"/>
      <c r="AK354" s="531"/>
      <c r="AM354" s="594"/>
      <c r="AN354" s="535"/>
      <c r="AP354" s="540"/>
      <c r="AQ354" s="540"/>
    </row>
    <row r="355" spans="1:43" s="513" customFormat="1" ht="16.5" hidden="1" customHeight="1" outlineLevel="2">
      <c r="A355" s="584"/>
      <c r="B355" s="572" t="s">
        <v>1367</v>
      </c>
      <c r="C355" s="574">
        <v>0</v>
      </c>
      <c r="D355" s="574">
        <f>C355</f>
        <v>0</v>
      </c>
      <c r="E355" s="574">
        <f t="shared" si="305"/>
        <v>0</v>
      </c>
      <c r="F355" s="574">
        <f t="shared" si="303"/>
        <v>0</v>
      </c>
      <c r="G355" s="574">
        <f t="shared" si="303"/>
        <v>0</v>
      </c>
      <c r="H355" s="574">
        <f t="shared" si="303"/>
        <v>0</v>
      </c>
      <c r="I355" s="574">
        <f t="shared" si="303"/>
        <v>0</v>
      </c>
      <c r="J355" s="574">
        <f t="shared" si="303"/>
        <v>0</v>
      </c>
      <c r="K355" s="574">
        <f t="shared" si="303"/>
        <v>0</v>
      </c>
      <c r="L355" s="574">
        <f t="shared" si="303"/>
        <v>0</v>
      </c>
      <c r="M355" s="574">
        <f t="shared" si="303"/>
        <v>0</v>
      </c>
      <c r="N355" s="574">
        <f t="shared" si="303"/>
        <v>0</v>
      </c>
      <c r="O355" s="574">
        <f t="shared" si="303"/>
        <v>0</v>
      </c>
      <c r="P355" s="574">
        <f t="shared" si="303"/>
        <v>0</v>
      </c>
      <c r="Q355" s="574">
        <f t="shared" si="303"/>
        <v>0</v>
      </c>
      <c r="R355" s="574">
        <f t="shared" si="303"/>
        <v>0</v>
      </c>
      <c r="S355" s="574">
        <f t="shared" si="303"/>
        <v>0</v>
      </c>
      <c r="T355" s="574">
        <f t="shared" si="303"/>
        <v>0</v>
      </c>
      <c r="U355" s="574">
        <f t="shared" si="303"/>
        <v>0</v>
      </c>
      <c r="V355" s="574">
        <f t="shared" si="304"/>
        <v>0</v>
      </c>
      <c r="W355" s="574">
        <f t="shared" si="304"/>
        <v>0</v>
      </c>
      <c r="X355" s="574">
        <f t="shared" si="304"/>
        <v>0</v>
      </c>
      <c r="Y355" s="574">
        <f t="shared" si="304"/>
        <v>0</v>
      </c>
      <c r="Z355" s="574">
        <f t="shared" si="304"/>
        <v>0</v>
      </c>
      <c r="AA355" s="574">
        <f t="shared" si="304"/>
        <v>0</v>
      </c>
      <c r="AB355" s="574">
        <f t="shared" si="304"/>
        <v>0</v>
      </c>
      <c r="AC355" s="574">
        <f t="shared" si="304"/>
        <v>0</v>
      </c>
      <c r="AD355" s="574">
        <f t="shared" si="304"/>
        <v>0</v>
      </c>
      <c r="AE355" s="574">
        <f t="shared" si="304"/>
        <v>0</v>
      </c>
      <c r="AF355" s="574">
        <f t="shared" si="304"/>
        <v>0</v>
      </c>
      <c r="AH355" s="538"/>
      <c r="AK355" s="531"/>
      <c r="AM355" s="594"/>
      <c r="AN355" s="535"/>
      <c r="AP355" s="540"/>
      <c r="AQ355" s="540"/>
    </row>
    <row r="356" spans="1:43" ht="3" hidden="1" customHeight="1" outlineLevel="2">
      <c r="A356" s="584"/>
      <c r="B356" s="609"/>
      <c r="C356" s="611"/>
      <c r="D356" s="611"/>
      <c r="E356" s="610"/>
      <c r="F356" s="610"/>
      <c r="G356" s="610"/>
      <c r="H356" s="610"/>
      <c r="I356" s="610"/>
      <c r="J356" s="610"/>
      <c r="K356" s="610"/>
      <c r="L356" s="610"/>
      <c r="M356" s="610"/>
      <c r="N356" s="610"/>
      <c r="O356" s="610"/>
      <c r="P356" s="610"/>
      <c r="Q356" s="610"/>
      <c r="R356" s="610"/>
      <c r="S356" s="610"/>
      <c r="T356" s="610"/>
      <c r="U356" s="610"/>
      <c r="V356" s="610"/>
      <c r="W356" s="610"/>
      <c r="X356" s="610"/>
      <c r="Y356" s="610"/>
      <c r="Z356" s="610"/>
      <c r="AA356" s="610"/>
      <c r="AB356" s="610"/>
      <c r="AC356" s="610"/>
      <c r="AD356" s="610"/>
      <c r="AE356" s="610"/>
      <c r="AF356" s="610"/>
      <c r="AH356" s="593"/>
      <c r="AK356" s="531"/>
      <c r="AM356" s="594"/>
      <c r="AN356" s="535"/>
      <c r="AP356" s="535"/>
      <c r="AQ356" s="535"/>
    </row>
    <row r="357" spans="1:43" s="564" customFormat="1" ht="16.5" hidden="1" customHeight="1" outlineLevel="1" collapsed="1">
      <c r="A357" s="584"/>
      <c r="B357" s="576" t="s">
        <v>936</v>
      </c>
      <c r="C357" s="577">
        <f>C358</f>
        <v>133.73528400000001</v>
      </c>
      <c r="D357" s="577">
        <f>D358</f>
        <v>133.73528400000001</v>
      </c>
      <c r="E357" s="577">
        <f t="shared" ref="E357:AF357" si="306">E358</f>
        <v>133.73528400000001</v>
      </c>
      <c r="F357" s="577">
        <f t="shared" si="306"/>
        <v>243.05727288</v>
      </c>
      <c r="G357" s="577">
        <f t="shared" si="306"/>
        <v>243.05727288</v>
      </c>
      <c r="H357" s="577">
        <f t="shared" si="306"/>
        <v>243.05727288</v>
      </c>
      <c r="I357" s="577">
        <f t="shared" si="306"/>
        <v>243.05727288</v>
      </c>
      <c r="J357" s="577">
        <f t="shared" si="306"/>
        <v>243.05727288</v>
      </c>
      <c r="K357" s="577">
        <f t="shared" si="306"/>
        <v>243.05727288</v>
      </c>
      <c r="L357" s="577">
        <f t="shared" si="306"/>
        <v>243.05727288</v>
      </c>
      <c r="M357" s="577">
        <f t="shared" si="306"/>
        <v>243.05727288</v>
      </c>
      <c r="N357" s="577">
        <f t="shared" si="306"/>
        <v>243.05727288</v>
      </c>
      <c r="O357" s="577">
        <f t="shared" si="306"/>
        <v>243.05727288</v>
      </c>
      <c r="P357" s="577">
        <f t="shared" si="306"/>
        <v>243.05727288</v>
      </c>
      <c r="Q357" s="577">
        <f t="shared" si="306"/>
        <v>243.05727288</v>
      </c>
      <c r="R357" s="577">
        <f t="shared" si="306"/>
        <v>243.05727288</v>
      </c>
      <c r="S357" s="577">
        <f t="shared" si="306"/>
        <v>243.05727288</v>
      </c>
      <c r="T357" s="577">
        <f t="shared" si="306"/>
        <v>243.05727288</v>
      </c>
      <c r="U357" s="577">
        <f t="shared" si="306"/>
        <v>243.05727288</v>
      </c>
      <c r="V357" s="577">
        <f t="shared" si="306"/>
        <v>243.05727288</v>
      </c>
      <c r="W357" s="577">
        <f t="shared" si="306"/>
        <v>243.05727288</v>
      </c>
      <c r="X357" s="577">
        <f t="shared" si="306"/>
        <v>243.05727288</v>
      </c>
      <c r="Y357" s="577">
        <f t="shared" si="306"/>
        <v>243.05727288</v>
      </c>
      <c r="Z357" s="577">
        <f t="shared" si="306"/>
        <v>243.05727288</v>
      </c>
      <c r="AA357" s="577">
        <f t="shared" si="306"/>
        <v>243.05727288</v>
      </c>
      <c r="AB357" s="577">
        <f t="shared" si="306"/>
        <v>243.05727288</v>
      </c>
      <c r="AC357" s="577">
        <f t="shared" si="306"/>
        <v>243.05727288</v>
      </c>
      <c r="AD357" s="577">
        <f t="shared" si="306"/>
        <v>243.05727288</v>
      </c>
      <c r="AE357" s="577">
        <f t="shared" si="306"/>
        <v>243.05727288</v>
      </c>
      <c r="AF357" s="577">
        <f t="shared" si="306"/>
        <v>243.05727288</v>
      </c>
      <c r="AH357" s="578">
        <f>SUM(C357:AF357)</f>
        <v>6963.7522197599965</v>
      </c>
      <c r="AJ357" s="579"/>
      <c r="AK357" s="531"/>
      <c r="AM357" s="594"/>
      <c r="AN357" s="535"/>
      <c r="AP357" s="568"/>
      <c r="AQ357" s="568"/>
    </row>
    <row r="358" spans="1:43" s="546" customFormat="1" ht="16.5" hidden="1" customHeight="1" outlineLevel="2">
      <c r="A358" s="584"/>
      <c r="B358" s="569" t="s">
        <v>937</v>
      </c>
      <c r="C358" s="570">
        <f t="shared" ref="C358:AF358" si="307">C313*C359</f>
        <v>133.73528400000001</v>
      </c>
      <c r="D358" s="570">
        <f t="shared" si="307"/>
        <v>133.73528400000001</v>
      </c>
      <c r="E358" s="570">
        <f t="shared" si="307"/>
        <v>133.73528400000001</v>
      </c>
      <c r="F358" s="570">
        <f t="shared" si="307"/>
        <v>243.05727288</v>
      </c>
      <c r="G358" s="570">
        <f t="shared" si="307"/>
        <v>243.05727288</v>
      </c>
      <c r="H358" s="570">
        <f t="shared" si="307"/>
        <v>243.05727288</v>
      </c>
      <c r="I358" s="570">
        <f t="shared" si="307"/>
        <v>243.05727288</v>
      </c>
      <c r="J358" s="570">
        <f t="shared" si="307"/>
        <v>243.05727288</v>
      </c>
      <c r="K358" s="570">
        <f t="shared" si="307"/>
        <v>243.05727288</v>
      </c>
      <c r="L358" s="570">
        <f t="shared" si="307"/>
        <v>243.05727288</v>
      </c>
      <c r="M358" s="570">
        <f t="shared" si="307"/>
        <v>243.05727288</v>
      </c>
      <c r="N358" s="570">
        <f t="shared" si="307"/>
        <v>243.05727288</v>
      </c>
      <c r="O358" s="570">
        <f t="shared" si="307"/>
        <v>243.05727288</v>
      </c>
      <c r="P358" s="570">
        <f t="shared" si="307"/>
        <v>243.05727288</v>
      </c>
      <c r="Q358" s="570">
        <f t="shared" si="307"/>
        <v>243.05727288</v>
      </c>
      <c r="R358" s="570">
        <f t="shared" si="307"/>
        <v>243.05727288</v>
      </c>
      <c r="S358" s="570">
        <f t="shared" si="307"/>
        <v>243.05727288</v>
      </c>
      <c r="T358" s="570">
        <f t="shared" si="307"/>
        <v>243.05727288</v>
      </c>
      <c r="U358" s="570">
        <f t="shared" si="307"/>
        <v>243.05727288</v>
      </c>
      <c r="V358" s="570">
        <f t="shared" si="307"/>
        <v>243.05727288</v>
      </c>
      <c r="W358" s="570">
        <f t="shared" si="307"/>
        <v>243.05727288</v>
      </c>
      <c r="X358" s="570">
        <f t="shared" si="307"/>
        <v>243.05727288</v>
      </c>
      <c r="Y358" s="570">
        <f t="shared" si="307"/>
        <v>243.05727288</v>
      </c>
      <c r="Z358" s="570">
        <f t="shared" si="307"/>
        <v>243.05727288</v>
      </c>
      <c r="AA358" s="570">
        <f t="shared" si="307"/>
        <v>243.05727288</v>
      </c>
      <c r="AB358" s="570">
        <f t="shared" si="307"/>
        <v>243.05727288</v>
      </c>
      <c r="AC358" s="570">
        <f t="shared" si="307"/>
        <v>243.05727288</v>
      </c>
      <c r="AD358" s="570">
        <f t="shared" si="307"/>
        <v>243.05727288</v>
      </c>
      <c r="AE358" s="570">
        <f t="shared" si="307"/>
        <v>243.05727288</v>
      </c>
      <c r="AF358" s="570">
        <f t="shared" si="307"/>
        <v>243.05727288</v>
      </c>
      <c r="AH358" s="571"/>
      <c r="AK358" s="531"/>
      <c r="AM358" s="594"/>
      <c r="AN358" s="535"/>
      <c r="AP358" s="549"/>
      <c r="AQ358" s="549"/>
    </row>
    <row r="359" spans="1:43" s="513" customFormat="1" ht="16.5" hidden="1" customHeight="1" outlineLevel="2">
      <c r="A359" s="584"/>
      <c r="B359" s="572" t="s">
        <v>938</v>
      </c>
      <c r="C359" s="378">
        <f>'Sal._benef.'!$F$11</f>
        <v>0.71030000000000004</v>
      </c>
      <c r="D359" s="378">
        <f>C359</f>
        <v>0.71030000000000004</v>
      </c>
      <c r="E359" s="378">
        <f t="shared" ref="E359:AF359" si="308">D359</f>
        <v>0.71030000000000004</v>
      </c>
      <c r="F359" s="378">
        <f t="shared" si="308"/>
        <v>0.71030000000000004</v>
      </c>
      <c r="G359" s="378">
        <f t="shared" si="308"/>
        <v>0.71030000000000004</v>
      </c>
      <c r="H359" s="378">
        <f t="shared" si="308"/>
        <v>0.71030000000000004</v>
      </c>
      <c r="I359" s="378">
        <f t="shared" si="308"/>
        <v>0.71030000000000004</v>
      </c>
      <c r="J359" s="378">
        <f t="shared" si="308"/>
        <v>0.71030000000000004</v>
      </c>
      <c r="K359" s="378">
        <f t="shared" si="308"/>
        <v>0.71030000000000004</v>
      </c>
      <c r="L359" s="378">
        <f t="shared" si="308"/>
        <v>0.71030000000000004</v>
      </c>
      <c r="M359" s="378">
        <f t="shared" si="308"/>
        <v>0.71030000000000004</v>
      </c>
      <c r="N359" s="378">
        <f t="shared" si="308"/>
        <v>0.71030000000000004</v>
      </c>
      <c r="O359" s="378">
        <f t="shared" si="308"/>
        <v>0.71030000000000004</v>
      </c>
      <c r="P359" s="378">
        <f t="shared" si="308"/>
        <v>0.71030000000000004</v>
      </c>
      <c r="Q359" s="378">
        <f t="shared" si="308"/>
        <v>0.71030000000000004</v>
      </c>
      <c r="R359" s="378">
        <f t="shared" si="308"/>
        <v>0.71030000000000004</v>
      </c>
      <c r="S359" s="378">
        <f t="shared" si="308"/>
        <v>0.71030000000000004</v>
      </c>
      <c r="T359" s="378">
        <f t="shared" si="308"/>
        <v>0.71030000000000004</v>
      </c>
      <c r="U359" s="378">
        <f t="shared" si="308"/>
        <v>0.71030000000000004</v>
      </c>
      <c r="V359" s="378">
        <f t="shared" si="308"/>
        <v>0.71030000000000004</v>
      </c>
      <c r="W359" s="378">
        <f t="shared" si="308"/>
        <v>0.71030000000000004</v>
      </c>
      <c r="X359" s="378">
        <f t="shared" si="308"/>
        <v>0.71030000000000004</v>
      </c>
      <c r="Y359" s="378">
        <f t="shared" si="308"/>
        <v>0.71030000000000004</v>
      </c>
      <c r="Z359" s="378">
        <f t="shared" si="308"/>
        <v>0.71030000000000004</v>
      </c>
      <c r="AA359" s="378">
        <f t="shared" si="308"/>
        <v>0.71030000000000004</v>
      </c>
      <c r="AB359" s="378">
        <f t="shared" si="308"/>
        <v>0.71030000000000004</v>
      </c>
      <c r="AC359" s="378">
        <f t="shared" si="308"/>
        <v>0.71030000000000004</v>
      </c>
      <c r="AD359" s="378">
        <f t="shared" si="308"/>
        <v>0.71030000000000004</v>
      </c>
      <c r="AE359" s="378">
        <f t="shared" si="308"/>
        <v>0.71030000000000004</v>
      </c>
      <c r="AF359" s="378">
        <f t="shared" si="308"/>
        <v>0.71030000000000004</v>
      </c>
      <c r="AH359" s="538"/>
      <c r="AK359" s="531"/>
      <c r="AM359" s="594"/>
      <c r="AN359" s="535"/>
      <c r="AP359" s="540"/>
      <c r="AQ359" s="540"/>
    </row>
    <row r="360" spans="1:43" ht="3" hidden="1" customHeight="1" outlineLevel="2">
      <c r="A360" s="584"/>
      <c r="B360" s="609"/>
      <c r="C360" s="611"/>
      <c r="D360" s="611"/>
      <c r="E360" s="610"/>
      <c r="F360" s="610"/>
      <c r="G360" s="610"/>
      <c r="H360" s="610"/>
      <c r="I360" s="610"/>
      <c r="J360" s="610"/>
      <c r="K360" s="610"/>
      <c r="L360" s="610"/>
      <c r="M360" s="610"/>
      <c r="N360" s="610"/>
      <c r="O360" s="610"/>
      <c r="P360" s="610"/>
      <c r="Q360" s="610"/>
      <c r="R360" s="610"/>
      <c r="S360" s="610"/>
      <c r="T360" s="610"/>
      <c r="U360" s="610"/>
      <c r="V360" s="610"/>
      <c r="W360" s="610"/>
      <c r="X360" s="610"/>
      <c r="Y360" s="610"/>
      <c r="Z360" s="610"/>
      <c r="AA360" s="610"/>
      <c r="AB360" s="610"/>
      <c r="AC360" s="610"/>
      <c r="AD360" s="610"/>
      <c r="AE360" s="610"/>
      <c r="AF360" s="610"/>
      <c r="AH360" s="593"/>
      <c r="AK360" s="531"/>
      <c r="AM360" s="594"/>
      <c r="AN360" s="535"/>
      <c r="AP360" s="535"/>
      <c r="AQ360" s="535"/>
    </row>
    <row r="361" spans="1:43" s="564" customFormat="1" ht="16.5" hidden="1" customHeight="1" outlineLevel="1" collapsed="1">
      <c r="A361" s="584"/>
      <c r="B361" s="576" t="s">
        <v>939</v>
      </c>
      <c r="C361" s="599">
        <f t="shared" ref="C361:AF361" si="309">SUM(C362,C368,C374,C380,C386,C392)*12/10^3</f>
        <v>45.558</v>
      </c>
      <c r="D361" s="599">
        <f t="shared" si="309"/>
        <v>45.558</v>
      </c>
      <c r="E361" s="599">
        <f t="shared" si="309"/>
        <v>45.558</v>
      </c>
      <c r="F361" s="599">
        <f t="shared" si="309"/>
        <v>83.858040000000003</v>
      </c>
      <c r="G361" s="599">
        <f t="shared" si="309"/>
        <v>83.858040000000003</v>
      </c>
      <c r="H361" s="599">
        <f t="shared" si="309"/>
        <v>83.858040000000003</v>
      </c>
      <c r="I361" s="599">
        <f t="shared" si="309"/>
        <v>83.858040000000003</v>
      </c>
      <c r="J361" s="599">
        <f t="shared" si="309"/>
        <v>83.858040000000003</v>
      </c>
      <c r="K361" s="599">
        <f t="shared" si="309"/>
        <v>83.858040000000003</v>
      </c>
      <c r="L361" s="599">
        <f t="shared" si="309"/>
        <v>83.858040000000003</v>
      </c>
      <c r="M361" s="599">
        <f t="shared" si="309"/>
        <v>83.858040000000003</v>
      </c>
      <c r="N361" s="599">
        <f t="shared" si="309"/>
        <v>83.858040000000003</v>
      </c>
      <c r="O361" s="599">
        <f t="shared" si="309"/>
        <v>83.858040000000003</v>
      </c>
      <c r="P361" s="599">
        <f t="shared" si="309"/>
        <v>83.858040000000003</v>
      </c>
      <c r="Q361" s="599">
        <f t="shared" si="309"/>
        <v>83.858040000000003</v>
      </c>
      <c r="R361" s="599">
        <f t="shared" si="309"/>
        <v>83.858040000000003</v>
      </c>
      <c r="S361" s="599">
        <f t="shared" si="309"/>
        <v>83.858040000000003</v>
      </c>
      <c r="T361" s="599">
        <f t="shared" si="309"/>
        <v>83.858040000000003</v>
      </c>
      <c r="U361" s="599">
        <f t="shared" si="309"/>
        <v>83.858040000000003</v>
      </c>
      <c r="V361" s="599">
        <f t="shared" si="309"/>
        <v>83.858040000000003</v>
      </c>
      <c r="W361" s="599">
        <f t="shared" si="309"/>
        <v>83.858040000000003</v>
      </c>
      <c r="X361" s="599">
        <f t="shared" si="309"/>
        <v>83.858040000000003</v>
      </c>
      <c r="Y361" s="599">
        <f t="shared" si="309"/>
        <v>83.858040000000003</v>
      </c>
      <c r="Z361" s="599">
        <f t="shared" si="309"/>
        <v>83.858040000000003</v>
      </c>
      <c r="AA361" s="599">
        <f t="shared" si="309"/>
        <v>83.858040000000003</v>
      </c>
      <c r="AB361" s="599">
        <f t="shared" si="309"/>
        <v>83.858040000000003</v>
      </c>
      <c r="AC361" s="599">
        <f t="shared" si="309"/>
        <v>83.858040000000003</v>
      </c>
      <c r="AD361" s="599">
        <f t="shared" si="309"/>
        <v>83.858040000000003</v>
      </c>
      <c r="AE361" s="599">
        <f t="shared" si="309"/>
        <v>83.858040000000003</v>
      </c>
      <c r="AF361" s="599">
        <f t="shared" si="309"/>
        <v>83.858040000000003</v>
      </c>
      <c r="AH361" s="578">
        <f>SUM(C361:AF361)</f>
        <v>2400.8410800000011</v>
      </c>
      <c r="AJ361" s="579"/>
      <c r="AK361" s="531"/>
      <c r="AM361" s="594"/>
      <c r="AN361" s="535"/>
      <c r="AP361" s="568"/>
      <c r="AQ361" s="568"/>
    </row>
    <row r="362" spans="1:43" s="546" customFormat="1" ht="16.5" hidden="1" customHeight="1" outlineLevel="2">
      <c r="A362" s="584"/>
      <c r="B362" s="613" t="s">
        <v>927</v>
      </c>
      <c r="C362" s="570">
        <f>C363*(C364+C365+C366+C367)</f>
        <v>1209.6599999999999</v>
      </c>
      <c r="D362" s="570">
        <f t="shared" ref="D362:AF362" si="310">D363*(D364+D365+D366+D367)</f>
        <v>1209.6599999999999</v>
      </c>
      <c r="E362" s="570">
        <f t="shared" si="310"/>
        <v>1209.6599999999999</v>
      </c>
      <c r="F362" s="570">
        <f t="shared" si="310"/>
        <v>1814.4899999999998</v>
      </c>
      <c r="G362" s="570">
        <f t="shared" si="310"/>
        <v>1814.4899999999998</v>
      </c>
      <c r="H362" s="570">
        <f t="shared" si="310"/>
        <v>1814.4899999999998</v>
      </c>
      <c r="I362" s="570">
        <f t="shared" si="310"/>
        <v>1814.4899999999998</v>
      </c>
      <c r="J362" s="570">
        <f t="shared" si="310"/>
        <v>1814.4899999999998</v>
      </c>
      <c r="K362" s="570">
        <f t="shared" si="310"/>
        <v>1814.4899999999998</v>
      </c>
      <c r="L362" s="570">
        <f t="shared" si="310"/>
        <v>1814.4899999999998</v>
      </c>
      <c r="M362" s="570">
        <f t="shared" si="310"/>
        <v>1814.4899999999998</v>
      </c>
      <c r="N362" s="570">
        <f t="shared" si="310"/>
        <v>1814.4899999999998</v>
      </c>
      <c r="O362" s="570">
        <f t="shared" si="310"/>
        <v>1814.4899999999998</v>
      </c>
      <c r="P362" s="570">
        <f t="shared" si="310"/>
        <v>1814.4899999999998</v>
      </c>
      <c r="Q362" s="570">
        <f t="shared" si="310"/>
        <v>1814.4899999999998</v>
      </c>
      <c r="R362" s="570">
        <f t="shared" si="310"/>
        <v>1814.4899999999998</v>
      </c>
      <c r="S362" s="570">
        <f t="shared" si="310"/>
        <v>1814.4899999999998</v>
      </c>
      <c r="T362" s="570">
        <f t="shared" si="310"/>
        <v>1814.4899999999998</v>
      </c>
      <c r="U362" s="570">
        <f t="shared" si="310"/>
        <v>1814.4899999999998</v>
      </c>
      <c r="V362" s="570">
        <f t="shared" si="310"/>
        <v>1814.4899999999998</v>
      </c>
      <c r="W362" s="570">
        <f t="shared" si="310"/>
        <v>1814.4899999999998</v>
      </c>
      <c r="X362" s="570">
        <f t="shared" si="310"/>
        <v>1814.4899999999998</v>
      </c>
      <c r="Y362" s="570">
        <f t="shared" si="310"/>
        <v>1814.4899999999998</v>
      </c>
      <c r="Z362" s="570">
        <f t="shared" si="310"/>
        <v>1814.4899999999998</v>
      </c>
      <c r="AA362" s="570">
        <f t="shared" si="310"/>
        <v>1814.4899999999998</v>
      </c>
      <c r="AB362" s="570">
        <f t="shared" si="310"/>
        <v>1814.4899999999998</v>
      </c>
      <c r="AC362" s="570">
        <f t="shared" si="310"/>
        <v>1814.4899999999998</v>
      </c>
      <c r="AD362" s="570">
        <f t="shared" si="310"/>
        <v>1814.4899999999998</v>
      </c>
      <c r="AE362" s="570">
        <f t="shared" si="310"/>
        <v>1814.4899999999998</v>
      </c>
      <c r="AF362" s="570">
        <f t="shared" si="310"/>
        <v>1814.4899999999998</v>
      </c>
      <c r="AH362" s="571"/>
      <c r="AK362" s="531"/>
      <c r="AM362" s="594"/>
      <c r="AN362" s="535"/>
      <c r="AP362" s="549"/>
      <c r="AQ362" s="549"/>
    </row>
    <row r="363" spans="1:43" s="586" customFormat="1" ht="16.5" hidden="1" customHeight="1" outlineLevel="2">
      <c r="A363" s="584"/>
      <c r="B363" s="585" t="s">
        <v>805</v>
      </c>
      <c r="C363" s="716">
        <f t="shared" ref="C363:AF363" si="311">C315</f>
        <v>2</v>
      </c>
      <c r="D363" s="716">
        <f t="shared" si="311"/>
        <v>2</v>
      </c>
      <c r="E363" s="716">
        <f t="shared" si="311"/>
        <v>2</v>
      </c>
      <c r="F363" s="716">
        <f t="shared" si="311"/>
        <v>3</v>
      </c>
      <c r="G363" s="716">
        <f t="shared" si="311"/>
        <v>3</v>
      </c>
      <c r="H363" s="716">
        <f t="shared" si="311"/>
        <v>3</v>
      </c>
      <c r="I363" s="716">
        <f t="shared" si="311"/>
        <v>3</v>
      </c>
      <c r="J363" s="716">
        <f t="shared" si="311"/>
        <v>3</v>
      </c>
      <c r="K363" s="716">
        <f t="shared" si="311"/>
        <v>3</v>
      </c>
      <c r="L363" s="716">
        <f t="shared" si="311"/>
        <v>3</v>
      </c>
      <c r="M363" s="716">
        <f t="shared" si="311"/>
        <v>3</v>
      </c>
      <c r="N363" s="716">
        <f t="shared" si="311"/>
        <v>3</v>
      </c>
      <c r="O363" s="716">
        <f t="shared" si="311"/>
        <v>3</v>
      </c>
      <c r="P363" s="716">
        <f t="shared" si="311"/>
        <v>3</v>
      </c>
      <c r="Q363" s="716">
        <f t="shared" si="311"/>
        <v>3</v>
      </c>
      <c r="R363" s="716">
        <f t="shared" si="311"/>
        <v>3</v>
      </c>
      <c r="S363" s="716">
        <f t="shared" si="311"/>
        <v>3</v>
      </c>
      <c r="T363" s="716">
        <f t="shared" si="311"/>
        <v>3</v>
      </c>
      <c r="U363" s="716">
        <f t="shared" si="311"/>
        <v>3</v>
      </c>
      <c r="V363" s="716">
        <f t="shared" si="311"/>
        <v>3</v>
      </c>
      <c r="W363" s="716">
        <f t="shared" si="311"/>
        <v>3</v>
      </c>
      <c r="X363" s="716">
        <f t="shared" si="311"/>
        <v>3</v>
      </c>
      <c r="Y363" s="716">
        <f t="shared" si="311"/>
        <v>3</v>
      </c>
      <c r="Z363" s="716">
        <f t="shared" si="311"/>
        <v>3</v>
      </c>
      <c r="AA363" s="716">
        <f t="shared" si="311"/>
        <v>3</v>
      </c>
      <c r="AB363" s="716">
        <f t="shared" si="311"/>
        <v>3</v>
      </c>
      <c r="AC363" s="716">
        <f t="shared" si="311"/>
        <v>3</v>
      </c>
      <c r="AD363" s="716">
        <f t="shared" si="311"/>
        <v>3</v>
      </c>
      <c r="AE363" s="716">
        <f t="shared" si="311"/>
        <v>3</v>
      </c>
      <c r="AF363" s="716">
        <f t="shared" si="311"/>
        <v>3</v>
      </c>
      <c r="AH363" s="587"/>
      <c r="AK363" s="588"/>
      <c r="AM363" s="624"/>
      <c r="AN363" s="590"/>
      <c r="AP363" s="591"/>
      <c r="AQ363" s="591"/>
    </row>
    <row r="364" spans="1:43" s="513" customFormat="1" ht="16.5" hidden="1" customHeight="1" outlineLevel="2">
      <c r="A364" s="584"/>
      <c r="B364" s="572" t="s">
        <v>940</v>
      </c>
      <c r="C364" s="592">
        <f>'Sal._benef.'!$I$23</f>
        <v>500</v>
      </c>
      <c r="D364" s="592">
        <f>C364</f>
        <v>500</v>
      </c>
      <c r="E364" s="592">
        <f t="shared" ref="E364:T367" si="312">D364</f>
        <v>500</v>
      </c>
      <c r="F364" s="592">
        <f t="shared" si="312"/>
        <v>500</v>
      </c>
      <c r="G364" s="592">
        <f t="shared" si="312"/>
        <v>500</v>
      </c>
      <c r="H364" s="592">
        <f t="shared" si="312"/>
        <v>500</v>
      </c>
      <c r="I364" s="592">
        <f t="shared" si="312"/>
        <v>500</v>
      </c>
      <c r="J364" s="592">
        <f t="shared" si="312"/>
        <v>500</v>
      </c>
      <c r="K364" s="592">
        <f t="shared" si="312"/>
        <v>500</v>
      </c>
      <c r="L364" s="592">
        <f t="shared" si="312"/>
        <v>500</v>
      </c>
      <c r="M364" s="592">
        <f t="shared" si="312"/>
        <v>500</v>
      </c>
      <c r="N364" s="592">
        <f t="shared" si="312"/>
        <v>500</v>
      </c>
      <c r="O364" s="592">
        <f t="shared" si="312"/>
        <v>500</v>
      </c>
      <c r="P364" s="592">
        <f t="shared" si="312"/>
        <v>500</v>
      </c>
      <c r="Q364" s="592">
        <f t="shared" si="312"/>
        <v>500</v>
      </c>
      <c r="R364" s="592">
        <f t="shared" si="312"/>
        <v>500</v>
      </c>
      <c r="S364" s="592">
        <f t="shared" si="312"/>
        <v>500</v>
      </c>
      <c r="T364" s="592">
        <f t="shared" si="312"/>
        <v>500</v>
      </c>
      <c r="U364" s="592">
        <f t="shared" ref="U364:AF367" si="313">T364</f>
        <v>500</v>
      </c>
      <c r="V364" s="592">
        <f t="shared" si="313"/>
        <v>500</v>
      </c>
      <c r="W364" s="592">
        <f t="shared" si="313"/>
        <v>500</v>
      </c>
      <c r="X364" s="592">
        <f t="shared" si="313"/>
        <v>500</v>
      </c>
      <c r="Y364" s="592">
        <f t="shared" si="313"/>
        <v>500</v>
      </c>
      <c r="Z364" s="592">
        <f t="shared" si="313"/>
        <v>500</v>
      </c>
      <c r="AA364" s="592">
        <f t="shared" si="313"/>
        <v>500</v>
      </c>
      <c r="AB364" s="592">
        <f t="shared" si="313"/>
        <v>500</v>
      </c>
      <c r="AC364" s="592">
        <f t="shared" si="313"/>
        <v>500</v>
      </c>
      <c r="AD364" s="592">
        <f t="shared" si="313"/>
        <v>500</v>
      </c>
      <c r="AE364" s="592">
        <f t="shared" si="313"/>
        <v>500</v>
      </c>
      <c r="AF364" s="592">
        <f t="shared" si="313"/>
        <v>500</v>
      </c>
      <c r="AH364" s="538"/>
      <c r="AK364" s="531"/>
      <c r="AM364" s="594"/>
      <c r="AN364" s="535"/>
      <c r="AP364" s="540"/>
      <c r="AQ364" s="540"/>
    </row>
    <row r="365" spans="1:43" s="513" customFormat="1" ht="16.5" hidden="1" customHeight="1" outlineLevel="2">
      <c r="A365" s="584"/>
      <c r="B365" s="572" t="s">
        <v>941</v>
      </c>
      <c r="C365" s="592">
        <f>'Sal._benef.'!$K$23</f>
        <v>5.53</v>
      </c>
      <c r="D365" s="592">
        <f>C365</f>
        <v>5.53</v>
      </c>
      <c r="E365" s="592">
        <f t="shared" si="312"/>
        <v>5.53</v>
      </c>
      <c r="F365" s="592">
        <f t="shared" si="312"/>
        <v>5.53</v>
      </c>
      <c r="G365" s="592">
        <f t="shared" si="312"/>
        <v>5.53</v>
      </c>
      <c r="H365" s="592">
        <f t="shared" si="312"/>
        <v>5.53</v>
      </c>
      <c r="I365" s="592">
        <f t="shared" si="312"/>
        <v>5.53</v>
      </c>
      <c r="J365" s="592">
        <f t="shared" si="312"/>
        <v>5.53</v>
      </c>
      <c r="K365" s="592">
        <f t="shared" si="312"/>
        <v>5.53</v>
      </c>
      <c r="L365" s="592">
        <f t="shared" si="312"/>
        <v>5.53</v>
      </c>
      <c r="M365" s="592">
        <f t="shared" si="312"/>
        <v>5.53</v>
      </c>
      <c r="N365" s="592">
        <f t="shared" si="312"/>
        <v>5.53</v>
      </c>
      <c r="O365" s="592">
        <f t="shared" si="312"/>
        <v>5.53</v>
      </c>
      <c r="P365" s="592">
        <f t="shared" si="312"/>
        <v>5.53</v>
      </c>
      <c r="Q365" s="592">
        <f t="shared" si="312"/>
        <v>5.53</v>
      </c>
      <c r="R365" s="592">
        <f t="shared" si="312"/>
        <v>5.53</v>
      </c>
      <c r="S365" s="592">
        <f t="shared" si="312"/>
        <v>5.53</v>
      </c>
      <c r="T365" s="592">
        <f t="shared" si="312"/>
        <v>5.53</v>
      </c>
      <c r="U365" s="592">
        <f t="shared" si="313"/>
        <v>5.53</v>
      </c>
      <c r="V365" s="592">
        <f t="shared" si="313"/>
        <v>5.53</v>
      </c>
      <c r="W365" s="592">
        <f t="shared" si="313"/>
        <v>5.53</v>
      </c>
      <c r="X365" s="592">
        <f t="shared" si="313"/>
        <v>5.53</v>
      </c>
      <c r="Y365" s="592">
        <f t="shared" si="313"/>
        <v>5.53</v>
      </c>
      <c r="Z365" s="592">
        <f t="shared" si="313"/>
        <v>5.53</v>
      </c>
      <c r="AA365" s="592">
        <f t="shared" si="313"/>
        <v>5.53</v>
      </c>
      <c r="AB365" s="592">
        <f t="shared" si="313"/>
        <v>5.53</v>
      </c>
      <c r="AC365" s="592">
        <f t="shared" si="313"/>
        <v>5.53</v>
      </c>
      <c r="AD365" s="592">
        <f t="shared" si="313"/>
        <v>5.53</v>
      </c>
      <c r="AE365" s="592">
        <f t="shared" si="313"/>
        <v>5.53</v>
      </c>
      <c r="AF365" s="592">
        <f t="shared" si="313"/>
        <v>5.53</v>
      </c>
      <c r="AH365" s="538"/>
      <c r="AK365" s="531"/>
      <c r="AM365" s="594"/>
      <c r="AN365" s="535"/>
      <c r="AP365" s="540"/>
      <c r="AQ365" s="540"/>
    </row>
    <row r="366" spans="1:43" s="513" customFormat="1" ht="16.5" hidden="1" customHeight="1" outlineLevel="2">
      <c r="A366" s="584"/>
      <c r="B366" s="572" t="s">
        <v>942</v>
      </c>
      <c r="C366" s="592">
        <f>'Sal._benef.'!$J$23</f>
        <v>99.300000000000011</v>
      </c>
      <c r="D366" s="592">
        <f>C366</f>
        <v>99.300000000000011</v>
      </c>
      <c r="E366" s="592">
        <f t="shared" si="312"/>
        <v>99.300000000000011</v>
      </c>
      <c r="F366" s="592">
        <f t="shared" si="312"/>
        <v>99.300000000000011</v>
      </c>
      <c r="G366" s="592">
        <f t="shared" si="312"/>
        <v>99.300000000000011</v>
      </c>
      <c r="H366" s="592">
        <f t="shared" si="312"/>
        <v>99.300000000000011</v>
      </c>
      <c r="I366" s="592">
        <f t="shared" si="312"/>
        <v>99.300000000000011</v>
      </c>
      <c r="J366" s="592">
        <f t="shared" si="312"/>
        <v>99.300000000000011</v>
      </c>
      <c r="K366" s="592">
        <f t="shared" si="312"/>
        <v>99.300000000000011</v>
      </c>
      <c r="L366" s="592">
        <f t="shared" si="312"/>
        <v>99.300000000000011</v>
      </c>
      <c r="M366" s="592">
        <f t="shared" si="312"/>
        <v>99.300000000000011</v>
      </c>
      <c r="N366" s="592">
        <f t="shared" si="312"/>
        <v>99.300000000000011</v>
      </c>
      <c r="O366" s="592">
        <f t="shared" si="312"/>
        <v>99.300000000000011</v>
      </c>
      <c r="P366" s="592">
        <f t="shared" si="312"/>
        <v>99.300000000000011</v>
      </c>
      <c r="Q366" s="592">
        <f t="shared" si="312"/>
        <v>99.300000000000011</v>
      </c>
      <c r="R366" s="592">
        <f t="shared" si="312"/>
        <v>99.300000000000011</v>
      </c>
      <c r="S366" s="592">
        <f t="shared" si="312"/>
        <v>99.300000000000011</v>
      </c>
      <c r="T366" s="592">
        <f t="shared" si="312"/>
        <v>99.300000000000011</v>
      </c>
      <c r="U366" s="592">
        <f t="shared" si="313"/>
        <v>99.300000000000011</v>
      </c>
      <c r="V366" s="592">
        <f t="shared" si="313"/>
        <v>99.300000000000011</v>
      </c>
      <c r="W366" s="592">
        <f t="shared" si="313"/>
        <v>99.300000000000011</v>
      </c>
      <c r="X366" s="592">
        <f t="shared" si="313"/>
        <v>99.300000000000011</v>
      </c>
      <c r="Y366" s="592">
        <f t="shared" si="313"/>
        <v>99.300000000000011</v>
      </c>
      <c r="Z366" s="592">
        <f t="shared" si="313"/>
        <v>99.300000000000011</v>
      </c>
      <c r="AA366" s="592">
        <f t="shared" si="313"/>
        <v>99.300000000000011</v>
      </c>
      <c r="AB366" s="592">
        <f t="shared" si="313"/>
        <v>99.300000000000011</v>
      </c>
      <c r="AC366" s="592">
        <f t="shared" si="313"/>
        <v>99.300000000000011</v>
      </c>
      <c r="AD366" s="592">
        <f t="shared" si="313"/>
        <v>99.300000000000011</v>
      </c>
      <c r="AE366" s="592">
        <f t="shared" si="313"/>
        <v>99.300000000000011</v>
      </c>
      <c r="AF366" s="592">
        <f t="shared" si="313"/>
        <v>99.300000000000011</v>
      </c>
      <c r="AH366" s="538"/>
      <c r="AK366" s="531"/>
      <c r="AM366" s="594"/>
      <c r="AN366" s="535"/>
      <c r="AP366" s="540"/>
      <c r="AQ366" s="540"/>
    </row>
    <row r="367" spans="1:43" s="513" customFormat="1" ht="16.5" hidden="1" customHeight="1" outlineLevel="2">
      <c r="A367" s="584"/>
      <c r="B367" s="572" t="s">
        <v>862</v>
      </c>
      <c r="C367" s="592">
        <v>0</v>
      </c>
      <c r="D367" s="592">
        <f t="shared" ref="D367" si="314">C367</f>
        <v>0</v>
      </c>
      <c r="E367" s="592">
        <f t="shared" si="312"/>
        <v>0</v>
      </c>
      <c r="F367" s="592">
        <f t="shared" si="312"/>
        <v>0</v>
      </c>
      <c r="G367" s="592">
        <f t="shared" si="312"/>
        <v>0</v>
      </c>
      <c r="H367" s="592">
        <f t="shared" si="312"/>
        <v>0</v>
      </c>
      <c r="I367" s="592">
        <f t="shared" si="312"/>
        <v>0</v>
      </c>
      <c r="J367" s="592">
        <f t="shared" si="312"/>
        <v>0</v>
      </c>
      <c r="K367" s="592">
        <f t="shared" si="312"/>
        <v>0</v>
      </c>
      <c r="L367" s="592">
        <f t="shared" si="312"/>
        <v>0</v>
      </c>
      <c r="M367" s="592">
        <f t="shared" si="312"/>
        <v>0</v>
      </c>
      <c r="N367" s="592">
        <f t="shared" si="312"/>
        <v>0</v>
      </c>
      <c r="O367" s="592">
        <f t="shared" si="312"/>
        <v>0</v>
      </c>
      <c r="P367" s="592">
        <f t="shared" si="312"/>
        <v>0</v>
      </c>
      <c r="Q367" s="592">
        <f t="shared" si="312"/>
        <v>0</v>
      </c>
      <c r="R367" s="592">
        <f t="shared" si="312"/>
        <v>0</v>
      </c>
      <c r="S367" s="592">
        <f t="shared" si="312"/>
        <v>0</v>
      </c>
      <c r="T367" s="592">
        <f t="shared" si="312"/>
        <v>0</v>
      </c>
      <c r="U367" s="592">
        <f t="shared" si="313"/>
        <v>0</v>
      </c>
      <c r="V367" s="592">
        <f t="shared" si="313"/>
        <v>0</v>
      </c>
      <c r="W367" s="592">
        <f t="shared" si="313"/>
        <v>0</v>
      </c>
      <c r="X367" s="592">
        <f t="shared" si="313"/>
        <v>0</v>
      </c>
      <c r="Y367" s="592">
        <f t="shared" si="313"/>
        <v>0</v>
      </c>
      <c r="Z367" s="592">
        <f t="shared" si="313"/>
        <v>0</v>
      </c>
      <c r="AA367" s="592">
        <f t="shared" si="313"/>
        <v>0</v>
      </c>
      <c r="AB367" s="592">
        <f t="shared" si="313"/>
        <v>0</v>
      </c>
      <c r="AC367" s="592">
        <f t="shared" si="313"/>
        <v>0</v>
      </c>
      <c r="AD367" s="592">
        <f t="shared" si="313"/>
        <v>0</v>
      </c>
      <c r="AE367" s="592">
        <f t="shared" si="313"/>
        <v>0</v>
      </c>
      <c r="AF367" s="592">
        <f t="shared" si="313"/>
        <v>0</v>
      </c>
      <c r="AH367" s="538"/>
      <c r="AK367" s="531"/>
      <c r="AM367" s="594"/>
      <c r="AN367" s="535"/>
      <c r="AP367" s="540"/>
      <c r="AQ367" s="540"/>
    </row>
    <row r="368" spans="1:43" s="546" customFormat="1" ht="16.5" hidden="1" customHeight="1" outlineLevel="2">
      <c r="A368" s="584"/>
      <c r="B368" s="613" t="s">
        <v>930</v>
      </c>
      <c r="C368" s="570">
        <f>C369*(C370+C371+C372+C373)</f>
        <v>0</v>
      </c>
      <c r="D368" s="570">
        <f t="shared" ref="D368:AF368" si="315">D369*(D370+D371+D372+D373)</f>
        <v>0</v>
      </c>
      <c r="E368" s="570">
        <f t="shared" si="315"/>
        <v>0</v>
      </c>
      <c r="F368" s="570">
        <f t="shared" si="315"/>
        <v>0</v>
      </c>
      <c r="G368" s="570">
        <f t="shared" si="315"/>
        <v>0</v>
      </c>
      <c r="H368" s="570">
        <f t="shared" si="315"/>
        <v>0</v>
      </c>
      <c r="I368" s="570">
        <f t="shared" si="315"/>
        <v>0</v>
      </c>
      <c r="J368" s="570">
        <f t="shared" si="315"/>
        <v>0</v>
      </c>
      <c r="K368" s="570">
        <f t="shared" si="315"/>
        <v>0</v>
      </c>
      <c r="L368" s="570">
        <f t="shared" si="315"/>
        <v>0</v>
      </c>
      <c r="M368" s="570">
        <f t="shared" si="315"/>
        <v>0</v>
      </c>
      <c r="N368" s="570">
        <f t="shared" si="315"/>
        <v>0</v>
      </c>
      <c r="O368" s="570">
        <f t="shared" si="315"/>
        <v>0</v>
      </c>
      <c r="P368" s="570">
        <f t="shared" si="315"/>
        <v>0</v>
      </c>
      <c r="Q368" s="570">
        <f t="shared" si="315"/>
        <v>0</v>
      </c>
      <c r="R368" s="570">
        <f t="shared" si="315"/>
        <v>0</v>
      </c>
      <c r="S368" s="570">
        <f t="shared" si="315"/>
        <v>0</v>
      </c>
      <c r="T368" s="570">
        <f t="shared" si="315"/>
        <v>0</v>
      </c>
      <c r="U368" s="570">
        <f t="shared" si="315"/>
        <v>0</v>
      </c>
      <c r="V368" s="570">
        <f t="shared" si="315"/>
        <v>0</v>
      </c>
      <c r="W368" s="570">
        <f t="shared" si="315"/>
        <v>0</v>
      </c>
      <c r="X368" s="570">
        <f t="shared" si="315"/>
        <v>0</v>
      </c>
      <c r="Y368" s="570">
        <f t="shared" si="315"/>
        <v>0</v>
      </c>
      <c r="Z368" s="570">
        <f t="shared" si="315"/>
        <v>0</v>
      </c>
      <c r="AA368" s="570">
        <f t="shared" si="315"/>
        <v>0</v>
      </c>
      <c r="AB368" s="570">
        <f t="shared" si="315"/>
        <v>0</v>
      </c>
      <c r="AC368" s="570">
        <f t="shared" si="315"/>
        <v>0</v>
      </c>
      <c r="AD368" s="570">
        <f t="shared" si="315"/>
        <v>0</v>
      </c>
      <c r="AE368" s="570">
        <f t="shared" si="315"/>
        <v>0</v>
      </c>
      <c r="AF368" s="570">
        <f t="shared" si="315"/>
        <v>0</v>
      </c>
      <c r="AH368" s="571"/>
      <c r="AK368" s="531"/>
      <c r="AM368" s="594"/>
      <c r="AN368" s="535"/>
      <c r="AP368" s="549"/>
      <c r="AQ368" s="549"/>
    </row>
    <row r="369" spans="1:43" s="586" customFormat="1" ht="16.5" hidden="1" customHeight="1" outlineLevel="2">
      <c r="A369" s="584"/>
      <c r="B369" s="585" t="s">
        <v>805</v>
      </c>
      <c r="C369" s="554">
        <f t="shared" ref="C369:AF369" si="316">C322</f>
        <v>0</v>
      </c>
      <c r="D369" s="554">
        <f t="shared" si="316"/>
        <v>0</v>
      </c>
      <c r="E369" s="554">
        <f t="shared" si="316"/>
        <v>0</v>
      </c>
      <c r="F369" s="554">
        <f t="shared" si="316"/>
        <v>0</v>
      </c>
      <c r="G369" s="554">
        <f t="shared" si="316"/>
        <v>0</v>
      </c>
      <c r="H369" s="554">
        <f t="shared" si="316"/>
        <v>0</v>
      </c>
      <c r="I369" s="554">
        <f t="shared" si="316"/>
        <v>0</v>
      </c>
      <c r="J369" s="554">
        <f t="shared" si="316"/>
        <v>0</v>
      </c>
      <c r="K369" s="554">
        <f t="shared" si="316"/>
        <v>0</v>
      </c>
      <c r="L369" s="554">
        <f t="shared" si="316"/>
        <v>0</v>
      </c>
      <c r="M369" s="554">
        <f t="shared" si="316"/>
        <v>0</v>
      </c>
      <c r="N369" s="554">
        <f t="shared" si="316"/>
        <v>0</v>
      </c>
      <c r="O369" s="554">
        <f t="shared" si="316"/>
        <v>0</v>
      </c>
      <c r="P369" s="554">
        <f t="shared" si="316"/>
        <v>0</v>
      </c>
      <c r="Q369" s="554">
        <f t="shared" si="316"/>
        <v>0</v>
      </c>
      <c r="R369" s="554">
        <f t="shared" si="316"/>
        <v>0</v>
      </c>
      <c r="S369" s="554">
        <f t="shared" si="316"/>
        <v>0</v>
      </c>
      <c r="T369" s="554">
        <f t="shared" si="316"/>
        <v>0</v>
      </c>
      <c r="U369" s="554">
        <f t="shared" si="316"/>
        <v>0</v>
      </c>
      <c r="V369" s="554">
        <f t="shared" si="316"/>
        <v>0</v>
      </c>
      <c r="W369" s="554">
        <f t="shared" si="316"/>
        <v>0</v>
      </c>
      <c r="X369" s="554">
        <f t="shared" si="316"/>
        <v>0</v>
      </c>
      <c r="Y369" s="554">
        <f t="shared" si="316"/>
        <v>0</v>
      </c>
      <c r="Z369" s="554">
        <f t="shared" si="316"/>
        <v>0</v>
      </c>
      <c r="AA369" s="554">
        <f t="shared" si="316"/>
        <v>0</v>
      </c>
      <c r="AB369" s="554">
        <f t="shared" si="316"/>
        <v>0</v>
      </c>
      <c r="AC369" s="554">
        <f t="shared" si="316"/>
        <v>0</v>
      </c>
      <c r="AD369" s="554">
        <f t="shared" si="316"/>
        <v>0</v>
      </c>
      <c r="AE369" s="554">
        <f t="shared" si="316"/>
        <v>0</v>
      </c>
      <c r="AF369" s="554">
        <f t="shared" si="316"/>
        <v>0</v>
      </c>
      <c r="AH369" s="587"/>
      <c r="AK369" s="588"/>
      <c r="AM369" s="624"/>
      <c r="AN369" s="590"/>
      <c r="AP369" s="591"/>
      <c r="AQ369" s="591"/>
    </row>
    <row r="370" spans="1:43" s="513" customFormat="1" ht="16.5" hidden="1" customHeight="1" outlineLevel="2">
      <c r="A370" s="584"/>
      <c r="B370" s="572" t="s">
        <v>940</v>
      </c>
      <c r="C370" s="592">
        <f>'Sal._benef.'!$I$23</f>
        <v>500</v>
      </c>
      <c r="D370" s="592">
        <f>C370</f>
        <v>500</v>
      </c>
      <c r="E370" s="592">
        <f t="shared" ref="E370:H373" si="317">D370</f>
        <v>500</v>
      </c>
      <c r="F370" s="592">
        <f t="shared" si="317"/>
        <v>500</v>
      </c>
      <c r="G370" s="592">
        <f t="shared" si="317"/>
        <v>500</v>
      </c>
      <c r="H370" s="592">
        <f>G370</f>
        <v>500</v>
      </c>
      <c r="I370" s="592">
        <f t="shared" ref="I370:X373" si="318">H370</f>
        <v>500</v>
      </c>
      <c r="J370" s="592">
        <f t="shared" si="318"/>
        <v>500</v>
      </c>
      <c r="K370" s="592">
        <f t="shared" si="318"/>
        <v>500</v>
      </c>
      <c r="L370" s="592">
        <f t="shared" si="318"/>
        <v>500</v>
      </c>
      <c r="M370" s="592">
        <f t="shared" si="318"/>
        <v>500</v>
      </c>
      <c r="N370" s="592">
        <f t="shared" si="318"/>
        <v>500</v>
      </c>
      <c r="O370" s="592">
        <f t="shared" si="318"/>
        <v>500</v>
      </c>
      <c r="P370" s="592">
        <f t="shared" si="318"/>
        <v>500</v>
      </c>
      <c r="Q370" s="592">
        <f t="shared" si="318"/>
        <v>500</v>
      </c>
      <c r="R370" s="592">
        <f t="shared" si="318"/>
        <v>500</v>
      </c>
      <c r="S370" s="592">
        <f t="shared" si="318"/>
        <v>500</v>
      </c>
      <c r="T370" s="592">
        <f t="shared" si="318"/>
        <v>500</v>
      </c>
      <c r="U370" s="592">
        <f t="shared" si="318"/>
        <v>500</v>
      </c>
      <c r="V370" s="592">
        <f t="shared" si="318"/>
        <v>500</v>
      </c>
      <c r="W370" s="592">
        <f t="shared" si="318"/>
        <v>500</v>
      </c>
      <c r="X370" s="592">
        <f t="shared" si="318"/>
        <v>500</v>
      </c>
      <c r="Y370" s="592">
        <f t="shared" ref="Y370:AF373" si="319">X370</f>
        <v>500</v>
      </c>
      <c r="Z370" s="592">
        <f t="shared" si="319"/>
        <v>500</v>
      </c>
      <c r="AA370" s="592">
        <f t="shared" si="319"/>
        <v>500</v>
      </c>
      <c r="AB370" s="592">
        <f t="shared" si="319"/>
        <v>500</v>
      </c>
      <c r="AC370" s="592">
        <f t="shared" si="319"/>
        <v>500</v>
      </c>
      <c r="AD370" s="592">
        <f t="shared" si="319"/>
        <v>500</v>
      </c>
      <c r="AE370" s="592">
        <f t="shared" si="319"/>
        <v>500</v>
      </c>
      <c r="AF370" s="592">
        <f t="shared" si="319"/>
        <v>500</v>
      </c>
      <c r="AH370" s="538"/>
      <c r="AK370" s="531"/>
      <c r="AM370" s="594"/>
      <c r="AN370" s="535"/>
      <c r="AP370" s="540"/>
      <c r="AQ370" s="540"/>
    </row>
    <row r="371" spans="1:43" s="513" customFormat="1" ht="16.5" hidden="1" customHeight="1" outlineLevel="2">
      <c r="A371" s="584"/>
      <c r="B371" s="572" t="s">
        <v>941</v>
      </c>
      <c r="C371" s="592">
        <f>'Sal._benef.'!$K$23</f>
        <v>5.53</v>
      </c>
      <c r="D371" s="592">
        <f>C371</f>
        <v>5.53</v>
      </c>
      <c r="E371" s="592">
        <f t="shared" si="317"/>
        <v>5.53</v>
      </c>
      <c r="F371" s="592">
        <f t="shared" si="317"/>
        <v>5.53</v>
      </c>
      <c r="G371" s="592">
        <f t="shared" si="317"/>
        <v>5.53</v>
      </c>
      <c r="H371" s="592">
        <f t="shared" si="317"/>
        <v>5.53</v>
      </c>
      <c r="I371" s="592">
        <f t="shared" si="318"/>
        <v>5.53</v>
      </c>
      <c r="J371" s="592">
        <f t="shared" si="318"/>
        <v>5.53</v>
      </c>
      <c r="K371" s="592">
        <f t="shared" si="318"/>
        <v>5.53</v>
      </c>
      <c r="L371" s="592">
        <f t="shared" si="318"/>
        <v>5.53</v>
      </c>
      <c r="M371" s="592">
        <f t="shared" si="318"/>
        <v>5.53</v>
      </c>
      <c r="N371" s="592">
        <f t="shared" si="318"/>
        <v>5.53</v>
      </c>
      <c r="O371" s="592">
        <f t="shared" si="318"/>
        <v>5.53</v>
      </c>
      <c r="P371" s="592">
        <f t="shared" si="318"/>
        <v>5.53</v>
      </c>
      <c r="Q371" s="592">
        <f t="shared" si="318"/>
        <v>5.53</v>
      </c>
      <c r="R371" s="592">
        <f t="shared" si="318"/>
        <v>5.53</v>
      </c>
      <c r="S371" s="592">
        <f t="shared" si="318"/>
        <v>5.53</v>
      </c>
      <c r="T371" s="592">
        <f t="shared" si="318"/>
        <v>5.53</v>
      </c>
      <c r="U371" s="592">
        <f t="shared" si="318"/>
        <v>5.53</v>
      </c>
      <c r="V371" s="592">
        <f t="shared" si="318"/>
        <v>5.53</v>
      </c>
      <c r="W371" s="592">
        <f t="shared" si="318"/>
        <v>5.53</v>
      </c>
      <c r="X371" s="592">
        <f t="shared" si="318"/>
        <v>5.53</v>
      </c>
      <c r="Y371" s="592">
        <f t="shared" si="319"/>
        <v>5.53</v>
      </c>
      <c r="Z371" s="592">
        <f t="shared" si="319"/>
        <v>5.53</v>
      </c>
      <c r="AA371" s="592">
        <f t="shared" si="319"/>
        <v>5.53</v>
      </c>
      <c r="AB371" s="592">
        <f t="shared" si="319"/>
        <v>5.53</v>
      </c>
      <c r="AC371" s="592">
        <f t="shared" si="319"/>
        <v>5.53</v>
      </c>
      <c r="AD371" s="592">
        <f t="shared" si="319"/>
        <v>5.53</v>
      </c>
      <c r="AE371" s="592">
        <f t="shared" si="319"/>
        <v>5.53</v>
      </c>
      <c r="AF371" s="592">
        <f t="shared" si="319"/>
        <v>5.53</v>
      </c>
      <c r="AH371" s="538"/>
      <c r="AK371" s="531"/>
      <c r="AM371" s="594"/>
      <c r="AN371" s="535"/>
      <c r="AP371" s="540"/>
      <c r="AQ371" s="540"/>
    </row>
    <row r="372" spans="1:43" s="513" customFormat="1" ht="16.5" hidden="1" customHeight="1" outlineLevel="2">
      <c r="A372" s="584"/>
      <c r="B372" s="572" t="s">
        <v>942</v>
      </c>
      <c r="C372" s="592">
        <f>'Sal._benef.'!$J$23</f>
        <v>99.300000000000011</v>
      </c>
      <c r="D372" s="592">
        <f>C372</f>
        <v>99.300000000000011</v>
      </c>
      <c r="E372" s="592">
        <f t="shared" si="317"/>
        <v>99.300000000000011</v>
      </c>
      <c r="F372" s="592">
        <f t="shared" si="317"/>
        <v>99.300000000000011</v>
      </c>
      <c r="G372" s="592">
        <f t="shared" si="317"/>
        <v>99.300000000000011</v>
      </c>
      <c r="H372" s="592">
        <f t="shared" si="317"/>
        <v>99.300000000000011</v>
      </c>
      <c r="I372" s="592">
        <f t="shared" si="318"/>
        <v>99.300000000000011</v>
      </c>
      <c r="J372" s="592">
        <f t="shared" si="318"/>
        <v>99.300000000000011</v>
      </c>
      <c r="K372" s="592">
        <f t="shared" si="318"/>
        <v>99.300000000000011</v>
      </c>
      <c r="L372" s="592">
        <f t="shared" si="318"/>
        <v>99.300000000000011</v>
      </c>
      <c r="M372" s="592">
        <f t="shared" si="318"/>
        <v>99.300000000000011</v>
      </c>
      <c r="N372" s="592">
        <f t="shared" si="318"/>
        <v>99.300000000000011</v>
      </c>
      <c r="O372" s="592">
        <f t="shared" si="318"/>
        <v>99.300000000000011</v>
      </c>
      <c r="P372" s="592">
        <f t="shared" si="318"/>
        <v>99.300000000000011</v>
      </c>
      <c r="Q372" s="592">
        <f t="shared" si="318"/>
        <v>99.300000000000011</v>
      </c>
      <c r="R372" s="592">
        <f t="shared" si="318"/>
        <v>99.300000000000011</v>
      </c>
      <c r="S372" s="592">
        <f t="shared" si="318"/>
        <v>99.300000000000011</v>
      </c>
      <c r="T372" s="592">
        <f t="shared" si="318"/>
        <v>99.300000000000011</v>
      </c>
      <c r="U372" s="592">
        <f t="shared" si="318"/>
        <v>99.300000000000011</v>
      </c>
      <c r="V372" s="592">
        <f t="shared" si="318"/>
        <v>99.300000000000011</v>
      </c>
      <c r="W372" s="592">
        <f t="shared" si="318"/>
        <v>99.300000000000011</v>
      </c>
      <c r="X372" s="592">
        <f t="shared" si="318"/>
        <v>99.300000000000011</v>
      </c>
      <c r="Y372" s="592">
        <f t="shared" si="319"/>
        <v>99.300000000000011</v>
      </c>
      <c r="Z372" s="592">
        <f t="shared" si="319"/>
        <v>99.300000000000011</v>
      </c>
      <c r="AA372" s="592">
        <f t="shared" si="319"/>
        <v>99.300000000000011</v>
      </c>
      <c r="AB372" s="592">
        <f t="shared" si="319"/>
        <v>99.300000000000011</v>
      </c>
      <c r="AC372" s="592">
        <f t="shared" si="319"/>
        <v>99.300000000000011</v>
      </c>
      <c r="AD372" s="592">
        <f t="shared" si="319"/>
        <v>99.300000000000011</v>
      </c>
      <c r="AE372" s="592">
        <f t="shared" si="319"/>
        <v>99.300000000000011</v>
      </c>
      <c r="AF372" s="592">
        <f t="shared" si="319"/>
        <v>99.300000000000011</v>
      </c>
      <c r="AG372" s="614"/>
      <c r="AH372" s="538"/>
      <c r="AK372" s="531"/>
      <c r="AM372" s="594"/>
      <c r="AN372" s="535"/>
      <c r="AP372" s="540"/>
      <c r="AQ372" s="540"/>
    </row>
    <row r="373" spans="1:43" s="513" customFormat="1" ht="16.5" hidden="1" customHeight="1" outlineLevel="2">
      <c r="A373" s="584"/>
      <c r="B373" s="572" t="s">
        <v>862</v>
      </c>
      <c r="C373" s="592">
        <v>0</v>
      </c>
      <c r="D373" s="592">
        <f t="shared" ref="D373" si="320">C373</f>
        <v>0</v>
      </c>
      <c r="E373" s="592">
        <f t="shared" si="317"/>
        <v>0</v>
      </c>
      <c r="F373" s="592">
        <f t="shared" si="317"/>
        <v>0</v>
      </c>
      <c r="G373" s="592">
        <f t="shared" si="317"/>
        <v>0</v>
      </c>
      <c r="H373" s="592">
        <f t="shared" si="317"/>
        <v>0</v>
      </c>
      <c r="I373" s="592">
        <f t="shared" si="318"/>
        <v>0</v>
      </c>
      <c r="J373" s="592">
        <f t="shared" si="318"/>
        <v>0</v>
      </c>
      <c r="K373" s="592">
        <f t="shared" si="318"/>
        <v>0</v>
      </c>
      <c r="L373" s="592">
        <f t="shared" si="318"/>
        <v>0</v>
      </c>
      <c r="M373" s="592">
        <f t="shared" si="318"/>
        <v>0</v>
      </c>
      <c r="N373" s="592">
        <f t="shared" si="318"/>
        <v>0</v>
      </c>
      <c r="O373" s="592">
        <f t="shared" si="318"/>
        <v>0</v>
      </c>
      <c r="P373" s="592">
        <f t="shared" si="318"/>
        <v>0</v>
      </c>
      <c r="Q373" s="592">
        <f t="shared" si="318"/>
        <v>0</v>
      </c>
      <c r="R373" s="592">
        <f t="shared" si="318"/>
        <v>0</v>
      </c>
      <c r="S373" s="592">
        <f t="shared" si="318"/>
        <v>0</v>
      </c>
      <c r="T373" s="592">
        <f t="shared" si="318"/>
        <v>0</v>
      </c>
      <c r="U373" s="592">
        <f t="shared" si="318"/>
        <v>0</v>
      </c>
      <c r="V373" s="592">
        <f t="shared" si="318"/>
        <v>0</v>
      </c>
      <c r="W373" s="592">
        <f t="shared" si="318"/>
        <v>0</v>
      </c>
      <c r="X373" s="592">
        <f t="shared" si="318"/>
        <v>0</v>
      </c>
      <c r="Y373" s="592">
        <f t="shared" si="319"/>
        <v>0</v>
      </c>
      <c r="Z373" s="592">
        <f t="shared" si="319"/>
        <v>0</v>
      </c>
      <c r="AA373" s="592">
        <f t="shared" si="319"/>
        <v>0</v>
      </c>
      <c r="AB373" s="592">
        <f t="shared" si="319"/>
        <v>0</v>
      </c>
      <c r="AC373" s="592">
        <f t="shared" si="319"/>
        <v>0</v>
      </c>
      <c r="AD373" s="592">
        <f t="shared" si="319"/>
        <v>0</v>
      </c>
      <c r="AE373" s="592">
        <f t="shared" si="319"/>
        <v>0</v>
      </c>
      <c r="AF373" s="592">
        <f t="shared" si="319"/>
        <v>0</v>
      </c>
      <c r="AH373" s="538"/>
      <c r="AK373" s="531"/>
      <c r="AM373" s="594"/>
      <c r="AN373" s="535"/>
      <c r="AP373" s="540"/>
      <c r="AQ373" s="540"/>
    </row>
    <row r="374" spans="1:43" s="546" customFormat="1" ht="16.5" hidden="1" customHeight="1" outlineLevel="2">
      <c r="A374" s="584"/>
      <c r="B374" s="613" t="s">
        <v>931</v>
      </c>
      <c r="C374" s="570">
        <f>C375*(C376+C377+C378+C379)</f>
        <v>2586.84</v>
      </c>
      <c r="D374" s="570">
        <f t="shared" ref="D374:AF374" si="321">D375*(D376+D377+D378+D379)</f>
        <v>2586.84</v>
      </c>
      <c r="E374" s="570">
        <f t="shared" si="321"/>
        <v>2586.84</v>
      </c>
      <c r="F374" s="570">
        <f t="shared" si="321"/>
        <v>5173.68</v>
      </c>
      <c r="G374" s="570">
        <f t="shared" si="321"/>
        <v>5173.68</v>
      </c>
      <c r="H374" s="570">
        <f t="shared" si="321"/>
        <v>5173.68</v>
      </c>
      <c r="I374" s="570">
        <f t="shared" si="321"/>
        <v>5173.68</v>
      </c>
      <c r="J374" s="570">
        <f t="shared" si="321"/>
        <v>5173.68</v>
      </c>
      <c r="K374" s="570">
        <f t="shared" si="321"/>
        <v>5173.68</v>
      </c>
      <c r="L374" s="570">
        <f t="shared" si="321"/>
        <v>5173.68</v>
      </c>
      <c r="M374" s="570">
        <f t="shared" si="321"/>
        <v>5173.68</v>
      </c>
      <c r="N374" s="570">
        <f t="shared" si="321"/>
        <v>5173.68</v>
      </c>
      <c r="O374" s="570">
        <f t="shared" si="321"/>
        <v>5173.68</v>
      </c>
      <c r="P374" s="570">
        <f t="shared" si="321"/>
        <v>5173.68</v>
      </c>
      <c r="Q374" s="570">
        <f t="shared" si="321"/>
        <v>5173.68</v>
      </c>
      <c r="R374" s="570">
        <f t="shared" si="321"/>
        <v>5173.68</v>
      </c>
      <c r="S374" s="570">
        <f t="shared" si="321"/>
        <v>5173.68</v>
      </c>
      <c r="T374" s="570">
        <f t="shared" si="321"/>
        <v>5173.68</v>
      </c>
      <c r="U374" s="570">
        <f t="shared" si="321"/>
        <v>5173.68</v>
      </c>
      <c r="V374" s="570">
        <f t="shared" si="321"/>
        <v>5173.68</v>
      </c>
      <c r="W374" s="570">
        <f t="shared" si="321"/>
        <v>5173.68</v>
      </c>
      <c r="X374" s="570">
        <f t="shared" si="321"/>
        <v>5173.68</v>
      </c>
      <c r="Y374" s="570">
        <f t="shared" si="321"/>
        <v>5173.68</v>
      </c>
      <c r="Z374" s="570">
        <f t="shared" si="321"/>
        <v>5173.68</v>
      </c>
      <c r="AA374" s="570">
        <f t="shared" si="321"/>
        <v>5173.68</v>
      </c>
      <c r="AB374" s="570">
        <f t="shared" si="321"/>
        <v>5173.68</v>
      </c>
      <c r="AC374" s="570">
        <f t="shared" si="321"/>
        <v>5173.68</v>
      </c>
      <c r="AD374" s="570">
        <f t="shared" si="321"/>
        <v>5173.68</v>
      </c>
      <c r="AE374" s="570">
        <f t="shared" si="321"/>
        <v>5173.68</v>
      </c>
      <c r="AF374" s="570">
        <f t="shared" si="321"/>
        <v>5173.68</v>
      </c>
      <c r="AH374" s="571"/>
      <c r="AK374" s="531"/>
      <c r="AM374" s="594"/>
      <c r="AN374" s="535"/>
      <c r="AP374" s="549"/>
      <c r="AQ374" s="549"/>
    </row>
    <row r="375" spans="1:43" s="586" customFormat="1" ht="16.5" hidden="1" customHeight="1" outlineLevel="2">
      <c r="A375" s="584"/>
      <c r="B375" s="585" t="s">
        <v>805</v>
      </c>
      <c r="C375" s="716">
        <f t="shared" ref="C375:AF375" si="322">C329</f>
        <v>4</v>
      </c>
      <c r="D375" s="716">
        <f t="shared" si="322"/>
        <v>4</v>
      </c>
      <c r="E375" s="716">
        <f t="shared" si="322"/>
        <v>4</v>
      </c>
      <c r="F375" s="716">
        <f t="shared" si="322"/>
        <v>8</v>
      </c>
      <c r="G375" s="716">
        <f t="shared" si="322"/>
        <v>8</v>
      </c>
      <c r="H375" s="716">
        <f t="shared" si="322"/>
        <v>8</v>
      </c>
      <c r="I375" s="716">
        <f t="shared" si="322"/>
        <v>8</v>
      </c>
      <c r="J375" s="716">
        <f t="shared" si="322"/>
        <v>8</v>
      </c>
      <c r="K375" s="716">
        <f t="shared" si="322"/>
        <v>8</v>
      </c>
      <c r="L375" s="716">
        <f t="shared" si="322"/>
        <v>8</v>
      </c>
      <c r="M375" s="716">
        <f t="shared" si="322"/>
        <v>8</v>
      </c>
      <c r="N375" s="716">
        <f t="shared" si="322"/>
        <v>8</v>
      </c>
      <c r="O375" s="716">
        <f t="shared" si="322"/>
        <v>8</v>
      </c>
      <c r="P375" s="716">
        <f t="shared" si="322"/>
        <v>8</v>
      </c>
      <c r="Q375" s="716">
        <f t="shared" si="322"/>
        <v>8</v>
      </c>
      <c r="R375" s="716">
        <f t="shared" si="322"/>
        <v>8</v>
      </c>
      <c r="S375" s="716">
        <f t="shared" si="322"/>
        <v>8</v>
      </c>
      <c r="T375" s="716">
        <f t="shared" si="322"/>
        <v>8</v>
      </c>
      <c r="U375" s="716">
        <f t="shared" si="322"/>
        <v>8</v>
      </c>
      <c r="V375" s="716">
        <f t="shared" si="322"/>
        <v>8</v>
      </c>
      <c r="W375" s="716">
        <f t="shared" si="322"/>
        <v>8</v>
      </c>
      <c r="X375" s="716">
        <f t="shared" si="322"/>
        <v>8</v>
      </c>
      <c r="Y375" s="716">
        <f t="shared" si="322"/>
        <v>8</v>
      </c>
      <c r="Z375" s="716">
        <f t="shared" si="322"/>
        <v>8</v>
      </c>
      <c r="AA375" s="716">
        <f t="shared" si="322"/>
        <v>8</v>
      </c>
      <c r="AB375" s="716">
        <f t="shared" si="322"/>
        <v>8</v>
      </c>
      <c r="AC375" s="716">
        <f t="shared" si="322"/>
        <v>8</v>
      </c>
      <c r="AD375" s="716">
        <f t="shared" si="322"/>
        <v>8</v>
      </c>
      <c r="AE375" s="716">
        <f t="shared" si="322"/>
        <v>8</v>
      </c>
      <c r="AF375" s="716">
        <f t="shared" si="322"/>
        <v>8</v>
      </c>
      <c r="AH375" s="587"/>
      <c r="AK375" s="588"/>
      <c r="AM375" s="624"/>
      <c r="AN375" s="590"/>
      <c r="AP375" s="591"/>
      <c r="AQ375" s="591"/>
    </row>
    <row r="376" spans="1:43" s="513" customFormat="1" ht="16.5" hidden="1" customHeight="1" outlineLevel="2">
      <c r="A376" s="584"/>
      <c r="B376" s="572" t="s">
        <v>940</v>
      </c>
      <c r="C376" s="592">
        <f>'Sal._benef.'!$I$19</f>
        <v>500</v>
      </c>
      <c r="D376" s="592">
        <f>C376</f>
        <v>500</v>
      </c>
      <c r="E376" s="592">
        <f t="shared" ref="E376:T379" si="323">D376</f>
        <v>500</v>
      </c>
      <c r="F376" s="592">
        <f t="shared" si="323"/>
        <v>500</v>
      </c>
      <c r="G376" s="592">
        <f t="shared" si="323"/>
        <v>500</v>
      </c>
      <c r="H376" s="592">
        <f t="shared" si="323"/>
        <v>500</v>
      </c>
      <c r="I376" s="592">
        <f t="shared" si="323"/>
        <v>500</v>
      </c>
      <c r="J376" s="592">
        <f t="shared" si="323"/>
        <v>500</v>
      </c>
      <c r="K376" s="592">
        <f t="shared" si="323"/>
        <v>500</v>
      </c>
      <c r="L376" s="592">
        <f t="shared" si="323"/>
        <v>500</v>
      </c>
      <c r="M376" s="592">
        <f t="shared" si="323"/>
        <v>500</v>
      </c>
      <c r="N376" s="592">
        <f t="shared" si="323"/>
        <v>500</v>
      </c>
      <c r="O376" s="592">
        <f t="shared" si="323"/>
        <v>500</v>
      </c>
      <c r="P376" s="592">
        <f t="shared" si="323"/>
        <v>500</v>
      </c>
      <c r="Q376" s="592">
        <f t="shared" si="323"/>
        <v>500</v>
      </c>
      <c r="R376" s="592">
        <f t="shared" si="323"/>
        <v>500</v>
      </c>
      <c r="S376" s="592">
        <f t="shared" si="323"/>
        <v>500</v>
      </c>
      <c r="T376" s="592">
        <f t="shared" si="323"/>
        <v>500</v>
      </c>
      <c r="U376" s="592">
        <f t="shared" ref="U376:AF379" si="324">T376</f>
        <v>500</v>
      </c>
      <c r="V376" s="592">
        <f t="shared" si="324"/>
        <v>500</v>
      </c>
      <c r="W376" s="592">
        <f t="shared" si="324"/>
        <v>500</v>
      </c>
      <c r="X376" s="592">
        <f t="shared" si="324"/>
        <v>500</v>
      </c>
      <c r="Y376" s="592">
        <f t="shared" si="324"/>
        <v>500</v>
      </c>
      <c r="Z376" s="592">
        <f t="shared" si="324"/>
        <v>500</v>
      </c>
      <c r="AA376" s="592">
        <f t="shared" si="324"/>
        <v>500</v>
      </c>
      <c r="AB376" s="592">
        <f t="shared" si="324"/>
        <v>500</v>
      </c>
      <c r="AC376" s="592">
        <f t="shared" si="324"/>
        <v>500</v>
      </c>
      <c r="AD376" s="592">
        <f t="shared" si="324"/>
        <v>500</v>
      </c>
      <c r="AE376" s="592">
        <f t="shared" si="324"/>
        <v>500</v>
      </c>
      <c r="AF376" s="592">
        <f t="shared" si="324"/>
        <v>500</v>
      </c>
      <c r="AH376" s="538"/>
      <c r="AK376" s="531"/>
      <c r="AM376" s="594"/>
      <c r="AN376" s="535"/>
      <c r="AP376" s="540"/>
      <c r="AQ376" s="540"/>
    </row>
    <row r="377" spans="1:43" s="513" customFormat="1" ht="16.5" hidden="1" customHeight="1" outlineLevel="2">
      <c r="A377" s="584"/>
      <c r="B377" s="572" t="s">
        <v>941</v>
      </c>
      <c r="C377" s="592">
        <f>'Sal._benef.'!$K$19</f>
        <v>5.53</v>
      </c>
      <c r="D377" s="592">
        <f>C377</f>
        <v>5.53</v>
      </c>
      <c r="E377" s="592">
        <f t="shared" si="323"/>
        <v>5.53</v>
      </c>
      <c r="F377" s="592">
        <f t="shared" si="323"/>
        <v>5.53</v>
      </c>
      <c r="G377" s="592">
        <f t="shared" si="323"/>
        <v>5.53</v>
      </c>
      <c r="H377" s="592">
        <f t="shared" si="323"/>
        <v>5.53</v>
      </c>
      <c r="I377" s="592">
        <f t="shared" si="323"/>
        <v>5.53</v>
      </c>
      <c r="J377" s="592">
        <f t="shared" si="323"/>
        <v>5.53</v>
      </c>
      <c r="K377" s="592">
        <f t="shared" si="323"/>
        <v>5.53</v>
      </c>
      <c r="L377" s="592">
        <f t="shared" si="323"/>
        <v>5.53</v>
      </c>
      <c r="M377" s="592">
        <f t="shared" si="323"/>
        <v>5.53</v>
      </c>
      <c r="N377" s="592">
        <f t="shared" si="323"/>
        <v>5.53</v>
      </c>
      <c r="O377" s="592">
        <f t="shared" si="323"/>
        <v>5.53</v>
      </c>
      <c r="P377" s="592">
        <f t="shared" si="323"/>
        <v>5.53</v>
      </c>
      <c r="Q377" s="592">
        <f t="shared" si="323"/>
        <v>5.53</v>
      </c>
      <c r="R377" s="592">
        <f t="shared" si="323"/>
        <v>5.53</v>
      </c>
      <c r="S377" s="592">
        <f t="shared" si="323"/>
        <v>5.53</v>
      </c>
      <c r="T377" s="592">
        <f t="shared" si="323"/>
        <v>5.53</v>
      </c>
      <c r="U377" s="592">
        <f t="shared" si="324"/>
        <v>5.53</v>
      </c>
      <c r="V377" s="592">
        <f t="shared" si="324"/>
        <v>5.53</v>
      </c>
      <c r="W377" s="592">
        <f t="shared" si="324"/>
        <v>5.53</v>
      </c>
      <c r="X377" s="592">
        <f t="shared" si="324"/>
        <v>5.53</v>
      </c>
      <c r="Y377" s="592">
        <f t="shared" si="324"/>
        <v>5.53</v>
      </c>
      <c r="Z377" s="592">
        <f t="shared" si="324"/>
        <v>5.53</v>
      </c>
      <c r="AA377" s="592">
        <f t="shared" si="324"/>
        <v>5.53</v>
      </c>
      <c r="AB377" s="592">
        <f t="shared" si="324"/>
        <v>5.53</v>
      </c>
      <c r="AC377" s="592">
        <f t="shared" si="324"/>
        <v>5.53</v>
      </c>
      <c r="AD377" s="592">
        <f t="shared" si="324"/>
        <v>5.53</v>
      </c>
      <c r="AE377" s="592">
        <f t="shared" si="324"/>
        <v>5.53</v>
      </c>
      <c r="AF377" s="592">
        <f t="shared" si="324"/>
        <v>5.53</v>
      </c>
      <c r="AH377" s="538"/>
      <c r="AK377" s="531"/>
      <c r="AM377" s="594"/>
      <c r="AN377" s="535"/>
      <c r="AP377" s="540"/>
      <c r="AQ377" s="540"/>
    </row>
    <row r="378" spans="1:43" s="513" customFormat="1" ht="16.5" hidden="1" customHeight="1" outlineLevel="2">
      <c r="A378" s="584"/>
      <c r="B378" s="572" t="s">
        <v>942</v>
      </c>
      <c r="C378" s="592">
        <f>'Sal._benef.'!$J$19</f>
        <v>141.18</v>
      </c>
      <c r="D378" s="592">
        <f>C378</f>
        <v>141.18</v>
      </c>
      <c r="E378" s="592">
        <f t="shared" si="323"/>
        <v>141.18</v>
      </c>
      <c r="F378" s="592">
        <f t="shared" si="323"/>
        <v>141.18</v>
      </c>
      <c r="G378" s="592">
        <f t="shared" si="323"/>
        <v>141.18</v>
      </c>
      <c r="H378" s="592">
        <f t="shared" si="323"/>
        <v>141.18</v>
      </c>
      <c r="I378" s="592">
        <f t="shared" si="323"/>
        <v>141.18</v>
      </c>
      <c r="J378" s="592">
        <f t="shared" si="323"/>
        <v>141.18</v>
      </c>
      <c r="K378" s="592">
        <f t="shared" si="323"/>
        <v>141.18</v>
      </c>
      <c r="L378" s="592">
        <f t="shared" si="323"/>
        <v>141.18</v>
      </c>
      <c r="M378" s="592">
        <f t="shared" si="323"/>
        <v>141.18</v>
      </c>
      <c r="N378" s="592">
        <f t="shared" si="323"/>
        <v>141.18</v>
      </c>
      <c r="O378" s="592">
        <f t="shared" si="323"/>
        <v>141.18</v>
      </c>
      <c r="P378" s="592">
        <f t="shared" si="323"/>
        <v>141.18</v>
      </c>
      <c r="Q378" s="592">
        <f t="shared" si="323"/>
        <v>141.18</v>
      </c>
      <c r="R378" s="592">
        <f t="shared" si="323"/>
        <v>141.18</v>
      </c>
      <c r="S378" s="592">
        <f t="shared" si="323"/>
        <v>141.18</v>
      </c>
      <c r="T378" s="592">
        <f t="shared" si="323"/>
        <v>141.18</v>
      </c>
      <c r="U378" s="592">
        <f t="shared" si="324"/>
        <v>141.18</v>
      </c>
      <c r="V378" s="592">
        <f t="shared" si="324"/>
        <v>141.18</v>
      </c>
      <c r="W378" s="592">
        <f t="shared" si="324"/>
        <v>141.18</v>
      </c>
      <c r="X378" s="592">
        <f t="shared" si="324"/>
        <v>141.18</v>
      </c>
      <c r="Y378" s="592">
        <f t="shared" si="324"/>
        <v>141.18</v>
      </c>
      <c r="Z378" s="592">
        <f t="shared" si="324"/>
        <v>141.18</v>
      </c>
      <c r="AA378" s="592">
        <f t="shared" si="324"/>
        <v>141.18</v>
      </c>
      <c r="AB378" s="592">
        <f t="shared" si="324"/>
        <v>141.18</v>
      </c>
      <c r="AC378" s="592">
        <f t="shared" si="324"/>
        <v>141.18</v>
      </c>
      <c r="AD378" s="592">
        <f t="shared" si="324"/>
        <v>141.18</v>
      </c>
      <c r="AE378" s="592">
        <f t="shared" si="324"/>
        <v>141.18</v>
      </c>
      <c r="AF378" s="592">
        <f t="shared" si="324"/>
        <v>141.18</v>
      </c>
      <c r="AG378" s="614"/>
      <c r="AH378" s="538"/>
      <c r="AK378" s="531"/>
      <c r="AM378" s="594"/>
      <c r="AN378" s="535"/>
      <c r="AP378" s="540"/>
      <c r="AQ378" s="540"/>
    </row>
    <row r="379" spans="1:43" s="513" customFormat="1" ht="16.5" hidden="1" customHeight="1" outlineLevel="2">
      <c r="A379" s="584"/>
      <c r="B379" s="572" t="s">
        <v>862</v>
      </c>
      <c r="C379" s="592">
        <v>0</v>
      </c>
      <c r="D379" s="592">
        <f t="shared" ref="D379" si="325">C379</f>
        <v>0</v>
      </c>
      <c r="E379" s="592">
        <f t="shared" si="323"/>
        <v>0</v>
      </c>
      <c r="F379" s="592">
        <f t="shared" si="323"/>
        <v>0</v>
      </c>
      <c r="G379" s="592">
        <f t="shared" si="323"/>
        <v>0</v>
      </c>
      <c r="H379" s="592">
        <f t="shared" si="323"/>
        <v>0</v>
      </c>
      <c r="I379" s="592">
        <f t="shared" si="323"/>
        <v>0</v>
      </c>
      <c r="J379" s="592">
        <f t="shared" si="323"/>
        <v>0</v>
      </c>
      <c r="K379" s="592">
        <f t="shared" si="323"/>
        <v>0</v>
      </c>
      <c r="L379" s="592">
        <f t="shared" si="323"/>
        <v>0</v>
      </c>
      <c r="M379" s="592">
        <f t="shared" si="323"/>
        <v>0</v>
      </c>
      <c r="N379" s="592">
        <f t="shared" si="323"/>
        <v>0</v>
      </c>
      <c r="O379" s="592">
        <f t="shared" si="323"/>
        <v>0</v>
      </c>
      <c r="P379" s="592">
        <f t="shared" si="323"/>
        <v>0</v>
      </c>
      <c r="Q379" s="592">
        <f t="shared" si="323"/>
        <v>0</v>
      </c>
      <c r="R379" s="592">
        <f t="shared" si="323"/>
        <v>0</v>
      </c>
      <c r="S379" s="592">
        <f t="shared" si="323"/>
        <v>0</v>
      </c>
      <c r="T379" s="592">
        <f t="shared" si="323"/>
        <v>0</v>
      </c>
      <c r="U379" s="592">
        <f t="shared" si="324"/>
        <v>0</v>
      </c>
      <c r="V379" s="592">
        <f t="shared" si="324"/>
        <v>0</v>
      </c>
      <c r="W379" s="592">
        <f t="shared" si="324"/>
        <v>0</v>
      </c>
      <c r="X379" s="592">
        <f t="shared" si="324"/>
        <v>0</v>
      </c>
      <c r="Y379" s="592">
        <f t="shared" si="324"/>
        <v>0</v>
      </c>
      <c r="Z379" s="592">
        <f t="shared" si="324"/>
        <v>0</v>
      </c>
      <c r="AA379" s="592">
        <f t="shared" si="324"/>
        <v>0</v>
      </c>
      <c r="AB379" s="592">
        <f t="shared" si="324"/>
        <v>0</v>
      </c>
      <c r="AC379" s="592">
        <f t="shared" si="324"/>
        <v>0</v>
      </c>
      <c r="AD379" s="592">
        <f t="shared" si="324"/>
        <v>0</v>
      </c>
      <c r="AE379" s="592">
        <f t="shared" si="324"/>
        <v>0</v>
      </c>
      <c r="AF379" s="592">
        <f t="shared" si="324"/>
        <v>0</v>
      </c>
      <c r="AH379" s="538"/>
      <c r="AK379" s="531"/>
      <c r="AM379" s="594"/>
      <c r="AN379" s="535"/>
      <c r="AP379" s="540"/>
      <c r="AQ379" s="540"/>
    </row>
    <row r="380" spans="1:43" s="546" customFormat="1" ht="16.5" hidden="1" customHeight="1" outlineLevel="2">
      <c r="A380" s="584"/>
      <c r="B380" s="613" t="s">
        <v>932</v>
      </c>
      <c r="C380" s="570">
        <f>C381*(C382+C383+C384+C385)</f>
        <v>0</v>
      </c>
      <c r="D380" s="570">
        <f t="shared" ref="D380:AF380" si="326">D381*(D382+D383+D384+D385)</f>
        <v>0</v>
      </c>
      <c r="E380" s="570">
        <f t="shared" si="326"/>
        <v>0</v>
      </c>
      <c r="F380" s="570">
        <f t="shared" si="326"/>
        <v>0</v>
      </c>
      <c r="G380" s="570">
        <f t="shared" si="326"/>
        <v>0</v>
      </c>
      <c r="H380" s="570">
        <f t="shared" si="326"/>
        <v>0</v>
      </c>
      <c r="I380" s="570">
        <f t="shared" si="326"/>
        <v>0</v>
      </c>
      <c r="J380" s="570">
        <f t="shared" si="326"/>
        <v>0</v>
      </c>
      <c r="K380" s="570">
        <f t="shared" si="326"/>
        <v>0</v>
      </c>
      <c r="L380" s="570">
        <f t="shared" si="326"/>
        <v>0</v>
      </c>
      <c r="M380" s="570">
        <f t="shared" si="326"/>
        <v>0</v>
      </c>
      <c r="N380" s="570">
        <f t="shared" si="326"/>
        <v>0</v>
      </c>
      <c r="O380" s="570">
        <f t="shared" si="326"/>
        <v>0</v>
      </c>
      <c r="P380" s="570">
        <f t="shared" si="326"/>
        <v>0</v>
      </c>
      <c r="Q380" s="570">
        <f t="shared" si="326"/>
        <v>0</v>
      </c>
      <c r="R380" s="570">
        <f t="shared" si="326"/>
        <v>0</v>
      </c>
      <c r="S380" s="570">
        <f t="shared" si="326"/>
        <v>0</v>
      </c>
      <c r="T380" s="570">
        <f t="shared" si="326"/>
        <v>0</v>
      </c>
      <c r="U380" s="570">
        <f t="shared" si="326"/>
        <v>0</v>
      </c>
      <c r="V380" s="570">
        <f t="shared" si="326"/>
        <v>0</v>
      </c>
      <c r="W380" s="570">
        <f t="shared" si="326"/>
        <v>0</v>
      </c>
      <c r="X380" s="570">
        <f t="shared" si="326"/>
        <v>0</v>
      </c>
      <c r="Y380" s="570">
        <f t="shared" si="326"/>
        <v>0</v>
      </c>
      <c r="Z380" s="570">
        <f t="shared" si="326"/>
        <v>0</v>
      </c>
      <c r="AA380" s="570">
        <f t="shared" si="326"/>
        <v>0</v>
      </c>
      <c r="AB380" s="570">
        <f t="shared" si="326"/>
        <v>0</v>
      </c>
      <c r="AC380" s="570">
        <f t="shared" si="326"/>
        <v>0</v>
      </c>
      <c r="AD380" s="570">
        <f t="shared" si="326"/>
        <v>0</v>
      </c>
      <c r="AE380" s="570">
        <f t="shared" si="326"/>
        <v>0</v>
      </c>
      <c r="AF380" s="570">
        <f t="shared" si="326"/>
        <v>0</v>
      </c>
      <c r="AH380" s="571"/>
      <c r="AK380" s="531"/>
      <c r="AM380" s="594"/>
      <c r="AN380" s="535"/>
      <c r="AP380" s="549"/>
      <c r="AQ380" s="549"/>
    </row>
    <row r="381" spans="1:43" s="586" customFormat="1" ht="16.5" hidden="1" customHeight="1" outlineLevel="2">
      <c r="A381" s="584"/>
      <c r="B381" s="585" t="s">
        <v>805</v>
      </c>
      <c r="C381" s="554">
        <f t="shared" ref="C381:AF381" si="327">C336</f>
        <v>0</v>
      </c>
      <c r="D381" s="554">
        <f t="shared" si="327"/>
        <v>0</v>
      </c>
      <c r="E381" s="554">
        <f t="shared" si="327"/>
        <v>0</v>
      </c>
      <c r="F381" s="554">
        <f t="shared" si="327"/>
        <v>0</v>
      </c>
      <c r="G381" s="554">
        <f t="shared" si="327"/>
        <v>0</v>
      </c>
      <c r="H381" s="554">
        <f t="shared" si="327"/>
        <v>0</v>
      </c>
      <c r="I381" s="554">
        <f t="shared" si="327"/>
        <v>0</v>
      </c>
      <c r="J381" s="554">
        <f t="shared" si="327"/>
        <v>0</v>
      </c>
      <c r="K381" s="554">
        <f t="shared" si="327"/>
        <v>0</v>
      </c>
      <c r="L381" s="554">
        <f t="shared" si="327"/>
        <v>0</v>
      </c>
      <c r="M381" s="554">
        <f t="shared" si="327"/>
        <v>0</v>
      </c>
      <c r="N381" s="554">
        <f t="shared" si="327"/>
        <v>0</v>
      </c>
      <c r="O381" s="554">
        <f t="shared" si="327"/>
        <v>0</v>
      </c>
      <c r="P381" s="554">
        <f t="shared" si="327"/>
        <v>0</v>
      </c>
      <c r="Q381" s="554">
        <f t="shared" si="327"/>
        <v>0</v>
      </c>
      <c r="R381" s="554">
        <f t="shared" si="327"/>
        <v>0</v>
      </c>
      <c r="S381" s="554">
        <f t="shared" si="327"/>
        <v>0</v>
      </c>
      <c r="T381" s="554">
        <f t="shared" si="327"/>
        <v>0</v>
      </c>
      <c r="U381" s="554">
        <f t="shared" si="327"/>
        <v>0</v>
      </c>
      <c r="V381" s="554">
        <f t="shared" si="327"/>
        <v>0</v>
      </c>
      <c r="W381" s="554">
        <f t="shared" si="327"/>
        <v>0</v>
      </c>
      <c r="X381" s="554">
        <f t="shared" si="327"/>
        <v>0</v>
      </c>
      <c r="Y381" s="554">
        <f t="shared" si="327"/>
        <v>0</v>
      </c>
      <c r="Z381" s="554">
        <f t="shared" si="327"/>
        <v>0</v>
      </c>
      <c r="AA381" s="554">
        <f t="shared" si="327"/>
        <v>0</v>
      </c>
      <c r="AB381" s="554">
        <f t="shared" si="327"/>
        <v>0</v>
      </c>
      <c r="AC381" s="554">
        <f t="shared" si="327"/>
        <v>0</v>
      </c>
      <c r="AD381" s="554">
        <f t="shared" si="327"/>
        <v>0</v>
      </c>
      <c r="AE381" s="554">
        <f t="shared" si="327"/>
        <v>0</v>
      </c>
      <c r="AF381" s="554">
        <f t="shared" si="327"/>
        <v>0</v>
      </c>
      <c r="AH381" s="587"/>
      <c r="AK381" s="588"/>
      <c r="AM381" s="624"/>
      <c r="AN381" s="590"/>
      <c r="AP381" s="591"/>
      <c r="AQ381" s="591"/>
    </row>
    <row r="382" spans="1:43" s="513" customFormat="1" ht="16.5" hidden="1" customHeight="1" outlineLevel="2">
      <c r="A382" s="584"/>
      <c r="B382" s="572" t="s">
        <v>940</v>
      </c>
      <c r="C382" s="592">
        <f>'Sal._benef.'!$I$19</f>
        <v>500</v>
      </c>
      <c r="D382" s="592">
        <f>C382</f>
        <v>500</v>
      </c>
      <c r="E382" s="592">
        <f t="shared" ref="E382:T385" si="328">D382</f>
        <v>500</v>
      </c>
      <c r="F382" s="592">
        <f t="shared" si="328"/>
        <v>500</v>
      </c>
      <c r="G382" s="592">
        <f t="shared" si="328"/>
        <v>500</v>
      </c>
      <c r="H382" s="592">
        <f t="shared" si="328"/>
        <v>500</v>
      </c>
      <c r="I382" s="592">
        <f t="shared" si="328"/>
        <v>500</v>
      </c>
      <c r="J382" s="592">
        <f t="shared" si="328"/>
        <v>500</v>
      </c>
      <c r="K382" s="592">
        <f t="shared" si="328"/>
        <v>500</v>
      </c>
      <c r="L382" s="592">
        <f t="shared" si="328"/>
        <v>500</v>
      </c>
      <c r="M382" s="592">
        <f t="shared" si="328"/>
        <v>500</v>
      </c>
      <c r="N382" s="592">
        <f t="shared" si="328"/>
        <v>500</v>
      </c>
      <c r="O382" s="592">
        <f t="shared" si="328"/>
        <v>500</v>
      </c>
      <c r="P382" s="592">
        <f t="shared" si="328"/>
        <v>500</v>
      </c>
      <c r="Q382" s="592">
        <f t="shared" si="328"/>
        <v>500</v>
      </c>
      <c r="R382" s="592">
        <f t="shared" si="328"/>
        <v>500</v>
      </c>
      <c r="S382" s="592">
        <f t="shared" si="328"/>
        <v>500</v>
      </c>
      <c r="T382" s="592">
        <f t="shared" si="328"/>
        <v>500</v>
      </c>
      <c r="U382" s="592">
        <f t="shared" ref="U382:AF385" si="329">T382</f>
        <v>500</v>
      </c>
      <c r="V382" s="592">
        <f t="shared" si="329"/>
        <v>500</v>
      </c>
      <c r="W382" s="592">
        <f t="shared" si="329"/>
        <v>500</v>
      </c>
      <c r="X382" s="592">
        <f t="shared" si="329"/>
        <v>500</v>
      </c>
      <c r="Y382" s="592">
        <f t="shared" si="329"/>
        <v>500</v>
      </c>
      <c r="Z382" s="592">
        <f t="shared" si="329"/>
        <v>500</v>
      </c>
      <c r="AA382" s="592">
        <f t="shared" si="329"/>
        <v>500</v>
      </c>
      <c r="AB382" s="592">
        <f t="shared" si="329"/>
        <v>500</v>
      </c>
      <c r="AC382" s="592">
        <f t="shared" si="329"/>
        <v>500</v>
      </c>
      <c r="AD382" s="592">
        <f t="shared" si="329"/>
        <v>500</v>
      </c>
      <c r="AE382" s="592">
        <f t="shared" si="329"/>
        <v>500</v>
      </c>
      <c r="AF382" s="592">
        <f t="shared" si="329"/>
        <v>500</v>
      </c>
      <c r="AH382" s="538"/>
      <c r="AK382" s="531"/>
      <c r="AM382" s="594"/>
      <c r="AN382" s="535"/>
      <c r="AP382" s="540"/>
      <c r="AQ382" s="540"/>
    </row>
    <row r="383" spans="1:43" s="513" customFormat="1" ht="16.5" hidden="1" customHeight="1" outlineLevel="2">
      <c r="A383" s="584"/>
      <c r="B383" s="572" t="s">
        <v>941</v>
      </c>
      <c r="C383" s="592">
        <f>'Sal._benef.'!$K$19</f>
        <v>5.53</v>
      </c>
      <c r="D383" s="592">
        <f>C383</f>
        <v>5.53</v>
      </c>
      <c r="E383" s="592">
        <f t="shared" si="328"/>
        <v>5.53</v>
      </c>
      <c r="F383" s="592">
        <f t="shared" si="328"/>
        <v>5.53</v>
      </c>
      <c r="G383" s="592">
        <f t="shared" si="328"/>
        <v>5.53</v>
      </c>
      <c r="H383" s="592">
        <f t="shared" si="328"/>
        <v>5.53</v>
      </c>
      <c r="I383" s="592">
        <f t="shared" si="328"/>
        <v>5.53</v>
      </c>
      <c r="J383" s="592">
        <f t="shared" si="328"/>
        <v>5.53</v>
      </c>
      <c r="K383" s="592">
        <f t="shared" si="328"/>
        <v>5.53</v>
      </c>
      <c r="L383" s="592">
        <f t="shared" si="328"/>
        <v>5.53</v>
      </c>
      <c r="M383" s="592">
        <f t="shared" si="328"/>
        <v>5.53</v>
      </c>
      <c r="N383" s="592">
        <f t="shared" si="328"/>
        <v>5.53</v>
      </c>
      <c r="O383" s="592">
        <f t="shared" si="328"/>
        <v>5.53</v>
      </c>
      <c r="P383" s="592">
        <f t="shared" si="328"/>
        <v>5.53</v>
      </c>
      <c r="Q383" s="592">
        <f t="shared" si="328"/>
        <v>5.53</v>
      </c>
      <c r="R383" s="592">
        <f t="shared" si="328"/>
        <v>5.53</v>
      </c>
      <c r="S383" s="592">
        <f t="shared" si="328"/>
        <v>5.53</v>
      </c>
      <c r="T383" s="592">
        <f t="shared" si="328"/>
        <v>5.53</v>
      </c>
      <c r="U383" s="592">
        <f t="shared" si="329"/>
        <v>5.53</v>
      </c>
      <c r="V383" s="592">
        <f t="shared" si="329"/>
        <v>5.53</v>
      </c>
      <c r="W383" s="592">
        <f t="shared" si="329"/>
        <v>5.53</v>
      </c>
      <c r="X383" s="592">
        <f t="shared" si="329"/>
        <v>5.53</v>
      </c>
      <c r="Y383" s="592">
        <f t="shared" si="329"/>
        <v>5.53</v>
      </c>
      <c r="Z383" s="592">
        <f t="shared" si="329"/>
        <v>5.53</v>
      </c>
      <c r="AA383" s="592">
        <f t="shared" si="329"/>
        <v>5.53</v>
      </c>
      <c r="AB383" s="592">
        <f t="shared" si="329"/>
        <v>5.53</v>
      </c>
      <c r="AC383" s="592">
        <f t="shared" si="329"/>
        <v>5.53</v>
      </c>
      <c r="AD383" s="592">
        <f t="shared" si="329"/>
        <v>5.53</v>
      </c>
      <c r="AE383" s="592">
        <f t="shared" si="329"/>
        <v>5.53</v>
      </c>
      <c r="AF383" s="592">
        <f t="shared" si="329"/>
        <v>5.53</v>
      </c>
      <c r="AH383" s="538"/>
      <c r="AK383" s="531"/>
      <c r="AM383" s="594"/>
      <c r="AN383" s="535"/>
      <c r="AP383" s="540"/>
      <c r="AQ383" s="540"/>
    </row>
    <row r="384" spans="1:43" s="513" customFormat="1" ht="16.5" hidden="1" customHeight="1" outlineLevel="2">
      <c r="A384" s="584"/>
      <c r="B384" s="572" t="s">
        <v>942</v>
      </c>
      <c r="C384" s="592">
        <f>'Sal._benef.'!$J$19</f>
        <v>141.18</v>
      </c>
      <c r="D384" s="592">
        <f>C384</f>
        <v>141.18</v>
      </c>
      <c r="E384" s="592">
        <f t="shared" si="328"/>
        <v>141.18</v>
      </c>
      <c r="F384" s="592">
        <f t="shared" si="328"/>
        <v>141.18</v>
      </c>
      <c r="G384" s="592">
        <f t="shared" si="328"/>
        <v>141.18</v>
      </c>
      <c r="H384" s="592">
        <f t="shared" si="328"/>
        <v>141.18</v>
      </c>
      <c r="I384" s="592">
        <f t="shared" si="328"/>
        <v>141.18</v>
      </c>
      <c r="J384" s="592">
        <f t="shared" si="328"/>
        <v>141.18</v>
      </c>
      <c r="K384" s="592">
        <f t="shared" si="328"/>
        <v>141.18</v>
      </c>
      <c r="L384" s="592">
        <f t="shared" si="328"/>
        <v>141.18</v>
      </c>
      <c r="M384" s="592">
        <f t="shared" si="328"/>
        <v>141.18</v>
      </c>
      <c r="N384" s="592">
        <f t="shared" si="328"/>
        <v>141.18</v>
      </c>
      <c r="O384" s="592">
        <f t="shared" si="328"/>
        <v>141.18</v>
      </c>
      <c r="P384" s="592">
        <f t="shared" si="328"/>
        <v>141.18</v>
      </c>
      <c r="Q384" s="592">
        <f t="shared" si="328"/>
        <v>141.18</v>
      </c>
      <c r="R384" s="592">
        <f t="shared" si="328"/>
        <v>141.18</v>
      </c>
      <c r="S384" s="592">
        <f t="shared" si="328"/>
        <v>141.18</v>
      </c>
      <c r="T384" s="592">
        <f t="shared" si="328"/>
        <v>141.18</v>
      </c>
      <c r="U384" s="592">
        <f t="shared" si="329"/>
        <v>141.18</v>
      </c>
      <c r="V384" s="592">
        <f t="shared" si="329"/>
        <v>141.18</v>
      </c>
      <c r="W384" s="592">
        <f t="shared" si="329"/>
        <v>141.18</v>
      </c>
      <c r="X384" s="592">
        <f t="shared" si="329"/>
        <v>141.18</v>
      </c>
      <c r="Y384" s="592">
        <f t="shared" si="329"/>
        <v>141.18</v>
      </c>
      <c r="Z384" s="592">
        <f t="shared" si="329"/>
        <v>141.18</v>
      </c>
      <c r="AA384" s="592">
        <f t="shared" si="329"/>
        <v>141.18</v>
      </c>
      <c r="AB384" s="592">
        <f t="shared" si="329"/>
        <v>141.18</v>
      </c>
      <c r="AC384" s="592">
        <f t="shared" si="329"/>
        <v>141.18</v>
      </c>
      <c r="AD384" s="592">
        <f t="shared" si="329"/>
        <v>141.18</v>
      </c>
      <c r="AE384" s="592">
        <f t="shared" si="329"/>
        <v>141.18</v>
      </c>
      <c r="AF384" s="592">
        <f t="shared" si="329"/>
        <v>141.18</v>
      </c>
      <c r="AG384" s="614"/>
      <c r="AH384" s="538"/>
      <c r="AK384" s="531"/>
      <c r="AM384" s="594"/>
      <c r="AN384" s="535"/>
      <c r="AP384" s="540"/>
      <c r="AQ384" s="540"/>
    </row>
    <row r="385" spans="1:43" s="513" customFormat="1" ht="16.5" hidden="1" customHeight="1" outlineLevel="2">
      <c r="A385" s="584"/>
      <c r="B385" s="572" t="s">
        <v>862</v>
      </c>
      <c r="C385" s="592">
        <v>0</v>
      </c>
      <c r="D385" s="592">
        <f t="shared" ref="D385" si="330">C385</f>
        <v>0</v>
      </c>
      <c r="E385" s="592">
        <f t="shared" si="328"/>
        <v>0</v>
      </c>
      <c r="F385" s="592">
        <f t="shared" si="328"/>
        <v>0</v>
      </c>
      <c r="G385" s="592">
        <f t="shared" si="328"/>
        <v>0</v>
      </c>
      <c r="H385" s="592">
        <f t="shared" si="328"/>
        <v>0</v>
      </c>
      <c r="I385" s="592">
        <f t="shared" si="328"/>
        <v>0</v>
      </c>
      <c r="J385" s="592">
        <f t="shared" si="328"/>
        <v>0</v>
      </c>
      <c r="K385" s="592">
        <f t="shared" si="328"/>
        <v>0</v>
      </c>
      <c r="L385" s="592">
        <f t="shared" si="328"/>
        <v>0</v>
      </c>
      <c r="M385" s="592">
        <f t="shared" si="328"/>
        <v>0</v>
      </c>
      <c r="N385" s="592">
        <f t="shared" si="328"/>
        <v>0</v>
      </c>
      <c r="O385" s="592">
        <f t="shared" si="328"/>
        <v>0</v>
      </c>
      <c r="P385" s="592">
        <f t="shared" si="328"/>
        <v>0</v>
      </c>
      <c r="Q385" s="592">
        <f t="shared" si="328"/>
        <v>0</v>
      </c>
      <c r="R385" s="592">
        <f t="shared" si="328"/>
        <v>0</v>
      </c>
      <c r="S385" s="592">
        <f t="shared" si="328"/>
        <v>0</v>
      </c>
      <c r="T385" s="592">
        <f t="shared" si="328"/>
        <v>0</v>
      </c>
      <c r="U385" s="592">
        <f t="shared" si="329"/>
        <v>0</v>
      </c>
      <c r="V385" s="592">
        <f t="shared" si="329"/>
        <v>0</v>
      </c>
      <c r="W385" s="592">
        <f t="shared" si="329"/>
        <v>0</v>
      </c>
      <c r="X385" s="592">
        <f t="shared" si="329"/>
        <v>0</v>
      </c>
      <c r="Y385" s="592">
        <f t="shared" si="329"/>
        <v>0</v>
      </c>
      <c r="Z385" s="592">
        <f t="shared" si="329"/>
        <v>0</v>
      </c>
      <c r="AA385" s="592">
        <f t="shared" si="329"/>
        <v>0</v>
      </c>
      <c r="AB385" s="592">
        <f t="shared" si="329"/>
        <v>0</v>
      </c>
      <c r="AC385" s="592">
        <f t="shared" si="329"/>
        <v>0</v>
      </c>
      <c r="AD385" s="592">
        <f t="shared" si="329"/>
        <v>0</v>
      </c>
      <c r="AE385" s="592">
        <f t="shared" si="329"/>
        <v>0</v>
      </c>
      <c r="AF385" s="592">
        <f t="shared" si="329"/>
        <v>0</v>
      </c>
      <c r="AH385" s="538"/>
      <c r="AK385" s="531"/>
      <c r="AM385" s="594"/>
      <c r="AN385" s="535"/>
      <c r="AP385" s="540"/>
      <c r="AQ385" s="540"/>
    </row>
    <row r="386" spans="1:43" s="546" customFormat="1" ht="16.5" hidden="1" customHeight="1" outlineLevel="2">
      <c r="A386" s="584"/>
      <c r="B386" s="613" t="s">
        <v>933</v>
      </c>
      <c r="C386" s="570">
        <f>C387*(C388+C389+C390+C391)</f>
        <v>0</v>
      </c>
      <c r="D386" s="570">
        <f t="shared" ref="D386:AF386" si="331">D387*(D388+D389+D390+D391)</f>
        <v>0</v>
      </c>
      <c r="E386" s="570">
        <f t="shared" si="331"/>
        <v>0</v>
      </c>
      <c r="F386" s="570">
        <f t="shared" si="331"/>
        <v>0</v>
      </c>
      <c r="G386" s="570">
        <f t="shared" si="331"/>
        <v>0</v>
      </c>
      <c r="H386" s="570">
        <f t="shared" si="331"/>
        <v>0</v>
      </c>
      <c r="I386" s="570">
        <f t="shared" si="331"/>
        <v>0</v>
      </c>
      <c r="J386" s="570">
        <f t="shared" si="331"/>
        <v>0</v>
      </c>
      <c r="K386" s="570">
        <f t="shared" si="331"/>
        <v>0</v>
      </c>
      <c r="L386" s="570">
        <f t="shared" si="331"/>
        <v>0</v>
      </c>
      <c r="M386" s="570">
        <f t="shared" si="331"/>
        <v>0</v>
      </c>
      <c r="N386" s="570">
        <f t="shared" si="331"/>
        <v>0</v>
      </c>
      <c r="O386" s="570">
        <f t="shared" si="331"/>
        <v>0</v>
      </c>
      <c r="P386" s="570">
        <f t="shared" si="331"/>
        <v>0</v>
      </c>
      <c r="Q386" s="570">
        <f t="shared" si="331"/>
        <v>0</v>
      </c>
      <c r="R386" s="570">
        <f t="shared" si="331"/>
        <v>0</v>
      </c>
      <c r="S386" s="570">
        <f t="shared" si="331"/>
        <v>0</v>
      </c>
      <c r="T386" s="570">
        <f t="shared" si="331"/>
        <v>0</v>
      </c>
      <c r="U386" s="570">
        <f t="shared" si="331"/>
        <v>0</v>
      </c>
      <c r="V386" s="570">
        <f t="shared" si="331"/>
        <v>0</v>
      </c>
      <c r="W386" s="570">
        <f t="shared" si="331"/>
        <v>0</v>
      </c>
      <c r="X386" s="570">
        <f t="shared" si="331"/>
        <v>0</v>
      </c>
      <c r="Y386" s="570">
        <f t="shared" si="331"/>
        <v>0</v>
      </c>
      <c r="Z386" s="570">
        <f t="shared" si="331"/>
        <v>0</v>
      </c>
      <c r="AA386" s="570">
        <f t="shared" si="331"/>
        <v>0</v>
      </c>
      <c r="AB386" s="570">
        <f t="shared" si="331"/>
        <v>0</v>
      </c>
      <c r="AC386" s="570">
        <f t="shared" si="331"/>
        <v>0</v>
      </c>
      <c r="AD386" s="570">
        <f t="shared" si="331"/>
        <v>0</v>
      </c>
      <c r="AE386" s="570">
        <f t="shared" si="331"/>
        <v>0</v>
      </c>
      <c r="AF386" s="570">
        <f t="shared" si="331"/>
        <v>0</v>
      </c>
      <c r="AH386" s="571"/>
      <c r="AK386" s="531"/>
      <c r="AM386" s="594"/>
      <c r="AN386" s="535"/>
      <c r="AP386" s="549"/>
      <c r="AQ386" s="549"/>
    </row>
    <row r="387" spans="1:43" s="586" customFormat="1" ht="16.5" hidden="1" customHeight="1" outlineLevel="2">
      <c r="A387" s="584"/>
      <c r="B387" s="585" t="s">
        <v>805</v>
      </c>
      <c r="C387" s="554">
        <f t="shared" ref="C387:AF387" si="332">C343</f>
        <v>0</v>
      </c>
      <c r="D387" s="554">
        <f t="shared" si="332"/>
        <v>0</v>
      </c>
      <c r="E387" s="554">
        <f t="shared" si="332"/>
        <v>0</v>
      </c>
      <c r="F387" s="554">
        <f t="shared" si="332"/>
        <v>0</v>
      </c>
      <c r="G387" s="554">
        <f t="shared" si="332"/>
        <v>0</v>
      </c>
      <c r="H387" s="554">
        <f t="shared" si="332"/>
        <v>0</v>
      </c>
      <c r="I387" s="554">
        <f t="shared" si="332"/>
        <v>0</v>
      </c>
      <c r="J387" s="554">
        <f t="shared" si="332"/>
        <v>0</v>
      </c>
      <c r="K387" s="554">
        <f t="shared" si="332"/>
        <v>0</v>
      </c>
      <c r="L387" s="554">
        <f t="shared" si="332"/>
        <v>0</v>
      </c>
      <c r="M387" s="554">
        <f t="shared" si="332"/>
        <v>0</v>
      </c>
      <c r="N387" s="554">
        <f t="shared" si="332"/>
        <v>0</v>
      </c>
      <c r="O387" s="554">
        <f t="shared" si="332"/>
        <v>0</v>
      </c>
      <c r="P387" s="554">
        <f t="shared" si="332"/>
        <v>0</v>
      </c>
      <c r="Q387" s="554">
        <f t="shared" si="332"/>
        <v>0</v>
      </c>
      <c r="R387" s="554">
        <f t="shared" si="332"/>
        <v>0</v>
      </c>
      <c r="S387" s="554">
        <f t="shared" si="332"/>
        <v>0</v>
      </c>
      <c r="T387" s="554">
        <f t="shared" si="332"/>
        <v>0</v>
      </c>
      <c r="U387" s="554">
        <f t="shared" si="332"/>
        <v>0</v>
      </c>
      <c r="V387" s="554">
        <f t="shared" si="332"/>
        <v>0</v>
      </c>
      <c r="W387" s="554">
        <f t="shared" si="332"/>
        <v>0</v>
      </c>
      <c r="X387" s="554">
        <f t="shared" si="332"/>
        <v>0</v>
      </c>
      <c r="Y387" s="554">
        <f t="shared" si="332"/>
        <v>0</v>
      </c>
      <c r="Z387" s="554">
        <f t="shared" si="332"/>
        <v>0</v>
      </c>
      <c r="AA387" s="554">
        <f t="shared" si="332"/>
        <v>0</v>
      </c>
      <c r="AB387" s="554">
        <f t="shared" si="332"/>
        <v>0</v>
      </c>
      <c r="AC387" s="554">
        <f t="shared" si="332"/>
        <v>0</v>
      </c>
      <c r="AD387" s="554">
        <f t="shared" si="332"/>
        <v>0</v>
      </c>
      <c r="AE387" s="554">
        <f t="shared" si="332"/>
        <v>0</v>
      </c>
      <c r="AF387" s="554">
        <f t="shared" si="332"/>
        <v>0</v>
      </c>
      <c r="AH387" s="587"/>
      <c r="AK387" s="588"/>
      <c r="AM387" s="624"/>
      <c r="AN387" s="590"/>
      <c r="AP387" s="591"/>
      <c r="AQ387" s="591"/>
    </row>
    <row r="388" spans="1:43" s="513" customFormat="1" ht="16.5" hidden="1" customHeight="1" outlineLevel="2">
      <c r="A388" s="584"/>
      <c r="B388" s="572" t="s">
        <v>940</v>
      </c>
      <c r="C388" s="592">
        <f>'Sal._benef.'!$I$21</f>
        <v>500</v>
      </c>
      <c r="D388" s="592">
        <f>C388</f>
        <v>500</v>
      </c>
      <c r="E388" s="592">
        <f t="shared" ref="E388:T391" si="333">D388</f>
        <v>500</v>
      </c>
      <c r="F388" s="592">
        <f t="shared" si="333"/>
        <v>500</v>
      </c>
      <c r="G388" s="592">
        <f t="shared" si="333"/>
        <v>500</v>
      </c>
      <c r="H388" s="592">
        <f t="shared" si="333"/>
        <v>500</v>
      </c>
      <c r="I388" s="592">
        <f t="shared" si="333"/>
        <v>500</v>
      </c>
      <c r="J388" s="592">
        <f t="shared" si="333"/>
        <v>500</v>
      </c>
      <c r="K388" s="592">
        <f t="shared" si="333"/>
        <v>500</v>
      </c>
      <c r="L388" s="592">
        <f t="shared" si="333"/>
        <v>500</v>
      </c>
      <c r="M388" s="592">
        <f t="shared" si="333"/>
        <v>500</v>
      </c>
      <c r="N388" s="592">
        <f t="shared" si="333"/>
        <v>500</v>
      </c>
      <c r="O388" s="592">
        <f t="shared" si="333"/>
        <v>500</v>
      </c>
      <c r="P388" s="592">
        <f t="shared" si="333"/>
        <v>500</v>
      </c>
      <c r="Q388" s="592">
        <f t="shared" si="333"/>
        <v>500</v>
      </c>
      <c r="R388" s="592">
        <f t="shared" si="333"/>
        <v>500</v>
      </c>
      <c r="S388" s="592">
        <f t="shared" si="333"/>
        <v>500</v>
      </c>
      <c r="T388" s="592">
        <f t="shared" si="333"/>
        <v>500</v>
      </c>
      <c r="U388" s="592">
        <f t="shared" ref="U388:AF391" si="334">T388</f>
        <v>500</v>
      </c>
      <c r="V388" s="592">
        <f t="shared" si="334"/>
        <v>500</v>
      </c>
      <c r="W388" s="592">
        <f t="shared" si="334"/>
        <v>500</v>
      </c>
      <c r="X388" s="592">
        <f t="shared" si="334"/>
        <v>500</v>
      </c>
      <c r="Y388" s="592">
        <f t="shared" si="334"/>
        <v>500</v>
      </c>
      <c r="Z388" s="592">
        <f t="shared" si="334"/>
        <v>500</v>
      </c>
      <c r="AA388" s="592">
        <f t="shared" si="334"/>
        <v>500</v>
      </c>
      <c r="AB388" s="592">
        <f t="shared" si="334"/>
        <v>500</v>
      </c>
      <c r="AC388" s="592">
        <f t="shared" si="334"/>
        <v>500</v>
      </c>
      <c r="AD388" s="592">
        <f t="shared" si="334"/>
        <v>500</v>
      </c>
      <c r="AE388" s="592">
        <f t="shared" si="334"/>
        <v>500</v>
      </c>
      <c r="AF388" s="592">
        <f t="shared" si="334"/>
        <v>500</v>
      </c>
      <c r="AH388" s="538"/>
      <c r="AK388" s="531"/>
      <c r="AM388" s="594"/>
      <c r="AN388" s="535"/>
      <c r="AP388" s="540"/>
      <c r="AQ388" s="540"/>
    </row>
    <row r="389" spans="1:43" s="513" customFormat="1" ht="16.5" hidden="1" customHeight="1" outlineLevel="2">
      <c r="A389" s="584"/>
      <c r="B389" s="572" t="s">
        <v>941</v>
      </c>
      <c r="C389" s="592">
        <f>'Sal._benef.'!$K$21</f>
        <v>5.53</v>
      </c>
      <c r="D389" s="592">
        <f>C389</f>
        <v>5.53</v>
      </c>
      <c r="E389" s="592">
        <f t="shared" si="333"/>
        <v>5.53</v>
      </c>
      <c r="F389" s="592">
        <f t="shared" si="333"/>
        <v>5.53</v>
      </c>
      <c r="G389" s="592">
        <f t="shared" si="333"/>
        <v>5.53</v>
      </c>
      <c r="H389" s="592">
        <f t="shared" si="333"/>
        <v>5.53</v>
      </c>
      <c r="I389" s="592">
        <f t="shared" si="333"/>
        <v>5.53</v>
      </c>
      <c r="J389" s="592">
        <f t="shared" si="333"/>
        <v>5.53</v>
      </c>
      <c r="K389" s="592">
        <f t="shared" si="333"/>
        <v>5.53</v>
      </c>
      <c r="L389" s="592">
        <f t="shared" si="333"/>
        <v>5.53</v>
      </c>
      <c r="M389" s="592">
        <f t="shared" si="333"/>
        <v>5.53</v>
      </c>
      <c r="N389" s="592">
        <f t="shared" si="333"/>
        <v>5.53</v>
      </c>
      <c r="O389" s="592">
        <f t="shared" si="333"/>
        <v>5.53</v>
      </c>
      <c r="P389" s="592">
        <f t="shared" si="333"/>
        <v>5.53</v>
      </c>
      <c r="Q389" s="592">
        <f t="shared" si="333"/>
        <v>5.53</v>
      </c>
      <c r="R389" s="592">
        <f t="shared" si="333"/>
        <v>5.53</v>
      </c>
      <c r="S389" s="592">
        <f t="shared" si="333"/>
        <v>5.53</v>
      </c>
      <c r="T389" s="592">
        <f t="shared" si="333"/>
        <v>5.53</v>
      </c>
      <c r="U389" s="592">
        <f t="shared" si="334"/>
        <v>5.53</v>
      </c>
      <c r="V389" s="592">
        <f t="shared" si="334"/>
        <v>5.53</v>
      </c>
      <c r="W389" s="592">
        <f t="shared" si="334"/>
        <v>5.53</v>
      </c>
      <c r="X389" s="592">
        <f t="shared" si="334"/>
        <v>5.53</v>
      </c>
      <c r="Y389" s="592">
        <f t="shared" si="334"/>
        <v>5.53</v>
      </c>
      <c r="Z389" s="592">
        <f t="shared" si="334"/>
        <v>5.53</v>
      </c>
      <c r="AA389" s="592">
        <f t="shared" si="334"/>
        <v>5.53</v>
      </c>
      <c r="AB389" s="592">
        <f t="shared" si="334"/>
        <v>5.53</v>
      </c>
      <c r="AC389" s="592">
        <f t="shared" si="334"/>
        <v>5.53</v>
      </c>
      <c r="AD389" s="592">
        <f t="shared" si="334"/>
        <v>5.53</v>
      </c>
      <c r="AE389" s="592">
        <f t="shared" si="334"/>
        <v>5.53</v>
      </c>
      <c r="AF389" s="592">
        <f t="shared" si="334"/>
        <v>5.53</v>
      </c>
      <c r="AH389" s="538"/>
      <c r="AK389" s="531"/>
      <c r="AM389" s="594"/>
      <c r="AN389" s="535"/>
      <c r="AP389" s="540"/>
      <c r="AQ389" s="540"/>
    </row>
    <row r="390" spans="1:43" s="513" customFormat="1" ht="16.5" hidden="1" customHeight="1" outlineLevel="2">
      <c r="A390" s="584"/>
      <c r="B390" s="572" t="s">
        <v>942</v>
      </c>
      <c r="C390" s="592">
        <f>'Sal._benef.'!$J$21</f>
        <v>56.980800000000016</v>
      </c>
      <c r="D390" s="592">
        <f>C390</f>
        <v>56.980800000000016</v>
      </c>
      <c r="E390" s="592">
        <f t="shared" si="333"/>
        <v>56.980800000000016</v>
      </c>
      <c r="F390" s="592">
        <f t="shared" si="333"/>
        <v>56.980800000000016</v>
      </c>
      <c r="G390" s="592">
        <f t="shared" si="333"/>
        <v>56.980800000000016</v>
      </c>
      <c r="H390" s="592">
        <f t="shared" si="333"/>
        <v>56.980800000000016</v>
      </c>
      <c r="I390" s="592">
        <f t="shared" si="333"/>
        <v>56.980800000000016</v>
      </c>
      <c r="J390" s="592">
        <f t="shared" si="333"/>
        <v>56.980800000000016</v>
      </c>
      <c r="K390" s="592">
        <f t="shared" si="333"/>
        <v>56.980800000000016</v>
      </c>
      <c r="L390" s="592">
        <f t="shared" si="333"/>
        <v>56.980800000000016</v>
      </c>
      <c r="M390" s="592">
        <f t="shared" si="333"/>
        <v>56.980800000000016</v>
      </c>
      <c r="N390" s="592">
        <f t="shared" si="333"/>
        <v>56.980800000000016</v>
      </c>
      <c r="O390" s="592">
        <f t="shared" si="333"/>
        <v>56.980800000000016</v>
      </c>
      <c r="P390" s="592">
        <f t="shared" si="333"/>
        <v>56.980800000000016</v>
      </c>
      <c r="Q390" s="592">
        <f t="shared" si="333"/>
        <v>56.980800000000016</v>
      </c>
      <c r="R390" s="592">
        <f t="shared" si="333"/>
        <v>56.980800000000016</v>
      </c>
      <c r="S390" s="592">
        <f t="shared" si="333"/>
        <v>56.980800000000016</v>
      </c>
      <c r="T390" s="592">
        <f t="shared" si="333"/>
        <v>56.980800000000016</v>
      </c>
      <c r="U390" s="592">
        <f t="shared" si="334"/>
        <v>56.980800000000016</v>
      </c>
      <c r="V390" s="592">
        <f t="shared" si="334"/>
        <v>56.980800000000016</v>
      </c>
      <c r="W390" s="592">
        <f t="shared" si="334"/>
        <v>56.980800000000016</v>
      </c>
      <c r="X390" s="592">
        <f t="shared" si="334"/>
        <v>56.980800000000016</v>
      </c>
      <c r="Y390" s="592">
        <f t="shared" si="334"/>
        <v>56.980800000000016</v>
      </c>
      <c r="Z390" s="592">
        <f t="shared" si="334"/>
        <v>56.980800000000016</v>
      </c>
      <c r="AA390" s="592">
        <f t="shared" si="334"/>
        <v>56.980800000000016</v>
      </c>
      <c r="AB390" s="592">
        <f t="shared" si="334"/>
        <v>56.980800000000016</v>
      </c>
      <c r="AC390" s="592">
        <f t="shared" si="334"/>
        <v>56.980800000000016</v>
      </c>
      <c r="AD390" s="592">
        <f t="shared" si="334"/>
        <v>56.980800000000016</v>
      </c>
      <c r="AE390" s="592">
        <f t="shared" si="334"/>
        <v>56.980800000000016</v>
      </c>
      <c r="AF390" s="592">
        <f t="shared" si="334"/>
        <v>56.980800000000016</v>
      </c>
      <c r="AG390" s="614"/>
      <c r="AH390" s="538"/>
      <c r="AK390" s="531"/>
      <c r="AM390" s="594"/>
      <c r="AN390" s="535"/>
      <c r="AP390" s="540"/>
      <c r="AQ390" s="540"/>
    </row>
    <row r="391" spans="1:43" s="513" customFormat="1" ht="16.5" hidden="1" customHeight="1" outlineLevel="2">
      <c r="A391" s="584"/>
      <c r="B391" s="572" t="s">
        <v>862</v>
      </c>
      <c r="C391" s="592">
        <v>0</v>
      </c>
      <c r="D391" s="592">
        <f t="shared" ref="D391" si="335">C391</f>
        <v>0</v>
      </c>
      <c r="E391" s="592">
        <f t="shared" si="333"/>
        <v>0</v>
      </c>
      <c r="F391" s="592">
        <f t="shared" si="333"/>
        <v>0</v>
      </c>
      <c r="G391" s="592">
        <f t="shared" si="333"/>
        <v>0</v>
      </c>
      <c r="H391" s="592">
        <f t="shared" si="333"/>
        <v>0</v>
      </c>
      <c r="I391" s="592">
        <f t="shared" si="333"/>
        <v>0</v>
      </c>
      <c r="J391" s="592">
        <f t="shared" si="333"/>
        <v>0</v>
      </c>
      <c r="K391" s="592">
        <f t="shared" si="333"/>
        <v>0</v>
      </c>
      <c r="L391" s="592">
        <f t="shared" si="333"/>
        <v>0</v>
      </c>
      <c r="M391" s="592">
        <f t="shared" si="333"/>
        <v>0</v>
      </c>
      <c r="N391" s="592">
        <f t="shared" si="333"/>
        <v>0</v>
      </c>
      <c r="O391" s="592">
        <f t="shared" si="333"/>
        <v>0</v>
      </c>
      <c r="P391" s="592">
        <f t="shared" si="333"/>
        <v>0</v>
      </c>
      <c r="Q391" s="592">
        <f t="shared" si="333"/>
        <v>0</v>
      </c>
      <c r="R391" s="592">
        <f t="shared" si="333"/>
        <v>0</v>
      </c>
      <c r="S391" s="592">
        <f t="shared" si="333"/>
        <v>0</v>
      </c>
      <c r="T391" s="592">
        <f t="shared" si="333"/>
        <v>0</v>
      </c>
      <c r="U391" s="592">
        <f t="shared" si="334"/>
        <v>0</v>
      </c>
      <c r="V391" s="592">
        <f t="shared" si="334"/>
        <v>0</v>
      </c>
      <c r="W391" s="592">
        <f t="shared" si="334"/>
        <v>0</v>
      </c>
      <c r="X391" s="592">
        <f t="shared" si="334"/>
        <v>0</v>
      </c>
      <c r="Y391" s="592">
        <f t="shared" si="334"/>
        <v>0</v>
      </c>
      <c r="Z391" s="592">
        <f t="shared" si="334"/>
        <v>0</v>
      </c>
      <c r="AA391" s="592">
        <f t="shared" si="334"/>
        <v>0</v>
      </c>
      <c r="AB391" s="592">
        <f t="shared" si="334"/>
        <v>0</v>
      </c>
      <c r="AC391" s="592">
        <f t="shared" si="334"/>
        <v>0</v>
      </c>
      <c r="AD391" s="592">
        <f t="shared" si="334"/>
        <v>0</v>
      </c>
      <c r="AE391" s="592">
        <f t="shared" si="334"/>
        <v>0</v>
      </c>
      <c r="AF391" s="592">
        <f t="shared" si="334"/>
        <v>0</v>
      </c>
      <c r="AH391" s="538"/>
      <c r="AK391" s="531"/>
      <c r="AM391" s="594"/>
      <c r="AN391" s="535"/>
      <c r="AP391" s="540"/>
      <c r="AQ391" s="540"/>
    </row>
    <row r="392" spans="1:43" s="546" customFormat="1" ht="16.5" hidden="1" customHeight="1" outlineLevel="2">
      <c r="A392" s="584"/>
      <c r="B392" s="613" t="s">
        <v>935</v>
      </c>
      <c r="C392" s="570">
        <f>C393*(C394+C395+C396+C397)</f>
        <v>0</v>
      </c>
      <c r="D392" s="570">
        <f t="shared" ref="D392:AF392" si="336">D393*(D394+D395+D396+D397)</f>
        <v>0</v>
      </c>
      <c r="E392" s="570">
        <f t="shared" si="336"/>
        <v>0</v>
      </c>
      <c r="F392" s="570">
        <f t="shared" si="336"/>
        <v>0</v>
      </c>
      <c r="G392" s="570">
        <f t="shared" si="336"/>
        <v>0</v>
      </c>
      <c r="H392" s="570">
        <f t="shared" si="336"/>
        <v>0</v>
      </c>
      <c r="I392" s="570">
        <f t="shared" si="336"/>
        <v>0</v>
      </c>
      <c r="J392" s="570">
        <f t="shared" si="336"/>
        <v>0</v>
      </c>
      <c r="K392" s="570">
        <f t="shared" si="336"/>
        <v>0</v>
      </c>
      <c r="L392" s="570">
        <f t="shared" si="336"/>
        <v>0</v>
      </c>
      <c r="M392" s="570">
        <f t="shared" si="336"/>
        <v>0</v>
      </c>
      <c r="N392" s="570">
        <f t="shared" si="336"/>
        <v>0</v>
      </c>
      <c r="O392" s="570">
        <f t="shared" si="336"/>
        <v>0</v>
      </c>
      <c r="P392" s="570">
        <f t="shared" si="336"/>
        <v>0</v>
      </c>
      <c r="Q392" s="570">
        <f t="shared" si="336"/>
        <v>0</v>
      </c>
      <c r="R392" s="570">
        <f t="shared" si="336"/>
        <v>0</v>
      </c>
      <c r="S392" s="570">
        <f t="shared" si="336"/>
        <v>0</v>
      </c>
      <c r="T392" s="570">
        <f t="shared" si="336"/>
        <v>0</v>
      </c>
      <c r="U392" s="570">
        <f t="shared" si="336"/>
        <v>0</v>
      </c>
      <c r="V392" s="570">
        <f t="shared" si="336"/>
        <v>0</v>
      </c>
      <c r="W392" s="570">
        <f t="shared" si="336"/>
        <v>0</v>
      </c>
      <c r="X392" s="570">
        <f t="shared" si="336"/>
        <v>0</v>
      </c>
      <c r="Y392" s="570">
        <f t="shared" si="336"/>
        <v>0</v>
      </c>
      <c r="Z392" s="570">
        <f t="shared" si="336"/>
        <v>0</v>
      </c>
      <c r="AA392" s="570">
        <f t="shared" si="336"/>
        <v>0</v>
      </c>
      <c r="AB392" s="570">
        <f t="shared" si="336"/>
        <v>0</v>
      </c>
      <c r="AC392" s="570">
        <f t="shared" si="336"/>
        <v>0</v>
      </c>
      <c r="AD392" s="570">
        <f t="shared" si="336"/>
        <v>0</v>
      </c>
      <c r="AE392" s="570">
        <f t="shared" si="336"/>
        <v>0</v>
      </c>
      <c r="AF392" s="570">
        <f t="shared" si="336"/>
        <v>0</v>
      </c>
      <c r="AH392" s="571"/>
      <c r="AK392" s="531"/>
      <c r="AM392" s="594"/>
      <c r="AN392" s="535"/>
      <c r="AP392" s="549"/>
      <c r="AQ392" s="549"/>
    </row>
    <row r="393" spans="1:43" s="586" customFormat="1" ht="16.5" hidden="1" customHeight="1" outlineLevel="2">
      <c r="A393" s="584"/>
      <c r="B393" s="585" t="s">
        <v>805</v>
      </c>
      <c r="C393" s="554">
        <f t="shared" ref="C393:AF393" si="337">C350</f>
        <v>0</v>
      </c>
      <c r="D393" s="554">
        <f t="shared" si="337"/>
        <v>0</v>
      </c>
      <c r="E393" s="554">
        <f t="shared" si="337"/>
        <v>0</v>
      </c>
      <c r="F393" s="554">
        <f t="shared" si="337"/>
        <v>0</v>
      </c>
      <c r="G393" s="554">
        <f t="shared" si="337"/>
        <v>0</v>
      </c>
      <c r="H393" s="554">
        <f t="shared" si="337"/>
        <v>0</v>
      </c>
      <c r="I393" s="554">
        <f t="shared" si="337"/>
        <v>0</v>
      </c>
      <c r="J393" s="554">
        <f t="shared" si="337"/>
        <v>0</v>
      </c>
      <c r="K393" s="554">
        <f t="shared" si="337"/>
        <v>0</v>
      </c>
      <c r="L393" s="554">
        <f t="shared" si="337"/>
        <v>0</v>
      </c>
      <c r="M393" s="554">
        <f t="shared" si="337"/>
        <v>0</v>
      </c>
      <c r="N393" s="554">
        <f t="shared" si="337"/>
        <v>0</v>
      </c>
      <c r="O393" s="554">
        <f t="shared" si="337"/>
        <v>0</v>
      </c>
      <c r="P393" s="554">
        <f t="shared" si="337"/>
        <v>0</v>
      </c>
      <c r="Q393" s="554">
        <f t="shared" si="337"/>
        <v>0</v>
      </c>
      <c r="R393" s="554">
        <f t="shared" si="337"/>
        <v>0</v>
      </c>
      <c r="S393" s="554">
        <f t="shared" si="337"/>
        <v>0</v>
      </c>
      <c r="T393" s="554">
        <f t="shared" si="337"/>
        <v>0</v>
      </c>
      <c r="U393" s="554">
        <f t="shared" si="337"/>
        <v>0</v>
      </c>
      <c r="V393" s="554">
        <f t="shared" si="337"/>
        <v>0</v>
      </c>
      <c r="W393" s="554">
        <f t="shared" si="337"/>
        <v>0</v>
      </c>
      <c r="X393" s="554">
        <f t="shared" si="337"/>
        <v>0</v>
      </c>
      <c r="Y393" s="554">
        <f t="shared" si="337"/>
        <v>0</v>
      </c>
      <c r="Z393" s="554">
        <f t="shared" si="337"/>
        <v>0</v>
      </c>
      <c r="AA393" s="554">
        <f t="shared" si="337"/>
        <v>0</v>
      </c>
      <c r="AB393" s="554">
        <f t="shared" si="337"/>
        <v>0</v>
      </c>
      <c r="AC393" s="554">
        <f t="shared" si="337"/>
        <v>0</v>
      </c>
      <c r="AD393" s="554">
        <f t="shared" si="337"/>
        <v>0</v>
      </c>
      <c r="AE393" s="554">
        <f t="shared" si="337"/>
        <v>0</v>
      </c>
      <c r="AF393" s="554">
        <f t="shared" si="337"/>
        <v>0</v>
      </c>
      <c r="AH393" s="587"/>
      <c r="AK393" s="588"/>
      <c r="AM393" s="624"/>
      <c r="AN393" s="590"/>
      <c r="AP393" s="591"/>
      <c r="AQ393" s="591"/>
    </row>
    <row r="394" spans="1:43" s="513" customFormat="1" ht="16.5" hidden="1" customHeight="1" outlineLevel="2">
      <c r="A394" s="584"/>
      <c r="B394" s="572" t="s">
        <v>940</v>
      </c>
      <c r="C394" s="592">
        <f>'Sal._benef.'!$I$20</f>
        <v>500</v>
      </c>
      <c r="D394" s="592">
        <f>C394</f>
        <v>500</v>
      </c>
      <c r="E394" s="592">
        <f t="shared" ref="E394:T397" si="338">D394</f>
        <v>500</v>
      </c>
      <c r="F394" s="592">
        <f t="shared" si="338"/>
        <v>500</v>
      </c>
      <c r="G394" s="592">
        <f t="shared" si="338"/>
        <v>500</v>
      </c>
      <c r="H394" s="592">
        <f t="shared" si="338"/>
        <v>500</v>
      </c>
      <c r="I394" s="592">
        <f t="shared" si="338"/>
        <v>500</v>
      </c>
      <c r="J394" s="592">
        <f t="shared" si="338"/>
        <v>500</v>
      </c>
      <c r="K394" s="592">
        <f t="shared" si="338"/>
        <v>500</v>
      </c>
      <c r="L394" s="592">
        <f t="shared" si="338"/>
        <v>500</v>
      </c>
      <c r="M394" s="592">
        <f t="shared" si="338"/>
        <v>500</v>
      </c>
      <c r="N394" s="592">
        <f t="shared" si="338"/>
        <v>500</v>
      </c>
      <c r="O394" s="592">
        <f t="shared" si="338"/>
        <v>500</v>
      </c>
      <c r="P394" s="592">
        <f t="shared" si="338"/>
        <v>500</v>
      </c>
      <c r="Q394" s="592">
        <f t="shared" si="338"/>
        <v>500</v>
      </c>
      <c r="R394" s="592">
        <f t="shared" si="338"/>
        <v>500</v>
      </c>
      <c r="S394" s="592">
        <f t="shared" si="338"/>
        <v>500</v>
      </c>
      <c r="T394" s="592">
        <f t="shared" si="338"/>
        <v>500</v>
      </c>
      <c r="U394" s="592">
        <f t="shared" ref="U394:AF397" si="339">T394</f>
        <v>500</v>
      </c>
      <c r="V394" s="592">
        <f t="shared" si="339"/>
        <v>500</v>
      </c>
      <c r="W394" s="592">
        <f t="shared" si="339"/>
        <v>500</v>
      </c>
      <c r="X394" s="592">
        <f t="shared" si="339"/>
        <v>500</v>
      </c>
      <c r="Y394" s="592">
        <f t="shared" si="339"/>
        <v>500</v>
      </c>
      <c r="Z394" s="592">
        <f t="shared" si="339"/>
        <v>500</v>
      </c>
      <c r="AA394" s="592">
        <f t="shared" si="339"/>
        <v>500</v>
      </c>
      <c r="AB394" s="592">
        <f t="shared" si="339"/>
        <v>500</v>
      </c>
      <c r="AC394" s="592">
        <f t="shared" si="339"/>
        <v>500</v>
      </c>
      <c r="AD394" s="592">
        <f t="shared" si="339"/>
        <v>500</v>
      </c>
      <c r="AE394" s="592">
        <f t="shared" si="339"/>
        <v>500</v>
      </c>
      <c r="AF394" s="592">
        <f t="shared" si="339"/>
        <v>500</v>
      </c>
      <c r="AH394" s="538"/>
      <c r="AK394" s="531"/>
      <c r="AM394" s="594"/>
      <c r="AN394" s="535"/>
      <c r="AP394" s="540"/>
      <c r="AQ394" s="540"/>
    </row>
    <row r="395" spans="1:43" s="513" customFormat="1" ht="16.5" hidden="1" customHeight="1" outlineLevel="2">
      <c r="A395" s="584"/>
      <c r="B395" s="572" t="s">
        <v>941</v>
      </c>
      <c r="C395" s="592">
        <f>'Sal._benef.'!$K$20</f>
        <v>5.53</v>
      </c>
      <c r="D395" s="592">
        <f>C395</f>
        <v>5.53</v>
      </c>
      <c r="E395" s="592">
        <f t="shared" si="338"/>
        <v>5.53</v>
      </c>
      <c r="F395" s="592">
        <f t="shared" si="338"/>
        <v>5.53</v>
      </c>
      <c r="G395" s="592">
        <f t="shared" si="338"/>
        <v>5.53</v>
      </c>
      <c r="H395" s="592">
        <f t="shared" si="338"/>
        <v>5.53</v>
      </c>
      <c r="I395" s="592">
        <f t="shared" si="338"/>
        <v>5.53</v>
      </c>
      <c r="J395" s="592">
        <f t="shared" si="338"/>
        <v>5.53</v>
      </c>
      <c r="K395" s="592">
        <f t="shared" si="338"/>
        <v>5.53</v>
      </c>
      <c r="L395" s="592">
        <f t="shared" si="338"/>
        <v>5.53</v>
      </c>
      <c r="M395" s="592">
        <f t="shared" si="338"/>
        <v>5.53</v>
      </c>
      <c r="N395" s="592">
        <f t="shared" si="338"/>
        <v>5.53</v>
      </c>
      <c r="O395" s="592">
        <f t="shared" si="338"/>
        <v>5.53</v>
      </c>
      <c r="P395" s="592">
        <f t="shared" si="338"/>
        <v>5.53</v>
      </c>
      <c r="Q395" s="592">
        <f t="shared" si="338"/>
        <v>5.53</v>
      </c>
      <c r="R395" s="592">
        <f t="shared" si="338"/>
        <v>5.53</v>
      </c>
      <c r="S395" s="592">
        <f t="shared" si="338"/>
        <v>5.53</v>
      </c>
      <c r="T395" s="592">
        <f t="shared" si="338"/>
        <v>5.53</v>
      </c>
      <c r="U395" s="592">
        <f t="shared" si="339"/>
        <v>5.53</v>
      </c>
      <c r="V395" s="592">
        <f t="shared" si="339"/>
        <v>5.53</v>
      </c>
      <c r="W395" s="592">
        <f t="shared" si="339"/>
        <v>5.53</v>
      </c>
      <c r="X395" s="592">
        <f t="shared" si="339"/>
        <v>5.53</v>
      </c>
      <c r="Y395" s="592">
        <f t="shared" si="339"/>
        <v>5.53</v>
      </c>
      <c r="Z395" s="592">
        <f t="shared" si="339"/>
        <v>5.53</v>
      </c>
      <c r="AA395" s="592">
        <f t="shared" si="339"/>
        <v>5.53</v>
      </c>
      <c r="AB395" s="592">
        <f t="shared" si="339"/>
        <v>5.53</v>
      </c>
      <c r="AC395" s="592">
        <f t="shared" si="339"/>
        <v>5.53</v>
      </c>
      <c r="AD395" s="592">
        <f t="shared" si="339"/>
        <v>5.53</v>
      </c>
      <c r="AE395" s="592">
        <f t="shared" si="339"/>
        <v>5.53</v>
      </c>
      <c r="AF395" s="592">
        <f t="shared" si="339"/>
        <v>5.53</v>
      </c>
      <c r="AH395" s="538"/>
      <c r="AK395" s="531"/>
      <c r="AM395" s="594"/>
      <c r="AN395" s="535"/>
      <c r="AP395" s="540"/>
      <c r="AQ395" s="540"/>
    </row>
    <row r="396" spans="1:43" s="513" customFormat="1" ht="16.5" hidden="1" customHeight="1" outlineLevel="2">
      <c r="A396" s="584"/>
      <c r="B396" s="572" t="s">
        <v>942</v>
      </c>
      <c r="C396" s="592">
        <f>'Sal._benef.'!$J$20</f>
        <v>0</v>
      </c>
      <c r="D396" s="592">
        <f>C396</f>
        <v>0</v>
      </c>
      <c r="E396" s="592">
        <f t="shared" si="338"/>
        <v>0</v>
      </c>
      <c r="F396" s="592">
        <f t="shared" si="338"/>
        <v>0</v>
      </c>
      <c r="G396" s="592">
        <f t="shared" si="338"/>
        <v>0</v>
      </c>
      <c r="H396" s="592">
        <f t="shared" si="338"/>
        <v>0</v>
      </c>
      <c r="I396" s="592">
        <f t="shared" si="338"/>
        <v>0</v>
      </c>
      <c r="J396" s="592">
        <f t="shared" si="338"/>
        <v>0</v>
      </c>
      <c r="K396" s="592">
        <f t="shared" si="338"/>
        <v>0</v>
      </c>
      <c r="L396" s="592">
        <f t="shared" si="338"/>
        <v>0</v>
      </c>
      <c r="M396" s="592">
        <f t="shared" si="338"/>
        <v>0</v>
      </c>
      <c r="N396" s="592">
        <f t="shared" si="338"/>
        <v>0</v>
      </c>
      <c r="O396" s="592">
        <f t="shared" si="338"/>
        <v>0</v>
      </c>
      <c r="P396" s="592">
        <f t="shared" si="338"/>
        <v>0</v>
      </c>
      <c r="Q396" s="592">
        <f t="shared" si="338"/>
        <v>0</v>
      </c>
      <c r="R396" s="592">
        <f t="shared" si="338"/>
        <v>0</v>
      </c>
      <c r="S396" s="592">
        <f t="shared" si="338"/>
        <v>0</v>
      </c>
      <c r="T396" s="592">
        <f t="shared" si="338"/>
        <v>0</v>
      </c>
      <c r="U396" s="592">
        <f t="shared" si="339"/>
        <v>0</v>
      </c>
      <c r="V396" s="592">
        <f t="shared" si="339"/>
        <v>0</v>
      </c>
      <c r="W396" s="592">
        <f t="shared" si="339"/>
        <v>0</v>
      </c>
      <c r="X396" s="592">
        <f t="shared" si="339"/>
        <v>0</v>
      </c>
      <c r="Y396" s="592">
        <f t="shared" si="339"/>
        <v>0</v>
      </c>
      <c r="Z396" s="592">
        <f t="shared" si="339"/>
        <v>0</v>
      </c>
      <c r="AA396" s="592">
        <f t="shared" si="339"/>
        <v>0</v>
      </c>
      <c r="AB396" s="592">
        <f t="shared" si="339"/>
        <v>0</v>
      </c>
      <c r="AC396" s="592">
        <f t="shared" si="339"/>
        <v>0</v>
      </c>
      <c r="AD396" s="592">
        <f t="shared" si="339"/>
        <v>0</v>
      </c>
      <c r="AE396" s="592">
        <f t="shared" si="339"/>
        <v>0</v>
      </c>
      <c r="AF396" s="592">
        <f t="shared" si="339"/>
        <v>0</v>
      </c>
      <c r="AG396" s="614"/>
      <c r="AH396" s="538"/>
      <c r="AK396" s="531"/>
      <c r="AM396" s="594"/>
      <c r="AN396" s="535"/>
      <c r="AP396" s="540"/>
      <c r="AQ396" s="540"/>
    </row>
    <row r="397" spans="1:43" s="513" customFormat="1" ht="16.5" hidden="1" customHeight="1" outlineLevel="2">
      <c r="A397" s="584"/>
      <c r="B397" s="572" t="s">
        <v>862</v>
      </c>
      <c r="C397" s="592">
        <v>0</v>
      </c>
      <c r="D397" s="592">
        <f t="shared" ref="D397" si="340">C397</f>
        <v>0</v>
      </c>
      <c r="E397" s="592">
        <f t="shared" si="338"/>
        <v>0</v>
      </c>
      <c r="F397" s="592">
        <f t="shared" si="338"/>
        <v>0</v>
      </c>
      <c r="G397" s="592">
        <f t="shared" si="338"/>
        <v>0</v>
      </c>
      <c r="H397" s="592">
        <f t="shared" si="338"/>
        <v>0</v>
      </c>
      <c r="I397" s="592">
        <f t="shared" si="338"/>
        <v>0</v>
      </c>
      <c r="J397" s="592">
        <f t="shared" si="338"/>
        <v>0</v>
      </c>
      <c r="K397" s="592">
        <f t="shared" si="338"/>
        <v>0</v>
      </c>
      <c r="L397" s="592">
        <f t="shared" si="338"/>
        <v>0</v>
      </c>
      <c r="M397" s="592">
        <f t="shared" si="338"/>
        <v>0</v>
      </c>
      <c r="N397" s="592">
        <f t="shared" si="338"/>
        <v>0</v>
      </c>
      <c r="O397" s="592">
        <f t="shared" si="338"/>
        <v>0</v>
      </c>
      <c r="P397" s="592">
        <f t="shared" si="338"/>
        <v>0</v>
      </c>
      <c r="Q397" s="592">
        <f t="shared" si="338"/>
        <v>0</v>
      </c>
      <c r="R397" s="592">
        <f t="shared" si="338"/>
        <v>0</v>
      </c>
      <c r="S397" s="592">
        <f t="shared" si="338"/>
        <v>0</v>
      </c>
      <c r="T397" s="592">
        <f t="shared" si="338"/>
        <v>0</v>
      </c>
      <c r="U397" s="592">
        <f t="shared" si="339"/>
        <v>0</v>
      </c>
      <c r="V397" s="592">
        <f t="shared" si="339"/>
        <v>0</v>
      </c>
      <c r="W397" s="592">
        <f t="shared" si="339"/>
        <v>0</v>
      </c>
      <c r="X397" s="592">
        <f t="shared" si="339"/>
        <v>0</v>
      </c>
      <c r="Y397" s="592">
        <f t="shared" si="339"/>
        <v>0</v>
      </c>
      <c r="Z397" s="592">
        <f t="shared" si="339"/>
        <v>0</v>
      </c>
      <c r="AA397" s="592">
        <f t="shared" si="339"/>
        <v>0</v>
      </c>
      <c r="AB397" s="592">
        <f t="shared" si="339"/>
        <v>0</v>
      </c>
      <c r="AC397" s="592">
        <f t="shared" si="339"/>
        <v>0</v>
      </c>
      <c r="AD397" s="592">
        <f t="shared" si="339"/>
        <v>0</v>
      </c>
      <c r="AE397" s="592">
        <f t="shared" si="339"/>
        <v>0</v>
      </c>
      <c r="AF397" s="592">
        <f t="shared" si="339"/>
        <v>0</v>
      </c>
      <c r="AH397" s="538"/>
      <c r="AK397" s="531"/>
      <c r="AM397" s="594"/>
      <c r="AN397" s="535"/>
      <c r="AP397" s="540"/>
      <c r="AQ397" s="540"/>
    </row>
    <row r="398" spans="1:43" ht="3" hidden="1" customHeight="1" outlineLevel="2">
      <c r="A398" s="584"/>
      <c r="B398" s="609"/>
      <c r="C398" s="611"/>
      <c r="D398" s="611"/>
      <c r="E398" s="610"/>
      <c r="F398" s="610"/>
      <c r="G398" s="610"/>
      <c r="H398" s="610"/>
      <c r="I398" s="610"/>
      <c r="J398" s="610"/>
      <c r="K398" s="610"/>
      <c r="L398" s="610"/>
      <c r="M398" s="610"/>
      <c r="N398" s="610"/>
      <c r="O398" s="610"/>
      <c r="P398" s="610"/>
      <c r="Q398" s="610"/>
      <c r="R398" s="610"/>
      <c r="S398" s="610"/>
      <c r="T398" s="610"/>
      <c r="U398" s="610"/>
      <c r="V398" s="610"/>
      <c r="W398" s="610"/>
      <c r="X398" s="610"/>
      <c r="Y398" s="610"/>
      <c r="Z398" s="610"/>
      <c r="AA398" s="610"/>
      <c r="AB398" s="610"/>
      <c r="AC398" s="610"/>
      <c r="AD398" s="610"/>
      <c r="AE398" s="610"/>
      <c r="AF398" s="610"/>
      <c r="AH398" s="593"/>
      <c r="AK398" s="531"/>
      <c r="AM398" s="594"/>
      <c r="AN398" s="535"/>
      <c r="AP398" s="535"/>
      <c r="AQ398" s="535"/>
    </row>
    <row r="399" spans="1:43" s="564" customFormat="1" ht="16.5" hidden="1" customHeight="1" outlineLevel="1" collapsed="1">
      <c r="A399" s="584"/>
      <c r="B399" s="576" t="s">
        <v>943</v>
      </c>
      <c r="C399" s="599">
        <f>SUM(C400,C403,C406,C409,C412,C415,)/10^3</f>
        <v>25.984880000000004</v>
      </c>
      <c r="D399" s="599">
        <f t="shared" ref="D399:AF399" si="341">SUM(D400,D403,D406,D409,D412,D415,)/10^3</f>
        <v>25.984880000000004</v>
      </c>
      <c r="E399" s="599">
        <f t="shared" si="341"/>
        <v>25.984880000000004</v>
      </c>
      <c r="F399" s="599">
        <f t="shared" si="341"/>
        <v>49.286799999999999</v>
      </c>
      <c r="G399" s="599">
        <f t="shared" si="341"/>
        <v>49.286799999999999</v>
      </c>
      <c r="H399" s="599">
        <f t="shared" si="341"/>
        <v>49.286799999999999</v>
      </c>
      <c r="I399" s="599">
        <f t="shared" si="341"/>
        <v>49.286799999999999</v>
      </c>
      <c r="J399" s="599">
        <f t="shared" si="341"/>
        <v>49.286799999999999</v>
      </c>
      <c r="K399" s="599">
        <f t="shared" si="341"/>
        <v>49.286799999999999</v>
      </c>
      <c r="L399" s="599">
        <f t="shared" si="341"/>
        <v>49.286799999999999</v>
      </c>
      <c r="M399" s="599">
        <f t="shared" si="341"/>
        <v>49.286799999999999</v>
      </c>
      <c r="N399" s="599">
        <f t="shared" si="341"/>
        <v>49.286799999999999</v>
      </c>
      <c r="O399" s="599">
        <f t="shared" si="341"/>
        <v>49.286799999999999</v>
      </c>
      <c r="P399" s="599">
        <f t="shared" si="341"/>
        <v>49.286799999999999</v>
      </c>
      <c r="Q399" s="599">
        <f t="shared" si="341"/>
        <v>49.286799999999999</v>
      </c>
      <c r="R399" s="599">
        <f t="shared" si="341"/>
        <v>49.286799999999999</v>
      </c>
      <c r="S399" s="599">
        <f t="shared" si="341"/>
        <v>49.286799999999999</v>
      </c>
      <c r="T399" s="599">
        <f t="shared" si="341"/>
        <v>49.286799999999999</v>
      </c>
      <c r="U399" s="599">
        <f t="shared" si="341"/>
        <v>49.286799999999999</v>
      </c>
      <c r="V399" s="599">
        <f t="shared" si="341"/>
        <v>49.286799999999999</v>
      </c>
      <c r="W399" s="599">
        <f t="shared" si="341"/>
        <v>49.286799999999999</v>
      </c>
      <c r="X399" s="599">
        <f t="shared" si="341"/>
        <v>49.286799999999999</v>
      </c>
      <c r="Y399" s="599">
        <f t="shared" si="341"/>
        <v>49.286799999999999</v>
      </c>
      <c r="Z399" s="599">
        <f t="shared" si="341"/>
        <v>49.286799999999999</v>
      </c>
      <c r="AA399" s="599">
        <f t="shared" si="341"/>
        <v>49.286799999999999</v>
      </c>
      <c r="AB399" s="599">
        <f t="shared" si="341"/>
        <v>49.286799999999999</v>
      </c>
      <c r="AC399" s="599">
        <f t="shared" si="341"/>
        <v>49.286799999999999</v>
      </c>
      <c r="AD399" s="599">
        <f t="shared" si="341"/>
        <v>49.286799999999999</v>
      </c>
      <c r="AE399" s="599">
        <f t="shared" si="341"/>
        <v>49.286799999999999</v>
      </c>
      <c r="AF399" s="599">
        <f t="shared" si="341"/>
        <v>49.286799999999999</v>
      </c>
      <c r="AH399" s="578">
        <f>SUM(C399:AF399)</f>
        <v>1408.6982400000002</v>
      </c>
      <c r="AJ399" s="579"/>
      <c r="AK399" s="531"/>
      <c r="AM399" s="594"/>
      <c r="AN399" s="535"/>
      <c r="AP399" s="568"/>
      <c r="AQ399" s="568"/>
    </row>
    <row r="400" spans="1:43" s="546" customFormat="1" ht="16.5" hidden="1" customHeight="1" outlineLevel="3">
      <c r="A400" s="584"/>
      <c r="B400" s="613" t="s">
        <v>927</v>
      </c>
      <c r="C400" s="570">
        <f>C401*C402</f>
        <v>5365.92</v>
      </c>
      <c r="D400" s="570">
        <f t="shared" ref="D400:AF400" si="342">D401*D402</f>
        <v>5365.92</v>
      </c>
      <c r="E400" s="570">
        <f t="shared" si="342"/>
        <v>5365.92</v>
      </c>
      <c r="F400" s="570">
        <f t="shared" si="342"/>
        <v>8048.88</v>
      </c>
      <c r="G400" s="570">
        <f t="shared" si="342"/>
        <v>8048.88</v>
      </c>
      <c r="H400" s="570">
        <f t="shared" si="342"/>
        <v>8048.88</v>
      </c>
      <c r="I400" s="570">
        <f t="shared" si="342"/>
        <v>8048.88</v>
      </c>
      <c r="J400" s="570">
        <f t="shared" si="342"/>
        <v>8048.88</v>
      </c>
      <c r="K400" s="570">
        <f t="shared" si="342"/>
        <v>8048.88</v>
      </c>
      <c r="L400" s="570">
        <f t="shared" si="342"/>
        <v>8048.88</v>
      </c>
      <c r="M400" s="570">
        <f t="shared" si="342"/>
        <v>8048.88</v>
      </c>
      <c r="N400" s="570">
        <f t="shared" si="342"/>
        <v>8048.88</v>
      </c>
      <c r="O400" s="570">
        <f t="shared" si="342"/>
        <v>8048.88</v>
      </c>
      <c r="P400" s="570">
        <f t="shared" si="342"/>
        <v>8048.88</v>
      </c>
      <c r="Q400" s="570">
        <f t="shared" si="342"/>
        <v>8048.88</v>
      </c>
      <c r="R400" s="570">
        <f t="shared" si="342"/>
        <v>8048.88</v>
      </c>
      <c r="S400" s="570">
        <f t="shared" si="342"/>
        <v>8048.88</v>
      </c>
      <c r="T400" s="570">
        <f t="shared" si="342"/>
        <v>8048.88</v>
      </c>
      <c r="U400" s="570">
        <f t="shared" si="342"/>
        <v>8048.88</v>
      </c>
      <c r="V400" s="570">
        <f t="shared" si="342"/>
        <v>8048.88</v>
      </c>
      <c r="W400" s="570">
        <f t="shared" si="342"/>
        <v>8048.88</v>
      </c>
      <c r="X400" s="570">
        <f t="shared" si="342"/>
        <v>8048.88</v>
      </c>
      <c r="Y400" s="570">
        <f t="shared" si="342"/>
        <v>8048.88</v>
      </c>
      <c r="Z400" s="570">
        <f t="shared" si="342"/>
        <v>8048.88</v>
      </c>
      <c r="AA400" s="570">
        <f t="shared" si="342"/>
        <v>8048.88</v>
      </c>
      <c r="AB400" s="570">
        <f t="shared" si="342"/>
        <v>8048.88</v>
      </c>
      <c r="AC400" s="570">
        <f t="shared" si="342"/>
        <v>8048.88</v>
      </c>
      <c r="AD400" s="570">
        <f t="shared" si="342"/>
        <v>8048.88</v>
      </c>
      <c r="AE400" s="570">
        <f t="shared" si="342"/>
        <v>8048.88</v>
      </c>
      <c r="AF400" s="570">
        <f t="shared" si="342"/>
        <v>8048.88</v>
      </c>
      <c r="AH400" s="571"/>
      <c r="AK400" s="531"/>
      <c r="AM400" s="594"/>
      <c r="AN400" s="535"/>
      <c r="AP400" s="549"/>
      <c r="AQ400" s="549"/>
    </row>
    <row r="401" spans="1:43" s="513" customFormat="1" ht="16.5" hidden="1" customHeight="1" outlineLevel="3">
      <c r="A401" s="584"/>
      <c r="B401" s="572" t="s">
        <v>805</v>
      </c>
      <c r="C401" s="573">
        <f t="shared" ref="C401:AF401" si="343">C363</f>
        <v>2</v>
      </c>
      <c r="D401" s="573">
        <f t="shared" si="343"/>
        <v>2</v>
      </c>
      <c r="E401" s="573">
        <f t="shared" si="343"/>
        <v>2</v>
      </c>
      <c r="F401" s="573">
        <f t="shared" si="343"/>
        <v>3</v>
      </c>
      <c r="G401" s="573">
        <f t="shared" si="343"/>
        <v>3</v>
      </c>
      <c r="H401" s="573">
        <f t="shared" si="343"/>
        <v>3</v>
      </c>
      <c r="I401" s="573">
        <f t="shared" si="343"/>
        <v>3</v>
      </c>
      <c r="J401" s="573">
        <f t="shared" si="343"/>
        <v>3</v>
      </c>
      <c r="K401" s="573">
        <f t="shared" si="343"/>
        <v>3</v>
      </c>
      <c r="L401" s="573">
        <f t="shared" si="343"/>
        <v>3</v>
      </c>
      <c r="M401" s="573">
        <f t="shared" si="343"/>
        <v>3</v>
      </c>
      <c r="N401" s="573">
        <f t="shared" si="343"/>
        <v>3</v>
      </c>
      <c r="O401" s="573">
        <f t="shared" si="343"/>
        <v>3</v>
      </c>
      <c r="P401" s="573">
        <f t="shared" si="343"/>
        <v>3</v>
      </c>
      <c r="Q401" s="573">
        <f t="shared" si="343"/>
        <v>3</v>
      </c>
      <c r="R401" s="573">
        <f t="shared" si="343"/>
        <v>3</v>
      </c>
      <c r="S401" s="573">
        <f t="shared" si="343"/>
        <v>3</v>
      </c>
      <c r="T401" s="573">
        <f t="shared" si="343"/>
        <v>3</v>
      </c>
      <c r="U401" s="573">
        <f t="shared" si="343"/>
        <v>3</v>
      </c>
      <c r="V401" s="573">
        <f t="shared" si="343"/>
        <v>3</v>
      </c>
      <c r="W401" s="573">
        <f t="shared" si="343"/>
        <v>3</v>
      </c>
      <c r="X401" s="573">
        <f t="shared" si="343"/>
        <v>3</v>
      </c>
      <c r="Y401" s="573">
        <f t="shared" si="343"/>
        <v>3</v>
      </c>
      <c r="Z401" s="573">
        <f t="shared" si="343"/>
        <v>3</v>
      </c>
      <c r="AA401" s="573">
        <f t="shared" si="343"/>
        <v>3</v>
      </c>
      <c r="AB401" s="573">
        <f t="shared" si="343"/>
        <v>3</v>
      </c>
      <c r="AC401" s="573">
        <f t="shared" si="343"/>
        <v>3</v>
      </c>
      <c r="AD401" s="573">
        <f t="shared" si="343"/>
        <v>3</v>
      </c>
      <c r="AE401" s="573">
        <f t="shared" si="343"/>
        <v>3</v>
      </c>
      <c r="AF401" s="573">
        <f t="shared" si="343"/>
        <v>3</v>
      </c>
      <c r="AH401" s="538"/>
      <c r="AK401" s="531"/>
      <c r="AM401" s="594"/>
      <c r="AN401" s="535"/>
      <c r="AP401" s="540"/>
      <c r="AQ401" s="540"/>
    </row>
    <row r="402" spans="1:43" s="513" customFormat="1" ht="16.5" hidden="1" customHeight="1" outlineLevel="3">
      <c r="A402" s="584"/>
      <c r="B402" s="572" t="s">
        <v>888</v>
      </c>
      <c r="C402" s="592">
        <f>EPIs_unif.!$D$16+EPIs_unif.!$D$42</f>
        <v>2682.96</v>
      </c>
      <c r="D402" s="592">
        <f>C402</f>
        <v>2682.96</v>
      </c>
      <c r="E402" s="592">
        <f t="shared" ref="E402:AF402" si="344">D402</f>
        <v>2682.96</v>
      </c>
      <c r="F402" s="592">
        <f t="shared" si="344"/>
        <v>2682.96</v>
      </c>
      <c r="G402" s="592">
        <f t="shared" si="344"/>
        <v>2682.96</v>
      </c>
      <c r="H402" s="592">
        <f t="shared" si="344"/>
        <v>2682.96</v>
      </c>
      <c r="I402" s="592">
        <f t="shared" si="344"/>
        <v>2682.96</v>
      </c>
      <c r="J402" s="592">
        <f t="shared" si="344"/>
        <v>2682.96</v>
      </c>
      <c r="K402" s="592">
        <f t="shared" si="344"/>
        <v>2682.96</v>
      </c>
      <c r="L402" s="592">
        <f t="shared" si="344"/>
        <v>2682.96</v>
      </c>
      <c r="M402" s="592">
        <f t="shared" si="344"/>
        <v>2682.96</v>
      </c>
      <c r="N402" s="592">
        <f t="shared" si="344"/>
        <v>2682.96</v>
      </c>
      <c r="O402" s="592">
        <f t="shared" si="344"/>
        <v>2682.96</v>
      </c>
      <c r="P402" s="592">
        <f t="shared" si="344"/>
        <v>2682.96</v>
      </c>
      <c r="Q402" s="592">
        <f t="shared" si="344"/>
        <v>2682.96</v>
      </c>
      <c r="R402" s="592">
        <f t="shared" si="344"/>
        <v>2682.96</v>
      </c>
      <c r="S402" s="592">
        <f t="shared" si="344"/>
        <v>2682.96</v>
      </c>
      <c r="T402" s="592">
        <f t="shared" si="344"/>
        <v>2682.96</v>
      </c>
      <c r="U402" s="592">
        <f t="shared" si="344"/>
        <v>2682.96</v>
      </c>
      <c r="V402" s="592">
        <f t="shared" si="344"/>
        <v>2682.96</v>
      </c>
      <c r="W402" s="592">
        <f t="shared" si="344"/>
        <v>2682.96</v>
      </c>
      <c r="X402" s="592">
        <f t="shared" si="344"/>
        <v>2682.96</v>
      </c>
      <c r="Y402" s="592">
        <f t="shared" si="344"/>
        <v>2682.96</v>
      </c>
      <c r="Z402" s="592">
        <f t="shared" si="344"/>
        <v>2682.96</v>
      </c>
      <c r="AA402" s="592">
        <f t="shared" si="344"/>
        <v>2682.96</v>
      </c>
      <c r="AB402" s="592">
        <f t="shared" si="344"/>
        <v>2682.96</v>
      </c>
      <c r="AC402" s="592">
        <f t="shared" si="344"/>
        <v>2682.96</v>
      </c>
      <c r="AD402" s="592">
        <f t="shared" si="344"/>
        <v>2682.96</v>
      </c>
      <c r="AE402" s="592">
        <f t="shared" si="344"/>
        <v>2682.96</v>
      </c>
      <c r="AF402" s="592">
        <f t="shared" si="344"/>
        <v>2682.96</v>
      </c>
      <c r="AH402" s="538"/>
      <c r="AK402" s="531"/>
      <c r="AM402" s="594"/>
      <c r="AN402" s="535"/>
      <c r="AP402" s="540"/>
      <c r="AQ402" s="540"/>
    </row>
    <row r="403" spans="1:43" s="546" customFormat="1" ht="16.5" hidden="1" customHeight="1" outlineLevel="3">
      <c r="A403" s="584"/>
      <c r="B403" s="613" t="s">
        <v>930</v>
      </c>
      <c r="C403" s="570">
        <f>C404*C405</f>
        <v>0</v>
      </c>
      <c r="D403" s="570">
        <f t="shared" ref="D403:AF403" si="345">D404*D405</f>
        <v>0</v>
      </c>
      <c r="E403" s="570">
        <f t="shared" si="345"/>
        <v>0</v>
      </c>
      <c r="F403" s="570">
        <f t="shared" si="345"/>
        <v>0</v>
      </c>
      <c r="G403" s="570">
        <f t="shared" si="345"/>
        <v>0</v>
      </c>
      <c r="H403" s="570">
        <f t="shared" si="345"/>
        <v>0</v>
      </c>
      <c r="I403" s="570">
        <f t="shared" si="345"/>
        <v>0</v>
      </c>
      <c r="J403" s="570">
        <f t="shared" si="345"/>
        <v>0</v>
      </c>
      <c r="K403" s="570">
        <f t="shared" si="345"/>
        <v>0</v>
      </c>
      <c r="L403" s="570">
        <f t="shared" si="345"/>
        <v>0</v>
      </c>
      <c r="M403" s="570">
        <f t="shared" si="345"/>
        <v>0</v>
      </c>
      <c r="N403" s="570">
        <f t="shared" si="345"/>
        <v>0</v>
      </c>
      <c r="O403" s="570">
        <f t="shared" si="345"/>
        <v>0</v>
      </c>
      <c r="P403" s="570">
        <f t="shared" si="345"/>
        <v>0</v>
      </c>
      <c r="Q403" s="570">
        <f t="shared" si="345"/>
        <v>0</v>
      </c>
      <c r="R403" s="570">
        <f t="shared" si="345"/>
        <v>0</v>
      </c>
      <c r="S403" s="570">
        <f t="shared" si="345"/>
        <v>0</v>
      </c>
      <c r="T403" s="570">
        <f t="shared" si="345"/>
        <v>0</v>
      </c>
      <c r="U403" s="570">
        <f t="shared" si="345"/>
        <v>0</v>
      </c>
      <c r="V403" s="570">
        <f t="shared" si="345"/>
        <v>0</v>
      </c>
      <c r="W403" s="570">
        <f t="shared" si="345"/>
        <v>0</v>
      </c>
      <c r="X403" s="570">
        <f t="shared" si="345"/>
        <v>0</v>
      </c>
      <c r="Y403" s="570">
        <f t="shared" si="345"/>
        <v>0</v>
      </c>
      <c r="Z403" s="570">
        <f t="shared" si="345"/>
        <v>0</v>
      </c>
      <c r="AA403" s="570">
        <f t="shared" si="345"/>
        <v>0</v>
      </c>
      <c r="AB403" s="570">
        <f t="shared" si="345"/>
        <v>0</v>
      </c>
      <c r="AC403" s="570">
        <f t="shared" si="345"/>
        <v>0</v>
      </c>
      <c r="AD403" s="570">
        <f t="shared" si="345"/>
        <v>0</v>
      </c>
      <c r="AE403" s="570">
        <f t="shared" si="345"/>
        <v>0</v>
      </c>
      <c r="AF403" s="570">
        <f t="shared" si="345"/>
        <v>0</v>
      </c>
      <c r="AH403" s="571"/>
      <c r="AK403" s="531"/>
      <c r="AM403" s="594"/>
      <c r="AN403" s="535"/>
      <c r="AP403" s="549"/>
      <c r="AQ403" s="549"/>
    </row>
    <row r="404" spans="1:43" s="513" customFormat="1" ht="16.5" hidden="1" customHeight="1" outlineLevel="3">
      <c r="A404" s="584"/>
      <c r="B404" s="572" t="s">
        <v>805</v>
      </c>
      <c r="C404" s="573">
        <f t="shared" ref="C404:AF404" si="346">C322</f>
        <v>0</v>
      </c>
      <c r="D404" s="573">
        <f t="shared" si="346"/>
        <v>0</v>
      </c>
      <c r="E404" s="573">
        <f t="shared" si="346"/>
        <v>0</v>
      </c>
      <c r="F404" s="573">
        <f t="shared" si="346"/>
        <v>0</v>
      </c>
      <c r="G404" s="573">
        <f t="shared" si="346"/>
        <v>0</v>
      </c>
      <c r="H404" s="573">
        <f t="shared" si="346"/>
        <v>0</v>
      </c>
      <c r="I404" s="573">
        <f t="shared" si="346"/>
        <v>0</v>
      </c>
      <c r="J404" s="573">
        <f t="shared" si="346"/>
        <v>0</v>
      </c>
      <c r="K404" s="573">
        <f t="shared" si="346"/>
        <v>0</v>
      </c>
      <c r="L404" s="573">
        <f t="shared" si="346"/>
        <v>0</v>
      </c>
      <c r="M404" s="573">
        <f t="shared" si="346"/>
        <v>0</v>
      </c>
      <c r="N404" s="573">
        <f t="shared" si="346"/>
        <v>0</v>
      </c>
      <c r="O404" s="573">
        <f t="shared" si="346"/>
        <v>0</v>
      </c>
      <c r="P404" s="573">
        <f t="shared" si="346"/>
        <v>0</v>
      </c>
      <c r="Q404" s="573">
        <f t="shared" si="346"/>
        <v>0</v>
      </c>
      <c r="R404" s="573">
        <f t="shared" si="346"/>
        <v>0</v>
      </c>
      <c r="S404" s="573">
        <f t="shared" si="346"/>
        <v>0</v>
      </c>
      <c r="T404" s="573">
        <f t="shared" si="346"/>
        <v>0</v>
      </c>
      <c r="U404" s="573">
        <f t="shared" si="346"/>
        <v>0</v>
      </c>
      <c r="V404" s="573">
        <f t="shared" si="346"/>
        <v>0</v>
      </c>
      <c r="W404" s="573">
        <f t="shared" si="346"/>
        <v>0</v>
      </c>
      <c r="X404" s="573">
        <f t="shared" si="346"/>
        <v>0</v>
      </c>
      <c r="Y404" s="573">
        <f t="shared" si="346"/>
        <v>0</v>
      </c>
      <c r="Z404" s="573">
        <f t="shared" si="346"/>
        <v>0</v>
      </c>
      <c r="AA404" s="573">
        <f t="shared" si="346"/>
        <v>0</v>
      </c>
      <c r="AB404" s="573">
        <f t="shared" si="346"/>
        <v>0</v>
      </c>
      <c r="AC404" s="573">
        <f t="shared" si="346"/>
        <v>0</v>
      </c>
      <c r="AD404" s="573">
        <f t="shared" si="346"/>
        <v>0</v>
      </c>
      <c r="AE404" s="573">
        <f t="shared" si="346"/>
        <v>0</v>
      </c>
      <c r="AF404" s="573">
        <f t="shared" si="346"/>
        <v>0</v>
      </c>
      <c r="AH404" s="538"/>
      <c r="AK404" s="531"/>
      <c r="AM404" s="594"/>
      <c r="AN404" s="535"/>
      <c r="AP404" s="540"/>
      <c r="AQ404" s="540"/>
    </row>
    <row r="405" spans="1:43" s="513" customFormat="1" ht="16.5" hidden="1" customHeight="1" outlineLevel="3">
      <c r="A405" s="584"/>
      <c r="B405" s="572" t="s">
        <v>888</v>
      </c>
      <c r="C405" s="592">
        <f>EPIs_unif.!$D$17+EPIs_unif.!$D$43</f>
        <v>2516.64</v>
      </c>
      <c r="D405" s="592">
        <f>C405</f>
        <v>2516.64</v>
      </c>
      <c r="E405" s="592">
        <f t="shared" ref="E405:AF405" si="347">D405</f>
        <v>2516.64</v>
      </c>
      <c r="F405" s="592">
        <f t="shared" si="347"/>
        <v>2516.64</v>
      </c>
      <c r="G405" s="592">
        <f t="shared" si="347"/>
        <v>2516.64</v>
      </c>
      <c r="H405" s="592">
        <f t="shared" si="347"/>
        <v>2516.64</v>
      </c>
      <c r="I405" s="592">
        <f t="shared" si="347"/>
        <v>2516.64</v>
      </c>
      <c r="J405" s="592">
        <f t="shared" si="347"/>
        <v>2516.64</v>
      </c>
      <c r="K405" s="592">
        <f t="shared" si="347"/>
        <v>2516.64</v>
      </c>
      <c r="L405" s="592">
        <f t="shared" si="347"/>
        <v>2516.64</v>
      </c>
      <c r="M405" s="592">
        <f t="shared" si="347"/>
        <v>2516.64</v>
      </c>
      <c r="N405" s="592">
        <f t="shared" si="347"/>
        <v>2516.64</v>
      </c>
      <c r="O405" s="592">
        <f t="shared" si="347"/>
        <v>2516.64</v>
      </c>
      <c r="P405" s="592">
        <f t="shared" si="347"/>
        <v>2516.64</v>
      </c>
      <c r="Q405" s="592">
        <f t="shared" si="347"/>
        <v>2516.64</v>
      </c>
      <c r="R405" s="592">
        <f t="shared" si="347"/>
        <v>2516.64</v>
      </c>
      <c r="S405" s="592">
        <f t="shared" si="347"/>
        <v>2516.64</v>
      </c>
      <c r="T405" s="592">
        <f t="shared" si="347"/>
        <v>2516.64</v>
      </c>
      <c r="U405" s="592">
        <f t="shared" si="347"/>
        <v>2516.64</v>
      </c>
      <c r="V405" s="592">
        <f t="shared" si="347"/>
        <v>2516.64</v>
      </c>
      <c r="W405" s="592">
        <f t="shared" si="347"/>
        <v>2516.64</v>
      </c>
      <c r="X405" s="592">
        <f t="shared" si="347"/>
        <v>2516.64</v>
      </c>
      <c r="Y405" s="592">
        <f t="shared" si="347"/>
        <v>2516.64</v>
      </c>
      <c r="Z405" s="592">
        <f t="shared" si="347"/>
        <v>2516.64</v>
      </c>
      <c r="AA405" s="592">
        <f t="shared" si="347"/>
        <v>2516.64</v>
      </c>
      <c r="AB405" s="592">
        <f t="shared" si="347"/>
        <v>2516.64</v>
      </c>
      <c r="AC405" s="592">
        <f t="shared" si="347"/>
        <v>2516.64</v>
      </c>
      <c r="AD405" s="592">
        <f t="shared" si="347"/>
        <v>2516.64</v>
      </c>
      <c r="AE405" s="592">
        <f t="shared" si="347"/>
        <v>2516.64</v>
      </c>
      <c r="AF405" s="592">
        <f t="shared" si="347"/>
        <v>2516.64</v>
      </c>
      <c r="AH405" s="538"/>
      <c r="AK405" s="531"/>
      <c r="AM405" s="594"/>
      <c r="AN405" s="535"/>
      <c r="AP405" s="540"/>
      <c r="AQ405" s="540"/>
    </row>
    <row r="406" spans="1:43" s="546" customFormat="1" ht="16.5" hidden="1" customHeight="1" outlineLevel="3">
      <c r="A406" s="584"/>
      <c r="B406" s="613" t="s">
        <v>931</v>
      </c>
      <c r="C406" s="570">
        <f>C407*C408</f>
        <v>20618.960000000003</v>
      </c>
      <c r="D406" s="570">
        <f t="shared" ref="D406:AF406" si="348">D407*D408</f>
        <v>20618.960000000003</v>
      </c>
      <c r="E406" s="570">
        <f t="shared" si="348"/>
        <v>20618.960000000003</v>
      </c>
      <c r="F406" s="570">
        <f t="shared" si="348"/>
        <v>41237.920000000006</v>
      </c>
      <c r="G406" s="570">
        <f t="shared" si="348"/>
        <v>41237.920000000006</v>
      </c>
      <c r="H406" s="570">
        <f t="shared" si="348"/>
        <v>41237.920000000006</v>
      </c>
      <c r="I406" s="570">
        <f t="shared" si="348"/>
        <v>41237.920000000006</v>
      </c>
      <c r="J406" s="570">
        <f t="shared" si="348"/>
        <v>41237.920000000006</v>
      </c>
      <c r="K406" s="570">
        <f t="shared" si="348"/>
        <v>41237.920000000006</v>
      </c>
      <c r="L406" s="570">
        <f t="shared" si="348"/>
        <v>41237.920000000006</v>
      </c>
      <c r="M406" s="570">
        <f t="shared" si="348"/>
        <v>41237.920000000006</v>
      </c>
      <c r="N406" s="570">
        <f t="shared" si="348"/>
        <v>41237.920000000006</v>
      </c>
      <c r="O406" s="570">
        <f t="shared" si="348"/>
        <v>41237.920000000006</v>
      </c>
      <c r="P406" s="570">
        <f t="shared" si="348"/>
        <v>41237.920000000006</v>
      </c>
      <c r="Q406" s="570">
        <f t="shared" si="348"/>
        <v>41237.920000000006</v>
      </c>
      <c r="R406" s="570">
        <f t="shared" si="348"/>
        <v>41237.920000000006</v>
      </c>
      <c r="S406" s="570">
        <f t="shared" si="348"/>
        <v>41237.920000000006</v>
      </c>
      <c r="T406" s="570">
        <f t="shared" si="348"/>
        <v>41237.920000000006</v>
      </c>
      <c r="U406" s="570">
        <f t="shared" si="348"/>
        <v>41237.920000000006</v>
      </c>
      <c r="V406" s="570">
        <f t="shared" si="348"/>
        <v>41237.920000000006</v>
      </c>
      <c r="W406" s="570">
        <f t="shared" si="348"/>
        <v>41237.920000000006</v>
      </c>
      <c r="X406" s="570">
        <f t="shared" si="348"/>
        <v>41237.920000000006</v>
      </c>
      <c r="Y406" s="570">
        <f t="shared" si="348"/>
        <v>41237.920000000006</v>
      </c>
      <c r="Z406" s="570">
        <f t="shared" si="348"/>
        <v>41237.920000000006</v>
      </c>
      <c r="AA406" s="570">
        <f t="shared" si="348"/>
        <v>41237.920000000006</v>
      </c>
      <c r="AB406" s="570">
        <f t="shared" si="348"/>
        <v>41237.920000000006</v>
      </c>
      <c r="AC406" s="570">
        <f t="shared" si="348"/>
        <v>41237.920000000006</v>
      </c>
      <c r="AD406" s="570">
        <f t="shared" si="348"/>
        <v>41237.920000000006</v>
      </c>
      <c r="AE406" s="570">
        <f t="shared" si="348"/>
        <v>41237.920000000006</v>
      </c>
      <c r="AF406" s="570">
        <f t="shared" si="348"/>
        <v>41237.920000000006</v>
      </c>
      <c r="AH406" s="571"/>
      <c r="AK406" s="531"/>
      <c r="AM406" s="594"/>
      <c r="AN406" s="535"/>
      <c r="AP406" s="549"/>
      <c r="AQ406" s="549"/>
    </row>
    <row r="407" spans="1:43" s="513" customFormat="1" ht="16.5" hidden="1" customHeight="1" outlineLevel="3">
      <c r="A407" s="584"/>
      <c r="B407" s="572" t="s">
        <v>805</v>
      </c>
      <c r="C407" s="573">
        <f t="shared" ref="C407:AF407" si="349">C375</f>
        <v>4</v>
      </c>
      <c r="D407" s="573">
        <f t="shared" si="349"/>
        <v>4</v>
      </c>
      <c r="E407" s="573">
        <f t="shared" si="349"/>
        <v>4</v>
      </c>
      <c r="F407" s="573">
        <f t="shared" si="349"/>
        <v>8</v>
      </c>
      <c r="G407" s="573">
        <f t="shared" si="349"/>
        <v>8</v>
      </c>
      <c r="H407" s="573">
        <f t="shared" si="349"/>
        <v>8</v>
      </c>
      <c r="I407" s="573">
        <f t="shared" si="349"/>
        <v>8</v>
      </c>
      <c r="J407" s="573">
        <f t="shared" si="349"/>
        <v>8</v>
      </c>
      <c r="K407" s="573">
        <f t="shared" si="349"/>
        <v>8</v>
      </c>
      <c r="L407" s="573">
        <f t="shared" si="349"/>
        <v>8</v>
      </c>
      <c r="M407" s="573">
        <f t="shared" si="349"/>
        <v>8</v>
      </c>
      <c r="N407" s="573">
        <f t="shared" si="349"/>
        <v>8</v>
      </c>
      <c r="O407" s="573">
        <f t="shared" si="349"/>
        <v>8</v>
      </c>
      <c r="P407" s="573">
        <f t="shared" si="349"/>
        <v>8</v>
      </c>
      <c r="Q407" s="573">
        <f t="shared" si="349"/>
        <v>8</v>
      </c>
      <c r="R407" s="573">
        <f t="shared" si="349"/>
        <v>8</v>
      </c>
      <c r="S407" s="573">
        <f t="shared" si="349"/>
        <v>8</v>
      </c>
      <c r="T407" s="573">
        <f t="shared" si="349"/>
        <v>8</v>
      </c>
      <c r="U407" s="573">
        <f t="shared" si="349"/>
        <v>8</v>
      </c>
      <c r="V407" s="573">
        <f t="shared" si="349"/>
        <v>8</v>
      </c>
      <c r="W407" s="573">
        <f t="shared" si="349"/>
        <v>8</v>
      </c>
      <c r="X407" s="573">
        <f t="shared" si="349"/>
        <v>8</v>
      </c>
      <c r="Y407" s="573">
        <f t="shared" si="349"/>
        <v>8</v>
      </c>
      <c r="Z407" s="573">
        <f t="shared" si="349"/>
        <v>8</v>
      </c>
      <c r="AA407" s="573">
        <f t="shared" si="349"/>
        <v>8</v>
      </c>
      <c r="AB407" s="573">
        <f t="shared" si="349"/>
        <v>8</v>
      </c>
      <c r="AC407" s="573">
        <f t="shared" si="349"/>
        <v>8</v>
      </c>
      <c r="AD407" s="573">
        <f t="shared" si="349"/>
        <v>8</v>
      </c>
      <c r="AE407" s="573">
        <f t="shared" si="349"/>
        <v>8</v>
      </c>
      <c r="AF407" s="573">
        <f t="shared" si="349"/>
        <v>8</v>
      </c>
      <c r="AH407" s="538"/>
      <c r="AK407" s="531"/>
      <c r="AM407" s="594"/>
      <c r="AN407" s="535"/>
      <c r="AP407" s="540"/>
      <c r="AQ407" s="540"/>
    </row>
    <row r="408" spans="1:43" s="513" customFormat="1" ht="16.5" hidden="1" customHeight="1" outlineLevel="3">
      <c r="A408" s="584"/>
      <c r="B408" s="572" t="s">
        <v>888</v>
      </c>
      <c r="C408" s="592">
        <f>EPIs_unif.!$D$10+EPIs_unif.!$D$36</f>
        <v>5154.7400000000007</v>
      </c>
      <c r="D408" s="592">
        <f>C408</f>
        <v>5154.7400000000007</v>
      </c>
      <c r="E408" s="592">
        <f t="shared" ref="E408:AF408" si="350">D408</f>
        <v>5154.7400000000007</v>
      </c>
      <c r="F408" s="592">
        <f t="shared" si="350"/>
        <v>5154.7400000000007</v>
      </c>
      <c r="G408" s="592">
        <f t="shared" si="350"/>
        <v>5154.7400000000007</v>
      </c>
      <c r="H408" s="592">
        <f t="shared" si="350"/>
        <v>5154.7400000000007</v>
      </c>
      <c r="I408" s="592">
        <f t="shared" si="350"/>
        <v>5154.7400000000007</v>
      </c>
      <c r="J408" s="592">
        <f t="shared" si="350"/>
        <v>5154.7400000000007</v>
      </c>
      <c r="K408" s="592">
        <f t="shared" si="350"/>
        <v>5154.7400000000007</v>
      </c>
      <c r="L408" s="592">
        <f t="shared" si="350"/>
        <v>5154.7400000000007</v>
      </c>
      <c r="M408" s="592">
        <f t="shared" si="350"/>
        <v>5154.7400000000007</v>
      </c>
      <c r="N408" s="592">
        <f t="shared" si="350"/>
        <v>5154.7400000000007</v>
      </c>
      <c r="O408" s="592">
        <f t="shared" si="350"/>
        <v>5154.7400000000007</v>
      </c>
      <c r="P408" s="592">
        <f t="shared" si="350"/>
        <v>5154.7400000000007</v>
      </c>
      <c r="Q408" s="592">
        <f t="shared" si="350"/>
        <v>5154.7400000000007</v>
      </c>
      <c r="R408" s="592">
        <f t="shared" si="350"/>
        <v>5154.7400000000007</v>
      </c>
      <c r="S408" s="592">
        <f t="shared" si="350"/>
        <v>5154.7400000000007</v>
      </c>
      <c r="T408" s="592">
        <f t="shared" si="350"/>
        <v>5154.7400000000007</v>
      </c>
      <c r="U408" s="592">
        <f t="shared" si="350"/>
        <v>5154.7400000000007</v>
      </c>
      <c r="V408" s="592">
        <f t="shared" si="350"/>
        <v>5154.7400000000007</v>
      </c>
      <c r="W408" s="592">
        <f t="shared" si="350"/>
        <v>5154.7400000000007</v>
      </c>
      <c r="X408" s="592">
        <f t="shared" si="350"/>
        <v>5154.7400000000007</v>
      </c>
      <c r="Y408" s="592">
        <f t="shared" si="350"/>
        <v>5154.7400000000007</v>
      </c>
      <c r="Z408" s="592">
        <f t="shared" si="350"/>
        <v>5154.7400000000007</v>
      </c>
      <c r="AA408" s="592">
        <f t="shared" si="350"/>
        <v>5154.7400000000007</v>
      </c>
      <c r="AB408" s="592">
        <f t="shared" si="350"/>
        <v>5154.7400000000007</v>
      </c>
      <c r="AC408" s="592">
        <f t="shared" si="350"/>
        <v>5154.7400000000007</v>
      </c>
      <c r="AD408" s="592">
        <f t="shared" si="350"/>
        <v>5154.7400000000007</v>
      </c>
      <c r="AE408" s="592">
        <f t="shared" si="350"/>
        <v>5154.7400000000007</v>
      </c>
      <c r="AF408" s="592">
        <f t="shared" si="350"/>
        <v>5154.7400000000007</v>
      </c>
      <c r="AH408" s="538"/>
      <c r="AK408" s="531"/>
      <c r="AM408" s="594"/>
      <c r="AN408" s="535"/>
      <c r="AP408" s="540"/>
      <c r="AQ408" s="540"/>
    </row>
    <row r="409" spans="1:43" s="546" customFormat="1" ht="16.5" hidden="1" customHeight="1" outlineLevel="3">
      <c r="A409" s="584"/>
      <c r="B409" s="613" t="s">
        <v>932</v>
      </c>
      <c r="C409" s="570">
        <f>C410*C411</f>
        <v>0</v>
      </c>
      <c r="D409" s="570">
        <f t="shared" ref="D409:AF409" si="351">D410*D411</f>
        <v>0</v>
      </c>
      <c r="E409" s="570">
        <f t="shared" si="351"/>
        <v>0</v>
      </c>
      <c r="F409" s="570">
        <f t="shared" si="351"/>
        <v>0</v>
      </c>
      <c r="G409" s="570">
        <f t="shared" si="351"/>
        <v>0</v>
      </c>
      <c r="H409" s="570">
        <f t="shared" si="351"/>
        <v>0</v>
      </c>
      <c r="I409" s="570">
        <f t="shared" si="351"/>
        <v>0</v>
      </c>
      <c r="J409" s="570">
        <f t="shared" si="351"/>
        <v>0</v>
      </c>
      <c r="K409" s="570">
        <f t="shared" si="351"/>
        <v>0</v>
      </c>
      <c r="L409" s="570">
        <f t="shared" si="351"/>
        <v>0</v>
      </c>
      <c r="M409" s="570">
        <f t="shared" si="351"/>
        <v>0</v>
      </c>
      <c r="N409" s="570">
        <f t="shared" si="351"/>
        <v>0</v>
      </c>
      <c r="O409" s="570">
        <f t="shared" si="351"/>
        <v>0</v>
      </c>
      <c r="P409" s="570">
        <f t="shared" si="351"/>
        <v>0</v>
      </c>
      <c r="Q409" s="570">
        <f t="shared" si="351"/>
        <v>0</v>
      </c>
      <c r="R409" s="570">
        <f t="shared" si="351"/>
        <v>0</v>
      </c>
      <c r="S409" s="570">
        <f t="shared" si="351"/>
        <v>0</v>
      </c>
      <c r="T409" s="570">
        <f t="shared" si="351"/>
        <v>0</v>
      </c>
      <c r="U409" s="570">
        <f t="shared" si="351"/>
        <v>0</v>
      </c>
      <c r="V409" s="570">
        <f t="shared" si="351"/>
        <v>0</v>
      </c>
      <c r="W409" s="570">
        <f t="shared" si="351"/>
        <v>0</v>
      </c>
      <c r="X409" s="570">
        <f t="shared" si="351"/>
        <v>0</v>
      </c>
      <c r="Y409" s="570">
        <f t="shared" si="351"/>
        <v>0</v>
      </c>
      <c r="Z409" s="570">
        <f t="shared" si="351"/>
        <v>0</v>
      </c>
      <c r="AA409" s="570">
        <f t="shared" si="351"/>
        <v>0</v>
      </c>
      <c r="AB409" s="570">
        <f t="shared" si="351"/>
        <v>0</v>
      </c>
      <c r="AC409" s="570">
        <f t="shared" si="351"/>
        <v>0</v>
      </c>
      <c r="AD409" s="570">
        <f t="shared" si="351"/>
        <v>0</v>
      </c>
      <c r="AE409" s="570">
        <f t="shared" si="351"/>
        <v>0</v>
      </c>
      <c r="AF409" s="570">
        <f t="shared" si="351"/>
        <v>0</v>
      </c>
      <c r="AH409" s="571"/>
      <c r="AK409" s="531"/>
      <c r="AM409" s="594"/>
      <c r="AN409" s="535"/>
      <c r="AP409" s="549"/>
      <c r="AQ409" s="549"/>
    </row>
    <row r="410" spans="1:43" s="513" customFormat="1" ht="16.5" hidden="1" customHeight="1" outlineLevel="3">
      <c r="A410" s="584"/>
      <c r="B410" s="572" t="s">
        <v>805</v>
      </c>
      <c r="C410" s="573">
        <f t="shared" ref="C410:AF410" si="352">C336</f>
        <v>0</v>
      </c>
      <c r="D410" s="573">
        <f t="shared" si="352"/>
        <v>0</v>
      </c>
      <c r="E410" s="573">
        <f t="shared" si="352"/>
        <v>0</v>
      </c>
      <c r="F410" s="573">
        <f t="shared" si="352"/>
        <v>0</v>
      </c>
      <c r="G410" s="573">
        <f t="shared" si="352"/>
        <v>0</v>
      </c>
      <c r="H410" s="573">
        <f t="shared" si="352"/>
        <v>0</v>
      </c>
      <c r="I410" s="573">
        <f t="shared" si="352"/>
        <v>0</v>
      </c>
      <c r="J410" s="573">
        <f t="shared" si="352"/>
        <v>0</v>
      </c>
      <c r="K410" s="573">
        <f t="shared" si="352"/>
        <v>0</v>
      </c>
      <c r="L410" s="573">
        <f t="shared" si="352"/>
        <v>0</v>
      </c>
      <c r="M410" s="573">
        <f t="shared" si="352"/>
        <v>0</v>
      </c>
      <c r="N410" s="573">
        <f t="shared" si="352"/>
        <v>0</v>
      </c>
      <c r="O410" s="573">
        <f t="shared" si="352"/>
        <v>0</v>
      </c>
      <c r="P410" s="573">
        <f t="shared" si="352"/>
        <v>0</v>
      </c>
      <c r="Q410" s="573">
        <f t="shared" si="352"/>
        <v>0</v>
      </c>
      <c r="R410" s="573">
        <f t="shared" si="352"/>
        <v>0</v>
      </c>
      <c r="S410" s="573">
        <f t="shared" si="352"/>
        <v>0</v>
      </c>
      <c r="T410" s="573">
        <f t="shared" si="352"/>
        <v>0</v>
      </c>
      <c r="U410" s="573">
        <f t="shared" si="352"/>
        <v>0</v>
      </c>
      <c r="V410" s="573">
        <f t="shared" si="352"/>
        <v>0</v>
      </c>
      <c r="W410" s="573">
        <f t="shared" si="352"/>
        <v>0</v>
      </c>
      <c r="X410" s="573">
        <f t="shared" si="352"/>
        <v>0</v>
      </c>
      <c r="Y410" s="573">
        <f t="shared" si="352"/>
        <v>0</v>
      </c>
      <c r="Z410" s="573">
        <f t="shared" si="352"/>
        <v>0</v>
      </c>
      <c r="AA410" s="573">
        <f t="shared" si="352"/>
        <v>0</v>
      </c>
      <c r="AB410" s="573">
        <f t="shared" si="352"/>
        <v>0</v>
      </c>
      <c r="AC410" s="573">
        <f t="shared" si="352"/>
        <v>0</v>
      </c>
      <c r="AD410" s="573">
        <f t="shared" si="352"/>
        <v>0</v>
      </c>
      <c r="AE410" s="573">
        <f t="shared" si="352"/>
        <v>0</v>
      </c>
      <c r="AF410" s="573">
        <f t="shared" si="352"/>
        <v>0</v>
      </c>
      <c r="AH410" s="538"/>
      <c r="AK410" s="531"/>
      <c r="AM410" s="594"/>
      <c r="AN410" s="535"/>
      <c r="AP410" s="540"/>
      <c r="AQ410" s="540"/>
    </row>
    <row r="411" spans="1:43" s="513" customFormat="1" ht="16.5" hidden="1" customHeight="1" outlineLevel="3">
      <c r="A411" s="584"/>
      <c r="B411" s="572" t="s">
        <v>888</v>
      </c>
      <c r="C411" s="592">
        <f>EPIs_unif.!$D$11+EPIs_unif.!$D$37</f>
        <v>4929.5</v>
      </c>
      <c r="D411" s="592">
        <f>C411</f>
        <v>4929.5</v>
      </c>
      <c r="E411" s="592">
        <f t="shared" ref="E411:AF411" si="353">D411</f>
        <v>4929.5</v>
      </c>
      <c r="F411" s="592">
        <f t="shared" si="353"/>
        <v>4929.5</v>
      </c>
      <c r="G411" s="592">
        <f t="shared" si="353"/>
        <v>4929.5</v>
      </c>
      <c r="H411" s="592">
        <f t="shared" si="353"/>
        <v>4929.5</v>
      </c>
      <c r="I411" s="592">
        <f t="shared" si="353"/>
        <v>4929.5</v>
      </c>
      <c r="J411" s="592">
        <f t="shared" si="353"/>
        <v>4929.5</v>
      </c>
      <c r="K411" s="592">
        <f t="shared" si="353"/>
        <v>4929.5</v>
      </c>
      <c r="L411" s="592">
        <f t="shared" si="353"/>
        <v>4929.5</v>
      </c>
      <c r="M411" s="592">
        <f t="shared" si="353"/>
        <v>4929.5</v>
      </c>
      <c r="N411" s="592">
        <f t="shared" si="353"/>
        <v>4929.5</v>
      </c>
      <c r="O411" s="592">
        <f t="shared" si="353"/>
        <v>4929.5</v>
      </c>
      <c r="P411" s="592">
        <f t="shared" si="353"/>
        <v>4929.5</v>
      </c>
      <c r="Q411" s="592">
        <f t="shared" si="353"/>
        <v>4929.5</v>
      </c>
      <c r="R411" s="592">
        <f t="shared" si="353"/>
        <v>4929.5</v>
      </c>
      <c r="S411" s="592">
        <f t="shared" si="353"/>
        <v>4929.5</v>
      </c>
      <c r="T411" s="592">
        <f t="shared" si="353"/>
        <v>4929.5</v>
      </c>
      <c r="U411" s="592">
        <f t="shared" si="353"/>
        <v>4929.5</v>
      </c>
      <c r="V411" s="592">
        <f t="shared" si="353"/>
        <v>4929.5</v>
      </c>
      <c r="W411" s="592">
        <f t="shared" si="353"/>
        <v>4929.5</v>
      </c>
      <c r="X411" s="592">
        <f t="shared" si="353"/>
        <v>4929.5</v>
      </c>
      <c r="Y411" s="592">
        <f t="shared" si="353"/>
        <v>4929.5</v>
      </c>
      <c r="Z411" s="592">
        <f t="shared" si="353"/>
        <v>4929.5</v>
      </c>
      <c r="AA411" s="592">
        <f t="shared" si="353"/>
        <v>4929.5</v>
      </c>
      <c r="AB411" s="592">
        <f t="shared" si="353"/>
        <v>4929.5</v>
      </c>
      <c r="AC411" s="592">
        <f t="shared" si="353"/>
        <v>4929.5</v>
      </c>
      <c r="AD411" s="592">
        <f t="shared" si="353"/>
        <v>4929.5</v>
      </c>
      <c r="AE411" s="592">
        <f t="shared" si="353"/>
        <v>4929.5</v>
      </c>
      <c r="AF411" s="592">
        <f t="shared" si="353"/>
        <v>4929.5</v>
      </c>
      <c r="AH411" s="538"/>
      <c r="AK411" s="531"/>
      <c r="AM411" s="594"/>
      <c r="AN411" s="535"/>
      <c r="AP411" s="540"/>
      <c r="AQ411" s="540"/>
    </row>
    <row r="412" spans="1:43" s="546" customFormat="1" ht="16.5" hidden="1" customHeight="1" outlineLevel="3">
      <c r="A412" s="584"/>
      <c r="B412" s="613" t="s">
        <v>944</v>
      </c>
      <c r="C412" s="570">
        <f>C413*C414</f>
        <v>0</v>
      </c>
      <c r="D412" s="570">
        <f t="shared" ref="D412:AF412" si="354">D413*D414</f>
        <v>0</v>
      </c>
      <c r="E412" s="570">
        <f t="shared" si="354"/>
        <v>0</v>
      </c>
      <c r="F412" s="570">
        <f t="shared" si="354"/>
        <v>0</v>
      </c>
      <c r="G412" s="570">
        <f t="shared" si="354"/>
        <v>0</v>
      </c>
      <c r="H412" s="570">
        <f t="shared" si="354"/>
        <v>0</v>
      </c>
      <c r="I412" s="570">
        <f t="shared" si="354"/>
        <v>0</v>
      </c>
      <c r="J412" s="570">
        <f t="shared" si="354"/>
        <v>0</v>
      </c>
      <c r="K412" s="570">
        <f t="shared" si="354"/>
        <v>0</v>
      </c>
      <c r="L412" s="570">
        <f t="shared" si="354"/>
        <v>0</v>
      </c>
      <c r="M412" s="570">
        <f t="shared" si="354"/>
        <v>0</v>
      </c>
      <c r="N412" s="570">
        <f t="shared" si="354"/>
        <v>0</v>
      </c>
      <c r="O412" s="570">
        <f t="shared" si="354"/>
        <v>0</v>
      </c>
      <c r="P412" s="570">
        <f t="shared" si="354"/>
        <v>0</v>
      </c>
      <c r="Q412" s="570">
        <f t="shared" si="354"/>
        <v>0</v>
      </c>
      <c r="R412" s="570">
        <f t="shared" si="354"/>
        <v>0</v>
      </c>
      <c r="S412" s="570">
        <f t="shared" si="354"/>
        <v>0</v>
      </c>
      <c r="T412" s="570">
        <f t="shared" si="354"/>
        <v>0</v>
      </c>
      <c r="U412" s="570">
        <f t="shared" si="354"/>
        <v>0</v>
      </c>
      <c r="V412" s="570">
        <f t="shared" si="354"/>
        <v>0</v>
      </c>
      <c r="W412" s="570">
        <f t="shared" si="354"/>
        <v>0</v>
      </c>
      <c r="X412" s="570">
        <f t="shared" si="354"/>
        <v>0</v>
      </c>
      <c r="Y412" s="570">
        <f t="shared" si="354"/>
        <v>0</v>
      </c>
      <c r="Z412" s="570">
        <f t="shared" si="354"/>
        <v>0</v>
      </c>
      <c r="AA412" s="570">
        <f t="shared" si="354"/>
        <v>0</v>
      </c>
      <c r="AB412" s="570">
        <f t="shared" si="354"/>
        <v>0</v>
      </c>
      <c r="AC412" s="570">
        <f t="shared" si="354"/>
        <v>0</v>
      </c>
      <c r="AD412" s="570">
        <f t="shared" si="354"/>
        <v>0</v>
      </c>
      <c r="AE412" s="570">
        <f t="shared" si="354"/>
        <v>0</v>
      </c>
      <c r="AF412" s="570">
        <f t="shared" si="354"/>
        <v>0</v>
      </c>
      <c r="AH412" s="571"/>
      <c r="AK412" s="531"/>
      <c r="AM412" s="594"/>
      <c r="AN412" s="535"/>
      <c r="AP412" s="549"/>
      <c r="AQ412" s="549"/>
    </row>
    <row r="413" spans="1:43" s="513" customFormat="1" ht="16.5" hidden="1" customHeight="1" outlineLevel="3">
      <c r="A413" s="584"/>
      <c r="B413" s="572" t="s">
        <v>805</v>
      </c>
      <c r="C413" s="573">
        <f t="shared" ref="C413:AF413" si="355">C343</f>
        <v>0</v>
      </c>
      <c r="D413" s="573">
        <f t="shared" si="355"/>
        <v>0</v>
      </c>
      <c r="E413" s="573">
        <f t="shared" si="355"/>
        <v>0</v>
      </c>
      <c r="F413" s="573">
        <f t="shared" si="355"/>
        <v>0</v>
      </c>
      <c r="G413" s="573">
        <f t="shared" si="355"/>
        <v>0</v>
      </c>
      <c r="H413" s="573">
        <f t="shared" si="355"/>
        <v>0</v>
      </c>
      <c r="I413" s="573">
        <f t="shared" si="355"/>
        <v>0</v>
      </c>
      <c r="J413" s="573">
        <f t="shared" si="355"/>
        <v>0</v>
      </c>
      <c r="K413" s="573">
        <f t="shared" si="355"/>
        <v>0</v>
      </c>
      <c r="L413" s="573">
        <f t="shared" si="355"/>
        <v>0</v>
      </c>
      <c r="M413" s="573">
        <f t="shared" si="355"/>
        <v>0</v>
      </c>
      <c r="N413" s="573">
        <f t="shared" si="355"/>
        <v>0</v>
      </c>
      <c r="O413" s="573">
        <f t="shared" si="355"/>
        <v>0</v>
      </c>
      <c r="P413" s="573">
        <f t="shared" si="355"/>
        <v>0</v>
      </c>
      <c r="Q413" s="573">
        <f t="shared" si="355"/>
        <v>0</v>
      </c>
      <c r="R413" s="573">
        <f t="shared" si="355"/>
        <v>0</v>
      </c>
      <c r="S413" s="573">
        <f t="shared" si="355"/>
        <v>0</v>
      </c>
      <c r="T413" s="573">
        <f t="shared" si="355"/>
        <v>0</v>
      </c>
      <c r="U413" s="573">
        <f t="shared" si="355"/>
        <v>0</v>
      </c>
      <c r="V413" s="573">
        <f t="shared" si="355"/>
        <v>0</v>
      </c>
      <c r="W413" s="573">
        <f t="shared" si="355"/>
        <v>0</v>
      </c>
      <c r="X413" s="573">
        <f t="shared" si="355"/>
        <v>0</v>
      </c>
      <c r="Y413" s="573">
        <f t="shared" si="355"/>
        <v>0</v>
      </c>
      <c r="Z413" s="573">
        <f t="shared" si="355"/>
        <v>0</v>
      </c>
      <c r="AA413" s="573">
        <f t="shared" si="355"/>
        <v>0</v>
      </c>
      <c r="AB413" s="573">
        <f t="shared" si="355"/>
        <v>0</v>
      </c>
      <c r="AC413" s="573">
        <f t="shared" si="355"/>
        <v>0</v>
      </c>
      <c r="AD413" s="573">
        <f t="shared" si="355"/>
        <v>0</v>
      </c>
      <c r="AE413" s="573">
        <f t="shared" si="355"/>
        <v>0</v>
      </c>
      <c r="AF413" s="573">
        <f t="shared" si="355"/>
        <v>0</v>
      </c>
      <c r="AH413" s="538"/>
      <c r="AK413" s="531"/>
      <c r="AM413" s="594"/>
      <c r="AN413" s="535"/>
      <c r="AP413" s="540"/>
      <c r="AQ413" s="540"/>
    </row>
    <row r="414" spans="1:43" s="513" customFormat="1" ht="16.5" hidden="1" customHeight="1" outlineLevel="3">
      <c r="A414" s="584"/>
      <c r="B414" s="572" t="s">
        <v>888</v>
      </c>
      <c r="C414" s="592">
        <f>EPIs_unif.!$D$13+EPIs_unif.!$D$39</f>
        <v>2941.62</v>
      </c>
      <c r="D414" s="592">
        <f>C414</f>
        <v>2941.62</v>
      </c>
      <c r="E414" s="592">
        <f t="shared" ref="E414:AF414" si="356">D414</f>
        <v>2941.62</v>
      </c>
      <c r="F414" s="592">
        <f t="shared" si="356"/>
        <v>2941.62</v>
      </c>
      <c r="G414" s="592">
        <f t="shared" si="356"/>
        <v>2941.62</v>
      </c>
      <c r="H414" s="592">
        <f t="shared" si="356"/>
        <v>2941.62</v>
      </c>
      <c r="I414" s="592">
        <f t="shared" si="356"/>
        <v>2941.62</v>
      </c>
      <c r="J414" s="592">
        <f t="shared" si="356"/>
        <v>2941.62</v>
      </c>
      <c r="K414" s="592">
        <f t="shared" si="356"/>
        <v>2941.62</v>
      </c>
      <c r="L414" s="592">
        <f t="shared" si="356"/>
        <v>2941.62</v>
      </c>
      <c r="M414" s="592">
        <f t="shared" si="356"/>
        <v>2941.62</v>
      </c>
      <c r="N414" s="592">
        <f t="shared" si="356"/>
        <v>2941.62</v>
      </c>
      <c r="O414" s="592">
        <f t="shared" si="356"/>
        <v>2941.62</v>
      </c>
      <c r="P414" s="592">
        <f t="shared" si="356"/>
        <v>2941.62</v>
      </c>
      <c r="Q414" s="592">
        <f t="shared" si="356"/>
        <v>2941.62</v>
      </c>
      <c r="R414" s="592">
        <f t="shared" si="356"/>
        <v>2941.62</v>
      </c>
      <c r="S414" s="592">
        <f t="shared" si="356"/>
        <v>2941.62</v>
      </c>
      <c r="T414" s="592">
        <f t="shared" si="356"/>
        <v>2941.62</v>
      </c>
      <c r="U414" s="592">
        <f t="shared" si="356"/>
        <v>2941.62</v>
      </c>
      <c r="V414" s="592">
        <f t="shared" si="356"/>
        <v>2941.62</v>
      </c>
      <c r="W414" s="592">
        <f t="shared" si="356"/>
        <v>2941.62</v>
      </c>
      <c r="X414" s="592">
        <f t="shared" si="356"/>
        <v>2941.62</v>
      </c>
      <c r="Y414" s="592">
        <f t="shared" si="356"/>
        <v>2941.62</v>
      </c>
      <c r="Z414" s="592">
        <f t="shared" si="356"/>
        <v>2941.62</v>
      </c>
      <c r="AA414" s="592">
        <f t="shared" si="356"/>
        <v>2941.62</v>
      </c>
      <c r="AB414" s="592">
        <f t="shared" si="356"/>
        <v>2941.62</v>
      </c>
      <c r="AC414" s="592">
        <f t="shared" si="356"/>
        <v>2941.62</v>
      </c>
      <c r="AD414" s="592">
        <f t="shared" si="356"/>
        <v>2941.62</v>
      </c>
      <c r="AE414" s="592">
        <f t="shared" si="356"/>
        <v>2941.62</v>
      </c>
      <c r="AF414" s="592">
        <f t="shared" si="356"/>
        <v>2941.62</v>
      </c>
      <c r="AH414" s="538"/>
      <c r="AK414" s="531"/>
      <c r="AM414" s="594"/>
      <c r="AN414" s="535"/>
      <c r="AP414" s="540"/>
      <c r="AQ414" s="540"/>
    </row>
    <row r="415" spans="1:43" s="546" customFormat="1" ht="16.5" hidden="1" customHeight="1" outlineLevel="3">
      <c r="A415" s="584"/>
      <c r="B415" s="613" t="s">
        <v>935</v>
      </c>
      <c r="C415" s="570">
        <f>C416*C417</f>
        <v>0</v>
      </c>
      <c r="D415" s="570">
        <f t="shared" ref="D415:AF415" si="357">D416*D417</f>
        <v>0</v>
      </c>
      <c r="E415" s="570">
        <f t="shared" si="357"/>
        <v>0</v>
      </c>
      <c r="F415" s="570">
        <f t="shared" si="357"/>
        <v>0</v>
      </c>
      <c r="G415" s="570">
        <f t="shared" si="357"/>
        <v>0</v>
      </c>
      <c r="H415" s="570">
        <f t="shared" si="357"/>
        <v>0</v>
      </c>
      <c r="I415" s="570">
        <f t="shared" si="357"/>
        <v>0</v>
      </c>
      <c r="J415" s="570">
        <f t="shared" si="357"/>
        <v>0</v>
      </c>
      <c r="K415" s="570">
        <f t="shared" si="357"/>
        <v>0</v>
      </c>
      <c r="L415" s="570">
        <f t="shared" si="357"/>
        <v>0</v>
      </c>
      <c r="M415" s="570">
        <f t="shared" si="357"/>
        <v>0</v>
      </c>
      <c r="N415" s="570">
        <f t="shared" si="357"/>
        <v>0</v>
      </c>
      <c r="O415" s="570">
        <f t="shared" si="357"/>
        <v>0</v>
      </c>
      <c r="P415" s="570">
        <f t="shared" si="357"/>
        <v>0</v>
      </c>
      <c r="Q415" s="570">
        <f t="shared" si="357"/>
        <v>0</v>
      </c>
      <c r="R415" s="570">
        <f t="shared" si="357"/>
        <v>0</v>
      </c>
      <c r="S415" s="570">
        <f t="shared" si="357"/>
        <v>0</v>
      </c>
      <c r="T415" s="570">
        <f t="shared" si="357"/>
        <v>0</v>
      </c>
      <c r="U415" s="570">
        <f t="shared" si="357"/>
        <v>0</v>
      </c>
      <c r="V415" s="570">
        <f t="shared" si="357"/>
        <v>0</v>
      </c>
      <c r="W415" s="570">
        <f t="shared" si="357"/>
        <v>0</v>
      </c>
      <c r="X415" s="570">
        <f t="shared" si="357"/>
        <v>0</v>
      </c>
      <c r="Y415" s="570">
        <f t="shared" si="357"/>
        <v>0</v>
      </c>
      <c r="Z415" s="570">
        <f t="shared" si="357"/>
        <v>0</v>
      </c>
      <c r="AA415" s="570">
        <f t="shared" si="357"/>
        <v>0</v>
      </c>
      <c r="AB415" s="570">
        <f t="shared" si="357"/>
        <v>0</v>
      </c>
      <c r="AC415" s="570">
        <f t="shared" si="357"/>
        <v>0</v>
      </c>
      <c r="AD415" s="570">
        <f t="shared" si="357"/>
        <v>0</v>
      </c>
      <c r="AE415" s="570">
        <f t="shared" si="357"/>
        <v>0</v>
      </c>
      <c r="AF415" s="570">
        <f t="shared" si="357"/>
        <v>0</v>
      </c>
      <c r="AH415" s="571"/>
      <c r="AK415" s="531"/>
      <c r="AM415" s="594"/>
      <c r="AN415" s="535"/>
      <c r="AP415" s="549"/>
      <c r="AQ415" s="549"/>
    </row>
    <row r="416" spans="1:43" s="513" customFormat="1" ht="16.5" hidden="1" customHeight="1" outlineLevel="3">
      <c r="A416" s="584"/>
      <c r="B416" s="572" t="s">
        <v>805</v>
      </c>
      <c r="C416" s="573">
        <f t="shared" ref="C416:AF416" si="358">C350</f>
        <v>0</v>
      </c>
      <c r="D416" s="573">
        <f t="shared" si="358"/>
        <v>0</v>
      </c>
      <c r="E416" s="573">
        <f t="shared" si="358"/>
        <v>0</v>
      </c>
      <c r="F416" s="573">
        <f t="shared" si="358"/>
        <v>0</v>
      </c>
      <c r="G416" s="573">
        <f t="shared" si="358"/>
        <v>0</v>
      </c>
      <c r="H416" s="573">
        <f t="shared" si="358"/>
        <v>0</v>
      </c>
      <c r="I416" s="573">
        <f t="shared" si="358"/>
        <v>0</v>
      </c>
      <c r="J416" s="573">
        <f t="shared" si="358"/>
        <v>0</v>
      </c>
      <c r="K416" s="573">
        <f t="shared" si="358"/>
        <v>0</v>
      </c>
      <c r="L416" s="573">
        <f t="shared" si="358"/>
        <v>0</v>
      </c>
      <c r="M416" s="573">
        <f t="shared" si="358"/>
        <v>0</v>
      </c>
      <c r="N416" s="573">
        <f t="shared" si="358"/>
        <v>0</v>
      </c>
      <c r="O416" s="573">
        <f t="shared" si="358"/>
        <v>0</v>
      </c>
      <c r="P416" s="573">
        <f t="shared" si="358"/>
        <v>0</v>
      </c>
      <c r="Q416" s="573">
        <f t="shared" si="358"/>
        <v>0</v>
      </c>
      <c r="R416" s="573">
        <f t="shared" si="358"/>
        <v>0</v>
      </c>
      <c r="S416" s="573">
        <f t="shared" si="358"/>
        <v>0</v>
      </c>
      <c r="T416" s="573">
        <f t="shared" si="358"/>
        <v>0</v>
      </c>
      <c r="U416" s="573">
        <f t="shared" si="358"/>
        <v>0</v>
      </c>
      <c r="V416" s="573">
        <f t="shared" si="358"/>
        <v>0</v>
      </c>
      <c r="W416" s="573">
        <f t="shared" si="358"/>
        <v>0</v>
      </c>
      <c r="X416" s="573">
        <f t="shared" si="358"/>
        <v>0</v>
      </c>
      <c r="Y416" s="573">
        <f t="shared" si="358"/>
        <v>0</v>
      </c>
      <c r="Z416" s="573">
        <f t="shared" si="358"/>
        <v>0</v>
      </c>
      <c r="AA416" s="573">
        <f t="shared" si="358"/>
        <v>0</v>
      </c>
      <c r="AB416" s="573">
        <f t="shared" si="358"/>
        <v>0</v>
      </c>
      <c r="AC416" s="573">
        <f t="shared" si="358"/>
        <v>0</v>
      </c>
      <c r="AD416" s="573">
        <f t="shared" si="358"/>
        <v>0</v>
      </c>
      <c r="AE416" s="573">
        <f t="shared" si="358"/>
        <v>0</v>
      </c>
      <c r="AF416" s="573">
        <f t="shared" si="358"/>
        <v>0</v>
      </c>
      <c r="AH416" s="538"/>
      <c r="AK416" s="531"/>
      <c r="AM416" s="594"/>
      <c r="AN416" s="535"/>
      <c r="AP416" s="540"/>
      <c r="AQ416" s="540"/>
    </row>
    <row r="417" spans="1:43" s="513" customFormat="1" ht="16.5" hidden="1" customHeight="1" outlineLevel="3">
      <c r="A417" s="584"/>
      <c r="B417" s="572" t="s">
        <v>888</v>
      </c>
      <c r="C417" s="592">
        <f>EPIs_unif.!$D$12+EPIs_unif.!$D$38</f>
        <v>1399.01</v>
      </c>
      <c r="D417" s="592">
        <f>C417</f>
        <v>1399.01</v>
      </c>
      <c r="E417" s="592">
        <f t="shared" ref="E417:AF417" si="359">D417</f>
        <v>1399.01</v>
      </c>
      <c r="F417" s="592">
        <f t="shared" si="359"/>
        <v>1399.01</v>
      </c>
      <c r="G417" s="592">
        <f t="shared" si="359"/>
        <v>1399.01</v>
      </c>
      <c r="H417" s="592">
        <f t="shared" si="359"/>
        <v>1399.01</v>
      </c>
      <c r="I417" s="592">
        <f t="shared" si="359"/>
        <v>1399.01</v>
      </c>
      <c r="J417" s="592">
        <f t="shared" si="359"/>
        <v>1399.01</v>
      </c>
      <c r="K417" s="592">
        <f t="shared" si="359"/>
        <v>1399.01</v>
      </c>
      <c r="L417" s="592">
        <f t="shared" si="359"/>
        <v>1399.01</v>
      </c>
      <c r="M417" s="592">
        <f t="shared" si="359"/>
        <v>1399.01</v>
      </c>
      <c r="N417" s="592">
        <f t="shared" si="359"/>
        <v>1399.01</v>
      </c>
      <c r="O417" s="592">
        <f t="shared" si="359"/>
        <v>1399.01</v>
      </c>
      <c r="P417" s="592">
        <f t="shared" si="359"/>
        <v>1399.01</v>
      </c>
      <c r="Q417" s="592">
        <f t="shared" si="359"/>
        <v>1399.01</v>
      </c>
      <c r="R417" s="592">
        <f t="shared" si="359"/>
        <v>1399.01</v>
      </c>
      <c r="S417" s="592">
        <f t="shared" si="359"/>
        <v>1399.01</v>
      </c>
      <c r="T417" s="592">
        <f t="shared" si="359"/>
        <v>1399.01</v>
      </c>
      <c r="U417" s="592">
        <f t="shared" si="359"/>
        <v>1399.01</v>
      </c>
      <c r="V417" s="592">
        <f t="shared" si="359"/>
        <v>1399.01</v>
      </c>
      <c r="W417" s="592">
        <f t="shared" si="359"/>
        <v>1399.01</v>
      </c>
      <c r="X417" s="592">
        <f t="shared" si="359"/>
        <v>1399.01</v>
      </c>
      <c r="Y417" s="592">
        <f t="shared" si="359"/>
        <v>1399.01</v>
      </c>
      <c r="Z417" s="592">
        <f t="shared" si="359"/>
        <v>1399.01</v>
      </c>
      <c r="AA417" s="592">
        <f t="shared" si="359"/>
        <v>1399.01</v>
      </c>
      <c r="AB417" s="592">
        <f t="shared" si="359"/>
        <v>1399.01</v>
      </c>
      <c r="AC417" s="592">
        <f t="shared" si="359"/>
        <v>1399.01</v>
      </c>
      <c r="AD417" s="592">
        <f t="shared" si="359"/>
        <v>1399.01</v>
      </c>
      <c r="AE417" s="592">
        <f t="shared" si="359"/>
        <v>1399.01</v>
      </c>
      <c r="AF417" s="592">
        <f t="shared" si="359"/>
        <v>1399.01</v>
      </c>
      <c r="AH417" s="538"/>
      <c r="AK417" s="531"/>
      <c r="AM417" s="594"/>
      <c r="AN417" s="535"/>
      <c r="AP417" s="540"/>
      <c r="AQ417" s="540"/>
    </row>
    <row r="418" spans="1:43" s="513" customFormat="1" ht="15.75" hidden="1" customHeight="1" outlineLevel="2">
      <c r="A418" s="584"/>
      <c r="B418" s="572"/>
      <c r="C418" s="592"/>
      <c r="D418" s="592"/>
      <c r="E418" s="592"/>
      <c r="F418" s="592"/>
      <c r="G418" s="592"/>
      <c r="H418" s="592"/>
      <c r="I418" s="592"/>
      <c r="J418" s="592"/>
      <c r="K418" s="592"/>
      <c r="L418" s="592"/>
      <c r="M418" s="592"/>
      <c r="N418" s="592"/>
      <c r="O418" s="592"/>
      <c r="P418" s="592"/>
      <c r="Q418" s="592"/>
      <c r="R418" s="592"/>
      <c r="S418" s="592"/>
      <c r="T418" s="592"/>
      <c r="U418" s="592"/>
      <c r="V418" s="592"/>
      <c r="W418" s="592"/>
      <c r="X418" s="592"/>
      <c r="Y418" s="592"/>
      <c r="Z418" s="592"/>
      <c r="AA418" s="592"/>
      <c r="AB418" s="592"/>
      <c r="AC418" s="592"/>
      <c r="AD418" s="592"/>
      <c r="AE418" s="592"/>
      <c r="AF418" s="592"/>
      <c r="AH418" s="538"/>
      <c r="AK418" s="531"/>
      <c r="AM418" s="594"/>
      <c r="AN418" s="535"/>
      <c r="AP418" s="540"/>
      <c r="AQ418" s="540"/>
    </row>
    <row r="419" spans="1:43" ht="16.5" customHeight="1">
      <c r="A419" s="584"/>
      <c r="B419" s="749" t="s">
        <v>951</v>
      </c>
      <c r="C419" s="710">
        <f t="shared" ref="C419:AF419" si="360">SUM(C425,C430,C436,C443,C449,C459,C464,C472,C477,C493,C497,C511)*C3</f>
        <v>0</v>
      </c>
      <c r="D419" s="710">
        <f t="shared" si="360"/>
        <v>0</v>
      </c>
      <c r="E419" s="710">
        <f t="shared" si="360"/>
        <v>263.21359652917431</v>
      </c>
      <c r="F419" s="710">
        <f t="shared" si="360"/>
        <v>263.21359652917431</v>
      </c>
      <c r="G419" s="710">
        <f t="shared" si="360"/>
        <v>263.21359652917431</v>
      </c>
      <c r="H419" s="710">
        <f t="shared" si="360"/>
        <v>263.21359652917431</v>
      </c>
      <c r="I419" s="710">
        <f t="shared" si="360"/>
        <v>263.21359652917431</v>
      </c>
      <c r="J419" s="710">
        <f t="shared" si="360"/>
        <v>263.21359652917431</v>
      </c>
      <c r="K419" s="710">
        <f t="shared" si="360"/>
        <v>263.21359652917431</v>
      </c>
      <c r="L419" s="710">
        <f t="shared" si="360"/>
        <v>263.21359652917431</v>
      </c>
      <c r="M419" s="710">
        <f t="shared" si="360"/>
        <v>263.21359652917431</v>
      </c>
      <c r="N419" s="710">
        <f t="shared" si="360"/>
        <v>263.21359652917431</v>
      </c>
      <c r="O419" s="710">
        <f t="shared" si="360"/>
        <v>263.21359652917431</v>
      </c>
      <c r="P419" s="710">
        <f t="shared" si="360"/>
        <v>263.21359652917431</v>
      </c>
      <c r="Q419" s="710">
        <f t="shared" si="360"/>
        <v>263.21359652917431</v>
      </c>
      <c r="R419" s="710">
        <f t="shared" si="360"/>
        <v>263.21359652917431</v>
      </c>
      <c r="S419" s="710">
        <f t="shared" si="360"/>
        <v>263.21359652917431</v>
      </c>
      <c r="T419" s="710">
        <f t="shared" si="360"/>
        <v>263.21359652917431</v>
      </c>
      <c r="U419" s="710">
        <f t="shared" si="360"/>
        <v>263.21359652917431</v>
      </c>
      <c r="V419" s="710">
        <f t="shared" si="360"/>
        <v>263.21359652917431</v>
      </c>
      <c r="W419" s="710">
        <f t="shared" si="360"/>
        <v>263.21359652917431</v>
      </c>
      <c r="X419" s="710">
        <f t="shared" si="360"/>
        <v>263.21359652917431</v>
      </c>
      <c r="Y419" s="710">
        <f t="shared" si="360"/>
        <v>263.21359652917431</v>
      </c>
      <c r="Z419" s="710">
        <f t="shared" si="360"/>
        <v>263.21359652917431</v>
      </c>
      <c r="AA419" s="710">
        <f t="shared" si="360"/>
        <v>263.21359652917431</v>
      </c>
      <c r="AB419" s="710">
        <f t="shared" si="360"/>
        <v>263.21359652917431</v>
      </c>
      <c r="AC419" s="710">
        <f t="shared" si="360"/>
        <v>263.21359652917431</v>
      </c>
      <c r="AD419" s="710">
        <f t="shared" si="360"/>
        <v>263.21359652917431</v>
      </c>
      <c r="AE419" s="710">
        <f t="shared" si="360"/>
        <v>263.21359652917431</v>
      </c>
      <c r="AF419" s="710">
        <f t="shared" si="360"/>
        <v>263.21359652917431</v>
      </c>
      <c r="AG419" s="750"/>
      <c r="AH419" s="751">
        <f>SUM(C419:AF419)</f>
        <v>7369.9807028168852</v>
      </c>
      <c r="AK419" s="531"/>
      <c r="AM419" s="533"/>
      <c r="AN419" s="535"/>
      <c r="AP419" s="535"/>
      <c r="AQ419" s="534"/>
    </row>
    <row r="420" spans="1:43" s="513" customFormat="1" ht="3" customHeight="1">
      <c r="A420" s="584"/>
      <c r="B420" s="541"/>
      <c r="C420" s="542"/>
      <c r="D420" s="542"/>
      <c r="E420" s="537"/>
      <c r="F420" s="537"/>
      <c r="G420" s="537"/>
      <c r="H420" s="537"/>
      <c r="I420" s="537"/>
      <c r="J420" s="537"/>
      <c r="K420" s="537"/>
      <c r="L420" s="537"/>
      <c r="M420" s="537"/>
      <c r="N420" s="537"/>
      <c r="O420" s="537"/>
      <c r="P420" s="537"/>
      <c r="Q420" s="537"/>
      <c r="R420" s="537"/>
      <c r="S420" s="537"/>
      <c r="T420" s="537"/>
      <c r="U420" s="537"/>
      <c r="V420" s="537"/>
      <c r="W420" s="537"/>
      <c r="X420" s="537"/>
      <c r="Y420" s="537"/>
      <c r="Z420" s="537"/>
      <c r="AA420" s="537"/>
      <c r="AB420" s="537"/>
      <c r="AC420" s="537"/>
      <c r="AD420" s="537"/>
      <c r="AE420" s="537"/>
      <c r="AF420" s="537"/>
      <c r="AH420" s="538"/>
      <c r="AJ420" s="617"/>
      <c r="AK420" s="531"/>
      <c r="AM420" s="594"/>
      <c r="AN420" s="535"/>
      <c r="AP420" s="540"/>
      <c r="AQ420" s="540"/>
    </row>
    <row r="421" spans="1:43" s="546" customFormat="1" ht="16.5" customHeight="1" collapsed="1">
      <c r="A421" s="584"/>
      <c r="B421" s="544" t="s">
        <v>880</v>
      </c>
      <c r="C421" s="545"/>
      <c r="D421" s="545"/>
      <c r="E421" s="545"/>
      <c r="F421" s="545"/>
      <c r="G421" s="545"/>
      <c r="H421" s="545"/>
      <c r="I421" s="545"/>
      <c r="J421" s="545"/>
      <c r="K421" s="545"/>
      <c r="L421" s="545"/>
      <c r="M421" s="545"/>
      <c r="N421" s="545"/>
      <c r="O421" s="545"/>
      <c r="P421" s="545"/>
      <c r="Q421" s="545"/>
      <c r="R421" s="545"/>
      <c r="S421" s="545"/>
      <c r="T421" s="545"/>
      <c r="U421" s="545"/>
      <c r="V421" s="545"/>
      <c r="W421" s="545"/>
      <c r="X421" s="545"/>
      <c r="Y421" s="545"/>
      <c r="Z421" s="545"/>
      <c r="AA421" s="545"/>
      <c r="AB421" s="545"/>
      <c r="AC421" s="545"/>
      <c r="AD421" s="545"/>
      <c r="AE421" s="545"/>
      <c r="AF421" s="545"/>
      <c r="AH421" s="571"/>
      <c r="AK421" s="531"/>
      <c r="AM421" s="594"/>
      <c r="AN421" s="535"/>
      <c r="AP421" s="549"/>
      <c r="AQ421" s="549"/>
    </row>
    <row r="422" spans="1:43" s="513" customFormat="1" ht="16.5" hidden="1" customHeight="1" outlineLevel="2">
      <c r="A422" s="584"/>
      <c r="B422" s="551" t="s">
        <v>817</v>
      </c>
      <c r="C422" s="553">
        <v>0</v>
      </c>
      <c r="D422" s="553">
        <v>0</v>
      </c>
      <c r="E422" s="553">
        <v>1</v>
      </c>
      <c r="F422" s="553">
        <v>1</v>
      </c>
      <c r="G422" s="553">
        <v>1</v>
      </c>
      <c r="H422" s="553">
        <v>1</v>
      </c>
      <c r="I422" s="553">
        <v>1</v>
      </c>
      <c r="J422" s="553">
        <v>1</v>
      </c>
      <c r="K422" s="553">
        <v>1</v>
      </c>
      <c r="L422" s="553">
        <v>1</v>
      </c>
      <c r="M422" s="553">
        <v>1</v>
      </c>
      <c r="N422" s="553">
        <v>1</v>
      </c>
      <c r="O422" s="553">
        <v>1</v>
      </c>
      <c r="P422" s="553">
        <v>1</v>
      </c>
      <c r="Q422" s="553">
        <v>1</v>
      </c>
      <c r="R422" s="553">
        <v>1</v>
      </c>
      <c r="S422" s="553">
        <v>1</v>
      </c>
      <c r="T422" s="553">
        <v>1</v>
      </c>
      <c r="U422" s="553">
        <v>1</v>
      </c>
      <c r="V422" s="553">
        <v>1</v>
      </c>
      <c r="W422" s="553">
        <v>1</v>
      </c>
      <c r="X422" s="553">
        <v>1</v>
      </c>
      <c r="Y422" s="553">
        <v>1</v>
      </c>
      <c r="Z422" s="553">
        <v>1</v>
      </c>
      <c r="AA422" s="553">
        <v>1</v>
      </c>
      <c r="AB422" s="553">
        <v>1</v>
      </c>
      <c r="AC422" s="553">
        <v>1</v>
      </c>
      <c r="AD422" s="553">
        <v>1</v>
      </c>
      <c r="AE422" s="553">
        <v>1</v>
      </c>
      <c r="AF422" s="553">
        <v>1</v>
      </c>
      <c r="AH422" s="538"/>
      <c r="AK422" s="531"/>
      <c r="AM422" s="594"/>
      <c r="AN422" s="535"/>
      <c r="AP422" s="540"/>
      <c r="AQ422" s="540"/>
    </row>
    <row r="423" spans="1:43" s="620" customFormat="1" ht="16.5" customHeight="1" collapsed="1">
      <c r="A423" s="584"/>
      <c r="B423" s="618" t="s">
        <v>886</v>
      </c>
      <c r="C423" s="545">
        <f>SUM(C479,C486)</f>
        <v>0</v>
      </c>
      <c r="D423" s="545">
        <f t="shared" ref="D423:AF423" si="361">SUM(D479,D486)</f>
        <v>0</v>
      </c>
      <c r="E423" s="545">
        <f t="shared" si="361"/>
        <v>1</v>
      </c>
      <c r="F423" s="545">
        <f t="shared" si="361"/>
        <v>1</v>
      </c>
      <c r="G423" s="545">
        <f t="shared" si="361"/>
        <v>1</v>
      </c>
      <c r="H423" s="545">
        <f t="shared" si="361"/>
        <v>1</v>
      </c>
      <c r="I423" s="545">
        <f t="shared" si="361"/>
        <v>1</v>
      </c>
      <c r="J423" s="545">
        <f t="shared" si="361"/>
        <v>1</v>
      </c>
      <c r="K423" s="545">
        <f t="shared" si="361"/>
        <v>1</v>
      </c>
      <c r="L423" s="545">
        <f t="shared" si="361"/>
        <v>1</v>
      </c>
      <c r="M423" s="545">
        <f t="shared" si="361"/>
        <v>1</v>
      </c>
      <c r="N423" s="545">
        <f t="shared" si="361"/>
        <v>1</v>
      </c>
      <c r="O423" s="545">
        <f t="shared" si="361"/>
        <v>1</v>
      </c>
      <c r="P423" s="545">
        <f t="shared" si="361"/>
        <v>1</v>
      </c>
      <c r="Q423" s="545">
        <f t="shared" si="361"/>
        <v>1</v>
      </c>
      <c r="R423" s="545">
        <f t="shared" si="361"/>
        <v>1</v>
      </c>
      <c r="S423" s="545">
        <f t="shared" si="361"/>
        <v>1</v>
      </c>
      <c r="T423" s="545">
        <f t="shared" si="361"/>
        <v>1</v>
      </c>
      <c r="U423" s="545">
        <f t="shared" si="361"/>
        <v>1</v>
      </c>
      <c r="V423" s="545">
        <f t="shared" si="361"/>
        <v>1</v>
      </c>
      <c r="W423" s="545">
        <f t="shared" si="361"/>
        <v>1</v>
      </c>
      <c r="X423" s="545">
        <f t="shared" si="361"/>
        <v>1</v>
      </c>
      <c r="Y423" s="545">
        <f t="shared" si="361"/>
        <v>1</v>
      </c>
      <c r="Z423" s="545">
        <f t="shared" si="361"/>
        <v>1</v>
      </c>
      <c r="AA423" s="545">
        <f t="shared" si="361"/>
        <v>1</v>
      </c>
      <c r="AB423" s="545">
        <f t="shared" si="361"/>
        <v>1</v>
      </c>
      <c r="AC423" s="545">
        <f t="shared" si="361"/>
        <v>1</v>
      </c>
      <c r="AD423" s="545">
        <f t="shared" si="361"/>
        <v>1</v>
      </c>
      <c r="AE423" s="545">
        <f t="shared" si="361"/>
        <v>1</v>
      </c>
      <c r="AF423" s="545">
        <f t="shared" si="361"/>
        <v>1</v>
      </c>
      <c r="AG423" s="546"/>
      <c r="AH423" s="619"/>
      <c r="AI423" s="546"/>
      <c r="AJ423" s="546"/>
      <c r="AK423" s="531"/>
      <c r="AL423" s="546"/>
      <c r="AM423" s="548"/>
      <c r="AN423" s="535"/>
      <c r="AO423" s="546"/>
      <c r="AP423" s="549"/>
      <c r="AQ423" s="549"/>
    </row>
    <row r="424" spans="1:43" s="513" customFormat="1" ht="3" hidden="1" customHeight="1" outlineLevel="2">
      <c r="A424" s="584"/>
      <c r="B424" s="551"/>
      <c r="C424" s="555"/>
      <c r="D424" s="555"/>
      <c r="E424" s="555"/>
      <c r="F424" s="555"/>
      <c r="G424" s="555"/>
      <c r="H424" s="555"/>
      <c r="I424" s="555"/>
      <c r="J424" s="555"/>
      <c r="K424" s="555"/>
      <c r="L424" s="555"/>
      <c r="M424" s="555"/>
      <c r="N424" s="555"/>
      <c r="O424" s="555"/>
      <c r="P424" s="555"/>
      <c r="Q424" s="555"/>
      <c r="R424" s="555"/>
      <c r="S424" s="555"/>
      <c r="T424" s="555"/>
      <c r="U424" s="555"/>
      <c r="V424" s="555"/>
      <c r="W424" s="555"/>
      <c r="X424" s="555"/>
      <c r="Y424" s="555"/>
      <c r="Z424" s="555"/>
      <c r="AA424" s="555"/>
      <c r="AB424" s="555"/>
      <c r="AC424" s="555"/>
      <c r="AD424" s="555"/>
      <c r="AE424" s="555"/>
      <c r="AF424" s="555"/>
      <c r="AH424" s="538"/>
      <c r="AK424" s="531"/>
      <c r="AM424" s="539"/>
      <c r="AN424" s="540"/>
      <c r="AP424" s="540"/>
      <c r="AQ424" s="540"/>
    </row>
    <row r="425" spans="1:43" s="564" customFormat="1" ht="16.5" hidden="1" customHeight="1" outlineLevel="1" collapsed="1">
      <c r="A425" s="584"/>
      <c r="B425" s="576" t="s">
        <v>887</v>
      </c>
      <c r="C425" s="577">
        <f>SUM(C426)*12/10^3</f>
        <v>0</v>
      </c>
      <c r="D425" s="577">
        <f t="shared" ref="D425:AF425" si="362">SUM(,D426)*12/10^3</f>
        <v>0</v>
      </c>
      <c r="E425" s="577">
        <f t="shared" si="362"/>
        <v>43.449025200000001</v>
      </c>
      <c r="F425" s="577">
        <f t="shared" si="362"/>
        <v>43.449025200000001</v>
      </c>
      <c r="G425" s="577">
        <f t="shared" si="362"/>
        <v>43.449025200000001</v>
      </c>
      <c r="H425" s="577">
        <f t="shared" si="362"/>
        <v>43.449025200000001</v>
      </c>
      <c r="I425" s="577">
        <f t="shared" si="362"/>
        <v>43.449025200000001</v>
      </c>
      <c r="J425" s="577">
        <f t="shared" si="362"/>
        <v>43.449025200000001</v>
      </c>
      <c r="K425" s="577">
        <f t="shared" si="362"/>
        <v>43.449025200000001</v>
      </c>
      <c r="L425" s="577">
        <f t="shared" si="362"/>
        <v>43.449025200000001</v>
      </c>
      <c r="M425" s="577">
        <f t="shared" si="362"/>
        <v>43.449025200000001</v>
      </c>
      <c r="N425" s="577">
        <f t="shared" si="362"/>
        <v>43.449025200000001</v>
      </c>
      <c r="O425" s="577">
        <f t="shared" si="362"/>
        <v>43.449025200000001</v>
      </c>
      <c r="P425" s="577">
        <f t="shared" si="362"/>
        <v>43.449025200000001</v>
      </c>
      <c r="Q425" s="577">
        <f t="shared" si="362"/>
        <v>43.449025200000001</v>
      </c>
      <c r="R425" s="577">
        <f t="shared" si="362"/>
        <v>43.449025200000001</v>
      </c>
      <c r="S425" s="577">
        <f t="shared" si="362"/>
        <v>43.449025200000001</v>
      </c>
      <c r="T425" s="577">
        <f t="shared" si="362"/>
        <v>43.449025200000001</v>
      </c>
      <c r="U425" s="577">
        <f t="shared" si="362"/>
        <v>43.449025200000001</v>
      </c>
      <c r="V425" s="577">
        <f t="shared" si="362"/>
        <v>43.449025200000001</v>
      </c>
      <c r="W425" s="577">
        <f t="shared" si="362"/>
        <v>43.449025200000001</v>
      </c>
      <c r="X425" s="577">
        <f t="shared" si="362"/>
        <v>43.449025200000001</v>
      </c>
      <c r="Y425" s="577">
        <f t="shared" si="362"/>
        <v>43.449025200000001</v>
      </c>
      <c r="Z425" s="577">
        <f t="shared" si="362"/>
        <v>43.449025200000001</v>
      </c>
      <c r="AA425" s="577">
        <f t="shared" si="362"/>
        <v>43.449025200000001</v>
      </c>
      <c r="AB425" s="577">
        <f t="shared" si="362"/>
        <v>43.449025200000001</v>
      </c>
      <c r="AC425" s="577">
        <f t="shared" si="362"/>
        <v>43.449025200000001</v>
      </c>
      <c r="AD425" s="577">
        <f t="shared" si="362"/>
        <v>43.449025200000001</v>
      </c>
      <c r="AE425" s="577">
        <f t="shared" si="362"/>
        <v>43.449025200000001</v>
      </c>
      <c r="AF425" s="577">
        <f t="shared" si="362"/>
        <v>43.449025200000001</v>
      </c>
      <c r="AH425" s="578">
        <f>SUM(C425:AF425)</f>
        <v>1216.5727056000007</v>
      </c>
      <c r="AJ425" s="566"/>
      <c r="AK425" s="531"/>
      <c r="AM425" s="594"/>
      <c r="AN425" s="535"/>
      <c r="AP425" s="568"/>
      <c r="AQ425" s="568"/>
    </row>
    <row r="426" spans="1:43" s="546" customFormat="1" ht="16.5" hidden="1" customHeight="1" outlineLevel="2">
      <c r="A426" s="584"/>
      <c r="B426" s="569" t="s">
        <v>952</v>
      </c>
      <c r="C426" s="570">
        <f>C427*C428</f>
        <v>0</v>
      </c>
      <c r="D426" s="570">
        <f t="shared" ref="D426:AF426" si="363">D427*D428</f>
        <v>0</v>
      </c>
      <c r="E426" s="570">
        <f t="shared" si="363"/>
        <v>3620.7521000000002</v>
      </c>
      <c r="F426" s="570">
        <f t="shared" si="363"/>
        <v>3620.7521000000002</v>
      </c>
      <c r="G426" s="570">
        <f t="shared" si="363"/>
        <v>3620.7521000000002</v>
      </c>
      <c r="H426" s="570">
        <f t="shared" si="363"/>
        <v>3620.7521000000002</v>
      </c>
      <c r="I426" s="570">
        <f t="shared" si="363"/>
        <v>3620.7521000000002</v>
      </c>
      <c r="J426" s="570">
        <f t="shared" si="363"/>
        <v>3620.7521000000002</v>
      </c>
      <c r="K426" s="570">
        <f t="shared" si="363"/>
        <v>3620.7521000000002</v>
      </c>
      <c r="L426" s="570">
        <f t="shared" si="363"/>
        <v>3620.7521000000002</v>
      </c>
      <c r="M426" s="570">
        <f t="shared" si="363"/>
        <v>3620.7521000000002</v>
      </c>
      <c r="N426" s="570">
        <f t="shared" si="363"/>
        <v>3620.7521000000002</v>
      </c>
      <c r="O426" s="570">
        <f t="shared" si="363"/>
        <v>3620.7521000000002</v>
      </c>
      <c r="P426" s="570">
        <f t="shared" si="363"/>
        <v>3620.7521000000002</v>
      </c>
      <c r="Q426" s="570">
        <f t="shared" si="363"/>
        <v>3620.7521000000002</v>
      </c>
      <c r="R426" s="570">
        <f t="shared" si="363"/>
        <v>3620.7521000000002</v>
      </c>
      <c r="S426" s="570">
        <f t="shared" si="363"/>
        <v>3620.7521000000002</v>
      </c>
      <c r="T426" s="570">
        <f t="shared" si="363"/>
        <v>3620.7521000000002</v>
      </c>
      <c r="U426" s="570">
        <f t="shared" si="363"/>
        <v>3620.7521000000002</v>
      </c>
      <c r="V426" s="570">
        <f t="shared" si="363"/>
        <v>3620.7521000000002</v>
      </c>
      <c r="W426" s="570">
        <f t="shared" si="363"/>
        <v>3620.7521000000002</v>
      </c>
      <c r="X426" s="570">
        <f t="shared" si="363"/>
        <v>3620.7521000000002</v>
      </c>
      <c r="Y426" s="570">
        <f t="shared" si="363"/>
        <v>3620.7521000000002</v>
      </c>
      <c r="Z426" s="570">
        <f t="shared" si="363"/>
        <v>3620.7521000000002</v>
      </c>
      <c r="AA426" s="570">
        <f t="shared" si="363"/>
        <v>3620.7521000000002</v>
      </c>
      <c r="AB426" s="570">
        <f t="shared" si="363"/>
        <v>3620.7521000000002</v>
      </c>
      <c r="AC426" s="570">
        <f t="shared" si="363"/>
        <v>3620.7521000000002</v>
      </c>
      <c r="AD426" s="570">
        <f t="shared" si="363"/>
        <v>3620.7521000000002</v>
      </c>
      <c r="AE426" s="570">
        <f t="shared" si="363"/>
        <v>3620.7521000000002</v>
      </c>
      <c r="AF426" s="570">
        <f t="shared" si="363"/>
        <v>3620.7521000000002</v>
      </c>
      <c r="AH426" s="571"/>
      <c r="AK426" s="531"/>
      <c r="AM426" s="594"/>
      <c r="AN426" s="535"/>
      <c r="AP426" s="549"/>
      <c r="AQ426" s="549"/>
    </row>
    <row r="427" spans="1:43" s="513" customFormat="1" ht="16.5" hidden="1" customHeight="1" outlineLevel="2">
      <c r="A427" s="584"/>
      <c r="B427" s="572" t="s">
        <v>805</v>
      </c>
      <c r="C427" s="573">
        <v>0</v>
      </c>
      <c r="D427" s="573">
        <v>0</v>
      </c>
      <c r="E427" s="573">
        <v>1</v>
      </c>
      <c r="F427" s="573">
        <v>1</v>
      </c>
      <c r="G427" s="573">
        <v>1</v>
      </c>
      <c r="H427" s="573">
        <v>1</v>
      </c>
      <c r="I427" s="573">
        <v>1</v>
      </c>
      <c r="J427" s="573">
        <v>1</v>
      </c>
      <c r="K427" s="573">
        <v>1</v>
      </c>
      <c r="L427" s="573">
        <v>1</v>
      </c>
      <c r="M427" s="573">
        <v>1</v>
      </c>
      <c r="N427" s="573">
        <v>1</v>
      </c>
      <c r="O427" s="573">
        <v>1</v>
      </c>
      <c r="P427" s="573">
        <v>1</v>
      </c>
      <c r="Q427" s="573">
        <v>1</v>
      </c>
      <c r="R427" s="573">
        <v>1</v>
      </c>
      <c r="S427" s="573">
        <v>1</v>
      </c>
      <c r="T427" s="573">
        <v>1</v>
      </c>
      <c r="U427" s="573">
        <v>1</v>
      </c>
      <c r="V427" s="573">
        <v>1</v>
      </c>
      <c r="W427" s="573">
        <v>1</v>
      </c>
      <c r="X427" s="573">
        <v>1</v>
      </c>
      <c r="Y427" s="573">
        <v>1</v>
      </c>
      <c r="Z427" s="573">
        <v>1</v>
      </c>
      <c r="AA427" s="573">
        <v>1</v>
      </c>
      <c r="AB427" s="573">
        <v>1</v>
      </c>
      <c r="AC427" s="573">
        <v>1</v>
      </c>
      <c r="AD427" s="573">
        <v>1</v>
      </c>
      <c r="AE427" s="573">
        <v>1</v>
      </c>
      <c r="AF427" s="573">
        <v>1</v>
      </c>
      <c r="AH427" s="538"/>
      <c r="AK427" s="531"/>
      <c r="AM427" s="539"/>
      <c r="AN427" s="535"/>
      <c r="AP427" s="540"/>
      <c r="AQ427" s="540"/>
    </row>
    <row r="428" spans="1:43" s="513" customFormat="1" ht="16.5" hidden="1" customHeight="1" outlineLevel="2">
      <c r="A428" s="584"/>
      <c r="B428" s="572" t="s">
        <v>888</v>
      </c>
      <c r="C428" s="574">
        <f>Insumos!$E$170</f>
        <v>3620.7521000000002</v>
      </c>
      <c r="D428" s="574">
        <f>C428</f>
        <v>3620.7521000000002</v>
      </c>
      <c r="E428" s="574">
        <f t="shared" ref="E428:AF428" si="364">D428</f>
        <v>3620.7521000000002</v>
      </c>
      <c r="F428" s="574">
        <f t="shared" si="364"/>
        <v>3620.7521000000002</v>
      </c>
      <c r="G428" s="574">
        <f t="shared" si="364"/>
        <v>3620.7521000000002</v>
      </c>
      <c r="H428" s="574">
        <f t="shared" si="364"/>
        <v>3620.7521000000002</v>
      </c>
      <c r="I428" s="574">
        <f t="shared" si="364"/>
        <v>3620.7521000000002</v>
      </c>
      <c r="J428" s="574">
        <f t="shared" si="364"/>
        <v>3620.7521000000002</v>
      </c>
      <c r="K428" s="574">
        <f t="shared" si="364"/>
        <v>3620.7521000000002</v>
      </c>
      <c r="L428" s="574">
        <f t="shared" si="364"/>
        <v>3620.7521000000002</v>
      </c>
      <c r="M428" s="574">
        <f t="shared" si="364"/>
        <v>3620.7521000000002</v>
      </c>
      <c r="N428" s="574">
        <f t="shared" si="364"/>
        <v>3620.7521000000002</v>
      </c>
      <c r="O428" s="574">
        <f t="shared" si="364"/>
        <v>3620.7521000000002</v>
      </c>
      <c r="P428" s="574">
        <f t="shared" si="364"/>
        <v>3620.7521000000002</v>
      </c>
      <c r="Q428" s="574">
        <f t="shared" si="364"/>
        <v>3620.7521000000002</v>
      </c>
      <c r="R428" s="574">
        <f t="shared" si="364"/>
        <v>3620.7521000000002</v>
      </c>
      <c r="S428" s="574">
        <f t="shared" si="364"/>
        <v>3620.7521000000002</v>
      </c>
      <c r="T428" s="574">
        <f t="shared" si="364"/>
        <v>3620.7521000000002</v>
      </c>
      <c r="U428" s="574">
        <f t="shared" si="364"/>
        <v>3620.7521000000002</v>
      </c>
      <c r="V428" s="574">
        <f t="shared" si="364"/>
        <v>3620.7521000000002</v>
      </c>
      <c r="W428" s="574">
        <f t="shared" si="364"/>
        <v>3620.7521000000002</v>
      </c>
      <c r="X428" s="574">
        <f t="shared" si="364"/>
        <v>3620.7521000000002</v>
      </c>
      <c r="Y428" s="574">
        <f t="shared" si="364"/>
        <v>3620.7521000000002</v>
      </c>
      <c r="Z428" s="574">
        <f t="shared" si="364"/>
        <v>3620.7521000000002</v>
      </c>
      <c r="AA428" s="574">
        <f t="shared" si="364"/>
        <v>3620.7521000000002</v>
      </c>
      <c r="AB428" s="574">
        <f t="shared" si="364"/>
        <v>3620.7521000000002</v>
      </c>
      <c r="AC428" s="574">
        <f t="shared" si="364"/>
        <v>3620.7521000000002</v>
      </c>
      <c r="AD428" s="574">
        <f t="shared" si="364"/>
        <v>3620.7521000000002</v>
      </c>
      <c r="AE428" s="574">
        <f t="shared" si="364"/>
        <v>3620.7521000000002</v>
      </c>
      <c r="AF428" s="574">
        <f t="shared" si="364"/>
        <v>3620.7521000000002</v>
      </c>
      <c r="AH428" s="538"/>
      <c r="AK428" s="531"/>
      <c r="AM428" s="594"/>
      <c r="AN428" s="535"/>
      <c r="AP428" s="540"/>
      <c r="AQ428" s="540"/>
    </row>
    <row r="429" spans="1:43" s="513" customFormat="1" ht="3" hidden="1" customHeight="1" outlineLevel="2">
      <c r="A429" s="584"/>
      <c r="B429" s="572"/>
      <c r="C429" s="575"/>
      <c r="D429" s="575"/>
      <c r="E429" s="575"/>
      <c r="F429" s="575"/>
      <c r="G429" s="575"/>
      <c r="H429" s="575"/>
      <c r="I429" s="575"/>
      <c r="J429" s="575"/>
      <c r="K429" s="575"/>
      <c r="L429" s="575"/>
      <c r="M429" s="575"/>
      <c r="N429" s="575"/>
      <c r="O429" s="575"/>
      <c r="P429" s="575"/>
      <c r="Q429" s="575"/>
      <c r="R429" s="575"/>
      <c r="S429" s="575"/>
      <c r="T429" s="575"/>
      <c r="U429" s="575"/>
      <c r="V429" s="575"/>
      <c r="W429" s="575"/>
      <c r="X429" s="575"/>
      <c r="Y429" s="575"/>
      <c r="Z429" s="575"/>
      <c r="AA429" s="575"/>
      <c r="AB429" s="575"/>
      <c r="AC429" s="575"/>
      <c r="AD429" s="575"/>
      <c r="AE429" s="575"/>
      <c r="AF429" s="575"/>
      <c r="AH429" s="538"/>
      <c r="AK429" s="531"/>
      <c r="AM429" s="594"/>
      <c r="AN429" s="535"/>
      <c r="AP429" s="540"/>
      <c r="AQ429" s="540"/>
    </row>
    <row r="430" spans="1:43" s="564" customFormat="1" ht="16.5" hidden="1" customHeight="1" outlineLevel="1" collapsed="1">
      <c r="A430" s="584"/>
      <c r="B430" s="576" t="s">
        <v>890</v>
      </c>
      <c r="C430" s="577">
        <f>SUM(C431)*12/10^3</f>
        <v>0</v>
      </c>
      <c r="D430" s="577">
        <f t="shared" ref="D430:AF430" si="365">SUM(D431)*12/10^3</f>
        <v>0</v>
      </c>
      <c r="E430" s="577">
        <f t="shared" si="365"/>
        <v>97.307964000000013</v>
      </c>
      <c r="F430" s="577">
        <f t="shared" si="365"/>
        <v>97.307964000000013</v>
      </c>
      <c r="G430" s="577">
        <f t="shared" si="365"/>
        <v>97.307964000000013</v>
      </c>
      <c r="H430" s="577">
        <f t="shared" si="365"/>
        <v>97.307964000000013</v>
      </c>
      <c r="I430" s="577">
        <f t="shared" si="365"/>
        <v>97.307964000000013</v>
      </c>
      <c r="J430" s="577">
        <f t="shared" si="365"/>
        <v>97.307964000000013</v>
      </c>
      <c r="K430" s="577">
        <f t="shared" si="365"/>
        <v>97.307964000000013</v>
      </c>
      <c r="L430" s="577">
        <f t="shared" si="365"/>
        <v>97.307964000000013</v>
      </c>
      <c r="M430" s="577">
        <f t="shared" si="365"/>
        <v>97.307964000000013</v>
      </c>
      <c r="N430" s="577">
        <f t="shared" si="365"/>
        <v>97.307964000000013</v>
      </c>
      <c r="O430" s="577">
        <f t="shared" si="365"/>
        <v>97.307964000000013</v>
      </c>
      <c r="P430" s="577">
        <f t="shared" si="365"/>
        <v>97.307964000000013</v>
      </c>
      <c r="Q430" s="577">
        <f t="shared" si="365"/>
        <v>97.307964000000013</v>
      </c>
      <c r="R430" s="577">
        <f t="shared" si="365"/>
        <v>97.307964000000013</v>
      </c>
      <c r="S430" s="577">
        <f t="shared" si="365"/>
        <v>97.307964000000013</v>
      </c>
      <c r="T430" s="577">
        <f t="shared" si="365"/>
        <v>97.307964000000013</v>
      </c>
      <c r="U430" s="577">
        <f t="shared" si="365"/>
        <v>97.307964000000013</v>
      </c>
      <c r="V430" s="577">
        <f t="shared" si="365"/>
        <v>97.307964000000013</v>
      </c>
      <c r="W430" s="577">
        <f t="shared" si="365"/>
        <v>97.307964000000013</v>
      </c>
      <c r="X430" s="577">
        <f t="shared" si="365"/>
        <v>97.307964000000013</v>
      </c>
      <c r="Y430" s="577">
        <f t="shared" si="365"/>
        <v>97.307964000000013</v>
      </c>
      <c r="Z430" s="577">
        <f t="shared" si="365"/>
        <v>97.307964000000013</v>
      </c>
      <c r="AA430" s="577">
        <f t="shared" si="365"/>
        <v>97.307964000000013</v>
      </c>
      <c r="AB430" s="577">
        <f t="shared" si="365"/>
        <v>97.307964000000013</v>
      </c>
      <c r="AC430" s="577">
        <f t="shared" si="365"/>
        <v>97.307964000000013</v>
      </c>
      <c r="AD430" s="577">
        <f t="shared" si="365"/>
        <v>97.307964000000013</v>
      </c>
      <c r="AE430" s="577">
        <f t="shared" si="365"/>
        <v>97.307964000000013</v>
      </c>
      <c r="AF430" s="577">
        <f t="shared" si="365"/>
        <v>97.307964000000013</v>
      </c>
      <c r="AH430" s="578">
        <f>SUM(C430:AF430)</f>
        <v>2724.6229920000014</v>
      </c>
      <c r="AJ430" s="579"/>
      <c r="AK430" s="531"/>
      <c r="AM430" s="594"/>
      <c r="AN430" s="535"/>
      <c r="AP430" s="568"/>
      <c r="AQ430" s="568"/>
    </row>
    <row r="431" spans="1:43" s="546" customFormat="1" ht="16.5" hidden="1" customHeight="1" outlineLevel="2">
      <c r="A431" s="584"/>
      <c r="B431" s="569" t="s">
        <v>817</v>
      </c>
      <c r="C431" s="581">
        <f>C433*C434</f>
        <v>0</v>
      </c>
      <c r="D431" s="581">
        <f>D433*D434</f>
        <v>0</v>
      </c>
      <c r="E431" s="581">
        <f t="shared" ref="E431:AF431" si="366">E433*E434</f>
        <v>8108.9970000000003</v>
      </c>
      <c r="F431" s="581">
        <f t="shared" si="366"/>
        <v>8108.9970000000003</v>
      </c>
      <c r="G431" s="581">
        <f t="shared" si="366"/>
        <v>8108.9970000000003</v>
      </c>
      <c r="H431" s="581">
        <f t="shared" si="366"/>
        <v>8108.9970000000003</v>
      </c>
      <c r="I431" s="581">
        <f t="shared" si="366"/>
        <v>8108.9970000000003</v>
      </c>
      <c r="J431" s="581">
        <f t="shared" si="366"/>
        <v>8108.9970000000003</v>
      </c>
      <c r="K431" s="581">
        <f t="shared" si="366"/>
        <v>8108.9970000000003</v>
      </c>
      <c r="L431" s="581">
        <f t="shared" si="366"/>
        <v>8108.9970000000003</v>
      </c>
      <c r="M431" s="581">
        <f t="shared" si="366"/>
        <v>8108.9970000000003</v>
      </c>
      <c r="N431" s="581">
        <f t="shared" si="366"/>
        <v>8108.9970000000003</v>
      </c>
      <c r="O431" s="581">
        <f t="shared" si="366"/>
        <v>8108.9970000000003</v>
      </c>
      <c r="P431" s="581">
        <f t="shared" si="366"/>
        <v>8108.9970000000003</v>
      </c>
      <c r="Q431" s="581">
        <f t="shared" si="366"/>
        <v>8108.9970000000003</v>
      </c>
      <c r="R431" s="581">
        <f t="shared" si="366"/>
        <v>8108.9970000000003</v>
      </c>
      <c r="S431" s="581">
        <f t="shared" si="366"/>
        <v>8108.9970000000003</v>
      </c>
      <c r="T431" s="581">
        <f t="shared" si="366"/>
        <v>8108.9970000000003</v>
      </c>
      <c r="U431" s="581">
        <f t="shared" si="366"/>
        <v>8108.9970000000003</v>
      </c>
      <c r="V431" s="581">
        <f t="shared" si="366"/>
        <v>8108.9970000000003</v>
      </c>
      <c r="W431" s="581">
        <f t="shared" si="366"/>
        <v>8108.9970000000003</v>
      </c>
      <c r="X431" s="581">
        <f t="shared" si="366"/>
        <v>8108.9970000000003</v>
      </c>
      <c r="Y431" s="581">
        <f t="shared" si="366"/>
        <v>8108.9970000000003</v>
      </c>
      <c r="Z431" s="581">
        <f t="shared" si="366"/>
        <v>8108.9970000000003</v>
      </c>
      <c r="AA431" s="581">
        <f t="shared" si="366"/>
        <v>8108.9970000000003</v>
      </c>
      <c r="AB431" s="581">
        <f t="shared" si="366"/>
        <v>8108.9970000000003</v>
      </c>
      <c r="AC431" s="581">
        <f t="shared" si="366"/>
        <v>8108.9970000000003</v>
      </c>
      <c r="AD431" s="581">
        <f t="shared" si="366"/>
        <v>8108.9970000000003</v>
      </c>
      <c r="AE431" s="581">
        <f t="shared" si="366"/>
        <v>8108.9970000000003</v>
      </c>
      <c r="AF431" s="581">
        <f t="shared" si="366"/>
        <v>8108.9970000000003</v>
      </c>
      <c r="AH431" s="571"/>
      <c r="AK431" s="531"/>
      <c r="AM431" s="594"/>
      <c r="AN431" s="535"/>
      <c r="AP431" s="549"/>
      <c r="AQ431" s="549"/>
    </row>
    <row r="432" spans="1:43" s="513" customFormat="1" ht="16.5" hidden="1" customHeight="1" outlineLevel="2">
      <c r="A432" s="584"/>
      <c r="B432" s="572" t="s">
        <v>891</v>
      </c>
      <c r="C432" s="625">
        <v>0</v>
      </c>
      <c r="D432" s="625">
        <v>0</v>
      </c>
      <c r="E432" s="582">
        <f>40*26</f>
        <v>1040</v>
      </c>
      <c r="F432" s="574">
        <f>E432</f>
        <v>1040</v>
      </c>
      <c r="G432" s="574">
        <f t="shared" ref="G432:V434" si="367">F432</f>
        <v>1040</v>
      </c>
      <c r="H432" s="574">
        <f t="shared" si="367"/>
        <v>1040</v>
      </c>
      <c r="I432" s="574">
        <f t="shared" si="367"/>
        <v>1040</v>
      </c>
      <c r="J432" s="574">
        <f t="shared" si="367"/>
        <v>1040</v>
      </c>
      <c r="K432" s="574">
        <f t="shared" si="367"/>
        <v>1040</v>
      </c>
      <c r="L432" s="574">
        <f t="shared" si="367"/>
        <v>1040</v>
      </c>
      <c r="M432" s="574">
        <f t="shared" si="367"/>
        <v>1040</v>
      </c>
      <c r="N432" s="574">
        <f t="shared" si="367"/>
        <v>1040</v>
      </c>
      <c r="O432" s="574">
        <f t="shared" si="367"/>
        <v>1040</v>
      </c>
      <c r="P432" s="574">
        <f t="shared" si="367"/>
        <v>1040</v>
      </c>
      <c r="Q432" s="574">
        <f t="shared" si="367"/>
        <v>1040</v>
      </c>
      <c r="R432" s="574">
        <f t="shared" si="367"/>
        <v>1040</v>
      </c>
      <c r="S432" s="574">
        <f t="shared" si="367"/>
        <v>1040</v>
      </c>
      <c r="T432" s="574">
        <f t="shared" si="367"/>
        <v>1040</v>
      </c>
      <c r="U432" s="574">
        <f t="shared" si="367"/>
        <v>1040</v>
      </c>
      <c r="V432" s="574">
        <f t="shared" si="367"/>
        <v>1040</v>
      </c>
      <c r="W432" s="574">
        <f t="shared" ref="W432:AF434" si="368">V432</f>
        <v>1040</v>
      </c>
      <c r="X432" s="574">
        <f t="shared" si="368"/>
        <v>1040</v>
      </c>
      <c r="Y432" s="574">
        <f t="shared" si="368"/>
        <v>1040</v>
      </c>
      <c r="Z432" s="574">
        <f t="shared" si="368"/>
        <v>1040</v>
      </c>
      <c r="AA432" s="574">
        <f t="shared" si="368"/>
        <v>1040</v>
      </c>
      <c r="AB432" s="574">
        <f t="shared" si="368"/>
        <v>1040</v>
      </c>
      <c r="AC432" s="574">
        <f t="shared" si="368"/>
        <v>1040</v>
      </c>
      <c r="AD432" s="574">
        <f t="shared" si="368"/>
        <v>1040</v>
      </c>
      <c r="AE432" s="574">
        <f t="shared" si="368"/>
        <v>1040</v>
      </c>
      <c r="AF432" s="574">
        <f t="shared" si="368"/>
        <v>1040</v>
      </c>
      <c r="AH432" s="538"/>
      <c r="AK432" s="531"/>
      <c r="AM432" s="594"/>
      <c r="AN432" s="535"/>
      <c r="AP432" s="540"/>
      <c r="AQ432" s="540"/>
    </row>
    <row r="433" spans="1:43" s="513" customFormat="1" ht="16.5" hidden="1" customHeight="1" outlineLevel="2">
      <c r="A433" s="584"/>
      <c r="B433" s="572" t="s">
        <v>805</v>
      </c>
      <c r="C433" s="573">
        <v>0</v>
      </c>
      <c r="D433" s="573">
        <v>0</v>
      </c>
      <c r="E433" s="716">
        <v>1</v>
      </c>
      <c r="F433" s="573">
        <v>1</v>
      </c>
      <c r="G433" s="573">
        <v>1</v>
      </c>
      <c r="H433" s="573">
        <v>1</v>
      </c>
      <c r="I433" s="573">
        <v>1</v>
      </c>
      <c r="J433" s="573">
        <v>1</v>
      </c>
      <c r="K433" s="573">
        <v>1</v>
      </c>
      <c r="L433" s="573">
        <v>1</v>
      </c>
      <c r="M433" s="573">
        <v>1</v>
      </c>
      <c r="N433" s="573">
        <v>1</v>
      </c>
      <c r="O433" s="573">
        <v>1</v>
      </c>
      <c r="P433" s="573">
        <v>1</v>
      </c>
      <c r="Q433" s="573">
        <v>1</v>
      </c>
      <c r="R433" s="573">
        <v>1</v>
      </c>
      <c r="S433" s="573">
        <v>1</v>
      </c>
      <c r="T433" s="573">
        <v>1</v>
      </c>
      <c r="U433" s="573">
        <v>1</v>
      </c>
      <c r="V433" s="573">
        <v>1</v>
      </c>
      <c r="W433" s="573">
        <v>1</v>
      </c>
      <c r="X433" s="573">
        <v>1</v>
      </c>
      <c r="Y433" s="573">
        <v>1</v>
      </c>
      <c r="Z433" s="573">
        <v>1</v>
      </c>
      <c r="AA433" s="573">
        <v>1</v>
      </c>
      <c r="AB433" s="573">
        <v>1</v>
      </c>
      <c r="AC433" s="573">
        <v>1</v>
      </c>
      <c r="AD433" s="573">
        <v>1</v>
      </c>
      <c r="AE433" s="573">
        <v>1</v>
      </c>
      <c r="AF433" s="573">
        <v>1</v>
      </c>
      <c r="AH433" s="538"/>
      <c r="AK433" s="531"/>
      <c r="AM433" s="539"/>
      <c r="AN433" s="535"/>
      <c r="AP433" s="540"/>
      <c r="AQ433" s="540"/>
    </row>
    <row r="434" spans="1:43" s="513" customFormat="1" ht="16.5" hidden="1" customHeight="1" outlineLevel="2">
      <c r="A434" s="584"/>
      <c r="B434" s="572" t="s">
        <v>888</v>
      </c>
      <c r="C434" s="574">
        <f>CAPEX!$C$48*(0.83%+0.42%)</f>
        <v>8108.9970000000003</v>
      </c>
      <c r="D434" s="574">
        <f>C434</f>
        <v>8108.9970000000003</v>
      </c>
      <c r="E434" s="574">
        <f t="shared" ref="E434:F434" si="369">D434</f>
        <v>8108.9970000000003</v>
      </c>
      <c r="F434" s="574">
        <f t="shared" si="369"/>
        <v>8108.9970000000003</v>
      </c>
      <c r="G434" s="574">
        <f t="shared" si="367"/>
        <v>8108.9970000000003</v>
      </c>
      <c r="H434" s="574">
        <f t="shared" si="367"/>
        <v>8108.9970000000003</v>
      </c>
      <c r="I434" s="574">
        <f t="shared" si="367"/>
        <v>8108.9970000000003</v>
      </c>
      <c r="J434" s="574">
        <f t="shared" si="367"/>
        <v>8108.9970000000003</v>
      </c>
      <c r="K434" s="574">
        <f t="shared" si="367"/>
        <v>8108.9970000000003</v>
      </c>
      <c r="L434" s="574">
        <f t="shared" si="367"/>
        <v>8108.9970000000003</v>
      </c>
      <c r="M434" s="574">
        <f t="shared" si="367"/>
        <v>8108.9970000000003</v>
      </c>
      <c r="N434" s="574">
        <f t="shared" si="367"/>
        <v>8108.9970000000003</v>
      </c>
      <c r="O434" s="574">
        <f t="shared" si="367"/>
        <v>8108.9970000000003</v>
      </c>
      <c r="P434" s="574">
        <f t="shared" si="367"/>
        <v>8108.9970000000003</v>
      </c>
      <c r="Q434" s="574">
        <f t="shared" si="367"/>
        <v>8108.9970000000003</v>
      </c>
      <c r="R434" s="574">
        <f t="shared" si="367"/>
        <v>8108.9970000000003</v>
      </c>
      <c r="S434" s="574">
        <f t="shared" si="367"/>
        <v>8108.9970000000003</v>
      </c>
      <c r="T434" s="574">
        <f t="shared" si="367"/>
        <v>8108.9970000000003</v>
      </c>
      <c r="U434" s="574">
        <f t="shared" si="367"/>
        <v>8108.9970000000003</v>
      </c>
      <c r="V434" s="574">
        <f t="shared" si="367"/>
        <v>8108.9970000000003</v>
      </c>
      <c r="W434" s="574">
        <f t="shared" si="368"/>
        <v>8108.9970000000003</v>
      </c>
      <c r="X434" s="574">
        <f t="shared" si="368"/>
        <v>8108.9970000000003</v>
      </c>
      <c r="Y434" s="574">
        <f t="shared" si="368"/>
        <v>8108.9970000000003</v>
      </c>
      <c r="Z434" s="574">
        <f t="shared" si="368"/>
        <v>8108.9970000000003</v>
      </c>
      <c r="AA434" s="574">
        <f t="shared" si="368"/>
        <v>8108.9970000000003</v>
      </c>
      <c r="AB434" s="574">
        <f t="shared" si="368"/>
        <v>8108.9970000000003</v>
      </c>
      <c r="AC434" s="574">
        <f t="shared" si="368"/>
        <v>8108.9970000000003</v>
      </c>
      <c r="AD434" s="574">
        <f t="shared" si="368"/>
        <v>8108.9970000000003</v>
      </c>
      <c r="AE434" s="574">
        <f t="shared" si="368"/>
        <v>8108.9970000000003</v>
      </c>
      <c r="AF434" s="574">
        <f t="shared" si="368"/>
        <v>8108.9970000000003</v>
      </c>
      <c r="AH434" s="538"/>
      <c r="AK434" s="531"/>
      <c r="AM434" s="594"/>
      <c r="AN434" s="535"/>
      <c r="AP434" s="540"/>
      <c r="AQ434" s="540"/>
    </row>
    <row r="435" spans="1:43" ht="3" hidden="1" customHeight="1" outlineLevel="2">
      <c r="A435" s="584"/>
      <c r="B435" s="551"/>
      <c r="C435" s="592"/>
      <c r="D435" s="592"/>
      <c r="E435" s="592"/>
      <c r="F435" s="592"/>
      <c r="G435" s="592"/>
      <c r="H435" s="592"/>
      <c r="I435" s="592"/>
      <c r="J435" s="592"/>
      <c r="K435" s="592"/>
      <c r="L435" s="592"/>
      <c r="M435" s="592"/>
      <c r="N435" s="592"/>
      <c r="O435" s="592"/>
      <c r="P435" s="592"/>
      <c r="Q435" s="592"/>
      <c r="R435" s="592"/>
      <c r="S435" s="592"/>
      <c r="T435" s="592"/>
      <c r="U435" s="592"/>
      <c r="V435" s="592"/>
      <c r="W435" s="592"/>
      <c r="X435" s="592"/>
      <c r="Y435" s="592"/>
      <c r="Z435" s="592"/>
      <c r="AA435" s="592"/>
      <c r="AB435" s="592"/>
      <c r="AC435" s="592"/>
      <c r="AD435" s="592"/>
      <c r="AE435" s="592"/>
      <c r="AF435" s="592"/>
      <c r="AH435" s="593"/>
      <c r="AK435" s="531"/>
      <c r="AM435" s="594"/>
      <c r="AN435" s="535"/>
      <c r="AP435" s="535"/>
      <c r="AQ435" s="535"/>
    </row>
    <row r="436" spans="1:43" s="564" customFormat="1" ht="16.5" hidden="1" customHeight="1" outlineLevel="1" collapsed="1">
      <c r="A436" s="584"/>
      <c r="B436" s="576" t="s">
        <v>894</v>
      </c>
      <c r="C436" s="577">
        <f>SUM(C437)*12/10^3</f>
        <v>0</v>
      </c>
      <c r="D436" s="577">
        <f t="shared" ref="D436:AF436" si="370">SUM(D437)*12/10^3</f>
        <v>0</v>
      </c>
      <c r="E436" s="577">
        <f t="shared" si="370"/>
        <v>17.197211009174314</v>
      </c>
      <c r="F436" s="577">
        <f t="shared" si="370"/>
        <v>17.197211009174314</v>
      </c>
      <c r="G436" s="577">
        <f t="shared" si="370"/>
        <v>17.197211009174314</v>
      </c>
      <c r="H436" s="577">
        <f t="shared" si="370"/>
        <v>17.197211009174314</v>
      </c>
      <c r="I436" s="577">
        <f t="shared" si="370"/>
        <v>17.197211009174314</v>
      </c>
      <c r="J436" s="577">
        <f t="shared" si="370"/>
        <v>17.197211009174314</v>
      </c>
      <c r="K436" s="577">
        <f t="shared" si="370"/>
        <v>17.197211009174314</v>
      </c>
      <c r="L436" s="577">
        <f t="shared" si="370"/>
        <v>17.197211009174314</v>
      </c>
      <c r="M436" s="577">
        <f t="shared" si="370"/>
        <v>17.197211009174314</v>
      </c>
      <c r="N436" s="577">
        <f t="shared" si="370"/>
        <v>17.197211009174314</v>
      </c>
      <c r="O436" s="577">
        <f t="shared" si="370"/>
        <v>17.197211009174314</v>
      </c>
      <c r="P436" s="577">
        <f t="shared" si="370"/>
        <v>17.197211009174314</v>
      </c>
      <c r="Q436" s="577">
        <f t="shared" si="370"/>
        <v>17.197211009174314</v>
      </c>
      <c r="R436" s="577">
        <f t="shared" si="370"/>
        <v>17.197211009174314</v>
      </c>
      <c r="S436" s="577">
        <f t="shared" si="370"/>
        <v>17.197211009174314</v>
      </c>
      <c r="T436" s="577">
        <f t="shared" si="370"/>
        <v>17.197211009174314</v>
      </c>
      <c r="U436" s="577">
        <f t="shared" si="370"/>
        <v>17.197211009174314</v>
      </c>
      <c r="V436" s="577">
        <f t="shared" si="370"/>
        <v>17.197211009174314</v>
      </c>
      <c r="W436" s="577">
        <f t="shared" si="370"/>
        <v>17.197211009174314</v>
      </c>
      <c r="X436" s="577">
        <f t="shared" si="370"/>
        <v>17.197211009174314</v>
      </c>
      <c r="Y436" s="577">
        <f t="shared" si="370"/>
        <v>17.197211009174314</v>
      </c>
      <c r="Z436" s="577">
        <f t="shared" si="370"/>
        <v>17.197211009174314</v>
      </c>
      <c r="AA436" s="577">
        <f t="shared" si="370"/>
        <v>17.197211009174314</v>
      </c>
      <c r="AB436" s="577">
        <f t="shared" si="370"/>
        <v>17.197211009174314</v>
      </c>
      <c r="AC436" s="577">
        <f t="shared" si="370"/>
        <v>17.197211009174314</v>
      </c>
      <c r="AD436" s="577">
        <f t="shared" si="370"/>
        <v>17.197211009174314</v>
      </c>
      <c r="AE436" s="577">
        <f t="shared" si="370"/>
        <v>17.197211009174314</v>
      </c>
      <c r="AF436" s="577">
        <f t="shared" si="370"/>
        <v>17.197211009174314</v>
      </c>
      <c r="AH436" s="578">
        <f>SUM(C436:AF436)</f>
        <v>481.52190825688109</v>
      </c>
      <c r="AJ436" s="579"/>
      <c r="AK436" s="531"/>
      <c r="AM436" s="594"/>
      <c r="AN436" s="535"/>
      <c r="AP436" s="568"/>
      <c r="AQ436" s="568"/>
    </row>
    <row r="437" spans="1:43" s="546" customFormat="1" ht="16.5" hidden="1" customHeight="1" outlineLevel="2">
      <c r="A437" s="584"/>
      <c r="B437" s="569" t="s">
        <v>817</v>
      </c>
      <c r="C437" s="581">
        <f>C438*(C439/C440)*C441</f>
        <v>0</v>
      </c>
      <c r="D437" s="581">
        <f>D438*(D439/D440)*D441</f>
        <v>0</v>
      </c>
      <c r="E437" s="581">
        <f>E438*(E439/E440)*E441</f>
        <v>1433.1009174311928</v>
      </c>
      <c r="F437" s="581">
        <f t="shared" ref="F437:AF437" si="371">F438*(F439/F440)*F441</f>
        <v>1433.1009174311928</v>
      </c>
      <c r="G437" s="581">
        <f t="shared" si="371"/>
        <v>1433.1009174311928</v>
      </c>
      <c r="H437" s="581">
        <f t="shared" si="371"/>
        <v>1433.1009174311928</v>
      </c>
      <c r="I437" s="581">
        <f t="shared" si="371"/>
        <v>1433.1009174311928</v>
      </c>
      <c r="J437" s="581">
        <f t="shared" si="371"/>
        <v>1433.1009174311928</v>
      </c>
      <c r="K437" s="581">
        <f t="shared" si="371"/>
        <v>1433.1009174311928</v>
      </c>
      <c r="L437" s="581">
        <f t="shared" si="371"/>
        <v>1433.1009174311928</v>
      </c>
      <c r="M437" s="581">
        <f t="shared" si="371"/>
        <v>1433.1009174311928</v>
      </c>
      <c r="N437" s="581">
        <f t="shared" si="371"/>
        <v>1433.1009174311928</v>
      </c>
      <c r="O437" s="581">
        <f t="shared" si="371"/>
        <v>1433.1009174311928</v>
      </c>
      <c r="P437" s="581">
        <f t="shared" si="371"/>
        <v>1433.1009174311928</v>
      </c>
      <c r="Q437" s="581">
        <f t="shared" si="371"/>
        <v>1433.1009174311928</v>
      </c>
      <c r="R437" s="581">
        <f t="shared" si="371"/>
        <v>1433.1009174311928</v>
      </c>
      <c r="S437" s="581">
        <f t="shared" si="371"/>
        <v>1433.1009174311928</v>
      </c>
      <c r="T437" s="581">
        <f t="shared" si="371"/>
        <v>1433.1009174311928</v>
      </c>
      <c r="U437" s="581">
        <f t="shared" si="371"/>
        <v>1433.1009174311928</v>
      </c>
      <c r="V437" s="581">
        <f t="shared" si="371"/>
        <v>1433.1009174311928</v>
      </c>
      <c r="W437" s="581">
        <f t="shared" si="371"/>
        <v>1433.1009174311928</v>
      </c>
      <c r="X437" s="581">
        <f t="shared" si="371"/>
        <v>1433.1009174311928</v>
      </c>
      <c r="Y437" s="581">
        <f t="shared" si="371"/>
        <v>1433.1009174311928</v>
      </c>
      <c r="Z437" s="581">
        <f t="shared" si="371"/>
        <v>1433.1009174311928</v>
      </c>
      <c r="AA437" s="581">
        <f t="shared" si="371"/>
        <v>1433.1009174311928</v>
      </c>
      <c r="AB437" s="581">
        <f t="shared" si="371"/>
        <v>1433.1009174311928</v>
      </c>
      <c r="AC437" s="581">
        <f t="shared" si="371"/>
        <v>1433.1009174311928</v>
      </c>
      <c r="AD437" s="581">
        <f t="shared" si="371"/>
        <v>1433.1009174311928</v>
      </c>
      <c r="AE437" s="581">
        <f t="shared" si="371"/>
        <v>1433.1009174311928</v>
      </c>
      <c r="AF437" s="581">
        <f t="shared" si="371"/>
        <v>1433.1009174311928</v>
      </c>
      <c r="AH437" s="571"/>
      <c r="AK437" s="531"/>
      <c r="AM437" s="594"/>
      <c r="AN437" s="535"/>
      <c r="AP437" s="549"/>
      <c r="AQ437" s="549"/>
    </row>
    <row r="438" spans="1:43" s="513" customFormat="1" ht="16.5" hidden="1" customHeight="1" outlineLevel="2">
      <c r="A438" s="584"/>
      <c r="B438" s="572" t="s">
        <v>805</v>
      </c>
      <c r="C438" s="573">
        <f t="shared" ref="C438:AF438" si="372">C422</f>
        <v>0</v>
      </c>
      <c r="D438" s="573">
        <f t="shared" si="372"/>
        <v>0</v>
      </c>
      <c r="E438" s="716">
        <f t="shared" si="372"/>
        <v>1</v>
      </c>
      <c r="F438" s="573">
        <f t="shared" si="372"/>
        <v>1</v>
      </c>
      <c r="G438" s="573">
        <f t="shared" si="372"/>
        <v>1</v>
      </c>
      <c r="H438" s="573">
        <f t="shared" si="372"/>
        <v>1</v>
      </c>
      <c r="I438" s="573">
        <f t="shared" si="372"/>
        <v>1</v>
      </c>
      <c r="J438" s="573">
        <f t="shared" si="372"/>
        <v>1</v>
      </c>
      <c r="K438" s="573">
        <f t="shared" si="372"/>
        <v>1</v>
      </c>
      <c r="L438" s="573">
        <f t="shared" si="372"/>
        <v>1</v>
      </c>
      <c r="M438" s="573">
        <f t="shared" si="372"/>
        <v>1</v>
      </c>
      <c r="N438" s="573">
        <f t="shared" si="372"/>
        <v>1</v>
      </c>
      <c r="O438" s="573">
        <f t="shared" si="372"/>
        <v>1</v>
      </c>
      <c r="P438" s="573">
        <f t="shared" si="372"/>
        <v>1</v>
      </c>
      <c r="Q438" s="573">
        <f t="shared" si="372"/>
        <v>1</v>
      </c>
      <c r="R438" s="573">
        <f t="shared" si="372"/>
        <v>1</v>
      </c>
      <c r="S438" s="573">
        <f t="shared" si="372"/>
        <v>1</v>
      </c>
      <c r="T438" s="573">
        <f t="shared" si="372"/>
        <v>1</v>
      </c>
      <c r="U438" s="573">
        <f t="shared" si="372"/>
        <v>1</v>
      </c>
      <c r="V438" s="573">
        <f t="shared" si="372"/>
        <v>1</v>
      </c>
      <c r="W438" s="573">
        <f t="shared" si="372"/>
        <v>1</v>
      </c>
      <c r="X438" s="573">
        <f t="shared" si="372"/>
        <v>1</v>
      </c>
      <c r="Y438" s="573">
        <f t="shared" si="372"/>
        <v>1</v>
      </c>
      <c r="Z438" s="573">
        <f t="shared" si="372"/>
        <v>1</v>
      </c>
      <c r="AA438" s="573">
        <f t="shared" si="372"/>
        <v>1</v>
      </c>
      <c r="AB438" s="573">
        <f t="shared" si="372"/>
        <v>1</v>
      </c>
      <c r="AC438" s="573">
        <f t="shared" si="372"/>
        <v>1</v>
      </c>
      <c r="AD438" s="573">
        <f t="shared" si="372"/>
        <v>1</v>
      </c>
      <c r="AE438" s="573">
        <f t="shared" si="372"/>
        <v>1</v>
      </c>
      <c r="AF438" s="573">
        <f t="shared" si="372"/>
        <v>1</v>
      </c>
      <c r="AH438" s="538"/>
      <c r="AK438" s="531"/>
      <c r="AM438" s="539"/>
      <c r="AN438" s="535"/>
      <c r="AP438" s="540"/>
      <c r="AQ438" s="540"/>
    </row>
    <row r="439" spans="1:43" s="513" customFormat="1" ht="16.5" hidden="1" customHeight="1" outlineLevel="2">
      <c r="A439" s="584"/>
      <c r="B439" s="572" t="s">
        <v>895</v>
      </c>
      <c r="C439" s="574">
        <f t="shared" ref="C439:AF439" si="373">C432</f>
        <v>0</v>
      </c>
      <c r="D439" s="574">
        <f t="shared" si="373"/>
        <v>0</v>
      </c>
      <c r="E439" s="574">
        <f t="shared" si="373"/>
        <v>1040</v>
      </c>
      <c r="F439" s="574">
        <f t="shared" si="373"/>
        <v>1040</v>
      </c>
      <c r="G439" s="574">
        <f t="shared" si="373"/>
        <v>1040</v>
      </c>
      <c r="H439" s="574">
        <f t="shared" si="373"/>
        <v>1040</v>
      </c>
      <c r="I439" s="574">
        <f t="shared" si="373"/>
        <v>1040</v>
      </c>
      <c r="J439" s="574">
        <f t="shared" si="373"/>
        <v>1040</v>
      </c>
      <c r="K439" s="574">
        <f t="shared" si="373"/>
        <v>1040</v>
      </c>
      <c r="L439" s="574">
        <f t="shared" si="373"/>
        <v>1040</v>
      </c>
      <c r="M439" s="574">
        <f t="shared" si="373"/>
        <v>1040</v>
      </c>
      <c r="N439" s="574">
        <f t="shared" si="373"/>
        <v>1040</v>
      </c>
      <c r="O439" s="574">
        <f t="shared" si="373"/>
        <v>1040</v>
      </c>
      <c r="P439" s="574">
        <f t="shared" si="373"/>
        <v>1040</v>
      </c>
      <c r="Q439" s="574">
        <f t="shared" si="373"/>
        <v>1040</v>
      </c>
      <c r="R439" s="574">
        <f t="shared" si="373"/>
        <v>1040</v>
      </c>
      <c r="S439" s="574">
        <f t="shared" si="373"/>
        <v>1040</v>
      </c>
      <c r="T439" s="574">
        <f t="shared" si="373"/>
        <v>1040</v>
      </c>
      <c r="U439" s="574">
        <f t="shared" si="373"/>
        <v>1040</v>
      </c>
      <c r="V439" s="574">
        <f t="shared" si="373"/>
        <v>1040</v>
      </c>
      <c r="W439" s="574">
        <f t="shared" si="373"/>
        <v>1040</v>
      </c>
      <c r="X439" s="574">
        <f t="shared" si="373"/>
        <v>1040</v>
      </c>
      <c r="Y439" s="574">
        <f t="shared" si="373"/>
        <v>1040</v>
      </c>
      <c r="Z439" s="574">
        <f t="shared" si="373"/>
        <v>1040</v>
      </c>
      <c r="AA439" s="574">
        <f t="shared" si="373"/>
        <v>1040</v>
      </c>
      <c r="AB439" s="574">
        <f t="shared" si="373"/>
        <v>1040</v>
      </c>
      <c r="AC439" s="574">
        <f t="shared" si="373"/>
        <v>1040</v>
      </c>
      <c r="AD439" s="574">
        <f t="shared" si="373"/>
        <v>1040</v>
      </c>
      <c r="AE439" s="574">
        <f t="shared" si="373"/>
        <v>1040</v>
      </c>
      <c r="AF439" s="574">
        <f t="shared" si="373"/>
        <v>1040</v>
      </c>
      <c r="AH439" s="538"/>
      <c r="AK439" s="531"/>
      <c r="AM439" s="594"/>
      <c r="AN439" s="535"/>
      <c r="AP439" s="540"/>
      <c r="AQ439" s="540"/>
    </row>
    <row r="440" spans="1:43" s="513" customFormat="1" ht="16.5" hidden="1" customHeight="1" outlineLevel="2">
      <c r="A440" s="584"/>
      <c r="B440" s="572" t="s">
        <v>896</v>
      </c>
      <c r="C440" s="574">
        <v>5.45</v>
      </c>
      <c r="D440" s="574">
        <f>C440</f>
        <v>5.45</v>
      </c>
      <c r="E440" s="574">
        <f>D440</f>
        <v>5.45</v>
      </c>
      <c r="F440" s="574">
        <f t="shared" ref="F440:U441" si="374">E440</f>
        <v>5.45</v>
      </c>
      <c r="G440" s="574">
        <f t="shared" si="374"/>
        <v>5.45</v>
      </c>
      <c r="H440" s="574">
        <f t="shared" si="374"/>
        <v>5.45</v>
      </c>
      <c r="I440" s="574">
        <f t="shared" si="374"/>
        <v>5.45</v>
      </c>
      <c r="J440" s="574">
        <f t="shared" si="374"/>
        <v>5.45</v>
      </c>
      <c r="K440" s="574">
        <f t="shared" si="374"/>
        <v>5.45</v>
      </c>
      <c r="L440" s="574">
        <f t="shared" si="374"/>
        <v>5.45</v>
      </c>
      <c r="M440" s="574">
        <f t="shared" si="374"/>
        <v>5.45</v>
      </c>
      <c r="N440" s="574">
        <f t="shared" si="374"/>
        <v>5.45</v>
      </c>
      <c r="O440" s="574">
        <f t="shared" si="374"/>
        <v>5.45</v>
      </c>
      <c r="P440" s="574">
        <f t="shared" si="374"/>
        <v>5.45</v>
      </c>
      <c r="Q440" s="574">
        <f t="shared" si="374"/>
        <v>5.45</v>
      </c>
      <c r="R440" s="574">
        <f t="shared" si="374"/>
        <v>5.45</v>
      </c>
      <c r="S440" s="574">
        <f t="shared" si="374"/>
        <v>5.45</v>
      </c>
      <c r="T440" s="574">
        <f t="shared" si="374"/>
        <v>5.45</v>
      </c>
      <c r="U440" s="574">
        <f t="shared" si="374"/>
        <v>5.45</v>
      </c>
      <c r="V440" s="574">
        <f t="shared" ref="V440:AF441" si="375">U440</f>
        <v>5.45</v>
      </c>
      <c r="W440" s="574">
        <f t="shared" si="375"/>
        <v>5.45</v>
      </c>
      <c r="X440" s="574">
        <f t="shared" si="375"/>
        <v>5.45</v>
      </c>
      <c r="Y440" s="574">
        <f t="shared" si="375"/>
        <v>5.45</v>
      </c>
      <c r="Z440" s="574">
        <f t="shared" si="375"/>
        <v>5.45</v>
      </c>
      <c r="AA440" s="574">
        <f t="shared" si="375"/>
        <v>5.45</v>
      </c>
      <c r="AB440" s="574">
        <f t="shared" si="375"/>
        <v>5.45</v>
      </c>
      <c r="AC440" s="574">
        <f t="shared" si="375"/>
        <v>5.45</v>
      </c>
      <c r="AD440" s="574">
        <f t="shared" si="375"/>
        <v>5.45</v>
      </c>
      <c r="AE440" s="574">
        <f t="shared" si="375"/>
        <v>5.45</v>
      </c>
      <c r="AF440" s="574">
        <f t="shared" si="375"/>
        <v>5.45</v>
      </c>
      <c r="AH440" s="538"/>
      <c r="AK440" s="531"/>
      <c r="AM440" s="594"/>
      <c r="AN440" s="535"/>
      <c r="AP440" s="540"/>
      <c r="AQ440" s="540"/>
    </row>
    <row r="441" spans="1:43" s="513" customFormat="1" ht="16.5" hidden="1" customHeight="1" outlineLevel="2">
      <c r="A441" s="584"/>
      <c r="B441" s="572" t="s">
        <v>888</v>
      </c>
      <c r="C441" s="574">
        <f>Insumos!$E$37</f>
        <v>7.51</v>
      </c>
      <c r="D441" s="574">
        <f>C441</f>
        <v>7.51</v>
      </c>
      <c r="E441" s="574">
        <f t="shared" ref="E441" si="376">D441</f>
        <v>7.51</v>
      </c>
      <c r="F441" s="574">
        <f t="shared" si="374"/>
        <v>7.51</v>
      </c>
      <c r="G441" s="574">
        <f t="shared" si="374"/>
        <v>7.51</v>
      </c>
      <c r="H441" s="574">
        <f t="shared" si="374"/>
        <v>7.51</v>
      </c>
      <c r="I441" s="574">
        <f t="shared" si="374"/>
        <v>7.51</v>
      </c>
      <c r="J441" s="574">
        <f t="shared" si="374"/>
        <v>7.51</v>
      </c>
      <c r="K441" s="574">
        <f t="shared" si="374"/>
        <v>7.51</v>
      </c>
      <c r="L441" s="574">
        <f t="shared" si="374"/>
        <v>7.51</v>
      </c>
      <c r="M441" s="574">
        <f t="shared" si="374"/>
        <v>7.51</v>
      </c>
      <c r="N441" s="574">
        <f t="shared" si="374"/>
        <v>7.51</v>
      </c>
      <c r="O441" s="574">
        <f t="shared" si="374"/>
        <v>7.51</v>
      </c>
      <c r="P441" s="574">
        <f t="shared" si="374"/>
        <v>7.51</v>
      </c>
      <c r="Q441" s="574">
        <f t="shared" si="374"/>
        <v>7.51</v>
      </c>
      <c r="R441" s="574">
        <f t="shared" si="374"/>
        <v>7.51</v>
      </c>
      <c r="S441" s="574">
        <f t="shared" si="374"/>
        <v>7.51</v>
      </c>
      <c r="T441" s="574">
        <f t="shared" si="374"/>
        <v>7.51</v>
      </c>
      <c r="U441" s="574">
        <f t="shared" si="374"/>
        <v>7.51</v>
      </c>
      <c r="V441" s="574">
        <f t="shared" si="375"/>
        <v>7.51</v>
      </c>
      <c r="W441" s="574">
        <f t="shared" si="375"/>
        <v>7.51</v>
      </c>
      <c r="X441" s="574">
        <f t="shared" si="375"/>
        <v>7.51</v>
      </c>
      <c r="Y441" s="574">
        <f t="shared" si="375"/>
        <v>7.51</v>
      </c>
      <c r="Z441" s="574">
        <f t="shared" si="375"/>
        <v>7.51</v>
      </c>
      <c r="AA441" s="574">
        <f t="shared" si="375"/>
        <v>7.51</v>
      </c>
      <c r="AB441" s="574">
        <f t="shared" si="375"/>
        <v>7.51</v>
      </c>
      <c r="AC441" s="574">
        <f t="shared" si="375"/>
        <v>7.51</v>
      </c>
      <c r="AD441" s="574">
        <f t="shared" si="375"/>
        <v>7.51</v>
      </c>
      <c r="AE441" s="574">
        <f t="shared" si="375"/>
        <v>7.51</v>
      </c>
      <c r="AF441" s="574">
        <f t="shared" si="375"/>
        <v>7.51</v>
      </c>
      <c r="AH441" s="538"/>
      <c r="AK441" s="531"/>
      <c r="AM441" s="594"/>
      <c r="AN441" s="535"/>
      <c r="AP441" s="540"/>
      <c r="AQ441" s="540"/>
    </row>
    <row r="442" spans="1:43" s="513" customFormat="1" ht="3" hidden="1" customHeight="1" outlineLevel="2">
      <c r="A442" s="584"/>
      <c r="B442" s="572"/>
      <c r="C442" s="574"/>
      <c r="D442" s="574"/>
      <c r="E442" s="574"/>
      <c r="F442" s="574"/>
      <c r="G442" s="574"/>
      <c r="H442" s="574"/>
      <c r="I442" s="574"/>
      <c r="J442" s="574"/>
      <c r="K442" s="574"/>
      <c r="L442" s="574"/>
      <c r="M442" s="574"/>
      <c r="N442" s="574"/>
      <c r="O442" s="574"/>
      <c r="P442" s="574"/>
      <c r="Q442" s="574"/>
      <c r="R442" s="574"/>
      <c r="S442" s="574"/>
      <c r="T442" s="574"/>
      <c r="U442" s="574"/>
      <c r="V442" s="574"/>
      <c r="W442" s="574"/>
      <c r="X442" s="574"/>
      <c r="Y442" s="574"/>
      <c r="Z442" s="574"/>
      <c r="AA442" s="574"/>
      <c r="AB442" s="574"/>
      <c r="AC442" s="574"/>
      <c r="AD442" s="574"/>
      <c r="AE442" s="574"/>
      <c r="AF442" s="574"/>
      <c r="AH442" s="538"/>
      <c r="AK442" s="531"/>
      <c r="AM442" s="594"/>
      <c r="AN442" s="535"/>
      <c r="AP442" s="540"/>
      <c r="AQ442" s="540"/>
    </row>
    <row r="443" spans="1:43" s="564" customFormat="1" ht="16.5" hidden="1" customHeight="1" outlineLevel="1" collapsed="1">
      <c r="A443" s="584"/>
      <c r="B443" s="576" t="s">
        <v>897</v>
      </c>
      <c r="C443" s="577">
        <f>SUM(C444)*12/10^3</f>
        <v>0</v>
      </c>
      <c r="D443" s="577">
        <f t="shared" ref="D443:AF443" si="377">SUM(D444)*12/10^3</f>
        <v>0</v>
      </c>
      <c r="E443" s="577">
        <f t="shared" si="377"/>
        <v>0.7575360000000001</v>
      </c>
      <c r="F443" s="577">
        <f t="shared" si="377"/>
        <v>0.7575360000000001</v>
      </c>
      <c r="G443" s="577">
        <f t="shared" si="377"/>
        <v>0.7575360000000001</v>
      </c>
      <c r="H443" s="577">
        <f t="shared" si="377"/>
        <v>0.7575360000000001</v>
      </c>
      <c r="I443" s="577">
        <f t="shared" si="377"/>
        <v>0.7575360000000001</v>
      </c>
      <c r="J443" s="577">
        <f t="shared" si="377"/>
        <v>0.7575360000000001</v>
      </c>
      <c r="K443" s="577">
        <f t="shared" si="377"/>
        <v>0.7575360000000001</v>
      </c>
      <c r="L443" s="577">
        <f t="shared" si="377"/>
        <v>0.7575360000000001</v>
      </c>
      <c r="M443" s="577">
        <f t="shared" si="377"/>
        <v>0.7575360000000001</v>
      </c>
      <c r="N443" s="577">
        <f t="shared" si="377"/>
        <v>0.7575360000000001</v>
      </c>
      <c r="O443" s="577">
        <f t="shared" si="377"/>
        <v>0.7575360000000001</v>
      </c>
      <c r="P443" s="577">
        <f t="shared" si="377"/>
        <v>0.7575360000000001</v>
      </c>
      <c r="Q443" s="577">
        <f t="shared" si="377"/>
        <v>0.7575360000000001</v>
      </c>
      <c r="R443" s="577">
        <f t="shared" si="377"/>
        <v>0.7575360000000001</v>
      </c>
      <c r="S443" s="577">
        <f t="shared" si="377"/>
        <v>0.7575360000000001</v>
      </c>
      <c r="T443" s="577">
        <f t="shared" si="377"/>
        <v>0.7575360000000001</v>
      </c>
      <c r="U443" s="577">
        <f t="shared" si="377"/>
        <v>0.7575360000000001</v>
      </c>
      <c r="V443" s="577">
        <f t="shared" si="377"/>
        <v>0.7575360000000001</v>
      </c>
      <c r="W443" s="577">
        <f t="shared" si="377"/>
        <v>0.7575360000000001</v>
      </c>
      <c r="X443" s="577">
        <f t="shared" si="377"/>
        <v>0.7575360000000001</v>
      </c>
      <c r="Y443" s="577">
        <f t="shared" si="377"/>
        <v>0.7575360000000001</v>
      </c>
      <c r="Z443" s="577">
        <f t="shared" si="377"/>
        <v>0.7575360000000001</v>
      </c>
      <c r="AA443" s="577">
        <f t="shared" si="377"/>
        <v>0.7575360000000001</v>
      </c>
      <c r="AB443" s="577">
        <f t="shared" si="377"/>
        <v>0.7575360000000001</v>
      </c>
      <c r="AC443" s="577">
        <f t="shared" si="377"/>
        <v>0.7575360000000001</v>
      </c>
      <c r="AD443" s="577">
        <f t="shared" si="377"/>
        <v>0.7575360000000001</v>
      </c>
      <c r="AE443" s="577">
        <f t="shared" si="377"/>
        <v>0.7575360000000001</v>
      </c>
      <c r="AF443" s="577">
        <f t="shared" si="377"/>
        <v>0.7575360000000001</v>
      </c>
      <c r="AH443" s="578">
        <f>SUM(C443:AF443)</f>
        <v>21.211008000000014</v>
      </c>
      <c r="AK443" s="531"/>
      <c r="AM443" s="594"/>
      <c r="AN443" s="535"/>
      <c r="AP443" s="568"/>
      <c r="AQ443" s="568"/>
    </row>
    <row r="444" spans="1:43" s="546" customFormat="1" ht="16.5" hidden="1" customHeight="1" outlineLevel="2">
      <c r="A444" s="584"/>
      <c r="B444" s="569" t="s">
        <v>817</v>
      </c>
      <c r="C444" s="581">
        <f>C446*C447*C445</f>
        <v>0</v>
      </c>
      <c r="D444" s="581">
        <f t="shared" ref="D444:AF444" si="378">D446*D447*D445</f>
        <v>0</v>
      </c>
      <c r="E444" s="581">
        <f>E446*E447*E445</f>
        <v>63.128</v>
      </c>
      <c r="F444" s="581">
        <f t="shared" si="378"/>
        <v>63.128</v>
      </c>
      <c r="G444" s="581">
        <f t="shared" si="378"/>
        <v>63.128</v>
      </c>
      <c r="H444" s="581">
        <f t="shared" si="378"/>
        <v>63.128</v>
      </c>
      <c r="I444" s="581">
        <f t="shared" si="378"/>
        <v>63.128</v>
      </c>
      <c r="J444" s="581">
        <f t="shared" si="378"/>
        <v>63.128</v>
      </c>
      <c r="K444" s="581">
        <f t="shared" si="378"/>
        <v>63.128</v>
      </c>
      <c r="L444" s="581">
        <f t="shared" si="378"/>
        <v>63.128</v>
      </c>
      <c r="M444" s="581">
        <f t="shared" si="378"/>
        <v>63.128</v>
      </c>
      <c r="N444" s="581">
        <f t="shared" si="378"/>
        <v>63.128</v>
      </c>
      <c r="O444" s="581">
        <f t="shared" si="378"/>
        <v>63.128</v>
      </c>
      <c r="P444" s="581">
        <f t="shared" si="378"/>
        <v>63.128</v>
      </c>
      <c r="Q444" s="581">
        <f t="shared" si="378"/>
        <v>63.128</v>
      </c>
      <c r="R444" s="581">
        <f t="shared" si="378"/>
        <v>63.128</v>
      </c>
      <c r="S444" s="581">
        <f t="shared" si="378"/>
        <v>63.128</v>
      </c>
      <c r="T444" s="581">
        <f t="shared" si="378"/>
        <v>63.128</v>
      </c>
      <c r="U444" s="581">
        <f t="shared" si="378"/>
        <v>63.128</v>
      </c>
      <c r="V444" s="581">
        <f t="shared" si="378"/>
        <v>63.128</v>
      </c>
      <c r="W444" s="581">
        <f t="shared" si="378"/>
        <v>63.128</v>
      </c>
      <c r="X444" s="581">
        <f t="shared" si="378"/>
        <v>63.128</v>
      </c>
      <c r="Y444" s="581">
        <f t="shared" si="378"/>
        <v>63.128</v>
      </c>
      <c r="Z444" s="581">
        <f t="shared" si="378"/>
        <v>63.128</v>
      </c>
      <c r="AA444" s="581">
        <f t="shared" si="378"/>
        <v>63.128</v>
      </c>
      <c r="AB444" s="581">
        <f t="shared" si="378"/>
        <v>63.128</v>
      </c>
      <c r="AC444" s="581">
        <f t="shared" si="378"/>
        <v>63.128</v>
      </c>
      <c r="AD444" s="581">
        <f t="shared" si="378"/>
        <v>63.128</v>
      </c>
      <c r="AE444" s="581">
        <f t="shared" si="378"/>
        <v>63.128</v>
      </c>
      <c r="AF444" s="581">
        <f t="shared" si="378"/>
        <v>63.128</v>
      </c>
      <c r="AH444" s="571"/>
      <c r="AK444" s="531"/>
      <c r="AM444" s="594"/>
      <c r="AN444" s="535"/>
      <c r="AP444" s="549"/>
      <c r="AQ444" s="549"/>
    </row>
    <row r="445" spans="1:43" s="513" customFormat="1" ht="16.5" hidden="1" customHeight="1" outlineLevel="2">
      <c r="A445" s="584"/>
      <c r="B445" s="572" t="s">
        <v>805</v>
      </c>
      <c r="C445" s="573">
        <f>C422</f>
        <v>0</v>
      </c>
      <c r="D445" s="573">
        <f>D422</f>
        <v>0</v>
      </c>
      <c r="E445" s="716">
        <v>1</v>
      </c>
      <c r="F445" s="573">
        <v>1</v>
      </c>
      <c r="G445" s="573">
        <v>1</v>
      </c>
      <c r="H445" s="573">
        <v>1</v>
      </c>
      <c r="I445" s="573">
        <v>1</v>
      </c>
      <c r="J445" s="573">
        <v>1</v>
      </c>
      <c r="K445" s="573">
        <v>1</v>
      </c>
      <c r="L445" s="573">
        <v>1</v>
      </c>
      <c r="M445" s="573">
        <v>1</v>
      </c>
      <c r="N445" s="573">
        <v>1</v>
      </c>
      <c r="O445" s="573">
        <v>1</v>
      </c>
      <c r="P445" s="573">
        <v>1</v>
      </c>
      <c r="Q445" s="573">
        <v>1</v>
      </c>
      <c r="R445" s="573">
        <v>1</v>
      </c>
      <c r="S445" s="573">
        <v>1</v>
      </c>
      <c r="T445" s="573">
        <v>1</v>
      </c>
      <c r="U445" s="573">
        <v>1</v>
      </c>
      <c r="V445" s="573">
        <v>1</v>
      </c>
      <c r="W445" s="573">
        <v>1</v>
      </c>
      <c r="X445" s="573">
        <v>1</v>
      </c>
      <c r="Y445" s="573">
        <v>1</v>
      </c>
      <c r="Z445" s="573">
        <v>1</v>
      </c>
      <c r="AA445" s="573">
        <v>1</v>
      </c>
      <c r="AB445" s="573">
        <v>1</v>
      </c>
      <c r="AC445" s="573">
        <v>1</v>
      </c>
      <c r="AD445" s="573">
        <v>1</v>
      </c>
      <c r="AE445" s="573">
        <v>1</v>
      </c>
      <c r="AF445" s="573">
        <v>1</v>
      </c>
      <c r="AH445" s="538"/>
      <c r="AK445" s="531"/>
      <c r="AM445" s="539"/>
      <c r="AN445" s="535"/>
      <c r="AP445" s="540"/>
      <c r="AQ445" s="540"/>
    </row>
    <row r="446" spans="1:43" s="513" customFormat="1" ht="16.5" hidden="1" customHeight="1" outlineLevel="2">
      <c r="A446" s="584"/>
      <c r="B446" s="596" t="s">
        <v>895</v>
      </c>
      <c r="C446" s="574">
        <f t="shared" ref="C446:AF446" si="379">C432</f>
        <v>0</v>
      </c>
      <c r="D446" s="574">
        <f t="shared" si="379"/>
        <v>0</v>
      </c>
      <c r="E446" s="574">
        <f t="shared" si="379"/>
        <v>1040</v>
      </c>
      <c r="F446" s="574">
        <f t="shared" si="379"/>
        <v>1040</v>
      </c>
      <c r="G446" s="574">
        <f t="shared" si="379"/>
        <v>1040</v>
      </c>
      <c r="H446" s="574">
        <f t="shared" si="379"/>
        <v>1040</v>
      </c>
      <c r="I446" s="574">
        <f t="shared" si="379"/>
        <v>1040</v>
      </c>
      <c r="J446" s="574">
        <f t="shared" si="379"/>
        <v>1040</v>
      </c>
      <c r="K446" s="574">
        <f t="shared" si="379"/>
        <v>1040</v>
      </c>
      <c r="L446" s="574">
        <f t="shared" si="379"/>
        <v>1040</v>
      </c>
      <c r="M446" s="574">
        <f t="shared" si="379"/>
        <v>1040</v>
      </c>
      <c r="N446" s="574">
        <f t="shared" si="379"/>
        <v>1040</v>
      </c>
      <c r="O446" s="574">
        <f t="shared" si="379"/>
        <v>1040</v>
      </c>
      <c r="P446" s="574">
        <f t="shared" si="379"/>
        <v>1040</v>
      </c>
      <c r="Q446" s="574">
        <f t="shared" si="379"/>
        <v>1040</v>
      </c>
      <c r="R446" s="574">
        <f t="shared" si="379"/>
        <v>1040</v>
      </c>
      <c r="S446" s="574">
        <f t="shared" si="379"/>
        <v>1040</v>
      </c>
      <c r="T446" s="574">
        <f t="shared" si="379"/>
        <v>1040</v>
      </c>
      <c r="U446" s="574">
        <f t="shared" si="379"/>
        <v>1040</v>
      </c>
      <c r="V446" s="574">
        <f t="shared" si="379"/>
        <v>1040</v>
      </c>
      <c r="W446" s="574">
        <f t="shared" si="379"/>
        <v>1040</v>
      </c>
      <c r="X446" s="574">
        <f t="shared" si="379"/>
        <v>1040</v>
      </c>
      <c r="Y446" s="574">
        <f t="shared" si="379"/>
        <v>1040</v>
      </c>
      <c r="Z446" s="574">
        <f t="shared" si="379"/>
        <v>1040</v>
      </c>
      <c r="AA446" s="574">
        <f t="shared" si="379"/>
        <v>1040</v>
      </c>
      <c r="AB446" s="574">
        <f t="shared" si="379"/>
        <v>1040</v>
      </c>
      <c r="AC446" s="574">
        <f t="shared" si="379"/>
        <v>1040</v>
      </c>
      <c r="AD446" s="574">
        <f t="shared" si="379"/>
        <v>1040</v>
      </c>
      <c r="AE446" s="574">
        <f t="shared" si="379"/>
        <v>1040</v>
      </c>
      <c r="AF446" s="574">
        <f t="shared" si="379"/>
        <v>1040</v>
      </c>
      <c r="AH446" s="538"/>
      <c r="AK446" s="531"/>
      <c r="AM446" s="594"/>
      <c r="AN446" s="535"/>
      <c r="AP446" s="540"/>
      <c r="AQ446" s="540"/>
    </row>
    <row r="447" spans="1:43" s="513" customFormat="1" ht="16.5" hidden="1" customHeight="1" outlineLevel="2">
      <c r="A447" s="584"/>
      <c r="B447" s="596" t="s">
        <v>898</v>
      </c>
      <c r="C447" s="597">
        <v>6.0699999999999997E-2</v>
      </c>
      <c r="D447" s="597">
        <f>C447</f>
        <v>6.0699999999999997E-2</v>
      </c>
      <c r="E447" s="597">
        <f t="shared" ref="E447:AF447" si="380">D447</f>
        <v>6.0699999999999997E-2</v>
      </c>
      <c r="F447" s="597">
        <f t="shared" si="380"/>
        <v>6.0699999999999997E-2</v>
      </c>
      <c r="G447" s="597">
        <f t="shared" si="380"/>
        <v>6.0699999999999997E-2</v>
      </c>
      <c r="H447" s="597">
        <f t="shared" si="380"/>
        <v>6.0699999999999997E-2</v>
      </c>
      <c r="I447" s="597">
        <f t="shared" si="380"/>
        <v>6.0699999999999997E-2</v>
      </c>
      <c r="J447" s="597">
        <f t="shared" si="380"/>
        <v>6.0699999999999997E-2</v>
      </c>
      <c r="K447" s="597">
        <f t="shared" si="380"/>
        <v>6.0699999999999997E-2</v>
      </c>
      <c r="L447" s="597">
        <f t="shared" si="380"/>
        <v>6.0699999999999997E-2</v>
      </c>
      <c r="M447" s="597">
        <f t="shared" si="380"/>
        <v>6.0699999999999997E-2</v>
      </c>
      <c r="N447" s="597">
        <f t="shared" si="380"/>
        <v>6.0699999999999997E-2</v>
      </c>
      <c r="O447" s="597">
        <f t="shared" si="380"/>
        <v>6.0699999999999997E-2</v>
      </c>
      <c r="P447" s="597">
        <f t="shared" si="380"/>
        <v>6.0699999999999997E-2</v>
      </c>
      <c r="Q447" s="597">
        <f t="shared" si="380"/>
        <v>6.0699999999999997E-2</v>
      </c>
      <c r="R447" s="597">
        <f t="shared" si="380"/>
        <v>6.0699999999999997E-2</v>
      </c>
      <c r="S447" s="597">
        <f t="shared" si="380"/>
        <v>6.0699999999999997E-2</v>
      </c>
      <c r="T447" s="597">
        <f t="shared" si="380"/>
        <v>6.0699999999999997E-2</v>
      </c>
      <c r="U447" s="597">
        <f t="shared" si="380"/>
        <v>6.0699999999999997E-2</v>
      </c>
      <c r="V447" s="597">
        <f t="shared" si="380"/>
        <v>6.0699999999999997E-2</v>
      </c>
      <c r="W447" s="597">
        <f t="shared" si="380"/>
        <v>6.0699999999999997E-2</v>
      </c>
      <c r="X447" s="597">
        <f t="shared" si="380"/>
        <v>6.0699999999999997E-2</v>
      </c>
      <c r="Y447" s="597">
        <f t="shared" si="380"/>
        <v>6.0699999999999997E-2</v>
      </c>
      <c r="Z447" s="597">
        <f t="shared" si="380"/>
        <v>6.0699999999999997E-2</v>
      </c>
      <c r="AA447" s="597">
        <f t="shared" si="380"/>
        <v>6.0699999999999997E-2</v>
      </c>
      <c r="AB447" s="597">
        <f t="shared" si="380"/>
        <v>6.0699999999999997E-2</v>
      </c>
      <c r="AC447" s="597">
        <f t="shared" si="380"/>
        <v>6.0699999999999997E-2</v>
      </c>
      <c r="AD447" s="597">
        <f t="shared" si="380"/>
        <v>6.0699999999999997E-2</v>
      </c>
      <c r="AE447" s="597">
        <f t="shared" si="380"/>
        <v>6.0699999999999997E-2</v>
      </c>
      <c r="AF447" s="597">
        <f t="shared" si="380"/>
        <v>6.0699999999999997E-2</v>
      </c>
      <c r="AH447" s="538"/>
      <c r="AK447" s="531"/>
      <c r="AM447" s="594"/>
      <c r="AN447" s="535"/>
      <c r="AP447" s="540"/>
      <c r="AQ447" s="540"/>
    </row>
    <row r="448" spans="1:43" s="513" customFormat="1" ht="3" hidden="1" customHeight="1" outlineLevel="2">
      <c r="A448" s="584"/>
      <c r="B448" s="596"/>
      <c r="C448" s="598"/>
      <c r="D448" s="598"/>
      <c r="E448" s="598"/>
      <c r="F448" s="598"/>
      <c r="G448" s="598"/>
      <c r="H448" s="598"/>
      <c r="I448" s="598"/>
      <c r="J448" s="598"/>
      <c r="K448" s="598"/>
      <c r="L448" s="598"/>
      <c r="M448" s="598"/>
      <c r="N448" s="598"/>
      <c r="O448" s="598"/>
      <c r="P448" s="598"/>
      <c r="Q448" s="598"/>
      <c r="R448" s="598"/>
      <c r="S448" s="598"/>
      <c r="T448" s="598"/>
      <c r="U448" s="598"/>
      <c r="V448" s="598"/>
      <c r="W448" s="598"/>
      <c r="X448" s="598"/>
      <c r="Y448" s="598"/>
      <c r="Z448" s="598"/>
      <c r="AA448" s="598"/>
      <c r="AB448" s="598"/>
      <c r="AC448" s="598"/>
      <c r="AD448" s="598"/>
      <c r="AE448" s="598"/>
      <c r="AF448" s="598"/>
      <c r="AH448" s="538"/>
      <c r="AK448" s="531"/>
      <c r="AM448" s="594"/>
      <c r="AN448" s="535"/>
      <c r="AP448" s="540"/>
      <c r="AQ448" s="540"/>
    </row>
    <row r="449" spans="1:43" s="564" customFormat="1" ht="16.5" hidden="1" customHeight="1" outlineLevel="1" collapsed="1">
      <c r="A449" s="584"/>
      <c r="B449" s="576" t="s">
        <v>899</v>
      </c>
      <c r="C449" s="577">
        <f>SUM(C450)*12/10^3</f>
        <v>0</v>
      </c>
      <c r="D449" s="577">
        <f t="shared" ref="D449:AF449" si="381">SUM(D450)*12/10^3</f>
        <v>0</v>
      </c>
      <c r="E449" s="577">
        <f t="shared" si="381"/>
        <v>3.8563200000000002</v>
      </c>
      <c r="F449" s="577">
        <f t="shared" si="381"/>
        <v>3.8563200000000002</v>
      </c>
      <c r="G449" s="577">
        <f t="shared" si="381"/>
        <v>3.8563200000000002</v>
      </c>
      <c r="H449" s="577">
        <f t="shared" si="381"/>
        <v>3.8563200000000002</v>
      </c>
      <c r="I449" s="577">
        <f t="shared" si="381"/>
        <v>3.8563200000000002</v>
      </c>
      <c r="J449" s="577">
        <f t="shared" si="381"/>
        <v>3.8563200000000002</v>
      </c>
      <c r="K449" s="577">
        <f t="shared" si="381"/>
        <v>3.8563200000000002</v>
      </c>
      <c r="L449" s="577">
        <f t="shared" si="381"/>
        <v>3.8563200000000002</v>
      </c>
      <c r="M449" s="577">
        <f t="shared" si="381"/>
        <v>3.8563200000000002</v>
      </c>
      <c r="N449" s="577">
        <f t="shared" si="381"/>
        <v>3.8563200000000002</v>
      </c>
      <c r="O449" s="577">
        <f t="shared" si="381"/>
        <v>3.8563200000000002</v>
      </c>
      <c r="P449" s="577">
        <f t="shared" si="381"/>
        <v>3.8563200000000002</v>
      </c>
      <c r="Q449" s="577">
        <f t="shared" si="381"/>
        <v>3.8563200000000002</v>
      </c>
      <c r="R449" s="577">
        <f t="shared" si="381"/>
        <v>3.8563200000000002</v>
      </c>
      <c r="S449" s="577">
        <f t="shared" si="381"/>
        <v>3.8563200000000002</v>
      </c>
      <c r="T449" s="577">
        <f t="shared" si="381"/>
        <v>3.8563200000000002</v>
      </c>
      <c r="U449" s="577">
        <f t="shared" si="381"/>
        <v>3.8563200000000002</v>
      </c>
      <c r="V449" s="577">
        <f t="shared" si="381"/>
        <v>3.8563200000000002</v>
      </c>
      <c r="W449" s="577">
        <f t="shared" si="381"/>
        <v>3.8563200000000002</v>
      </c>
      <c r="X449" s="577">
        <f t="shared" si="381"/>
        <v>3.8563200000000002</v>
      </c>
      <c r="Y449" s="577">
        <f t="shared" si="381"/>
        <v>3.8563200000000002</v>
      </c>
      <c r="Z449" s="577">
        <f t="shared" si="381"/>
        <v>3.8563200000000002</v>
      </c>
      <c r="AA449" s="577">
        <f t="shared" si="381"/>
        <v>3.8563200000000002</v>
      </c>
      <c r="AB449" s="577">
        <f t="shared" si="381"/>
        <v>3.8563200000000002</v>
      </c>
      <c r="AC449" s="577">
        <f t="shared" si="381"/>
        <v>3.8563200000000002</v>
      </c>
      <c r="AD449" s="577">
        <f t="shared" si="381"/>
        <v>3.8563200000000002</v>
      </c>
      <c r="AE449" s="577">
        <f t="shared" si="381"/>
        <v>3.8563200000000002</v>
      </c>
      <c r="AF449" s="577">
        <f t="shared" si="381"/>
        <v>3.8563200000000002</v>
      </c>
      <c r="AH449" s="578">
        <f>SUM(C449:AF449)</f>
        <v>107.97695999999993</v>
      </c>
      <c r="AK449" s="531"/>
      <c r="AM449" s="594"/>
      <c r="AN449" s="535"/>
      <c r="AP449" s="568"/>
      <c r="AQ449" s="568"/>
    </row>
    <row r="450" spans="1:43" s="546" customFormat="1" ht="16.5" hidden="1" customHeight="1" outlineLevel="2">
      <c r="A450" s="584"/>
      <c r="B450" s="569" t="s">
        <v>817</v>
      </c>
      <c r="C450" s="581">
        <f>C452*C453*C451</f>
        <v>0</v>
      </c>
      <c r="D450" s="581">
        <f t="shared" ref="D450" si="382">D452*D453*D451</f>
        <v>0</v>
      </c>
      <c r="E450" s="581">
        <f>E452*E453*E451</f>
        <v>321.36</v>
      </c>
      <c r="F450" s="581">
        <f t="shared" ref="F450:AF450" si="383">F452*F453*F451</f>
        <v>321.36</v>
      </c>
      <c r="G450" s="581">
        <f t="shared" si="383"/>
        <v>321.36</v>
      </c>
      <c r="H450" s="581">
        <f t="shared" si="383"/>
        <v>321.36</v>
      </c>
      <c r="I450" s="581">
        <f t="shared" si="383"/>
        <v>321.36</v>
      </c>
      <c r="J450" s="581">
        <f t="shared" si="383"/>
        <v>321.36</v>
      </c>
      <c r="K450" s="581">
        <f t="shared" si="383"/>
        <v>321.36</v>
      </c>
      <c r="L450" s="581">
        <f t="shared" si="383"/>
        <v>321.36</v>
      </c>
      <c r="M450" s="581">
        <f t="shared" si="383"/>
        <v>321.36</v>
      </c>
      <c r="N450" s="581">
        <f t="shared" si="383"/>
        <v>321.36</v>
      </c>
      <c r="O450" s="581">
        <f t="shared" si="383"/>
        <v>321.36</v>
      </c>
      <c r="P450" s="581">
        <f t="shared" si="383"/>
        <v>321.36</v>
      </c>
      <c r="Q450" s="581">
        <f t="shared" si="383"/>
        <v>321.36</v>
      </c>
      <c r="R450" s="581">
        <f t="shared" si="383"/>
        <v>321.36</v>
      </c>
      <c r="S450" s="581">
        <f t="shared" si="383"/>
        <v>321.36</v>
      </c>
      <c r="T450" s="581">
        <f t="shared" si="383"/>
        <v>321.36</v>
      </c>
      <c r="U450" s="581">
        <f t="shared" si="383"/>
        <v>321.36</v>
      </c>
      <c r="V450" s="581">
        <f t="shared" si="383"/>
        <v>321.36</v>
      </c>
      <c r="W450" s="581">
        <f t="shared" si="383"/>
        <v>321.36</v>
      </c>
      <c r="X450" s="581">
        <f t="shared" si="383"/>
        <v>321.36</v>
      </c>
      <c r="Y450" s="581">
        <f t="shared" si="383"/>
        <v>321.36</v>
      </c>
      <c r="Z450" s="581">
        <f t="shared" si="383"/>
        <v>321.36</v>
      </c>
      <c r="AA450" s="581">
        <f t="shared" si="383"/>
        <v>321.36</v>
      </c>
      <c r="AB450" s="581">
        <f t="shared" si="383"/>
        <v>321.36</v>
      </c>
      <c r="AC450" s="581">
        <f t="shared" si="383"/>
        <v>321.36</v>
      </c>
      <c r="AD450" s="581">
        <f t="shared" si="383"/>
        <v>321.36</v>
      </c>
      <c r="AE450" s="581">
        <f t="shared" si="383"/>
        <v>321.36</v>
      </c>
      <c r="AF450" s="581">
        <f t="shared" si="383"/>
        <v>321.36</v>
      </c>
      <c r="AH450" s="571"/>
      <c r="AK450" s="531"/>
      <c r="AM450" s="594"/>
      <c r="AN450" s="535"/>
      <c r="AP450" s="549"/>
      <c r="AQ450" s="549"/>
    </row>
    <row r="451" spans="1:43" s="513" customFormat="1" ht="16.5" hidden="1" customHeight="1" outlineLevel="2">
      <c r="A451" s="584"/>
      <c r="B451" s="572" t="s">
        <v>805</v>
      </c>
      <c r="C451" s="573">
        <f t="shared" ref="C451:AF451" si="384">C422</f>
        <v>0</v>
      </c>
      <c r="D451" s="573">
        <f t="shared" si="384"/>
        <v>0</v>
      </c>
      <c r="E451" s="716">
        <f t="shared" si="384"/>
        <v>1</v>
      </c>
      <c r="F451" s="573">
        <f t="shared" si="384"/>
        <v>1</v>
      </c>
      <c r="G451" s="573">
        <f t="shared" si="384"/>
        <v>1</v>
      </c>
      <c r="H451" s="573">
        <f t="shared" si="384"/>
        <v>1</v>
      </c>
      <c r="I451" s="573">
        <f t="shared" si="384"/>
        <v>1</v>
      </c>
      <c r="J451" s="573">
        <f t="shared" si="384"/>
        <v>1</v>
      </c>
      <c r="K451" s="573">
        <f t="shared" si="384"/>
        <v>1</v>
      </c>
      <c r="L451" s="573">
        <f t="shared" si="384"/>
        <v>1</v>
      </c>
      <c r="M451" s="573">
        <f t="shared" si="384"/>
        <v>1</v>
      </c>
      <c r="N451" s="573">
        <f t="shared" si="384"/>
        <v>1</v>
      </c>
      <c r="O451" s="573">
        <f t="shared" si="384"/>
        <v>1</v>
      </c>
      <c r="P451" s="573">
        <f t="shared" si="384"/>
        <v>1</v>
      </c>
      <c r="Q451" s="573">
        <f t="shared" si="384"/>
        <v>1</v>
      </c>
      <c r="R451" s="573">
        <f t="shared" si="384"/>
        <v>1</v>
      </c>
      <c r="S451" s="573">
        <f t="shared" si="384"/>
        <v>1</v>
      </c>
      <c r="T451" s="573">
        <f t="shared" si="384"/>
        <v>1</v>
      </c>
      <c r="U451" s="573">
        <f t="shared" si="384"/>
        <v>1</v>
      </c>
      <c r="V451" s="573">
        <f t="shared" si="384"/>
        <v>1</v>
      </c>
      <c r="W451" s="573">
        <f t="shared" si="384"/>
        <v>1</v>
      </c>
      <c r="X451" s="573">
        <f t="shared" si="384"/>
        <v>1</v>
      </c>
      <c r="Y451" s="573">
        <f t="shared" si="384"/>
        <v>1</v>
      </c>
      <c r="Z451" s="573">
        <f t="shared" si="384"/>
        <v>1</v>
      </c>
      <c r="AA451" s="573">
        <f t="shared" si="384"/>
        <v>1</v>
      </c>
      <c r="AB451" s="573">
        <f t="shared" si="384"/>
        <v>1</v>
      </c>
      <c r="AC451" s="573">
        <f t="shared" si="384"/>
        <v>1</v>
      </c>
      <c r="AD451" s="573">
        <f t="shared" si="384"/>
        <v>1</v>
      </c>
      <c r="AE451" s="573">
        <f t="shared" si="384"/>
        <v>1</v>
      </c>
      <c r="AF451" s="573">
        <f t="shared" si="384"/>
        <v>1</v>
      </c>
      <c r="AH451" s="538"/>
      <c r="AK451" s="531"/>
      <c r="AM451" s="539"/>
      <c r="AN451" s="535"/>
      <c r="AP451" s="540"/>
      <c r="AQ451" s="540"/>
    </row>
    <row r="452" spans="1:43" s="546" customFormat="1" ht="16.5" hidden="1" customHeight="1" outlineLevel="2">
      <c r="A452" s="584"/>
      <c r="B452" s="572" t="s">
        <v>901</v>
      </c>
      <c r="C452" s="574">
        <f t="shared" ref="C452:AF452" si="385">C432</f>
        <v>0</v>
      </c>
      <c r="D452" s="574">
        <f t="shared" si="385"/>
        <v>0</v>
      </c>
      <c r="E452" s="574">
        <f t="shared" si="385"/>
        <v>1040</v>
      </c>
      <c r="F452" s="574">
        <f t="shared" si="385"/>
        <v>1040</v>
      </c>
      <c r="G452" s="574">
        <f t="shared" si="385"/>
        <v>1040</v>
      </c>
      <c r="H452" s="574">
        <f t="shared" si="385"/>
        <v>1040</v>
      </c>
      <c r="I452" s="574">
        <f t="shared" si="385"/>
        <v>1040</v>
      </c>
      <c r="J452" s="574">
        <f t="shared" si="385"/>
        <v>1040</v>
      </c>
      <c r="K452" s="574">
        <f t="shared" si="385"/>
        <v>1040</v>
      </c>
      <c r="L452" s="574">
        <f t="shared" si="385"/>
        <v>1040</v>
      </c>
      <c r="M452" s="574">
        <f t="shared" si="385"/>
        <v>1040</v>
      </c>
      <c r="N452" s="574">
        <f t="shared" si="385"/>
        <v>1040</v>
      </c>
      <c r="O452" s="574">
        <f t="shared" si="385"/>
        <v>1040</v>
      </c>
      <c r="P452" s="574">
        <f t="shared" si="385"/>
        <v>1040</v>
      </c>
      <c r="Q452" s="574">
        <f t="shared" si="385"/>
        <v>1040</v>
      </c>
      <c r="R452" s="574">
        <f t="shared" si="385"/>
        <v>1040</v>
      </c>
      <c r="S452" s="574">
        <f t="shared" si="385"/>
        <v>1040</v>
      </c>
      <c r="T452" s="574">
        <f t="shared" si="385"/>
        <v>1040</v>
      </c>
      <c r="U452" s="574">
        <f t="shared" si="385"/>
        <v>1040</v>
      </c>
      <c r="V452" s="574">
        <f t="shared" si="385"/>
        <v>1040</v>
      </c>
      <c r="W452" s="574">
        <f t="shared" si="385"/>
        <v>1040</v>
      </c>
      <c r="X452" s="574">
        <f t="shared" si="385"/>
        <v>1040</v>
      </c>
      <c r="Y452" s="574">
        <f t="shared" si="385"/>
        <v>1040</v>
      </c>
      <c r="Z452" s="574">
        <f t="shared" si="385"/>
        <v>1040</v>
      </c>
      <c r="AA452" s="574">
        <f t="shared" si="385"/>
        <v>1040</v>
      </c>
      <c r="AB452" s="574">
        <f t="shared" si="385"/>
        <v>1040</v>
      </c>
      <c r="AC452" s="574">
        <f t="shared" si="385"/>
        <v>1040</v>
      </c>
      <c r="AD452" s="574">
        <f t="shared" si="385"/>
        <v>1040</v>
      </c>
      <c r="AE452" s="574">
        <f t="shared" si="385"/>
        <v>1040</v>
      </c>
      <c r="AF452" s="574">
        <f t="shared" si="385"/>
        <v>1040</v>
      </c>
      <c r="AH452" s="571"/>
      <c r="AK452" s="531"/>
      <c r="AM452" s="594"/>
      <c r="AN452" s="535"/>
      <c r="AP452" s="549"/>
      <c r="AQ452" s="549"/>
    </row>
    <row r="453" spans="1:43" s="546" customFormat="1" ht="16.5" hidden="1" customHeight="1" outlineLevel="2">
      <c r="A453" s="584"/>
      <c r="B453" s="572" t="s">
        <v>902</v>
      </c>
      <c r="C453" s="602">
        <f>((C454*C455)+(C456*C457))/C$70</f>
        <v>0.309</v>
      </c>
      <c r="D453" s="602">
        <f t="shared" ref="D453:AF453" si="386">((D454*D455)+(D456*D457))/D$70</f>
        <v>0.309</v>
      </c>
      <c r="E453" s="602">
        <f t="shared" si="386"/>
        <v>0.309</v>
      </c>
      <c r="F453" s="602">
        <f t="shared" si="386"/>
        <v>0.309</v>
      </c>
      <c r="G453" s="602">
        <f t="shared" si="386"/>
        <v>0.309</v>
      </c>
      <c r="H453" s="602">
        <f t="shared" si="386"/>
        <v>0.309</v>
      </c>
      <c r="I453" s="602">
        <f t="shared" si="386"/>
        <v>0.309</v>
      </c>
      <c r="J453" s="602">
        <f t="shared" si="386"/>
        <v>0.309</v>
      </c>
      <c r="K453" s="602">
        <f t="shared" si="386"/>
        <v>0.309</v>
      </c>
      <c r="L453" s="602">
        <f t="shared" si="386"/>
        <v>0.309</v>
      </c>
      <c r="M453" s="602">
        <f t="shared" si="386"/>
        <v>0.309</v>
      </c>
      <c r="N453" s="602">
        <f t="shared" si="386"/>
        <v>0.309</v>
      </c>
      <c r="O453" s="602">
        <f t="shared" si="386"/>
        <v>0.309</v>
      </c>
      <c r="P453" s="602">
        <f t="shared" si="386"/>
        <v>0.309</v>
      </c>
      <c r="Q453" s="602">
        <f t="shared" si="386"/>
        <v>0.309</v>
      </c>
      <c r="R453" s="602">
        <f t="shared" si="386"/>
        <v>0.309</v>
      </c>
      <c r="S453" s="602">
        <f t="shared" si="386"/>
        <v>0.309</v>
      </c>
      <c r="T453" s="602">
        <f t="shared" si="386"/>
        <v>0.309</v>
      </c>
      <c r="U453" s="602">
        <f t="shared" si="386"/>
        <v>0.309</v>
      </c>
      <c r="V453" s="602">
        <f t="shared" si="386"/>
        <v>0.309</v>
      </c>
      <c r="W453" s="602">
        <f t="shared" si="386"/>
        <v>0.309</v>
      </c>
      <c r="X453" s="602">
        <f t="shared" si="386"/>
        <v>0.309</v>
      </c>
      <c r="Y453" s="602">
        <f t="shared" si="386"/>
        <v>0.309</v>
      </c>
      <c r="Z453" s="602">
        <f t="shared" si="386"/>
        <v>0.309</v>
      </c>
      <c r="AA453" s="602">
        <f t="shared" si="386"/>
        <v>0.309</v>
      </c>
      <c r="AB453" s="602">
        <f t="shared" si="386"/>
        <v>0.309</v>
      </c>
      <c r="AC453" s="602">
        <f t="shared" si="386"/>
        <v>0.309</v>
      </c>
      <c r="AD453" s="602">
        <f t="shared" si="386"/>
        <v>0.309</v>
      </c>
      <c r="AE453" s="602">
        <f t="shared" si="386"/>
        <v>0.309</v>
      </c>
      <c r="AF453" s="602">
        <f t="shared" si="386"/>
        <v>0.309</v>
      </c>
      <c r="AH453" s="571"/>
      <c r="AK453" s="531"/>
      <c r="AM453" s="594"/>
      <c r="AN453" s="535"/>
      <c r="AP453" s="549"/>
      <c r="AQ453" s="549"/>
    </row>
    <row r="454" spans="1:43" s="513" customFormat="1" ht="16.5" hidden="1" customHeight="1" outlineLevel="2">
      <c r="A454" s="584"/>
      <c r="B454" s="596" t="s">
        <v>907</v>
      </c>
      <c r="C454" s="366">
        <v>6</v>
      </c>
      <c r="D454" s="366">
        <f>C454</f>
        <v>6</v>
      </c>
      <c r="E454" s="366">
        <f t="shared" ref="E454:T457" si="387">D454</f>
        <v>6</v>
      </c>
      <c r="F454" s="366">
        <f t="shared" si="387"/>
        <v>6</v>
      </c>
      <c r="G454" s="366">
        <f t="shared" si="387"/>
        <v>6</v>
      </c>
      <c r="H454" s="366">
        <f t="shared" si="387"/>
        <v>6</v>
      </c>
      <c r="I454" s="366">
        <f t="shared" si="387"/>
        <v>6</v>
      </c>
      <c r="J454" s="366">
        <f t="shared" si="387"/>
        <v>6</v>
      </c>
      <c r="K454" s="366">
        <f t="shared" si="387"/>
        <v>6</v>
      </c>
      <c r="L454" s="366">
        <f t="shared" si="387"/>
        <v>6</v>
      </c>
      <c r="M454" s="366">
        <f t="shared" si="387"/>
        <v>6</v>
      </c>
      <c r="N454" s="366">
        <f t="shared" si="387"/>
        <v>6</v>
      </c>
      <c r="O454" s="366">
        <f t="shared" si="387"/>
        <v>6</v>
      </c>
      <c r="P454" s="366">
        <f t="shared" si="387"/>
        <v>6</v>
      </c>
      <c r="Q454" s="366">
        <f t="shared" si="387"/>
        <v>6</v>
      </c>
      <c r="R454" s="366">
        <f t="shared" si="387"/>
        <v>6</v>
      </c>
      <c r="S454" s="366">
        <f t="shared" si="387"/>
        <v>6</v>
      </c>
      <c r="T454" s="366">
        <f t="shared" si="387"/>
        <v>6</v>
      </c>
      <c r="U454" s="366">
        <f t="shared" ref="U454:AF457" si="388">T454</f>
        <v>6</v>
      </c>
      <c r="V454" s="366">
        <f t="shared" si="388"/>
        <v>6</v>
      </c>
      <c r="W454" s="366">
        <f t="shared" si="388"/>
        <v>6</v>
      </c>
      <c r="X454" s="366">
        <f t="shared" si="388"/>
        <v>6</v>
      </c>
      <c r="Y454" s="366">
        <f t="shared" si="388"/>
        <v>6</v>
      </c>
      <c r="Z454" s="366">
        <f t="shared" si="388"/>
        <v>6</v>
      </c>
      <c r="AA454" s="366">
        <f t="shared" si="388"/>
        <v>6</v>
      </c>
      <c r="AB454" s="366">
        <f t="shared" si="388"/>
        <v>6</v>
      </c>
      <c r="AC454" s="366">
        <f t="shared" si="388"/>
        <v>6</v>
      </c>
      <c r="AD454" s="366">
        <f t="shared" si="388"/>
        <v>6</v>
      </c>
      <c r="AE454" s="366">
        <f t="shared" si="388"/>
        <v>6</v>
      </c>
      <c r="AF454" s="366">
        <f t="shared" si="388"/>
        <v>6</v>
      </c>
      <c r="AH454" s="538"/>
      <c r="AK454" s="531"/>
      <c r="AM454" s="594"/>
      <c r="AN454" s="535"/>
      <c r="AP454" s="540"/>
      <c r="AQ454" s="540"/>
    </row>
    <row r="455" spans="1:43" s="513" customFormat="1" ht="16.5" hidden="1" customHeight="1" outlineLevel="2">
      <c r="A455" s="584"/>
      <c r="B455" s="596" t="s">
        <v>904</v>
      </c>
      <c r="C455" s="857">
        <f>Insumos!$E$49</f>
        <v>2620</v>
      </c>
      <c r="D455" s="366">
        <f>C455</f>
        <v>2620</v>
      </c>
      <c r="E455" s="366">
        <f t="shared" si="387"/>
        <v>2620</v>
      </c>
      <c r="F455" s="366">
        <f t="shared" si="387"/>
        <v>2620</v>
      </c>
      <c r="G455" s="366">
        <f t="shared" si="387"/>
        <v>2620</v>
      </c>
      <c r="H455" s="366">
        <f t="shared" si="387"/>
        <v>2620</v>
      </c>
      <c r="I455" s="366">
        <f t="shared" si="387"/>
        <v>2620</v>
      </c>
      <c r="J455" s="366">
        <f t="shared" si="387"/>
        <v>2620</v>
      </c>
      <c r="K455" s="366">
        <f t="shared" si="387"/>
        <v>2620</v>
      </c>
      <c r="L455" s="366">
        <f t="shared" si="387"/>
        <v>2620</v>
      </c>
      <c r="M455" s="366">
        <f t="shared" si="387"/>
        <v>2620</v>
      </c>
      <c r="N455" s="366">
        <f t="shared" si="387"/>
        <v>2620</v>
      </c>
      <c r="O455" s="366">
        <f t="shared" si="387"/>
        <v>2620</v>
      </c>
      <c r="P455" s="366">
        <f t="shared" si="387"/>
        <v>2620</v>
      </c>
      <c r="Q455" s="366">
        <f t="shared" si="387"/>
        <v>2620</v>
      </c>
      <c r="R455" s="366">
        <f t="shared" si="387"/>
        <v>2620</v>
      </c>
      <c r="S455" s="366">
        <f t="shared" si="387"/>
        <v>2620</v>
      </c>
      <c r="T455" s="366">
        <f t="shared" si="387"/>
        <v>2620</v>
      </c>
      <c r="U455" s="366">
        <f t="shared" si="388"/>
        <v>2620</v>
      </c>
      <c r="V455" s="366">
        <f t="shared" si="388"/>
        <v>2620</v>
      </c>
      <c r="W455" s="366">
        <f t="shared" si="388"/>
        <v>2620</v>
      </c>
      <c r="X455" s="366">
        <f t="shared" si="388"/>
        <v>2620</v>
      </c>
      <c r="Y455" s="366">
        <f t="shared" si="388"/>
        <v>2620</v>
      </c>
      <c r="Z455" s="366">
        <f t="shared" si="388"/>
        <v>2620</v>
      </c>
      <c r="AA455" s="366">
        <f t="shared" si="388"/>
        <v>2620</v>
      </c>
      <c r="AB455" s="366">
        <f t="shared" si="388"/>
        <v>2620</v>
      </c>
      <c r="AC455" s="366">
        <f t="shared" si="388"/>
        <v>2620</v>
      </c>
      <c r="AD455" s="366">
        <f t="shared" si="388"/>
        <v>2620</v>
      </c>
      <c r="AE455" s="366">
        <f t="shared" si="388"/>
        <v>2620</v>
      </c>
      <c r="AF455" s="366">
        <f t="shared" si="388"/>
        <v>2620</v>
      </c>
      <c r="AH455" s="538"/>
      <c r="AK455" s="531"/>
      <c r="AM455" s="594"/>
      <c r="AN455" s="535"/>
      <c r="AP455" s="540"/>
      <c r="AQ455" s="540"/>
    </row>
    <row r="456" spans="1:43" s="513" customFormat="1" ht="16.5" hidden="1" customHeight="1" outlineLevel="2">
      <c r="A456" s="584"/>
      <c r="B456" s="596" t="s">
        <v>908</v>
      </c>
      <c r="C456" s="366">
        <f>C454*2</f>
        <v>12</v>
      </c>
      <c r="D456" s="366">
        <f>C456</f>
        <v>12</v>
      </c>
      <c r="E456" s="366">
        <f t="shared" si="387"/>
        <v>12</v>
      </c>
      <c r="F456" s="366">
        <f t="shared" si="387"/>
        <v>12</v>
      </c>
      <c r="G456" s="366">
        <f t="shared" si="387"/>
        <v>12</v>
      </c>
      <c r="H456" s="366">
        <f t="shared" si="387"/>
        <v>12</v>
      </c>
      <c r="I456" s="366">
        <f t="shared" si="387"/>
        <v>12</v>
      </c>
      <c r="J456" s="366">
        <f t="shared" si="387"/>
        <v>12</v>
      </c>
      <c r="K456" s="366">
        <f t="shared" si="387"/>
        <v>12</v>
      </c>
      <c r="L456" s="366">
        <f t="shared" si="387"/>
        <v>12</v>
      </c>
      <c r="M456" s="366">
        <f t="shared" si="387"/>
        <v>12</v>
      </c>
      <c r="N456" s="366">
        <f t="shared" si="387"/>
        <v>12</v>
      </c>
      <c r="O456" s="366">
        <f t="shared" si="387"/>
        <v>12</v>
      </c>
      <c r="P456" s="366">
        <f t="shared" si="387"/>
        <v>12</v>
      </c>
      <c r="Q456" s="366">
        <f t="shared" si="387"/>
        <v>12</v>
      </c>
      <c r="R456" s="366">
        <f t="shared" si="387"/>
        <v>12</v>
      </c>
      <c r="S456" s="366">
        <f t="shared" si="387"/>
        <v>12</v>
      </c>
      <c r="T456" s="366">
        <f t="shared" si="387"/>
        <v>12</v>
      </c>
      <c r="U456" s="366">
        <f t="shared" si="388"/>
        <v>12</v>
      </c>
      <c r="V456" s="366">
        <f t="shared" si="388"/>
        <v>12</v>
      </c>
      <c r="W456" s="366">
        <f t="shared" si="388"/>
        <v>12</v>
      </c>
      <c r="X456" s="366">
        <f t="shared" si="388"/>
        <v>12</v>
      </c>
      <c r="Y456" s="366">
        <f t="shared" si="388"/>
        <v>12</v>
      </c>
      <c r="Z456" s="366">
        <f t="shared" si="388"/>
        <v>12</v>
      </c>
      <c r="AA456" s="366">
        <f t="shared" si="388"/>
        <v>12</v>
      </c>
      <c r="AB456" s="366">
        <f t="shared" si="388"/>
        <v>12</v>
      </c>
      <c r="AC456" s="366">
        <f t="shared" si="388"/>
        <v>12</v>
      </c>
      <c r="AD456" s="366">
        <f t="shared" si="388"/>
        <v>12</v>
      </c>
      <c r="AE456" s="366">
        <f t="shared" si="388"/>
        <v>12</v>
      </c>
      <c r="AF456" s="366">
        <f t="shared" si="388"/>
        <v>12</v>
      </c>
      <c r="AH456" s="538"/>
      <c r="AK456" s="531"/>
      <c r="AM456" s="594"/>
      <c r="AN456" s="535"/>
      <c r="AP456" s="540"/>
      <c r="AQ456" s="540"/>
    </row>
    <row r="457" spans="1:43" s="513" customFormat="1" ht="16.5" hidden="1" customHeight="1" outlineLevel="2">
      <c r="A457" s="584"/>
      <c r="B457" s="596" t="s">
        <v>906</v>
      </c>
      <c r="C457" s="639">
        <f>Insumos!$E$50</f>
        <v>750</v>
      </c>
      <c r="D457" s="639">
        <f>C457</f>
        <v>750</v>
      </c>
      <c r="E457" s="639">
        <f t="shared" si="387"/>
        <v>750</v>
      </c>
      <c r="F457" s="639">
        <f t="shared" si="387"/>
        <v>750</v>
      </c>
      <c r="G457" s="639">
        <f t="shared" si="387"/>
        <v>750</v>
      </c>
      <c r="H457" s="639">
        <f t="shared" si="387"/>
        <v>750</v>
      </c>
      <c r="I457" s="639">
        <f t="shared" si="387"/>
        <v>750</v>
      </c>
      <c r="J457" s="639">
        <f t="shared" si="387"/>
        <v>750</v>
      </c>
      <c r="K457" s="639">
        <f t="shared" si="387"/>
        <v>750</v>
      </c>
      <c r="L457" s="639">
        <f t="shared" si="387"/>
        <v>750</v>
      </c>
      <c r="M457" s="639">
        <f t="shared" si="387"/>
        <v>750</v>
      </c>
      <c r="N457" s="639">
        <f t="shared" si="387"/>
        <v>750</v>
      </c>
      <c r="O457" s="639">
        <f t="shared" si="387"/>
        <v>750</v>
      </c>
      <c r="P457" s="639">
        <f t="shared" si="387"/>
        <v>750</v>
      </c>
      <c r="Q457" s="639">
        <f t="shared" si="387"/>
        <v>750</v>
      </c>
      <c r="R457" s="639">
        <f t="shared" si="387"/>
        <v>750</v>
      </c>
      <c r="S457" s="639">
        <f t="shared" si="387"/>
        <v>750</v>
      </c>
      <c r="T457" s="639">
        <f t="shared" si="387"/>
        <v>750</v>
      </c>
      <c r="U457" s="639">
        <f t="shared" si="388"/>
        <v>750</v>
      </c>
      <c r="V457" s="639">
        <f t="shared" si="388"/>
        <v>750</v>
      </c>
      <c r="W457" s="639">
        <f t="shared" si="388"/>
        <v>750</v>
      </c>
      <c r="X457" s="639">
        <f t="shared" si="388"/>
        <v>750</v>
      </c>
      <c r="Y457" s="639">
        <f t="shared" si="388"/>
        <v>750</v>
      </c>
      <c r="Z457" s="639">
        <f t="shared" si="388"/>
        <v>750</v>
      </c>
      <c r="AA457" s="639">
        <f t="shared" si="388"/>
        <v>750</v>
      </c>
      <c r="AB457" s="639">
        <f t="shared" si="388"/>
        <v>750</v>
      </c>
      <c r="AC457" s="639">
        <f t="shared" si="388"/>
        <v>750</v>
      </c>
      <c r="AD457" s="639">
        <f t="shared" si="388"/>
        <v>750</v>
      </c>
      <c r="AE457" s="639">
        <f t="shared" si="388"/>
        <v>750</v>
      </c>
      <c r="AF457" s="639">
        <f t="shared" si="388"/>
        <v>750</v>
      </c>
      <c r="AH457" s="538"/>
      <c r="AK457" s="531"/>
      <c r="AM457" s="594"/>
      <c r="AN457" s="535"/>
      <c r="AP457" s="540"/>
      <c r="AQ457" s="540"/>
    </row>
    <row r="458" spans="1:43" s="513" customFormat="1" ht="3" hidden="1" customHeight="1" outlineLevel="2">
      <c r="A458" s="584"/>
      <c r="B458" s="596"/>
      <c r="C458" s="598"/>
      <c r="D458" s="598"/>
      <c r="E458" s="598"/>
      <c r="F458" s="598"/>
      <c r="G458" s="598"/>
      <c r="H458" s="598"/>
      <c r="I458" s="598"/>
      <c r="J458" s="598"/>
      <c r="K458" s="598"/>
      <c r="L458" s="598"/>
      <c r="M458" s="598"/>
      <c r="N458" s="598"/>
      <c r="O458" s="598"/>
      <c r="P458" s="598"/>
      <c r="Q458" s="598"/>
      <c r="R458" s="598"/>
      <c r="S458" s="598"/>
      <c r="T458" s="598"/>
      <c r="U458" s="598"/>
      <c r="V458" s="598"/>
      <c r="W458" s="598"/>
      <c r="X458" s="598"/>
      <c r="Y458" s="598"/>
      <c r="Z458" s="598"/>
      <c r="AA458" s="598"/>
      <c r="AB458" s="598"/>
      <c r="AC458" s="598"/>
      <c r="AD458" s="598"/>
      <c r="AE458" s="598"/>
      <c r="AF458" s="598"/>
      <c r="AH458" s="538"/>
      <c r="AK458" s="531"/>
      <c r="AM458" s="594"/>
      <c r="AN458" s="535"/>
      <c r="AP458" s="540"/>
      <c r="AQ458" s="540"/>
    </row>
    <row r="459" spans="1:43" s="564" customFormat="1" ht="16.5" hidden="1" customHeight="1" outlineLevel="1" collapsed="1">
      <c r="A459" s="584"/>
      <c r="B459" s="576" t="s">
        <v>909</v>
      </c>
      <c r="C459" s="577">
        <f>C460*12/10^3</f>
        <v>0</v>
      </c>
      <c r="D459" s="577">
        <f t="shared" ref="D459:AF459" si="389">D460*12/10^3</f>
        <v>0</v>
      </c>
      <c r="E459" s="599">
        <f t="shared" si="389"/>
        <v>15.48</v>
      </c>
      <c r="F459" s="577">
        <f t="shared" si="389"/>
        <v>15.48</v>
      </c>
      <c r="G459" s="577">
        <f t="shared" si="389"/>
        <v>15.48</v>
      </c>
      <c r="H459" s="577">
        <f t="shared" si="389"/>
        <v>15.48</v>
      </c>
      <c r="I459" s="577">
        <f t="shared" si="389"/>
        <v>15.48</v>
      </c>
      <c r="J459" s="577">
        <f t="shared" si="389"/>
        <v>15.48</v>
      </c>
      <c r="K459" s="577">
        <f t="shared" si="389"/>
        <v>15.48</v>
      </c>
      <c r="L459" s="577">
        <f t="shared" si="389"/>
        <v>15.48</v>
      </c>
      <c r="M459" s="577">
        <f t="shared" si="389"/>
        <v>15.48</v>
      </c>
      <c r="N459" s="577">
        <f t="shared" si="389"/>
        <v>15.48</v>
      </c>
      <c r="O459" s="577">
        <f t="shared" si="389"/>
        <v>15.48</v>
      </c>
      <c r="P459" s="577">
        <f t="shared" si="389"/>
        <v>15.48</v>
      </c>
      <c r="Q459" s="577">
        <f t="shared" si="389"/>
        <v>15.48</v>
      </c>
      <c r="R459" s="577">
        <f t="shared" si="389"/>
        <v>15.48</v>
      </c>
      <c r="S459" s="577">
        <f t="shared" si="389"/>
        <v>15.48</v>
      </c>
      <c r="T459" s="577">
        <f t="shared" si="389"/>
        <v>15.48</v>
      </c>
      <c r="U459" s="577">
        <f t="shared" si="389"/>
        <v>15.48</v>
      </c>
      <c r="V459" s="577">
        <f t="shared" si="389"/>
        <v>15.48</v>
      </c>
      <c r="W459" s="577">
        <f t="shared" si="389"/>
        <v>15.48</v>
      </c>
      <c r="X459" s="577">
        <f t="shared" si="389"/>
        <v>15.48</v>
      </c>
      <c r="Y459" s="577">
        <f t="shared" si="389"/>
        <v>15.48</v>
      </c>
      <c r="Z459" s="577">
        <f t="shared" si="389"/>
        <v>15.48</v>
      </c>
      <c r="AA459" s="577">
        <f t="shared" si="389"/>
        <v>15.48</v>
      </c>
      <c r="AB459" s="577">
        <f t="shared" si="389"/>
        <v>15.48</v>
      </c>
      <c r="AC459" s="577">
        <f t="shared" si="389"/>
        <v>15.48</v>
      </c>
      <c r="AD459" s="577">
        <f t="shared" si="389"/>
        <v>15.48</v>
      </c>
      <c r="AE459" s="577">
        <f t="shared" si="389"/>
        <v>15.48</v>
      </c>
      <c r="AF459" s="577">
        <f t="shared" si="389"/>
        <v>15.48</v>
      </c>
      <c r="AH459" s="578">
        <f>SUM(C459:AF459)</f>
        <v>433.44000000000017</v>
      </c>
      <c r="AK459" s="531"/>
      <c r="AM459" s="594"/>
      <c r="AN459" s="535"/>
      <c r="AP459" s="568"/>
      <c r="AQ459" s="568"/>
    </row>
    <row r="460" spans="1:43" s="546" customFormat="1" ht="16.5" hidden="1" customHeight="1" outlineLevel="2">
      <c r="A460" s="584"/>
      <c r="B460" s="603" t="s">
        <v>910</v>
      </c>
      <c r="C460" s="581">
        <f>(C461*C462)</f>
        <v>0</v>
      </c>
      <c r="D460" s="581">
        <f t="shared" ref="D460:AG460" si="390">(D461*D462)</f>
        <v>0</v>
      </c>
      <c r="E460" s="581">
        <f t="shared" si="390"/>
        <v>1290</v>
      </c>
      <c r="F460" s="581">
        <f t="shared" si="390"/>
        <v>1290</v>
      </c>
      <c r="G460" s="581">
        <f t="shared" si="390"/>
        <v>1290</v>
      </c>
      <c r="H460" s="581">
        <f t="shared" si="390"/>
        <v>1290</v>
      </c>
      <c r="I460" s="581">
        <f t="shared" si="390"/>
        <v>1290</v>
      </c>
      <c r="J460" s="581">
        <f t="shared" si="390"/>
        <v>1290</v>
      </c>
      <c r="K460" s="581">
        <f t="shared" si="390"/>
        <v>1290</v>
      </c>
      <c r="L460" s="581">
        <f t="shared" si="390"/>
        <v>1290</v>
      </c>
      <c r="M460" s="581">
        <f t="shared" si="390"/>
        <v>1290</v>
      </c>
      <c r="N460" s="581">
        <f t="shared" si="390"/>
        <v>1290</v>
      </c>
      <c r="O460" s="581">
        <f t="shared" si="390"/>
        <v>1290</v>
      </c>
      <c r="P460" s="581">
        <f t="shared" si="390"/>
        <v>1290</v>
      </c>
      <c r="Q460" s="581">
        <f t="shared" si="390"/>
        <v>1290</v>
      </c>
      <c r="R460" s="581">
        <f t="shared" si="390"/>
        <v>1290</v>
      </c>
      <c r="S460" s="581">
        <f t="shared" si="390"/>
        <v>1290</v>
      </c>
      <c r="T460" s="581">
        <f t="shared" si="390"/>
        <v>1290</v>
      </c>
      <c r="U460" s="581">
        <f t="shared" si="390"/>
        <v>1290</v>
      </c>
      <c r="V460" s="581">
        <f t="shared" si="390"/>
        <v>1290</v>
      </c>
      <c r="W460" s="581">
        <f t="shared" si="390"/>
        <v>1290</v>
      </c>
      <c r="X460" s="581">
        <f t="shared" si="390"/>
        <v>1290</v>
      </c>
      <c r="Y460" s="581">
        <f t="shared" si="390"/>
        <v>1290</v>
      </c>
      <c r="Z460" s="581">
        <f t="shared" si="390"/>
        <v>1290</v>
      </c>
      <c r="AA460" s="581">
        <f t="shared" si="390"/>
        <v>1290</v>
      </c>
      <c r="AB460" s="581">
        <f t="shared" si="390"/>
        <v>1290</v>
      </c>
      <c r="AC460" s="581">
        <f t="shared" si="390"/>
        <v>1290</v>
      </c>
      <c r="AD460" s="581">
        <f t="shared" si="390"/>
        <v>1290</v>
      </c>
      <c r="AE460" s="581">
        <f t="shared" si="390"/>
        <v>1290</v>
      </c>
      <c r="AF460" s="581">
        <f t="shared" si="390"/>
        <v>1290</v>
      </c>
      <c r="AG460" s="581">
        <f t="shared" si="390"/>
        <v>0</v>
      </c>
      <c r="AH460" s="571"/>
      <c r="AK460" s="531"/>
      <c r="AM460" s="594"/>
      <c r="AN460" s="535"/>
      <c r="AP460" s="549"/>
      <c r="AQ460" s="549"/>
    </row>
    <row r="461" spans="1:43" s="513" customFormat="1" ht="16.5" hidden="1" customHeight="1" outlineLevel="2">
      <c r="A461" s="584"/>
      <c r="B461" s="604" t="s">
        <v>949</v>
      </c>
      <c r="C461" s="574">
        <f>C422</f>
        <v>0</v>
      </c>
      <c r="D461" s="574">
        <f>D422</f>
        <v>0</v>
      </c>
      <c r="E461" s="632">
        <f>E451</f>
        <v>1</v>
      </c>
      <c r="F461" s="632">
        <f t="shared" ref="F461:AF461" si="391">F451</f>
        <v>1</v>
      </c>
      <c r="G461" s="632">
        <f t="shared" si="391"/>
        <v>1</v>
      </c>
      <c r="H461" s="632">
        <f t="shared" si="391"/>
        <v>1</v>
      </c>
      <c r="I461" s="632">
        <f t="shared" si="391"/>
        <v>1</v>
      </c>
      <c r="J461" s="632">
        <f t="shared" si="391"/>
        <v>1</v>
      </c>
      <c r="K461" s="632">
        <f t="shared" si="391"/>
        <v>1</v>
      </c>
      <c r="L461" s="632">
        <f t="shared" si="391"/>
        <v>1</v>
      </c>
      <c r="M461" s="632">
        <f t="shared" si="391"/>
        <v>1</v>
      </c>
      <c r="N461" s="632">
        <f t="shared" si="391"/>
        <v>1</v>
      </c>
      <c r="O461" s="632">
        <f t="shared" si="391"/>
        <v>1</v>
      </c>
      <c r="P461" s="632">
        <f t="shared" si="391"/>
        <v>1</v>
      </c>
      <c r="Q461" s="632">
        <f t="shared" si="391"/>
        <v>1</v>
      </c>
      <c r="R461" s="632">
        <f t="shared" si="391"/>
        <v>1</v>
      </c>
      <c r="S461" s="632">
        <f t="shared" si="391"/>
        <v>1</v>
      </c>
      <c r="T461" s="632">
        <f t="shared" si="391"/>
        <v>1</v>
      </c>
      <c r="U461" s="632">
        <f t="shared" si="391"/>
        <v>1</v>
      </c>
      <c r="V461" s="632">
        <f t="shared" si="391"/>
        <v>1</v>
      </c>
      <c r="W461" s="632">
        <f t="shared" si="391"/>
        <v>1</v>
      </c>
      <c r="X461" s="632">
        <f t="shared" si="391"/>
        <v>1</v>
      </c>
      <c r="Y461" s="632">
        <f t="shared" si="391"/>
        <v>1</v>
      </c>
      <c r="Z461" s="632">
        <f t="shared" si="391"/>
        <v>1</v>
      </c>
      <c r="AA461" s="632">
        <f t="shared" si="391"/>
        <v>1</v>
      </c>
      <c r="AB461" s="632">
        <f t="shared" si="391"/>
        <v>1</v>
      </c>
      <c r="AC461" s="632">
        <f t="shared" si="391"/>
        <v>1</v>
      </c>
      <c r="AD461" s="632">
        <f t="shared" si="391"/>
        <v>1</v>
      </c>
      <c r="AE461" s="632">
        <f t="shared" si="391"/>
        <v>1</v>
      </c>
      <c r="AF461" s="632">
        <f t="shared" si="391"/>
        <v>1</v>
      </c>
      <c r="AH461" s="538"/>
      <c r="AK461" s="531"/>
      <c r="AM461" s="594"/>
      <c r="AN461" s="535"/>
      <c r="AP461" s="540"/>
      <c r="AQ461" s="540"/>
    </row>
    <row r="462" spans="1:43" s="513" customFormat="1" ht="16.5" hidden="1" customHeight="1" outlineLevel="2">
      <c r="A462" s="584"/>
      <c r="B462" s="604" t="s">
        <v>912</v>
      </c>
      <c r="C462" s="605">
        <f>Insumos!$E$44*4.3</f>
        <v>1290</v>
      </c>
      <c r="D462" s="605">
        <f>C462</f>
        <v>1290</v>
      </c>
      <c r="E462" s="605">
        <f t="shared" ref="E462:AF462" si="392">D462</f>
        <v>1290</v>
      </c>
      <c r="F462" s="605">
        <f t="shared" si="392"/>
        <v>1290</v>
      </c>
      <c r="G462" s="605">
        <f t="shared" si="392"/>
        <v>1290</v>
      </c>
      <c r="H462" s="605">
        <f t="shared" si="392"/>
        <v>1290</v>
      </c>
      <c r="I462" s="605">
        <f t="shared" si="392"/>
        <v>1290</v>
      </c>
      <c r="J462" s="605">
        <f t="shared" si="392"/>
        <v>1290</v>
      </c>
      <c r="K462" s="605">
        <f t="shared" si="392"/>
        <v>1290</v>
      </c>
      <c r="L462" s="605">
        <f t="shared" si="392"/>
        <v>1290</v>
      </c>
      <c r="M462" s="605">
        <f t="shared" si="392"/>
        <v>1290</v>
      </c>
      <c r="N462" s="605">
        <f t="shared" si="392"/>
        <v>1290</v>
      </c>
      <c r="O462" s="605">
        <f t="shared" si="392"/>
        <v>1290</v>
      </c>
      <c r="P462" s="605">
        <f t="shared" si="392"/>
        <v>1290</v>
      </c>
      <c r="Q462" s="605">
        <f t="shared" si="392"/>
        <v>1290</v>
      </c>
      <c r="R462" s="605">
        <f t="shared" si="392"/>
        <v>1290</v>
      </c>
      <c r="S462" s="605">
        <f t="shared" si="392"/>
        <v>1290</v>
      </c>
      <c r="T462" s="605">
        <f t="shared" si="392"/>
        <v>1290</v>
      </c>
      <c r="U462" s="605">
        <f t="shared" si="392"/>
        <v>1290</v>
      </c>
      <c r="V462" s="605">
        <f t="shared" si="392"/>
        <v>1290</v>
      </c>
      <c r="W462" s="605">
        <f t="shared" si="392"/>
        <v>1290</v>
      </c>
      <c r="X462" s="605">
        <f t="shared" si="392"/>
        <v>1290</v>
      </c>
      <c r="Y462" s="605">
        <f t="shared" si="392"/>
        <v>1290</v>
      </c>
      <c r="Z462" s="605">
        <f t="shared" si="392"/>
        <v>1290</v>
      </c>
      <c r="AA462" s="605">
        <f t="shared" si="392"/>
        <v>1290</v>
      </c>
      <c r="AB462" s="605">
        <f t="shared" si="392"/>
        <v>1290</v>
      </c>
      <c r="AC462" s="605">
        <f t="shared" si="392"/>
        <v>1290</v>
      </c>
      <c r="AD462" s="605">
        <f t="shared" si="392"/>
        <v>1290</v>
      </c>
      <c r="AE462" s="605">
        <f t="shared" si="392"/>
        <v>1290</v>
      </c>
      <c r="AF462" s="605">
        <f t="shared" si="392"/>
        <v>1290</v>
      </c>
      <c r="AH462" s="538"/>
      <c r="AK462" s="531"/>
      <c r="AM462" s="594"/>
      <c r="AN462" s="535"/>
      <c r="AP462" s="540"/>
      <c r="AQ462" s="540"/>
    </row>
    <row r="463" spans="1:43" s="513" customFormat="1" ht="3" hidden="1" customHeight="1" outlineLevel="2">
      <c r="A463" s="584"/>
      <c r="B463" s="606"/>
      <c r="C463" s="575"/>
      <c r="D463" s="575"/>
      <c r="E463" s="575"/>
      <c r="F463" s="575"/>
      <c r="G463" s="575"/>
      <c r="H463" s="575"/>
      <c r="I463" s="575"/>
      <c r="J463" s="575"/>
      <c r="K463" s="575"/>
      <c r="L463" s="575"/>
      <c r="M463" s="575"/>
      <c r="N463" s="575"/>
      <c r="O463" s="575"/>
      <c r="P463" s="575"/>
      <c r="Q463" s="575"/>
      <c r="R463" s="575"/>
      <c r="S463" s="575"/>
      <c r="T463" s="575"/>
      <c r="U463" s="575"/>
      <c r="V463" s="575"/>
      <c r="W463" s="575"/>
      <c r="X463" s="575"/>
      <c r="Y463" s="575"/>
      <c r="Z463" s="575"/>
      <c r="AA463" s="575"/>
      <c r="AB463" s="575"/>
      <c r="AC463" s="575"/>
      <c r="AD463" s="575"/>
      <c r="AE463" s="575"/>
      <c r="AF463" s="575"/>
      <c r="AH463" s="538"/>
      <c r="AK463" s="531"/>
      <c r="AM463" s="594"/>
      <c r="AN463" s="535"/>
      <c r="AP463" s="540"/>
      <c r="AQ463" s="540"/>
    </row>
    <row r="464" spans="1:43" s="564" customFormat="1" ht="16.5" hidden="1" customHeight="1" outlineLevel="1" collapsed="1">
      <c r="A464" s="584"/>
      <c r="B464" s="576" t="s">
        <v>915</v>
      </c>
      <c r="C464" s="577">
        <f>SUM(C465)*12/10^3</f>
        <v>0</v>
      </c>
      <c r="D464" s="577">
        <f t="shared" ref="D464:AF464" si="393">SUM(D465)*12/10^3</f>
        <v>0</v>
      </c>
      <c r="E464" s="577">
        <f t="shared" si="393"/>
        <v>13.123765200000001</v>
      </c>
      <c r="F464" s="577">
        <f t="shared" si="393"/>
        <v>13.123765200000001</v>
      </c>
      <c r="G464" s="577">
        <f t="shared" si="393"/>
        <v>13.123765200000001</v>
      </c>
      <c r="H464" s="577">
        <f t="shared" si="393"/>
        <v>13.123765200000001</v>
      </c>
      <c r="I464" s="577">
        <f t="shared" si="393"/>
        <v>13.123765200000001</v>
      </c>
      <c r="J464" s="577">
        <f t="shared" si="393"/>
        <v>13.123765200000001</v>
      </c>
      <c r="K464" s="577">
        <f t="shared" si="393"/>
        <v>13.123765200000001</v>
      </c>
      <c r="L464" s="577">
        <f t="shared" si="393"/>
        <v>13.123765200000001</v>
      </c>
      <c r="M464" s="577">
        <f t="shared" si="393"/>
        <v>13.123765200000001</v>
      </c>
      <c r="N464" s="577">
        <f t="shared" si="393"/>
        <v>13.123765200000001</v>
      </c>
      <c r="O464" s="577">
        <f t="shared" si="393"/>
        <v>13.123765200000001</v>
      </c>
      <c r="P464" s="577">
        <f t="shared" si="393"/>
        <v>13.123765200000001</v>
      </c>
      <c r="Q464" s="577">
        <f t="shared" si="393"/>
        <v>13.123765200000001</v>
      </c>
      <c r="R464" s="577">
        <f t="shared" si="393"/>
        <v>13.123765200000001</v>
      </c>
      <c r="S464" s="577">
        <f t="shared" si="393"/>
        <v>13.123765200000001</v>
      </c>
      <c r="T464" s="577">
        <f t="shared" si="393"/>
        <v>13.123765200000001</v>
      </c>
      <c r="U464" s="577">
        <f t="shared" si="393"/>
        <v>13.123765200000001</v>
      </c>
      <c r="V464" s="577">
        <f t="shared" si="393"/>
        <v>13.123765200000001</v>
      </c>
      <c r="W464" s="577">
        <f t="shared" si="393"/>
        <v>13.123765200000001</v>
      </c>
      <c r="X464" s="577">
        <f t="shared" si="393"/>
        <v>13.123765200000001</v>
      </c>
      <c r="Y464" s="577">
        <f t="shared" si="393"/>
        <v>13.123765200000001</v>
      </c>
      <c r="Z464" s="577">
        <f t="shared" si="393"/>
        <v>13.123765200000001</v>
      </c>
      <c r="AA464" s="577">
        <f t="shared" si="393"/>
        <v>13.123765200000001</v>
      </c>
      <c r="AB464" s="577">
        <f t="shared" si="393"/>
        <v>13.123765200000001</v>
      </c>
      <c r="AC464" s="577">
        <f t="shared" si="393"/>
        <v>13.123765200000001</v>
      </c>
      <c r="AD464" s="577">
        <f t="shared" si="393"/>
        <v>13.123765200000001</v>
      </c>
      <c r="AE464" s="577">
        <f t="shared" si="393"/>
        <v>13.123765200000001</v>
      </c>
      <c r="AF464" s="577">
        <f t="shared" si="393"/>
        <v>13.123765200000001</v>
      </c>
      <c r="AH464" s="578">
        <f>SUM(C464:AF464)</f>
        <v>367.46542559999995</v>
      </c>
      <c r="AJ464" s="579"/>
      <c r="AK464" s="531"/>
      <c r="AM464" s="594"/>
      <c r="AN464" s="535"/>
      <c r="AP464" s="568"/>
      <c r="AQ464" s="568"/>
    </row>
    <row r="465" spans="1:43" s="546" customFormat="1" ht="16.5" hidden="1" customHeight="1" outlineLevel="2">
      <c r="A465" s="584"/>
      <c r="B465" s="569" t="s">
        <v>817</v>
      </c>
      <c r="C465" s="581">
        <f>((C466*C470)*(C468+C469)/12)+((C467*C466)/12)</f>
        <v>0</v>
      </c>
      <c r="D465" s="581">
        <f t="shared" ref="D465:AF465" si="394">((D466*D470)*(D468+D469)/12)+((D467*D466)/12)</f>
        <v>0</v>
      </c>
      <c r="E465" s="581">
        <f t="shared" si="394"/>
        <v>1093.6471000000001</v>
      </c>
      <c r="F465" s="581">
        <f t="shared" si="394"/>
        <v>1093.6471000000001</v>
      </c>
      <c r="G465" s="581">
        <f t="shared" si="394"/>
        <v>1093.6471000000001</v>
      </c>
      <c r="H465" s="581">
        <f t="shared" si="394"/>
        <v>1093.6471000000001</v>
      </c>
      <c r="I465" s="581">
        <f t="shared" si="394"/>
        <v>1093.6471000000001</v>
      </c>
      <c r="J465" s="581">
        <f t="shared" si="394"/>
        <v>1093.6471000000001</v>
      </c>
      <c r="K465" s="581">
        <f t="shared" si="394"/>
        <v>1093.6471000000001</v>
      </c>
      <c r="L465" s="581">
        <f t="shared" si="394"/>
        <v>1093.6471000000001</v>
      </c>
      <c r="M465" s="581">
        <f t="shared" si="394"/>
        <v>1093.6471000000001</v>
      </c>
      <c r="N465" s="581">
        <f t="shared" si="394"/>
        <v>1093.6471000000001</v>
      </c>
      <c r="O465" s="581">
        <f t="shared" si="394"/>
        <v>1093.6471000000001</v>
      </c>
      <c r="P465" s="581">
        <f t="shared" si="394"/>
        <v>1093.6471000000001</v>
      </c>
      <c r="Q465" s="581">
        <f t="shared" si="394"/>
        <v>1093.6471000000001</v>
      </c>
      <c r="R465" s="581">
        <f t="shared" si="394"/>
        <v>1093.6471000000001</v>
      </c>
      <c r="S465" s="581">
        <f t="shared" si="394"/>
        <v>1093.6471000000001</v>
      </c>
      <c r="T465" s="581">
        <f t="shared" si="394"/>
        <v>1093.6471000000001</v>
      </c>
      <c r="U465" s="581">
        <f t="shared" si="394"/>
        <v>1093.6471000000001</v>
      </c>
      <c r="V465" s="581">
        <f t="shared" si="394"/>
        <v>1093.6471000000001</v>
      </c>
      <c r="W465" s="581">
        <f t="shared" si="394"/>
        <v>1093.6471000000001</v>
      </c>
      <c r="X465" s="581">
        <f t="shared" si="394"/>
        <v>1093.6471000000001</v>
      </c>
      <c r="Y465" s="581">
        <f t="shared" si="394"/>
        <v>1093.6471000000001</v>
      </c>
      <c r="Z465" s="581">
        <f t="shared" si="394"/>
        <v>1093.6471000000001</v>
      </c>
      <c r="AA465" s="581">
        <f t="shared" si="394"/>
        <v>1093.6471000000001</v>
      </c>
      <c r="AB465" s="581">
        <f t="shared" si="394"/>
        <v>1093.6471000000001</v>
      </c>
      <c r="AC465" s="581">
        <f t="shared" si="394"/>
        <v>1093.6471000000001</v>
      </c>
      <c r="AD465" s="581">
        <f t="shared" si="394"/>
        <v>1093.6471000000001</v>
      </c>
      <c r="AE465" s="581">
        <f t="shared" si="394"/>
        <v>1093.6471000000001</v>
      </c>
      <c r="AF465" s="581">
        <f t="shared" si="394"/>
        <v>1093.6471000000001</v>
      </c>
      <c r="AH465" s="571"/>
      <c r="AK465" s="531"/>
      <c r="AM465" s="594"/>
      <c r="AN465" s="535"/>
      <c r="AP465" s="549"/>
      <c r="AQ465" s="549"/>
    </row>
    <row r="466" spans="1:43" s="513" customFormat="1" ht="16.5" hidden="1" customHeight="1" outlineLevel="2">
      <c r="A466" s="584"/>
      <c r="B466" s="572" t="s">
        <v>805</v>
      </c>
      <c r="C466" s="573">
        <v>0</v>
      </c>
      <c r="D466" s="573">
        <v>0</v>
      </c>
      <c r="E466" s="716">
        <f>E461</f>
        <v>1</v>
      </c>
      <c r="F466" s="573">
        <f t="shared" ref="F466:U470" si="395">E466</f>
        <v>1</v>
      </c>
      <c r="G466" s="573">
        <f t="shared" si="395"/>
        <v>1</v>
      </c>
      <c r="H466" s="573">
        <f t="shared" si="395"/>
        <v>1</v>
      </c>
      <c r="I466" s="573">
        <f t="shared" si="395"/>
        <v>1</v>
      </c>
      <c r="J466" s="573">
        <f t="shared" si="395"/>
        <v>1</v>
      </c>
      <c r="K466" s="573">
        <f t="shared" si="395"/>
        <v>1</v>
      </c>
      <c r="L466" s="573">
        <f t="shared" si="395"/>
        <v>1</v>
      </c>
      <c r="M466" s="573">
        <f t="shared" si="395"/>
        <v>1</v>
      </c>
      <c r="N466" s="573">
        <f t="shared" si="395"/>
        <v>1</v>
      </c>
      <c r="O466" s="573">
        <f t="shared" si="395"/>
        <v>1</v>
      </c>
      <c r="P466" s="573">
        <f t="shared" si="395"/>
        <v>1</v>
      </c>
      <c r="Q466" s="573">
        <f t="shared" si="395"/>
        <v>1</v>
      </c>
      <c r="R466" s="573">
        <f t="shared" si="395"/>
        <v>1</v>
      </c>
      <c r="S466" s="573">
        <f t="shared" si="395"/>
        <v>1</v>
      </c>
      <c r="T466" s="573">
        <f t="shared" si="395"/>
        <v>1</v>
      </c>
      <c r="U466" s="573">
        <f t="shared" si="395"/>
        <v>1</v>
      </c>
      <c r="V466" s="573">
        <f t="shared" ref="V466:AF470" si="396">U466</f>
        <v>1</v>
      </c>
      <c r="W466" s="573">
        <f t="shared" si="396"/>
        <v>1</v>
      </c>
      <c r="X466" s="573">
        <f t="shared" si="396"/>
        <v>1</v>
      </c>
      <c r="Y466" s="573">
        <f t="shared" si="396"/>
        <v>1</v>
      </c>
      <c r="Z466" s="573">
        <f t="shared" si="396"/>
        <v>1</v>
      </c>
      <c r="AA466" s="573">
        <f t="shared" si="396"/>
        <v>1</v>
      </c>
      <c r="AB466" s="573">
        <f t="shared" si="396"/>
        <v>1</v>
      </c>
      <c r="AC466" s="573">
        <f t="shared" si="396"/>
        <v>1</v>
      </c>
      <c r="AD466" s="573">
        <f t="shared" si="396"/>
        <v>1</v>
      </c>
      <c r="AE466" s="573">
        <f t="shared" si="396"/>
        <v>1</v>
      </c>
      <c r="AF466" s="573">
        <f t="shared" si="396"/>
        <v>1</v>
      </c>
      <c r="AH466" s="538"/>
      <c r="AK466" s="531"/>
      <c r="AM466" s="539"/>
      <c r="AN466" s="535"/>
      <c r="AP466" s="540"/>
      <c r="AQ466" s="540"/>
    </row>
    <row r="467" spans="1:43" s="513" customFormat="1" ht="16.5" hidden="1" customHeight="1" outlineLevel="2">
      <c r="A467" s="584"/>
      <c r="B467" s="572" t="s">
        <v>916</v>
      </c>
      <c r="C467" s="605">
        <f>C100</f>
        <v>149.37</v>
      </c>
      <c r="D467" s="605">
        <f>C467</f>
        <v>149.37</v>
      </c>
      <c r="E467" s="605">
        <f t="shared" ref="E467:E470" si="397">D467</f>
        <v>149.37</v>
      </c>
      <c r="F467" s="605">
        <f t="shared" si="395"/>
        <v>149.37</v>
      </c>
      <c r="G467" s="605">
        <f t="shared" si="395"/>
        <v>149.37</v>
      </c>
      <c r="H467" s="605">
        <f t="shared" si="395"/>
        <v>149.37</v>
      </c>
      <c r="I467" s="605">
        <f t="shared" si="395"/>
        <v>149.37</v>
      </c>
      <c r="J467" s="605">
        <f t="shared" si="395"/>
        <v>149.37</v>
      </c>
      <c r="K467" s="605">
        <f t="shared" si="395"/>
        <v>149.37</v>
      </c>
      <c r="L467" s="605">
        <f t="shared" si="395"/>
        <v>149.37</v>
      </c>
      <c r="M467" s="605">
        <f t="shared" si="395"/>
        <v>149.37</v>
      </c>
      <c r="N467" s="605">
        <f t="shared" si="395"/>
        <v>149.37</v>
      </c>
      <c r="O467" s="605">
        <f t="shared" si="395"/>
        <v>149.37</v>
      </c>
      <c r="P467" s="605">
        <f t="shared" si="395"/>
        <v>149.37</v>
      </c>
      <c r="Q467" s="605">
        <f t="shared" si="395"/>
        <v>149.37</v>
      </c>
      <c r="R467" s="605">
        <f t="shared" si="395"/>
        <v>149.37</v>
      </c>
      <c r="S467" s="605">
        <f t="shared" si="395"/>
        <v>149.37</v>
      </c>
      <c r="T467" s="605">
        <f t="shared" si="395"/>
        <v>149.37</v>
      </c>
      <c r="U467" s="605">
        <f t="shared" si="395"/>
        <v>149.37</v>
      </c>
      <c r="V467" s="605">
        <f t="shared" si="396"/>
        <v>149.37</v>
      </c>
      <c r="W467" s="605">
        <f t="shared" si="396"/>
        <v>149.37</v>
      </c>
      <c r="X467" s="605">
        <f t="shared" si="396"/>
        <v>149.37</v>
      </c>
      <c r="Y467" s="605">
        <f t="shared" si="396"/>
        <v>149.37</v>
      </c>
      <c r="Z467" s="605">
        <f t="shared" si="396"/>
        <v>149.37</v>
      </c>
      <c r="AA467" s="605">
        <f t="shared" si="396"/>
        <v>149.37</v>
      </c>
      <c r="AB467" s="605">
        <f t="shared" si="396"/>
        <v>149.37</v>
      </c>
      <c r="AC467" s="605">
        <f t="shared" si="396"/>
        <v>149.37</v>
      </c>
      <c r="AD467" s="605">
        <f t="shared" si="396"/>
        <v>149.37</v>
      </c>
      <c r="AE467" s="605">
        <f t="shared" si="396"/>
        <v>149.37</v>
      </c>
      <c r="AF467" s="605">
        <f t="shared" si="396"/>
        <v>149.37</v>
      </c>
      <c r="AH467" s="538"/>
      <c r="AK467" s="531"/>
      <c r="AM467" s="594"/>
      <c r="AN467" s="535"/>
      <c r="AP467" s="540"/>
      <c r="AQ467" s="540"/>
    </row>
    <row r="468" spans="1:43" s="513" customFormat="1" ht="16.5" hidden="1" customHeight="1" outlineLevel="2">
      <c r="A468" s="584"/>
      <c r="B468" s="572" t="s">
        <v>917</v>
      </c>
      <c r="C468" s="186">
        <f>C101</f>
        <v>0.01</v>
      </c>
      <c r="D468" s="186">
        <f>C468</f>
        <v>0.01</v>
      </c>
      <c r="E468" s="186">
        <f t="shared" si="397"/>
        <v>0.01</v>
      </c>
      <c r="F468" s="186">
        <f t="shared" si="395"/>
        <v>0.01</v>
      </c>
      <c r="G468" s="186">
        <f t="shared" si="395"/>
        <v>0.01</v>
      </c>
      <c r="H468" s="186">
        <f t="shared" si="395"/>
        <v>0.01</v>
      </c>
      <c r="I468" s="186">
        <f t="shared" si="395"/>
        <v>0.01</v>
      </c>
      <c r="J468" s="186">
        <f t="shared" si="395"/>
        <v>0.01</v>
      </c>
      <c r="K468" s="186">
        <f t="shared" si="395"/>
        <v>0.01</v>
      </c>
      <c r="L468" s="186">
        <f t="shared" si="395"/>
        <v>0.01</v>
      </c>
      <c r="M468" s="186">
        <f t="shared" si="395"/>
        <v>0.01</v>
      </c>
      <c r="N468" s="186">
        <f t="shared" si="395"/>
        <v>0.01</v>
      </c>
      <c r="O468" s="186">
        <f t="shared" si="395"/>
        <v>0.01</v>
      </c>
      <c r="P468" s="186">
        <f t="shared" si="395"/>
        <v>0.01</v>
      </c>
      <c r="Q468" s="186">
        <f t="shared" si="395"/>
        <v>0.01</v>
      </c>
      <c r="R468" s="186">
        <f t="shared" si="395"/>
        <v>0.01</v>
      </c>
      <c r="S468" s="186">
        <f t="shared" si="395"/>
        <v>0.01</v>
      </c>
      <c r="T468" s="186">
        <f t="shared" si="395"/>
        <v>0.01</v>
      </c>
      <c r="U468" s="186">
        <f t="shared" si="395"/>
        <v>0.01</v>
      </c>
      <c r="V468" s="186">
        <f t="shared" si="396"/>
        <v>0.01</v>
      </c>
      <c r="W468" s="186">
        <f t="shared" si="396"/>
        <v>0.01</v>
      </c>
      <c r="X468" s="186">
        <f t="shared" si="396"/>
        <v>0.01</v>
      </c>
      <c r="Y468" s="186">
        <f t="shared" si="396"/>
        <v>0.01</v>
      </c>
      <c r="Z468" s="186">
        <f t="shared" si="396"/>
        <v>0.01</v>
      </c>
      <c r="AA468" s="186">
        <f t="shared" si="396"/>
        <v>0.01</v>
      </c>
      <c r="AB468" s="186">
        <f t="shared" si="396"/>
        <v>0.01</v>
      </c>
      <c r="AC468" s="186">
        <f t="shared" si="396"/>
        <v>0.01</v>
      </c>
      <c r="AD468" s="186">
        <f t="shared" si="396"/>
        <v>0.01</v>
      </c>
      <c r="AE468" s="186">
        <f t="shared" si="396"/>
        <v>0.01</v>
      </c>
      <c r="AF468" s="186">
        <f t="shared" si="396"/>
        <v>0.01</v>
      </c>
      <c r="AH468" s="538"/>
      <c r="AK468" s="531"/>
      <c r="AM468" s="594"/>
      <c r="AN468" s="535"/>
      <c r="AP468" s="540"/>
      <c r="AQ468" s="540"/>
    </row>
    <row r="469" spans="1:43" s="513" customFormat="1" ht="16.5" hidden="1" customHeight="1" outlineLevel="2">
      <c r="A469" s="584"/>
      <c r="B469" s="572" t="s">
        <v>918</v>
      </c>
      <c r="C469" s="186">
        <f>C102</f>
        <v>0.01</v>
      </c>
      <c r="D469" s="186">
        <f>C469</f>
        <v>0.01</v>
      </c>
      <c r="E469" s="186">
        <f t="shared" si="397"/>
        <v>0.01</v>
      </c>
      <c r="F469" s="186">
        <f t="shared" si="395"/>
        <v>0.01</v>
      </c>
      <c r="G469" s="186">
        <f t="shared" si="395"/>
        <v>0.01</v>
      </c>
      <c r="H469" s="186">
        <f t="shared" si="395"/>
        <v>0.01</v>
      </c>
      <c r="I469" s="186">
        <f t="shared" si="395"/>
        <v>0.01</v>
      </c>
      <c r="J469" s="186">
        <f t="shared" si="395"/>
        <v>0.01</v>
      </c>
      <c r="K469" s="186">
        <f t="shared" si="395"/>
        <v>0.01</v>
      </c>
      <c r="L469" s="186">
        <f t="shared" si="395"/>
        <v>0.01</v>
      </c>
      <c r="M469" s="186">
        <f t="shared" si="395"/>
        <v>0.01</v>
      </c>
      <c r="N469" s="186">
        <f t="shared" si="395"/>
        <v>0.01</v>
      </c>
      <c r="O469" s="186">
        <f t="shared" si="395"/>
        <v>0.01</v>
      </c>
      <c r="P469" s="186">
        <f t="shared" si="395"/>
        <v>0.01</v>
      </c>
      <c r="Q469" s="186">
        <f t="shared" si="395"/>
        <v>0.01</v>
      </c>
      <c r="R469" s="186">
        <f t="shared" si="395"/>
        <v>0.01</v>
      </c>
      <c r="S469" s="186">
        <f t="shared" si="395"/>
        <v>0.01</v>
      </c>
      <c r="T469" s="186">
        <f t="shared" si="395"/>
        <v>0.01</v>
      </c>
      <c r="U469" s="186">
        <f t="shared" si="395"/>
        <v>0.01</v>
      </c>
      <c r="V469" s="186">
        <f t="shared" si="396"/>
        <v>0.01</v>
      </c>
      <c r="W469" s="186">
        <f t="shared" si="396"/>
        <v>0.01</v>
      </c>
      <c r="X469" s="186">
        <f t="shared" si="396"/>
        <v>0.01</v>
      </c>
      <c r="Y469" s="186">
        <f t="shared" si="396"/>
        <v>0.01</v>
      </c>
      <c r="Z469" s="186">
        <f t="shared" si="396"/>
        <v>0.01</v>
      </c>
      <c r="AA469" s="186">
        <f t="shared" si="396"/>
        <v>0.01</v>
      </c>
      <c r="AB469" s="186">
        <f t="shared" si="396"/>
        <v>0.01</v>
      </c>
      <c r="AC469" s="186">
        <f t="shared" si="396"/>
        <v>0.01</v>
      </c>
      <c r="AD469" s="186">
        <f t="shared" si="396"/>
        <v>0.01</v>
      </c>
      <c r="AE469" s="186">
        <f t="shared" si="396"/>
        <v>0.01</v>
      </c>
      <c r="AF469" s="186">
        <f t="shared" si="396"/>
        <v>0.01</v>
      </c>
      <c r="AH469" s="538"/>
      <c r="AK469" s="531"/>
      <c r="AM469" s="594"/>
      <c r="AN469" s="535"/>
      <c r="AP469" s="540"/>
      <c r="AQ469" s="540"/>
    </row>
    <row r="470" spans="1:43" s="513" customFormat="1" ht="16.5" hidden="1" customHeight="1" outlineLevel="2">
      <c r="A470" s="584"/>
      <c r="B470" s="572" t="s">
        <v>919</v>
      </c>
      <c r="C470" s="605">
        <f>CAPEX!$C$48</f>
        <v>648719.76</v>
      </c>
      <c r="D470" s="605">
        <f>C470</f>
        <v>648719.76</v>
      </c>
      <c r="E470" s="605">
        <f t="shared" si="397"/>
        <v>648719.76</v>
      </c>
      <c r="F470" s="605">
        <f t="shared" si="395"/>
        <v>648719.76</v>
      </c>
      <c r="G470" s="605">
        <f t="shared" si="395"/>
        <v>648719.76</v>
      </c>
      <c r="H470" s="605">
        <f t="shared" si="395"/>
        <v>648719.76</v>
      </c>
      <c r="I470" s="605">
        <f t="shared" si="395"/>
        <v>648719.76</v>
      </c>
      <c r="J470" s="605">
        <f t="shared" si="395"/>
        <v>648719.76</v>
      </c>
      <c r="K470" s="605">
        <f t="shared" si="395"/>
        <v>648719.76</v>
      </c>
      <c r="L470" s="605">
        <f t="shared" si="395"/>
        <v>648719.76</v>
      </c>
      <c r="M470" s="605">
        <f t="shared" si="395"/>
        <v>648719.76</v>
      </c>
      <c r="N470" s="605">
        <f t="shared" si="395"/>
        <v>648719.76</v>
      </c>
      <c r="O470" s="605">
        <f t="shared" si="395"/>
        <v>648719.76</v>
      </c>
      <c r="P470" s="605">
        <f t="shared" si="395"/>
        <v>648719.76</v>
      </c>
      <c r="Q470" s="605">
        <f t="shared" si="395"/>
        <v>648719.76</v>
      </c>
      <c r="R470" s="605">
        <f t="shared" si="395"/>
        <v>648719.76</v>
      </c>
      <c r="S470" s="605">
        <f t="shared" si="395"/>
        <v>648719.76</v>
      </c>
      <c r="T470" s="605">
        <f t="shared" si="395"/>
        <v>648719.76</v>
      </c>
      <c r="U470" s="605">
        <f t="shared" si="395"/>
        <v>648719.76</v>
      </c>
      <c r="V470" s="605">
        <f t="shared" si="396"/>
        <v>648719.76</v>
      </c>
      <c r="W470" s="605">
        <f t="shared" si="396"/>
        <v>648719.76</v>
      </c>
      <c r="X470" s="605">
        <f t="shared" si="396"/>
        <v>648719.76</v>
      </c>
      <c r="Y470" s="605">
        <f t="shared" si="396"/>
        <v>648719.76</v>
      </c>
      <c r="Z470" s="605">
        <f t="shared" si="396"/>
        <v>648719.76</v>
      </c>
      <c r="AA470" s="605">
        <f t="shared" si="396"/>
        <v>648719.76</v>
      </c>
      <c r="AB470" s="605">
        <f t="shared" si="396"/>
        <v>648719.76</v>
      </c>
      <c r="AC470" s="605">
        <f t="shared" si="396"/>
        <v>648719.76</v>
      </c>
      <c r="AD470" s="605">
        <f t="shared" si="396"/>
        <v>648719.76</v>
      </c>
      <c r="AE470" s="605">
        <f t="shared" si="396"/>
        <v>648719.76</v>
      </c>
      <c r="AF470" s="605">
        <f t="shared" si="396"/>
        <v>648719.76</v>
      </c>
      <c r="AH470" s="538"/>
      <c r="AK470" s="531"/>
      <c r="AM470" s="594"/>
      <c r="AN470" s="535"/>
      <c r="AP470" s="540"/>
      <c r="AQ470" s="540"/>
    </row>
    <row r="471" spans="1:43" s="513" customFormat="1" ht="3" hidden="1" customHeight="1" outlineLevel="2">
      <c r="A471" s="584"/>
      <c r="B471" s="572"/>
      <c r="C471" s="607"/>
      <c r="D471" s="607"/>
      <c r="E471" s="607"/>
      <c r="F471" s="607"/>
      <c r="G471" s="607"/>
      <c r="H471" s="607"/>
      <c r="I471" s="607"/>
      <c r="J471" s="607"/>
      <c r="K471" s="607"/>
      <c r="L471" s="607"/>
      <c r="M471" s="607"/>
      <c r="N471" s="607"/>
      <c r="O471" s="607"/>
      <c r="P471" s="607"/>
      <c r="Q471" s="607"/>
      <c r="R471" s="607"/>
      <c r="S471" s="607"/>
      <c r="T471" s="607"/>
      <c r="U471" s="607"/>
      <c r="V471" s="607"/>
      <c r="W471" s="607"/>
      <c r="X471" s="607"/>
      <c r="Y471" s="607"/>
      <c r="Z471" s="607"/>
      <c r="AA471" s="607"/>
      <c r="AB471" s="607"/>
      <c r="AC471" s="607"/>
      <c r="AD471" s="607"/>
      <c r="AE471" s="607"/>
      <c r="AF471" s="607"/>
      <c r="AH471" s="538"/>
      <c r="AK471" s="531"/>
      <c r="AM471" s="594"/>
      <c r="AN471" s="535"/>
      <c r="AP471" s="540"/>
      <c r="AQ471" s="540"/>
    </row>
    <row r="472" spans="1:43" s="564" customFormat="1" ht="16.5" hidden="1" customHeight="1" outlineLevel="1" collapsed="1">
      <c r="A472" s="584"/>
      <c r="B472" s="576" t="s">
        <v>950</v>
      </c>
      <c r="C472" s="577">
        <f>C473*C474*12/10^3</f>
        <v>0</v>
      </c>
      <c r="D472" s="577">
        <f t="shared" ref="D472:AF472" si="398">D473*D474*12/10^3</f>
        <v>0</v>
      </c>
      <c r="E472" s="577">
        <f t="shared" si="398"/>
        <v>3.3171599999999999</v>
      </c>
      <c r="F472" s="577">
        <f t="shared" si="398"/>
        <v>3.3171599999999999</v>
      </c>
      <c r="G472" s="577">
        <f t="shared" si="398"/>
        <v>3.3171599999999999</v>
      </c>
      <c r="H472" s="577">
        <f t="shared" si="398"/>
        <v>3.3171599999999999</v>
      </c>
      <c r="I472" s="577">
        <f t="shared" si="398"/>
        <v>3.3171599999999999</v>
      </c>
      <c r="J472" s="577">
        <f t="shared" si="398"/>
        <v>3.3171599999999999</v>
      </c>
      <c r="K472" s="577">
        <f t="shared" si="398"/>
        <v>3.3171599999999999</v>
      </c>
      <c r="L472" s="577">
        <f t="shared" si="398"/>
        <v>3.3171599999999999</v>
      </c>
      <c r="M472" s="577">
        <f t="shared" si="398"/>
        <v>3.3171599999999999</v>
      </c>
      <c r="N472" s="577">
        <f t="shared" si="398"/>
        <v>3.3171599999999999</v>
      </c>
      <c r="O472" s="577">
        <f t="shared" si="398"/>
        <v>3.3171599999999999</v>
      </c>
      <c r="P472" s="577">
        <f t="shared" si="398"/>
        <v>3.3171599999999999</v>
      </c>
      <c r="Q472" s="577">
        <f t="shared" si="398"/>
        <v>3.3171599999999999</v>
      </c>
      <c r="R472" s="577">
        <f t="shared" si="398"/>
        <v>3.3171599999999999</v>
      </c>
      <c r="S472" s="577">
        <f t="shared" si="398"/>
        <v>3.3171599999999999</v>
      </c>
      <c r="T472" s="577">
        <f t="shared" si="398"/>
        <v>3.3171599999999999</v>
      </c>
      <c r="U472" s="577">
        <f t="shared" si="398"/>
        <v>3.3171599999999999</v>
      </c>
      <c r="V472" s="577">
        <f t="shared" si="398"/>
        <v>3.3171599999999999</v>
      </c>
      <c r="W472" s="577">
        <f t="shared" si="398"/>
        <v>3.3171599999999999</v>
      </c>
      <c r="X472" s="577">
        <f t="shared" si="398"/>
        <v>3.3171599999999999</v>
      </c>
      <c r="Y472" s="577">
        <f t="shared" si="398"/>
        <v>3.3171599999999999</v>
      </c>
      <c r="Z472" s="577">
        <f t="shared" si="398"/>
        <v>3.3171599999999999</v>
      </c>
      <c r="AA472" s="577">
        <f t="shared" si="398"/>
        <v>3.3171599999999999</v>
      </c>
      <c r="AB472" s="577">
        <f t="shared" si="398"/>
        <v>3.3171599999999999</v>
      </c>
      <c r="AC472" s="577">
        <f t="shared" si="398"/>
        <v>3.3171599999999999</v>
      </c>
      <c r="AD472" s="577">
        <f t="shared" si="398"/>
        <v>3.3171599999999999</v>
      </c>
      <c r="AE472" s="577">
        <f t="shared" si="398"/>
        <v>3.3171599999999999</v>
      </c>
      <c r="AF472" s="577">
        <f t="shared" si="398"/>
        <v>3.3171599999999999</v>
      </c>
      <c r="AH472" s="578">
        <f>SUM(C472:AF472)</f>
        <v>92.88048000000002</v>
      </c>
      <c r="AJ472" s="579"/>
      <c r="AK472" s="531"/>
      <c r="AM472" s="594"/>
      <c r="AN472" s="535"/>
      <c r="AP472" s="568"/>
      <c r="AQ472" s="568"/>
    </row>
    <row r="473" spans="1:43" s="513" customFormat="1" ht="16.5" hidden="1" customHeight="1" outlineLevel="2">
      <c r="A473" s="584"/>
      <c r="B473" s="551" t="s">
        <v>921</v>
      </c>
      <c r="C473" s="574">
        <f>SUM(C461)</f>
        <v>0</v>
      </c>
      <c r="D473" s="574">
        <f t="shared" ref="D473:AF473" si="399">SUM(D461)</f>
        <v>0</v>
      </c>
      <c r="E473" s="632">
        <f t="shared" si="399"/>
        <v>1</v>
      </c>
      <c r="F473" s="574">
        <f t="shared" si="399"/>
        <v>1</v>
      </c>
      <c r="G473" s="574">
        <f t="shared" si="399"/>
        <v>1</v>
      </c>
      <c r="H473" s="574">
        <f t="shared" si="399"/>
        <v>1</v>
      </c>
      <c r="I473" s="574">
        <f t="shared" si="399"/>
        <v>1</v>
      </c>
      <c r="J473" s="574">
        <f t="shared" si="399"/>
        <v>1</v>
      </c>
      <c r="K473" s="574">
        <f t="shared" si="399"/>
        <v>1</v>
      </c>
      <c r="L473" s="574">
        <f t="shared" si="399"/>
        <v>1</v>
      </c>
      <c r="M473" s="574">
        <f t="shared" si="399"/>
        <v>1</v>
      </c>
      <c r="N473" s="574">
        <f t="shared" si="399"/>
        <v>1</v>
      </c>
      <c r="O473" s="574">
        <f t="shared" si="399"/>
        <v>1</v>
      </c>
      <c r="P473" s="574">
        <f t="shared" si="399"/>
        <v>1</v>
      </c>
      <c r="Q473" s="574">
        <f t="shared" si="399"/>
        <v>1</v>
      </c>
      <c r="R473" s="574">
        <f t="shared" si="399"/>
        <v>1</v>
      </c>
      <c r="S473" s="574">
        <f t="shared" si="399"/>
        <v>1</v>
      </c>
      <c r="T473" s="574">
        <f t="shared" si="399"/>
        <v>1</v>
      </c>
      <c r="U473" s="574">
        <f t="shared" si="399"/>
        <v>1</v>
      </c>
      <c r="V473" s="574">
        <f t="shared" si="399"/>
        <v>1</v>
      </c>
      <c r="W473" s="574">
        <f t="shared" si="399"/>
        <v>1</v>
      </c>
      <c r="X473" s="574">
        <f t="shared" si="399"/>
        <v>1</v>
      </c>
      <c r="Y473" s="574">
        <f t="shared" si="399"/>
        <v>1</v>
      </c>
      <c r="Z473" s="574">
        <f t="shared" si="399"/>
        <v>1</v>
      </c>
      <c r="AA473" s="574">
        <f t="shared" si="399"/>
        <v>1</v>
      </c>
      <c r="AB473" s="574">
        <f t="shared" si="399"/>
        <v>1</v>
      </c>
      <c r="AC473" s="574">
        <f t="shared" si="399"/>
        <v>1</v>
      </c>
      <c r="AD473" s="574">
        <f t="shared" si="399"/>
        <v>1</v>
      </c>
      <c r="AE473" s="574">
        <f t="shared" si="399"/>
        <v>1</v>
      </c>
      <c r="AF473" s="574">
        <f t="shared" si="399"/>
        <v>1</v>
      </c>
      <c r="AG473" s="626"/>
      <c r="AH473" s="538"/>
      <c r="AK473" s="531"/>
      <c r="AM473" s="594"/>
      <c r="AN473" s="535"/>
      <c r="AP473" s="540"/>
      <c r="AQ473" s="540"/>
    </row>
    <row r="474" spans="1:43" s="513" customFormat="1" ht="16.5" hidden="1" customHeight="1" outlineLevel="2">
      <c r="A474" s="584"/>
      <c r="B474" s="551" t="s">
        <v>888</v>
      </c>
      <c r="C474" s="605">
        <f>Insumos!$E$53</f>
        <v>276.43</v>
      </c>
      <c r="D474" s="605">
        <f>C474</f>
        <v>276.43</v>
      </c>
      <c r="E474" s="605">
        <f t="shared" ref="E474:AF474" si="400">D474</f>
        <v>276.43</v>
      </c>
      <c r="F474" s="605">
        <f t="shared" si="400"/>
        <v>276.43</v>
      </c>
      <c r="G474" s="605">
        <f t="shared" si="400"/>
        <v>276.43</v>
      </c>
      <c r="H474" s="605">
        <f t="shared" si="400"/>
        <v>276.43</v>
      </c>
      <c r="I474" s="605">
        <f t="shared" si="400"/>
        <v>276.43</v>
      </c>
      <c r="J474" s="605">
        <f t="shared" si="400"/>
        <v>276.43</v>
      </c>
      <c r="K474" s="605">
        <f t="shared" si="400"/>
        <v>276.43</v>
      </c>
      <c r="L474" s="605">
        <f t="shared" si="400"/>
        <v>276.43</v>
      </c>
      <c r="M474" s="605">
        <f t="shared" si="400"/>
        <v>276.43</v>
      </c>
      <c r="N474" s="605">
        <f t="shared" si="400"/>
        <v>276.43</v>
      </c>
      <c r="O474" s="605">
        <f t="shared" si="400"/>
        <v>276.43</v>
      </c>
      <c r="P474" s="605">
        <f t="shared" si="400"/>
        <v>276.43</v>
      </c>
      <c r="Q474" s="605">
        <f t="shared" si="400"/>
        <v>276.43</v>
      </c>
      <c r="R474" s="605">
        <f t="shared" si="400"/>
        <v>276.43</v>
      </c>
      <c r="S474" s="605">
        <f t="shared" si="400"/>
        <v>276.43</v>
      </c>
      <c r="T474" s="605">
        <f t="shared" si="400"/>
        <v>276.43</v>
      </c>
      <c r="U474" s="605">
        <f t="shared" si="400"/>
        <v>276.43</v>
      </c>
      <c r="V474" s="605">
        <f t="shared" si="400"/>
        <v>276.43</v>
      </c>
      <c r="W474" s="605">
        <f t="shared" si="400"/>
        <v>276.43</v>
      </c>
      <c r="X474" s="605">
        <f t="shared" si="400"/>
        <v>276.43</v>
      </c>
      <c r="Y474" s="605">
        <f t="shared" si="400"/>
        <v>276.43</v>
      </c>
      <c r="Z474" s="605">
        <f t="shared" si="400"/>
        <v>276.43</v>
      </c>
      <c r="AA474" s="605">
        <f t="shared" si="400"/>
        <v>276.43</v>
      </c>
      <c r="AB474" s="605">
        <f t="shared" si="400"/>
        <v>276.43</v>
      </c>
      <c r="AC474" s="605">
        <f t="shared" si="400"/>
        <v>276.43</v>
      </c>
      <c r="AD474" s="605">
        <f t="shared" si="400"/>
        <v>276.43</v>
      </c>
      <c r="AE474" s="605">
        <f t="shared" si="400"/>
        <v>276.43</v>
      </c>
      <c r="AF474" s="605">
        <f t="shared" si="400"/>
        <v>276.43</v>
      </c>
      <c r="AH474" s="538"/>
      <c r="AK474" s="531"/>
      <c r="AM474" s="594"/>
      <c r="AN474" s="535"/>
      <c r="AP474" s="540"/>
      <c r="AQ474" s="540"/>
    </row>
    <row r="475" spans="1:43" ht="3" hidden="1" customHeight="1" outlineLevel="2">
      <c r="A475" s="584"/>
      <c r="B475" s="609"/>
      <c r="C475" s="611"/>
      <c r="D475" s="611"/>
      <c r="E475" s="610"/>
      <c r="F475" s="610"/>
      <c r="G475" s="610"/>
      <c r="H475" s="610"/>
      <c r="I475" s="610"/>
      <c r="J475" s="610"/>
      <c r="K475" s="610"/>
      <c r="L475" s="610"/>
      <c r="M475" s="610"/>
      <c r="N475" s="610"/>
      <c r="O475" s="610"/>
      <c r="P475" s="610"/>
      <c r="Q475" s="610"/>
      <c r="R475" s="610"/>
      <c r="S475" s="610"/>
      <c r="T475" s="610"/>
      <c r="U475" s="610"/>
      <c r="V475" s="610"/>
      <c r="W475" s="610"/>
      <c r="X475" s="610"/>
      <c r="Y475" s="610"/>
      <c r="Z475" s="610"/>
      <c r="AA475" s="610"/>
      <c r="AB475" s="610"/>
      <c r="AC475" s="610"/>
      <c r="AD475" s="610"/>
      <c r="AE475" s="610"/>
      <c r="AF475" s="610"/>
      <c r="AH475" s="593"/>
      <c r="AK475" s="531"/>
      <c r="AM475" s="594"/>
      <c r="AN475" s="535"/>
      <c r="AP475" s="535"/>
      <c r="AQ475" s="535"/>
    </row>
    <row r="476" spans="1:43" ht="3" hidden="1" customHeight="1" outlineLevel="2">
      <c r="A476" s="584"/>
      <c r="B476" s="609"/>
      <c r="C476" s="611"/>
      <c r="D476" s="611"/>
      <c r="E476" s="610"/>
      <c r="F476" s="610"/>
      <c r="G476" s="610"/>
      <c r="H476" s="610"/>
      <c r="I476" s="610"/>
      <c r="J476" s="610"/>
      <c r="K476" s="610"/>
      <c r="L476" s="610"/>
      <c r="M476" s="610"/>
      <c r="N476" s="610"/>
      <c r="O476" s="610"/>
      <c r="P476" s="610"/>
      <c r="Q476" s="610"/>
      <c r="R476" s="610"/>
      <c r="S476" s="610"/>
      <c r="T476" s="610"/>
      <c r="U476" s="610"/>
      <c r="V476" s="610"/>
      <c r="W476" s="610"/>
      <c r="X476" s="610"/>
      <c r="Y476" s="610"/>
      <c r="Z476" s="610"/>
      <c r="AA476" s="610"/>
      <c r="AB476" s="610"/>
      <c r="AC476" s="610"/>
      <c r="AD476" s="610"/>
      <c r="AE476" s="610"/>
      <c r="AF476" s="610"/>
      <c r="AH476" s="593"/>
      <c r="AK476" s="531"/>
      <c r="AM476" s="594"/>
      <c r="AN476" s="535"/>
      <c r="AP476" s="535"/>
      <c r="AQ476" s="535"/>
    </row>
    <row r="477" spans="1:43" s="564" customFormat="1" ht="16.5" hidden="1" customHeight="1" outlineLevel="1" collapsed="1">
      <c r="A477" s="584"/>
      <c r="B477" s="576" t="s">
        <v>926</v>
      </c>
      <c r="C477" s="577">
        <f>SUM(C478,C485)*12/10^3</f>
        <v>0</v>
      </c>
      <c r="D477" s="577">
        <f t="shared" ref="D477:AF477" si="401">SUM(D478,D485)*12/10^3</f>
        <v>0</v>
      </c>
      <c r="E477" s="577">
        <f t="shared" si="401"/>
        <v>34.370399999999997</v>
      </c>
      <c r="F477" s="577">
        <f t="shared" si="401"/>
        <v>34.370399999999997</v>
      </c>
      <c r="G477" s="577">
        <f t="shared" si="401"/>
        <v>34.370399999999997</v>
      </c>
      <c r="H477" s="577">
        <f t="shared" si="401"/>
        <v>34.370399999999997</v>
      </c>
      <c r="I477" s="577">
        <f t="shared" si="401"/>
        <v>34.370399999999997</v>
      </c>
      <c r="J477" s="577">
        <f t="shared" si="401"/>
        <v>34.370399999999997</v>
      </c>
      <c r="K477" s="577">
        <f t="shared" si="401"/>
        <v>34.370399999999997</v>
      </c>
      <c r="L477" s="577">
        <f t="shared" si="401"/>
        <v>34.370399999999997</v>
      </c>
      <c r="M477" s="577">
        <f t="shared" si="401"/>
        <v>34.370399999999997</v>
      </c>
      <c r="N477" s="577">
        <f t="shared" si="401"/>
        <v>34.370399999999997</v>
      </c>
      <c r="O477" s="577">
        <f t="shared" si="401"/>
        <v>34.370399999999997</v>
      </c>
      <c r="P477" s="577">
        <f t="shared" si="401"/>
        <v>34.370399999999997</v>
      </c>
      <c r="Q477" s="577">
        <f t="shared" si="401"/>
        <v>34.370399999999997</v>
      </c>
      <c r="R477" s="577">
        <f t="shared" si="401"/>
        <v>34.370399999999997</v>
      </c>
      <c r="S477" s="577">
        <f t="shared" si="401"/>
        <v>34.370399999999997</v>
      </c>
      <c r="T477" s="577">
        <f t="shared" si="401"/>
        <v>34.370399999999997</v>
      </c>
      <c r="U477" s="577">
        <f t="shared" si="401"/>
        <v>34.370399999999997</v>
      </c>
      <c r="V477" s="577">
        <f t="shared" si="401"/>
        <v>34.370399999999997</v>
      </c>
      <c r="W477" s="577">
        <f t="shared" si="401"/>
        <v>34.370399999999997</v>
      </c>
      <c r="X477" s="577">
        <f t="shared" si="401"/>
        <v>34.370399999999997</v>
      </c>
      <c r="Y477" s="577">
        <f t="shared" si="401"/>
        <v>34.370399999999997</v>
      </c>
      <c r="Z477" s="577">
        <f t="shared" si="401"/>
        <v>34.370399999999997</v>
      </c>
      <c r="AA477" s="577">
        <f t="shared" si="401"/>
        <v>34.370399999999997</v>
      </c>
      <c r="AB477" s="577">
        <f t="shared" si="401"/>
        <v>34.370399999999997</v>
      </c>
      <c r="AC477" s="577">
        <f t="shared" si="401"/>
        <v>34.370399999999997</v>
      </c>
      <c r="AD477" s="577">
        <f t="shared" si="401"/>
        <v>34.370399999999997</v>
      </c>
      <c r="AE477" s="577">
        <f t="shared" si="401"/>
        <v>34.370399999999997</v>
      </c>
      <c r="AF477" s="577">
        <f t="shared" si="401"/>
        <v>34.370399999999997</v>
      </c>
      <c r="AH477" s="578">
        <f>SUM(C477:AF477)</f>
        <v>962.37120000000027</v>
      </c>
      <c r="AJ477" s="579"/>
      <c r="AK477" s="531"/>
      <c r="AM477" s="594"/>
      <c r="AN477" s="535"/>
      <c r="AP477" s="568"/>
      <c r="AQ477" s="568"/>
    </row>
    <row r="478" spans="1:43" s="546" customFormat="1" ht="16.5" hidden="1" customHeight="1" outlineLevel="2">
      <c r="A478" s="584"/>
      <c r="B478" s="569" t="s">
        <v>927</v>
      </c>
      <c r="C478" s="581">
        <f>C479*(C480+C482+C483+C484)</f>
        <v>0</v>
      </c>
      <c r="D478" s="581">
        <f t="shared" ref="D478:AF478" si="402">D479*(D480+D482+D483+D484)</f>
        <v>0</v>
      </c>
      <c r="E478" s="581">
        <f>E479*(E480+E482+E483+E484)</f>
        <v>2864.2</v>
      </c>
      <c r="F478" s="581">
        <f t="shared" si="402"/>
        <v>2864.2</v>
      </c>
      <c r="G478" s="581">
        <f t="shared" si="402"/>
        <v>2864.2</v>
      </c>
      <c r="H478" s="581">
        <f t="shared" si="402"/>
        <v>2864.2</v>
      </c>
      <c r="I478" s="581">
        <f t="shared" si="402"/>
        <v>2864.2</v>
      </c>
      <c r="J478" s="581">
        <f t="shared" si="402"/>
        <v>2864.2</v>
      </c>
      <c r="K478" s="581">
        <f t="shared" si="402"/>
        <v>2864.2</v>
      </c>
      <c r="L478" s="581">
        <f t="shared" si="402"/>
        <v>2864.2</v>
      </c>
      <c r="M478" s="581">
        <f t="shared" si="402"/>
        <v>2864.2</v>
      </c>
      <c r="N478" s="581">
        <f t="shared" si="402"/>
        <v>2864.2</v>
      </c>
      <c r="O478" s="581">
        <f t="shared" si="402"/>
        <v>2864.2</v>
      </c>
      <c r="P478" s="581">
        <f t="shared" si="402"/>
        <v>2864.2</v>
      </c>
      <c r="Q478" s="581">
        <f t="shared" si="402"/>
        <v>2864.2</v>
      </c>
      <c r="R478" s="581">
        <f t="shared" si="402"/>
        <v>2864.2</v>
      </c>
      <c r="S478" s="581">
        <f t="shared" si="402"/>
        <v>2864.2</v>
      </c>
      <c r="T478" s="581">
        <f t="shared" si="402"/>
        <v>2864.2</v>
      </c>
      <c r="U478" s="581">
        <f t="shared" si="402"/>
        <v>2864.2</v>
      </c>
      <c r="V478" s="581">
        <f t="shared" si="402"/>
        <v>2864.2</v>
      </c>
      <c r="W478" s="581">
        <f t="shared" si="402"/>
        <v>2864.2</v>
      </c>
      <c r="X478" s="581">
        <f t="shared" si="402"/>
        <v>2864.2</v>
      </c>
      <c r="Y478" s="581">
        <f t="shared" si="402"/>
        <v>2864.2</v>
      </c>
      <c r="Z478" s="581">
        <f t="shared" si="402"/>
        <v>2864.2</v>
      </c>
      <c r="AA478" s="581">
        <f t="shared" si="402"/>
        <v>2864.2</v>
      </c>
      <c r="AB478" s="581">
        <f t="shared" si="402"/>
        <v>2864.2</v>
      </c>
      <c r="AC478" s="581">
        <f t="shared" si="402"/>
        <v>2864.2</v>
      </c>
      <c r="AD478" s="581">
        <f t="shared" si="402"/>
        <v>2864.2</v>
      </c>
      <c r="AE478" s="581">
        <f t="shared" si="402"/>
        <v>2864.2</v>
      </c>
      <c r="AF478" s="581">
        <f t="shared" si="402"/>
        <v>2864.2</v>
      </c>
      <c r="AH478" s="571"/>
      <c r="AK478" s="531"/>
      <c r="AM478" s="594"/>
      <c r="AN478" s="535"/>
      <c r="AP478" s="549"/>
      <c r="AQ478" s="549"/>
    </row>
    <row r="479" spans="1:43" s="513" customFormat="1" ht="16.5" hidden="1" customHeight="1" outlineLevel="2">
      <c r="A479" s="584"/>
      <c r="B479" s="572" t="s">
        <v>805</v>
      </c>
      <c r="C479" s="553">
        <v>0</v>
      </c>
      <c r="D479" s="553">
        <v>0</v>
      </c>
      <c r="E479" s="554">
        <v>1</v>
      </c>
      <c r="F479" s="553">
        <v>1</v>
      </c>
      <c r="G479" s="553">
        <v>1</v>
      </c>
      <c r="H479" s="553">
        <v>1</v>
      </c>
      <c r="I479" s="553">
        <v>1</v>
      </c>
      <c r="J479" s="553">
        <v>1</v>
      </c>
      <c r="K479" s="553">
        <v>1</v>
      </c>
      <c r="L479" s="553">
        <v>1</v>
      </c>
      <c r="M479" s="553">
        <v>1</v>
      </c>
      <c r="N479" s="553">
        <v>1</v>
      </c>
      <c r="O479" s="553">
        <v>1</v>
      </c>
      <c r="P479" s="553">
        <v>1</v>
      </c>
      <c r="Q479" s="553">
        <v>1</v>
      </c>
      <c r="R479" s="553">
        <v>1</v>
      </c>
      <c r="S479" s="553">
        <v>1</v>
      </c>
      <c r="T479" s="553">
        <v>1</v>
      </c>
      <c r="U479" s="553">
        <v>1</v>
      </c>
      <c r="V479" s="553">
        <v>1</v>
      </c>
      <c r="W479" s="553">
        <v>1</v>
      </c>
      <c r="X479" s="553">
        <v>1</v>
      </c>
      <c r="Y479" s="553">
        <v>1</v>
      </c>
      <c r="Z479" s="553">
        <v>1</v>
      </c>
      <c r="AA479" s="553">
        <v>1</v>
      </c>
      <c r="AB479" s="553">
        <v>1</v>
      </c>
      <c r="AC479" s="553">
        <v>1</v>
      </c>
      <c r="AD479" s="553">
        <v>1</v>
      </c>
      <c r="AE479" s="553">
        <v>1</v>
      </c>
      <c r="AF479" s="553">
        <v>1</v>
      </c>
      <c r="AH479" s="538"/>
      <c r="AK479" s="531"/>
      <c r="AM479" s="594"/>
      <c r="AN479" s="535"/>
      <c r="AP479" s="540"/>
      <c r="AQ479" s="540"/>
    </row>
    <row r="480" spans="1:43" s="513" customFormat="1" ht="16.5" hidden="1" customHeight="1" outlineLevel="2">
      <c r="A480" s="584"/>
      <c r="B480" s="572" t="s">
        <v>928</v>
      </c>
      <c r="C480" s="632">
        <f>'Sal._benef.'!$D$23</f>
        <v>2540</v>
      </c>
      <c r="D480" s="574">
        <f>C480</f>
        <v>2540</v>
      </c>
      <c r="E480" s="574">
        <f t="shared" ref="E480:T484" si="403">D480</f>
        <v>2540</v>
      </c>
      <c r="F480" s="574">
        <f t="shared" si="403"/>
        <v>2540</v>
      </c>
      <c r="G480" s="574">
        <f t="shared" si="403"/>
        <v>2540</v>
      </c>
      <c r="H480" s="574">
        <f t="shared" si="403"/>
        <v>2540</v>
      </c>
      <c r="I480" s="574">
        <f t="shared" si="403"/>
        <v>2540</v>
      </c>
      <c r="J480" s="574">
        <f t="shared" si="403"/>
        <v>2540</v>
      </c>
      <c r="K480" s="574">
        <f t="shared" si="403"/>
        <v>2540</v>
      </c>
      <c r="L480" s="574">
        <f t="shared" si="403"/>
        <v>2540</v>
      </c>
      <c r="M480" s="574">
        <f t="shared" si="403"/>
        <v>2540</v>
      </c>
      <c r="N480" s="574">
        <f t="shared" si="403"/>
        <v>2540</v>
      </c>
      <c r="O480" s="574">
        <f t="shared" si="403"/>
        <v>2540</v>
      </c>
      <c r="P480" s="574">
        <f t="shared" si="403"/>
        <v>2540</v>
      </c>
      <c r="Q480" s="574">
        <f t="shared" si="403"/>
        <v>2540</v>
      </c>
      <c r="R480" s="574">
        <f t="shared" si="403"/>
        <v>2540</v>
      </c>
      <c r="S480" s="574">
        <f t="shared" si="403"/>
        <v>2540</v>
      </c>
      <c r="T480" s="574">
        <f t="shared" si="403"/>
        <v>2540</v>
      </c>
      <c r="U480" s="574">
        <f t="shared" ref="U480:AF484" si="404">T480</f>
        <v>2540</v>
      </c>
      <c r="V480" s="574">
        <f t="shared" si="404"/>
        <v>2540</v>
      </c>
      <c r="W480" s="574">
        <f t="shared" si="404"/>
        <v>2540</v>
      </c>
      <c r="X480" s="574">
        <f t="shared" si="404"/>
        <v>2540</v>
      </c>
      <c r="Y480" s="574">
        <f t="shared" si="404"/>
        <v>2540</v>
      </c>
      <c r="Z480" s="574">
        <f t="shared" si="404"/>
        <v>2540</v>
      </c>
      <c r="AA480" s="574">
        <f t="shared" si="404"/>
        <v>2540</v>
      </c>
      <c r="AB480" s="574">
        <f t="shared" si="404"/>
        <v>2540</v>
      </c>
      <c r="AC480" s="574">
        <f t="shared" si="404"/>
        <v>2540</v>
      </c>
      <c r="AD480" s="574">
        <f t="shared" si="404"/>
        <v>2540</v>
      </c>
      <c r="AE480" s="574">
        <f t="shared" si="404"/>
        <v>2540</v>
      </c>
      <c r="AF480" s="574">
        <f t="shared" si="404"/>
        <v>2540</v>
      </c>
      <c r="AH480" s="538"/>
      <c r="AK480" s="531"/>
      <c r="AM480" s="594"/>
      <c r="AN480" s="535"/>
      <c r="AP480" s="540"/>
      <c r="AQ480" s="540"/>
    </row>
    <row r="481" spans="1:43" s="513" customFormat="1" ht="16.5" hidden="1" customHeight="1" outlineLevel="2">
      <c r="A481" s="584"/>
      <c r="B481" s="572" t="s">
        <v>929</v>
      </c>
      <c r="C481" s="632">
        <f>'Sal._benef.'!$F$10</f>
        <v>1621</v>
      </c>
      <c r="D481" s="574">
        <f>C481</f>
        <v>1621</v>
      </c>
      <c r="E481" s="574">
        <f t="shared" si="403"/>
        <v>1621</v>
      </c>
      <c r="F481" s="574">
        <f t="shared" si="403"/>
        <v>1621</v>
      </c>
      <c r="G481" s="574">
        <f t="shared" si="403"/>
        <v>1621</v>
      </c>
      <c r="H481" s="574">
        <f t="shared" si="403"/>
        <v>1621</v>
      </c>
      <c r="I481" s="574">
        <f t="shared" si="403"/>
        <v>1621</v>
      </c>
      <c r="J481" s="574">
        <f t="shared" si="403"/>
        <v>1621</v>
      </c>
      <c r="K481" s="574">
        <f t="shared" si="403"/>
        <v>1621</v>
      </c>
      <c r="L481" s="574">
        <f t="shared" si="403"/>
        <v>1621</v>
      </c>
      <c r="M481" s="574">
        <f t="shared" si="403"/>
        <v>1621</v>
      </c>
      <c r="N481" s="574">
        <f t="shared" si="403"/>
        <v>1621</v>
      </c>
      <c r="O481" s="574">
        <f t="shared" si="403"/>
        <v>1621</v>
      </c>
      <c r="P481" s="574">
        <f t="shared" si="403"/>
        <v>1621</v>
      </c>
      <c r="Q481" s="574">
        <f t="shared" si="403"/>
        <v>1621</v>
      </c>
      <c r="R481" s="574">
        <f t="shared" si="403"/>
        <v>1621</v>
      </c>
      <c r="S481" s="574">
        <f t="shared" si="403"/>
        <v>1621</v>
      </c>
      <c r="T481" s="574">
        <f t="shared" si="403"/>
        <v>1621</v>
      </c>
      <c r="U481" s="574">
        <f t="shared" si="404"/>
        <v>1621</v>
      </c>
      <c r="V481" s="574">
        <f t="shared" si="404"/>
        <v>1621</v>
      </c>
      <c r="W481" s="574">
        <f t="shared" si="404"/>
        <v>1621</v>
      </c>
      <c r="X481" s="574">
        <f t="shared" si="404"/>
        <v>1621</v>
      </c>
      <c r="Y481" s="574">
        <f t="shared" si="404"/>
        <v>1621</v>
      </c>
      <c r="Z481" s="574">
        <f t="shared" si="404"/>
        <v>1621</v>
      </c>
      <c r="AA481" s="574">
        <f t="shared" si="404"/>
        <v>1621</v>
      </c>
      <c r="AB481" s="574">
        <f t="shared" si="404"/>
        <v>1621</v>
      </c>
      <c r="AC481" s="574">
        <f t="shared" si="404"/>
        <v>1621</v>
      </c>
      <c r="AD481" s="574">
        <f t="shared" si="404"/>
        <v>1621</v>
      </c>
      <c r="AE481" s="574">
        <f t="shared" si="404"/>
        <v>1621</v>
      </c>
      <c r="AF481" s="574">
        <f t="shared" si="404"/>
        <v>1621</v>
      </c>
      <c r="AH481" s="538"/>
      <c r="AK481" s="531"/>
      <c r="AM481" s="539"/>
      <c r="AN481" s="540"/>
      <c r="AP481" s="540"/>
      <c r="AQ481" s="540"/>
    </row>
    <row r="482" spans="1:43" s="513" customFormat="1" ht="16.5" hidden="1" customHeight="1" outlineLevel="2">
      <c r="A482" s="584"/>
      <c r="B482" s="585" t="s">
        <v>1487</v>
      </c>
      <c r="C482" s="632">
        <f>'Sal._benef.'!$F$23*'Sal._benef.'!$F$10</f>
        <v>324.20000000000005</v>
      </c>
      <c r="D482" s="574">
        <f>C482</f>
        <v>324.20000000000005</v>
      </c>
      <c r="E482" s="574">
        <f t="shared" si="403"/>
        <v>324.20000000000005</v>
      </c>
      <c r="F482" s="574">
        <f t="shared" si="403"/>
        <v>324.20000000000005</v>
      </c>
      <c r="G482" s="574">
        <f t="shared" si="403"/>
        <v>324.20000000000005</v>
      </c>
      <c r="H482" s="574">
        <f t="shared" si="403"/>
        <v>324.20000000000005</v>
      </c>
      <c r="I482" s="574">
        <f t="shared" si="403"/>
        <v>324.20000000000005</v>
      </c>
      <c r="J482" s="574">
        <f t="shared" si="403"/>
        <v>324.20000000000005</v>
      </c>
      <c r="K482" s="574">
        <f t="shared" si="403"/>
        <v>324.20000000000005</v>
      </c>
      <c r="L482" s="574">
        <f t="shared" si="403"/>
        <v>324.20000000000005</v>
      </c>
      <c r="M482" s="574">
        <f t="shared" si="403"/>
        <v>324.20000000000005</v>
      </c>
      <c r="N482" s="574">
        <f t="shared" si="403"/>
        <v>324.20000000000005</v>
      </c>
      <c r="O482" s="574">
        <f t="shared" si="403"/>
        <v>324.20000000000005</v>
      </c>
      <c r="P482" s="574">
        <f t="shared" si="403"/>
        <v>324.20000000000005</v>
      </c>
      <c r="Q482" s="574">
        <f t="shared" si="403"/>
        <v>324.20000000000005</v>
      </c>
      <c r="R482" s="574">
        <f t="shared" si="403"/>
        <v>324.20000000000005</v>
      </c>
      <c r="S482" s="574">
        <f t="shared" si="403"/>
        <v>324.20000000000005</v>
      </c>
      <c r="T482" s="574">
        <f t="shared" si="403"/>
        <v>324.20000000000005</v>
      </c>
      <c r="U482" s="574">
        <f t="shared" si="404"/>
        <v>324.20000000000005</v>
      </c>
      <c r="V482" s="574">
        <f t="shared" si="404"/>
        <v>324.20000000000005</v>
      </c>
      <c r="W482" s="574">
        <f t="shared" si="404"/>
        <v>324.20000000000005</v>
      </c>
      <c r="X482" s="574">
        <f t="shared" si="404"/>
        <v>324.20000000000005</v>
      </c>
      <c r="Y482" s="574">
        <f t="shared" si="404"/>
        <v>324.20000000000005</v>
      </c>
      <c r="Z482" s="574">
        <f t="shared" si="404"/>
        <v>324.20000000000005</v>
      </c>
      <c r="AA482" s="574">
        <f t="shared" si="404"/>
        <v>324.20000000000005</v>
      </c>
      <c r="AB482" s="574">
        <f t="shared" si="404"/>
        <v>324.20000000000005</v>
      </c>
      <c r="AC482" s="574">
        <f t="shared" si="404"/>
        <v>324.20000000000005</v>
      </c>
      <c r="AD482" s="574">
        <f t="shared" si="404"/>
        <v>324.20000000000005</v>
      </c>
      <c r="AE482" s="574">
        <f t="shared" si="404"/>
        <v>324.20000000000005</v>
      </c>
      <c r="AF482" s="574">
        <f t="shared" si="404"/>
        <v>324.20000000000005</v>
      </c>
      <c r="AH482" s="538"/>
      <c r="AK482" s="531"/>
      <c r="AM482" s="539"/>
      <c r="AN482" s="540"/>
      <c r="AP482" s="540"/>
      <c r="AQ482" s="540"/>
    </row>
    <row r="483" spans="1:43" s="513" customFormat="1" ht="16.5" hidden="1" customHeight="1" outlineLevel="2">
      <c r="A483" s="584"/>
      <c r="B483" s="585" t="s">
        <v>1486</v>
      </c>
      <c r="C483" s="574">
        <v>0</v>
      </c>
      <c r="D483" s="574">
        <f>C483</f>
        <v>0</v>
      </c>
      <c r="E483" s="574">
        <f t="shared" si="403"/>
        <v>0</v>
      </c>
      <c r="F483" s="574">
        <f t="shared" si="403"/>
        <v>0</v>
      </c>
      <c r="G483" s="574">
        <f t="shared" si="403"/>
        <v>0</v>
      </c>
      <c r="H483" s="574">
        <f t="shared" si="403"/>
        <v>0</v>
      </c>
      <c r="I483" s="574">
        <f t="shared" si="403"/>
        <v>0</v>
      </c>
      <c r="J483" s="574">
        <f t="shared" si="403"/>
        <v>0</v>
      </c>
      <c r="K483" s="574">
        <f t="shared" si="403"/>
        <v>0</v>
      </c>
      <c r="L483" s="574">
        <f t="shared" si="403"/>
        <v>0</v>
      </c>
      <c r="M483" s="574">
        <f t="shared" si="403"/>
        <v>0</v>
      </c>
      <c r="N483" s="574">
        <f t="shared" si="403"/>
        <v>0</v>
      </c>
      <c r="O483" s="574">
        <f t="shared" si="403"/>
        <v>0</v>
      </c>
      <c r="P483" s="574">
        <f t="shared" si="403"/>
        <v>0</v>
      </c>
      <c r="Q483" s="574">
        <f t="shared" si="403"/>
        <v>0</v>
      </c>
      <c r="R483" s="574">
        <f t="shared" si="403"/>
        <v>0</v>
      </c>
      <c r="S483" s="574">
        <f t="shared" si="403"/>
        <v>0</v>
      </c>
      <c r="T483" s="574">
        <f t="shared" si="403"/>
        <v>0</v>
      </c>
      <c r="U483" s="574">
        <f t="shared" si="404"/>
        <v>0</v>
      </c>
      <c r="V483" s="574">
        <f t="shared" si="404"/>
        <v>0</v>
      </c>
      <c r="W483" s="574">
        <f t="shared" si="404"/>
        <v>0</v>
      </c>
      <c r="X483" s="574">
        <f t="shared" si="404"/>
        <v>0</v>
      </c>
      <c r="Y483" s="574">
        <f t="shared" si="404"/>
        <v>0</v>
      </c>
      <c r="Z483" s="574">
        <f t="shared" si="404"/>
        <v>0</v>
      </c>
      <c r="AA483" s="574">
        <f t="shared" si="404"/>
        <v>0</v>
      </c>
      <c r="AB483" s="574">
        <f t="shared" si="404"/>
        <v>0</v>
      </c>
      <c r="AC483" s="574">
        <f t="shared" si="404"/>
        <v>0</v>
      </c>
      <c r="AD483" s="574">
        <f t="shared" si="404"/>
        <v>0</v>
      </c>
      <c r="AE483" s="574">
        <f t="shared" si="404"/>
        <v>0</v>
      </c>
      <c r="AF483" s="574">
        <f t="shared" si="404"/>
        <v>0</v>
      </c>
      <c r="AH483" s="538"/>
      <c r="AK483" s="531"/>
      <c r="AM483" s="539"/>
      <c r="AN483" s="540"/>
      <c r="AP483" s="540"/>
      <c r="AQ483" s="540"/>
    </row>
    <row r="484" spans="1:43" s="513" customFormat="1" ht="16.5" hidden="1" customHeight="1" outlineLevel="2">
      <c r="A484" s="584"/>
      <c r="B484" s="572" t="s">
        <v>1367</v>
      </c>
      <c r="C484" s="574">
        <v>0</v>
      </c>
      <c r="D484" s="574">
        <f>C484</f>
        <v>0</v>
      </c>
      <c r="E484" s="574">
        <f t="shared" si="403"/>
        <v>0</v>
      </c>
      <c r="F484" s="574">
        <f t="shared" si="403"/>
        <v>0</v>
      </c>
      <c r="G484" s="574">
        <f t="shared" si="403"/>
        <v>0</v>
      </c>
      <c r="H484" s="574">
        <f t="shared" si="403"/>
        <v>0</v>
      </c>
      <c r="I484" s="574">
        <f t="shared" si="403"/>
        <v>0</v>
      </c>
      <c r="J484" s="574">
        <f t="shared" si="403"/>
        <v>0</v>
      </c>
      <c r="K484" s="574">
        <f t="shared" si="403"/>
        <v>0</v>
      </c>
      <c r="L484" s="574">
        <f t="shared" si="403"/>
        <v>0</v>
      </c>
      <c r="M484" s="574">
        <f t="shared" si="403"/>
        <v>0</v>
      </c>
      <c r="N484" s="574">
        <f t="shared" si="403"/>
        <v>0</v>
      </c>
      <c r="O484" s="574">
        <f t="shared" si="403"/>
        <v>0</v>
      </c>
      <c r="P484" s="574">
        <f t="shared" si="403"/>
        <v>0</v>
      </c>
      <c r="Q484" s="574">
        <f t="shared" si="403"/>
        <v>0</v>
      </c>
      <c r="R484" s="574">
        <f t="shared" si="403"/>
        <v>0</v>
      </c>
      <c r="S484" s="574">
        <f t="shared" si="403"/>
        <v>0</v>
      </c>
      <c r="T484" s="574">
        <f t="shared" si="403"/>
        <v>0</v>
      </c>
      <c r="U484" s="574">
        <f t="shared" si="404"/>
        <v>0</v>
      </c>
      <c r="V484" s="574">
        <f t="shared" si="404"/>
        <v>0</v>
      </c>
      <c r="W484" s="574">
        <f t="shared" si="404"/>
        <v>0</v>
      </c>
      <c r="X484" s="574">
        <f t="shared" si="404"/>
        <v>0</v>
      </c>
      <c r="Y484" s="574">
        <f t="shared" si="404"/>
        <v>0</v>
      </c>
      <c r="Z484" s="574">
        <f t="shared" si="404"/>
        <v>0</v>
      </c>
      <c r="AA484" s="574">
        <f t="shared" si="404"/>
        <v>0</v>
      </c>
      <c r="AB484" s="574">
        <f t="shared" si="404"/>
        <v>0</v>
      </c>
      <c r="AC484" s="574">
        <f t="shared" si="404"/>
        <v>0</v>
      </c>
      <c r="AD484" s="574">
        <f t="shared" si="404"/>
        <v>0</v>
      </c>
      <c r="AE484" s="574">
        <f t="shared" si="404"/>
        <v>0</v>
      </c>
      <c r="AF484" s="574">
        <f t="shared" si="404"/>
        <v>0</v>
      </c>
      <c r="AH484" s="538"/>
      <c r="AK484" s="531"/>
      <c r="AM484" s="539"/>
      <c r="AN484" s="540"/>
      <c r="AP484" s="540"/>
      <c r="AQ484" s="540"/>
    </row>
    <row r="485" spans="1:43" s="546" customFormat="1" ht="16.5" hidden="1" customHeight="1" outlineLevel="2">
      <c r="A485" s="584"/>
      <c r="B485" s="569" t="s">
        <v>931</v>
      </c>
      <c r="C485" s="581">
        <f>C486*(C487+C489+C490+C491)</f>
        <v>0</v>
      </c>
      <c r="D485" s="581">
        <f t="shared" ref="D485:AF485" si="405">D486*(D487+D489+D490+D491)</f>
        <v>0</v>
      </c>
      <c r="E485" s="581">
        <f t="shared" si="405"/>
        <v>0</v>
      </c>
      <c r="F485" s="581">
        <f t="shared" si="405"/>
        <v>0</v>
      </c>
      <c r="G485" s="581">
        <f t="shared" si="405"/>
        <v>0</v>
      </c>
      <c r="H485" s="581">
        <f t="shared" si="405"/>
        <v>0</v>
      </c>
      <c r="I485" s="581">
        <f t="shared" si="405"/>
        <v>0</v>
      </c>
      <c r="J485" s="581">
        <f t="shared" si="405"/>
        <v>0</v>
      </c>
      <c r="K485" s="581">
        <f t="shared" si="405"/>
        <v>0</v>
      </c>
      <c r="L485" s="581">
        <f t="shared" si="405"/>
        <v>0</v>
      </c>
      <c r="M485" s="581">
        <f t="shared" si="405"/>
        <v>0</v>
      </c>
      <c r="N485" s="581">
        <f t="shared" si="405"/>
        <v>0</v>
      </c>
      <c r="O485" s="581">
        <f t="shared" si="405"/>
        <v>0</v>
      </c>
      <c r="P485" s="581">
        <f t="shared" si="405"/>
        <v>0</v>
      </c>
      <c r="Q485" s="581">
        <f t="shared" si="405"/>
        <v>0</v>
      </c>
      <c r="R485" s="581">
        <f t="shared" si="405"/>
        <v>0</v>
      </c>
      <c r="S485" s="581">
        <f t="shared" si="405"/>
        <v>0</v>
      </c>
      <c r="T485" s="581">
        <f t="shared" si="405"/>
        <v>0</v>
      </c>
      <c r="U485" s="581">
        <f t="shared" si="405"/>
        <v>0</v>
      </c>
      <c r="V485" s="581">
        <f t="shared" si="405"/>
        <v>0</v>
      </c>
      <c r="W485" s="581">
        <f t="shared" si="405"/>
        <v>0</v>
      </c>
      <c r="X485" s="581">
        <f t="shared" si="405"/>
        <v>0</v>
      </c>
      <c r="Y485" s="581">
        <f t="shared" si="405"/>
        <v>0</v>
      </c>
      <c r="Z485" s="581">
        <f t="shared" si="405"/>
        <v>0</v>
      </c>
      <c r="AA485" s="581">
        <f t="shared" si="405"/>
        <v>0</v>
      </c>
      <c r="AB485" s="581">
        <f t="shared" si="405"/>
        <v>0</v>
      </c>
      <c r="AC485" s="581">
        <f t="shared" si="405"/>
        <v>0</v>
      </c>
      <c r="AD485" s="581">
        <f t="shared" si="405"/>
        <v>0</v>
      </c>
      <c r="AE485" s="581">
        <f t="shared" si="405"/>
        <v>0</v>
      </c>
      <c r="AF485" s="581">
        <f t="shared" si="405"/>
        <v>0</v>
      </c>
      <c r="AH485" s="571"/>
      <c r="AK485" s="531"/>
      <c r="AM485" s="594"/>
      <c r="AN485" s="535"/>
      <c r="AP485" s="549"/>
      <c r="AQ485" s="549"/>
    </row>
    <row r="486" spans="1:43" s="513" customFormat="1" ht="16.5" hidden="1" customHeight="1" outlineLevel="2">
      <c r="A486" s="584"/>
      <c r="B486" s="572" t="s">
        <v>805</v>
      </c>
      <c r="C486" s="553">
        <v>0</v>
      </c>
      <c r="D486" s="553">
        <v>0</v>
      </c>
      <c r="E486" s="554">
        <v>0</v>
      </c>
      <c r="F486" s="553">
        <v>0</v>
      </c>
      <c r="G486" s="553">
        <v>0</v>
      </c>
      <c r="H486" s="553">
        <v>0</v>
      </c>
      <c r="I486" s="553">
        <v>0</v>
      </c>
      <c r="J486" s="553">
        <v>0</v>
      </c>
      <c r="K486" s="553">
        <v>0</v>
      </c>
      <c r="L486" s="553">
        <v>0</v>
      </c>
      <c r="M486" s="553">
        <v>0</v>
      </c>
      <c r="N486" s="553">
        <v>0</v>
      </c>
      <c r="O486" s="553">
        <v>0</v>
      </c>
      <c r="P486" s="553">
        <v>0</v>
      </c>
      <c r="Q486" s="553">
        <v>0</v>
      </c>
      <c r="R486" s="553">
        <v>0</v>
      </c>
      <c r="S486" s="553">
        <v>0</v>
      </c>
      <c r="T486" s="553">
        <v>0</v>
      </c>
      <c r="U486" s="553">
        <v>0</v>
      </c>
      <c r="V486" s="553">
        <v>0</v>
      </c>
      <c r="W486" s="553">
        <v>0</v>
      </c>
      <c r="X486" s="553">
        <v>0</v>
      </c>
      <c r="Y486" s="553">
        <v>0</v>
      </c>
      <c r="Z486" s="553">
        <v>0</v>
      </c>
      <c r="AA486" s="553">
        <v>0</v>
      </c>
      <c r="AB486" s="553">
        <v>0</v>
      </c>
      <c r="AC486" s="553">
        <v>0</v>
      </c>
      <c r="AD486" s="553">
        <v>0</v>
      </c>
      <c r="AE486" s="553">
        <v>0</v>
      </c>
      <c r="AF486" s="553">
        <v>0</v>
      </c>
      <c r="AH486" s="538"/>
      <c r="AK486" s="531"/>
      <c r="AM486" s="594"/>
      <c r="AN486" s="535"/>
      <c r="AP486" s="540"/>
      <c r="AQ486" s="540"/>
    </row>
    <row r="487" spans="1:43" s="513" customFormat="1" ht="16.5" hidden="1" customHeight="1" outlineLevel="2">
      <c r="A487" s="584"/>
      <c r="B487" s="572" t="s">
        <v>928</v>
      </c>
      <c r="C487" s="574">
        <f>'Sal._benef.'!$D$19</f>
        <v>1842</v>
      </c>
      <c r="D487" s="574">
        <f>C487</f>
        <v>1842</v>
      </c>
      <c r="E487" s="574">
        <f t="shared" ref="E487:T491" si="406">D487</f>
        <v>1842</v>
      </c>
      <c r="F487" s="574">
        <f t="shared" si="406"/>
        <v>1842</v>
      </c>
      <c r="G487" s="574">
        <f t="shared" si="406"/>
        <v>1842</v>
      </c>
      <c r="H487" s="574">
        <f t="shared" si="406"/>
        <v>1842</v>
      </c>
      <c r="I487" s="574">
        <f t="shared" si="406"/>
        <v>1842</v>
      </c>
      <c r="J487" s="574">
        <f t="shared" si="406"/>
        <v>1842</v>
      </c>
      <c r="K487" s="574">
        <f t="shared" si="406"/>
        <v>1842</v>
      </c>
      <c r="L487" s="574">
        <f t="shared" si="406"/>
        <v>1842</v>
      </c>
      <c r="M487" s="574">
        <f t="shared" si="406"/>
        <v>1842</v>
      </c>
      <c r="N487" s="574">
        <f t="shared" si="406"/>
        <v>1842</v>
      </c>
      <c r="O487" s="574">
        <f t="shared" si="406"/>
        <v>1842</v>
      </c>
      <c r="P487" s="574">
        <f t="shared" si="406"/>
        <v>1842</v>
      </c>
      <c r="Q487" s="574">
        <f t="shared" si="406"/>
        <v>1842</v>
      </c>
      <c r="R487" s="574">
        <f t="shared" si="406"/>
        <v>1842</v>
      </c>
      <c r="S487" s="574">
        <f t="shared" si="406"/>
        <v>1842</v>
      </c>
      <c r="T487" s="574">
        <f t="shared" si="406"/>
        <v>1842</v>
      </c>
      <c r="U487" s="574">
        <f t="shared" ref="U487:AF491" si="407">T487</f>
        <v>1842</v>
      </c>
      <c r="V487" s="574">
        <f t="shared" si="407"/>
        <v>1842</v>
      </c>
      <c r="W487" s="574">
        <f t="shared" si="407"/>
        <v>1842</v>
      </c>
      <c r="X487" s="574">
        <f t="shared" si="407"/>
        <v>1842</v>
      </c>
      <c r="Y487" s="574">
        <f t="shared" si="407"/>
        <v>1842</v>
      </c>
      <c r="Z487" s="574">
        <f t="shared" si="407"/>
        <v>1842</v>
      </c>
      <c r="AA487" s="574">
        <f t="shared" si="407"/>
        <v>1842</v>
      </c>
      <c r="AB487" s="574">
        <f t="shared" si="407"/>
        <v>1842</v>
      </c>
      <c r="AC487" s="574">
        <f t="shared" si="407"/>
        <v>1842</v>
      </c>
      <c r="AD487" s="574">
        <f t="shared" si="407"/>
        <v>1842</v>
      </c>
      <c r="AE487" s="574">
        <f t="shared" si="407"/>
        <v>1842</v>
      </c>
      <c r="AF487" s="574">
        <f t="shared" si="407"/>
        <v>1842</v>
      </c>
      <c r="AH487" s="538"/>
      <c r="AK487" s="531"/>
      <c r="AM487" s="594"/>
      <c r="AN487" s="535"/>
      <c r="AP487" s="540"/>
      <c r="AQ487" s="540"/>
    </row>
    <row r="488" spans="1:43" s="513" customFormat="1" ht="16.5" hidden="1" customHeight="1" outlineLevel="2">
      <c r="A488" s="584"/>
      <c r="B488" s="572" t="s">
        <v>929</v>
      </c>
      <c r="C488" s="632">
        <f>'Sal._benef.'!$F$10</f>
        <v>1621</v>
      </c>
      <c r="D488" s="574">
        <f>C488</f>
        <v>1621</v>
      </c>
      <c r="E488" s="574">
        <f t="shared" si="406"/>
        <v>1621</v>
      </c>
      <c r="F488" s="574">
        <f t="shared" si="406"/>
        <v>1621</v>
      </c>
      <c r="G488" s="574">
        <f t="shared" si="406"/>
        <v>1621</v>
      </c>
      <c r="H488" s="574">
        <f t="shared" si="406"/>
        <v>1621</v>
      </c>
      <c r="I488" s="574">
        <f t="shared" si="406"/>
        <v>1621</v>
      </c>
      <c r="J488" s="574">
        <f t="shared" si="406"/>
        <v>1621</v>
      </c>
      <c r="K488" s="574">
        <f t="shared" si="406"/>
        <v>1621</v>
      </c>
      <c r="L488" s="574">
        <f t="shared" si="406"/>
        <v>1621</v>
      </c>
      <c r="M488" s="574">
        <f t="shared" si="406"/>
        <v>1621</v>
      </c>
      <c r="N488" s="574">
        <f t="shared" si="406"/>
        <v>1621</v>
      </c>
      <c r="O488" s="574">
        <f t="shared" si="406"/>
        <v>1621</v>
      </c>
      <c r="P488" s="574">
        <f t="shared" si="406"/>
        <v>1621</v>
      </c>
      <c r="Q488" s="574">
        <f t="shared" si="406"/>
        <v>1621</v>
      </c>
      <c r="R488" s="574">
        <f t="shared" si="406"/>
        <v>1621</v>
      </c>
      <c r="S488" s="574">
        <f t="shared" si="406"/>
        <v>1621</v>
      </c>
      <c r="T488" s="574">
        <f t="shared" si="406"/>
        <v>1621</v>
      </c>
      <c r="U488" s="574">
        <f t="shared" si="407"/>
        <v>1621</v>
      </c>
      <c r="V488" s="574">
        <f t="shared" si="407"/>
        <v>1621</v>
      </c>
      <c r="W488" s="574">
        <f t="shared" si="407"/>
        <v>1621</v>
      </c>
      <c r="X488" s="574">
        <f t="shared" si="407"/>
        <v>1621</v>
      </c>
      <c r="Y488" s="574">
        <f t="shared" si="407"/>
        <v>1621</v>
      </c>
      <c r="Z488" s="574">
        <f t="shared" si="407"/>
        <v>1621</v>
      </c>
      <c r="AA488" s="574">
        <f t="shared" si="407"/>
        <v>1621</v>
      </c>
      <c r="AB488" s="574">
        <f t="shared" si="407"/>
        <v>1621</v>
      </c>
      <c r="AC488" s="574">
        <f t="shared" si="407"/>
        <v>1621</v>
      </c>
      <c r="AD488" s="574">
        <f t="shared" si="407"/>
        <v>1621</v>
      </c>
      <c r="AE488" s="574">
        <f t="shared" si="407"/>
        <v>1621</v>
      </c>
      <c r="AF488" s="574">
        <f t="shared" si="407"/>
        <v>1621</v>
      </c>
      <c r="AH488" s="538"/>
      <c r="AK488" s="531"/>
      <c r="AM488" s="539"/>
      <c r="AN488" s="540"/>
      <c r="AP488" s="540"/>
      <c r="AQ488" s="540"/>
    </row>
    <row r="489" spans="1:43" s="513" customFormat="1" ht="16.5" hidden="1" customHeight="1" outlineLevel="2">
      <c r="A489" s="584"/>
      <c r="B489" s="585" t="s">
        <v>1487</v>
      </c>
      <c r="C489" s="574">
        <f>'Sal._benef.'!$F$19*'Sal._benef.'!$F$10</f>
        <v>648.40000000000009</v>
      </c>
      <c r="D489" s="574">
        <f>C489</f>
        <v>648.40000000000009</v>
      </c>
      <c r="E489" s="574">
        <f t="shared" si="406"/>
        <v>648.40000000000009</v>
      </c>
      <c r="F489" s="574">
        <f t="shared" si="406"/>
        <v>648.40000000000009</v>
      </c>
      <c r="G489" s="574">
        <f t="shared" si="406"/>
        <v>648.40000000000009</v>
      </c>
      <c r="H489" s="574">
        <f t="shared" si="406"/>
        <v>648.40000000000009</v>
      </c>
      <c r="I489" s="574">
        <f t="shared" si="406"/>
        <v>648.40000000000009</v>
      </c>
      <c r="J489" s="574">
        <f t="shared" si="406"/>
        <v>648.40000000000009</v>
      </c>
      <c r="K489" s="574">
        <f t="shared" si="406"/>
        <v>648.40000000000009</v>
      </c>
      <c r="L489" s="574">
        <f t="shared" si="406"/>
        <v>648.40000000000009</v>
      </c>
      <c r="M489" s="574">
        <f t="shared" si="406"/>
        <v>648.40000000000009</v>
      </c>
      <c r="N489" s="574">
        <f t="shared" si="406"/>
        <v>648.40000000000009</v>
      </c>
      <c r="O489" s="574">
        <f t="shared" si="406"/>
        <v>648.40000000000009</v>
      </c>
      <c r="P489" s="574">
        <f t="shared" si="406"/>
        <v>648.40000000000009</v>
      </c>
      <c r="Q489" s="574">
        <f t="shared" si="406"/>
        <v>648.40000000000009</v>
      </c>
      <c r="R489" s="574">
        <f t="shared" si="406"/>
        <v>648.40000000000009</v>
      </c>
      <c r="S489" s="574">
        <f t="shared" si="406"/>
        <v>648.40000000000009</v>
      </c>
      <c r="T489" s="574">
        <f t="shared" si="406"/>
        <v>648.40000000000009</v>
      </c>
      <c r="U489" s="574">
        <f t="shared" si="407"/>
        <v>648.40000000000009</v>
      </c>
      <c r="V489" s="574">
        <f t="shared" si="407"/>
        <v>648.40000000000009</v>
      </c>
      <c r="W489" s="574">
        <f t="shared" si="407"/>
        <v>648.40000000000009</v>
      </c>
      <c r="X489" s="574">
        <f t="shared" si="407"/>
        <v>648.40000000000009</v>
      </c>
      <c r="Y489" s="574">
        <f t="shared" si="407"/>
        <v>648.40000000000009</v>
      </c>
      <c r="Z489" s="574">
        <f t="shared" si="407"/>
        <v>648.40000000000009</v>
      </c>
      <c r="AA489" s="574">
        <f t="shared" si="407"/>
        <v>648.40000000000009</v>
      </c>
      <c r="AB489" s="574">
        <f t="shared" si="407"/>
        <v>648.40000000000009</v>
      </c>
      <c r="AC489" s="574">
        <f t="shared" si="407"/>
        <v>648.40000000000009</v>
      </c>
      <c r="AD489" s="574">
        <f t="shared" si="407"/>
        <v>648.40000000000009</v>
      </c>
      <c r="AE489" s="574">
        <f t="shared" si="407"/>
        <v>648.40000000000009</v>
      </c>
      <c r="AF489" s="574">
        <f t="shared" si="407"/>
        <v>648.40000000000009</v>
      </c>
      <c r="AH489" s="538"/>
      <c r="AK489" s="531"/>
      <c r="AM489" s="539"/>
      <c r="AN489" s="540"/>
      <c r="AP489" s="540"/>
      <c r="AQ489" s="540"/>
    </row>
    <row r="490" spans="1:43" s="513" customFormat="1" ht="16.5" hidden="1" customHeight="1" outlineLevel="2">
      <c r="A490" s="584"/>
      <c r="B490" s="585" t="s">
        <v>1486</v>
      </c>
      <c r="C490" s="574">
        <v>0</v>
      </c>
      <c r="D490" s="574">
        <f>C490</f>
        <v>0</v>
      </c>
      <c r="E490" s="574">
        <f t="shared" si="406"/>
        <v>0</v>
      </c>
      <c r="F490" s="574">
        <f t="shared" si="406"/>
        <v>0</v>
      </c>
      <c r="G490" s="574">
        <f t="shared" si="406"/>
        <v>0</v>
      </c>
      <c r="H490" s="574">
        <f t="shared" si="406"/>
        <v>0</v>
      </c>
      <c r="I490" s="574">
        <f t="shared" si="406"/>
        <v>0</v>
      </c>
      <c r="J490" s="574">
        <f t="shared" si="406"/>
        <v>0</v>
      </c>
      <c r="K490" s="574">
        <f t="shared" si="406"/>
        <v>0</v>
      </c>
      <c r="L490" s="574">
        <f t="shared" si="406"/>
        <v>0</v>
      </c>
      <c r="M490" s="574">
        <f t="shared" si="406"/>
        <v>0</v>
      </c>
      <c r="N490" s="574">
        <f t="shared" si="406"/>
        <v>0</v>
      </c>
      <c r="O490" s="574">
        <f t="shared" si="406"/>
        <v>0</v>
      </c>
      <c r="P490" s="574">
        <f t="shared" si="406"/>
        <v>0</v>
      </c>
      <c r="Q490" s="574">
        <f t="shared" si="406"/>
        <v>0</v>
      </c>
      <c r="R490" s="574">
        <f t="shared" si="406"/>
        <v>0</v>
      </c>
      <c r="S490" s="574">
        <f t="shared" si="406"/>
        <v>0</v>
      </c>
      <c r="T490" s="574">
        <f t="shared" si="406"/>
        <v>0</v>
      </c>
      <c r="U490" s="574">
        <f t="shared" si="407"/>
        <v>0</v>
      </c>
      <c r="V490" s="574">
        <f t="shared" si="407"/>
        <v>0</v>
      </c>
      <c r="W490" s="574">
        <f t="shared" si="407"/>
        <v>0</v>
      </c>
      <c r="X490" s="574">
        <f t="shared" si="407"/>
        <v>0</v>
      </c>
      <c r="Y490" s="574">
        <f t="shared" si="407"/>
        <v>0</v>
      </c>
      <c r="Z490" s="574">
        <f t="shared" si="407"/>
        <v>0</v>
      </c>
      <c r="AA490" s="574">
        <f t="shared" si="407"/>
        <v>0</v>
      </c>
      <c r="AB490" s="574">
        <f t="shared" si="407"/>
        <v>0</v>
      </c>
      <c r="AC490" s="574">
        <f t="shared" si="407"/>
        <v>0</v>
      </c>
      <c r="AD490" s="574">
        <f t="shared" si="407"/>
        <v>0</v>
      </c>
      <c r="AE490" s="574">
        <f t="shared" si="407"/>
        <v>0</v>
      </c>
      <c r="AF490" s="574">
        <f t="shared" si="407"/>
        <v>0</v>
      </c>
      <c r="AH490" s="538"/>
      <c r="AK490" s="531"/>
      <c r="AM490" s="539"/>
      <c r="AN490" s="540"/>
      <c r="AP490" s="540"/>
      <c r="AQ490" s="540"/>
    </row>
    <row r="491" spans="1:43" s="513" customFormat="1" ht="16.5" hidden="1" customHeight="1" outlineLevel="2">
      <c r="A491" s="584"/>
      <c r="B491" s="572" t="s">
        <v>1367</v>
      </c>
      <c r="C491" s="574">
        <v>0</v>
      </c>
      <c r="D491" s="574">
        <f>C491</f>
        <v>0</v>
      </c>
      <c r="E491" s="574">
        <f t="shared" si="406"/>
        <v>0</v>
      </c>
      <c r="F491" s="574">
        <f t="shared" si="406"/>
        <v>0</v>
      </c>
      <c r="G491" s="574">
        <f t="shared" si="406"/>
        <v>0</v>
      </c>
      <c r="H491" s="574">
        <f t="shared" si="406"/>
        <v>0</v>
      </c>
      <c r="I491" s="574">
        <f t="shared" si="406"/>
        <v>0</v>
      </c>
      <c r="J491" s="574">
        <f t="shared" si="406"/>
        <v>0</v>
      </c>
      <c r="K491" s="574">
        <f t="shared" si="406"/>
        <v>0</v>
      </c>
      <c r="L491" s="574">
        <f t="shared" si="406"/>
        <v>0</v>
      </c>
      <c r="M491" s="574">
        <f t="shared" si="406"/>
        <v>0</v>
      </c>
      <c r="N491" s="574">
        <f t="shared" si="406"/>
        <v>0</v>
      </c>
      <c r="O491" s="574">
        <f t="shared" si="406"/>
        <v>0</v>
      </c>
      <c r="P491" s="574">
        <f t="shared" si="406"/>
        <v>0</v>
      </c>
      <c r="Q491" s="574">
        <f t="shared" si="406"/>
        <v>0</v>
      </c>
      <c r="R491" s="574">
        <f t="shared" si="406"/>
        <v>0</v>
      </c>
      <c r="S491" s="574">
        <f t="shared" si="406"/>
        <v>0</v>
      </c>
      <c r="T491" s="574">
        <f t="shared" si="406"/>
        <v>0</v>
      </c>
      <c r="U491" s="574">
        <f t="shared" si="407"/>
        <v>0</v>
      </c>
      <c r="V491" s="574">
        <f t="shared" si="407"/>
        <v>0</v>
      </c>
      <c r="W491" s="574">
        <f t="shared" si="407"/>
        <v>0</v>
      </c>
      <c r="X491" s="574">
        <f t="shared" si="407"/>
        <v>0</v>
      </c>
      <c r="Y491" s="574">
        <f t="shared" si="407"/>
        <v>0</v>
      </c>
      <c r="Z491" s="574">
        <f t="shared" si="407"/>
        <v>0</v>
      </c>
      <c r="AA491" s="574">
        <f t="shared" si="407"/>
        <v>0</v>
      </c>
      <c r="AB491" s="574">
        <f t="shared" si="407"/>
        <v>0</v>
      </c>
      <c r="AC491" s="574">
        <f t="shared" si="407"/>
        <v>0</v>
      </c>
      <c r="AD491" s="574">
        <f t="shared" si="407"/>
        <v>0</v>
      </c>
      <c r="AE491" s="574">
        <f t="shared" si="407"/>
        <v>0</v>
      </c>
      <c r="AF491" s="574">
        <f t="shared" si="407"/>
        <v>0</v>
      </c>
      <c r="AH491" s="538"/>
      <c r="AK491" s="531"/>
      <c r="AM491" s="539"/>
      <c r="AN491" s="540"/>
      <c r="AP491" s="540"/>
      <c r="AQ491" s="540"/>
    </row>
    <row r="492" spans="1:43" ht="3" hidden="1" customHeight="1" outlineLevel="2">
      <c r="A492" s="584"/>
      <c r="B492" s="609"/>
      <c r="C492" s="611"/>
      <c r="D492" s="611"/>
      <c r="E492" s="610"/>
      <c r="F492" s="610"/>
      <c r="G492" s="610"/>
      <c r="H492" s="610"/>
      <c r="I492" s="610"/>
      <c r="J492" s="610"/>
      <c r="K492" s="610"/>
      <c r="L492" s="610"/>
      <c r="M492" s="610"/>
      <c r="N492" s="610"/>
      <c r="O492" s="610"/>
      <c r="P492" s="610"/>
      <c r="Q492" s="610"/>
      <c r="R492" s="610"/>
      <c r="S492" s="610"/>
      <c r="T492" s="610"/>
      <c r="U492" s="610"/>
      <c r="V492" s="610"/>
      <c r="W492" s="610"/>
      <c r="X492" s="610"/>
      <c r="Y492" s="610"/>
      <c r="Z492" s="610"/>
      <c r="AA492" s="610"/>
      <c r="AB492" s="610"/>
      <c r="AC492" s="610"/>
      <c r="AD492" s="610"/>
      <c r="AE492" s="610"/>
      <c r="AF492" s="610"/>
      <c r="AH492" s="593"/>
      <c r="AK492" s="531"/>
      <c r="AM492" s="594"/>
      <c r="AN492" s="535"/>
      <c r="AP492" s="535"/>
      <c r="AQ492" s="535"/>
    </row>
    <row r="493" spans="1:43" s="564" customFormat="1" ht="16.5" hidden="1" customHeight="1" outlineLevel="1" collapsed="1">
      <c r="A493" s="584"/>
      <c r="B493" s="576" t="s">
        <v>936</v>
      </c>
      <c r="C493" s="577">
        <f>C494</f>
        <v>0</v>
      </c>
      <c r="D493" s="577">
        <f t="shared" ref="D493:AF493" si="408">D494</f>
        <v>0</v>
      </c>
      <c r="E493" s="599">
        <f t="shared" si="408"/>
        <v>24.413295119999997</v>
      </c>
      <c r="F493" s="577">
        <f t="shared" si="408"/>
        <v>24.413295119999997</v>
      </c>
      <c r="G493" s="577">
        <f t="shared" si="408"/>
        <v>24.413295119999997</v>
      </c>
      <c r="H493" s="577">
        <f t="shared" si="408"/>
        <v>24.413295119999997</v>
      </c>
      <c r="I493" s="577">
        <f t="shared" si="408"/>
        <v>24.413295119999997</v>
      </c>
      <c r="J493" s="577">
        <f t="shared" si="408"/>
        <v>24.413295119999997</v>
      </c>
      <c r="K493" s="577">
        <f t="shared" si="408"/>
        <v>24.413295119999997</v>
      </c>
      <c r="L493" s="577">
        <f t="shared" si="408"/>
        <v>24.413295119999997</v>
      </c>
      <c r="M493" s="577">
        <f t="shared" si="408"/>
        <v>24.413295119999997</v>
      </c>
      <c r="N493" s="577">
        <f t="shared" si="408"/>
        <v>24.413295119999997</v>
      </c>
      <c r="O493" s="577">
        <f t="shared" si="408"/>
        <v>24.413295119999997</v>
      </c>
      <c r="P493" s="577">
        <f t="shared" si="408"/>
        <v>24.413295119999997</v>
      </c>
      <c r="Q493" s="577">
        <f t="shared" si="408"/>
        <v>24.413295119999997</v>
      </c>
      <c r="R493" s="577">
        <f t="shared" si="408"/>
        <v>24.413295119999997</v>
      </c>
      <c r="S493" s="577">
        <f t="shared" si="408"/>
        <v>24.413295119999997</v>
      </c>
      <c r="T493" s="577">
        <f t="shared" si="408"/>
        <v>24.413295119999997</v>
      </c>
      <c r="U493" s="577">
        <f t="shared" si="408"/>
        <v>24.413295119999997</v>
      </c>
      <c r="V493" s="577">
        <f t="shared" si="408"/>
        <v>24.413295119999997</v>
      </c>
      <c r="W493" s="577">
        <f t="shared" si="408"/>
        <v>24.413295119999997</v>
      </c>
      <c r="X493" s="577">
        <f t="shared" si="408"/>
        <v>24.413295119999997</v>
      </c>
      <c r="Y493" s="577">
        <f t="shared" si="408"/>
        <v>24.413295119999997</v>
      </c>
      <c r="Z493" s="577">
        <f t="shared" si="408"/>
        <v>24.413295119999997</v>
      </c>
      <c r="AA493" s="577">
        <f t="shared" si="408"/>
        <v>24.413295119999997</v>
      </c>
      <c r="AB493" s="577">
        <f t="shared" si="408"/>
        <v>24.413295119999997</v>
      </c>
      <c r="AC493" s="577">
        <f t="shared" si="408"/>
        <v>24.413295119999997</v>
      </c>
      <c r="AD493" s="577">
        <f t="shared" si="408"/>
        <v>24.413295119999997</v>
      </c>
      <c r="AE493" s="577">
        <f t="shared" si="408"/>
        <v>24.413295119999997</v>
      </c>
      <c r="AF493" s="577">
        <f t="shared" si="408"/>
        <v>24.413295119999997</v>
      </c>
      <c r="AH493" s="578">
        <f>SUM(C493:AF493)</f>
        <v>683.57226336000008</v>
      </c>
      <c r="AJ493" s="579"/>
      <c r="AK493" s="531"/>
      <c r="AM493" s="594"/>
      <c r="AN493" s="535"/>
      <c r="AP493" s="568"/>
      <c r="AQ493" s="568"/>
    </row>
    <row r="494" spans="1:43" s="546" customFormat="1" ht="16.5" hidden="1" customHeight="1" outlineLevel="2">
      <c r="A494" s="584"/>
      <c r="B494" s="569" t="s">
        <v>937</v>
      </c>
      <c r="C494" s="570">
        <f t="shared" ref="C494:AF494" si="409">C477*C495</f>
        <v>0</v>
      </c>
      <c r="D494" s="570">
        <f t="shared" si="409"/>
        <v>0</v>
      </c>
      <c r="E494" s="570">
        <f t="shared" si="409"/>
        <v>24.413295119999997</v>
      </c>
      <c r="F494" s="570">
        <f t="shared" si="409"/>
        <v>24.413295119999997</v>
      </c>
      <c r="G494" s="570">
        <f t="shared" si="409"/>
        <v>24.413295119999997</v>
      </c>
      <c r="H494" s="570">
        <f t="shared" si="409"/>
        <v>24.413295119999997</v>
      </c>
      <c r="I494" s="570">
        <f t="shared" si="409"/>
        <v>24.413295119999997</v>
      </c>
      <c r="J494" s="570">
        <f t="shared" si="409"/>
        <v>24.413295119999997</v>
      </c>
      <c r="K494" s="570">
        <f t="shared" si="409"/>
        <v>24.413295119999997</v>
      </c>
      <c r="L494" s="570">
        <f t="shared" si="409"/>
        <v>24.413295119999997</v>
      </c>
      <c r="M494" s="570">
        <f t="shared" si="409"/>
        <v>24.413295119999997</v>
      </c>
      <c r="N494" s="570">
        <f t="shared" si="409"/>
        <v>24.413295119999997</v>
      </c>
      <c r="O494" s="570">
        <f t="shared" si="409"/>
        <v>24.413295119999997</v>
      </c>
      <c r="P494" s="570">
        <f t="shared" si="409"/>
        <v>24.413295119999997</v>
      </c>
      <c r="Q494" s="570">
        <f t="shared" si="409"/>
        <v>24.413295119999997</v>
      </c>
      <c r="R494" s="570">
        <f t="shared" si="409"/>
        <v>24.413295119999997</v>
      </c>
      <c r="S494" s="570">
        <f t="shared" si="409"/>
        <v>24.413295119999997</v>
      </c>
      <c r="T494" s="570">
        <f t="shared" si="409"/>
        <v>24.413295119999997</v>
      </c>
      <c r="U494" s="570">
        <f t="shared" si="409"/>
        <v>24.413295119999997</v>
      </c>
      <c r="V494" s="570">
        <f t="shared" si="409"/>
        <v>24.413295119999997</v>
      </c>
      <c r="W494" s="570">
        <f t="shared" si="409"/>
        <v>24.413295119999997</v>
      </c>
      <c r="X494" s="570">
        <f t="shared" si="409"/>
        <v>24.413295119999997</v>
      </c>
      <c r="Y494" s="570">
        <f t="shared" si="409"/>
        <v>24.413295119999997</v>
      </c>
      <c r="Z494" s="570">
        <f t="shared" si="409"/>
        <v>24.413295119999997</v>
      </c>
      <c r="AA494" s="570">
        <f t="shared" si="409"/>
        <v>24.413295119999997</v>
      </c>
      <c r="AB494" s="570">
        <f t="shared" si="409"/>
        <v>24.413295119999997</v>
      </c>
      <c r="AC494" s="570">
        <f t="shared" si="409"/>
        <v>24.413295119999997</v>
      </c>
      <c r="AD494" s="570">
        <f t="shared" si="409"/>
        <v>24.413295119999997</v>
      </c>
      <c r="AE494" s="570">
        <f t="shared" si="409"/>
        <v>24.413295119999997</v>
      </c>
      <c r="AF494" s="570">
        <f t="shared" si="409"/>
        <v>24.413295119999997</v>
      </c>
      <c r="AH494" s="571"/>
      <c r="AK494" s="531"/>
      <c r="AM494" s="594"/>
      <c r="AN494" s="535"/>
      <c r="AP494" s="549"/>
      <c r="AQ494" s="549"/>
    </row>
    <row r="495" spans="1:43" s="513" customFormat="1" ht="16.5" hidden="1" customHeight="1" outlineLevel="2">
      <c r="A495" s="584"/>
      <c r="B495" s="572" t="s">
        <v>938</v>
      </c>
      <c r="C495" s="378">
        <f>'Sal._benef.'!$F$11</f>
        <v>0.71030000000000004</v>
      </c>
      <c r="D495" s="378">
        <f>C495</f>
        <v>0.71030000000000004</v>
      </c>
      <c r="E495" s="378">
        <f t="shared" ref="E495:AF495" si="410">D495</f>
        <v>0.71030000000000004</v>
      </c>
      <c r="F495" s="378">
        <f t="shared" si="410"/>
        <v>0.71030000000000004</v>
      </c>
      <c r="G495" s="378">
        <f t="shared" si="410"/>
        <v>0.71030000000000004</v>
      </c>
      <c r="H495" s="378">
        <f t="shared" si="410"/>
        <v>0.71030000000000004</v>
      </c>
      <c r="I495" s="378">
        <f t="shared" si="410"/>
        <v>0.71030000000000004</v>
      </c>
      <c r="J495" s="378">
        <f t="shared" si="410"/>
        <v>0.71030000000000004</v>
      </c>
      <c r="K495" s="378">
        <f t="shared" si="410"/>
        <v>0.71030000000000004</v>
      </c>
      <c r="L495" s="378">
        <f t="shared" si="410"/>
        <v>0.71030000000000004</v>
      </c>
      <c r="M495" s="378">
        <f t="shared" si="410"/>
        <v>0.71030000000000004</v>
      </c>
      <c r="N495" s="378">
        <f t="shared" si="410"/>
        <v>0.71030000000000004</v>
      </c>
      <c r="O495" s="378">
        <f t="shared" si="410"/>
        <v>0.71030000000000004</v>
      </c>
      <c r="P495" s="378">
        <f t="shared" si="410"/>
        <v>0.71030000000000004</v>
      </c>
      <c r="Q495" s="378">
        <f t="shared" si="410"/>
        <v>0.71030000000000004</v>
      </c>
      <c r="R495" s="378">
        <f t="shared" si="410"/>
        <v>0.71030000000000004</v>
      </c>
      <c r="S495" s="378">
        <f t="shared" si="410"/>
        <v>0.71030000000000004</v>
      </c>
      <c r="T495" s="378">
        <f t="shared" si="410"/>
        <v>0.71030000000000004</v>
      </c>
      <c r="U495" s="378">
        <f t="shared" si="410"/>
        <v>0.71030000000000004</v>
      </c>
      <c r="V495" s="378">
        <f t="shared" si="410"/>
        <v>0.71030000000000004</v>
      </c>
      <c r="W495" s="378">
        <f t="shared" si="410"/>
        <v>0.71030000000000004</v>
      </c>
      <c r="X495" s="378">
        <f t="shared" si="410"/>
        <v>0.71030000000000004</v>
      </c>
      <c r="Y495" s="378">
        <f t="shared" si="410"/>
        <v>0.71030000000000004</v>
      </c>
      <c r="Z495" s="378">
        <f t="shared" si="410"/>
        <v>0.71030000000000004</v>
      </c>
      <c r="AA495" s="378">
        <f t="shared" si="410"/>
        <v>0.71030000000000004</v>
      </c>
      <c r="AB495" s="378">
        <f t="shared" si="410"/>
        <v>0.71030000000000004</v>
      </c>
      <c r="AC495" s="378">
        <f t="shared" si="410"/>
        <v>0.71030000000000004</v>
      </c>
      <c r="AD495" s="378">
        <f t="shared" si="410"/>
        <v>0.71030000000000004</v>
      </c>
      <c r="AE495" s="378">
        <f t="shared" si="410"/>
        <v>0.71030000000000004</v>
      </c>
      <c r="AF495" s="378">
        <f t="shared" si="410"/>
        <v>0.71030000000000004</v>
      </c>
      <c r="AH495" s="538"/>
      <c r="AK495" s="531"/>
      <c r="AM495" s="594"/>
      <c r="AN495" s="535"/>
      <c r="AP495" s="540"/>
      <c r="AQ495" s="540"/>
    </row>
    <row r="496" spans="1:43" ht="3" hidden="1" customHeight="1" outlineLevel="2">
      <c r="A496" s="584"/>
      <c r="B496" s="609"/>
      <c r="C496" s="611"/>
      <c r="D496" s="611"/>
      <c r="E496" s="610"/>
      <c r="F496" s="610"/>
      <c r="G496" s="610"/>
      <c r="H496" s="610"/>
      <c r="I496" s="610"/>
      <c r="J496" s="610"/>
      <c r="K496" s="610"/>
      <c r="L496" s="610"/>
      <c r="M496" s="610"/>
      <c r="N496" s="610"/>
      <c r="O496" s="610"/>
      <c r="P496" s="610"/>
      <c r="Q496" s="610"/>
      <c r="R496" s="610"/>
      <c r="S496" s="610"/>
      <c r="T496" s="610"/>
      <c r="U496" s="610"/>
      <c r="V496" s="610"/>
      <c r="W496" s="610"/>
      <c r="X496" s="610"/>
      <c r="Y496" s="610"/>
      <c r="Z496" s="610"/>
      <c r="AA496" s="610"/>
      <c r="AB496" s="610"/>
      <c r="AC496" s="610"/>
      <c r="AD496" s="610"/>
      <c r="AE496" s="610"/>
      <c r="AF496" s="610"/>
      <c r="AH496" s="593"/>
      <c r="AK496" s="531"/>
      <c r="AM496" s="594"/>
      <c r="AN496" s="535"/>
      <c r="AP496" s="535"/>
      <c r="AQ496" s="535"/>
    </row>
    <row r="497" spans="1:43" s="564" customFormat="1" ht="16.5" hidden="1" customHeight="1" outlineLevel="1" collapsed="1">
      <c r="A497" s="584"/>
      <c r="B497" s="576" t="s">
        <v>939</v>
      </c>
      <c r="C497" s="577">
        <f t="shared" ref="C497:AF497" si="411">SUM(C498,C504)*12/10^3</f>
        <v>0</v>
      </c>
      <c r="D497" s="577">
        <f t="shared" si="411"/>
        <v>0</v>
      </c>
      <c r="E497" s="577">
        <f t="shared" si="411"/>
        <v>7.2579599999999989</v>
      </c>
      <c r="F497" s="577">
        <f t="shared" si="411"/>
        <v>7.2579599999999989</v>
      </c>
      <c r="G497" s="577">
        <f t="shared" si="411"/>
        <v>7.2579599999999989</v>
      </c>
      <c r="H497" s="577">
        <f t="shared" si="411"/>
        <v>7.2579599999999989</v>
      </c>
      <c r="I497" s="577">
        <f t="shared" si="411"/>
        <v>7.2579599999999989</v>
      </c>
      <c r="J497" s="577">
        <f t="shared" si="411"/>
        <v>7.2579599999999989</v>
      </c>
      <c r="K497" s="577">
        <f t="shared" si="411"/>
        <v>7.2579599999999989</v>
      </c>
      <c r="L497" s="577">
        <f t="shared" si="411"/>
        <v>7.2579599999999989</v>
      </c>
      <c r="M497" s="577">
        <f t="shared" si="411"/>
        <v>7.2579599999999989</v>
      </c>
      <c r="N497" s="577">
        <f t="shared" si="411"/>
        <v>7.2579599999999989</v>
      </c>
      <c r="O497" s="577">
        <f t="shared" si="411"/>
        <v>7.2579599999999989</v>
      </c>
      <c r="P497" s="577">
        <f t="shared" si="411"/>
        <v>7.2579599999999989</v>
      </c>
      <c r="Q497" s="577">
        <f t="shared" si="411"/>
        <v>7.2579599999999989</v>
      </c>
      <c r="R497" s="577">
        <f t="shared" si="411"/>
        <v>7.2579599999999989</v>
      </c>
      <c r="S497" s="577">
        <f t="shared" si="411"/>
        <v>7.2579599999999989</v>
      </c>
      <c r="T497" s="577">
        <f t="shared" si="411"/>
        <v>7.2579599999999989</v>
      </c>
      <c r="U497" s="577">
        <f t="shared" si="411"/>
        <v>7.2579599999999989</v>
      </c>
      <c r="V497" s="577">
        <f t="shared" si="411"/>
        <v>7.2579599999999989</v>
      </c>
      <c r="W497" s="577">
        <f t="shared" si="411"/>
        <v>7.2579599999999989</v>
      </c>
      <c r="X497" s="577">
        <f t="shared" si="411"/>
        <v>7.2579599999999989</v>
      </c>
      <c r="Y497" s="577">
        <f t="shared" si="411"/>
        <v>7.2579599999999989</v>
      </c>
      <c r="Z497" s="577">
        <f t="shared" si="411"/>
        <v>7.2579599999999989</v>
      </c>
      <c r="AA497" s="577">
        <f t="shared" si="411"/>
        <v>7.2579599999999989</v>
      </c>
      <c r="AB497" s="577">
        <f t="shared" si="411"/>
        <v>7.2579599999999989</v>
      </c>
      <c r="AC497" s="577">
        <f t="shared" si="411"/>
        <v>7.2579599999999989</v>
      </c>
      <c r="AD497" s="577">
        <f t="shared" si="411"/>
        <v>7.2579599999999989</v>
      </c>
      <c r="AE497" s="577">
        <f t="shared" si="411"/>
        <v>7.2579599999999989</v>
      </c>
      <c r="AF497" s="577">
        <f t="shared" si="411"/>
        <v>7.2579599999999989</v>
      </c>
      <c r="AH497" s="578">
        <f>SUM(C497:AF497)</f>
        <v>203.22287999999995</v>
      </c>
      <c r="AJ497" s="579"/>
      <c r="AK497" s="531"/>
      <c r="AM497" s="594"/>
      <c r="AN497" s="535"/>
      <c r="AP497" s="568"/>
      <c r="AQ497" s="568"/>
    </row>
    <row r="498" spans="1:43" s="546" customFormat="1" ht="16.5" hidden="1" customHeight="1" outlineLevel="2">
      <c r="A498" s="584"/>
      <c r="B498" s="613" t="s">
        <v>927</v>
      </c>
      <c r="C498" s="570">
        <f>C499*(C500+C501+C502+C503)</f>
        <v>0</v>
      </c>
      <c r="D498" s="570">
        <f t="shared" ref="D498:AF498" si="412">D499*(D500+D501+D502+D503)</f>
        <v>0</v>
      </c>
      <c r="E498" s="570">
        <f t="shared" si="412"/>
        <v>604.82999999999993</v>
      </c>
      <c r="F498" s="570">
        <f t="shared" si="412"/>
        <v>604.82999999999993</v>
      </c>
      <c r="G498" s="570">
        <f t="shared" si="412"/>
        <v>604.82999999999993</v>
      </c>
      <c r="H498" s="570">
        <f t="shared" si="412"/>
        <v>604.82999999999993</v>
      </c>
      <c r="I498" s="570">
        <f t="shared" si="412"/>
        <v>604.82999999999993</v>
      </c>
      <c r="J498" s="570">
        <f t="shared" si="412"/>
        <v>604.82999999999993</v>
      </c>
      <c r="K498" s="570">
        <f t="shared" si="412"/>
        <v>604.82999999999993</v>
      </c>
      <c r="L498" s="570">
        <f t="shared" si="412"/>
        <v>604.82999999999993</v>
      </c>
      <c r="M498" s="570">
        <f t="shared" si="412"/>
        <v>604.82999999999993</v>
      </c>
      <c r="N498" s="570">
        <f t="shared" si="412"/>
        <v>604.82999999999993</v>
      </c>
      <c r="O498" s="570">
        <f t="shared" si="412"/>
        <v>604.82999999999993</v>
      </c>
      <c r="P498" s="570">
        <f t="shared" si="412"/>
        <v>604.82999999999993</v>
      </c>
      <c r="Q498" s="570">
        <f t="shared" si="412"/>
        <v>604.82999999999993</v>
      </c>
      <c r="R498" s="570">
        <f t="shared" si="412"/>
        <v>604.82999999999993</v>
      </c>
      <c r="S498" s="570">
        <f t="shared" si="412"/>
        <v>604.82999999999993</v>
      </c>
      <c r="T498" s="570">
        <f t="shared" si="412"/>
        <v>604.82999999999993</v>
      </c>
      <c r="U498" s="570">
        <f t="shared" si="412"/>
        <v>604.82999999999993</v>
      </c>
      <c r="V498" s="570">
        <f t="shared" si="412"/>
        <v>604.82999999999993</v>
      </c>
      <c r="W498" s="570">
        <f t="shared" si="412"/>
        <v>604.82999999999993</v>
      </c>
      <c r="X498" s="570">
        <f t="shared" si="412"/>
        <v>604.82999999999993</v>
      </c>
      <c r="Y498" s="570">
        <f t="shared" si="412"/>
        <v>604.82999999999993</v>
      </c>
      <c r="Z498" s="570">
        <f t="shared" si="412"/>
        <v>604.82999999999993</v>
      </c>
      <c r="AA498" s="570">
        <f t="shared" si="412"/>
        <v>604.82999999999993</v>
      </c>
      <c r="AB498" s="570">
        <f t="shared" si="412"/>
        <v>604.82999999999993</v>
      </c>
      <c r="AC498" s="570">
        <f t="shared" si="412"/>
        <v>604.82999999999993</v>
      </c>
      <c r="AD498" s="570">
        <f t="shared" si="412"/>
        <v>604.82999999999993</v>
      </c>
      <c r="AE498" s="570">
        <f t="shared" si="412"/>
        <v>604.82999999999993</v>
      </c>
      <c r="AF498" s="570">
        <f t="shared" si="412"/>
        <v>604.82999999999993</v>
      </c>
      <c r="AH498" s="571"/>
      <c r="AK498" s="531"/>
      <c r="AM498" s="594"/>
      <c r="AN498" s="535"/>
      <c r="AP498" s="549"/>
      <c r="AQ498" s="549"/>
    </row>
    <row r="499" spans="1:43" s="586" customFormat="1" ht="16.5" hidden="1" customHeight="1" outlineLevel="2">
      <c r="A499" s="584"/>
      <c r="B499" s="585" t="s">
        <v>805</v>
      </c>
      <c r="C499" s="554">
        <f>C479</f>
        <v>0</v>
      </c>
      <c r="D499" s="554">
        <f>D479</f>
        <v>0</v>
      </c>
      <c r="E499" s="554">
        <f>E479</f>
        <v>1</v>
      </c>
      <c r="F499" s="554">
        <f t="shared" ref="F499:AF499" si="413">F479</f>
        <v>1</v>
      </c>
      <c r="G499" s="554">
        <f t="shared" si="413"/>
        <v>1</v>
      </c>
      <c r="H499" s="554">
        <f t="shared" si="413"/>
        <v>1</v>
      </c>
      <c r="I499" s="554">
        <f t="shared" si="413"/>
        <v>1</v>
      </c>
      <c r="J499" s="554">
        <f t="shared" si="413"/>
        <v>1</v>
      </c>
      <c r="K499" s="554">
        <f t="shared" si="413"/>
        <v>1</v>
      </c>
      <c r="L499" s="554">
        <f t="shared" si="413"/>
        <v>1</v>
      </c>
      <c r="M499" s="554">
        <f t="shared" si="413"/>
        <v>1</v>
      </c>
      <c r="N499" s="554">
        <f t="shared" si="413"/>
        <v>1</v>
      </c>
      <c r="O499" s="554">
        <f t="shared" si="413"/>
        <v>1</v>
      </c>
      <c r="P499" s="554">
        <f t="shared" si="413"/>
        <v>1</v>
      </c>
      <c r="Q499" s="554">
        <f t="shared" si="413"/>
        <v>1</v>
      </c>
      <c r="R499" s="554">
        <f t="shared" si="413"/>
        <v>1</v>
      </c>
      <c r="S499" s="554">
        <f t="shared" si="413"/>
        <v>1</v>
      </c>
      <c r="T499" s="554">
        <f t="shared" si="413"/>
        <v>1</v>
      </c>
      <c r="U499" s="554">
        <f t="shared" si="413"/>
        <v>1</v>
      </c>
      <c r="V499" s="554">
        <f t="shared" si="413"/>
        <v>1</v>
      </c>
      <c r="W499" s="554">
        <f t="shared" si="413"/>
        <v>1</v>
      </c>
      <c r="X499" s="554">
        <f t="shared" si="413"/>
        <v>1</v>
      </c>
      <c r="Y499" s="554">
        <f t="shared" si="413"/>
        <v>1</v>
      </c>
      <c r="Z499" s="554">
        <f t="shared" si="413"/>
        <v>1</v>
      </c>
      <c r="AA499" s="554">
        <f t="shared" si="413"/>
        <v>1</v>
      </c>
      <c r="AB499" s="554">
        <f t="shared" si="413"/>
        <v>1</v>
      </c>
      <c r="AC499" s="554">
        <f t="shared" si="413"/>
        <v>1</v>
      </c>
      <c r="AD499" s="554">
        <f t="shared" si="413"/>
        <v>1</v>
      </c>
      <c r="AE499" s="554">
        <f t="shared" si="413"/>
        <v>1</v>
      </c>
      <c r="AF499" s="554">
        <f t="shared" si="413"/>
        <v>1</v>
      </c>
      <c r="AH499" s="587"/>
      <c r="AK499" s="588"/>
      <c r="AM499" s="624"/>
      <c r="AN499" s="590"/>
      <c r="AP499" s="591"/>
      <c r="AQ499" s="591"/>
    </row>
    <row r="500" spans="1:43" s="513" customFormat="1" ht="16.5" hidden="1" customHeight="1" outlineLevel="2">
      <c r="A500" s="584"/>
      <c r="B500" s="572" t="s">
        <v>940</v>
      </c>
      <c r="C500" s="592">
        <f>'Sal._benef.'!$I$23</f>
        <v>500</v>
      </c>
      <c r="D500" s="642">
        <f>C500</f>
        <v>500</v>
      </c>
      <c r="E500" s="642">
        <f t="shared" ref="E500:T503" si="414">D500</f>
        <v>500</v>
      </c>
      <c r="F500" s="592">
        <f t="shared" si="414"/>
        <v>500</v>
      </c>
      <c r="G500" s="592">
        <f t="shared" si="414"/>
        <v>500</v>
      </c>
      <c r="H500" s="592">
        <f t="shared" si="414"/>
        <v>500</v>
      </c>
      <c r="I500" s="592">
        <f t="shared" si="414"/>
        <v>500</v>
      </c>
      <c r="J500" s="592">
        <f t="shared" si="414"/>
        <v>500</v>
      </c>
      <c r="K500" s="592">
        <f t="shared" si="414"/>
        <v>500</v>
      </c>
      <c r="L500" s="592">
        <f t="shared" si="414"/>
        <v>500</v>
      </c>
      <c r="M500" s="592">
        <f t="shared" si="414"/>
        <v>500</v>
      </c>
      <c r="N500" s="592">
        <f t="shared" si="414"/>
        <v>500</v>
      </c>
      <c r="O500" s="592">
        <f t="shared" si="414"/>
        <v>500</v>
      </c>
      <c r="P500" s="592">
        <f t="shared" si="414"/>
        <v>500</v>
      </c>
      <c r="Q500" s="592">
        <f t="shared" si="414"/>
        <v>500</v>
      </c>
      <c r="R500" s="592">
        <f t="shared" si="414"/>
        <v>500</v>
      </c>
      <c r="S500" s="592">
        <f t="shared" si="414"/>
        <v>500</v>
      </c>
      <c r="T500" s="592">
        <f t="shared" si="414"/>
        <v>500</v>
      </c>
      <c r="U500" s="592">
        <f t="shared" ref="U500:AF503" si="415">T500</f>
        <v>500</v>
      </c>
      <c r="V500" s="592">
        <f t="shared" si="415"/>
        <v>500</v>
      </c>
      <c r="W500" s="592">
        <f t="shared" si="415"/>
        <v>500</v>
      </c>
      <c r="X500" s="592">
        <f t="shared" si="415"/>
        <v>500</v>
      </c>
      <c r="Y500" s="592">
        <f t="shared" si="415"/>
        <v>500</v>
      </c>
      <c r="Z500" s="592">
        <f t="shared" si="415"/>
        <v>500</v>
      </c>
      <c r="AA500" s="592">
        <f t="shared" si="415"/>
        <v>500</v>
      </c>
      <c r="AB500" s="592">
        <f t="shared" si="415"/>
        <v>500</v>
      </c>
      <c r="AC500" s="592">
        <f t="shared" si="415"/>
        <v>500</v>
      </c>
      <c r="AD500" s="592">
        <f t="shared" si="415"/>
        <v>500</v>
      </c>
      <c r="AE500" s="592">
        <f t="shared" si="415"/>
        <v>500</v>
      </c>
      <c r="AF500" s="592">
        <f t="shared" si="415"/>
        <v>500</v>
      </c>
      <c r="AH500" s="538"/>
      <c r="AK500" s="531"/>
      <c r="AM500" s="594"/>
      <c r="AN500" s="535"/>
      <c r="AP500" s="540"/>
      <c r="AQ500" s="540"/>
    </row>
    <row r="501" spans="1:43" s="513" customFormat="1" ht="16.5" hidden="1" customHeight="1" outlineLevel="2">
      <c r="A501" s="584"/>
      <c r="B501" s="572" t="s">
        <v>941</v>
      </c>
      <c r="C501" s="592">
        <f>'Sal._benef.'!$K$23</f>
        <v>5.53</v>
      </c>
      <c r="D501" s="642">
        <f>C501</f>
        <v>5.53</v>
      </c>
      <c r="E501" s="642">
        <f t="shared" si="414"/>
        <v>5.53</v>
      </c>
      <c r="F501" s="592">
        <f t="shared" si="414"/>
        <v>5.53</v>
      </c>
      <c r="G501" s="592">
        <f t="shared" si="414"/>
        <v>5.53</v>
      </c>
      <c r="H501" s="592">
        <f t="shared" si="414"/>
        <v>5.53</v>
      </c>
      <c r="I501" s="592">
        <f t="shared" si="414"/>
        <v>5.53</v>
      </c>
      <c r="J501" s="592">
        <f t="shared" si="414"/>
        <v>5.53</v>
      </c>
      <c r="K501" s="592">
        <f t="shared" si="414"/>
        <v>5.53</v>
      </c>
      <c r="L501" s="592">
        <f t="shared" si="414"/>
        <v>5.53</v>
      </c>
      <c r="M501" s="592">
        <f t="shared" si="414"/>
        <v>5.53</v>
      </c>
      <c r="N501" s="592">
        <f t="shared" si="414"/>
        <v>5.53</v>
      </c>
      <c r="O501" s="592">
        <f t="shared" si="414"/>
        <v>5.53</v>
      </c>
      <c r="P501" s="592">
        <f t="shared" si="414"/>
        <v>5.53</v>
      </c>
      <c r="Q501" s="592">
        <f t="shared" si="414"/>
        <v>5.53</v>
      </c>
      <c r="R501" s="592">
        <f t="shared" si="414"/>
        <v>5.53</v>
      </c>
      <c r="S501" s="592">
        <f t="shared" si="414"/>
        <v>5.53</v>
      </c>
      <c r="T501" s="592">
        <f t="shared" si="414"/>
        <v>5.53</v>
      </c>
      <c r="U501" s="592">
        <f t="shared" si="415"/>
        <v>5.53</v>
      </c>
      <c r="V501" s="592">
        <f t="shared" si="415"/>
        <v>5.53</v>
      </c>
      <c r="W501" s="592">
        <f t="shared" si="415"/>
        <v>5.53</v>
      </c>
      <c r="X501" s="592">
        <f t="shared" si="415"/>
        <v>5.53</v>
      </c>
      <c r="Y501" s="592">
        <f t="shared" si="415"/>
        <v>5.53</v>
      </c>
      <c r="Z501" s="592">
        <f t="shared" si="415"/>
        <v>5.53</v>
      </c>
      <c r="AA501" s="592">
        <f t="shared" si="415"/>
        <v>5.53</v>
      </c>
      <c r="AB501" s="592">
        <f t="shared" si="415"/>
        <v>5.53</v>
      </c>
      <c r="AC501" s="592">
        <f t="shared" si="415"/>
        <v>5.53</v>
      </c>
      <c r="AD501" s="592">
        <f t="shared" si="415"/>
        <v>5.53</v>
      </c>
      <c r="AE501" s="592">
        <f t="shared" si="415"/>
        <v>5.53</v>
      </c>
      <c r="AF501" s="592">
        <f t="shared" si="415"/>
        <v>5.53</v>
      </c>
      <c r="AH501" s="538"/>
      <c r="AK501" s="531"/>
      <c r="AM501" s="594"/>
      <c r="AN501" s="535"/>
      <c r="AP501" s="540"/>
      <c r="AQ501" s="540"/>
    </row>
    <row r="502" spans="1:43" s="513" customFormat="1" ht="16.5" hidden="1" customHeight="1" outlineLevel="2">
      <c r="A502" s="584"/>
      <c r="B502" s="572" t="s">
        <v>942</v>
      </c>
      <c r="C502" s="592">
        <f>'Sal._benef.'!$J$23</f>
        <v>99.300000000000011</v>
      </c>
      <c r="D502" s="642">
        <f>C502</f>
        <v>99.300000000000011</v>
      </c>
      <c r="E502" s="642">
        <f t="shared" si="414"/>
        <v>99.300000000000011</v>
      </c>
      <c r="F502" s="592">
        <f t="shared" si="414"/>
        <v>99.300000000000011</v>
      </c>
      <c r="G502" s="592">
        <f t="shared" si="414"/>
        <v>99.300000000000011</v>
      </c>
      <c r="H502" s="592">
        <f t="shared" si="414"/>
        <v>99.300000000000011</v>
      </c>
      <c r="I502" s="592">
        <f t="shared" si="414"/>
        <v>99.300000000000011</v>
      </c>
      <c r="J502" s="592">
        <f t="shared" si="414"/>
        <v>99.300000000000011</v>
      </c>
      <c r="K502" s="592">
        <f t="shared" si="414"/>
        <v>99.300000000000011</v>
      </c>
      <c r="L502" s="592">
        <f t="shared" si="414"/>
        <v>99.300000000000011</v>
      </c>
      <c r="M502" s="592">
        <f t="shared" si="414"/>
        <v>99.300000000000011</v>
      </c>
      <c r="N502" s="592">
        <f t="shared" si="414"/>
        <v>99.300000000000011</v>
      </c>
      <c r="O502" s="592">
        <f t="shared" si="414"/>
        <v>99.300000000000011</v>
      </c>
      <c r="P502" s="592">
        <f t="shared" si="414"/>
        <v>99.300000000000011</v>
      </c>
      <c r="Q502" s="592">
        <f t="shared" si="414"/>
        <v>99.300000000000011</v>
      </c>
      <c r="R502" s="592">
        <f t="shared" si="414"/>
        <v>99.300000000000011</v>
      </c>
      <c r="S502" s="592">
        <f t="shared" si="414"/>
        <v>99.300000000000011</v>
      </c>
      <c r="T502" s="592">
        <f t="shared" si="414"/>
        <v>99.300000000000011</v>
      </c>
      <c r="U502" s="592">
        <f t="shared" si="415"/>
        <v>99.300000000000011</v>
      </c>
      <c r="V502" s="592">
        <f t="shared" si="415"/>
        <v>99.300000000000011</v>
      </c>
      <c r="W502" s="592">
        <f t="shared" si="415"/>
        <v>99.300000000000011</v>
      </c>
      <c r="X502" s="592">
        <f t="shared" si="415"/>
        <v>99.300000000000011</v>
      </c>
      <c r="Y502" s="592">
        <f t="shared" si="415"/>
        <v>99.300000000000011</v>
      </c>
      <c r="Z502" s="592">
        <f t="shared" si="415"/>
        <v>99.300000000000011</v>
      </c>
      <c r="AA502" s="592">
        <f t="shared" si="415"/>
        <v>99.300000000000011</v>
      </c>
      <c r="AB502" s="592">
        <f t="shared" si="415"/>
        <v>99.300000000000011</v>
      </c>
      <c r="AC502" s="592">
        <f t="shared" si="415"/>
        <v>99.300000000000011</v>
      </c>
      <c r="AD502" s="592">
        <f t="shared" si="415"/>
        <v>99.300000000000011</v>
      </c>
      <c r="AE502" s="592">
        <f t="shared" si="415"/>
        <v>99.300000000000011</v>
      </c>
      <c r="AF502" s="592">
        <f t="shared" si="415"/>
        <v>99.300000000000011</v>
      </c>
      <c r="AH502" s="538"/>
      <c r="AK502" s="531"/>
      <c r="AM502" s="594"/>
      <c r="AN502" s="535"/>
      <c r="AP502" s="540"/>
      <c r="AQ502" s="540"/>
    </row>
    <row r="503" spans="1:43" s="513" customFormat="1" ht="16.5" hidden="1" customHeight="1" outlineLevel="2">
      <c r="A503" s="584"/>
      <c r="B503" s="572" t="s">
        <v>862</v>
      </c>
      <c r="C503" s="642">
        <v>0</v>
      </c>
      <c r="D503" s="642">
        <f t="shared" ref="D503" si="416">C503</f>
        <v>0</v>
      </c>
      <c r="E503" s="642">
        <f t="shared" si="414"/>
        <v>0</v>
      </c>
      <c r="F503" s="592">
        <f t="shared" si="414"/>
        <v>0</v>
      </c>
      <c r="G503" s="592">
        <f t="shared" si="414"/>
        <v>0</v>
      </c>
      <c r="H503" s="592">
        <f t="shared" si="414"/>
        <v>0</v>
      </c>
      <c r="I503" s="592">
        <f t="shared" si="414"/>
        <v>0</v>
      </c>
      <c r="J503" s="592">
        <f t="shared" si="414"/>
        <v>0</v>
      </c>
      <c r="K503" s="592">
        <f t="shared" si="414"/>
        <v>0</v>
      </c>
      <c r="L503" s="592">
        <f t="shared" si="414"/>
        <v>0</v>
      </c>
      <c r="M503" s="592">
        <f t="shared" si="414"/>
        <v>0</v>
      </c>
      <c r="N503" s="592">
        <f t="shared" si="414"/>
        <v>0</v>
      </c>
      <c r="O503" s="592">
        <f t="shared" si="414"/>
        <v>0</v>
      </c>
      <c r="P503" s="592">
        <f t="shared" si="414"/>
        <v>0</v>
      </c>
      <c r="Q503" s="592">
        <f t="shared" si="414"/>
        <v>0</v>
      </c>
      <c r="R503" s="592">
        <f t="shared" si="414"/>
        <v>0</v>
      </c>
      <c r="S503" s="592">
        <f t="shared" si="414"/>
        <v>0</v>
      </c>
      <c r="T503" s="592">
        <f t="shared" si="414"/>
        <v>0</v>
      </c>
      <c r="U503" s="592">
        <f t="shared" si="415"/>
        <v>0</v>
      </c>
      <c r="V503" s="592">
        <f t="shared" si="415"/>
        <v>0</v>
      </c>
      <c r="W503" s="592">
        <f t="shared" si="415"/>
        <v>0</v>
      </c>
      <c r="X503" s="592">
        <f t="shared" si="415"/>
        <v>0</v>
      </c>
      <c r="Y503" s="592">
        <f t="shared" si="415"/>
        <v>0</v>
      </c>
      <c r="Z503" s="592">
        <f t="shared" si="415"/>
        <v>0</v>
      </c>
      <c r="AA503" s="592">
        <f t="shared" si="415"/>
        <v>0</v>
      </c>
      <c r="AB503" s="592">
        <f t="shared" si="415"/>
        <v>0</v>
      </c>
      <c r="AC503" s="592">
        <f t="shared" si="415"/>
        <v>0</v>
      </c>
      <c r="AD503" s="592">
        <f t="shared" si="415"/>
        <v>0</v>
      </c>
      <c r="AE503" s="592">
        <f t="shared" si="415"/>
        <v>0</v>
      </c>
      <c r="AF503" s="592">
        <f t="shared" si="415"/>
        <v>0</v>
      </c>
      <c r="AH503" s="538"/>
      <c r="AK503" s="531"/>
      <c r="AM503" s="594"/>
      <c r="AN503" s="535"/>
      <c r="AP503" s="540"/>
      <c r="AQ503" s="540"/>
    </row>
    <row r="504" spans="1:43" s="546" customFormat="1" ht="16.5" hidden="1" customHeight="1" outlineLevel="2">
      <c r="A504" s="584"/>
      <c r="B504" s="613" t="s">
        <v>931</v>
      </c>
      <c r="C504" s="637">
        <f>C505*(C506+C507+C508+C509)</f>
        <v>0</v>
      </c>
      <c r="D504" s="637">
        <f t="shared" ref="D504:AF504" si="417">D505*(D506+D507+D508+D509)</f>
        <v>0</v>
      </c>
      <c r="E504" s="637">
        <f t="shared" si="417"/>
        <v>0</v>
      </c>
      <c r="F504" s="570">
        <f t="shared" si="417"/>
        <v>0</v>
      </c>
      <c r="G504" s="570">
        <f t="shared" si="417"/>
        <v>0</v>
      </c>
      <c r="H504" s="570">
        <f t="shared" si="417"/>
        <v>0</v>
      </c>
      <c r="I504" s="570">
        <f t="shared" si="417"/>
        <v>0</v>
      </c>
      <c r="J504" s="570">
        <f t="shared" si="417"/>
        <v>0</v>
      </c>
      <c r="K504" s="570">
        <f t="shared" si="417"/>
        <v>0</v>
      </c>
      <c r="L504" s="570">
        <f t="shared" si="417"/>
        <v>0</v>
      </c>
      <c r="M504" s="570">
        <f t="shared" si="417"/>
        <v>0</v>
      </c>
      <c r="N504" s="570">
        <f t="shared" si="417"/>
        <v>0</v>
      </c>
      <c r="O504" s="570">
        <f t="shared" si="417"/>
        <v>0</v>
      </c>
      <c r="P504" s="570">
        <f t="shared" si="417"/>
        <v>0</v>
      </c>
      <c r="Q504" s="570">
        <f t="shared" si="417"/>
        <v>0</v>
      </c>
      <c r="R504" s="570">
        <f t="shared" si="417"/>
        <v>0</v>
      </c>
      <c r="S504" s="570">
        <f t="shared" si="417"/>
        <v>0</v>
      </c>
      <c r="T504" s="570">
        <f t="shared" si="417"/>
        <v>0</v>
      </c>
      <c r="U504" s="570">
        <f t="shared" si="417"/>
        <v>0</v>
      </c>
      <c r="V504" s="570">
        <f t="shared" si="417"/>
        <v>0</v>
      </c>
      <c r="W504" s="570">
        <f t="shared" si="417"/>
        <v>0</v>
      </c>
      <c r="X504" s="570">
        <f t="shared" si="417"/>
        <v>0</v>
      </c>
      <c r="Y504" s="570">
        <f t="shared" si="417"/>
        <v>0</v>
      </c>
      <c r="Z504" s="570">
        <f t="shared" si="417"/>
        <v>0</v>
      </c>
      <c r="AA504" s="570">
        <f t="shared" si="417"/>
        <v>0</v>
      </c>
      <c r="AB504" s="570">
        <f t="shared" si="417"/>
        <v>0</v>
      </c>
      <c r="AC504" s="570">
        <f t="shared" si="417"/>
        <v>0</v>
      </c>
      <c r="AD504" s="570">
        <f t="shared" si="417"/>
        <v>0</v>
      </c>
      <c r="AE504" s="570">
        <f t="shared" si="417"/>
        <v>0</v>
      </c>
      <c r="AF504" s="570">
        <f t="shared" si="417"/>
        <v>0</v>
      </c>
      <c r="AH504" s="571"/>
      <c r="AK504" s="531"/>
      <c r="AM504" s="594"/>
      <c r="AN504" s="535"/>
      <c r="AP504" s="549"/>
      <c r="AQ504" s="549"/>
    </row>
    <row r="505" spans="1:43" s="586" customFormat="1" ht="16.5" hidden="1" customHeight="1" outlineLevel="2">
      <c r="A505" s="584"/>
      <c r="B505" s="585" t="s">
        <v>805</v>
      </c>
      <c r="C505" s="554">
        <f t="shared" ref="C505:AF505" si="418">C486</f>
        <v>0</v>
      </c>
      <c r="D505" s="554">
        <f t="shared" si="418"/>
        <v>0</v>
      </c>
      <c r="E505" s="554">
        <f t="shared" si="418"/>
        <v>0</v>
      </c>
      <c r="F505" s="554">
        <f t="shared" si="418"/>
        <v>0</v>
      </c>
      <c r="G505" s="554">
        <f t="shared" si="418"/>
        <v>0</v>
      </c>
      <c r="H505" s="554">
        <f t="shared" si="418"/>
        <v>0</v>
      </c>
      <c r="I505" s="554">
        <f t="shared" si="418"/>
        <v>0</v>
      </c>
      <c r="J505" s="554">
        <f t="shared" si="418"/>
        <v>0</v>
      </c>
      <c r="K505" s="554">
        <f t="shared" si="418"/>
        <v>0</v>
      </c>
      <c r="L505" s="554">
        <f t="shared" si="418"/>
        <v>0</v>
      </c>
      <c r="M505" s="554">
        <f t="shared" si="418"/>
        <v>0</v>
      </c>
      <c r="N505" s="554">
        <f t="shared" si="418"/>
        <v>0</v>
      </c>
      <c r="O505" s="554">
        <f t="shared" si="418"/>
        <v>0</v>
      </c>
      <c r="P505" s="554">
        <f t="shared" si="418"/>
        <v>0</v>
      </c>
      <c r="Q505" s="554">
        <f t="shared" si="418"/>
        <v>0</v>
      </c>
      <c r="R505" s="554">
        <f t="shared" si="418"/>
        <v>0</v>
      </c>
      <c r="S505" s="554">
        <f t="shared" si="418"/>
        <v>0</v>
      </c>
      <c r="T505" s="554">
        <f t="shared" si="418"/>
        <v>0</v>
      </c>
      <c r="U505" s="554">
        <f t="shared" si="418"/>
        <v>0</v>
      </c>
      <c r="V505" s="554">
        <f t="shared" si="418"/>
        <v>0</v>
      </c>
      <c r="W505" s="554">
        <f t="shared" si="418"/>
        <v>0</v>
      </c>
      <c r="X505" s="554">
        <f t="shared" si="418"/>
        <v>0</v>
      </c>
      <c r="Y505" s="554">
        <f t="shared" si="418"/>
        <v>0</v>
      </c>
      <c r="Z505" s="554">
        <f t="shared" si="418"/>
        <v>0</v>
      </c>
      <c r="AA505" s="554">
        <f t="shared" si="418"/>
        <v>0</v>
      </c>
      <c r="AB505" s="554">
        <f t="shared" si="418"/>
        <v>0</v>
      </c>
      <c r="AC505" s="554">
        <f t="shared" si="418"/>
        <v>0</v>
      </c>
      <c r="AD505" s="554">
        <f t="shared" si="418"/>
        <v>0</v>
      </c>
      <c r="AE505" s="554">
        <f t="shared" si="418"/>
        <v>0</v>
      </c>
      <c r="AF505" s="554">
        <f t="shared" si="418"/>
        <v>0</v>
      </c>
      <c r="AH505" s="587"/>
      <c r="AK505" s="588"/>
      <c r="AM505" s="624"/>
      <c r="AN505" s="590"/>
      <c r="AP505" s="591"/>
      <c r="AQ505" s="591"/>
    </row>
    <row r="506" spans="1:43" s="513" customFormat="1" ht="16.5" hidden="1" customHeight="1" outlineLevel="2">
      <c r="A506" s="584"/>
      <c r="B506" s="572" t="s">
        <v>940</v>
      </c>
      <c r="C506" s="592">
        <f>'Sal._benef.'!$I$19</f>
        <v>500</v>
      </c>
      <c r="D506" s="642">
        <f>C506</f>
        <v>500</v>
      </c>
      <c r="E506" s="642">
        <f t="shared" ref="E506:T509" si="419">D506</f>
        <v>500</v>
      </c>
      <c r="F506" s="592">
        <f t="shared" si="419"/>
        <v>500</v>
      </c>
      <c r="G506" s="592">
        <f t="shared" si="419"/>
        <v>500</v>
      </c>
      <c r="H506" s="592">
        <f t="shared" si="419"/>
        <v>500</v>
      </c>
      <c r="I506" s="592">
        <f t="shared" si="419"/>
        <v>500</v>
      </c>
      <c r="J506" s="592">
        <f t="shared" si="419"/>
        <v>500</v>
      </c>
      <c r="K506" s="592">
        <f t="shared" si="419"/>
        <v>500</v>
      </c>
      <c r="L506" s="592">
        <f t="shared" si="419"/>
        <v>500</v>
      </c>
      <c r="M506" s="592">
        <f t="shared" si="419"/>
        <v>500</v>
      </c>
      <c r="N506" s="592">
        <f t="shared" si="419"/>
        <v>500</v>
      </c>
      <c r="O506" s="592">
        <f t="shared" si="419"/>
        <v>500</v>
      </c>
      <c r="P506" s="592">
        <f t="shared" si="419"/>
        <v>500</v>
      </c>
      <c r="Q506" s="592">
        <f t="shared" si="419"/>
        <v>500</v>
      </c>
      <c r="R506" s="592">
        <f t="shared" si="419"/>
        <v>500</v>
      </c>
      <c r="S506" s="592">
        <f t="shared" si="419"/>
        <v>500</v>
      </c>
      <c r="T506" s="592">
        <f t="shared" si="419"/>
        <v>500</v>
      </c>
      <c r="U506" s="592">
        <f t="shared" ref="U506:AF509" si="420">T506</f>
        <v>500</v>
      </c>
      <c r="V506" s="592">
        <f t="shared" si="420"/>
        <v>500</v>
      </c>
      <c r="W506" s="592">
        <f t="shared" si="420"/>
        <v>500</v>
      </c>
      <c r="X506" s="592">
        <f t="shared" si="420"/>
        <v>500</v>
      </c>
      <c r="Y506" s="592">
        <f t="shared" si="420"/>
        <v>500</v>
      </c>
      <c r="Z506" s="592">
        <f t="shared" si="420"/>
        <v>500</v>
      </c>
      <c r="AA506" s="592">
        <f t="shared" si="420"/>
        <v>500</v>
      </c>
      <c r="AB506" s="592">
        <f t="shared" si="420"/>
        <v>500</v>
      </c>
      <c r="AC506" s="592">
        <f t="shared" si="420"/>
        <v>500</v>
      </c>
      <c r="AD506" s="592">
        <f t="shared" si="420"/>
        <v>500</v>
      </c>
      <c r="AE506" s="592">
        <f t="shared" si="420"/>
        <v>500</v>
      </c>
      <c r="AF506" s="592">
        <f t="shared" si="420"/>
        <v>500</v>
      </c>
      <c r="AH506" s="538"/>
      <c r="AK506" s="531"/>
      <c r="AM506" s="594"/>
      <c r="AN506" s="535"/>
      <c r="AP506" s="540"/>
      <c r="AQ506" s="540"/>
    </row>
    <row r="507" spans="1:43" s="513" customFormat="1" ht="16.5" hidden="1" customHeight="1" outlineLevel="2">
      <c r="A507" s="584"/>
      <c r="B507" s="572" t="s">
        <v>941</v>
      </c>
      <c r="C507" s="592">
        <f>'Sal._benef.'!$K$19</f>
        <v>5.53</v>
      </c>
      <c r="D507" s="642">
        <f>C507</f>
        <v>5.53</v>
      </c>
      <c r="E507" s="642">
        <f t="shared" si="419"/>
        <v>5.53</v>
      </c>
      <c r="F507" s="592">
        <f t="shared" si="419"/>
        <v>5.53</v>
      </c>
      <c r="G507" s="592">
        <f t="shared" si="419"/>
        <v>5.53</v>
      </c>
      <c r="H507" s="592">
        <f t="shared" si="419"/>
        <v>5.53</v>
      </c>
      <c r="I507" s="592">
        <f t="shared" si="419"/>
        <v>5.53</v>
      </c>
      <c r="J507" s="592">
        <f t="shared" si="419"/>
        <v>5.53</v>
      </c>
      <c r="K507" s="592">
        <f t="shared" si="419"/>
        <v>5.53</v>
      </c>
      <c r="L507" s="592">
        <f t="shared" si="419"/>
        <v>5.53</v>
      </c>
      <c r="M507" s="592">
        <f t="shared" si="419"/>
        <v>5.53</v>
      </c>
      <c r="N507" s="592">
        <f t="shared" si="419"/>
        <v>5.53</v>
      </c>
      <c r="O507" s="592">
        <f t="shared" si="419"/>
        <v>5.53</v>
      </c>
      <c r="P507" s="592">
        <f t="shared" si="419"/>
        <v>5.53</v>
      </c>
      <c r="Q507" s="592">
        <f t="shared" si="419"/>
        <v>5.53</v>
      </c>
      <c r="R507" s="592">
        <f t="shared" si="419"/>
        <v>5.53</v>
      </c>
      <c r="S507" s="592">
        <f t="shared" si="419"/>
        <v>5.53</v>
      </c>
      <c r="T507" s="592">
        <f t="shared" si="419"/>
        <v>5.53</v>
      </c>
      <c r="U507" s="592">
        <f t="shared" si="420"/>
        <v>5.53</v>
      </c>
      <c r="V507" s="592">
        <f t="shared" si="420"/>
        <v>5.53</v>
      </c>
      <c r="W507" s="592">
        <f t="shared" si="420"/>
        <v>5.53</v>
      </c>
      <c r="X507" s="592">
        <f t="shared" si="420"/>
        <v>5.53</v>
      </c>
      <c r="Y507" s="592">
        <f t="shared" si="420"/>
        <v>5.53</v>
      </c>
      <c r="Z507" s="592">
        <f t="shared" si="420"/>
        <v>5.53</v>
      </c>
      <c r="AA507" s="592">
        <f t="shared" si="420"/>
        <v>5.53</v>
      </c>
      <c r="AB507" s="592">
        <f t="shared" si="420"/>
        <v>5.53</v>
      </c>
      <c r="AC507" s="592">
        <f t="shared" si="420"/>
        <v>5.53</v>
      </c>
      <c r="AD507" s="592">
        <f t="shared" si="420"/>
        <v>5.53</v>
      </c>
      <c r="AE507" s="592">
        <f t="shared" si="420"/>
        <v>5.53</v>
      </c>
      <c r="AF507" s="592">
        <f t="shared" si="420"/>
        <v>5.53</v>
      </c>
      <c r="AH507" s="538"/>
      <c r="AK507" s="531"/>
      <c r="AM507" s="594"/>
      <c r="AN507" s="535"/>
      <c r="AP507" s="540"/>
      <c r="AQ507" s="540"/>
    </row>
    <row r="508" spans="1:43" s="513" customFormat="1" ht="16.5" hidden="1" customHeight="1" outlineLevel="2">
      <c r="A508" s="584"/>
      <c r="B508" s="572" t="s">
        <v>942</v>
      </c>
      <c r="C508" s="592">
        <f>'Sal._benef.'!$J$19</f>
        <v>141.18</v>
      </c>
      <c r="D508" s="642">
        <f>C508</f>
        <v>141.18</v>
      </c>
      <c r="E508" s="642">
        <f t="shared" si="419"/>
        <v>141.18</v>
      </c>
      <c r="F508" s="592">
        <f t="shared" si="419"/>
        <v>141.18</v>
      </c>
      <c r="G508" s="592">
        <f t="shared" si="419"/>
        <v>141.18</v>
      </c>
      <c r="H508" s="592">
        <f t="shared" si="419"/>
        <v>141.18</v>
      </c>
      <c r="I508" s="592">
        <f t="shared" si="419"/>
        <v>141.18</v>
      </c>
      <c r="J508" s="592">
        <f t="shared" si="419"/>
        <v>141.18</v>
      </c>
      <c r="K508" s="592">
        <f t="shared" si="419"/>
        <v>141.18</v>
      </c>
      <c r="L508" s="592">
        <f t="shared" si="419"/>
        <v>141.18</v>
      </c>
      <c r="M508" s="592">
        <f t="shared" si="419"/>
        <v>141.18</v>
      </c>
      <c r="N508" s="592">
        <f t="shared" si="419"/>
        <v>141.18</v>
      </c>
      <c r="O508" s="592">
        <f t="shared" si="419"/>
        <v>141.18</v>
      </c>
      <c r="P508" s="592">
        <f t="shared" si="419"/>
        <v>141.18</v>
      </c>
      <c r="Q508" s="592">
        <f t="shared" si="419"/>
        <v>141.18</v>
      </c>
      <c r="R508" s="592">
        <f t="shared" si="419"/>
        <v>141.18</v>
      </c>
      <c r="S508" s="592">
        <f t="shared" si="419"/>
        <v>141.18</v>
      </c>
      <c r="T508" s="592">
        <f t="shared" si="419"/>
        <v>141.18</v>
      </c>
      <c r="U508" s="592">
        <f t="shared" si="420"/>
        <v>141.18</v>
      </c>
      <c r="V508" s="592">
        <f t="shared" si="420"/>
        <v>141.18</v>
      </c>
      <c r="W508" s="592">
        <f t="shared" si="420"/>
        <v>141.18</v>
      </c>
      <c r="X508" s="592">
        <f t="shared" si="420"/>
        <v>141.18</v>
      </c>
      <c r="Y508" s="592">
        <f t="shared" si="420"/>
        <v>141.18</v>
      </c>
      <c r="Z508" s="592">
        <f t="shared" si="420"/>
        <v>141.18</v>
      </c>
      <c r="AA508" s="592">
        <f t="shared" si="420"/>
        <v>141.18</v>
      </c>
      <c r="AB508" s="592">
        <f t="shared" si="420"/>
        <v>141.18</v>
      </c>
      <c r="AC508" s="592">
        <f t="shared" si="420"/>
        <v>141.18</v>
      </c>
      <c r="AD508" s="592">
        <f t="shared" si="420"/>
        <v>141.18</v>
      </c>
      <c r="AE508" s="592">
        <f t="shared" si="420"/>
        <v>141.18</v>
      </c>
      <c r="AF508" s="592">
        <f t="shared" si="420"/>
        <v>141.18</v>
      </c>
      <c r="AH508" s="538"/>
      <c r="AK508" s="531"/>
      <c r="AM508" s="594"/>
      <c r="AN508" s="535"/>
      <c r="AP508" s="540"/>
      <c r="AQ508" s="540"/>
    </row>
    <row r="509" spans="1:43" s="513" customFormat="1" ht="16.5" hidden="1" customHeight="1" outlineLevel="2">
      <c r="A509" s="584"/>
      <c r="B509" s="572" t="s">
        <v>862</v>
      </c>
      <c r="C509" s="592">
        <v>0</v>
      </c>
      <c r="D509" s="592">
        <f t="shared" ref="D509" si="421">C509</f>
        <v>0</v>
      </c>
      <c r="E509" s="592">
        <f t="shared" si="419"/>
        <v>0</v>
      </c>
      <c r="F509" s="592">
        <f t="shared" si="419"/>
        <v>0</v>
      </c>
      <c r="G509" s="592">
        <f t="shared" si="419"/>
        <v>0</v>
      </c>
      <c r="H509" s="592">
        <f t="shared" si="419"/>
        <v>0</v>
      </c>
      <c r="I509" s="592">
        <f t="shared" si="419"/>
        <v>0</v>
      </c>
      <c r="J509" s="592">
        <f t="shared" si="419"/>
        <v>0</v>
      </c>
      <c r="K509" s="592">
        <f t="shared" si="419"/>
        <v>0</v>
      </c>
      <c r="L509" s="592">
        <f t="shared" si="419"/>
        <v>0</v>
      </c>
      <c r="M509" s="592">
        <f t="shared" si="419"/>
        <v>0</v>
      </c>
      <c r="N509" s="592">
        <f t="shared" si="419"/>
        <v>0</v>
      </c>
      <c r="O509" s="592">
        <f t="shared" si="419"/>
        <v>0</v>
      </c>
      <c r="P509" s="592">
        <f t="shared" si="419"/>
        <v>0</v>
      </c>
      <c r="Q509" s="592">
        <f t="shared" si="419"/>
        <v>0</v>
      </c>
      <c r="R509" s="592">
        <f t="shared" si="419"/>
        <v>0</v>
      </c>
      <c r="S509" s="592">
        <f t="shared" si="419"/>
        <v>0</v>
      </c>
      <c r="T509" s="592">
        <f t="shared" si="419"/>
        <v>0</v>
      </c>
      <c r="U509" s="592">
        <f t="shared" si="420"/>
        <v>0</v>
      </c>
      <c r="V509" s="592">
        <f t="shared" si="420"/>
        <v>0</v>
      </c>
      <c r="W509" s="592">
        <f t="shared" si="420"/>
        <v>0</v>
      </c>
      <c r="X509" s="592">
        <f t="shared" si="420"/>
        <v>0</v>
      </c>
      <c r="Y509" s="592">
        <f t="shared" si="420"/>
        <v>0</v>
      </c>
      <c r="Z509" s="592">
        <f t="shared" si="420"/>
        <v>0</v>
      </c>
      <c r="AA509" s="592">
        <f t="shared" si="420"/>
        <v>0</v>
      </c>
      <c r="AB509" s="592">
        <f t="shared" si="420"/>
        <v>0</v>
      </c>
      <c r="AC509" s="592">
        <f t="shared" si="420"/>
        <v>0</v>
      </c>
      <c r="AD509" s="592">
        <f t="shared" si="420"/>
        <v>0</v>
      </c>
      <c r="AE509" s="592">
        <f t="shared" si="420"/>
        <v>0</v>
      </c>
      <c r="AF509" s="592">
        <f t="shared" si="420"/>
        <v>0</v>
      </c>
      <c r="AH509" s="538"/>
      <c r="AK509" s="531"/>
      <c r="AM509" s="594"/>
      <c r="AN509" s="535"/>
      <c r="AP509" s="540"/>
      <c r="AQ509" s="540"/>
    </row>
    <row r="510" spans="1:43" ht="3" hidden="1" customHeight="1" outlineLevel="2">
      <c r="A510" s="584"/>
      <c r="B510" s="609"/>
      <c r="C510" s="611"/>
      <c r="D510" s="611"/>
      <c r="E510" s="610"/>
      <c r="F510" s="610"/>
      <c r="G510" s="610"/>
      <c r="H510" s="610"/>
      <c r="I510" s="610"/>
      <c r="J510" s="610"/>
      <c r="K510" s="610"/>
      <c r="L510" s="610"/>
      <c r="M510" s="610"/>
      <c r="N510" s="610"/>
      <c r="O510" s="610"/>
      <c r="P510" s="610"/>
      <c r="Q510" s="610"/>
      <c r="R510" s="610"/>
      <c r="S510" s="610"/>
      <c r="T510" s="610"/>
      <c r="U510" s="610"/>
      <c r="V510" s="610"/>
      <c r="W510" s="610"/>
      <c r="X510" s="610"/>
      <c r="Y510" s="610"/>
      <c r="Z510" s="610"/>
      <c r="AA510" s="610"/>
      <c r="AB510" s="610"/>
      <c r="AC510" s="610"/>
      <c r="AD510" s="610"/>
      <c r="AE510" s="610"/>
      <c r="AF510" s="610"/>
      <c r="AH510" s="593"/>
      <c r="AK510" s="531"/>
      <c r="AM510" s="594"/>
      <c r="AN510" s="535"/>
      <c r="AP510" s="535"/>
      <c r="AQ510" s="535"/>
    </row>
    <row r="511" spans="1:43" s="564" customFormat="1" ht="16.5" hidden="1" customHeight="1" outlineLevel="1" collapsed="1">
      <c r="A511" s="584"/>
      <c r="B511" s="576" t="s">
        <v>943</v>
      </c>
      <c r="C511" s="577">
        <f>SUM(C512,C515)/10^3</f>
        <v>0</v>
      </c>
      <c r="D511" s="577">
        <f t="shared" ref="D511:AF511" si="422">SUM(D512,D515)/10^3</f>
        <v>0</v>
      </c>
      <c r="E511" s="577">
        <f t="shared" si="422"/>
        <v>2.68296</v>
      </c>
      <c r="F511" s="577">
        <f t="shared" si="422"/>
        <v>2.68296</v>
      </c>
      <c r="G511" s="577">
        <f t="shared" si="422"/>
        <v>2.68296</v>
      </c>
      <c r="H511" s="577">
        <f t="shared" si="422"/>
        <v>2.68296</v>
      </c>
      <c r="I511" s="577">
        <f t="shared" si="422"/>
        <v>2.68296</v>
      </c>
      <c r="J511" s="577">
        <f t="shared" si="422"/>
        <v>2.68296</v>
      </c>
      <c r="K511" s="577">
        <f t="shared" si="422"/>
        <v>2.68296</v>
      </c>
      <c r="L511" s="577">
        <f t="shared" si="422"/>
        <v>2.68296</v>
      </c>
      <c r="M511" s="577">
        <f t="shared" si="422"/>
        <v>2.68296</v>
      </c>
      <c r="N511" s="577">
        <f t="shared" si="422"/>
        <v>2.68296</v>
      </c>
      <c r="O511" s="577">
        <f t="shared" si="422"/>
        <v>2.68296</v>
      </c>
      <c r="P511" s="577">
        <f t="shared" si="422"/>
        <v>2.68296</v>
      </c>
      <c r="Q511" s="577">
        <f t="shared" si="422"/>
        <v>2.68296</v>
      </c>
      <c r="R511" s="577">
        <f t="shared" si="422"/>
        <v>2.68296</v>
      </c>
      <c r="S511" s="577">
        <f t="shared" si="422"/>
        <v>2.68296</v>
      </c>
      <c r="T511" s="577">
        <f t="shared" si="422"/>
        <v>2.68296</v>
      </c>
      <c r="U511" s="577">
        <f t="shared" si="422"/>
        <v>2.68296</v>
      </c>
      <c r="V511" s="577">
        <f t="shared" si="422"/>
        <v>2.68296</v>
      </c>
      <c r="W511" s="577">
        <f t="shared" si="422"/>
        <v>2.68296</v>
      </c>
      <c r="X511" s="577">
        <f t="shared" si="422"/>
        <v>2.68296</v>
      </c>
      <c r="Y511" s="577">
        <f t="shared" si="422"/>
        <v>2.68296</v>
      </c>
      <c r="Z511" s="577">
        <f t="shared" si="422"/>
        <v>2.68296</v>
      </c>
      <c r="AA511" s="577">
        <f t="shared" si="422"/>
        <v>2.68296</v>
      </c>
      <c r="AB511" s="577">
        <f t="shared" si="422"/>
        <v>2.68296</v>
      </c>
      <c r="AC511" s="577">
        <f t="shared" si="422"/>
        <v>2.68296</v>
      </c>
      <c r="AD511" s="577">
        <f t="shared" si="422"/>
        <v>2.68296</v>
      </c>
      <c r="AE511" s="577">
        <f t="shared" si="422"/>
        <v>2.68296</v>
      </c>
      <c r="AF511" s="577">
        <f t="shared" si="422"/>
        <v>2.68296</v>
      </c>
      <c r="AH511" s="578">
        <f>SUM(C511:AF511)</f>
        <v>75.122879999999995</v>
      </c>
      <c r="AJ511" s="579"/>
      <c r="AK511" s="531"/>
      <c r="AM511" s="594"/>
      <c r="AN511" s="535"/>
      <c r="AP511" s="568"/>
      <c r="AQ511" s="568"/>
    </row>
    <row r="512" spans="1:43" s="546" customFormat="1" ht="16.5" hidden="1" customHeight="1" outlineLevel="2">
      <c r="A512" s="584"/>
      <c r="B512" s="613" t="s">
        <v>927</v>
      </c>
      <c r="C512" s="637">
        <f>C513*C514</f>
        <v>0</v>
      </c>
      <c r="D512" s="637">
        <f t="shared" ref="D512:AF512" si="423">D513*D514</f>
        <v>0</v>
      </c>
      <c r="E512" s="637">
        <f t="shared" si="423"/>
        <v>2682.96</v>
      </c>
      <c r="F512" s="570">
        <f t="shared" si="423"/>
        <v>2682.96</v>
      </c>
      <c r="G512" s="570">
        <f t="shared" si="423"/>
        <v>2682.96</v>
      </c>
      <c r="H512" s="570">
        <f t="shared" si="423"/>
        <v>2682.96</v>
      </c>
      <c r="I512" s="570">
        <f t="shared" si="423"/>
        <v>2682.96</v>
      </c>
      <c r="J512" s="570">
        <f t="shared" si="423"/>
        <v>2682.96</v>
      </c>
      <c r="K512" s="570">
        <f t="shared" si="423"/>
        <v>2682.96</v>
      </c>
      <c r="L512" s="570">
        <f t="shared" si="423"/>
        <v>2682.96</v>
      </c>
      <c r="M512" s="570">
        <f t="shared" si="423"/>
        <v>2682.96</v>
      </c>
      <c r="N512" s="570">
        <f t="shared" si="423"/>
        <v>2682.96</v>
      </c>
      <c r="O512" s="570">
        <f t="shared" si="423"/>
        <v>2682.96</v>
      </c>
      <c r="P512" s="570">
        <f t="shared" si="423"/>
        <v>2682.96</v>
      </c>
      <c r="Q512" s="570">
        <f t="shared" si="423"/>
        <v>2682.96</v>
      </c>
      <c r="R512" s="570">
        <f t="shared" si="423"/>
        <v>2682.96</v>
      </c>
      <c r="S512" s="570">
        <f t="shared" si="423"/>
        <v>2682.96</v>
      </c>
      <c r="T512" s="570">
        <f t="shared" si="423"/>
        <v>2682.96</v>
      </c>
      <c r="U512" s="570">
        <f t="shared" si="423"/>
        <v>2682.96</v>
      </c>
      <c r="V512" s="570">
        <f t="shared" si="423"/>
        <v>2682.96</v>
      </c>
      <c r="W512" s="570">
        <f t="shared" si="423"/>
        <v>2682.96</v>
      </c>
      <c r="X512" s="570">
        <f t="shared" si="423"/>
        <v>2682.96</v>
      </c>
      <c r="Y512" s="570">
        <f t="shared" si="423"/>
        <v>2682.96</v>
      </c>
      <c r="Z512" s="570">
        <f t="shared" si="423"/>
        <v>2682.96</v>
      </c>
      <c r="AA512" s="570">
        <f t="shared" si="423"/>
        <v>2682.96</v>
      </c>
      <c r="AB512" s="570">
        <f t="shared" si="423"/>
        <v>2682.96</v>
      </c>
      <c r="AC512" s="570">
        <f t="shared" si="423"/>
        <v>2682.96</v>
      </c>
      <c r="AD512" s="570">
        <f t="shared" si="423"/>
        <v>2682.96</v>
      </c>
      <c r="AE512" s="570">
        <f t="shared" si="423"/>
        <v>2682.96</v>
      </c>
      <c r="AF512" s="570">
        <f t="shared" si="423"/>
        <v>2682.96</v>
      </c>
      <c r="AH512" s="571"/>
      <c r="AK512" s="531"/>
      <c r="AM512" s="594"/>
      <c r="AN512" s="535"/>
      <c r="AP512" s="549"/>
      <c r="AQ512" s="549"/>
    </row>
    <row r="513" spans="1:43" s="586" customFormat="1" ht="16.5" hidden="1" customHeight="1" outlineLevel="2">
      <c r="A513" s="584"/>
      <c r="B513" s="585" t="s">
        <v>805</v>
      </c>
      <c r="C513" s="554">
        <f t="shared" ref="C513:AF513" si="424">C479</f>
        <v>0</v>
      </c>
      <c r="D513" s="554">
        <f t="shared" si="424"/>
        <v>0</v>
      </c>
      <c r="E513" s="554">
        <f t="shared" si="424"/>
        <v>1</v>
      </c>
      <c r="F513" s="554">
        <f t="shared" si="424"/>
        <v>1</v>
      </c>
      <c r="G513" s="554">
        <f t="shared" si="424"/>
        <v>1</v>
      </c>
      <c r="H513" s="554">
        <f t="shared" si="424"/>
        <v>1</v>
      </c>
      <c r="I513" s="554">
        <f t="shared" si="424"/>
        <v>1</v>
      </c>
      <c r="J513" s="554">
        <f t="shared" si="424"/>
        <v>1</v>
      </c>
      <c r="K513" s="554">
        <f t="shared" si="424"/>
        <v>1</v>
      </c>
      <c r="L513" s="554">
        <f t="shared" si="424"/>
        <v>1</v>
      </c>
      <c r="M513" s="554">
        <f t="shared" si="424"/>
        <v>1</v>
      </c>
      <c r="N513" s="554">
        <f t="shared" si="424"/>
        <v>1</v>
      </c>
      <c r="O513" s="554">
        <f t="shared" si="424"/>
        <v>1</v>
      </c>
      <c r="P513" s="554">
        <f t="shared" si="424"/>
        <v>1</v>
      </c>
      <c r="Q513" s="554">
        <f t="shared" si="424"/>
        <v>1</v>
      </c>
      <c r="R513" s="554">
        <f t="shared" si="424"/>
        <v>1</v>
      </c>
      <c r="S513" s="554">
        <f t="shared" si="424"/>
        <v>1</v>
      </c>
      <c r="T513" s="554">
        <f t="shared" si="424"/>
        <v>1</v>
      </c>
      <c r="U513" s="554">
        <f t="shared" si="424"/>
        <v>1</v>
      </c>
      <c r="V513" s="554">
        <f t="shared" si="424"/>
        <v>1</v>
      </c>
      <c r="W513" s="554">
        <f t="shared" si="424"/>
        <v>1</v>
      </c>
      <c r="X513" s="554">
        <f t="shared" si="424"/>
        <v>1</v>
      </c>
      <c r="Y513" s="554">
        <f t="shared" si="424"/>
        <v>1</v>
      </c>
      <c r="Z513" s="554">
        <f t="shared" si="424"/>
        <v>1</v>
      </c>
      <c r="AA513" s="554">
        <f t="shared" si="424"/>
        <v>1</v>
      </c>
      <c r="AB513" s="554">
        <f t="shared" si="424"/>
        <v>1</v>
      </c>
      <c r="AC513" s="554">
        <f t="shared" si="424"/>
        <v>1</v>
      </c>
      <c r="AD513" s="554">
        <f t="shared" si="424"/>
        <v>1</v>
      </c>
      <c r="AE513" s="554">
        <f t="shared" si="424"/>
        <v>1</v>
      </c>
      <c r="AF513" s="554">
        <f t="shared" si="424"/>
        <v>1</v>
      </c>
      <c r="AH513" s="587"/>
      <c r="AK513" s="588"/>
      <c r="AM513" s="624"/>
      <c r="AN513" s="590"/>
      <c r="AP513" s="591"/>
      <c r="AQ513" s="591"/>
    </row>
    <row r="514" spans="1:43" s="513" customFormat="1" ht="16.5" hidden="1" customHeight="1" outlineLevel="2">
      <c r="A514" s="584"/>
      <c r="B514" s="572" t="s">
        <v>888</v>
      </c>
      <c r="C514" s="592">
        <f>EPIs_unif.!$D$16+EPIs_unif.!$D$42</f>
        <v>2682.96</v>
      </c>
      <c r="D514" s="642">
        <f>C514</f>
        <v>2682.96</v>
      </c>
      <c r="E514" s="642">
        <f t="shared" ref="E514:AF514" si="425">D514</f>
        <v>2682.96</v>
      </c>
      <c r="F514" s="592">
        <f t="shared" si="425"/>
        <v>2682.96</v>
      </c>
      <c r="G514" s="592">
        <f t="shared" si="425"/>
        <v>2682.96</v>
      </c>
      <c r="H514" s="592">
        <f t="shared" si="425"/>
        <v>2682.96</v>
      </c>
      <c r="I514" s="592">
        <f t="shared" si="425"/>
        <v>2682.96</v>
      </c>
      <c r="J514" s="592">
        <f t="shared" si="425"/>
        <v>2682.96</v>
      </c>
      <c r="K514" s="592">
        <f t="shared" si="425"/>
        <v>2682.96</v>
      </c>
      <c r="L514" s="592">
        <f t="shared" si="425"/>
        <v>2682.96</v>
      </c>
      <c r="M514" s="592">
        <f t="shared" si="425"/>
        <v>2682.96</v>
      </c>
      <c r="N514" s="592">
        <f t="shared" si="425"/>
        <v>2682.96</v>
      </c>
      <c r="O514" s="592">
        <f t="shared" si="425"/>
        <v>2682.96</v>
      </c>
      <c r="P514" s="592">
        <f t="shared" si="425"/>
        <v>2682.96</v>
      </c>
      <c r="Q514" s="592">
        <f t="shared" si="425"/>
        <v>2682.96</v>
      </c>
      <c r="R514" s="592">
        <f t="shared" si="425"/>
        <v>2682.96</v>
      </c>
      <c r="S514" s="592">
        <f t="shared" si="425"/>
        <v>2682.96</v>
      </c>
      <c r="T514" s="592">
        <f t="shared" si="425"/>
        <v>2682.96</v>
      </c>
      <c r="U514" s="592">
        <f t="shared" si="425"/>
        <v>2682.96</v>
      </c>
      <c r="V514" s="592">
        <f t="shared" si="425"/>
        <v>2682.96</v>
      </c>
      <c r="W514" s="592">
        <f t="shared" si="425"/>
        <v>2682.96</v>
      </c>
      <c r="X514" s="592">
        <f t="shared" si="425"/>
        <v>2682.96</v>
      </c>
      <c r="Y514" s="592">
        <f t="shared" si="425"/>
        <v>2682.96</v>
      </c>
      <c r="Z514" s="592">
        <f t="shared" si="425"/>
        <v>2682.96</v>
      </c>
      <c r="AA514" s="592">
        <f t="shared" si="425"/>
        <v>2682.96</v>
      </c>
      <c r="AB514" s="592">
        <f t="shared" si="425"/>
        <v>2682.96</v>
      </c>
      <c r="AC514" s="592">
        <f t="shared" si="425"/>
        <v>2682.96</v>
      </c>
      <c r="AD514" s="592">
        <f t="shared" si="425"/>
        <v>2682.96</v>
      </c>
      <c r="AE514" s="592">
        <f t="shared" si="425"/>
        <v>2682.96</v>
      </c>
      <c r="AF514" s="592">
        <f t="shared" si="425"/>
        <v>2682.96</v>
      </c>
      <c r="AH514" s="538"/>
      <c r="AK514" s="531"/>
      <c r="AM514" s="594"/>
      <c r="AN514" s="535"/>
      <c r="AP514" s="540"/>
      <c r="AQ514" s="540"/>
    </row>
    <row r="515" spans="1:43" s="546" customFormat="1" ht="16.5" hidden="1" customHeight="1" outlineLevel="2">
      <c r="A515" s="584"/>
      <c r="B515" s="613" t="s">
        <v>931</v>
      </c>
      <c r="C515" s="637">
        <f>C516*C517</f>
        <v>0</v>
      </c>
      <c r="D515" s="637">
        <f t="shared" ref="D515:AF515" si="426">D516*D517</f>
        <v>0</v>
      </c>
      <c r="E515" s="637">
        <f t="shared" si="426"/>
        <v>0</v>
      </c>
      <c r="F515" s="570">
        <f t="shared" si="426"/>
        <v>0</v>
      </c>
      <c r="G515" s="570">
        <f t="shared" si="426"/>
        <v>0</v>
      </c>
      <c r="H515" s="570">
        <f t="shared" si="426"/>
        <v>0</v>
      </c>
      <c r="I515" s="570">
        <f t="shared" si="426"/>
        <v>0</v>
      </c>
      <c r="J515" s="570">
        <f t="shared" si="426"/>
        <v>0</v>
      </c>
      <c r="K515" s="570">
        <f t="shared" si="426"/>
        <v>0</v>
      </c>
      <c r="L515" s="570">
        <f t="shared" si="426"/>
        <v>0</v>
      </c>
      <c r="M515" s="570">
        <f t="shared" si="426"/>
        <v>0</v>
      </c>
      <c r="N515" s="570">
        <f t="shared" si="426"/>
        <v>0</v>
      </c>
      <c r="O515" s="570">
        <f t="shared" si="426"/>
        <v>0</v>
      </c>
      <c r="P515" s="570">
        <f t="shared" si="426"/>
        <v>0</v>
      </c>
      <c r="Q515" s="570">
        <f t="shared" si="426"/>
        <v>0</v>
      </c>
      <c r="R515" s="570">
        <f t="shared" si="426"/>
        <v>0</v>
      </c>
      <c r="S515" s="570">
        <f t="shared" si="426"/>
        <v>0</v>
      </c>
      <c r="T515" s="570">
        <f t="shared" si="426"/>
        <v>0</v>
      </c>
      <c r="U515" s="570">
        <f t="shared" si="426"/>
        <v>0</v>
      </c>
      <c r="V515" s="570">
        <f t="shared" si="426"/>
        <v>0</v>
      </c>
      <c r="W515" s="570">
        <f t="shared" si="426"/>
        <v>0</v>
      </c>
      <c r="X515" s="570">
        <f t="shared" si="426"/>
        <v>0</v>
      </c>
      <c r="Y515" s="570">
        <f t="shared" si="426"/>
        <v>0</v>
      </c>
      <c r="Z515" s="570">
        <f t="shared" si="426"/>
        <v>0</v>
      </c>
      <c r="AA515" s="570">
        <f t="shared" si="426"/>
        <v>0</v>
      </c>
      <c r="AB515" s="570">
        <f t="shared" si="426"/>
        <v>0</v>
      </c>
      <c r="AC515" s="570">
        <f t="shared" si="426"/>
        <v>0</v>
      </c>
      <c r="AD515" s="570">
        <f t="shared" si="426"/>
        <v>0</v>
      </c>
      <c r="AE515" s="570">
        <f t="shared" si="426"/>
        <v>0</v>
      </c>
      <c r="AF515" s="570">
        <f t="shared" si="426"/>
        <v>0</v>
      </c>
      <c r="AH515" s="571"/>
      <c r="AK515" s="531"/>
      <c r="AM515" s="594"/>
      <c r="AN515" s="535"/>
      <c r="AP515" s="549"/>
      <c r="AQ515" s="549"/>
    </row>
    <row r="516" spans="1:43" s="586" customFormat="1" ht="16.5" hidden="1" customHeight="1" outlineLevel="2">
      <c r="A516" s="584"/>
      <c r="B516" s="585" t="s">
        <v>805</v>
      </c>
      <c r="C516" s="554">
        <f t="shared" ref="C516:AF516" si="427">C486</f>
        <v>0</v>
      </c>
      <c r="D516" s="554">
        <f t="shared" si="427"/>
        <v>0</v>
      </c>
      <c r="E516" s="554">
        <f t="shared" si="427"/>
        <v>0</v>
      </c>
      <c r="F516" s="554">
        <f t="shared" si="427"/>
        <v>0</v>
      </c>
      <c r="G516" s="554">
        <f t="shared" si="427"/>
        <v>0</v>
      </c>
      <c r="H516" s="554">
        <f t="shared" si="427"/>
        <v>0</v>
      </c>
      <c r="I516" s="554">
        <f t="shared" si="427"/>
        <v>0</v>
      </c>
      <c r="J516" s="554">
        <f t="shared" si="427"/>
        <v>0</v>
      </c>
      <c r="K516" s="554">
        <f t="shared" si="427"/>
        <v>0</v>
      </c>
      <c r="L516" s="554">
        <f t="shared" si="427"/>
        <v>0</v>
      </c>
      <c r="M516" s="554">
        <f t="shared" si="427"/>
        <v>0</v>
      </c>
      <c r="N516" s="554">
        <f t="shared" si="427"/>
        <v>0</v>
      </c>
      <c r="O516" s="554">
        <f t="shared" si="427"/>
        <v>0</v>
      </c>
      <c r="P516" s="554">
        <f t="shared" si="427"/>
        <v>0</v>
      </c>
      <c r="Q516" s="554">
        <f t="shared" si="427"/>
        <v>0</v>
      </c>
      <c r="R516" s="554">
        <f t="shared" si="427"/>
        <v>0</v>
      </c>
      <c r="S516" s="554">
        <f t="shared" si="427"/>
        <v>0</v>
      </c>
      <c r="T516" s="554">
        <f t="shared" si="427"/>
        <v>0</v>
      </c>
      <c r="U516" s="554">
        <f t="shared" si="427"/>
        <v>0</v>
      </c>
      <c r="V516" s="554">
        <f t="shared" si="427"/>
        <v>0</v>
      </c>
      <c r="W516" s="554">
        <f t="shared" si="427"/>
        <v>0</v>
      </c>
      <c r="X516" s="554">
        <f t="shared" si="427"/>
        <v>0</v>
      </c>
      <c r="Y516" s="554">
        <f t="shared" si="427"/>
        <v>0</v>
      </c>
      <c r="Z516" s="554">
        <f t="shared" si="427"/>
        <v>0</v>
      </c>
      <c r="AA516" s="554">
        <f t="shared" si="427"/>
        <v>0</v>
      </c>
      <c r="AB516" s="554">
        <f t="shared" si="427"/>
        <v>0</v>
      </c>
      <c r="AC516" s="554">
        <f t="shared" si="427"/>
        <v>0</v>
      </c>
      <c r="AD516" s="554">
        <f t="shared" si="427"/>
        <v>0</v>
      </c>
      <c r="AE516" s="554">
        <f t="shared" si="427"/>
        <v>0</v>
      </c>
      <c r="AF516" s="554">
        <f t="shared" si="427"/>
        <v>0</v>
      </c>
      <c r="AH516" s="587"/>
      <c r="AK516" s="588"/>
      <c r="AM516" s="624"/>
      <c r="AN516" s="590"/>
      <c r="AP516" s="591"/>
      <c r="AQ516" s="591"/>
    </row>
    <row r="517" spans="1:43" s="513" customFormat="1" ht="16.5" hidden="1" customHeight="1" outlineLevel="2">
      <c r="A517" s="584"/>
      <c r="B517" s="572" t="s">
        <v>888</v>
      </c>
      <c r="C517" s="592">
        <f>EPIs_unif.!$D$10+EPIs_unif.!$D$36</f>
        <v>5154.7400000000007</v>
      </c>
      <c r="D517" s="642">
        <f>C517</f>
        <v>5154.7400000000007</v>
      </c>
      <c r="E517" s="642">
        <f t="shared" ref="E517:AF517" si="428">D517</f>
        <v>5154.7400000000007</v>
      </c>
      <c r="F517" s="592">
        <f t="shared" si="428"/>
        <v>5154.7400000000007</v>
      </c>
      <c r="G517" s="592">
        <f t="shared" si="428"/>
        <v>5154.7400000000007</v>
      </c>
      <c r="H517" s="592">
        <f t="shared" si="428"/>
        <v>5154.7400000000007</v>
      </c>
      <c r="I517" s="592">
        <f t="shared" si="428"/>
        <v>5154.7400000000007</v>
      </c>
      <c r="J517" s="592">
        <f t="shared" si="428"/>
        <v>5154.7400000000007</v>
      </c>
      <c r="K517" s="592">
        <f t="shared" si="428"/>
        <v>5154.7400000000007</v>
      </c>
      <c r="L517" s="592">
        <f t="shared" si="428"/>
        <v>5154.7400000000007</v>
      </c>
      <c r="M517" s="592">
        <f t="shared" si="428"/>
        <v>5154.7400000000007</v>
      </c>
      <c r="N517" s="592">
        <f t="shared" si="428"/>
        <v>5154.7400000000007</v>
      </c>
      <c r="O517" s="592">
        <f t="shared" si="428"/>
        <v>5154.7400000000007</v>
      </c>
      <c r="P517" s="592">
        <f t="shared" si="428"/>
        <v>5154.7400000000007</v>
      </c>
      <c r="Q517" s="592">
        <f t="shared" si="428"/>
        <v>5154.7400000000007</v>
      </c>
      <c r="R517" s="592">
        <f t="shared" si="428"/>
        <v>5154.7400000000007</v>
      </c>
      <c r="S517" s="592">
        <f t="shared" si="428"/>
        <v>5154.7400000000007</v>
      </c>
      <c r="T517" s="592">
        <f t="shared" si="428"/>
        <v>5154.7400000000007</v>
      </c>
      <c r="U517" s="592">
        <f t="shared" si="428"/>
        <v>5154.7400000000007</v>
      </c>
      <c r="V517" s="592">
        <f t="shared" si="428"/>
        <v>5154.7400000000007</v>
      </c>
      <c r="W517" s="592">
        <f t="shared" si="428"/>
        <v>5154.7400000000007</v>
      </c>
      <c r="X517" s="592">
        <f t="shared" si="428"/>
        <v>5154.7400000000007</v>
      </c>
      <c r="Y517" s="592">
        <f t="shared" si="428"/>
        <v>5154.7400000000007</v>
      </c>
      <c r="Z517" s="592">
        <f t="shared" si="428"/>
        <v>5154.7400000000007</v>
      </c>
      <c r="AA517" s="592">
        <f t="shared" si="428"/>
        <v>5154.7400000000007</v>
      </c>
      <c r="AB517" s="592">
        <f t="shared" si="428"/>
        <v>5154.7400000000007</v>
      </c>
      <c r="AC517" s="592">
        <f t="shared" si="428"/>
        <v>5154.7400000000007</v>
      </c>
      <c r="AD517" s="592">
        <f t="shared" si="428"/>
        <v>5154.7400000000007</v>
      </c>
      <c r="AE517" s="592">
        <f t="shared" si="428"/>
        <v>5154.7400000000007</v>
      </c>
      <c r="AF517" s="592">
        <f t="shared" si="428"/>
        <v>5154.7400000000007</v>
      </c>
      <c r="AH517" s="538"/>
      <c r="AK517" s="531"/>
      <c r="AM517" s="594"/>
      <c r="AN517" s="535"/>
      <c r="AP517" s="540"/>
      <c r="AQ517" s="540"/>
    </row>
    <row r="518" spans="1:43" s="513" customFormat="1" ht="3" hidden="1" customHeight="1" outlineLevel="2">
      <c r="A518" s="584"/>
      <c r="B518" s="572"/>
      <c r="C518" s="592"/>
      <c r="D518" s="592"/>
      <c r="E518" s="592"/>
      <c r="F518" s="592"/>
      <c r="G518" s="592"/>
      <c r="H518" s="592"/>
      <c r="I518" s="592"/>
      <c r="J518" s="592"/>
      <c r="K518" s="592"/>
      <c r="L518" s="592"/>
      <c r="M518" s="592"/>
      <c r="N518" s="592"/>
      <c r="O518" s="592"/>
      <c r="P518" s="592"/>
      <c r="Q518" s="592"/>
      <c r="R518" s="592"/>
      <c r="S518" s="592"/>
      <c r="T518" s="592"/>
      <c r="U518" s="592"/>
      <c r="V518" s="592"/>
      <c r="W518" s="592"/>
      <c r="X518" s="592"/>
      <c r="Y518" s="592"/>
      <c r="Z518" s="592"/>
      <c r="AA518" s="592"/>
      <c r="AB518" s="592"/>
      <c r="AC518" s="592"/>
      <c r="AD518" s="592"/>
      <c r="AE518" s="592"/>
      <c r="AF518" s="592"/>
      <c r="AH518" s="538"/>
      <c r="AK518" s="531"/>
      <c r="AM518" s="594"/>
      <c r="AN518" s="535"/>
      <c r="AP518" s="540"/>
      <c r="AQ518" s="540"/>
    </row>
    <row r="519" spans="1:43" ht="16.5" customHeight="1">
      <c r="A519" s="584"/>
      <c r="B519" s="749" t="s">
        <v>953</v>
      </c>
      <c r="C519" s="710">
        <f t="shared" ref="C519:AF519" si="429">SUM(C525,C530,C536,C543,C549,C559,C564,C572,C576,C592,C596,C610)*C3</f>
        <v>670.10932954251052</v>
      </c>
      <c r="D519" s="710">
        <f t="shared" si="429"/>
        <v>670.10932954251052</v>
      </c>
      <c r="E519" s="710">
        <f t="shared" si="429"/>
        <v>670.10932954251052</v>
      </c>
      <c r="F519" s="710">
        <f t="shared" si="429"/>
        <v>670.10932954251052</v>
      </c>
      <c r="G519" s="710">
        <f t="shared" si="429"/>
        <v>670.10932954251052</v>
      </c>
      <c r="H519" s="710">
        <f t="shared" si="429"/>
        <v>670.10932954251052</v>
      </c>
      <c r="I519" s="710">
        <f t="shared" si="429"/>
        <v>670.10932954251052</v>
      </c>
      <c r="J519" s="710">
        <f t="shared" si="429"/>
        <v>670.10932954251052</v>
      </c>
      <c r="K519" s="710">
        <f t="shared" si="429"/>
        <v>670.10932954251052</v>
      </c>
      <c r="L519" s="710">
        <f t="shared" si="429"/>
        <v>670.10932954251052</v>
      </c>
      <c r="M519" s="710">
        <f t="shared" si="429"/>
        <v>670.10932954251052</v>
      </c>
      <c r="N519" s="710">
        <f t="shared" si="429"/>
        <v>670.10932954251052</v>
      </c>
      <c r="O519" s="710">
        <f t="shared" si="429"/>
        <v>670.10932954251052</v>
      </c>
      <c r="P519" s="710">
        <f t="shared" si="429"/>
        <v>670.10932954251052</v>
      </c>
      <c r="Q519" s="710">
        <f t="shared" si="429"/>
        <v>670.10932954251052</v>
      </c>
      <c r="R519" s="710">
        <f t="shared" si="429"/>
        <v>670.10932954251052</v>
      </c>
      <c r="S519" s="710">
        <f t="shared" si="429"/>
        <v>670.10932954251052</v>
      </c>
      <c r="T519" s="710">
        <f t="shared" si="429"/>
        <v>670.10932954251052</v>
      </c>
      <c r="U519" s="710">
        <f t="shared" si="429"/>
        <v>670.10932954251052</v>
      </c>
      <c r="V519" s="710">
        <f t="shared" si="429"/>
        <v>670.10932954251052</v>
      </c>
      <c r="W519" s="710">
        <f t="shared" si="429"/>
        <v>670.10932954251052</v>
      </c>
      <c r="X519" s="710">
        <f t="shared" si="429"/>
        <v>670.10932954251052</v>
      </c>
      <c r="Y519" s="710">
        <f t="shared" si="429"/>
        <v>670.10932954251052</v>
      </c>
      <c r="Z519" s="710">
        <f t="shared" si="429"/>
        <v>670.10932954251052</v>
      </c>
      <c r="AA519" s="710">
        <f t="shared" si="429"/>
        <v>670.10932954251052</v>
      </c>
      <c r="AB519" s="710">
        <f t="shared" si="429"/>
        <v>670.10932954251052</v>
      </c>
      <c r="AC519" s="710">
        <f t="shared" si="429"/>
        <v>670.10932954251052</v>
      </c>
      <c r="AD519" s="710">
        <f t="shared" si="429"/>
        <v>670.10932954251052</v>
      </c>
      <c r="AE519" s="710">
        <f t="shared" si="429"/>
        <v>670.10932954251052</v>
      </c>
      <c r="AF519" s="710">
        <f t="shared" si="429"/>
        <v>670.10932954251052</v>
      </c>
      <c r="AG519" s="750"/>
      <c r="AH519" s="751">
        <f>SUM(C519:AF519)</f>
        <v>20103.279886275312</v>
      </c>
      <c r="AK519" s="531"/>
      <c r="AM519" s="533"/>
      <c r="AN519" s="535"/>
      <c r="AP519" s="535"/>
      <c r="AQ519" s="534"/>
    </row>
    <row r="520" spans="1:43" s="513" customFormat="1" ht="3" customHeight="1">
      <c r="A520" s="584"/>
      <c r="B520" s="541"/>
      <c r="C520" s="542"/>
      <c r="D520" s="542"/>
      <c r="E520" s="537"/>
      <c r="F520" s="537"/>
      <c r="G520" s="537"/>
      <c r="H520" s="537"/>
      <c r="I520" s="537"/>
      <c r="J520" s="537"/>
      <c r="K520" s="537"/>
      <c r="L520" s="537"/>
      <c r="M520" s="537"/>
      <c r="N520" s="537"/>
      <c r="O520" s="537"/>
      <c r="P520" s="537"/>
      <c r="Q520" s="537"/>
      <c r="R520" s="537"/>
      <c r="S520" s="537"/>
      <c r="T520" s="537"/>
      <c r="U520" s="537"/>
      <c r="V520" s="537"/>
      <c r="W520" s="537"/>
      <c r="X520" s="537"/>
      <c r="Y520" s="537"/>
      <c r="Z520" s="537"/>
      <c r="AA520" s="537"/>
      <c r="AB520" s="537"/>
      <c r="AC520" s="537"/>
      <c r="AD520" s="537"/>
      <c r="AE520" s="537"/>
      <c r="AF520" s="537"/>
      <c r="AH520" s="538"/>
      <c r="AJ520" s="617"/>
      <c r="AK520" s="531"/>
      <c r="AM520" s="594"/>
      <c r="AN520" s="535"/>
      <c r="AP520" s="540"/>
      <c r="AQ520" s="540"/>
    </row>
    <row r="521" spans="1:43" s="546" customFormat="1" ht="16.5" customHeight="1" collapsed="1">
      <c r="A521" s="584"/>
      <c r="B521" s="544" t="s">
        <v>880</v>
      </c>
      <c r="C521" s="545"/>
      <c r="D521" s="545"/>
      <c r="E521" s="545"/>
      <c r="F521" s="545"/>
      <c r="G521" s="545"/>
      <c r="H521" s="545"/>
      <c r="I521" s="545"/>
      <c r="J521" s="545"/>
      <c r="K521" s="545"/>
      <c r="L521" s="545"/>
      <c r="M521" s="545"/>
      <c r="N521" s="545"/>
      <c r="O521" s="545"/>
      <c r="P521" s="545"/>
      <c r="Q521" s="545"/>
      <c r="R521" s="545"/>
      <c r="S521" s="545"/>
      <c r="T521" s="545"/>
      <c r="U521" s="545"/>
      <c r="V521" s="545"/>
      <c r="W521" s="545"/>
      <c r="X521" s="545"/>
      <c r="Y521" s="545"/>
      <c r="Z521" s="545"/>
      <c r="AA521" s="545"/>
      <c r="AB521" s="545"/>
      <c r="AC521" s="545"/>
      <c r="AD521" s="545"/>
      <c r="AE521" s="545"/>
      <c r="AF521" s="545"/>
      <c r="AH521" s="571"/>
      <c r="AK521" s="531"/>
      <c r="AM521" s="594"/>
      <c r="AN521" s="535"/>
      <c r="AP521" s="549"/>
      <c r="AQ521" s="549"/>
    </row>
    <row r="522" spans="1:43" s="513" customFormat="1" ht="16.5" hidden="1" customHeight="1" outlineLevel="2">
      <c r="A522" s="584"/>
      <c r="B522" s="551" t="s">
        <v>820</v>
      </c>
      <c r="C522" s="553">
        <v>1</v>
      </c>
      <c r="D522" s="553">
        <v>1</v>
      </c>
      <c r="E522" s="553">
        <v>1</v>
      </c>
      <c r="F522" s="553">
        <v>1</v>
      </c>
      <c r="G522" s="553">
        <v>1</v>
      </c>
      <c r="H522" s="553">
        <v>1</v>
      </c>
      <c r="I522" s="553">
        <v>1</v>
      </c>
      <c r="J522" s="553">
        <v>1</v>
      </c>
      <c r="K522" s="553">
        <v>1</v>
      </c>
      <c r="L522" s="553">
        <v>1</v>
      </c>
      <c r="M522" s="553">
        <v>1</v>
      </c>
      <c r="N522" s="553">
        <v>1</v>
      </c>
      <c r="O522" s="553">
        <v>1</v>
      </c>
      <c r="P522" s="553">
        <v>1</v>
      </c>
      <c r="Q522" s="553">
        <v>1</v>
      </c>
      <c r="R522" s="553">
        <v>1</v>
      </c>
      <c r="S522" s="553">
        <v>1</v>
      </c>
      <c r="T522" s="553">
        <v>1</v>
      </c>
      <c r="U522" s="553">
        <v>1</v>
      </c>
      <c r="V522" s="553">
        <v>1</v>
      </c>
      <c r="W522" s="553">
        <v>1</v>
      </c>
      <c r="X522" s="553">
        <v>1</v>
      </c>
      <c r="Y522" s="553">
        <v>1</v>
      </c>
      <c r="Z522" s="553">
        <v>1</v>
      </c>
      <c r="AA522" s="553">
        <v>1</v>
      </c>
      <c r="AB522" s="553">
        <v>1</v>
      </c>
      <c r="AC522" s="553">
        <v>1</v>
      </c>
      <c r="AD522" s="553">
        <v>1</v>
      </c>
      <c r="AE522" s="553">
        <v>1</v>
      </c>
      <c r="AF522" s="553">
        <v>1</v>
      </c>
      <c r="AH522" s="538"/>
      <c r="AK522" s="531"/>
      <c r="AM522" s="594"/>
      <c r="AN522" s="535"/>
      <c r="AP522" s="540"/>
      <c r="AQ522" s="540"/>
    </row>
    <row r="523" spans="1:43" s="620" customFormat="1" ht="16.5" customHeight="1" collapsed="1">
      <c r="A523" s="584"/>
      <c r="B523" s="618" t="s">
        <v>886</v>
      </c>
      <c r="C523" s="545">
        <f>SUM(C578,C585)</f>
        <v>4</v>
      </c>
      <c r="D523" s="545">
        <f t="shared" ref="D523:AF523" si="430">SUM(D578,D585)</f>
        <v>4</v>
      </c>
      <c r="E523" s="545">
        <f t="shared" si="430"/>
        <v>4</v>
      </c>
      <c r="F523" s="545">
        <f t="shared" si="430"/>
        <v>4</v>
      </c>
      <c r="G523" s="545">
        <f t="shared" si="430"/>
        <v>4</v>
      </c>
      <c r="H523" s="545">
        <f t="shared" si="430"/>
        <v>4</v>
      </c>
      <c r="I523" s="545">
        <f t="shared" si="430"/>
        <v>4</v>
      </c>
      <c r="J523" s="545">
        <f t="shared" si="430"/>
        <v>4</v>
      </c>
      <c r="K523" s="545">
        <f t="shared" si="430"/>
        <v>4</v>
      </c>
      <c r="L523" s="545">
        <f t="shared" si="430"/>
        <v>4</v>
      </c>
      <c r="M523" s="545">
        <f t="shared" si="430"/>
        <v>4</v>
      </c>
      <c r="N523" s="545">
        <f t="shared" si="430"/>
        <v>4</v>
      </c>
      <c r="O523" s="545">
        <f t="shared" si="430"/>
        <v>4</v>
      </c>
      <c r="P523" s="545">
        <f t="shared" si="430"/>
        <v>4</v>
      </c>
      <c r="Q523" s="545">
        <f t="shared" si="430"/>
        <v>4</v>
      </c>
      <c r="R523" s="545">
        <f t="shared" si="430"/>
        <v>4</v>
      </c>
      <c r="S523" s="545">
        <f t="shared" si="430"/>
        <v>4</v>
      </c>
      <c r="T523" s="545">
        <f t="shared" si="430"/>
        <v>4</v>
      </c>
      <c r="U523" s="545">
        <f t="shared" si="430"/>
        <v>4</v>
      </c>
      <c r="V523" s="545">
        <f t="shared" si="430"/>
        <v>4</v>
      </c>
      <c r="W523" s="545">
        <f t="shared" si="430"/>
        <v>4</v>
      </c>
      <c r="X523" s="545">
        <f t="shared" si="430"/>
        <v>4</v>
      </c>
      <c r="Y523" s="545">
        <f t="shared" si="430"/>
        <v>4</v>
      </c>
      <c r="Z523" s="545">
        <f t="shared" si="430"/>
        <v>4</v>
      </c>
      <c r="AA523" s="545">
        <f t="shared" si="430"/>
        <v>4</v>
      </c>
      <c r="AB523" s="545">
        <f t="shared" si="430"/>
        <v>4</v>
      </c>
      <c r="AC523" s="545">
        <f t="shared" si="430"/>
        <v>4</v>
      </c>
      <c r="AD523" s="545">
        <f t="shared" si="430"/>
        <v>4</v>
      </c>
      <c r="AE523" s="545">
        <f t="shared" si="430"/>
        <v>4</v>
      </c>
      <c r="AF523" s="545">
        <f t="shared" si="430"/>
        <v>4</v>
      </c>
      <c r="AG523" s="546"/>
      <c r="AH523" s="619"/>
      <c r="AI523" s="546"/>
      <c r="AJ523" s="546"/>
      <c r="AK523" s="531"/>
      <c r="AL523" s="546"/>
      <c r="AM523" s="548"/>
      <c r="AN523" s="535"/>
      <c r="AO523" s="546"/>
      <c r="AP523" s="549"/>
      <c r="AQ523" s="549"/>
    </row>
    <row r="524" spans="1:43" s="513" customFormat="1" ht="3" hidden="1" customHeight="1" outlineLevel="2">
      <c r="A524" s="584"/>
      <c r="B524" s="551"/>
      <c r="C524" s="555"/>
      <c r="D524" s="555"/>
      <c r="E524" s="555"/>
      <c r="F524" s="555"/>
      <c r="G524" s="555"/>
      <c r="H524" s="555"/>
      <c r="I524" s="555"/>
      <c r="J524" s="555"/>
      <c r="K524" s="555"/>
      <c r="L524" s="555"/>
      <c r="M524" s="555"/>
      <c r="N524" s="555"/>
      <c r="O524" s="555"/>
      <c r="P524" s="555"/>
      <c r="Q524" s="555"/>
      <c r="R524" s="555"/>
      <c r="S524" s="555"/>
      <c r="T524" s="555"/>
      <c r="U524" s="555"/>
      <c r="V524" s="555"/>
      <c r="W524" s="555"/>
      <c r="X524" s="555"/>
      <c r="Y524" s="555"/>
      <c r="Z524" s="555"/>
      <c r="AA524" s="555"/>
      <c r="AB524" s="555"/>
      <c r="AC524" s="555"/>
      <c r="AD524" s="555"/>
      <c r="AE524" s="555"/>
      <c r="AF524" s="555"/>
      <c r="AH524" s="538"/>
      <c r="AK524" s="531"/>
      <c r="AM524" s="539"/>
      <c r="AN524" s="540"/>
      <c r="AP524" s="540"/>
      <c r="AQ524" s="540"/>
    </row>
    <row r="525" spans="1:43" s="564" customFormat="1" ht="16.5" hidden="1" customHeight="1" outlineLevel="1" collapsed="1">
      <c r="A525" s="584"/>
      <c r="B525" s="576" t="s">
        <v>887</v>
      </c>
      <c r="C525" s="599">
        <f>SUM(C526)*12/10^3</f>
        <v>0</v>
      </c>
      <c r="D525" s="599">
        <f t="shared" ref="D525:AF525" si="431">SUM(D526)*12/10^3</f>
        <v>0</v>
      </c>
      <c r="E525" s="599">
        <f t="shared" si="431"/>
        <v>0</v>
      </c>
      <c r="F525" s="599">
        <f t="shared" si="431"/>
        <v>0</v>
      </c>
      <c r="G525" s="599">
        <f t="shared" si="431"/>
        <v>0</v>
      </c>
      <c r="H525" s="599">
        <f t="shared" si="431"/>
        <v>0</v>
      </c>
      <c r="I525" s="599">
        <f t="shared" si="431"/>
        <v>0</v>
      </c>
      <c r="J525" s="599">
        <f t="shared" si="431"/>
        <v>0</v>
      </c>
      <c r="K525" s="599">
        <f t="shared" si="431"/>
        <v>0</v>
      </c>
      <c r="L525" s="599">
        <f t="shared" si="431"/>
        <v>0</v>
      </c>
      <c r="M525" s="599">
        <f t="shared" si="431"/>
        <v>0</v>
      </c>
      <c r="N525" s="599">
        <f t="shared" si="431"/>
        <v>0</v>
      </c>
      <c r="O525" s="599">
        <f t="shared" si="431"/>
        <v>0</v>
      </c>
      <c r="P525" s="599">
        <f t="shared" si="431"/>
        <v>0</v>
      </c>
      <c r="Q525" s="599">
        <f t="shared" si="431"/>
        <v>0</v>
      </c>
      <c r="R525" s="599">
        <f t="shared" si="431"/>
        <v>0</v>
      </c>
      <c r="S525" s="599">
        <f t="shared" si="431"/>
        <v>0</v>
      </c>
      <c r="T525" s="599">
        <f t="shared" si="431"/>
        <v>0</v>
      </c>
      <c r="U525" s="599">
        <f t="shared" si="431"/>
        <v>0</v>
      </c>
      <c r="V525" s="599">
        <f t="shared" si="431"/>
        <v>0</v>
      </c>
      <c r="W525" s="599">
        <f t="shared" si="431"/>
        <v>0</v>
      </c>
      <c r="X525" s="599">
        <f t="shared" si="431"/>
        <v>0</v>
      </c>
      <c r="Y525" s="599">
        <f t="shared" si="431"/>
        <v>0</v>
      </c>
      <c r="Z525" s="599">
        <f t="shared" si="431"/>
        <v>0</v>
      </c>
      <c r="AA525" s="599">
        <f t="shared" si="431"/>
        <v>0</v>
      </c>
      <c r="AB525" s="599">
        <f t="shared" si="431"/>
        <v>0</v>
      </c>
      <c r="AC525" s="599">
        <f t="shared" si="431"/>
        <v>0</v>
      </c>
      <c r="AD525" s="599">
        <f t="shared" si="431"/>
        <v>0</v>
      </c>
      <c r="AE525" s="599">
        <f t="shared" si="431"/>
        <v>0</v>
      </c>
      <c r="AF525" s="599">
        <f t="shared" si="431"/>
        <v>0</v>
      </c>
      <c r="AG525" s="627"/>
      <c r="AH525" s="578">
        <f>SUM(C525:AF525)</f>
        <v>0</v>
      </c>
      <c r="AJ525" s="566"/>
      <c r="AK525" s="531"/>
      <c r="AM525" s="594"/>
      <c r="AN525" s="535"/>
      <c r="AP525" s="568"/>
      <c r="AQ525" s="568"/>
    </row>
    <row r="526" spans="1:43" s="546" customFormat="1" ht="16.5" hidden="1" customHeight="1" outlineLevel="2">
      <c r="A526" s="584"/>
      <c r="B526" s="569" t="s">
        <v>862</v>
      </c>
      <c r="C526" s="570">
        <f>C527*C528</f>
        <v>0</v>
      </c>
      <c r="D526" s="570">
        <f t="shared" ref="D526:AF526" si="432">D527*D528</f>
        <v>0</v>
      </c>
      <c r="E526" s="570">
        <f t="shared" si="432"/>
        <v>0</v>
      </c>
      <c r="F526" s="570">
        <f t="shared" si="432"/>
        <v>0</v>
      </c>
      <c r="G526" s="570">
        <f t="shared" si="432"/>
        <v>0</v>
      </c>
      <c r="H526" s="570">
        <f t="shared" si="432"/>
        <v>0</v>
      </c>
      <c r="I526" s="570">
        <f t="shared" si="432"/>
        <v>0</v>
      </c>
      <c r="J526" s="570">
        <f t="shared" si="432"/>
        <v>0</v>
      </c>
      <c r="K526" s="570">
        <f t="shared" si="432"/>
        <v>0</v>
      </c>
      <c r="L526" s="570">
        <f t="shared" si="432"/>
        <v>0</v>
      </c>
      <c r="M526" s="570">
        <f t="shared" si="432"/>
        <v>0</v>
      </c>
      <c r="N526" s="570">
        <f t="shared" si="432"/>
        <v>0</v>
      </c>
      <c r="O526" s="570">
        <f t="shared" si="432"/>
        <v>0</v>
      </c>
      <c r="P526" s="570">
        <f t="shared" si="432"/>
        <v>0</v>
      </c>
      <c r="Q526" s="570">
        <f t="shared" si="432"/>
        <v>0</v>
      </c>
      <c r="R526" s="570">
        <f t="shared" si="432"/>
        <v>0</v>
      </c>
      <c r="S526" s="570">
        <f t="shared" si="432"/>
        <v>0</v>
      </c>
      <c r="T526" s="570">
        <f t="shared" si="432"/>
        <v>0</v>
      </c>
      <c r="U526" s="570">
        <f t="shared" si="432"/>
        <v>0</v>
      </c>
      <c r="V526" s="570">
        <f t="shared" si="432"/>
        <v>0</v>
      </c>
      <c r="W526" s="570">
        <f t="shared" si="432"/>
        <v>0</v>
      </c>
      <c r="X526" s="570">
        <f t="shared" si="432"/>
        <v>0</v>
      </c>
      <c r="Y526" s="570">
        <f t="shared" si="432"/>
        <v>0</v>
      </c>
      <c r="Z526" s="570">
        <f t="shared" si="432"/>
        <v>0</v>
      </c>
      <c r="AA526" s="570">
        <f t="shared" si="432"/>
        <v>0</v>
      </c>
      <c r="AB526" s="570">
        <f t="shared" si="432"/>
        <v>0</v>
      </c>
      <c r="AC526" s="570">
        <f t="shared" si="432"/>
        <v>0</v>
      </c>
      <c r="AD526" s="570">
        <f t="shared" si="432"/>
        <v>0</v>
      </c>
      <c r="AE526" s="570">
        <f t="shared" si="432"/>
        <v>0</v>
      </c>
      <c r="AF526" s="570">
        <f t="shared" si="432"/>
        <v>0</v>
      </c>
      <c r="AH526" s="571"/>
      <c r="AK526" s="531"/>
      <c r="AM526" s="594"/>
      <c r="AN526" s="535"/>
      <c r="AP526" s="549"/>
      <c r="AQ526" s="549"/>
    </row>
    <row r="527" spans="1:43" s="513" customFormat="1" ht="16.5" hidden="1" customHeight="1" outlineLevel="2">
      <c r="A527" s="584"/>
      <c r="B527" s="572" t="s">
        <v>805</v>
      </c>
      <c r="C527" s="592">
        <v>0</v>
      </c>
      <c r="D527" s="592">
        <v>0</v>
      </c>
      <c r="E527" s="592">
        <v>0</v>
      </c>
      <c r="F527" s="592">
        <v>0</v>
      </c>
      <c r="G527" s="592">
        <v>0</v>
      </c>
      <c r="H527" s="592">
        <v>0</v>
      </c>
      <c r="I527" s="592">
        <v>0</v>
      </c>
      <c r="J527" s="592">
        <v>0</v>
      </c>
      <c r="K527" s="592">
        <v>0</v>
      </c>
      <c r="L527" s="592">
        <v>0</v>
      </c>
      <c r="M527" s="592">
        <v>0</v>
      </c>
      <c r="N527" s="592">
        <v>0</v>
      </c>
      <c r="O527" s="592">
        <v>0</v>
      </c>
      <c r="P527" s="592">
        <v>0</v>
      </c>
      <c r="Q527" s="592">
        <v>0</v>
      </c>
      <c r="R527" s="592">
        <v>0</v>
      </c>
      <c r="S527" s="592">
        <v>0</v>
      </c>
      <c r="T527" s="592">
        <v>0</v>
      </c>
      <c r="U527" s="592">
        <v>0</v>
      </c>
      <c r="V527" s="592">
        <v>0</v>
      </c>
      <c r="W527" s="592">
        <v>0</v>
      </c>
      <c r="X527" s="592">
        <v>0</v>
      </c>
      <c r="Y527" s="592">
        <v>0</v>
      </c>
      <c r="Z527" s="592">
        <v>0</v>
      </c>
      <c r="AA527" s="592">
        <v>0</v>
      </c>
      <c r="AB527" s="592">
        <v>0</v>
      </c>
      <c r="AC527" s="592">
        <v>0</v>
      </c>
      <c r="AD527" s="592">
        <v>0</v>
      </c>
      <c r="AE527" s="592">
        <v>0</v>
      </c>
      <c r="AF527" s="592">
        <v>0</v>
      </c>
      <c r="AH527" s="538"/>
      <c r="AK527" s="531"/>
      <c r="AM527" s="594"/>
      <c r="AN527" s="535"/>
      <c r="AP527" s="540"/>
      <c r="AQ527" s="540"/>
    </row>
    <row r="528" spans="1:43" s="513" customFormat="1" ht="16.5" hidden="1" customHeight="1" outlineLevel="2">
      <c r="A528" s="584"/>
      <c r="B528" s="572" t="s">
        <v>888</v>
      </c>
      <c r="C528" s="574">
        <v>0</v>
      </c>
      <c r="D528" s="574">
        <f>C528</f>
        <v>0</v>
      </c>
      <c r="E528" s="574">
        <f t="shared" ref="E528:AF528" si="433">D528</f>
        <v>0</v>
      </c>
      <c r="F528" s="574">
        <f t="shared" si="433"/>
        <v>0</v>
      </c>
      <c r="G528" s="574">
        <f t="shared" si="433"/>
        <v>0</v>
      </c>
      <c r="H528" s="574">
        <f t="shared" si="433"/>
        <v>0</v>
      </c>
      <c r="I528" s="574">
        <f t="shared" si="433"/>
        <v>0</v>
      </c>
      <c r="J528" s="574">
        <f t="shared" si="433"/>
        <v>0</v>
      </c>
      <c r="K528" s="574">
        <f t="shared" si="433"/>
        <v>0</v>
      </c>
      <c r="L528" s="574">
        <f t="shared" si="433"/>
        <v>0</v>
      </c>
      <c r="M528" s="574">
        <f t="shared" si="433"/>
        <v>0</v>
      </c>
      <c r="N528" s="574">
        <f t="shared" si="433"/>
        <v>0</v>
      </c>
      <c r="O528" s="574">
        <f t="shared" si="433"/>
        <v>0</v>
      </c>
      <c r="P528" s="574">
        <f t="shared" si="433"/>
        <v>0</v>
      </c>
      <c r="Q528" s="574">
        <f t="shared" si="433"/>
        <v>0</v>
      </c>
      <c r="R528" s="574">
        <f t="shared" si="433"/>
        <v>0</v>
      </c>
      <c r="S528" s="574">
        <f t="shared" si="433"/>
        <v>0</v>
      </c>
      <c r="T528" s="574">
        <f t="shared" si="433"/>
        <v>0</v>
      </c>
      <c r="U528" s="574">
        <f t="shared" si="433"/>
        <v>0</v>
      </c>
      <c r="V528" s="574">
        <f t="shared" si="433"/>
        <v>0</v>
      </c>
      <c r="W528" s="574">
        <f t="shared" si="433"/>
        <v>0</v>
      </c>
      <c r="X528" s="574">
        <f t="shared" si="433"/>
        <v>0</v>
      </c>
      <c r="Y528" s="574">
        <f t="shared" si="433"/>
        <v>0</v>
      </c>
      <c r="Z528" s="574">
        <f t="shared" si="433"/>
        <v>0</v>
      </c>
      <c r="AA528" s="574">
        <f t="shared" si="433"/>
        <v>0</v>
      </c>
      <c r="AB528" s="574">
        <f t="shared" si="433"/>
        <v>0</v>
      </c>
      <c r="AC528" s="574">
        <f t="shared" si="433"/>
        <v>0</v>
      </c>
      <c r="AD528" s="574">
        <f t="shared" si="433"/>
        <v>0</v>
      </c>
      <c r="AE528" s="574">
        <f t="shared" si="433"/>
        <v>0</v>
      </c>
      <c r="AF528" s="574">
        <f t="shared" si="433"/>
        <v>0</v>
      </c>
      <c r="AH528" s="538"/>
      <c r="AK528" s="531"/>
      <c r="AM528" s="594"/>
      <c r="AN528" s="535"/>
      <c r="AP528" s="540"/>
      <c r="AQ528" s="540"/>
    </row>
    <row r="529" spans="1:43" s="513" customFormat="1" ht="3" hidden="1" customHeight="1" outlineLevel="2">
      <c r="A529" s="584"/>
      <c r="B529" s="572"/>
      <c r="C529" s="575"/>
      <c r="D529" s="575"/>
      <c r="E529" s="575"/>
      <c r="F529" s="575"/>
      <c r="G529" s="575"/>
      <c r="H529" s="575"/>
      <c r="I529" s="575"/>
      <c r="J529" s="575"/>
      <c r="K529" s="575"/>
      <c r="L529" s="575"/>
      <c r="M529" s="575"/>
      <c r="N529" s="575"/>
      <c r="O529" s="575"/>
      <c r="P529" s="575"/>
      <c r="Q529" s="575"/>
      <c r="R529" s="575"/>
      <c r="S529" s="575"/>
      <c r="T529" s="575"/>
      <c r="U529" s="575"/>
      <c r="V529" s="575"/>
      <c r="W529" s="575"/>
      <c r="X529" s="575"/>
      <c r="Y529" s="575"/>
      <c r="Z529" s="575"/>
      <c r="AA529" s="575"/>
      <c r="AB529" s="575"/>
      <c r="AC529" s="575"/>
      <c r="AD529" s="575"/>
      <c r="AE529" s="575"/>
      <c r="AF529" s="575"/>
      <c r="AH529" s="538"/>
      <c r="AK529" s="531"/>
      <c r="AM529" s="594"/>
      <c r="AN529" s="535"/>
      <c r="AP529" s="540"/>
      <c r="AQ529" s="540"/>
    </row>
    <row r="530" spans="1:43" s="564" customFormat="1" ht="16.5" hidden="1" customHeight="1" outlineLevel="1" collapsed="1">
      <c r="A530" s="584"/>
      <c r="B530" s="576" t="s">
        <v>890</v>
      </c>
      <c r="C530" s="599">
        <f>SUM(C531)*12/10^3</f>
        <v>284.87575500000003</v>
      </c>
      <c r="D530" s="599">
        <f t="shared" ref="D530:AF530" si="434">SUM(D531)*12/10^3</f>
        <v>284.87575500000003</v>
      </c>
      <c r="E530" s="599">
        <f t="shared" si="434"/>
        <v>284.87575500000003</v>
      </c>
      <c r="F530" s="599">
        <f t="shared" si="434"/>
        <v>284.87575500000003</v>
      </c>
      <c r="G530" s="599">
        <f t="shared" si="434"/>
        <v>284.87575500000003</v>
      </c>
      <c r="H530" s="599">
        <f t="shared" si="434"/>
        <v>284.87575500000003</v>
      </c>
      <c r="I530" s="599">
        <f t="shared" si="434"/>
        <v>284.87575500000003</v>
      </c>
      <c r="J530" s="599">
        <f t="shared" si="434"/>
        <v>284.87575500000003</v>
      </c>
      <c r="K530" s="599">
        <f t="shared" si="434"/>
        <v>284.87575500000003</v>
      </c>
      <c r="L530" s="599">
        <f t="shared" si="434"/>
        <v>284.87575500000003</v>
      </c>
      <c r="M530" s="599">
        <f t="shared" si="434"/>
        <v>284.87575500000003</v>
      </c>
      <c r="N530" s="599">
        <f t="shared" si="434"/>
        <v>284.87575500000003</v>
      </c>
      <c r="O530" s="599">
        <f t="shared" si="434"/>
        <v>284.87575500000003</v>
      </c>
      <c r="P530" s="599">
        <f t="shared" si="434"/>
        <v>284.87575500000003</v>
      </c>
      <c r="Q530" s="599">
        <f t="shared" si="434"/>
        <v>284.87575500000003</v>
      </c>
      <c r="R530" s="599">
        <f t="shared" si="434"/>
        <v>284.87575500000003</v>
      </c>
      <c r="S530" s="599">
        <f t="shared" si="434"/>
        <v>284.87575500000003</v>
      </c>
      <c r="T530" s="599">
        <f t="shared" si="434"/>
        <v>284.87575500000003</v>
      </c>
      <c r="U530" s="599">
        <f t="shared" si="434"/>
        <v>284.87575500000003</v>
      </c>
      <c r="V530" s="599">
        <f t="shared" si="434"/>
        <v>284.87575500000003</v>
      </c>
      <c r="W530" s="599">
        <f t="shared" si="434"/>
        <v>284.87575500000003</v>
      </c>
      <c r="X530" s="599">
        <f t="shared" si="434"/>
        <v>284.87575500000003</v>
      </c>
      <c r="Y530" s="599">
        <f t="shared" si="434"/>
        <v>284.87575500000003</v>
      </c>
      <c r="Z530" s="599">
        <f t="shared" si="434"/>
        <v>284.87575500000003</v>
      </c>
      <c r="AA530" s="599">
        <f t="shared" si="434"/>
        <v>284.87575500000003</v>
      </c>
      <c r="AB530" s="599">
        <f t="shared" si="434"/>
        <v>284.87575500000003</v>
      </c>
      <c r="AC530" s="599">
        <f t="shared" si="434"/>
        <v>284.87575500000003</v>
      </c>
      <c r="AD530" s="599">
        <f t="shared" si="434"/>
        <v>284.87575500000003</v>
      </c>
      <c r="AE530" s="599">
        <f t="shared" si="434"/>
        <v>284.87575500000003</v>
      </c>
      <c r="AF530" s="599">
        <f t="shared" si="434"/>
        <v>284.87575500000003</v>
      </c>
      <c r="AH530" s="578">
        <f>SUM(C530:AF530)</f>
        <v>8546.2726500000026</v>
      </c>
      <c r="AJ530" s="579"/>
      <c r="AK530" s="531"/>
      <c r="AM530" s="594"/>
      <c r="AN530" s="535"/>
      <c r="AP530" s="568"/>
      <c r="AQ530" s="568"/>
    </row>
    <row r="531" spans="1:43" s="546" customFormat="1" ht="16.5" hidden="1" customHeight="1" outlineLevel="2">
      <c r="A531" s="584"/>
      <c r="B531" s="569" t="str">
        <f>B522</f>
        <v>Caminhão carroceria  25 m³ com implemento garra</v>
      </c>
      <c r="C531" s="581">
        <f>C533*C534</f>
        <v>23739.646250000002</v>
      </c>
      <c r="D531" s="581">
        <f t="shared" ref="D531:AG531" si="435">D533*D534</f>
        <v>23739.646250000002</v>
      </c>
      <c r="E531" s="581">
        <f t="shared" si="435"/>
        <v>23739.646250000002</v>
      </c>
      <c r="F531" s="581">
        <f t="shared" si="435"/>
        <v>23739.646250000002</v>
      </c>
      <c r="G531" s="581">
        <f t="shared" si="435"/>
        <v>23739.646250000002</v>
      </c>
      <c r="H531" s="581">
        <f t="shared" si="435"/>
        <v>23739.646250000002</v>
      </c>
      <c r="I531" s="581">
        <f t="shared" si="435"/>
        <v>23739.646250000002</v>
      </c>
      <c r="J531" s="581">
        <f t="shared" si="435"/>
        <v>23739.646250000002</v>
      </c>
      <c r="K531" s="581">
        <f t="shared" si="435"/>
        <v>23739.646250000002</v>
      </c>
      <c r="L531" s="581">
        <f t="shared" si="435"/>
        <v>23739.646250000002</v>
      </c>
      <c r="M531" s="581">
        <f t="shared" si="435"/>
        <v>23739.646250000002</v>
      </c>
      <c r="N531" s="581">
        <f t="shared" si="435"/>
        <v>23739.646250000002</v>
      </c>
      <c r="O531" s="581">
        <f t="shared" si="435"/>
        <v>23739.646250000002</v>
      </c>
      <c r="P531" s="581">
        <f t="shared" si="435"/>
        <v>23739.646250000002</v>
      </c>
      <c r="Q531" s="581">
        <f t="shared" si="435"/>
        <v>23739.646250000002</v>
      </c>
      <c r="R531" s="581">
        <f t="shared" si="435"/>
        <v>23739.646250000002</v>
      </c>
      <c r="S531" s="581">
        <f t="shared" si="435"/>
        <v>23739.646250000002</v>
      </c>
      <c r="T531" s="581">
        <f t="shared" si="435"/>
        <v>23739.646250000002</v>
      </c>
      <c r="U531" s="581">
        <f t="shared" si="435"/>
        <v>23739.646250000002</v>
      </c>
      <c r="V531" s="581">
        <f t="shared" si="435"/>
        <v>23739.646250000002</v>
      </c>
      <c r="W531" s="581">
        <f t="shared" si="435"/>
        <v>23739.646250000002</v>
      </c>
      <c r="X531" s="581">
        <f t="shared" si="435"/>
        <v>23739.646250000002</v>
      </c>
      <c r="Y531" s="581">
        <f t="shared" si="435"/>
        <v>23739.646250000002</v>
      </c>
      <c r="Z531" s="581">
        <f t="shared" si="435"/>
        <v>23739.646250000002</v>
      </c>
      <c r="AA531" s="581">
        <f t="shared" si="435"/>
        <v>23739.646250000002</v>
      </c>
      <c r="AB531" s="581">
        <f t="shared" si="435"/>
        <v>23739.646250000002</v>
      </c>
      <c r="AC531" s="581">
        <f t="shared" si="435"/>
        <v>23739.646250000002</v>
      </c>
      <c r="AD531" s="581">
        <f t="shared" si="435"/>
        <v>23739.646250000002</v>
      </c>
      <c r="AE531" s="581">
        <f t="shared" si="435"/>
        <v>23739.646250000002</v>
      </c>
      <c r="AF531" s="581">
        <f t="shared" si="435"/>
        <v>23739.646250000002</v>
      </c>
      <c r="AG531" s="581">
        <f t="shared" si="435"/>
        <v>0</v>
      </c>
      <c r="AH531" s="571"/>
      <c r="AK531" s="531"/>
      <c r="AM531" s="594"/>
      <c r="AN531" s="535"/>
      <c r="AP531" s="549"/>
      <c r="AQ531" s="549"/>
    </row>
    <row r="532" spans="1:43" s="513" customFormat="1" ht="16.5" hidden="1" customHeight="1" outlineLevel="2">
      <c r="A532" s="584"/>
      <c r="B532" s="572" t="s">
        <v>891</v>
      </c>
      <c r="C532" s="574">
        <f>40*2*25.92</f>
        <v>2073.6000000000004</v>
      </c>
      <c r="D532" s="574">
        <f>C532</f>
        <v>2073.6000000000004</v>
      </c>
      <c r="E532" s="574">
        <f t="shared" ref="E532:AF532" si="436">D532</f>
        <v>2073.6000000000004</v>
      </c>
      <c r="F532" s="574">
        <f t="shared" si="436"/>
        <v>2073.6000000000004</v>
      </c>
      <c r="G532" s="574">
        <f t="shared" si="436"/>
        <v>2073.6000000000004</v>
      </c>
      <c r="H532" s="574">
        <f t="shared" si="436"/>
        <v>2073.6000000000004</v>
      </c>
      <c r="I532" s="574">
        <f t="shared" si="436"/>
        <v>2073.6000000000004</v>
      </c>
      <c r="J532" s="574">
        <f t="shared" si="436"/>
        <v>2073.6000000000004</v>
      </c>
      <c r="K532" s="574">
        <f t="shared" si="436"/>
        <v>2073.6000000000004</v>
      </c>
      <c r="L532" s="574">
        <f t="shared" si="436"/>
        <v>2073.6000000000004</v>
      </c>
      <c r="M532" s="574">
        <f t="shared" si="436"/>
        <v>2073.6000000000004</v>
      </c>
      <c r="N532" s="574">
        <f t="shared" si="436"/>
        <v>2073.6000000000004</v>
      </c>
      <c r="O532" s="574">
        <f t="shared" si="436"/>
        <v>2073.6000000000004</v>
      </c>
      <c r="P532" s="574">
        <f t="shared" si="436"/>
        <v>2073.6000000000004</v>
      </c>
      <c r="Q532" s="574">
        <f t="shared" si="436"/>
        <v>2073.6000000000004</v>
      </c>
      <c r="R532" s="574">
        <f t="shared" si="436"/>
        <v>2073.6000000000004</v>
      </c>
      <c r="S532" s="574">
        <f t="shared" si="436"/>
        <v>2073.6000000000004</v>
      </c>
      <c r="T532" s="574">
        <f t="shared" si="436"/>
        <v>2073.6000000000004</v>
      </c>
      <c r="U532" s="574">
        <f t="shared" si="436"/>
        <v>2073.6000000000004</v>
      </c>
      <c r="V532" s="574">
        <f t="shared" si="436"/>
        <v>2073.6000000000004</v>
      </c>
      <c r="W532" s="574">
        <f t="shared" si="436"/>
        <v>2073.6000000000004</v>
      </c>
      <c r="X532" s="574">
        <f t="shared" si="436"/>
        <v>2073.6000000000004</v>
      </c>
      <c r="Y532" s="574">
        <f t="shared" si="436"/>
        <v>2073.6000000000004</v>
      </c>
      <c r="Z532" s="574">
        <f t="shared" si="436"/>
        <v>2073.6000000000004</v>
      </c>
      <c r="AA532" s="574">
        <f t="shared" si="436"/>
        <v>2073.6000000000004</v>
      </c>
      <c r="AB532" s="574">
        <f t="shared" si="436"/>
        <v>2073.6000000000004</v>
      </c>
      <c r="AC532" s="574">
        <f t="shared" si="436"/>
        <v>2073.6000000000004</v>
      </c>
      <c r="AD532" s="574">
        <f t="shared" si="436"/>
        <v>2073.6000000000004</v>
      </c>
      <c r="AE532" s="574">
        <f t="shared" si="436"/>
        <v>2073.6000000000004</v>
      </c>
      <c r="AF532" s="574">
        <f t="shared" si="436"/>
        <v>2073.6000000000004</v>
      </c>
      <c r="AH532" s="538"/>
      <c r="AK532" s="531"/>
      <c r="AM532" s="594"/>
      <c r="AN532" s="535"/>
      <c r="AP532" s="540"/>
      <c r="AQ532" s="540"/>
    </row>
    <row r="533" spans="1:43" s="513" customFormat="1" ht="16.5" hidden="1" customHeight="1" outlineLevel="2">
      <c r="A533" s="584"/>
      <c r="B533" s="572" t="s">
        <v>805</v>
      </c>
      <c r="C533" s="574">
        <v>2</v>
      </c>
      <c r="D533" s="574">
        <v>2</v>
      </c>
      <c r="E533" s="574">
        <v>2</v>
      </c>
      <c r="F533" s="574">
        <v>2</v>
      </c>
      <c r="G533" s="574">
        <v>2</v>
      </c>
      <c r="H533" s="574">
        <v>2</v>
      </c>
      <c r="I533" s="574">
        <v>2</v>
      </c>
      <c r="J533" s="574">
        <v>2</v>
      </c>
      <c r="K533" s="574">
        <v>2</v>
      </c>
      <c r="L533" s="574">
        <v>2</v>
      </c>
      <c r="M533" s="574">
        <v>2</v>
      </c>
      <c r="N533" s="574">
        <v>2</v>
      </c>
      <c r="O533" s="574">
        <v>2</v>
      </c>
      <c r="P533" s="574">
        <v>2</v>
      </c>
      <c r="Q533" s="574">
        <v>2</v>
      </c>
      <c r="R533" s="574">
        <v>2</v>
      </c>
      <c r="S533" s="574">
        <v>2</v>
      </c>
      <c r="T533" s="574">
        <v>2</v>
      </c>
      <c r="U533" s="574">
        <v>2</v>
      </c>
      <c r="V533" s="574">
        <v>2</v>
      </c>
      <c r="W533" s="574">
        <v>2</v>
      </c>
      <c r="X533" s="574">
        <v>2</v>
      </c>
      <c r="Y533" s="574">
        <v>2</v>
      </c>
      <c r="Z533" s="574">
        <v>2</v>
      </c>
      <c r="AA533" s="574">
        <v>2</v>
      </c>
      <c r="AB533" s="574">
        <v>2</v>
      </c>
      <c r="AC533" s="574">
        <v>2</v>
      </c>
      <c r="AD533" s="574">
        <v>2</v>
      </c>
      <c r="AE533" s="574">
        <v>2</v>
      </c>
      <c r="AF533" s="574">
        <v>2</v>
      </c>
      <c r="AH533" s="538"/>
      <c r="AK533" s="531"/>
      <c r="AM533" s="594"/>
      <c r="AN533" s="535"/>
      <c r="AP533" s="540"/>
      <c r="AQ533" s="540"/>
    </row>
    <row r="534" spans="1:43" s="513" customFormat="1" ht="16.5" hidden="1" customHeight="1" outlineLevel="2">
      <c r="A534" s="584"/>
      <c r="B534" s="572" t="s">
        <v>888</v>
      </c>
      <c r="C534" s="574">
        <f>CAPEX!$C$57*(0.83%+0.42%)</f>
        <v>11869.823125000001</v>
      </c>
      <c r="D534" s="574">
        <f>C534</f>
        <v>11869.823125000001</v>
      </c>
      <c r="E534" s="574">
        <f t="shared" ref="E534:AF534" si="437">D534</f>
        <v>11869.823125000001</v>
      </c>
      <c r="F534" s="574">
        <f t="shared" si="437"/>
        <v>11869.823125000001</v>
      </c>
      <c r="G534" s="574">
        <f t="shared" si="437"/>
        <v>11869.823125000001</v>
      </c>
      <c r="H534" s="574">
        <f t="shared" si="437"/>
        <v>11869.823125000001</v>
      </c>
      <c r="I534" s="574">
        <f t="shared" si="437"/>
        <v>11869.823125000001</v>
      </c>
      <c r="J534" s="574">
        <f t="shared" si="437"/>
        <v>11869.823125000001</v>
      </c>
      <c r="K534" s="574">
        <f t="shared" si="437"/>
        <v>11869.823125000001</v>
      </c>
      <c r="L534" s="574">
        <f t="shared" si="437"/>
        <v>11869.823125000001</v>
      </c>
      <c r="M534" s="574">
        <f t="shared" si="437"/>
        <v>11869.823125000001</v>
      </c>
      <c r="N534" s="574">
        <f t="shared" si="437"/>
        <v>11869.823125000001</v>
      </c>
      <c r="O534" s="574">
        <f t="shared" si="437"/>
        <v>11869.823125000001</v>
      </c>
      <c r="P534" s="574">
        <f t="shared" si="437"/>
        <v>11869.823125000001</v>
      </c>
      <c r="Q534" s="574">
        <f t="shared" si="437"/>
        <v>11869.823125000001</v>
      </c>
      <c r="R534" s="574">
        <f t="shared" si="437"/>
        <v>11869.823125000001</v>
      </c>
      <c r="S534" s="574">
        <f t="shared" si="437"/>
        <v>11869.823125000001</v>
      </c>
      <c r="T534" s="574">
        <f t="shared" si="437"/>
        <v>11869.823125000001</v>
      </c>
      <c r="U534" s="574">
        <f t="shared" si="437"/>
        <v>11869.823125000001</v>
      </c>
      <c r="V534" s="574">
        <f t="shared" si="437"/>
        <v>11869.823125000001</v>
      </c>
      <c r="W534" s="574">
        <f t="shared" si="437"/>
        <v>11869.823125000001</v>
      </c>
      <c r="X534" s="574">
        <f t="shared" si="437"/>
        <v>11869.823125000001</v>
      </c>
      <c r="Y534" s="574">
        <f t="shared" si="437"/>
        <v>11869.823125000001</v>
      </c>
      <c r="Z534" s="574">
        <f t="shared" si="437"/>
        <v>11869.823125000001</v>
      </c>
      <c r="AA534" s="574">
        <f t="shared" si="437"/>
        <v>11869.823125000001</v>
      </c>
      <c r="AB534" s="574">
        <f t="shared" si="437"/>
        <v>11869.823125000001</v>
      </c>
      <c r="AC534" s="574">
        <f t="shared" si="437"/>
        <v>11869.823125000001</v>
      </c>
      <c r="AD534" s="574">
        <f t="shared" si="437"/>
        <v>11869.823125000001</v>
      </c>
      <c r="AE534" s="574">
        <f t="shared" si="437"/>
        <v>11869.823125000001</v>
      </c>
      <c r="AF534" s="574">
        <f t="shared" si="437"/>
        <v>11869.823125000001</v>
      </c>
      <c r="AH534" s="538"/>
      <c r="AK534" s="531"/>
      <c r="AM534" s="594"/>
      <c r="AN534" s="535"/>
      <c r="AP534" s="540"/>
      <c r="AQ534" s="540"/>
    </row>
    <row r="535" spans="1:43" ht="7.5" hidden="1" customHeight="1" outlineLevel="2">
      <c r="A535" s="584"/>
      <c r="B535" s="551"/>
      <c r="C535" s="592"/>
      <c r="D535" s="592"/>
      <c r="E535" s="592"/>
      <c r="F535" s="592"/>
      <c r="G535" s="592"/>
      <c r="H535" s="592"/>
      <c r="I535" s="592"/>
      <c r="J535" s="592"/>
      <c r="K535" s="592"/>
      <c r="L535" s="592"/>
      <c r="M535" s="592"/>
      <c r="N535" s="592"/>
      <c r="O535" s="592"/>
      <c r="P535" s="592"/>
      <c r="Q535" s="592"/>
      <c r="R535" s="592"/>
      <c r="S535" s="592"/>
      <c r="T535" s="592"/>
      <c r="U535" s="592"/>
      <c r="V535" s="592"/>
      <c r="W535" s="592"/>
      <c r="X535" s="592"/>
      <c r="Y535" s="592"/>
      <c r="Z535" s="592"/>
      <c r="AA535" s="592"/>
      <c r="AB535" s="592"/>
      <c r="AC535" s="592"/>
      <c r="AD535" s="592"/>
      <c r="AE535" s="592"/>
      <c r="AF535" s="592"/>
      <c r="AH535" s="593"/>
      <c r="AK535" s="531"/>
      <c r="AM535" s="594"/>
      <c r="AN535" s="535"/>
      <c r="AP535" s="535"/>
      <c r="AQ535" s="535"/>
    </row>
    <row r="536" spans="1:43" s="564" customFormat="1" ht="16.5" hidden="1" customHeight="1" outlineLevel="1" collapsed="1">
      <c r="A536" s="584"/>
      <c r="B536" s="576" t="s">
        <v>894</v>
      </c>
      <c r="C536" s="599">
        <f>SUM(C537)*12/10^3</f>
        <v>33.976878545454554</v>
      </c>
      <c r="D536" s="599">
        <f t="shared" ref="D536:AF536" si="438">SUM(D537)*12/10^3</f>
        <v>33.976878545454554</v>
      </c>
      <c r="E536" s="599">
        <f t="shared" si="438"/>
        <v>33.976878545454554</v>
      </c>
      <c r="F536" s="599">
        <f t="shared" si="438"/>
        <v>33.976878545454554</v>
      </c>
      <c r="G536" s="599">
        <f t="shared" si="438"/>
        <v>33.976878545454554</v>
      </c>
      <c r="H536" s="599">
        <f t="shared" si="438"/>
        <v>33.976878545454554</v>
      </c>
      <c r="I536" s="599">
        <f t="shared" si="438"/>
        <v>33.976878545454554</v>
      </c>
      <c r="J536" s="599">
        <f t="shared" si="438"/>
        <v>33.976878545454554</v>
      </c>
      <c r="K536" s="599">
        <f t="shared" si="438"/>
        <v>33.976878545454554</v>
      </c>
      <c r="L536" s="599">
        <f t="shared" si="438"/>
        <v>33.976878545454554</v>
      </c>
      <c r="M536" s="599">
        <f t="shared" si="438"/>
        <v>33.976878545454554</v>
      </c>
      <c r="N536" s="599">
        <f t="shared" si="438"/>
        <v>33.976878545454554</v>
      </c>
      <c r="O536" s="599">
        <f t="shared" si="438"/>
        <v>33.976878545454554</v>
      </c>
      <c r="P536" s="599">
        <f t="shared" si="438"/>
        <v>33.976878545454554</v>
      </c>
      <c r="Q536" s="599">
        <f t="shared" si="438"/>
        <v>33.976878545454554</v>
      </c>
      <c r="R536" s="599">
        <f t="shared" si="438"/>
        <v>33.976878545454554</v>
      </c>
      <c r="S536" s="599">
        <f t="shared" si="438"/>
        <v>33.976878545454554</v>
      </c>
      <c r="T536" s="599">
        <f t="shared" si="438"/>
        <v>33.976878545454554</v>
      </c>
      <c r="U536" s="599">
        <f t="shared" si="438"/>
        <v>33.976878545454554</v>
      </c>
      <c r="V536" s="599">
        <f t="shared" si="438"/>
        <v>33.976878545454554</v>
      </c>
      <c r="W536" s="599">
        <f t="shared" si="438"/>
        <v>33.976878545454554</v>
      </c>
      <c r="X536" s="599">
        <f t="shared" si="438"/>
        <v>33.976878545454554</v>
      </c>
      <c r="Y536" s="599">
        <f t="shared" si="438"/>
        <v>33.976878545454554</v>
      </c>
      <c r="Z536" s="599">
        <f t="shared" si="438"/>
        <v>33.976878545454554</v>
      </c>
      <c r="AA536" s="599">
        <f t="shared" si="438"/>
        <v>33.976878545454554</v>
      </c>
      <c r="AB536" s="599">
        <f t="shared" si="438"/>
        <v>33.976878545454554</v>
      </c>
      <c r="AC536" s="599">
        <f t="shared" si="438"/>
        <v>33.976878545454554</v>
      </c>
      <c r="AD536" s="599">
        <f t="shared" si="438"/>
        <v>33.976878545454554</v>
      </c>
      <c r="AE536" s="599">
        <f t="shared" si="438"/>
        <v>33.976878545454554</v>
      </c>
      <c r="AF536" s="599">
        <f t="shared" si="438"/>
        <v>33.976878545454554</v>
      </c>
      <c r="AH536" s="578">
        <f>SUM(C536:AF536)</f>
        <v>1019.3063563636374</v>
      </c>
      <c r="AJ536" s="579"/>
      <c r="AK536" s="531"/>
      <c r="AM536" s="594"/>
      <c r="AN536" s="535"/>
      <c r="AP536" s="568"/>
      <c r="AQ536" s="568"/>
    </row>
    <row r="537" spans="1:43" s="546" customFormat="1" ht="16.5" hidden="1" customHeight="1" outlineLevel="2">
      <c r="A537" s="584"/>
      <c r="B537" s="569" t="str">
        <f>B531</f>
        <v>Caminhão carroceria  25 m³ com implemento garra</v>
      </c>
      <c r="C537" s="581">
        <f>C538*(C539/C540)*C541</f>
        <v>2831.4065454545457</v>
      </c>
      <c r="D537" s="581">
        <f>D538*(D539/D540)*D541</f>
        <v>2831.4065454545457</v>
      </c>
      <c r="E537" s="581">
        <f t="shared" ref="E537:AF537" si="439">E538*(E539/E540)*E541</f>
        <v>2831.4065454545457</v>
      </c>
      <c r="F537" s="581">
        <f t="shared" si="439"/>
        <v>2831.4065454545457</v>
      </c>
      <c r="G537" s="581">
        <f t="shared" si="439"/>
        <v>2831.4065454545457</v>
      </c>
      <c r="H537" s="581">
        <f t="shared" si="439"/>
        <v>2831.4065454545457</v>
      </c>
      <c r="I537" s="581">
        <f t="shared" si="439"/>
        <v>2831.4065454545457</v>
      </c>
      <c r="J537" s="581">
        <f t="shared" si="439"/>
        <v>2831.4065454545457</v>
      </c>
      <c r="K537" s="581">
        <f t="shared" si="439"/>
        <v>2831.4065454545457</v>
      </c>
      <c r="L537" s="581">
        <f t="shared" si="439"/>
        <v>2831.4065454545457</v>
      </c>
      <c r="M537" s="581">
        <f t="shared" si="439"/>
        <v>2831.4065454545457</v>
      </c>
      <c r="N537" s="581">
        <f t="shared" si="439"/>
        <v>2831.4065454545457</v>
      </c>
      <c r="O537" s="581">
        <f t="shared" si="439"/>
        <v>2831.4065454545457</v>
      </c>
      <c r="P537" s="581">
        <f t="shared" si="439"/>
        <v>2831.4065454545457</v>
      </c>
      <c r="Q537" s="581">
        <f t="shared" si="439"/>
        <v>2831.4065454545457</v>
      </c>
      <c r="R537" s="581">
        <f t="shared" si="439"/>
        <v>2831.4065454545457</v>
      </c>
      <c r="S537" s="581">
        <f t="shared" si="439"/>
        <v>2831.4065454545457</v>
      </c>
      <c r="T537" s="581">
        <f t="shared" si="439"/>
        <v>2831.4065454545457</v>
      </c>
      <c r="U537" s="581">
        <f t="shared" si="439"/>
        <v>2831.4065454545457</v>
      </c>
      <c r="V537" s="581">
        <f t="shared" si="439"/>
        <v>2831.4065454545457</v>
      </c>
      <c r="W537" s="581">
        <f t="shared" si="439"/>
        <v>2831.4065454545457</v>
      </c>
      <c r="X537" s="581">
        <f t="shared" si="439"/>
        <v>2831.4065454545457</v>
      </c>
      <c r="Y537" s="581">
        <f t="shared" si="439"/>
        <v>2831.4065454545457</v>
      </c>
      <c r="Z537" s="581">
        <f t="shared" si="439"/>
        <v>2831.4065454545457</v>
      </c>
      <c r="AA537" s="581">
        <f t="shared" si="439"/>
        <v>2831.4065454545457</v>
      </c>
      <c r="AB537" s="581">
        <f t="shared" si="439"/>
        <v>2831.4065454545457</v>
      </c>
      <c r="AC537" s="581">
        <f t="shared" si="439"/>
        <v>2831.4065454545457</v>
      </c>
      <c r="AD537" s="581">
        <f t="shared" si="439"/>
        <v>2831.4065454545457</v>
      </c>
      <c r="AE537" s="581">
        <f t="shared" si="439"/>
        <v>2831.4065454545457</v>
      </c>
      <c r="AF537" s="581">
        <f t="shared" si="439"/>
        <v>2831.4065454545457</v>
      </c>
      <c r="AH537" s="571"/>
      <c r="AK537" s="531"/>
      <c r="AM537" s="594"/>
      <c r="AN537" s="535"/>
      <c r="AP537" s="549"/>
      <c r="AQ537" s="549"/>
    </row>
    <row r="538" spans="1:43" s="513" customFormat="1" ht="16.5" hidden="1" customHeight="1" outlineLevel="2">
      <c r="A538" s="584"/>
      <c r="B538" s="572" t="s">
        <v>805</v>
      </c>
      <c r="C538" s="574">
        <f t="shared" ref="C538:AF538" si="440">C522</f>
        <v>1</v>
      </c>
      <c r="D538" s="574">
        <f t="shared" si="440"/>
        <v>1</v>
      </c>
      <c r="E538" s="574">
        <f t="shared" si="440"/>
        <v>1</v>
      </c>
      <c r="F538" s="574">
        <f t="shared" si="440"/>
        <v>1</v>
      </c>
      <c r="G538" s="574">
        <f t="shared" si="440"/>
        <v>1</v>
      </c>
      <c r="H538" s="574">
        <f t="shared" si="440"/>
        <v>1</v>
      </c>
      <c r="I538" s="574">
        <f t="shared" si="440"/>
        <v>1</v>
      </c>
      <c r="J538" s="574">
        <f t="shared" si="440"/>
        <v>1</v>
      </c>
      <c r="K538" s="574">
        <f t="shared" si="440"/>
        <v>1</v>
      </c>
      <c r="L538" s="574">
        <f t="shared" si="440"/>
        <v>1</v>
      </c>
      <c r="M538" s="574">
        <f t="shared" si="440"/>
        <v>1</v>
      </c>
      <c r="N538" s="574">
        <f t="shared" si="440"/>
        <v>1</v>
      </c>
      <c r="O538" s="574">
        <f t="shared" si="440"/>
        <v>1</v>
      </c>
      <c r="P538" s="574">
        <f t="shared" si="440"/>
        <v>1</v>
      </c>
      <c r="Q538" s="574">
        <f t="shared" si="440"/>
        <v>1</v>
      </c>
      <c r="R538" s="574">
        <f t="shared" si="440"/>
        <v>1</v>
      </c>
      <c r="S538" s="574">
        <f t="shared" si="440"/>
        <v>1</v>
      </c>
      <c r="T538" s="574">
        <f t="shared" si="440"/>
        <v>1</v>
      </c>
      <c r="U538" s="574">
        <f t="shared" si="440"/>
        <v>1</v>
      </c>
      <c r="V538" s="574">
        <f t="shared" si="440"/>
        <v>1</v>
      </c>
      <c r="W538" s="574">
        <f t="shared" si="440"/>
        <v>1</v>
      </c>
      <c r="X538" s="574">
        <f t="shared" si="440"/>
        <v>1</v>
      </c>
      <c r="Y538" s="574">
        <f t="shared" si="440"/>
        <v>1</v>
      </c>
      <c r="Z538" s="574">
        <f t="shared" si="440"/>
        <v>1</v>
      </c>
      <c r="AA538" s="574">
        <f t="shared" si="440"/>
        <v>1</v>
      </c>
      <c r="AB538" s="574">
        <f t="shared" si="440"/>
        <v>1</v>
      </c>
      <c r="AC538" s="574">
        <f t="shared" si="440"/>
        <v>1</v>
      </c>
      <c r="AD538" s="574">
        <f t="shared" si="440"/>
        <v>1</v>
      </c>
      <c r="AE538" s="574">
        <f t="shared" si="440"/>
        <v>1</v>
      </c>
      <c r="AF538" s="574">
        <f t="shared" si="440"/>
        <v>1</v>
      </c>
      <c r="AH538" s="538"/>
      <c r="AK538" s="531"/>
      <c r="AM538" s="594"/>
      <c r="AN538" s="535"/>
      <c r="AP538" s="540"/>
      <c r="AQ538" s="540"/>
    </row>
    <row r="539" spans="1:43" s="513" customFormat="1" ht="16.5" hidden="1" customHeight="1" outlineLevel="2">
      <c r="A539" s="584"/>
      <c r="B539" s="572" t="s">
        <v>895</v>
      </c>
      <c r="C539" s="574">
        <f t="shared" ref="C539:AF539" si="441">C532</f>
        <v>2073.6000000000004</v>
      </c>
      <c r="D539" s="574">
        <f t="shared" si="441"/>
        <v>2073.6000000000004</v>
      </c>
      <c r="E539" s="574">
        <f t="shared" si="441"/>
        <v>2073.6000000000004</v>
      </c>
      <c r="F539" s="574">
        <f t="shared" si="441"/>
        <v>2073.6000000000004</v>
      </c>
      <c r="G539" s="574">
        <f t="shared" si="441"/>
        <v>2073.6000000000004</v>
      </c>
      <c r="H539" s="574">
        <f t="shared" si="441"/>
        <v>2073.6000000000004</v>
      </c>
      <c r="I539" s="574">
        <f t="shared" si="441"/>
        <v>2073.6000000000004</v>
      </c>
      <c r="J539" s="574">
        <f t="shared" si="441"/>
        <v>2073.6000000000004</v>
      </c>
      <c r="K539" s="574">
        <f t="shared" si="441"/>
        <v>2073.6000000000004</v>
      </c>
      <c r="L539" s="574">
        <f t="shared" si="441"/>
        <v>2073.6000000000004</v>
      </c>
      <c r="M539" s="574">
        <f t="shared" si="441"/>
        <v>2073.6000000000004</v>
      </c>
      <c r="N539" s="574">
        <f t="shared" si="441"/>
        <v>2073.6000000000004</v>
      </c>
      <c r="O539" s="574">
        <f t="shared" si="441"/>
        <v>2073.6000000000004</v>
      </c>
      <c r="P539" s="574">
        <f t="shared" si="441"/>
        <v>2073.6000000000004</v>
      </c>
      <c r="Q539" s="574">
        <f t="shared" si="441"/>
        <v>2073.6000000000004</v>
      </c>
      <c r="R539" s="574">
        <f t="shared" si="441"/>
        <v>2073.6000000000004</v>
      </c>
      <c r="S539" s="574">
        <f t="shared" si="441"/>
        <v>2073.6000000000004</v>
      </c>
      <c r="T539" s="574">
        <f t="shared" si="441"/>
        <v>2073.6000000000004</v>
      </c>
      <c r="U539" s="574">
        <f t="shared" si="441"/>
        <v>2073.6000000000004</v>
      </c>
      <c r="V539" s="574">
        <f t="shared" si="441"/>
        <v>2073.6000000000004</v>
      </c>
      <c r="W539" s="574">
        <f t="shared" si="441"/>
        <v>2073.6000000000004</v>
      </c>
      <c r="X539" s="574">
        <f t="shared" si="441"/>
        <v>2073.6000000000004</v>
      </c>
      <c r="Y539" s="574">
        <f t="shared" si="441"/>
        <v>2073.6000000000004</v>
      </c>
      <c r="Z539" s="574">
        <f t="shared" si="441"/>
        <v>2073.6000000000004</v>
      </c>
      <c r="AA539" s="574">
        <f t="shared" si="441"/>
        <v>2073.6000000000004</v>
      </c>
      <c r="AB539" s="574">
        <f t="shared" si="441"/>
        <v>2073.6000000000004</v>
      </c>
      <c r="AC539" s="574">
        <f t="shared" si="441"/>
        <v>2073.6000000000004</v>
      </c>
      <c r="AD539" s="574">
        <f t="shared" si="441"/>
        <v>2073.6000000000004</v>
      </c>
      <c r="AE539" s="574">
        <f t="shared" si="441"/>
        <v>2073.6000000000004</v>
      </c>
      <c r="AF539" s="574">
        <f t="shared" si="441"/>
        <v>2073.6000000000004</v>
      </c>
      <c r="AH539" s="538"/>
      <c r="AK539" s="531"/>
      <c r="AM539" s="594"/>
      <c r="AN539" s="535"/>
      <c r="AP539" s="540"/>
      <c r="AQ539" s="540"/>
    </row>
    <row r="540" spans="1:43" s="513" customFormat="1" ht="16.5" hidden="1" customHeight="1" outlineLevel="2">
      <c r="A540" s="584"/>
      <c r="B540" s="572" t="s">
        <v>896</v>
      </c>
      <c r="C540" s="574">
        <v>5.5</v>
      </c>
      <c r="D540" s="574">
        <f>C540</f>
        <v>5.5</v>
      </c>
      <c r="E540" s="574">
        <f>D540</f>
        <v>5.5</v>
      </c>
      <c r="F540" s="574">
        <f t="shared" ref="F540:U541" si="442">E540</f>
        <v>5.5</v>
      </c>
      <c r="G540" s="574">
        <f t="shared" si="442"/>
        <v>5.5</v>
      </c>
      <c r="H540" s="574">
        <f t="shared" si="442"/>
        <v>5.5</v>
      </c>
      <c r="I540" s="574">
        <f t="shared" si="442"/>
        <v>5.5</v>
      </c>
      <c r="J540" s="574">
        <f t="shared" si="442"/>
        <v>5.5</v>
      </c>
      <c r="K540" s="574">
        <f t="shared" si="442"/>
        <v>5.5</v>
      </c>
      <c r="L540" s="574">
        <f t="shared" si="442"/>
        <v>5.5</v>
      </c>
      <c r="M540" s="574">
        <f t="shared" si="442"/>
        <v>5.5</v>
      </c>
      <c r="N540" s="574">
        <f t="shared" si="442"/>
        <v>5.5</v>
      </c>
      <c r="O540" s="574">
        <f t="shared" si="442"/>
        <v>5.5</v>
      </c>
      <c r="P540" s="574">
        <f t="shared" si="442"/>
        <v>5.5</v>
      </c>
      <c r="Q540" s="574">
        <f t="shared" si="442"/>
        <v>5.5</v>
      </c>
      <c r="R540" s="574">
        <f t="shared" si="442"/>
        <v>5.5</v>
      </c>
      <c r="S540" s="574">
        <f t="shared" si="442"/>
        <v>5.5</v>
      </c>
      <c r="T540" s="574">
        <f t="shared" si="442"/>
        <v>5.5</v>
      </c>
      <c r="U540" s="574">
        <f t="shared" si="442"/>
        <v>5.5</v>
      </c>
      <c r="V540" s="574">
        <f t="shared" ref="V540:AF541" si="443">U540</f>
        <v>5.5</v>
      </c>
      <c r="W540" s="574">
        <f t="shared" si="443"/>
        <v>5.5</v>
      </c>
      <c r="X540" s="574">
        <f t="shared" si="443"/>
        <v>5.5</v>
      </c>
      <c r="Y540" s="574">
        <f t="shared" si="443"/>
        <v>5.5</v>
      </c>
      <c r="Z540" s="574">
        <f t="shared" si="443"/>
        <v>5.5</v>
      </c>
      <c r="AA540" s="574">
        <f t="shared" si="443"/>
        <v>5.5</v>
      </c>
      <c r="AB540" s="574">
        <f t="shared" si="443"/>
        <v>5.5</v>
      </c>
      <c r="AC540" s="574">
        <f t="shared" si="443"/>
        <v>5.5</v>
      </c>
      <c r="AD540" s="574">
        <f t="shared" si="443"/>
        <v>5.5</v>
      </c>
      <c r="AE540" s="574">
        <f t="shared" si="443"/>
        <v>5.5</v>
      </c>
      <c r="AF540" s="574">
        <f t="shared" si="443"/>
        <v>5.5</v>
      </c>
      <c r="AH540" s="538"/>
      <c r="AK540" s="531"/>
      <c r="AM540" s="594"/>
      <c r="AN540" s="535"/>
      <c r="AP540" s="540"/>
      <c r="AQ540" s="540"/>
    </row>
    <row r="541" spans="1:43" s="513" customFormat="1" ht="16.5" hidden="1" customHeight="1" outlineLevel="2">
      <c r="A541" s="584"/>
      <c r="B541" s="572" t="s">
        <v>888</v>
      </c>
      <c r="C541" s="574">
        <f>Insumos!$E$37</f>
        <v>7.51</v>
      </c>
      <c r="D541" s="574">
        <f>C541</f>
        <v>7.51</v>
      </c>
      <c r="E541" s="574">
        <f t="shared" ref="E541" si="444">D541</f>
        <v>7.51</v>
      </c>
      <c r="F541" s="574">
        <f t="shared" si="442"/>
        <v>7.51</v>
      </c>
      <c r="G541" s="574">
        <f t="shared" si="442"/>
        <v>7.51</v>
      </c>
      <c r="H541" s="574">
        <f t="shared" si="442"/>
        <v>7.51</v>
      </c>
      <c r="I541" s="574">
        <f t="shared" si="442"/>
        <v>7.51</v>
      </c>
      <c r="J541" s="574">
        <f t="shared" si="442"/>
        <v>7.51</v>
      </c>
      <c r="K541" s="574">
        <f t="shared" si="442"/>
        <v>7.51</v>
      </c>
      <c r="L541" s="574">
        <f t="shared" si="442"/>
        <v>7.51</v>
      </c>
      <c r="M541" s="574">
        <f t="shared" si="442"/>
        <v>7.51</v>
      </c>
      <c r="N541" s="574">
        <f t="shared" si="442"/>
        <v>7.51</v>
      </c>
      <c r="O541" s="574">
        <f t="shared" si="442"/>
        <v>7.51</v>
      </c>
      <c r="P541" s="574">
        <f t="shared" si="442"/>
        <v>7.51</v>
      </c>
      <c r="Q541" s="574">
        <f t="shared" si="442"/>
        <v>7.51</v>
      </c>
      <c r="R541" s="574">
        <f t="shared" si="442"/>
        <v>7.51</v>
      </c>
      <c r="S541" s="574">
        <f t="shared" si="442"/>
        <v>7.51</v>
      </c>
      <c r="T541" s="574">
        <f t="shared" si="442"/>
        <v>7.51</v>
      </c>
      <c r="U541" s="574">
        <f t="shared" si="442"/>
        <v>7.51</v>
      </c>
      <c r="V541" s="574">
        <f t="shared" si="443"/>
        <v>7.51</v>
      </c>
      <c r="W541" s="574">
        <f t="shared" si="443"/>
        <v>7.51</v>
      </c>
      <c r="X541" s="574">
        <f t="shared" si="443"/>
        <v>7.51</v>
      </c>
      <c r="Y541" s="574">
        <f t="shared" si="443"/>
        <v>7.51</v>
      </c>
      <c r="Z541" s="574">
        <f t="shared" si="443"/>
        <v>7.51</v>
      </c>
      <c r="AA541" s="574">
        <f t="shared" si="443"/>
        <v>7.51</v>
      </c>
      <c r="AB541" s="574">
        <f t="shared" si="443"/>
        <v>7.51</v>
      </c>
      <c r="AC541" s="574">
        <f t="shared" si="443"/>
        <v>7.51</v>
      </c>
      <c r="AD541" s="574">
        <f t="shared" si="443"/>
        <v>7.51</v>
      </c>
      <c r="AE541" s="574">
        <f t="shared" si="443"/>
        <v>7.51</v>
      </c>
      <c r="AF541" s="574">
        <f t="shared" si="443"/>
        <v>7.51</v>
      </c>
      <c r="AH541" s="538"/>
      <c r="AK541" s="531"/>
      <c r="AM541" s="594"/>
      <c r="AN541" s="535"/>
      <c r="AP541" s="540"/>
      <c r="AQ541" s="540"/>
    </row>
    <row r="542" spans="1:43" s="513" customFormat="1" ht="3" hidden="1" customHeight="1" outlineLevel="2">
      <c r="A542" s="584"/>
      <c r="B542" s="572"/>
      <c r="C542" s="574"/>
      <c r="D542" s="574"/>
      <c r="E542" s="574"/>
      <c r="F542" s="574"/>
      <c r="G542" s="574"/>
      <c r="H542" s="574"/>
      <c r="I542" s="574"/>
      <c r="J542" s="574"/>
      <c r="K542" s="574"/>
      <c r="L542" s="574"/>
      <c r="M542" s="574"/>
      <c r="N542" s="574"/>
      <c r="O542" s="574"/>
      <c r="P542" s="574"/>
      <c r="Q542" s="574"/>
      <c r="R542" s="574"/>
      <c r="S542" s="574"/>
      <c r="T542" s="574"/>
      <c r="U542" s="574"/>
      <c r="V542" s="574"/>
      <c r="W542" s="574"/>
      <c r="X542" s="574"/>
      <c r="Y542" s="574"/>
      <c r="Z542" s="574"/>
      <c r="AA542" s="574"/>
      <c r="AB542" s="574"/>
      <c r="AC542" s="574"/>
      <c r="AD542" s="574"/>
      <c r="AE542" s="574"/>
      <c r="AF542" s="574"/>
      <c r="AH542" s="538"/>
      <c r="AK542" s="531"/>
      <c r="AM542" s="594"/>
      <c r="AN542" s="535"/>
      <c r="AP542" s="540"/>
      <c r="AQ542" s="540"/>
    </row>
    <row r="543" spans="1:43" s="564" customFormat="1" ht="16.5" hidden="1" customHeight="1" outlineLevel="1" collapsed="1">
      <c r="A543" s="584"/>
      <c r="B543" s="576" t="s">
        <v>897</v>
      </c>
      <c r="C543" s="599">
        <f>SUM(C544)*12/10^3</f>
        <v>2.1875960770560003</v>
      </c>
      <c r="D543" s="599">
        <f t="shared" ref="D543:AF543" si="445">SUM(D544)*12/10^3</f>
        <v>2.1875960770560003</v>
      </c>
      <c r="E543" s="599">
        <f t="shared" si="445"/>
        <v>2.1875960770560003</v>
      </c>
      <c r="F543" s="599">
        <f t="shared" si="445"/>
        <v>2.1875960770560003</v>
      </c>
      <c r="G543" s="599">
        <f t="shared" si="445"/>
        <v>2.1875960770560003</v>
      </c>
      <c r="H543" s="599">
        <f t="shared" si="445"/>
        <v>2.1875960770560003</v>
      </c>
      <c r="I543" s="599">
        <f t="shared" si="445"/>
        <v>2.1875960770560003</v>
      </c>
      <c r="J543" s="599">
        <f t="shared" si="445"/>
        <v>2.1875960770560003</v>
      </c>
      <c r="K543" s="599">
        <f t="shared" si="445"/>
        <v>2.1875960770560003</v>
      </c>
      <c r="L543" s="599">
        <f t="shared" si="445"/>
        <v>2.1875960770560003</v>
      </c>
      <c r="M543" s="599">
        <f t="shared" si="445"/>
        <v>2.1875960770560003</v>
      </c>
      <c r="N543" s="599">
        <f t="shared" si="445"/>
        <v>2.1875960770560003</v>
      </c>
      <c r="O543" s="599">
        <f t="shared" si="445"/>
        <v>2.1875960770560003</v>
      </c>
      <c r="P543" s="599">
        <f t="shared" si="445"/>
        <v>2.1875960770560003</v>
      </c>
      <c r="Q543" s="599">
        <f t="shared" si="445"/>
        <v>2.1875960770560003</v>
      </c>
      <c r="R543" s="599">
        <f t="shared" si="445"/>
        <v>2.1875960770560003</v>
      </c>
      <c r="S543" s="599">
        <f t="shared" si="445"/>
        <v>2.1875960770560003</v>
      </c>
      <c r="T543" s="599">
        <f t="shared" si="445"/>
        <v>2.1875960770560003</v>
      </c>
      <c r="U543" s="599">
        <f t="shared" si="445"/>
        <v>2.1875960770560003</v>
      </c>
      <c r="V543" s="599">
        <f t="shared" si="445"/>
        <v>2.1875960770560003</v>
      </c>
      <c r="W543" s="599">
        <f t="shared" si="445"/>
        <v>2.1875960770560003</v>
      </c>
      <c r="X543" s="599">
        <f t="shared" si="445"/>
        <v>2.1875960770560003</v>
      </c>
      <c r="Y543" s="599">
        <f t="shared" si="445"/>
        <v>2.1875960770560003</v>
      </c>
      <c r="Z543" s="599">
        <f t="shared" si="445"/>
        <v>2.1875960770560003</v>
      </c>
      <c r="AA543" s="599">
        <f t="shared" si="445"/>
        <v>2.1875960770560003</v>
      </c>
      <c r="AB543" s="599">
        <f t="shared" si="445"/>
        <v>2.1875960770560003</v>
      </c>
      <c r="AC543" s="599">
        <f t="shared" si="445"/>
        <v>2.1875960770560003</v>
      </c>
      <c r="AD543" s="599">
        <f t="shared" si="445"/>
        <v>2.1875960770560003</v>
      </c>
      <c r="AE543" s="599">
        <f t="shared" si="445"/>
        <v>2.1875960770560003</v>
      </c>
      <c r="AF543" s="599">
        <f t="shared" si="445"/>
        <v>2.1875960770560003</v>
      </c>
      <c r="AH543" s="578">
        <f>SUM(C543:AF543)</f>
        <v>65.627882311680011</v>
      </c>
      <c r="AK543" s="531"/>
      <c r="AM543" s="594"/>
      <c r="AN543" s="535"/>
      <c r="AP543" s="568"/>
      <c r="AQ543" s="568"/>
    </row>
    <row r="544" spans="1:43" s="546" customFormat="1" ht="16.5" hidden="1" customHeight="1" outlineLevel="2">
      <c r="A544" s="584"/>
      <c r="B544" s="569" t="str">
        <f>B537</f>
        <v>Caminhão carroceria  25 m³ com implemento garra</v>
      </c>
      <c r="C544" s="581">
        <f>C546*C547*C545</f>
        <v>182.29967308800002</v>
      </c>
      <c r="D544" s="581">
        <f t="shared" ref="D544:AF544" si="446">D546*D547*D545</f>
        <v>182.29967308800002</v>
      </c>
      <c r="E544" s="581">
        <f t="shared" si="446"/>
        <v>182.29967308800002</v>
      </c>
      <c r="F544" s="581">
        <f t="shared" si="446"/>
        <v>182.29967308800002</v>
      </c>
      <c r="G544" s="581">
        <f t="shared" si="446"/>
        <v>182.29967308800002</v>
      </c>
      <c r="H544" s="581">
        <f t="shared" si="446"/>
        <v>182.29967308800002</v>
      </c>
      <c r="I544" s="581">
        <f t="shared" si="446"/>
        <v>182.29967308800002</v>
      </c>
      <c r="J544" s="581">
        <f t="shared" si="446"/>
        <v>182.29967308800002</v>
      </c>
      <c r="K544" s="581">
        <f t="shared" si="446"/>
        <v>182.29967308800002</v>
      </c>
      <c r="L544" s="581">
        <f t="shared" si="446"/>
        <v>182.29967308800002</v>
      </c>
      <c r="M544" s="581">
        <f t="shared" si="446"/>
        <v>182.29967308800002</v>
      </c>
      <c r="N544" s="581">
        <f t="shared" si="446"/>
        <v>182.29967308800002</v>
      </c>
      <c r="O544" s="581">
        <f t="shared" si="446"/>
        <v>182.29967308800002</v>
      </c>
      <c r="P544" s="581">
        <f t="shared" si="446"/>
        <v>182.29967308800002</v>
      </c>
      <c r="Q544" s="581">
        <f t="shared" si="446"/>
        <v>182.29967308800002</v>
      </c>
      <c r="R544" s="581">
        <f t="shared" si="446"/>
        <v>182.29967308800002</v>
      </c>
      <c r="S544" s="581">
        <f t="shared" si="446"/>
        <v>182.29967308800002</v>
      </c>
      <c r="T544" s="581">
        <f t="shared" si="446"/>
        <v>182.29967308800002</v>
      </c>
      <c r="U544" s="581">
        <f t="shared" si="446"/>
        <v>182.29967308800002</v>
      </c>
      <c r="V544" s="581">
        <f t="shared" si="446"/>
        <v>182.29967308800002</v>
      </c>
      <c r="W544" s="581">
        <f t="shared" si="446"/>
        <v>182.29967308800002</v>
      </c>
      <c r="X544" s="581">
        <f t="shared" si="446"/>
        <v>182.29967308800002</v>
      </c>
      <c r="Y544" s="581">
        <f t="shared" si="446"/>
        <v>182.29967308800002</v>
      </c>
      <c r="Z544" s="581">
        <f t="shared" si="446"/>
        <v>182.29967308800002</v>
      </c>
      <c r="AA544" s="581">
        <f t="shared" si="446"/>
        <v>182.29967308800002</v>
      </c>
      <c r="AB544" s="581">
        <f t="shared" si="446"/>
        <v>182.29967308800002</v>
      </c>
      <c r="AC544" s="581">
        <f t="shared" si="446"/>
        <v>182.29967308800002</v>
      </c>
      <c r="AD544" s="581">
        <f t="shared" si="446"/>
        <v>182.29967308800002</v>
      </c>
      <c r="AE544" s="581">
        <f t="shared" si="446"/>
        <v>182.29967308800002</v>
      </c>
      <c r="AF544" s="581">
        <f t="shared" si="446"/>
        <v>182.29967308800002</v>
      </c>
      <c r="AH544" s="571"/>
      <c r="AK544" s="531"/>
      <c r="AM544" s="594"/>
      <c r="AN544" s="535"/>
      <c r="AP544" s="549"/>
      <c r="AQ544" s="549"/>
    </row>
    <row r="545" spans="1:43" s="546" customFormat="1" ht="16.5" hidden="1" customHeight="1" outlineLevel="2">
      <c r="A545" s="584"/>
      <c r="B545" s="596" t="s">
        <v>805</v>
      </c>
      <c r="C545" s="581">
        <f t="shared" ref="C545:AF545" si="447">C533</f>
        <v>2</v>
      </c>
      <c r="D545" s="581">
        <f t="shared" si="447"/>
        <v>2</v>
      </c>
      <c r="E545" s="581">
        <f t="shared" si="447"/>
        <v>2</v>
      </c>
      <c r="F545" s="581">
        <f t="shared" si="447"/>
        <v>2</v>
      </c>
      <c r="G545" s="581">
        <f t="shared" si="447"/>
        <v>2</v>
      </c>
      <c r="H545" s="581">
        <f t="shared" si="447"/>
        <v>2</v>
      </c>
      <c r="I545" s="581">
        <f t="shared" si="447"/>
        <v>2</v>
      </c>
      <c r="J545" s="581">
        <f t="shared" si="447"/>
        <v>2</v>
      </c>
      <c r="K545" s="581">
        <f t="shared" si="447"/>
        <v>2</v>
      </c>
      <c r="L545" s="581">
        <f t="shared" si="447"/>
        <v>2</v>
      </c>
      <c r="M545" s="581">
        <f t="shared" si="447"/>
        <v>2</v>
      </c>
      <c r="N545" s="581">
        <f t="shared" si="447"/>
        <v>2</v>
      </c>
      <c r="O545" s="581">
        <f t="shared" si="447"/>
        <v>2</v>
      </c>
      <c r="P545" s="581">
        <f t="shared" si="447"/>
        <v>2</v>
      </c>
      <c r="Q545" s="581">
        <f t="shared" si="447"/>
        <v>2</v>
      </c>
      <c r="R545" s="581">
        <f t="shared" si="447"/>
        <v>2</v>
      </c>
      <c r="S545" s="581">
        <f t="shared" si="447"/>
        <v>2</v>
      </c>
      <c r="T545" s="581">
        <f t="shared" si="447"/>
        <v>2</v>
      </c>
      <c r="U545" s="581">
        <f t="shared" si="447"/>
        <v>2</v>
      </c>
      <c r="V545" s="581">
        <f t="shared" si="447"/>
        <v>2</v>
      </c>
      <c r="W545" s="581">
        <f t="shared" si="447"/>
        <v>2</v>
      </c>
      <c r="X545" s="581">
        <f t="shared" si="447"/>
        <v>2</v>
      </c>
      <c r="Y545" s="581">
        <f t="shared" si="447"/>
        <v>2</v>
      </c>
      <c r="Z545" s="581">
        <f t="shared" si="447"/>
        <v>2</v>
      </c>
      <c r="AA545" s="581">
        <f t="shared" si="447"/>
        <v>2</v>
      </c>
      <c r="AB545" s="581">
        <f t="shared" si="447"/>
        <v>2</v>
      </c>
      <c r="AC545" s="581">
        <f t="shared" si="447"/>
        <v>2</v>
      </c>
      <c r="AD545" s="581">
        <f t="shared" si="447"/>
        <v>2</v>
      </c>
      <c r="AE545" s="581">
        <f t="shared" si="447"/>
        <v>2</v>
      </c>
      <c r="AF545" s="581">
        <f t="shared" si="447"/>
        <v>2</v>
      </c>
      <c r="AH545" s="571"/>
      <c r="AK545" s="531"/>
      <c r="AM545" s="594"/>
      <c r="AN545" s="535"/>
      <c r="AP545" s="549"/>
      <c r="AQ545" s="549"/>
    </row>
    <row r="546" spans="1:43" s="513" customFormat="1" ht="16.5" hidden="1" customHeight="1" outlineLevel="2">
      <c r="A546" s="584"/>
      <c r="B546" s="596" t="s">
        <v>895</v>
      </c>
      <c r="C546" s="574">
        <f t="shared" ref="C546:AF546" si="448">C532</f>
        <v>2073.6000000000004</v>
      </c>
      <c r="D546" s="574">
        <f t="shared" si="448"/>
        <v>2073.6000000000004</v>
      </c>
      <c r="E546" s="574">
        <f t="shared" si="448"/>
        <v>2073.6000000000004</v>
      </c>
      <c r="F546" s="574">
        <f t="shared" si="448"/>
        <v>2073.6000000000004</v>
      </c>
      <c r="G546" s="574">
        <f t="shared" si="448"/>
        <v>2073.6000000000004</v>
      </c>
      <c r="H546" s="574">
        <f t="shared" si="448"/>
        <v>2073.6000000000004</v>
      </c>
      <c r="I546" s="574">
        <f t="shared" si="448"/>
        <v>2073.6000000000004</v>
      </c>
      <c r="J546" s="574">
        <f t="shared" si="448"/>
        <v>2073.6000000000004</v>
      </c>
      <c r="K546" s="574">
        <f t="shared" si="448"/>
        <v>2073.6000000000004</v>
      </c>
      <c r="L546" s="574">
        <f t="shared" si="448"/>
        <v>2073.6000000000004</v>
      </c>
      <c r="M546" s="574">
        <f t="shared" si="448"/>
        <v>2073.6000000000004</v>
      </c>
      <c r="N546" s="574">
        <f t="shared" si="448"/>
        <v>2073.6000000000004</v>
      </c>
      <c r="O546" s="574">
        <f t="shared" si="448"/>
        <v>2073.6000000000004</v>
      </c>
      <c r="P546" s="574">
        <f t="shared" si="448"/>
        <v>2073.6000000000004</v>
      </c>
      <c r="Q546" s="574">
        <f t="shared" si="448"/>
        <v>2073.6000000000004</v>
      </c>
      <c r="R546" s="574">
        <f t="shared" si="448"/>
        <v>2073.6000000000004</v>
      </c>
      <c r="S546" s="574">
        <f t="shared" si="448"/>
        <v>2073.6000000000004</v>
      </c>
      <c r="T546" s="574">
        <f t="shared" si="448"/>
        <v>2073.6000000000004</v>
      </c>
      <c r="U546" s="574">
        <f t="shared" si="448"/>
        <v>2073.6000000000004</v>
      </c>
      <c r="V546" s="574">
        <f t="shared" si="448"/>
        <v>2073.6000000000004</v>
      </c>
      <c r="W546" s="574">
        <f t="shared" si="448"/>
        <v>2073.6000000000004</v>
      </c>
      <c r="X546" s="574">
        <f t="shared" si="448"/>
        <v>2073.6000000000004</v>
      </c>
      <c r="Y546" s="574">
        <f t="shared" si="448"/>
        <v>2073.6000000000004</v>
      </c>
      <c r="Z546" s="574">
        <f t="shared" si="448"/>
        <v>2073.6000000000004</v>
      </c>
      <c r="AA546" s="574">
        <f t="shared" si="448"/>
        <v>2073.6000000000004</v>
      </c>
      <c r="AB546" s="574">
        <f t="shared" si="448"/>
        <v>2073.6000000000004</v>
      </c>
      <c r="AC546" s="574">
        <f t="shared" si="448"/>
        <v>2073.6000000000004</v>
      </c>
      <c r="AD546" s="574">
        <f t="shared" si="448"/>
        <v>2073.6000000000004</v>
      </c>
      <c r="AE546" s="574">
        <f t="shared" si="448"/>
        <v>2073.6000000000004</v>
      </c>
      <c r="AF546" s="574">
        <f t="shared" si="448"/>
        <v>2073.6000000000004</v>
      </c>
      <c r="AH546" s="538"/>
      <c r="AK546" s="531"/>
      <c r="AM546" s="594"/>
      <c r="AN546" s="535"/>
      <c r="AP546" s="540"/>
      <c r="AQ546" s="540"/>
    </row>
    <row r="547" spans="1:43" s="513" customFormat="1" ht="16.5" hidden="1" customHeight="1" outlineLevel="2">
      <c r="A547" s="584"/>
      <c r="B547" s="596" t="s">
        <v>898</v>
      </c>
      <c r="C547" s="597">
        <v>4.3957289999999996E-2</v>
      </c>
      <c r="D547" s="597">
        <f>C547</f>
        <v>4.3957289999999996E-2</v>
      </c>
      <c r="E547" s="597">
        <f t="shared" ref="E547:AF547" si="449">D547</f>
        <v>4.3957289999999996E-2</v>
      </c>
      <c r="F547" s="597">
        <f t="shared" si="449"/>
        <v>4.3957289999999996E-2</v>
      </c>
      <c r="G547" s="597">
        <f t="shared" si="449"/>
        <v>4.3957289999999996E-2</v>
      </c>
      <c r="H547" s="597">
        <f t="shared" si="449"/>
        <v>4.3957289999999996E-2</v>
      </c>
      <c r="I547" s="597">
        <f t="shared" si="449"/>
        <v>4.3957289999999996E-2</v>
      </c>
      <c r="J547" s="597">
        <f t="shared" si="449"/>
        <v>4.3957289999999996E-2</v>
      </c>
      <c r="K547" s="597">
        <f t="shared" si="449"/>
        <v>4.3957289999999996E-2</v>
      </c>
      <c r="L547" s="597">
        <f t="shared" si="449"/>
        <v>4.3957289999999996E-2</v>
      </c>
      <c r="M547" s="597">
        <f t="shared" si="449"/>
        <v>4.3957289999999996E-2</v>
      </c>
      <c r="N547" s="597">
        <f t="shared" si="449"/>
        <v>4.3957289999999996E-2</v>
      </c>
      <c r="O547" s="597">
        <f t="shared" si="449"/>
        <v>4.3957289999999996E-2</v>
      </c>
      <c r="P547" s="597">
        <f t="shared" si="449"/>
        <v>4.3957289999999996E-2</v>
      </c>
      <c r="Q547" s="597">
        <f t="shared" si="449"/>
        <v>4.3957289999999996E-2</v>
      </c>
      <c r="R547" s="597">
        <f t="shared" si="449"/>
        <v>4.3957289999999996E-2</v>
      </c>
      <c r="S547" s="597">
        <f t="shared" si="449"/>
        <v>4.3957289999999996E-2</v>
      </c>
      <c r="T547" s="597">
        <f t="shared" si="449"/>
        <v>4.3957289999999996E-2</v>
      </c>
      <c r="U547" s="597">
        <f t="shared" si="449"/>
        <v>4.3957289999999996E-2</v>
      </c>
      <c r="V547" s="597">
        <f t="shared" si="449"/>
        <v>4.3957289999999996E-2</v>
      </c>
      <c r="W547" s="597">
        <f t="shared" si="449"/>
        <v>4.3957289999999996E-2</v>
      </c>
      <c r="X547" s="597">
        <f t="shared" si="449"/>
        <v>4.3957289999999996E-2</v>
      </c>
      <c r="Y547" s="597">
        <f t="shared" si="449"/>
        <v>4.3957289999999996E-2</v>
      </c>
      <c r="Z547" s="597">
        <f t="shared" si="449"/>
        <v>4.3957289999999996E-2</v>
      </c>
      <c r="AA547" s="597">
        <f t="shared" si="449"/>
        <v>4.3957289999999996E-2</v>
      </c>
      <c r="AB547" s="597">
        <f t="shared" si="449"/>
        <v>4.3957289999999996E-2</v>
      </c>
      <c r="AC547" s="597">
        <f t="shared" si="449"/>
        <v>4.3957289999999996E-2</v>
      </c>
      <c r="AD547" s="597">
        <f t="shared" si="449"/>
        <v>4.3957289999999996E-2</v>
      </c>
      <c r="AE547" s="597">
        <f t="shared" si="449"/>
        <v>4.3957289999999996E-2</v>
      </c>
      <c r="AF547" s="597">
        <f t="shared" si="449"/>
        <v>4.3957289999999996E-2</v>
      </c>
      <c r="AH547" s="538"/>
      <c r="AK547" s="531"/>
      <c r="AM547" s="594"/>
      <c r="AN547" s="535"/>
      <c r="AP547" s="540"/>
      <c r="AQ547" s="540"/>
    </row>
    <row r="548" spans="1:43" s="513" customFormat="1" ht="3" hidden="1" customHeight="1" outlineLevel="2">
      <c r="A548" s="584"/>
      <c r="B548" s="596"/>
      <c r="C548" s="598"/>
      <c r="D548" s="598"/>
      <c r="E548" s="598"/>
      <c r="F548" s="598"/>
      <c r="G548" s="598"/>
      <c r="H548" s="598"/>
      <c r="I548" s="598"/>
      <c r="J548" s="598"/>
      <c r="K548" s="598"/>
      <c r="L548" s="598"/>
      <c r="M548" s="598"/>
      <c r="N548" s="598"/>
      <c r="O548" s="598"/>
      <c r="P548" s="598"/>
      <c r="Q548" s="598"/>
      <c r="R548" s="598"/>
      <c r="S548" s="598"/>
      <c r="T548" s="598"/>
      <c r="U548" s="598"/>
      <c r="V548" s="598"/>
      <c r="W548" s="598"/>
      <c r="X548" s="598"/>
      <c r="Y548" s="598"/>
      <c r="Z548" s="598"/>
      <c r="AA548" s="598"/>
      <c r="AB548" s="598"/>
      <c r="AC548" s="598"/>
      <c r="AD548" s="598"/>
      <c r="AE548" s="598"/>
      <c r="AF548" s="598"/>
      <c r="AH548" s="538"/>
      <c r="AK548" s="531"/>
      <c r="AM548" s="594"/>
      <c r="AN548" s="535"/>
      <c r="AP548" s="540"/>
      <c r="AQ548" s="540"/>
    </row>
    <row r="549" spans="1:43" s="564" customFormat="1" ht="16.5" hidden="1" customHeight="1" outlineLevel="1" collapsed="1">
      <c r="A549" s="584"/>
      <c r="B549" s="576" t="s">
        <v>899</v>
      </c>
      <c r="C549" s="599">
        <f>SUM(C550)*12/10^3</f>
        <v>7.688908800000001</v>
      </c>
      <c r="D549" s="599">
        <f t="shared" ref="D549:AF549" si="450">SUM(D550)*12/10^3</f>
        <v>7.688908800000001</v>
      </c>
      <c r="E549" s="599">
        <f t="shared" si="450"/>
        <v>7.688908800000001</v>
      </c>
      <c r="F549" s="599">
        <f t="shared" si="450"/>
        <v>7.688908800000001</v>
      </c>
      <c r="G549" s="599">
        <f t="shared" si="450"/>
        <v>7.688908800000001</v>
      </c>
      <c r="H549" s="599">
        <f t="shared" si="450"/>
        <v>7.688908800000001</v>
      </c>
      <c r="I549" s="599">
        <f t="shared" si="450"/>
        <v>7.688908800000001</v>
      </c>
      <c r="J549" s="599">
        <f t="shared" si="450"/>
        <v>7.688908800000001</v>
      </c>
      <c r="K549" s="599">
        <f t="shared" si="450"/>
        <v>7.688908800000001</v>
      </c>
      <c r="L549" s="599">
        <f t="shared" si="450"/>
        <v>7.688908800000001</v>
      </c>
      <c r="M549" s="599">
        <f t="shared" si="450"/>
        <v>7.688908800000001</v>
      </c>
      <c r="N549" s="599">
        <f t="shared" si="450"/>
        <v>7.688908800000001</v>
      </c>
      <c r="O549" s="599">
        <f t="shared" si="450"/>
        <v>7.688908800000001</v>
      </c>
      <c r="P549" s="599">
        <f t="shared" si="450"/>
        <v>7.688908800000001</v>
      </c>
      <c r="Q549" s="599">
        <f t="shared" si="450"/>
        <v>7.688908800000001</v>
      </c>
      <c r="R549" s="599">
        <f t="shared" si="450"/>
        <v>7.688908800000001</v>
      </c>
      <c r="S549" s="599">
        <f t="shared" si="450"/>
        <v>7.688908800000001</v>
      </c>
      <c r="T549" s="599">
        <f t="shared" si="450"/>
        <v>7.688908800000001</v>
      </c>
      <c r="U549" s="599">
        <f t="shared" si="450"/>
        <v>7.688908800000001</v>
      </c>
      <c r="V549" s="599">
        <f t="shared" si="450"/>
        <v>7.688908800000001</v>
      </c>
      <c r="W549" s="599">
        <f t="shared" si="450"/>
        <v>7.688908800000001</v>
      </c>
      <c r="X549" s="599">
        <f t="shared" si="450"/>
        <v>7.688908800000001</v>
      </c>
      <c r="Y549" s="599">
        <f t="shared" si="450"/>
        <v>7.688908800000001</v>
      </c>
      <c r="Z549" s="599">
        <f t="shared" si="450"/>
        <v>7.688908800000001</v>
      </c>
      <c r="AA549" s="599">
        <f t="shared" si="450"/>
        <v>7.688908800000001</v>
      </c>
      <c r="AB549" s="599">
        <f t="shared" si="450"/>
        <v>7.688908800000001</v>
      </c>
      <c r="AC549" s="599">
        <f t="shared" si="450"/>
        <v>7.688908800000001</v>
      </c>
      <c r="AD549" s="599">
        <f t="shared" si="450"/>
        <v>7.688908800000001</v>
      </c>
      <c r="AE549" s="599">
        <f t="shared" si="450"/>
        <v>7.688908800000001</v>
      </c>
      <c r="AF549" s="599">
        <f t="shared" si="450"/>
        <v>7.688908800000001</v>
      </c>
      <c r="AH549" s="578">
        <f>SUM(C549:AF549)</f>
        <v>230.66726400000016</v>
      </c>
      <c r="AK549" s="531"/>
      <c r="AM549" s="594"/>
      <c r="AN549" s="535"/>
      <c r="AP549" s="568"/>
      <c r="AQ549" s="568"/>
    </row>
    <row r="550" spans="1:43" s="546" customFormat="1" ht="16.5" hidden="1" customHeight="1" outlineLevel="2">
      <c r="A550" s="584"/>
      <c r="B550" s="569" t="str">
        <f>B522</f>
        <v>Caminhão carroceria  25 m³ com implemento garra</v>
      </c>
      <c r="C550" s="581">
        <f>C552*C553*C551</f>
        <v>640.74240000000009</v>
      </c>
      <c r="D550" s="581">
        <f t="shared" ref="D550:AF550" si="451">D552*D553*D551</f>
        <v>640.74240000000009</v>
      </c>
      <c r="E550" s="581">
        <f t="shared" si="451"/>
        <v>640.74240000000009</v>
      </c>
      <c r="F550" s="581">
        <f t="shared" si="451"/>
        <v>640.74240000000009</v>
      </c>
      <c r="G550" s="581">
        <f t="shared" si="451"/>
        <v>640.74240000000009</v>
      </c>
      <c r="H550" s="581">
        <f t="shared" si="451"/>
        <v>640.74240000000009</v>
      </c>
      <c r="I550" s="581">
        <f t="shared" si="451"/>
        <v>640.74240000000009</v>
      </c>
      <c r="J550" s="581">
        <f t="shared" si="451"/>
        <v>640.74240000000009</v>
      </c>
      <c r="K550" s="581">
        <f t="shared" si="451"/>
        <v>640.74240000000009</v>
      </c>
      <c r="L550" s="581">
        <f t="shared" si="451"/>
        <v>640.74240000000009</v>
      </c>
      <c r="M550" s="581">
        <f t="shared" si="451"/>
        <v>640.74240000000009</v>
      </c>
      <c r="N550" s="581">
        <f t="shared" si="451"/>
        <v>640.74240000000009</v>
      </c>
      <c r="O550" s="581">
        <f t="shared" si="451"/>
        <v>640.74240000000009</v>
      </c>
      <c r="P550" s="581">
        <f t="shared" si="451"/>
        <v>640.74240000000009</v>
      </c>
      <c r="Q550" s="581">
        <f t="shared" si="451"/>
        <v>640.74240000000009</v>
      </c>
      <c r="R550" s="581">
        <f t="shared" si="451"/>
        <v>640.74240000000009</v>
      </c>
      <c r="S550" s="581">
        <f t="shared" si="451"/>
        <v>640.74240000000009</v>
      </c>
      <c r="T550" s="581">
        <f t="shared" si="451"/>
        <v>640.74240000000009</v>
      </c>
      <c r="U550" s="581">
        <f t="shared" si="451"/>
        <v>640.74240000000009</v>
      </c>
      <c r="V550" s="581">
        <f t="shared" si="451"/>
        <v>640.74240000000009</v>
      </c>
      <c r="W550" s="581">
        <f t="shared" si="451"/>
        <v>640.74240000000009</v>
      </c>
      <c r="X550" s="581">
        <f t="shared" si="451"/>
        <v>640.74240000000009</v>
      </c>
      <c r="Y550" s="581">
        <f t="shared" si="451"/>
        <v>640.74240000000009</v>
      </c>
      <c r="Z550" s="581">
        <f t="shared" si="451"/>
        <v>640.74240000000009</v>
      </c>
      <c r="AA550" s="581">
        <f t="shared" si="451"/>
        <v>640.74240000000009</v>
      </c>
      <c r="AB550" s="581">
        <f t="shared" si="451"/>
        <v>640.74240000000009</v>
      </c>
      <c r="AC550" s="581">
        <f t="shared" si="451"/>
        <v>640.74240000000009</v>
      </c>
      <c r="AD550" s="581">
        <f t="shared" si="451"/>
        <v>640.74240000000009</v>
      </c>
      <c r="AE550" s="581">
        <f t="shared" si="451"/>
        <v>640.74240000000009</v>
      </c>
      <c r="AF550" s="581">
        <f t="shared" si="451"/>
        <v>640.74240000000009</v>
      </c>
      <c r="AH550" s="571"/>
      <c r="AK550" s="531"/>
      <c r="AM550" s="594"/>
      <c r="AN550" s="535"/>
      <c r="AP550" s="549"/>
      <c r="AQ550" s="549"/>
    </row>
    <row r="551" spans="1:43" s="546" customFormat="1" ht="16.5" hidden="1" customHeight="1" outlineLevel="2">
      <c r="A551" s="584"/>
      <c r="B551" s="572" t="s">
        <v>805</v>
      </c>
      <c r="C551" s="574">
        <f t="shared" ref="C551:AF551" si="452">C522</f>
        <v>1</v>
      </c>
      <c r="D551" s="574">
        <f t="shared" si="452"/>
        <v>1</v>
      </c>
      <c r="E551" s="574">
        <f t="shared" si="452"/>
        <v>1</v>
      </c>
      <c r="F551" s="574">
        <f t="shared" si="452"/>
        <v>1</v>
      </c>
      <c r="G551" s="574">
        <f t="shared" si="452"/>
        <v>1</v>
      </c>
      <c r="H551" s="574">
        <f t="shared" si="452"/>
        <v>1</v>
      </c>
      <c r="I551" s="574">
        <f t="shared" si="452"/>
        <v>1</v>
      </c>
      <c r="J551" s="574">
        <f t="shared" si="452"/>
        <v>1</v>
      </c>
      <c r="K551" s="574">
        <f t="shared" si="452"/>
        <v>1</v>
      </c>
      <c r="L551" s="574">
        <f t="shared" si="452"/>
        <v>1</v>
      </c>
      <c r="M551" s="574">
        <f t="shared" si="452"/>
        <v>1</v>
      </c>
      <c r="N551" s="574">
        <f t="shared" si="452"/>
        <v>1</v>
      </c>
      <c r="O551" s="574">
        <f t="shared" si="452"/>
        <v>1</v>
      </c>
      <c r="P551" s="574">
        <f t="shared" si="452"/>
        <v>1</v>
      </c>
      <c r="Q551" s="574">
        <f t="shared" si="452"/>
        <v>1</v>
      </c>
      <c r="R551" s="574">
        <f t="shared" si="452"/>
        <v>1</v>
      </c>
      <c r="S551" s="574">
        <f t="shared" si="452"/>
        <v>1</v>
      </c>
      <c r="T551" s="574">
        <f t="shared" si="452"/>
        <v>1</v>
      </c>
      <c r="U551" s="574">
        <f t="shared" si="452"/>
        <v>1</v>
      </c>
      <c r="V551" s="574">
        <f t="shared" si="452"/>
        <v>1</v>
      </c>
      <c r="W551" s="574">
        <f t="shared" si="452"/>
        <v>1</v>
      </c>
      <c r="X551" s="574">
        <f t="shared" si="452"/>
        <v>1</v>
      </c>
      <c r="Y551" s="574">
        <f t="shared" si="452"/>
        <v>1</v>
      </c>
      <c r="Z551" s="574">
        <f t="shared" si="452"/>
        <v>1</v>
      </c>
      <c r="AA551" s="574">
        <f t="shared" si="452"/>
        <v>1</v>
      </c>
      <c r="AB551" s="574">
        <f t="shared" si="452"/>
        <v>1</v>
      </c>
      <c r="AC551" s="574">
        <f t="shared" si="452"/>
        <v>1</v>
      </c>
      <c r="AD551" s="574">
        <f t="shared" si="452"/>
        <v>1</v>
      </c>
      <c r="AE551" s="574">
        <f t="shared" si="452"/>
        <v>1</v>
      </c>
      <c r="AF551" s="574">
        <f t="shared" si="452"/>
        <v>1</v>
      </c>
      <c r="AH551" s="571"/>
      <c r="AK551" s="531"/>
      <c r="AM551" s="594"/>
      <c r="AN551" s="535"/>
      <c r="AP551" s="549"/>
      <c r="AQ551" s="549"/>
    </row>
    <row r="552" spans="1:43" s="546" customFormat="1" ht="16.5" hidden="1" customHeight="1" outlineLevel="2">
      <c r="A552" s="584"/>
      <c r="B552" s="572" t="s">
        <v>901</v>
      </c>
      <c r="C552" s="574">
        <f t="shared" ref="C552:AF552" si="453">C532</f>
        <v>2073.6000000000004</v>
      </c>
      <c r="D552" s="574">
        <f t="shared" si="453"/>
        <v>2073.6000000000004</v>
      </c>
      <c r="E552" s="574">
        <f t="shared" si="453"/>
        <v>2073.6000000000004</v>
      </c>
      <c r="F552" s="574">
        <f t="shared" si="453"/>
        <v>2073.6000000000004</v>
      </c>
      <c r="G552" s="574">
        <f t="shared" si="453"/>
        <v>2073.6000000000004</v>
      </c>
      <c r="H552" s="574">
        <f t="shared" si="453"/>
        <v>2073.6000000000004</v>
      </c>
      <c r="I552" s="574">
        <f t="shared" si="453"/>
        <v>2073.6000000000004</v>
      </c>
      <c r="J552" s="574">
        <f t="shared" si="453"/>
        <v>2073.6000000000004</v>
      </c>
      <c r="K552" s="574">
        <f t="shared" si="453"/>
        <v>2073.6000000000004</v>
      </c>
      <c r="L552" s="574">
        <f t="shared" si="453"/>
        <v>2073.6000000000004</v>
      </c>
      <c r="M552" s="574">
        <f t="shared" si="453"/>
        <v>2073.6000000000004</v>
      </c>
      <c r="N552" s="574">
        <f t="shared" si="453"/>
        <v>2073.6000000000004</v>
      </c>
      <c r="O552" s="574">
        <f t="shared" si="453"/>
        <v>2073.6000000000004</v>
      </c>
      <c r="P552" s="574">
        <f t="shared" si="453"/>
        <v>2073.6000000000004</v>
      </c>
      <c r="Q552" s="574">
        <f t="shared" si="453"/>
        <v>2073.6000000000004</v>
      </c>
      <c r="R552" s="574">
        <f t="shared" si="453"/>
        <v>2073.6000000000004</v>
      </c>
      <c r="S552" s="574">
        <f t="shared" si="453"/>
        <v>2073.6000000000004</v>
      </c>
      <c r="T552" s="574">
        <f t="shared" si="453"/>
        <v>2073.6000000000004</v>
      </c>
      <c r="U552" s="574">
        <f t="shared" si="453"/>
        <v>2073.6000000000004</v>
      </c>
      <c r="V552" s="574">
        <f t="shared" si="453"/>
        <v>2073.6000000000004</v>
      </c>
      <c r="W552" s="574">
        <f t="shared" si="453"/>
        <v>2073.6000000000004</v>
      </c>
      <c r="X552" s="574">
        <f t="shared" si="453"/>
        <v>2073.6000000000004</v>
      </c>
      <c r="Y552" s="574">
        <f t="shared" si="453"/>
        <v>2073.6000000000004</v>
      </c>
      <c r="Z552" s="574">
        <f t="shared" si="453"/>
        <v>2073.6000000000004</v>
      </c>
      <c r="AA552" s="574">
        <f t="shared" si="453"/>
        <v>2073.6000000000004</v>
      </c>
      <c r="AB552" s="574">
        <f t="shared" si="453"/>
        <v>2073.6000000000004</v>
      </c>
      <c r="AC552" s="574">
        <f t="shared" si="453"/>
        <v>2073.6000000000004</v>
      </c>
      <c r="AD552" s="574">
        <f t="shared" si="453"/>
        <v>2073.6000000000004</v>
      </c>
      <c r="AE552" s="574">
        <f t="shared" si="453"/>
        <v>2073.6000000000004</v>
      </c>
      <c r="AF552" s="574">
        <f t="shared" si="453"/>
        <v>2073.6000000000004</v>
      </c>
      <c r="AH552" s="571"/>
      <c r="AK552" s="531"/>
      <c r="AM552" s="594"/>
      <c r="AN552" s="535"/>
      <c r="AP552" s="549"/>
      <c r="AQ552" s="549"/>
    </row>
    <row r="553" spans="1:43" s="546" customFormat="1" ht="16.5" hidden="1" customHeight="1" outlineLevel="2">
      <c r="A553" s="584"/>
      <c r="B553" s="572" t="s">
        <v>902</v>
      </c>
      <c r="C553" s="602">
        <f>((C554*C555)+(C556*C557))/C$70</f>
        <v>0.309</v>
      </c>
      <c r="D553" s="602">
        <f t="shared" ref="D553:AF553" si="454">((D554*D555)+(D556*D557))/D$70</f>
        <v>0.309</v>
      </c>
      <c r="E553" s="602">
        <f t="shared" si="454"/>
        <v>0.309</v>
      </c>
      <c r="F553" s="602">
        <f t="shared" si="454"/>
        <v>0.309</v>
      </c>
      <c r="G553" s="602">
        <f t="shared" si="454"/>
        <v>0.309</v>
      </c>
      <c r="H553" s="602">
        <f t="shared" si="454"/>
        <v>0.309</v>
      </c>
      <c r="I553" s="602">
        <f t="shared" si="454"/>
        <v>0.309</v>
      </c>
      <c r="J553" s="602">
        <f t="shared" si="454"/>
        <v>0.309</v>
      </c>
      <c r="K553" s="602">
        <f t="shared" si="454"/>
        <v>0.309</v>
      </c>
      <c r="L553" s="602">
        <f t="shared" si="454"/>
        <v>0.309</v>
      </c>
      <c r="M553" s="602">
        <f t="shared" si="454"/>
        <v>0.309</v>
      </c>
      <c r="N553" s="602">
        <f t="shared" si="454"/>
        <v>0.309</v>
      </c>
      <c r="O553" s="602">
        <f t="shared" si="454"/>
        <v>0.309</v>
      </c>
      <c r="P553" s="602">
        <f t="shared" si="454"/>
        <v>0.309</v>
      </c>
      <c r="Q553" s="602">
        <f t="shared" si="454"/>
        <v>0.309</v>
      </c>
      <c r="R553" s="602">
        <f t="shared" si="454"/>
        <v>0.309</v>
      </c>
      <c r="S553" s="602">
        <f t="shared" si="454"/>
        <v>0.309</v>
      </c>
      <c r="T553" s="602">
        <f t="shared" si="454"/>
        <v>0.309</v>
      </c>
      <c r="U553" s="602">
        <f t="shared" si="454"/>
        <v>0.309</v>
      </c>
      <c r="V553" s="602">
        <f t="shared" si="454"/>
        <v>0.309</v>
      </c>
      <c r="W553" s="602">
        <f t="shared" si="454"/>
        <v>0.309</v>
      </c>
      <c r="X553" s="602">
        <f t="shared" si="454"/>
        <v>0.309</v>
      </c>
      <c r="Y553" s="602">
        <f t="shared" si="454"/>
        <v>0.309</v>
      </c>
      <c r="Z553" s="602">
        <f t="shared" si="454"/>
        <v>0.309</v>
      </c>
      <c r="AA553" s="602">
        <f t="shared" si="454"/>
        <v>0.309</v>
      </c>
      <c r="AB553" s="602">
        <f t="shared" si="454"/>
        <v>0.309</v>
      </c>
      <c r="AC553" s="602">
        <f t="shared" si="454"/>
        <v>0.309</v>
      </c>
      <c r="AD553" s="602">
        <f t="shared" si="454"/>
        <v>0.309</v>
      </c>
      <c r="AE553" s="602">
        <f t="shared" si="454"/>
        <v>0.309</v>
      </c>
      <c r="AF553" s="602">
        <f t="shared" si="454"/>
        <v>0.309</v>
      </c>
      <c r="AH553" s="571"/>
      <c r="AK553" s="531"/>
      <c r="AM553" s="594"/>
      <c r="AN553" s="535"/>
      <c r="AP553" s="549"/>
      <c r="AQ553" s="549"/>
    </row>
    <row r="554" spans="1:43" s="513" customFormat="1" ht="16.5" hidden="1" customHeight="1" outlineLevel="2">
      <c r="A554" s="584"/>
      <c r="B554" s="596" t="s">
        <v>907</v>
      </c>
      <c r="C554" s="366">
        <v>6</v>
      </c>
      <c r="D554" s="366">
        <f>C554</f>
        <v>6</v>
      </c>
      <c r="E554" s="366">
        <f t="shared" ref="E554:T557" si="455">D554</f>
        <v>6</v>
      </c>
      <c r="F554" s="366">
        <f t="shared" si="455"/>
        <v>6</v>
      </c>
      <c r="G554" s="366">
        <f t="shared" si="455"/>
        <v>6</v>
      </c>
      <c r="H554" s="366">
        <f t="shared" si="455"/>
        <v>6</v>
      </c>
      <c r="I554" s="366">
        <f t="shared" si="455"/>
        <v>6</v>
      </c>
      <c r="J554" s="366">
        <f t="shared" si="455"/>
        <v>6</v>
      </c>
      <c r="K554" s="366">
        <f t="shared" si="455"/>
        <v>6</v>
      </c>
      <c r="L554" s="366">
        <f t="shared" si="455"/>
        <v>6</v>
      </c>
      <c r="M554" s="366">
        <f t="shared" si="455"/>
        <v>6</v>
      </c>
      <c r="N554" s="366">
        <f t="shared" si="455"/>
        <v>6</v>
      </c>
      <c r="O554" s="366">
        <f t="shared" si="455"/>
        <v>6</v>
      </c>
      <c r="P554" s="366">
        <f t="shared" si="455"/>
        <v>6</v>
      </c>
      <c r="Q554" s="366">
        <f t="shared" si="455"/>
        <v>6</v>
      </c>
      <c r="R554" s="366">
        <f t="shared" si="455"/>
        <v>6</v>
      </c>
      <c r="S554" s="366">
        <f t="shared" si="455"/>
        <v>6</v>
      </c>
      <c r="T554" s="366">
        <f t="shared" si="455"/>
        <v>6</v>
      </c>
      <c r="U554" s="366">
        <f t="shared" ref="U554:AF557" si="456">T554</f>
        <v>6</v>
      </c>
      <c r="V554" s="366">
        <f t="shared" si="456"/>
        <v>6</v>
      </c>
      <c r="W554" s="366">
        <f t="shared" si="456"/>
        <v>6</v>
      </c>
      <c r="X554" s="366">
        <f t="shared" si="456"/>
        <v>6</v>
      </c>
      <c r="Y554" s="366">
        <f t="shared" si="456"/>
        <v>6</v>
      </c>
      <c r="Z554" s="366">
        <f t="shared" si="456"/>
        <v>6</v>
      </c>
      <c r="AA554" s="366">
        <f t="shared" si="456"/>
        <v>6</v>
      </c>
      <c r="AB554" s="366">
        <f t="shared" si="456"/>
        <v>6</v>
      </c>
      <c r="AC554" s="366">
        <f t="shared" si="456"/>
        <v>6</v>
      </c>
      <c r="AD554" s="366">
        <f t="shared" si="456"/>
        <v>6</v>
      </c>
      <c r="AE554" s="366">
        <f t="shared" si="456"/>
        <v>6</v>
      </c>
      <c r="AF554" s="366">
        <f t="shared" si="456"/>
        <v>6</v>
      </c>
      <c r="AH554" s="538"/>
      <c r="AK554" s="531"/>
      <c r="AM554" s="594"/>
      <c r="AN554" s="535"/>
      <c r="AP554" s="540"/>
      <c r="AQ554" s="540"/>
    </row>
    <row r="555" spans="1:43" s="513" customFormat="1" ht="16.5" hidden="1" customHeight="1" outlineLevel="2">
      <c r="A555" s="584"/>
      <c r="B555" s="596" t="s">
        <v>904</v>
      </c>
      <c r="C555" s="857">
        <f>Insumos!$E$49</f>
        <v>2620</v>
      </c>
      <c r="D555" s="366">
        <f>C555</f>
        <v>2620</v>
      </c>
      <c r="E555" s="366">
        <f t="shared" si="455"/>
        <v>2620</v>
      </c>
      <c r="F555" s="366">
        <f t="shared" si="455"/>
        <v>2620</v>
      </c>
      <c r="G555" s="366">
        <f t="shared" si="455"/>
        <v>2620</v>
      </c>
      <c r="H555" s="366">
        <f t="shared" si="455"/>
        <v>2620</v>
      </c>
      <c r="I555" s="366">
        <f t="shared" si="455"/>
        <v>2620</v>
      </c>
      <c r="J555" s="366">
        <f t="shared" si="455"/>
        <v>2620</v>
      </c>
      <c r="K555" s="366">
        <f t="shared" si="455"/>
        <v>2620</v>
      </c>
      <c r="L555" s="366">
        <f t="shared" si="455"/>
        <v>2620</v>
      </c>
      <c r="M555" s="366">
        <f t="shared" si="455"/>
        <v>2620</v>
      </c>
      <c r="N555" s="366">
        <f t="shared" si="455"/>
        <v>2620</v>
      </c>
      <c r="O555" s="366">
        <f t="shared" si="455"/>
        <v>2620</v>
      </c>
      <c r="P555" s="366">
        <f t="shared" si="455"/>
        <v>2620</v>
      </c>
      <c r="Q555" s="366">
        <f t="shared" si="455"/>
        <v>2620</v>
      </c>
      <c r="R555" s="366">
        <f t="shared" si="455"/>
        <v>2620</v>
      </c>
      <c r="S555" s="366">
        <f t="shared" si="455"/>
        <v>2620</v>
      </c>
      <c r="T555" s="366">
        <f t="shared" si="455"/>
        <v>2620</v>
      </c>
      <c r="U555" s="366">
        <f t="shared" si="456"/>
        <v>2620</v>
      </c>
      <c r="V555" s="366">
        <f t="shared" si="456"/>
        <v>2620</v>
      </c>
      <c r="W555" s="366">
        <f t="shared" si="456"/>
        <v>2620</v>
      </c>
      <c r="X555" s="366">
        <f t="shared" si="456"/>
        <v>2620</v>
      </c>
      <c r="Y555" s="366">
        <f t="shared" si="456"/>
        <v>2620</v>
      </c>
      <c r="Z555" s="366">
        <f t="shared" si="456"/>
        <v>2620</v>
      </c>
      <c r="AA555" s="366">
        <f t="shared" si="456"/>
        <v>2620</v>
      </c>
      <c r="AB555" s="366">
        <f t="shared" si="456"/>
        <v>2620</v>
      </c>
      <c r="AC555" s="366">
        <f t="shared" si="456"/>
        <v>2620</v>
      </c>
      <c r="AD555" s="366">
        <f t="shared" si="456"/>
        <v>2620</v>
      </c>
      <c r="AE555" s="366">
        <f t="shared" si="456"/>
        <v>2620</v>
      </c>
      <c r="AF555" s="366">
        <f t="shared" si="456"/>
        <v>2620</v>
      </c>
      <c r="AH555" s="538"/>
      <c r="AK555" s="531"/>
      <c r="AM555" s="594"/>
      <c r="AN555" s="535"/>
      <c r="AP555" s="540"/>
      <c r="AQ555" s="540"/>
    </row>
    <row r="556" spans="1:43" s="513" customFormat="1" ht="16.5" hidden="1" customHeight="1" outlineLevel="2">
      <c r="A556" s="584"/>
      <c r="B556" s="596" t="s">
        <v>908</v>
      </c>
      <c r="C556" s="366">
        <f>C554*2</f>
        <v>12</v>
      </c>
      <c r="D556" s="366">
        <f>C556</f>
        <v>12</v>
      </c>
      <c r="E556" s="366">
        <f t="shared" si="455"/>
        <v>12</v>
      </c>
      <c r="F556" s="366">
        <f t="shared" si="455"/>
        <v>12</v>
      </c>
      <c r="G556" s="366">
        <f t="shared" si="455"/>
        <v>12</v>
      </c>
      <c r="H556" s="366">
        <f t="shared" si="455"/>
        <v>12</v>
      </c>
      <c r="I556" s="366">
        <f t="shared" si="455"/>
        <v>12</v>
      </c>
      <c r="J556" s="366">
        <f t="shared" si="455"/>
        <v>12</v>
      </c>
      <c r="K556" s="366">
        <f t="shared" si="455"/>
        <v>12</v>
      </c>
      <c r="L556" s="366">
        <f t="shared" si="455"/>
        <v>12</v>
      </c>
      <c r="M556" s="366">
        <f t="shared" si="455"/>
        <v>12</v>
      </c>
      <c r="N556" s="366">
        <f t="shared" si="455"/>
        <v>12</v>
      </c>
      <c r="O556" s="366">
        <f t="shared" si="455"/>
        <v>12</v>
      </c>
      <c r="P556" s="366">
        <f t="shared" si="455"/>
        <v>12</v>
      </c>
      <c r="Q556" s="366">
        <f t="shared" si="455"/>
        <v>12</v>
      </c>
      <c r="R556" s="366">
        <f t="shared" si="455"/>
        <v>12</v>
      </c>
      <c r="S556" s="366">
        <f t="shared" si="455"/>
        <v>12</v>
      </c>
      <c r="T556" s="366">
        <f t="shared" si="455"/>
        <v>12</v>
      </c>
      <c r="U556" s="366">
        <f t="shared" si="456"/>
        <v>12</v>
      </c>
      <c r="V556" s="366">
        <f t="shared" si="456"/>
        <v>12</v>
      </c>
      <c r="W556" s="366">
        <f t="shared" si="456"/>
        <v>12</v>
      </c>
      <c r="X556" s="366">
        <f t="shared" si="456"/>
        <v>12</v>
      </c>
      <c r="Y556" s="366">
        <f t="shared" si="456"/>
        <v>12</v>
      </c>
      <c r="Z556" s="366">
        <f t="shared" si="456"/>
        <v>12</v>
      </c>
      <c r="AA556" s="366">
        <f t="shared" si="456"/>
        <v>12</v>
      </c>
      <c r="AB556" s="366">
        <f t="shared" si="456"/>
        <v>12</v>
      </c>
      <c r="AC556" s="366">
        <f t="shared" si="456"/>
        <v>12</v>
      </c>
      <c r="AD556" s="366">
        <f t="shared" si="456"/>
        <v>12</v>
      </c>
      <c r="AE556" s="366">
        <f t="shared" si="456"/>
        <v>12</v>
      </c>
      <c r="AF556" s="366">
        <f t="shared" si="456"/>
        <v>12</v>
      </c>
      <c r="AH556" s="538"/>
      <c r="AK556" s="531"/>
      <c r="AM556" s="594"/>
      <c r="AN556" s="535"/>
      <c r="AP556" s="540"/>
      <c r="AQ556" s="540"/>
    </row>
    <row r="557" spans="1:43" s="513" customFormat="1" ht="16.5" hidden="1" customHeight="1" outlineLevel="2">
      <c r="A557" s="584"/>
      <c r="B557" s="596" t="s">
        <v>906</v>
      </c>
      <c r="C557" s="639">
        <f>Insumos!$E$50</f>
        <v>750</v>
      </c>
      <c r="D557" s="639">
        <f>C557</f>
        <v>750</v>
      </c>
      <c r="E557" s="639">
        <f t="shared" si="455"/>
        <v>750</v>
      </c>
      <c r="F557" s="639">
        <f t="shared" si="455"/>
        <v>750</v>
      </c>
      <c r="G557" s="639">
        <f t="shared" si="455"/>
        <v>750</v>
      </c>
      <c r="H557" s="639">
        <f t="shared" si="455"/>
        <v>750</v>
      </c>
      <c r="I557" s="639">
        <f t="shared" si="455"/>
        <v>750</v>
      </c>
      <c r="J557" s="639">
        <f t="shared" si="455"/>
        <v>750</v>
      </c>
      <c r="K557" s="639">
        <f t="shared" si="455"/>
        <v>750</v>
      </c>
      <c r="L557" s="639">
        <f t="shared" si="455"/>
        <v>750</v>
      </c>
      <c r="M557" s="639">
        <f t="shared" si="455"/>
        <v>750</v>
      </c>
      <c r="N557" s="639">
        <f t="shared" si="455"/>
        <v>750</v>
      </c>
      <c r="O557" s="639">
        <f t="shared" si="455"/>
        <v>750</v>
      </c>
      <c r="P557" s="639">
        <f t="shared" si="455"/>
        <v>750</v>
      </c>
      <c r="Q557" s="639">
        <f t="shared" si="455"/>
        <v>750</v>
      </c>
      <c r="R557" s="639">
        <f t="shared" si="455"/>
        <v>750</v>
      </c>
      <c r="S557" s="639">
        <f t="shared" si="455"/>
        <v>750</v>
      </c>
      <c r="T557" s="639">
        <f t="shared" si="455"/>
        <v>750</v>
      </c>
      <c r="U557" s="639">
        <f t="shared" si="456"/>
        <v>750</v>
      </c>
      <c r="V557" s="639">
        <f t="shared" si="456"/>
        <v>750</v>
      </c>
      <c r="W557" s="639">
        <f t="shared" si="456"/>
        <v>750</v>
      </c>
      <c r="X557" s="639">
        <f t="shared" si="456"/>
        <v>750</v>
      </c>
      <c r="Y557" s="639">
        <f t="shared" si="456"/>
        <v>750</v>
      </c>
      <c r="Z557" s="639">
        <f t="shared" si="456"/>
        <v>750</v>
      </c>
      <c r="AA557" s="639">
        <f t="shared" si="456"/>
        <v>750</v>
      </c>
      <c r="AB557" s="639">
        <f t="shared" si="456"/>
        <v>750</v>
      </c>
      <c r="AC557" s="639">
        <f t="shared" si="456"/>
        <v>750</v>
      </c>
      <c r="AD557" s="639">
        <f t="shared" si="456"/>
        <v>750</v>
      </c>
      <c r="AE557" s="639">
        <f t="shared" si="456"/>
        <v>750</v>
      </c>
      <c r="AF557" s="639">
        <f t="shared" si="456"/>
        <v>750</v>
      </c>
      <c r="AH557" s="538"/>
      <c r="AK557" s="531"/>
      <c r="AM557" s="594"/>
      <c r="AN557" s="535"/>
      <c r="AP557" s="540"/>
      <c r="AQ557" s="540"/>
    </row>
    <row r="558" spans="1:43" s="513" customFormat="1" ht="3" hidden="1" customHeight="1" outlineLevel="2">
      <c r="A558" s="584"/>
      <c r="B558" s="596"/>
      <c r="C558" s="598"/>
      <c r="D558" s="598"/>
      <c r="E558" s="598"/>
      <c r="F558" s="598"/>
      <c r="G558" s="598"/>
      <c r="H558" s="598"/>
      <c r="I558" s="598"/>
      <c r="J558" s="598"/>
      <c r="K558" s="598"/>
      <c r="L558" s="598"/>
      <c r="M558" s="598"/>
      <c r="N558" s="598"/>
      <c r="O558" s="598"/>
      <c r="P558" s="598"/>
      <c r="Q558" s="598"/>
      <c r="R558" s="598"/>
      <c r="S558" s="598"/>
      <c r="T558" s="598"/>
      <c r="U558" s="598"/>
      <c r="V558" s="598"/>
      <c r="W558" s="598"/>
      <c r="X558" s="598"/>
      <c r="Y558" s="598"/>
      <c r="Z558" s="598"/>
      <c r="AA558" s="598"/>
      <c r="AB558" s="598"/>
      <c r="AC558" s="598"/>
      <c r="AD558" s="598"/>
      <c r="AE558" s="598"/>
      <c r="AF558" s="598"/>
      <c r="AH558" s="538"/>
      <c r="AK558" s="531"/>
      <c r="AM558" s="594"/>
      <c r="AN558" s="535"/>
      <c r="AP558" s="540"/>
      <c r="AQ558" s="540"/>
    </row>
    <row r="559" spans="1:43" s="564" customFormat="1" ht="16.5" hidden="1" customHeight="1" outlineLevel="1" collapsed="1">
      <c r="A559" s="584"/>
      <c r="B559" s="576" t="s">
        <v>909</v>
      </c>
      <c r="C559" s="599">
        <f>C560*12/10^3</f>
        <v>30.96</v>
      </c>
      <c r="D559" s="599">
        <f t="shared" ref="D559:AF559" si="457">D560*12/10^3</f>
        <v>30.96</v>
      </c>
      <c r="E559" s="577">
        <f>E560*12/10^3</f>
        <v>30.96</v>
      </c>
      <c r="F559" s="577">
        <f>F560*12/10^3</f>
        <v>30.96</v>
      </c>
      <c r="G559" s="577">
        <f t="shared" si="457"/>
        <v>30.96</v>
      </c>
      <c r="H559" s="577">
        <f t="shared" si="457"/>
        <v>30.96</v>
      </c>
      <c r="I559" s="577">
        <f t="shared" si="457"/>
        <v>30.96</v>
      </c>
      <c r="J559" s="577">
        <f t="shared" si="457"/>
        <v>30.96</v>
      </c>
      <c r="K559" s="577">
        <f t="shared" si="457"/>
        <v>30.96</v>
      </c>
      <c r="L559" s="577">
        <f t="shared" si="457"/>
        <v>30.96</v>
      </c>
      <c r="M559" s="577">
        <f t="shared" si="457"/>
        <v>30.96</v>
      </c>
      <c r="N559" s="577">
        <f t="shared" si="457"/>
        <v>30.96</v>
      </c>
      <c r="O559" s="577">
        <f t="shared" si="457"/>
        <v>30.96</v>
      </c>
      <c r="P559" s="577">
        <f t="shared" si="457"/>
        <v>30.96</v>
      </c>
      <c r="Q559" s="577">
        <f t="shared" si="457"/>
        <v>30.96</v>
      </c>
      <c r="R559" s="577">
        <f t="shared" si="457"/>
        <v>30.96</v>
      </c>
      <c r="S559" s="577">
        <f t="shared" si="457"/>
        <v>30.96</v>
      </c>
      <c r="T559" s="577">
        <f t="shared" si="457"/>
        <v>30.96</v>
      </c>
      <c r="U559" s="577">
        <f t="shared" si="457"/>
        <v>30.96</v>
      </c>
      <c r="V559" s="577">
        <f t="shared" si="457"/>
        <v>30.96</v>
      </c>
      <c r="W559" s="577">
        <f t="shared" si="457"/>
        <v>30.96</v>
      </c>
      <c r="X559" s="577">
        <f t="shared" si="457"/>
        <v>30.96</v>
      </c>
      <c r="Y559" s="577">
        <f t="shared" si="457"/>
        <v>30.96</v>
      </c>
      <c r="Z559" s="577">
        <f t="shared" si="457"/>
        <v>30.96</v>
      </c>
      <c r="AA559" s="577">
        <f t="shared" si="457"/>
        <v>30.96</v>
      </c>
      <c r="AB559" s="577">
        <f t="shared" si="457"/>
        <v>30.96</v>
      </c>
      <c r="AC559" s="577">
        <f t="shared" si="457"/>
        <v>30.96</v>
      </c>
      <c r="AD559" s="577">
        <f t="shared" si="457"/>
        <v>30.96</v>
      </c>
      <c r="AE559" s="577">
        <f t="shared" si="457"/>
        <v>30.96</v>
      </c>
      <c r="AF559" s="577">
        <f t="shared" si="457"/>
        <v>30.96</v>
      </c>
      <c r="AH559" s="578">
        <f>SUM(C559:AF559)</f>
        <v>928.80000000000041</v>
      </c>
      <c r="AK559" s="531"/>
      <c r="AM559" s="594"/>
      <c r="AN559" s="535"/>
      <c r="AP559" s="568"/>
      <c r="AQ559" s="568"/>
    </row>
    <row r="560" spans="1:43" s="546" customFormat="1" ht="16.5" hidden="1" customHeight="1" outlineLevel="2">
      <c r="A560" s="584"/>
      <c r="B560" s="603" t="s">
        <v>910</v>
      </c>
      <c r="C560" s="581">
        <f>(C561*C562)</f>
        <v>2580</v>
      </c>
      <c r="D560" s="581">
        <f t="shared" ref="D560:AF560" si="458">(D561*D562)</f>
        <v>2580</v>
      </c>
      <c r="E560" s="581">
        <f t="shared" si="458"/>
        <v>2580</v>
      </c>
      <c r="F560" s="581">
        <f t="shared" si="458"/>
        <v>2580</v>
      </c>
      <c r="G560" s="581">
        <f t="shared" si="458"/>
        <v>2580</v>
      </c>
      <c r="H560" s="581">
        <f t="shared" si="458"/>
        <v>2580</v>
      </c>
      <c r="I560" s="581">
        <f t="shared" si="458"/>
        <v>2580</v>
      </c>
      <c r="J560" s="581">
        <f t="shared" si="458"/>
        <v>2580</v>
      </c>
      <c r="K560" s="581">
        <f t="shared" si="458"/>
        <v>2580</v>
      </c>
      <c r="L560" s="581">
        <f t="shared" si="458"/>
        <v>2580</v>
      </c>
      <c r="M560" s="581">
        <f t="shared" si="458"/>
        <v>2580</v>
      </c>
      <c r="N560" s="581">
        <f t="shared" si="458"/>
        <v>2580</v>
      </c>
      <c r="O560" s="581">
        <f t="shared" si="458"/>
        <v>2580</v>
      </c>
      <c r="P560" s="581">
        <f t="shared" si="458"/>
        <v>2580</v>
      </c>
      <c r="Q560" s="581">
        <f t="shared" si="458"/>
        <v>2580</v>
      </c>
      <c r="R560" s="581">
        <f t="shared" si="458"/>
        <v>2580</v>
      </c>
      <c r="S560" s="581">
        <f t="shared" si="458"/>
        <v>2580</v>
      </c>
      <c r="T560" s="581">
        <f t="shared" si="458"/>
        <v>2580</v>
      </c>
      <c r="U560" s="581">
        <f t="shared" si="458"/>
        <v>2580</v>
      </c>
      <c r="V560" s="581">
        <f t="shared" si="458"/>
        <v>2580</v>
      </c>
      <c r="W560" s="581">
        <f t="shared" si="458"/>
        <v>2580</v>
      </c>
      <c r="X560" s="581">
        <f t="shared" si="458"/>
        <v>2580</v>
      </c>
      <c r="Y560" s="581">
        <f t="shared" si="458"/>
        <v>2580</v>
      </c>
      <c r="Z560" s="581">
        <f t="shared" si="458"/>
        <v>2580</v>
      </c>
      <c r="AA560" s="581">
        <f t="shared" si="458"/>
        <v>2580</v>
      </c>
      <c r="AB560" s="581">
        <f t="shared" si="458"/>
        <v>2580</v>
      </c>
      <c r="AC560" s="581">
        <f t="shared" si="458"/>
        <v>2580</v>
      </c>
      <c r="AD560" s="581">
        <f t="shared" si="458"/>
        <v>2580</v>
      </c>
      <c r="AE560" s="581">
        <f t="shared" si="458"/>
        <v>2580</v>
      </c>
      <c r="AF560" s="581">
        <f t="shared" si="458"/>
        <v>2580</v>
      </c>
      <c r="AH560" s="571"/>
      <c r="AK560" s="531"/>
      <c r="AM560" s="594"/>
      <c r="AN560" s="535"/>
      <c r="AP560" s="549"/>
      <c r="AQ560" s="549"/>
    </row>
    <row r="561" spans="1:43" s="513" customFormat="1" ht="16.5" hidden="1" customHeight="1" outlineLevel="2">
      <c r="A561" s="584"/>
      <c r="B561" s="604" t="s">
        <v>949</v>
      </c>
      <c r="C561" s="632">
        <f t="shared" ref="C561:AF561" si="459">C545</f>
        <v>2</v>
      </c>
      <c r="D561" s="632">
        <f t="shared" si="459"/>
        <v>2</v>
      </c>
      <c r="E561" s="632">
        <f t="shared" si="459"/>
        <v>2</v>
      </c>
      <c r="F561" s="632">
        <f t="shared" si="459"/>
        <v>2</v>
      </c>
      <c r="G561" s="632">
        <f t="shared" si="459"/>
        <v>2</v>
      </c>
      <c r="H561" s="632">
        <f t="shared" si="459"/>
        <v>2</v>
      </c>
      <c r="I561" s="632">
        <f t="shared" si="459"/>
        <v>2</v>
      </c>
      <c r="J561" s="632">
        <f t="shared" si="459"/>
        <v>2</v>
      </c>
      <c r="K561" s="632">
        <f t="shared" si="459"/>
        <v>2</v>
      </c>
      <c r="L561" s="632">
        <f t="shared" si="459"/>
        <v>2</v>
      </c>
      <c r="M561" s="632">
        <f t="shared" si="459"/>
        <v>2</v>
      </c>
      <c r="N561" s="632">
        <f t="shared" si="459"/>
        <v>2</v>
      </c>
      <c r="O561" s="632">
        <f t="shared" si="459"/>
        <v>2</v>
      </c>
      <c r="P561" s="632">
        <f t="shared" si="459"/>
        <v>2</v>
      </c>
      <c r="Q561" s="632">
        <f t="shared" si="459"/>
        <v>2</v>
      </c>
      <c r="R561" s="632">
        <f t="shared" si="459"/>
        <v>2</v>
      </c>
      <c r="S561" s="632">
        <f t="shared" si="459"/>
        <v>2</v>
      </c>
      <c r="T561" s="632">
        <f t="shared" si="459"/>
        <v>2</v>
      </c>
      <c r="U561" s="632">
        <f t="shared" si="459"/>
        <v>2</v>
      </c>
      <c r="V561" s="632">
        <f t="shared" si="459"/>
        <v>2</v>
      </c>
      <c r="W561" s="632">
        <f t="shared" si="459"/>
        <v>2</v>
      </c>
      <c r="X561" s="632">
        <f t="shared" si="459"/>
        <v>2</v>
      </c>
      <c r="Y561" s="632">
        <f t="shared" si="459"/>
        <v>2</v>
      </c>
      <c r="Z561" s="632">
        <f t="shared" si="459"/>
        <v>2</v>
      </c>
      <c r="AA561" s="632">
        <f t="shared" si="459"/>
        <v>2</v>
      </c>
      <c r="AB561" s="632">
        <f t="shared" si="459"/>
        <v>2</v>
      </c>
      <c r="AC561" s="632">
        <f t="shared" si="459"/>
        <v>2</v>
      </c>
      <c r="AD561" s="632">
        <f t="shared" si="459"/>
        <v>2</v>
      </c>
      <c r="AE561" s="632">
        <f t="shared" si="459"/>
        <v>2</v>
      </c>
      <c r="AF561" s="632">
        <f t="shared" si="459"/>
        <v>2</v>
      </c>
      <c r="AH561" s="538"/>
      <c r="AK561" s="531"/>
      <c r="AM561" s="539"/>
      <c r="AN561" s="540"/>
      <c r="AP561" s="540"/>
      <c r="AQ561" s="540"/>
    </row>
    <row r="562" spans="1:43" s="513" customFormat="1" ht="16.5" hidden="1" customHeight="1" outlineLevel="2">
      <c r="A562" s="584"/>
      <c r="B562" s="604" t="s">
        <v>912</v>
      </c>
      <c r="C562" s="605">
        <f>Insumos!$E$44*4.3</f>
        <v>1290</v>
      </c>
      <c r="D562" s="605">
        <f>C562</f>
        <v>1290</v>
      </c>
      <c r="E562" s="605">
        <f t="shared" ref="E562:AF562" si="460">D562</f>
        <v>1290</v>
      </c>
      <c r="F562" s="605">
        <f t="shared" si="460"/>
        <v>1290</v>
      </c>
      <c r="G562" s="605">
        <f t="shared" si="460"/>
        <v>1290</v>
      </c>
      <c r="H562" s="605">
        <f t="shared" si="460"/>
        <v>1290</v>
      </c>
      <c r="I562" s="605">
        <f t="shared" si="460"/>
        <v>1290</v>
      </c>
      <c r="J562" s="605">
        <f t="shared" si="460"/>
        <v>1290</v>
      </c>
      <c r="K562" s="605">
        <f t="shared" si="460"/>
        <v>1290</v>
      </c>
      <c r="L562" s="605">
        <f t="shared" si="460"/>
        <v>1290</v>
      </c>
      <c r="M562" s="605">
        <f t="shared" si="460"/>
        <v>1290</v>
      </c>
      <c r="N562" s="605">
        <f t="shared" si="460"/>
        <v>1290</v>
      </c>
      <c r="O562" s="605">
        <f t="shared" si="460"/>
        <v>1290</v>
      </c>
      <c r="P562" s="605">
        <f t="shared" si="460"/>
        <v>1290</v>
      </c>
      <c r="Q562" s="605">
        <f t="shared" si="460"/>
        <v>1290</v>
      </c>
      <c r="R562" s="605">
        <f t="shared" si="460"/>
        <v>1290</v>
      </c>
      <c r="S562" s="605">
        <f t="shared" si="460"/>
        <v>1290</v>
      </c>
      <c r="T562" s="605">
        <f t="shared" si="460"/>
        <v>1290</v>
      </c>
      <c r="U562" s="605">
        <f t="shared" si="460"/>
        <v>1290</v>
      </c>
      <c r="V562" s="605">
        <f t="shared" si="460"/>
        <v>1290</v>
      </c>
      <c r="W562" s="605">
        <f t="shared" si="460"/>
        <v>1290</v>
      </c>
      <c r="X562" s="605">
        <f t="shared" si="460"/>
        <v>1290</v>
      </c>
      <c r="Y562" s="605">
        <f t="shared" si="460"/>
        <v>1290</v>
      </c>
      <c r="Z562" s="605">
        <f t="shared" si="460"/>
        <v>1290</v>
      </c>
      <c r="AA562" s="605">
        <f t="shared" si="460"/>
        <v>1290</v>
      </c>
      <c r="AB562" s="605">
        <f t="shared" si="460"/>
        <v>1290</v>
      </c>
      <c r="AC562" s="605">
        <f t="shared" si="460"/>
        <v>1290</v>
      </c>
      <c r="AD562" s="605">
        <f t="shared" si="460"/>
        <v>1290</v>
      </c>
      <c r="AE562" s="605">
        <f t="shared" si="460"/>
        <v>1290</v>
      </c>
      <c r="AF562" s="605">
        <f t="shared" si="460"/>
        <v>1290</v>
      </c>
      <c r="AH562" s="538"/>
      <c r="AK562" s="531"/>
      <c r="AM562" s="594"/>
      <c r="AN562" s="535"/>
      <c r="AP562" s="540"/>
      <c r="AQ562" s="540"/>
    </row>
    <row r="563" spans="1:43" s="513" customFormat="1" ht="3" hidden="1" customHeight="1" outlineLevel="2">
      <c r="A563" s="584"/>
      <c r="B563" s="606"/>
      <c r="C563" s="575"/>
      <c r="D563" s="575"/>
      <c r="E563" s="575"/>
      <c r="F563" s="575"/>
      <c r="G563" s="575"/>
      <c r="H563" s="575"/>
      <c r="I563" s="575"/>
      <c r="J563" s="575"/>
      <c r="K563" s="575"/>
      <c r="L563" s="575"/>
      <c r="M563" s="575"/>
      <c r="N563" s="575"/>
      <c r="O563" s="575"/>
      <c r="P563" s="575"/>
      <c r="Q563" s="575"/>
      <c r="R563" s="575"/>
      <c r="S563" s="575"/>
      <c r="T563" s="575"/>
      <c r="U563" s="575"/>
      <c r="V563" s="575"/>
      <c r="W563" s="575"/>
      <c r="X563" s="575"/>
      <c r="Y563" s="575"/>
      <c r="Z563" s="575"/>
      <c r="AA563" s="575"/>
      <c r="AB563" s="575"/>
      <c r="AC563" s="575"/>
      <c r="AD563" s="575"/>
      <c r="AE563" s="575"/>
      <c r="AF563" s="575"/>
      <c r="AH563" s="538"/>
      <c r="AK563" s="531"/>
      <c r="AM563" s="594"/>
      <c r="AN563" s="535"/>
      <c r="AP563" s="540"/>
      <c r="AQ563" s="540"/>
    </row>
    <row r="564" spans="1:43" s="564" customFormat="1" ht="16.5" hidden="1" customHeight="1" outlineLevel="1" collapsed="1">
      <c r="A564" s="584"/>
      <c r="B564" s="576" t="s">
        <v>915</v>
      </c>
      <c r="C564" s="599">
        <f>SUM(C565)*12/10^3</f>
        <v>38.282173999999998</v>
      </c>
      <c r="D564" s="599">
        <f t="shared" ref="D564:AF564" si="461">SUM(D565)*12/10^3</f>
        <v>38.282173999999998</v>
      </c>
      <c r="E564" s="599">
        <f t="shared" si="461"/>
        <v>38.282173999999998</v>
      </c>
      <c r="F564" s="599">
        <f t="shared" si="461"/>
        <v>38.282173999999998</v>
      </c>
      <c r="G564" s="599">
        <f t="shared" si="461"/>
        <v>38.282173999999998</v>
      </c>
      <c r="H564" s="599">
        <f t="shared" si="461"/>
        <v>38.282173999999998</v>
      </c>
      <c r="I564" s="599">
        <f t="shared" si="461"/>
        <v>38.282173999999998</v>
      </c>
      <c r="J564" s="599">
        <f t="shared" si="461"/>
        <v>38.282173999999998</v>
      </c>
      <c r="K564" s="599">
        <f t="shared" si="461"/>
        <v>38.282173999999998</v>
      </c>
      <c r="L564" s="599">
        <f t="shared" si="461"/>
        <v>38.282173999999998</v>
      </c>
      <c r="M564" s="599">
        <f t="shared" si="461"/>
        <v>38.282173999999998</v>
      </c>
      <c r="N564" s="599">
        <f t="shared" si="461"/>
        <v>38.282173999999998</v>
      </c>
      <c r="O564" s="599">
        <f t="shared" si="461"/>
        <v>38.282173999999998</v>
      </c>
      <c r="P564" s="599">
        <f t="shared" si="461"/>
        <v>38.282173999999998</v>
      </c>
      <c r="Q564" s="599">
        <f t="shared" si="461"/>
        <v>38.282173999999998</v>
      </c>
      <c r="R564" s="599">
        <f t="shared" si="461"/>
        <v>38.282173999999998</v>
      </c>
      <c r="S564" s="599">
        <f t="shared" si="461"/>
        <v>38.282173999999998</v>
      </c>
      <c r="T564" s="599">
        <f t="shared" si="461"/>
        <v>38.282173999999998</v>
      </c>
      <c r="U564" s="599">
        <f t="shared" si="461"/>
        <v>38.282173999999998</v>
      </c>
      <c r="V564" s="599">
        <f t="shared" si="461"/>
        <v>38.282173999999998</v>
      </c>
      <c r="W564" s="599">
        <f t="shared" si="461"/>
        <v>38.282173999999998</v>
      </c>
      <c r="X564" s="599">
        <f t="shared" si="461"/>
        <v>38.282173999999998</v>
      </c>
      <c r="Y564" s="599">
        <f t="shared" si="461"/>
        <v>38.282173999999998</v>
      </c>
      <c r="Z564" s="599">
        <f t="shared" si="461"/>
        <v>38.282173999999998</v>
      </c>
      <c r="AA564" s="599">
        <f t="shared" si="461"/>
        <v>38.282173999999998</v>
      </c>
      <c r="AB564" s="599">
        <f t="shared" si="461"/>
        <v>38.282173999999998</v>
      </c>
      <c r="AC564" s="599">
        <f t="shared" si="461"/>
        <v>38.282173999999998</v>
      </c>
      <c r="AD564" s="599">
        <f t="shared" si="461"/>
        <v>38.282173999999998</v>
      </c>
      <c r="AE564" s="599">
        <f t="shared" si="461"/>
        <v>38.282173999999998</v>
      </c>
      <c r="AF564" s="599">
        <f t="shared" si="461"/>
        <v>38.282173999999998</v>
      </c>
      <c r="AH564" s="578">
        <f>SUM(C564:AF564)</f>
        <v>1148.4652199999991</v>
      </c>
      <c r="AJ564" s="579"/>
      <c r="AK564" s="531"/>
      <c r="AM564" s="594"/>
      <c r="AN564" s="535"/>
      <c r="AP564" s="568"/>
      <c r="AQ564" s="568"/>
    </row>
    <row r="565" spans="1:43" s="546" customFormat="1" ht="16.5" hidden="1" customHeight="1" outlineLevel="2">
      <c r="A565" s="584"/>
      <c r="B565" s="569" t="str">
        <f>B522</f>
        <v>Caminhão carroceria  25 m³ com implemento garra</v>
      </c>
      <c r="C565" s="581">
        <f>((C566*C570)*(C568+C569)/12)+((C567*C566)/12)</f>
        <v>3190.1811666666667</v>
      </c>
      <c r="D565" s="581">
        <f t="shared" ref="D565:AF565" si="462">((D566*D570)*(D568+D569)/12)+((D567*D566)/12)</f>
        <v>3190.1811666666667</v>
      </c>
      <c r="E565" s="581">
        <f t="shared" si="462"/>
        <v>3190.1811666666667</v>
      </c>
      <c r="F565" s="581">
        <f t="shared" si="462"/>
        <v>3190.1811666666667</v>
      </c>
      <c r="G565" s="581">
        <f t="shared" si="462"/>
        <v>3190.1811666666667</v>
      </c>
      <c r="H565" s="581">
        <f t="shared" si="462"/>
        <v>3190.1811666666667</v>
      </c>
      <c r="I565" s="581">
        <f t="shared" si="462"/>
        <v>3190.1811666666667</v>
      </c>
      <c r="J565" s="581">
        <f t="shared" si="462"/>
        <v>3190.1811666666667</v>
      </c>
      <c r="K565" s="581">
        <f t="shared" si="462"/>
        <v>3190.1811666666667</v>
      </c>
      <c r="L565" s="581">
        <f t="shared" si="462"/>
        <v>3190.1811666666667</v>
      </c>
      <c r="M565" s="581">
        <f t="shared" si="462"/>
        <v>3190.1811666666667</v>
      </c>
      <c r="N565" s="581">
        <f t="shared" si="462"/>
        <v>3190.1811666666667</v>
      </c>
      <c r="O565" s="581">
        <f t="shared" si="462"/>
        <v>3190.1811666666667</v>
      </c>
      <c r="P565" s="581">
        <f t="shared" si="462"/>
        <v>3190.1811666666667</v>
      </c>
      <c r="Q565" s="581">
        <f t="shared" si="462"/>
        <v>3190.1811666666667</v>
      </c>
      <c r="R565" s="581">
        <f t="shared" si="462"/>
        <v>3190.1811666666667</v>
      </c>
      <c r="S565" s="581">
        <f t="shared" si="462"/>
        <v>3190.1811666666667</v>
      </c>
      <c r="T565" s="581">
        <f t="shared" si="462"/>
        <v>3190.1811666666667</v>
      </c>
      <c r="U565" s="581">
        <f t="shared" si="462"/>
        <v>3190.1811666666667</v>
      </c>
      <c r="V565" s="581">
        <f t="shared" si="462"/>
        <v>3190.1811666666667</v>
      </c>
      <c r="W565" s="581">
        <f t="shared" si="462"/>
        <v>3190.1811666666667</v>
      </c>
      <c r="X565" s="581">
        <f t="shared" si="462"/>
        <v>3190.1811666666667</v>
      </c>
      <c r="Y565" s="581">
        <f t="shared" si="462"/>
        <v>3190.1811666666667</v>
      </c>
      <c r="Z565" s="581">
        <f t="shared" si="462"/>
        <v>3190.1811666666667</v>
      </c>
      <c r="AA565" s="581">
        <f t="shared" si="462"/>
        <v>3190.1811666666667</v>
      </c>
      <c r="AB565" s="581">
        <f t="shared" si="462"/>
        <v>3190.1811666666667</v>
      </c>
      <c r="AC565" s="581">
        <f t="shared" si="462"/>
        <v>3190.1811666666667</v>
      </c>
      <c r="AD565" s="581">
        <f t="shared" si="462"/>
        <v>3190.1811666666667</v>
      </c>
      <c r="AE565" s="581">
        <f t="shared" si="462"/>
        <v>3190.1811666666667</v>
      </c>
      <c r="AF565" s="581">
        <f t="shared" si="462"/>
        <v>3190.1811666666667</v>
      </c>
      <c r="AH565" s="571"/>
      <c r="AK565" s="531"/>
      <c r="AM565" s="594"/>
      <c r="AN565" s="535"/>
      <c r="AP565" s="549"/>
      <c r="AQ565" s="549"/>
    </row>
    <row r="566" spans="1:43" s="513" customFormat="1" ht="16.5" hidden="1" customHeight="1" outlineLevel="2">
      <c r="A566" s="584"/>
      <c r="B566" s="572" t="s">
        <v>805</v>
      </c>
      <c r="C566" s="628">
        <f>C561</f>
        <v>2</v>
      </c>
      <c r="D566" s="628">
        <f>C566</f>
        <v>2</v>
      </c>
      <c r="E566" s="628">
        <f t="shared" ref="E566:T570" si="463">D566</f>
        <v>2</v>
      </c>
      <c r="F566" s="628">
        <f t="shared" si="463"/>
        <v>2</v>
      </c>
      <c r="G566" s="628">
        <f t="shared" si="463"/>
        <v>2</v>
      </c>
      <c r="H566" s="628">
        <f t="shared" si="463"/>
        <v>2</v>
      </c>
      <c r="I566" s="628">
        <f t="shared" si="463"/>
        <v>2</v>
      </c>
      <c r="J566" s="628">
        <f t="shared" si="463"/>
        <v>2</v>
      </c>
      <c r="K566" s="628">
        <f t="shared" si="463"/>
        <v>2</v>
      </c>
      <c r="L566" s="628">
        <f t="shared" si="463"/>
        <v>2</v>
      </c>
      <c r="M566" s="628">
        <f t="shared" si="463"/>
        <v>2</v>
      </c>
      <c r="N566" s="628">
        <f t="shared" si="463"/>
        <v>2</v>
      </c>
      <c r="O566" s="628">
        <f t="shared" si="463"/>
        <v>2</v>
      </c>
      <c r="P566" s="628">
        <f t="shared" si="463"/>
        <v>2</v>
      </c>
      <c r="Q566" s="628">
        <f t="shared" si="463"/>
        <v>2</v>
      </c>
      <c r="R566" s="628">
        <f t="shared" si="463"/>
        <v>2</v>
      </c>
      <c r="S566" s="628">
        <f t="shared" si="463"/>
        <v>2</v>
      </c>
      <c r="T566" s="628">
        <f t="shared" si="463"/>
        <v>2</v>
      </c>
      <c r="U566" s="628">
        <f t="shared" ref="U566:AF570" si="464">T566</f>
        <v>2</v>
      </c>
      <c r="V566" s="628">
        <f t="shared" si="464"/>
        <v>2</v>
      </c>
      <c r="W566" s="628">
        <f t="shared" si="464"/>
        <v>2</v>
      </c>
      <c r="X566" s="628">
        <f t="shared" si="464"/>
        <v>2</v>
      </c>
      <c r="Y566" s="628">
        <f t="shared" si="464"/>
        <v>2</v>
      </c>
      <c r="Z566" s="628">
        <f t="shared" si="464"/>
        <v>2</v>
      </c>
      <c r="AA566" s="628">
        <f t="shared" si="464"/>
        <v>2</v>
      </c>
      <c r="AB566" s="628">
        <f t="shared" si="464"/>
        <v>2</v>
      </c>
      <c r="AC566" s="628">
        <f t="shared" si="464"/>
        <v>2</v>
      </c>
      <c r="AD566" s="628">
        <f t="shared" si="464"/>
        <v>2</v>
      </c>
      <c r="AE566" s="628">
        <f t="shared" si="464"/>
        <v>2</v>
      </c>
      <c r="AF566" s="628">
        <f t="shared" si="464"/>
        <v>2</v>
      </c>
      <c r="AH566" s="538"/>
      <c r="AK566" s="531"/>
      <c r="AM566" s="594"/>
      <c r="AN566" s="535"/>
      <c r="AP566" s="540"/>
      <c r="AQ566" s="540"/>
    </row>
    <row r="567" spans="1:43" s="513" customFormat="1" ht="16.5" hidden="1" customHeight="1" outlineLevel="2">
      <c r="A567" s="584"/>
      <c r="B567" s="572" t="s">
        <v>916</v>
      </c>
      <c r="C567" s="605">
        <f>C100</f>
        <v>149.37</v>
      </c>
      <c r="D567" s="605">
        <f>C567</f>
        <v>149.37</v>
      </c>
      <c r="E567" s="605">
        <f t="shared" si="463"/>
        <v>149.37</v>
      </c>
      <c r="F567" s="605">
        <f t="shared" si="463"/>
        <v>149.37</v>
      </c>
      <c r="G567" s="605">
        <f t="shared" si="463"/>
        <v>149.37</v>
      </c>
      <c r="H567" s="605">
        <f t="shared" si="463"/>
        <v>149.37</v>
      </c>
      <c r="I567" s="605">
        <f t="shared" si="463"/>
        <v>149.37</v>
      </c>
      <c r="J567" s="605">
        <f t="shared" si="463"/>
        <v>149.37</v>
      </c>
      <c r="K567" s="605">
        <f t="shared" si="463"/>
        <v>149.37</v>
      </c>
      <c r="L567" s="605">
        <f t="shared" si="463"/>
        <v>149.37</v>
      </c>
      <c r="M567" s="605">
        <f t="shared" si="463"/>
        <v>149.37</v>
      </c>
      <c r="N567" s="605">
        <f t="shared" si="463"/>
        <v>149.37</v>
      </c>
      <c r="O567" s="605">
        <f t="shared" si="463"/>
        <v>149.37</v>
      </c>
      <c r="P567" s="605">
        <f t="shared" si="463"/>
        <v>149.37</v>
      </c>
      <c r="Q567" s="605">
        <f t="shared" si="463"/>
        <v>149.37</v>
      </c>
      <c r="R567" s="605">
        <f t="shared" si="463"/>
        <v>149.37</v>
      </c>
      <c r="S567" s="605">
        <f t="shared" si="463"/>
        <v>149.37</v>
      </c>
      <c r="T567" s="605">
        <f t="shared" si="463"/>
        <v>149.37</v>
      </c>
      <c r="U567" s="605">
        <f t="shared" si="464"/>
        <v>149.37</v>
      </c>
      <c r="V567" s="605">
        <f t="shared" si="464"/>
        <v>149.37</v>
      </c>
      <c r="W567" s="605">
        <f t="shared" si="464"/>
        <v>149.37</v>
      </c>
      <c r="X567" s="605">
        <f t="shared" si="464"/>
        <v>149.37</v>
      </c>
      <c r="Y567" s="605">
        <f t="shared" si="464"/>
        <v>149.37</v>
      </c>
      <c r="Z567" s="605">
        <f t="shared" si="464"/>
        <v>149.37</v>
      </c>
      <c r="AA567" s="605">
        <f t="shared" si="464"/>
        <v>149.37</v>
      </c>
      <c r="AB567" s="605">
        <f t="shared" si="464"/>
        <v>149.37</v>
      </c>
      <c r="AC567" s="605">
        <f t="shared" si="464"/>
        <v>149.37</v>
      </c>
      <c r="AD567" s="605">
        <f t="shared" si="464"/>
        <v>149.37</v>
      </c>
      <c r="AE567" s="605">
        <f t="shared" si="464"/>
        <v>149.37</v>
      </c>
      <c r="AF567" s="605">
        <f t="shared" si="464"/>
        <v>149.37</v>
      </c>
      <c r="AH567" s="538"/>
      <c r="AK567" s="531"/>
      <c r="AM567" s="594"/>
      <c r="AN567" s="535"/>
      <c r="AP567" s="540"/>
      <c r="AQ567" s="540"/>
    </row>
    <row r="568" spans="1:43" s="513" customFormat="1" ht="16.5" hidden="1" customHeight="1" outlineLevel="2">
      <c r="A568" s="584"/>
      <c r="B568" s="572" t="s">
        <v>917</v>
      </c>
      <c r="C568" s="186">
        <f>C101</f>
        <v>0.01</v>
      </c>
      <c r="D568" s="186">
        <f>C568</f>
        <v>0.01</v>
      </c>
      <c r="E568" s="186">
        <f t="shared" si="463"/>
        <v>0.01</v>
      </c>
      <c r="F568" s="186">
        <f t="shared" si="463"/>
        <v>0.01</v>
      </c>
      <c r="G568" s="186">
        <f t="shared" si="463"/>
        <v>0.01</v>
      </c>
      <c r="H568" s="186">
        <f t="shared" si="463"/>
        <v>0.01</v>
      </c>
      <c r="I568" s="186">
        <f t="shared" si="463"/>
        <v>0.01</v>
      </c>
      <c r="J568" s="186">
        <f t="shared" si="463"/>
        <v>0.01</v>
      </c>
      <c r="K568" s="186">
        <f t="shared" si="463"/>
        <v>0.01</v>
      </c>
      <c r="L568" s="186">
        <f t="shared" si="463"/>
        <v>0.01</v>
      </c>
      <c r="M568" s="186">
        <f t="shared" si="463"/>
        <v>0.01</v>
      </c>
      <c r="N568" s="186">
        <f t="shared" si="463"/>
        <v>0.01</v>
      </c>
      <c r="O568" s="186">
        <f t="shared" si="463"/>
        <v>0.01</v>
      </c>
      <c r="P568" s="186">
        <f t="shared" si="463"/>
        <v>0.01</v>
      </c>
      <c r="Q568" s="186">
        <f t="shared" si="463"/>
        <v>0.01</v>
      </c>
      <c r="R568" s="186">
        <f t="shared" si="463"/>
        <v>0.01</v>
      </c>
      <c r="S568" s="186">
        <f t="shared" si="463"/>
        <v>0.01</v>
      </c>
      <c r="T568" s="186">
        <f t="shared" si="463"/>
        <v>0.01</v>
      </c>
      <c r="U568" s="186">
        <f t="shared" si="464"/>
        <v>0.01</v>
      </c>
      <c r="V568" s="186">
        <f t="shared" si="464"/>
        <v>0.01</v>
      </c>
      <c r="W568" s="186">
        <f t="shared" si="464"/>
        <v>0.01</v>
      </c>
      <c r="X568" s="186">
        <f t="shared" si="464"/>
        <v>0.01</v>
      </c>
      <c r="Y568" s="186">
        <f t="shared" si="464"/>
        <v>0.01</v>
      </c>
      <c r="Z568" s="186">
        <f t="shared" si="464"/>
        <v>0.01</v>
      </c>
      <c r="AA568" s="186">
        <f t="shared" si="464"/>
        <v>0.01</v>
      </c>
      <c r="AB568" s="186">
        <f t="shared" si="464"/>
        <v>0.01</v>
      </c>
      <c r="AC568" s="186">
        <f t="shared" si="464"/>
        <v>0.01</v>
      </c>
      <c r="AD568" s="186">
        <f t="shared" si="464"/>
        <v>0.01</v>
      </c>
      <c r="AE568" s="186">
        <f t="shared" si="464"/>
        <v>0.01</v>
      </c>
      <c r="AF568" s="186">
        <f t="shared" si="464"/>
        <v>0.01</v>
      </c>
      <c r="AH568" s="538"/>
      <c r="AK568" s="531"/>
      <c r="AM568" s="594"/>
      <c r="AN568" s="535"/>
      <c r="AP568" s="540"/>
      <c r="AQ568" s="540"/>
    </row>
    <row r="569" spans="1:43" s="513" customFormat="1" ht="16.5" hidden="1" customHeight="1" outlineLevel="2">
      <c r="A569" s="584"/>
      <c r="B569" s="572" t="s">
        <v>918</v>
      </c>
      <c r="C569" s="186">
        <f>C102</f>
        <v>0.01</v>
      </c>
      <c r="D569" s="186">
        <f>C569</f>
        <v>0.01</v>
      </c>
      <c r="E569" s="186">
        <f t="shared" si="463"/>
        <v>0.01</v>
      </c>
      <c r="F569" s="186">
        <f t="shared" si="463"/>
        <v>0.01</v>
      </c>
      <c r="G569" s="186">
        <f t="shared" si="463"/>
        <v>0.01</v>
      </c>
      <c r="H569" s="186">
        <f t="shared" si="463"/>
        <v>0.01</v>
      </c>
      <c r="I569" s="186">
        <f t="shared" si="463"/>
        <v>0.01</v>
      </c>
      <c r="J569" s="186">
        <f t="shared" si="463"/>
        <v>0.01</v>
      </c>
      <c r="K569" s="186">
        <f t="shared" si="463"/>
        <v>0.01</v>
      </c>
      <c r="L569" s="186">
        <f t="shared" si="463"/>
        <v>0.01</v>
      </c>
      <c r="M569" s="186">
        <f t="shared" si="463"/>
        <v>0.01</v>
      </c>
      <c r="N569" s="186">
        <f t="shared" si="463"/>
        <v>0.01</v>
      </c>
      <c r="O569" s="186">
        <f t="shared" si="463"/>
        <v>0.01</v>
      </c>
      <c r="P569" s="186">
        <f t="shared" si="463"/>
        <v>0.01</v>
      </c>
      <c r="Q569" s="186">
        <f t="shared" si="463"/>
        <v>0.01</v>
      </c>
      <c r="R569" s="186">
        <f t="shared" si="463"/>
        <v>0.01</v>
      </c>
      <c r="S569" s="186">
        <f t="shared" si="463"/>
        <v>0.01</v>
      </c>
      <c r="T569" s="186">
        <f t="shared" si="463"/>
        <v>0.01</v>
      </c>
      <c r="U569" s="186">
        <f t="shared" si="464"/>
        <v>0.01</v>
      </c>
      <c r="V569" s="186">
        <f t="shared" si="464"/>
        <v>0.01</v>
      </c>
      <c r="W569" s="186">
        <f t="shared" si="464"/>
        <v>0.01</v>
      </c>
      <c r="X569" s="186">
        <f t="shared" si="464"/>
        <v>0.01</v>
      </c>
      <c r="Y569" s="186">
        <f t="shared" si="464"/>
        <v>0.01</v>
      </c>
      <c r="Z569" s="186">
        <f t="shared" si="464"/>
        <v>0.01</v>
      </c>
      <c r="AA569" s="186">
        <f t="shared" si="464"/>
        <v>0.01</v>
      </c>
      <c r="AB569" s="186">
        <f t="shared" si="464"/>
        <v>0.01</v>
      </c>
      <c r="AC569" s="186">
        <f t="shared" si="464"/>
        <v>0.01</v>
      </c>
      <c r="AD569" s="186">
        <f t="shared" si="464"/>
        <v>0.01</v>
      </c>
      <c r="AE569" s="186">
        <f t="shared" si="464"/>
        <v>0.01</v>
      </c>
      <c r="AF569" s="186">
        <f t="shared" si="464"/>
        <v>0.01</v>
      </c>
      <c r="AH569" s="538"/>
      <c r="AK569" s="531"/>
      <c r="AM569" s="594"/>
      <c r="AN569" s="535"/>
      <c r="AP569" s="540"/>
      <c r="AQ569" s="540"/>
    </row>
    <row r="570" spans="1:43" s="513" customFormat="1" ht="16.5" hidden="1" customHeight="1" outlineLevel="2">
      <c r="A570" s="584"/>
      <c r="B570" s="572" t="s">
        <v>919</v>
      </c>
      <c r="C570" s="605">
        <f>CAPEX!$C$57</f>
        <v>949585.85</v>
      </c>
      <c r="D570" s="605">
        <f>C570</f>
        <v>949585.85</v>
      </c>
      <c r="E570" s="605">
        <f t="shared" si="463"/>
        <v>949585.85</v>
      </c>
      <c r="F570" s="605">
        <f t="shared" si="463"/>
        <v>949585.85</v>
      </c>
      <c r="G570" s="605">
        <f t="shared" si="463"/>
        <v>949585.85</v>
      </c>
      <c r="H570" s="605">
        <f t="shared" si="463"/>
        <v>949585.85</v>
      </c>
      <c r="I570" s="605">
        <f t="shared" si="463"/>
        <v>949585.85</v>
      </c>
      <c r="J570" s="605">
        <f t="shared" si="463"/>
        <v>949585.85</v>
      </c>
      <c r="K570" s="605">
        <f t="shared" si="463"/>
        <v>949585.85</v>
      </c>
      <c r="L570" s="605">
        <f t="shared" si="463"/>
        <v>949585.85</v>
      </c>
      <c r="M570" s="605">
        <f t="shared" si="463"/>
        <v>949585.85</v>
      </c>
      <c r="N570" s="605">
        <f t="shared" si="463"/>
        <v>949585.85</v>
      </c>
      <c r="O570" s="605">
        <f t="shared" si="463"/>
        <v>949585.85</v>
      </c>
      <c r="P570" s="605">
        <f t="shared" si="463"/>
        <v>949585.85</v>
      </c>
      <c r="Q570" s="605">
        <f t="shared" si="463"/>
        <v>949585.85</v>
      </c>
      <c r="R570" s="605">
        <f t="shared" si="463"/>
        <v>949585.85</v>
      </c>
      <c r="S570" s="605">
        <f t="shared" si="463"/>
        <v>949585.85</v>
      </c>
      <c r="T570" s="605">
        <f t="shared" si="463"/>
        <v>949585.85</v>
      </c>
      <c r="U570" s="605">
        <f t="shared" si="464"/>
        <v>949585.85</v>
      </c>
      <c r="V570" s="605">
        <f t="shared" si="464"/>
        <v>949585.85</v>
      </c>
      <c r="W570" s="605">
        <f t="shared" si="464"/>
        <v>949585.85</v>
      </c>
      <c r="X570" s="605">
        <f t="shared" si="464"/>
        <v>949585.85</v>
      </c>
      <c r="Y570" s="605">
        <f t="shared" si="464"/>
        <v>949585.85</v>
      </c>
      <c r="Z570" s="605">
        <f t="shared" si="464"/>
        <v>949585.85</v>
      </c>
      <c r="AA570" s="605">
        <f t="shared" si="464"/>
        <v>949585.85</v>
      </c>
      <c r="AB570" s="605">
        <f t="shared" si="464"/>
        <v>949585.85</v>
      </c>
      <c r="AC570" s="605">
        <f t="shared" si="464"/>
        <v>949585.85</v>
      </c>
      <c r="AD570" s="605">
        <f t="shared" si="464"/>
        <v>949585.85</v>
      </c>
      <c r="AE570" s="605">
        <f t="shared" si="464"/>
        <v>949585.85</v>
      </c>
      <c r="AF570" s="605">
        <f t="shared" si="464"/>
        <v>949585.85</v>
      </c>
      <c r="AH570" s="538"/>
      <c r="AK570" s="531"/>
      <c r="AM570" s="594"/>
      <c r="AN570" s="535"/>
      <c r="AP570" s="540"/>
      <c r="AQ570" s="540"/>
    </row>
    <row r="571" spans="1:43" s="513" customFormat="1" ht="3" hidden="1" customHeight="1" outlineLevel="2">
      <c r="A571" s="584"/>
      <c r="B571" s="572"/>
      <c r="C571" s="607"/>
      <c r="D571" s="607"/>
      <c r="E571" s="607"/>
      <c r="F571" s="607"/>
      <c r="G571" s="607"/>
      <c r="H571" s="607"/>
      <c r="I571" s="607"/>
      <c r="J571" s="607"/>
      <c r="K571" s="607"/>
      <c r="L571" s="607"/>
      <c r="M571" s="607"/>
      <c r="N571" s="607"/>
      <c r="O571" s="607"/>
      <c r="P571" s="607"/>
      <c r="Q571" s="607"/>
      <c r="R571" s="607"/>
      <c r="S571" s="607"/>
      <c r="T571" s="607"/>
      <c r="U571" s="607"/>
      <c r="V571" s="607"/>
      <c r="W571" s="607"/>
      <c r="X571" s="607"/>
      <c r="Y571" s="607"/>
      <c r="Z571" s="607"/>
      <c r="AA571" s="607"/>
      <c r="AB571" s="607"/>
      <c r="AC571" s="607"/>
      <c r="AD571" s="607"/>
      <c r="AE571" s="607"/>
      <c r="AF571" s="607"/>
      <c r="AH571" s="538"/>
      <c r="AK571" s="531"/>
      <c r="AM571" s="594"/>
      <c r="AN571" s="535"/>
      <c r="AP571" s="540"/>
      <c r="AQ571" s="540"/>
    </row>
    <row r="572" spans="1:43" s="564" customFormat="1" ht="16.5" hidden="1" customHeight="1" outlineLevel="1" collapsed="1">
      <c r="A572" s="584"/>
      <c r="B572" s="576" t="s">
        <v>950</v>
      </c>
      <c r="C572" s="577">
        <f>C573*C574*12/10^3</f>
        <v>6.6343199999999998</v>
      </c>
      <c r="D572" s="577">
        <f t="shared" ref="D572:AF572" si="465">D573*D574*12/10^3</f>
        <v>6.6343199999999998</v>
      </c>
      <c r="E572" s="577">
        <f t="shared" si="465"/>
        <v>6.6343199999999998</v>
      </c>
      <c r="F572" s="577">
        <f t="shared" si="465"/>
        <v>6.6343199999999998</v>
      </c>
      <c r="G572" s="577">
        <f t="shared" si="465"/>
        <v>6.6343199999999998</v>
      </c>
      <c r="H572" s="577">
        <f t="shared" si="465"/>
        <v>6.6343199999999998</v>
      </c>
      <c r="I572" s="577">
        <f t="shared" si="465"/>
        <v>6.6343199999999998</v>
      </c>
      <c r="J572" s="577">
        <f t="shared" si="465"/>
        <v>6.6343199999999998</v>
      </c>
      <c r="K572" s="577">
        <f t="shared" si="465"/>
        <v>6.6343199999999998</v>
      </c>
      <c r="L572" s="577">
        <f t="shared" si="465"/>
        <v>6.6343199999999998</v>
      </c>
      <c r="M572" s="577">
        <f t="shared" si="465"/>
        <v>6.6343199999999998</v>
      </c>
      <c r="N572" s="577">
        <f t="shared" si="465"/>
        <v>6.6343199999999998</v>
      </c>
      <c r="O572" s="577">
        <f t="shared" si="465"/>
        <v>6.6343199999999998</v>
      </c>
      <c r="P572" s="577">
        <f t="shared" si="465"/>
        <v>6.6343199999999998</v>
      </c>
      <c r="Q572" s="577">
        <f t="shared" si="465"/>
        <v>6.6343199999999998</v>
      </c>
      <c r="R572" s="577">
        <f t="shared" si="465"/>
        <v>6.6343199999999998</v>
      </c>
      <c r="S572" s="577">
        <f t="shared" si="465"/>
        <v>6.6343199999999998</v>
      </c>
      <c r="T572" s="577">
        <f t="shared" si="465"/>
        <v>6.6343199999999998</v>
      </c>
      <c r="U572" s="577">
        <f t="shared" si="465"/>
        <v>6.6343199999999998</v>
      </c>
      <c r="V572" s="577">
        <f t="shared" si="465"/>
        <v>6.6343199999999998</v>
      </c>
      <c r="W572" s="577">
        <f t="shared" si="465"/>
        <v>6.6343199999999998</v>
      </c>
      <c r="X572" s="577">
        <f t="shared" si="465"/>
        <v>6.6343199999999998</v>
      </c>
      <c r="Y572" s="577">
        <f t="shared" si="465"/>
        <v>6.6343199999999998</v>
      </c>
      <c r="Z572" s="577">
        <f t="shared" si="465"/>
        <v>6.6343199999999998</v>
      </c>
      <c r="AA572" s="577">
        <f t="shared" si="465"/>
        <v>6.6343199999999998</v>
      </c>
      <c r="AB572" s="577">
        <f t="shared" si="465"/>
        <v>6.6343199999999998</v>
      </c>
      <c r="AC572" s="577">
        <f t="shared" si="465"/>
        <v>6.6343199999999998</v>
      </c>
      <c r="AD572" s="577">
        <f t="shared" si="465"/>
        <v>6.6343199999999998</v>
      </c>
      <c r="AE572" s="577">
        <f t="shared" si="465"/>
        <v>6.6343199999999998</v>
      </c>
      <c r="AF572" s="577">
        <f t="shared" si="465"/>
        <v>6.6343199999999998</v>
      </c>
      <c r="AH572" s="578">
        <f>SUM(C572:AF572)</f>
        <v>199.02960000000004</v>
      </c>
      <c r="AJ572" s="579"/>
      <c r="AK572" s="531"/>
      <c r="AM572" s="594"/>
      <c r="AN572" s="535"/>
      <c r="AP572" s="568"/>
      <c r="AQ572" s="568"/>
    </row>
    <row r="573" spans="1:43" s="513" customFormat="1" ht="16.5" hidden="1" customHeight="1" outlineLevel="2">
      <c r="A573" s="584"/>
      <c r="B573" s="551" t="s">
        <v>921</v>
      </c>
      <c r="C573" s="574">
        <f>SUM(C561)</f>
        <v>2</v>
      </c>
      <c r="D573" s="574">
        <f t="shared" ref="D573:AF573" si="466">SUM(D561)</f>
        <v>2</v>
      </c>
      <c r="E573" s="574">
        <f t="shared" si="466"/>
        <v>2</v>
      </c>
      <c r="F573" s="574">
        <f t="shared" si="466"/>
        <v>2</v>
      </c>
      <c r="G573" s="574">
        <f t="shared" si="466"/>
        <v>2</v>
      </c>
      <c r="H573" s="574">
        <f t="shared" si="466"/>
        <v>2</v>
      </c>
      <c r="I573" s="574">
        <f t="shared" si="466"/>
        <v>2</v>
      </c>
      <c r="J573" s="574">
        <f t="shared" si="466"/>
        <v>2</v>
      </c>
      <c r="K573" s="574">
        <f t="shared" si="466"/>
        <v>2</v>
      </c>
      <c r="L573" s="574">
        <f t="shared" si="466"/>
        <v>2</v>
      </c>
      <c r="M573" s="574">
        <f t="shared" si="466"/>
        <v>2</v>
      </c>
      <c r="N573" s="574">
        <f t="shared" si="466"/>
        <v>2</v>
      </c>
      <c r="O573" s="574">
        <f t="shared" si="466"/>
        <v>2</v>
      </c>
      <c r="P573" s="574">
        <f t="shared" si="466"/>
        <v>2</v>
      </c>
      <c r="Q573" s="574">
        <f t="shared" si="466"/>
        <v>2</v>
      </c>
      <c r="R573" s="574">
        <f t="shared" si="466"/>
        <v>2</v>
      </c>
      <c r="S573" s="574">
        <f t="shared" si="466"/>
        <v>2</v>
      </c>
      <c r="T573" s="574">
        <f t="shared" si="466"/>
        <v>2</v>
      </c>
      <c r="U573" s="574">
        <f t="shared" si="466"/>
        <v>2</v>
      </c>
      <c r="V573" s="574">
        <f t="shared" si="466"/>
        <v>2</v>
      </c>
      <c r="W573" s="574">
        <f t="shared" si="466"/>
        <v>2</v>
      </c>
      <c r="X573" s="574">
        <f t="shared" si="466"/>
        <v>2</v>
      </c>
      <c r="Y573" s="574">
        <f t="shared" si="466"/>
        <v>2</v>
      </c>
      <c r="Z573" s="574">
        <f t="shared" si="466"/>
        <v>2</v>
      </c>
      <c r="AA573" s="574">
        <f t="shared" si="466"/>
        <v>2</v>
      </c>
      <c r="AB573" s="574">
        <f t="shared" si="466"/>
        <v>2</v>
      </c>
      <c r="AC573" s="574">
        <f t="shared" si="466"/>
        <v>2</v>
      </c>
      <c r="AD573" s="574">
        <f t="shared" si="466"/>
        <v>2</v>
      </c>
      <c r="AE573" s="574">
        <f t="shared" si="466"/>
        <v>2</v>
      </c>
      <c r="AF573" s="574">
        <f t="shared" si="466"/>
        <v>2</v>
      </c>
      <c r="AG573" s="626"/>
      <c r="AH573" s="538"/>
      <c r="AK573" s="531"/>
      <c r="AM573" s="539"/>
      <c r="AN573" s="540"/>
      <c r="AP573" s="540"/>
      <c r="AQ573" s="540"/>
    </row>
    <row r="574" spans="1:43" s="513" customFormat="1" ht="16.5" hidden="1" customHeight="1" outlineLevel="2">
      <c r="A574" s="584"/>
      <c r="B574" s="551" t="s">
        <v>888</v>
      </c>
      <c r="C574" s="605">
        <f>Insumos!$E$53</f>
        <v>276.43</v>
      </c>
      <c r="D574" s="605">
        <f>C574</f>
        <v>276.43</v>
      </c>
      <c r="E574" s="605">
        <f t="shared" ref="E574:AF574" si="467">D574</f>
        <v>276.43</v>
      </c>
      <c r="F574" s="605">
        <f t="shared" si="467"/>
        <v>276.43</v>
      </c>
      <c r="G574" s="605">
        <f t="shared" si="467"/>
        <v>276.43</v>
      </c>
      <c r="H574" s="605">
        <f t="shared" si="467"/>
        <v>276.43</v>
      </c>
      <c r="I574" s="605">
        <f t="shared" si="467"/>
        <v>276.43</v>
      </c>
      <c r="J574" s="605">
        <f t="shared" si="467"/>
        <v>276.43</v>
      </c>
      <c r="K574" s="605">
        <f t="shared" si="467"/>
        <v>276.43</v>
      </c>
      <c r="L574" s="605">
        <f t="shared" si="467"/>
        <v>276.43</v>
      </c>
      <c r="M574" s="605">
        <f t="shared" si="467"/>
        <v>276.43</v>
      </c>
      <c r="N574" s="605">
        <f t="shared" si="467"/>
        <v>276.43</v>
      </c>
      <c r="O574" s="605">
        <f t="shared" si="467"/>
        <v>276.43</v>
      </c>
      <c r="P574" s="605">
        <f t="shared" si="467"/>
        <v>276.43</v>
      </c>
      <c r="Q574" s="605">
        <f t="shared" si="467"/>
        <v>276.43</v>
      </c>
      <c r="R574" s="605">
        <f t="shared" si="467"/>
        <v>276.43</v>
      </c>
      <c r="S574" s="605">
        <f t="shared" si="467"/>
        <v>276.43</v>
      </c>
      <c r="T574" s="605">
        <f t="shared" si="467"/>
        <v>276.43</v>
      </c>
      <c r="U574" s="605">
        <f t="shared" si="467"/>
        <v>276.43</v>
      </c>
      <c r="V574" s="605">
        <f t="shared" si="467"/>
        <v>276.43</v>
      </c>
      <c r="W574" s="605">
        <f t="shared" si="467"/>
        <v>276.43</v>
      </c>
      <c r="X574" s="605">
        <f t="shared" si="467"/>
        <v>276.43</v>
      </c>
      <c r="Y574" s="605">
        <f t="shared" si="467"/>
        <v>276.43</v>
      </c>
      <c r="Z574" s="605">
        <f t="shared" si="467"/>
        <v>276.43</v>
      </c>
      <c r="AA574" s="605">
        <f t="shared" si="467"/>
        <v>276.43</v>
      </c>
      <c r="AB574" s="605">
        <f t="shared" si="467"/>
        <v>276.43</v>
      </c>
      <c r="AC574" s="605">
        <f t="shared" si="467"/>
        <v>276.43</v>
      </c>
      <c r="AD574" s="605">
        <f t="shared" si="467"/>
        <v>276.43</v>
      </c>
      <c r="AE574" s="605">
        <f t="shared" si="467"/>
        <v>276.43</v>
      </c>
      <c r="AF574" s="605">
        <f t="shared" si="467"/>
        <v>276.43</v>
      </c>
      <c r="AH574" s="538"/>
      <c r="AK574" s="531"/>
      <c r="AM574" s="594"/>
      <c r="AN574" s="535"/>
      <c r="AP574" s="540"/>
      <c r="AQ574" s="540"/>
    </row>
    <row r="575" spans="1:43" ht="3" hidden="1" customHeight="1" outlineLevel="2">
      <c r="A575" s="584"/>
      <c r="B575" s="609"/>
      <c r="C575" s="611"/>
      <c r="D575" s="611"/>
      <c r="E575" s="610"/>
      <c r="F575" s="610"/>
      <c r="G575" s="610"/>
      <c r="H575" s="610"/>
      <c r="I575" s="610"/>
      <c r="J575" s="610"/>
      <c r="K575" s="610"/>
      <c r="L575" s="610"/>
      <c r="M575" s="610"/>
      <c r="N575" s="610"/>
      <c r="O575" s="610"/>
      <c r="P575" s="610"/>
      <c r="Q575" s="610"/>
      <c r="R575" s="610"/>
      <c r="S575" s="610"/>
      <c r="T575" s="610"/>
      <c r="U575" s="610"/>
      <c r="V575" s="610"/>
      <c r="W575" s="610"/>
      <c r="X575" s="610"/>
      <c r="Y575" s="610"/>
      <c r="Z575" s="610"/>
      <c r="AA575" s="610"/>
      <c r="AB575" s="610"/>
      <c r="AC575" s="610"/>
      <c r="AD575" s="610"/>
      <c r="AE575" s="610"/>
      <c r="AF575" s="610"/>
      <c r="AH575" s="593"/>
      <c r="AK575" s="531"/>
      <c r="AM575" s="594"/>
      <c r="AN575" s="535"/>
      <c r="AP575" s="535"/>
      <c r="AQ575" s="535"/>
    </row>
    <row r="576" spans="1:43" s="564" customFormat="1" ht="16.5" hidden="1" customHeight="1" outlineLevel="1" collapsed="1">
      <c r="A576" s="584"/>
      <c r="B576" s="576" t="s">
        <v>926</v>
      </c>
      <c r="C576" s="599">
        <f>SUM(C577,C584)*12/10^3</f>
        <v>128.5104</v>
      </c>
      <c r="D576" s="599">
        <f t="shared" ref="D576:AF576" si="468">SUM(D577,D584)*12/10^3</f>
        <v>128.5104</v>
      </c>
      <c r="E576" s="599">
        <f t="shared" si="468"/>
        <v>128.5104</v>
      </c>
      <c r="F576" s="599">
        <f t="shared" si="468"/>
        <v>128.5104</v>
      </c>
      <c r="G576" s="599">
        <f t="shared" si="468"/>
        <v>128.5104</v>
      </c>
      <c r="H576" s="599">
        <f t="shared" si="468"/>
        <v>128.5104</v>
      </c>
      <c r="I576" s="599">
        <f t="shared" si="468"/>
        <v>128.5104</v>
      </c>
      <c r="J576" s="599">
        <f t="shared" si="468"/>
        <v>128.5104</v>
      </c>
      <c r="K576" s="599">
        <f t="shared" si="468"/>
        <v>128.5104</v>
      </c>
      <c r="L576" s="599">
        <f t="shared" si="468"/>
        <v>128.5104</v>
      </c>
      <c r="M576" s="599">
        <f t="shared" si="468"/>
        <v>128.5104</v>
      </c>
      <c r="N576" s="599">
        <f t="shared" si="468"/>
        <v>128.5104</v>
      </c>
      <c r="O576" s="599">
        <f t="shared" si="468"/>
        <v>128.5104</v>
      </c>
      <c r="P576" s="599">
        <f t="shared" si="468"/>
        <v>128.5104</v>
      </c>
      <c r="Q576" s="599">
        <f t="shared" si="468"/>
        <v>128.5104</v>
      </c>
      <c r="R576" s="599">
        <f t="shared" si="468"/>
        <v>128.5104</v>
      </c>
      <c r="S576" s="599">
        <f t="shared" si="468"/>
        <v>128.5104</v>
      </c>
      <c r="T576" s="599">
        <f t="shared" si="468"/>
        <v>128.5104</v>
      </c>
      <c r="U576" s="599">
        <f t="shared" si="468"/>
        <v>128.5104</v>
      </c>
      <c r="V576" s="599">
        <f t="shared" si="468"/>
        <v>128.5104</v>
      </c>
      <c r="W576" s="599">
        <f t="shared" si="468"/>
        <v>128.5104</v>
      </c>
      <c r="X576" s="599">
        <f t="shared" si="468"/>
        <v>128.5104</v>
      </c>
      <c r="Y576" s="599">
        <f t="shared" si="468"/>
        <v>128.5104</v>
      </c>
      <c r="Z576" s="599">
        <f t="shared" si="468"/>
        <v>128.5104</v>
      </c>
      <c r="AA576" s="599">
        <f t="shared" si="468"/>
        <v>128.5104</v>
      </c>
      <c r="AB576" s="599">
        <f t="shared" si="468"/>
        <v>128.5104</v>
      </c>
      <c r="AC576" s="599">
        <f t="shared" si="468"/>
        <v>128.5104</v>
      </c>
      <c r="AD576" s="599">
        <f t="shared" si="468"/>
        <v>128.5104</v>
      </c>
      <c r="AE576" s="599">
        <f t="shared" si="468"/>
        <v>128.5104</v>
      </c>
      <c r="AF576" s="599">
        <f t="shared" si="468"/>
        <v>128.5104</v>
      </c>
      <c r="AH576" s="578">
        <f>SUM(C576:AF576)</f>
        <v>3855.3120000000026</v>
      </c>
      <c r="AJ576" s="579"/>
      <c r="AK576" s="531"/>
      <c r="AM576" s="594"/>
      <c r="AN576" s="535"/>
      <c r="AP576" s="568"/>
      <c r="AQ576" s="568"/>
    </row>
    <row r="577" spans="1:43" s="546" customFormat="1" ht="16.5" hidden="1" customHeight="1" outlineLevel="2">
      <c r="A577" s="584"/>
      <c r="B577" s="569" t="s">
        <v>927</v>
      </c>
      <c r="C577" s="581">
        <f>C578*(C579+C581+C582+C583)</f>
        <v>5728.4</v>
      </c>
      <c r="D577" s="581">
        <f t="shared" ref="D577:AF577" si="469">D578*(D579+D581+D582+D583)</f>
        <v>5728.4</v>
      </c>
      <c r="E577" s="581">
        <f t="shared" si="469"/>
        <v>5728.4</v>
      </c>
      <c r="F577" s="581">
        <f>F578*(F579+F581+F582+F583)</f>
        <v>5728.4</v>
      </c>
      <c r="G577" s="581">
        <f t="shared" si="469"/>
        <v>5728.4</v>
      </c>
      <c r="H577" s="581">
        <f t="shared" si="469"/>
        <v>5728.4</v>
      </c>
      <c r="I577" s="581">
        <f t="shared" si="469"/>
        <v>5728.4</v>
      </c>
      <c r="J577" s="581">
        <f t="shared" si="469"/>
        <v>5728.4</v>
      </c>
      <c r="K577" s="581">
        <f t="shared" si="469"/>
        <v>5728.4</v>
      </c>
      <c r="L577" s="581">
        <f t="shared" si="469"/>
        <v>5728.4</v>
      </c>
      <c r="M577" s="581">
        <f t="shared" si="469"/>
        <v>5728.4</v>
      </c>
      <c r="N577" s="581">
        <f t="shared" si="469"/>
        <v>5728.4</v>
      </c>
      <c r="O577" s="581">
        <f t="shared" si="469"/>
        <v>5728.4</v>
      </c>
      <c r="P577" s="581">
        <f t="shared" si="469"/>
        <v>5728.4</v>
      </c>
      <c r="Q577" s="581">
        <f t="shared" si="469"/>
        <v>5728.4</v>
      </c>
      <c r="R577" s="581">
        <f t="shared" si="469"/>
        <v>5728.4</v>
      </c>
      <c r="S577" s="581">
        <f t="shared" si="469"/>
        <v>5728.4</v>
      </c>
      <c r="T577" s="581">
        <f t="shared" si="469"/>
        <v>5728.4</v>
      </c>
      <c r="U577" s="581">
        <f t="shared" si="469"/>
        <v>5728.4</v>
      </c>
      <c r="V577" s="581">
        <f t="shared" si="469"/>
        <v>5728.4</v>
      </c>
      <c r="W577" s="581">
        <f t="shared" si="469"/>
        <v>5728.4</v>
      </c>
      <c r="X577" s="581">
        <f t="shared" si="469"/>
        <v>5728.4</v>
      </c>
      <c r="Y577" s="581">
        <f t="shared" si="469"/>
        <v>5728.4</v>
      </c>
      <c r="Z577" s="581">
        <f t="shared" si="469"/>
        <v>5728.4</v>
      </c>
      <c r="AA577" s="581">
        <f t="shared" si="469"/>
        <v>5728.4</v>
      </c>
      <c r="AB577" s="581">
        <f t="shared" si="469"/>
        <v>5728.4</v>
      </c>
      <c r="AC577" s="581">
        <f t="shared" si="469"/>
        <v>5728.4</v>
      </c>
      <c r="AD577" s="581">
        <f t="shared" si="469"/>
        <v>5728.4</v>
      </c>
      <c r="AE577" s="581">
        <f t="shared" si="469"/>
        <v>5728.4</v>
      </c>
      <c r="AF577" s="581">
        <f t="shared" si="469"/>
        <v>5728.4</v>
      </c>
      <c r="AH577" s="571"/>
      <c r="AK577" s="531"/>
      <c r="AM577" s="594"/>
      <c r="AN577" s="535"/>
      <c r="AP577" s="549"/>
      <c r="AQ577" s="549"/>
    </row>
    <row r="578" spans="1:43" s="586" customFormat="1" ht="16.5" hidden="1" customHeight="1" outlineLevel="2">
      <c r="A578" s="584"/>
      <c r="B578" s="585" t="s">
        <v>805</v>
      </c>
      <c r="C578" s="716">
        <v>2</v>
      </c>
      <c r="D578" s="716">
        <f>C578</f>
        <v>2</v>
      </c>
      <c r="E578" s="716">
        <f t="shared" ref="E578:AF578" si="470">D578</f>
        <v>2</v>
      </c>
      <c r="F578" s="716">
        <f t="shared" si="470"/>
        <v>2</v>
      </c>
      <c r="G578" s="716">
        <f t="shared" si="470"/>
        <v>2</v>
      </c>
      <c r="H578" s="716">
        <f t="shared" si="470"/>
        <v>2</v>
      </c>
      <c r="I578" s="716">
        <f t="shared" si="470"/>
        <v>2</v>
      </c>
      <c r="J578" s="716">
        <f t="shared" si="470"/>
        <v>2</v>
      </c>
      <c r="K578" s="716">
        <f t="shared" si="470"/>
        <v>2</v>
      </c>
      <c r="L578" s="716">
        <f t="shared" si="470"/>
        <v>2</v>
      </c>
      <c r="M578" s="716">
        <f t="shared" si="470"/>
        <v>2</v>
      </c>
      <c r="N578" s="716">
        <f t="shared" si="470"/>
        <v>2</v>
      </c>
      <c r="O578" s="716">
        <f t="shared" si="470"/>
        <v>2</v>
      </c>
      <c r="P578" s="716">
        <f t="shared" si="470"/>
        <v>2</v>
      </c>
      <c r="Q578" s="716">
        <f t="shared" si="470"/>
        <v>2</v>
      </c>
      <c r="R578" s="716">
        <f t="shared" si="470"/>
        <v>2</v>
      </c>
      <c r="S578" s="716">
        <f t="shared" si="470"/>
        <v>2</v>
      </c>
      <c r="T578" s="716">
        <f t="shared" si="470"/>
        <v>2</v>
      </c>
      <c r="U578" s="716">
        <f t="shared" si="470"/>
        <v>2</v>
      </c>
      <c r="V578" s="716">
        <f t="shared" si="470"/>
        <v>2</v>
      </c>
      <c r="W578" s="716">
        <f t="shared" si="470"/>
        <v>2</v>
      </c>
      <c r="X578" s="716">
        <f t="shared" si="470"/>
        <v>2</v>
      </c>
      <c r="Y578" s="716">
        <f t="shared" si="470"/>
        <v>2</v>
      </c>
      <c r="Z578" s="716">
        <f t="shared" si="470"/>
        <v>2</v>
      </c>
      <c r="AA578" s="716">
        <f t="shared" si="470"/>
        <v>2</v>
      </c>
      <c r="AB578" s="716">
        <f t="shared" si="470"/>
        <v>2</v>
      </c>
      <c r="AC578" s="716">
        <f t="shared" si="470"/>
        <v>2</v>
      </c>
      <c r="AD578" s="716">
        <f t="shared" si="470"/>
        <v>2</v>
      </c>
      <c r="AE578" s="716">
        <f t="shared" si="470"/>
        <v>2</v>
      </c>
      <c r="AF578" s="716">
        <f t="shared" si="470"/>
        <v>2</v>
      </c>
      <c r="AH578" s="587"/>
      <c r="AK578" s="588"/>
      <c r="AM578" s="624"/>
      <c r="AN578" s="590"/>
      <c r="AP578" s="591"/>
      <c r="AQ578" s="591"/>
    </row>
    <row r="579" spans="1:43" s="586" customFormat="1" ht="16.5" hidden="1" customHeight="1" outlineLevel="2">
      <c r="A579" s="584"/>
      <c r="B579" s="585" t="s">
        <v>928</v>
      </c>
      <c r="C579" s="632">
        <f>'Sal._benef.'!$D$23</f>
        <v>2540</v>
      </c>
      <c r="D579" s="632">
        <f t="shared" ref="D579:S583" si="471">C579</f>
        <v>2540</v>
      </c>
      <c r="E579" s="632">
        <f t="shared" si="471"/>
        <v>2540</v>
      </c>
      <c r="F579" s="632">
        <f t="shared" si="471"/>
        <v>2540</v>
      </c>
      <c r="G579" s="632">
        <f t="shared" si="471"/>
        <v>2540</v>
      </c>
      <c r="H579" s="632">
        <f t="shared" si="471"/>
        <v>2540</v>
      </c>
      <c r="I579" s="632">
        <f t="shared" si="471"/>
        <v>2540</v>
      </c>
      <c r="J579" s="632">
        <f t="shared" si="471"/>
        <v>2540</v>
      </c>
      <c r="K579" s="632">
        <f t="shared" si="471"/>
        <v>2540</v>
      </c>
      <c r="L579" s="632">
        <f t="shared" si="471"/>
        <v>2540</v>
      </c>
      <c r="M579" s="632">
        <f t="shared" si="471"/>
        <v>2540</v>
      </c>
      <c r="N579" s="632">
        <f t="shared" si="471"/>
        <v>2540</v>
      </c>
      <c r="O579" s="632">
        <f t="shared" si="471"/>
        <v>2540</v>
      </c>
      <c r="P579" s="632">
        <f t="shared" si="471"/>
        <v>2540</v>
      </c>
      <c r="Q579" s="632">
        <f t="shared" si="471"/>
        <v>2540</v>
      </c>
      <c r="R579" s="632">
        <f t="shared" si="471"/>
        <v>2540</v>
      </c>
      <c r="S579" s="632">
        <f t="shared" si="471"/>
        <v>2540</v>
      </c>
      <c r="T579" s="632">
        <f t="shared" ref="T579:AF583" si="472">S579</f>
        <v>2540</v>
      </c>
      <c r="U579" s="632">
        <f t="shared" si="472"/>
        <v>2540</v>
      </c>
      <c r="V579" s="632">
        <f t="shared" si="472"/>
        <v>2540</v>
      </c>
      <c r="W579" s="632">
        <f t="shared" si="472"/>
        <v>2540</v>
      </c>
      <c r="X579" s="632">
        <f t="shared" si="472"/>
        <v>2540</v>
      </c>
      <c r="Y579" s="632">
        <f t="shared" si="472"/>
        <v>2540</v>
      </c>
      <c r="Z579" s="632">
        <f t="shared" si="472"/>
        <v>2540</v>
      </c>
      <c r="AA579" s="632">
        <f t="shared" si="472"/>
        <v>2540</v>
      </c>
      <c r="AB579" s="632">
        <f t="shared" si="472"/>
        <v>2540</v>
      </c>
      <c r="AC579" s="632">
        <f t="shared" si="472"/>
        <v>2540</v>
      </c>
      <c r="AD579" s="632">
        <f t="shared" si="472"/>
        <v>2540</v>
      </c>
      <c r="AE579" s="632">
        <f t="shared" si="472"/>
        <v>2540</v>
      </c>
      <c r="AF579" s="632">
        <f t="shared" si="472"/>
        <v>2540</v>
      </c>
      <c r="AH579" s="587"/>
      <c r="AK579" s="588"/>
      <c r="AM579" s="624"/>
      <c r="AN579" s="590"/>
      <c r="AP579" s="591"/>
      <c r="AQ579" s="591"/>
    </row>
    <row r="580" spans="1:43" s="586" customFormat="1" ht="16.5" hidden="1" customHeight="1" outlineLevel="2">
      <c r="A580" s="584"/>
      <c r="B580" s="585" t="s">
        <v>929</v>
      </c>
      <c r="C580" s="632">
        <f>'Sal._benef.'!$F$10</f>
        <v>1621</v>
      </c>
      <c r="D580" s="632">
        <f t="shared" si="471"/>
        <v>1621</v>
      </c>
      <c r="E580" s="632">
        <f t="shared" si="471"/>
        <v>1621</v>
      </c>
      <c r="F580" s="632">
        <f t="shared" si="471"/>
        <v>1621</v>
      </c>
      <c r="G580" s="632">
        <f t="shared" si="471"/>
        <v>1621</v>
      </c>
      <c r="H580" s="632">
        <f t="shared" si="471"/>
        <v>1621</v>
      </c>
      <c r="I580" s="632">
        <f t="shared" si="471"/>
        <v>1621</v>
      </c>
      <c r="J580" s="632">
        <f t="shared" si="471"/>
        <v>1621</v>
      </c>
      <c r="K580" s="632">
        <f t="shared" si="471"/>
        <v>1621</v>
      </c>
      <c r="L580" s="632">
        <f t="shared" si="471"/>
        <v>1621</v>
      </c>
      <c r="M580" s="632">
        <f t="shared" si="471"/>
        <v>1621</v>
      </c>
      <c r="N580" s="632">
        <f t="shared" si="471"/>
        <v>1621</v>
      </c>
      <c r="O580" s="632">
        <f t="shared" si="471"/>
        <v>1621</v>
      </c>
      <c r="P580" s="632">
        <f t="shared" si="471"/>
        <v>1621</v>
      </c>
      <c r="Q580" s="632">
        <f t="shared" si="471"/>
        <v>1621</v>
      </c>
      <c r="R580" s="632">
        <f t="shared" si="471"/>
        <v>1621</v>
      </c>
      <c r="S580" s="632">
        <f t="shared" si="471"/>
        <v>1621</v>
      </c>
      <c r="T580" s="632">
        <f t="shared" si="472"/>
        <v>1621</v>
      </c>
      <c r="U580" s="632">
        <f t="shared" si="472"/>
        <v>1621</v>
      </c>
      <c r="V580" s="632">
        <f t="shared" si="472"/>
        <v>1621</v>
      </c>
      <c r="W580" s="632">
        <f t="shared" si="472"/>
        <v>1621</v>
      </c>
      <c r="X580" s="632">
        <f t="shared" si="472"/>
        <v>1621</v>
      </c>
      <c r="Y580" s="632">
        <f t="shared" si="472"/>
        <v>1621</v>
      </c>
      <c r="Z580" s="632">
        <f t="shared" si="472"/>
        <v>1621</v>
      </c>
      <c r="AA580" s="632">
        <f t="shared" si="472"/>
        <v>1621</v>
      </c>
      <c r="AB580" s="632">
        <f t="shared" si="472"/>
        <v>1621</v>
      </c>
      <c r="AC580" s="632">
        <f t="shared" si="472"/>
        <v>1621</v>
      </c>
      <c r="AD580" s="632">
        <f t="shared" si="472"/>
        <v>1621</v>
      </c>
      <c r="AE580" s="632">
        <f t="shared" si="472"/>
        <v>1621</v>
      </c>
      <c r="AF580" s="632">
        <f t="shared" si="472"/>
        <v>1621</v>
      </c>
      <c r="AH580" s="587"/>
      <c r="AK580" s="588"/>
      <c r="AM580" s="624"/>
      <c r="AN580" s="590"/>
      <c r="AP580" s="591"/>
      <c r="AQ580" s="591"/>
    </row>
    <row r="581" spans="1:43" s="586" customFormat="1" ht="16.5" hidden="1" customHeight="1" outlineLevel="2">
      <c r="A581" s="584"/>
      <c r="B581" s="585" t="s">
        <v>1487</v>
      </c>
      <c r="C581" s="632">
        <f>'Sal._benef.'!$F$23*'Sal._benef.'!$F$10</f>
        <v>324.20000000000005</v>
      </c>
      <c r="D581" s="632">
        <f t="shared" si="471"/>
        <v>324.20000000000005</v>
      </c>
      <c r="E581" s="632">
        <f t="shared" si="471"/>
        <v>324.20000000000005</v>
      </c>
      <c r="F581" s="632">
        <f t="shared" si="471"/>
        <v>324.20000000000005</v>
      </c>
      <c r="G581" s="632">
        <f t="shared" si="471"/>
        <v>324.20000000000005</v>
      </c>
      <c r="H581" s="632">
        <f t="shared" si="471"/>
        <v>324.20000000000005</v>
      </c>
      <c r="I581" s="632">
        <f t="shared" si="471"/>
        <v>324.20000000000005</v>
      </c>
      <c r="J581" s="632">
        <f t="shared" si="471"/>
        <v>324.20000000000005</v>
      </c>
      <c r="K581" s="632">
        <f t="shared" si="471"/>
        <v>324.20000000000005</v>
      </c>
      <c r="L581" s="632">
        <f t="shared" si="471"/>
        <v>324.20000000000005</v>
      </c>
      <c r="M581" s="632">
        <f t="shared" si="471"/>
        <v>324.20000000000005</v>
      </c>
      <c r="N581" s="632">
        <f t="shared" si="471"/>
        <v>324.20000000000005</v>
      </c>
      <c r="O581" s="632">
        <f t="shared" si="471"/>
        <v>324.20000000000005</v>
      </c>
      <c r="P581" s="632">
        <f t="shared" si="471"/>
        <v>324.20000000000005</v>
      </c>
      <c r="Q581" s="632">
        <f t="shared" si="471"/>
        <v>324.20000000000005</v>
      </c>
      <c r="R581" s="632">
        <f t="shared" si="471"/>
        <v>324.20000000000005</v>
      </c>
      <c r="S581" s="632">
        <f t="shared" si="471"/>
        <v>324.20000000000005</v>
      </c>
      <c r="T581" s="632">
        <f t="shared" si="472"/>
        <v>324.20000000000005</v>
      </c>
      <c r="U581" s="632">
        <f t="shared" si="472"/>
        <v>324.20000000000005</v>
      </c>
      <c r="V581" s="632">
        <f t="shared" si="472"/>
        <v>324.20000000000005</v>
      </c>
      <c r="W581" s="632">
        <f t="shared" si="472"/>
        <v>324.20000000000005</v>
      </c>
      <c r="X581" s="632">
        <f t="shared" si="472"/>
        <v>324.20000000000005</v>
      </c>
      <c r="Y581" s="632">
        <f t="shared" si="472"/>
        <v>324.20000000000005</v>
      </c>
      <c r="Z581" s="632">
        <f t="shared" si="472"/>
        <v>324.20000000000005</v>
      </c>
      <c r="AA581" s="632">
        <f t="shared" si="472"/>
        <v>324.20000000000005</v>
      </c>
      <c r="AB581" s="632">
        <f t="shared" si="472"/>
        <v>324.20000000000005</v>
      </c>
      <c r="AC581" s="632">
        <f t="shared" si="472"/>
        <v>324.20000000000005</v>
      </c>
      <c r="AD581" s="632">
        <f t="shared" si="472"/>
        <v>324.20000000000005</v>
      </c>
      <c r="AE581" s="632">
        <f t="shared" si="472"/>
        <v>324.20000000000005</v>
      </c>
      <c r="AF581" s="632">
        <f t="shared" si="472"/>
        <v>324.20000000000005</v>
      </c>
      <c r="AH581" s="587"/>
      <c r="AK581" s="588"/>
      <c r="AM581" s="624"/>
      <c r="AN581" s="590"/>
      <c r="AP581" s="591"/>
      <c r="AQ581" s="591"/>
    </row>
    <row r="582" spans="1:43" s="586" customFormat="1" ht="16.5" hidden="1" customHeight="1" outlineLevel="2">
      <c r="A582" s="584"/>
      <c r="B582" s="585" t="s">
        <v>1486</v>
      </c>
      <c r="C582" s="632">
        <v>0</v>
      </c>
      <c r="D582" s="632">
        <f t="shared" si="471"/>
        <v>0</v>
      </c>
      <c r="E582" s="632">
        <f t="shared" si="471"/>
        <v>0</v>
      </c>
      <c r="F582" s="632">
        <f t="shared" si="471"/>
        <v>0</v>
      </c>
      <c r="G582" s="632">
        <f t="shared" si="471"/>
        <v>0</v>
      </c>
      <c r="H582" s="632">
        <f t="shared" si="471"/>
        <v>0</v>
      </c>
      <c r="I582" s="632">
        <f t="shared" si="471"/>
        <v>0</v>
      </c>
      <c r="J582" s="632">
        <f t="shared" si="471"/>
        <v>0</v>
      </c>
      <c r="K582" s="632">
        <f t="shared" si="471"/>
        <v>0</v>
      </c>
      <c r="L582" s="632">
        <f t="shared" si="471"/>
        <v>0</v>
      </c>
      <c r="M582" s="632">
        <f t="shared" si="471"/>
        <v>0</v>
      </c>
      <c r="N582" s="632">
        <f t="shared" si="471"/>
        <v>0</v>
      </c>
      <c r="O582" s="632">
        <f t="shared" si="471"/>
        <v>0</v>
      </c>
      <c r="P582" s="632">
        <f t="shared" si="471"/>
        <v>0</v>
      </c>
      <c r="Q582" s="632">
        <f t="shared" si="471"/>
        <v>0</v>
      </c>
      <c r="R582" s="632">
        <f t="shared" si="471"/>
        <v>0</v>
      </c>
      <c r="S582" s="632">
        <f t="shared" si="471"/>
        <v>0</v>
      </c>
      <c r="T582" s="632">
        <f t="shared" si="472"/>
        <v>0</v>
      </c>
      <c r="U582" s="632">
        <f t="shared" si="472"/>
        <v>0</v>
      </c>
      <c r="V582" s="632">
        <f t="shared" si="472"/>
        <v>0</v>
      </c>
      <c r="W582" s="632">
        <f t="shared" si="472"/>
        <v>0</v>
      </c>
      <c r="X582" s="632">
        <f t="shared" si="472"/>
        <v>0</v>
      </c>
      <c r="Y582" s="632">
        <f t="shared" si="472"/>
        <v>0</v>
      </c>
      <c r="Z582" s="632">
        <f t="shared" si="472"/>
        <v>0</v>
      </c>
      <c r="AA582" s="632">
        <f t="shared" si="472"/>
        <v>0</v>
      </c>
      <c r="AB582" s="632">
        <f t="shared" si="472"/>
        <v>0</v>
      </c>
      <c r="AC582" s="632">
        <f t="shared" si="472"/>
        <v>0</v>
      </c>
      <c r="AD582" s="632">
        <f t="shared" si="472"/>
        <v>0</v>
      </c>
      <c r="AE582" s="632">
        <f t="shared" si="472"/>
        <v>0</v>
      </c>
      <c r="AF582" s="632">
        <f t="shared" si="472"/>
        <v>0</v>
      </c>
      <c r="AH582" s="587"/>
      <c r="AK582" s="588"/>
      <c r="AM582" s="624"/>
      <c r="AN582" s="590"/>
      <c r="AP582" s="591"/>
      <c r="AQ582" s="591"/>
    </row>
    <row r="583" spans="1:43" s="586" customFormat="1" ht="16.5" hidden="1" customHeight="1" outlineLevel="2">
      <c r="A583" s="584"/>
      <c r="B583" s="572" t="s">
        <v>1367</v>
      </c>
      <c r="C583" s="632">
        <v>0</v>
      </c>
      <c r="D583" s="632">
        <f t="shared" si="471"/>
        <v>0</v>
      </c>
      <c r="E583" s="632">
        <f t="shared" si="471"/>
        <v>0</v>
      </c>
      <c r="F583" s="632">
        <f t="shared" si="471"/>
        <v>0</v>
      </c>
      <c r="G583" s="632">
        <f t="shared" si="471"/>
        <v>0</v>
      </c>
      <c r="H583" s="632">
        <f t="shared" si="471"/>
        <v>0</v>
      </c>
      <c r="I583" s="632">
        <f t="shared" si="471"/>
        <v>0</v>
      </c>
      <c r="J583" s="632">
        <f t="shared" si="471"/>
        <v>0</v>
      </c>
      <c r="K583" s="632">
        <f t="shared" si="471"/>
        <v>0</v>
      </c>
      <c r="L583" s="632">
        <f t="shared" si="471"/>
        <v>0</v>
      </c>
      <c r="M583" s="632">
        <f t="shared" si="471"/>
        <v>0</v>
      </c>
      <c r="N583" s="632">
        <f t="shared" si="471"/>
        <v>0</v>
      </c>
      <c r="O583" s="632">
        <f t="shared" si="471"/>
        <v>0</v>
      </c>
      <c r="P583" s="632">
        <f t="shared" si="471"/>
        <v>0</v>
      </c>
      <c r="Q583" s="632">
        <f t="shared" si="471"/>
        <v>0</v>
      </c>
      <c r="R583" s="632">
        <f t="shared" si="471"/>
        <v>0</v>
      </c>
      <c r="S583" s="632">
        <f t="shared" si="471"/>
        <v>0</v>
      </c>
      <c r="T583" s="632">
        <f t="shared" si="472"/>
        <v>0</v>
      </c>
      <c r="U583" s="632">
        <f t="shared" si="472"/>
        <v>0</v>
      </c>
      <c r="V583" s="632">
        <f t="shared" si="472"/>
        <v>0</v>
      </c>
      <c r="W583" s="632">
        <f t="shared" si="472"/>
        <v>0</v>
      </c>
      <c r="X583" s="632">
        <f t="shared" si="472"/>
        <v>0</v>
      </c>
      <c r="Y583" s="632">
        <f t="shared" si="472"/>
        <v>0</v>
      </c>
      <c r="Z583" s="632">
        <f t="shared" si="472"/>
        <v>0</v>
      </c>
      <c r="AA583" s="632">
        <f t="shared" si="472"/>
        <v>0</v>
      </c>
      <c r="AB583" s="632">
        <f t="shared" si="472"/>
        <v>0</v>
      </c>
      <c r="AC583" s="632">
        <f t="shared" si="472"/>
        <v>0</v>
      </c>
      <c r="AD583" s="632">
        <f t="shared" si="472"/>
        <v>0</v>
      </c>
      <c r="AE583" s="632">
        <f t="shared" si="472"/>
        <v>0</v>
      </c>
      <c r="AF583" s="632">
        <f t="shared" si="472"/>
        <v>0</v>
      </c>
      <c r="AH583" s="587"/>
      <c r="AK583" s="588"/>
      <c r="AM583" s="624"/>
      <c r="AN583" s="590"/>
      <c r="AP583" s="591"/>
      <c r="AQ583" s="591"/>
    </row>
    <row r="584" spans="1:43" s="634" customFormat="1" ht="16.5" hidden="1" customHeight="1" outlineLevel="2">
      <c r="A584" s="584"/>
      <c r="B584" s="580" t="s">
        <v>931</v>
      </c>
      <c r="C584" s="583">
        <f>C585*(C586+C588+C589+C590)</f>
        <v>4980.8</v>
      </c>
      <c r="D584" s="583">
        <f t="shared" ref="D584:AF584" si="473">D585*(D586+D588+D589+D590)</f>
        <v>4980.8</v>
      </c>
      <c r="E584" s="583">
        <f t="shared" si="473"/>
        <v>4980.8</v>
      </c>
      <c r="F584" s="583">
        <f t="shared" si="473"/>
        <v>4980.8</v>
      </c>
      <c r="G584" s="583">
        <f t="shared" si="473"/>
        <v>4980.8</v>
      </c>
      <c r="H584" s="583">
        <f t="shared" si="473"/>
        <v>4980.8</v>
      </c>
      <c r="I584" s="583">
        <f t="shared" si="473"/>
        <v>4980.8</v>
      </c>
      <c r="J584" s="583">
        <f t="shared" si="473"/>
        <v>4980.8</v>
      </c>
      <c r="K584" s="583">
        <f t="shared" si="473"/>
        <v>4980.8</v>
      </c>
      <c r="L584" s="583">
        <f t="shared" si="473"/>
        <v>4980.8</v>
      </c>
      <c r="M584" s="583">
        <f t="shared" si="473"/>
        <v>4980.8</v>
      </c>
      <c r="N584" s="583">
        <f t="shared" si="473"/>
        <v>4980.8</v>
      </c>
      <c r="O584" s="583">
        <f t="shared" si="473"/>
        <v>4980.8</v>
      </c>
      <c r="P584" s="583">
        <f t="shared" si="473"/>
        <v>4980.8</v>
      </c>
      <c r="Q584" s="583">
        <f t="shared" si="473"/>
        <v>4980.8</v>
      </c>
      <c r="R584" s="583">
        <f t="shared" si="473"/>
        <v>4980.8</v>
      </c>
      <c r="S584" s="583">
        <f t="shared" si="473"/>
        <v>4980.8</v>
      </c>
      <c r="T584" s="583">
        <f t="shared" si="473"/>
        <v>4980.8</v>
      </c>
      <c r="U584" s="583">
        <f t="shared" si="473"/>
        <v>4980.8</v>
      </c>
      <c r="V584" s="583">
        <f t="shared" si="473"/>
        <v>4980.8</v>
      </c>
      <c r="W584" s="583">
        <f t="shared" si="473"/>
        <v>4980.8</v>
      </c>
      <c r="X584" s="583">
        <f t="shared" si="473"/>
        <v>4980.8</v>
      </c>
      <c r="Y584" s="583">
        <f t="shared" si="473"/>
        <v>4980.8</v>
      </c>
      <c r="Z584" s="583">
        <f t="shared" si="473"/>
        <v>4980.8</v>
      </c>
      <c r="AA584" s="583">
        <f t="shared" si="473"/>
        <v>4980.8</v>
      </c>
      <c r="AB584" s="583">
        <f t="shared" si="473"/>
        <v>4980.8</v>
      </c>
      <c r="AC584" s="583">
        <f t="shared" si="473"/>
        <v>4980.8</v>
      </c>
      <c r="AD584" s="583">
        <f t="shared" si="473"/>
        <v>4980.8</v>
      </c>
      <c r="AE584" s="583">
        <f t="shared" si="473"/>
        <v>4980.8</v>
      </c>
      <c r="AF584" s="583">
        <f t="shared" si="473"/>
        <v>4980.8</v>
      </c>
      <c r="AH584" s="635"/>
      <c r="AK584" s="588"/>
      <c r="AM584" s="624"/>
      <c r="AN584" s="590"/>
      <c r="AP584" s="636"/>
      <c r="AQ584" s="636"/>
    </row>
    <row r="585" spans="1:43" s="586" customFormat="1" ht="16.5" hidden="1" customHeight="1" outlineLevel="2">
      <c r="A585" s="584"/>
      <c r="B585" s="585" t="s">
        <v>805</v>
      </c>
      <c r="C585" s="716">
        <v>2</v>
      </c>
      <c r="D585" s="716">
        <f>C585</f>
        <v>2</v>
      </c>
      <c r="E585" s="716">
        <f t="shared" ref="E585:AF585" si="474">D585</f>
        <v>2</v>
      </c>
      <c r="F585" s="716">
        <f t="shared" si="474"/>
        <v>2</v>
      </c>
      <c r="G585" s="716">
        <f t="shared" si="474"/>
        <v>2</v>
      </c>
      <c r="H585" s="716">
        <f t="shared" si="474"/>
        <v>2</v>
      </c>
      <c r="I585" s="716">
        <f t="shared" si="474"/>
        <v>2</v>
      </c>
      <c r="J585" s="716">
        <f t="shared" si="474"/>
        <v>2</v>
      </c>
      <c r="K585" s="716">
        <f t="shared" si="474"/>
        <v>2</v>
      </c>
      <c r="L585" s="716">
        <f t="shared" si="474"/>
        <v>2</v>
      </c>
      <c r="M585" s="716">
        <f t="shared" si="474"/>
        <v>2</v>
      </c>
      <c r="N585" s="716">
        <f t="shared" si="474"/>
        <v>2</v>
      </c>
      <c r="O585" s="716">
        <f t="shared" si="474"/>
        <v>2</v>
      </c>
      <c r="P585" s="716">
        <f t="shared" si="474"/>
        <v>2</v>
      </c>
      <c r="Q585" s="716">
        <f t="shared" si="474"/>
        <v>2</v>
      </c>
      <c r="R585" s="716">
        <f t="shared" si="474"/>
        <v>2</v>
      </c>
      <c r="S585" s="716">
        <f t="shared" si="474"/>
        <v>2</v>
      </c>
      <c r="T585" s="716">
        <f t="shared" si="474"/>
        <v>2</v>
      </c>
      <c r="U585" s="716">
        <f t="shared" si="474"/>
        <v>2</v>
      </c>
      <c r="V585" s="716">
        <f t="shared" si="474"/>
        <v>2</v>
      </c>
      <c r="W585" s="716">
        <f t="shared" si="474"/>
        <v>2</v>
      </c>
      <c r="X585" s="716">
        <f t="shared" si="474"/>
        <v>2</v>
      </c>
      <c r="Y585" s="716">
        <f t="shared" si="474"/>
        <v>2</v>
      </c>
      <c r="Z585" s="716">
        <f t="shared" si="474"/>
        <v>2</v>
      </c>
      <c r="AA585" s="716">
        <f t="shared" si="474"/>
        <v>2</v>
      </c>
      <c r="AB585" s="716">
        <f t="shared" si="474"/>
        <v>2</v>
      </c>
      <c r="AC585" s="716">
        <f t="shared" si="474"/>
        <v>2</v>
      </c>
      <c r="AD585" s="716">
        <f t="shared" si="474"/>
        <v>2</v>
      </c>
      <c r="AE585" s="716">
        <f t="shared" si="474"/>
        <v>2</v>
      </c>
      <c r="AF585" s="716">
        <f t="shared" si="474"/>
        <v>2</v>
      </c>
      <c r="AH585" s="587"/>
      <c r="AK585" s="588"/>
      <c r="AM585" s="624"/>
      <c r="AN585" s="590"/>
      <c r="AP585" s="591"/>
      <c r="AQ585" s="591"/>
    </row>
    <row r="586" spans="1:43" s="586" customFormat="1" ht="16.5" hidden="1" customHeight="1" outlineLevel="2">
      <c r="A586" s="584"/>
      <c r="B586" s="585" t="s">
        <v>928</v>
      </c>
      <c r="C586" s="574">
        <f>'Sal._benef.'!$D$19</f>
        <v>1842</v>
      </c>
      <c r="D586" s="632">
        <f t="shared" ref="D586:S590" si="475">C586</f>
        <v>1842</v>
      </c>
      <c r="E586" s="632">
        <f t="shared" si="475"/>
        <v>1842</v>
      </c>
      <c r="F586" s="632">
        <f t="shared" si="475"/>
        <v>1842</v>
      </c>
      <c r="G586" s="632">
        <f t="shared" si="475"/>
        <v>1842</v>
      </c>
      <c r="H586" s="632">
        <f t="shared" si="475"/>
        <v>1842</v>
      </c>
      <c r="I586" s="632">
        <f t="shared" si="475"/>
        <v>1842</v>
      </c>
      <c r="J586" s="632">
        <f t="shared" si="475"/>
        <v>1842</v>
      </c>
      <c r="K586" s="632">
        <f t="shared" si="475"/>
        <v>1842</v>
      </c>
      <c r="L586" s="632">
        <f t="shared" si="475"/>
        <v>1842</v>
      </c>
      <c r="M586" s="632">
        <f t="shared" si="475"/>
        <v>1842</v>
      </c>
      <c r="N586" s="632">
        <f t="shared" si="475"/>
        <v>1842</v>
      </c>
      <c r="O586" s="632">
        <f t="shared" si="475"/>
        <v>1842</v>
      </c>
      <c r="P586" s="632">
        <f t="shared" si="475"/>
        <v>1842</v>
      </c>
      <c r="Q586" s="632">
        <f t="shared" si="475"/>
        <v>1842</v>
      </c>
      <c r="R586" s="632">
        <f t="shared" si="475"/>
        <v>1842</v>
      </c>
      <c r="S586" s="632">
        <f t="shared" si="475"/>
        <v>1842</v>
      </c>
      <c r="T586" s="632">
        <f t="shared" ref="T586:AF590" si="476">S586</f>
        <v>1842</v>
      </c>
      <c r="U586" s="632">
        <f t="shared" si="476"/>
        <v>1842</v>
      </c>
      <c r="V586" s="632">
        <f t="shared" si="476"/>
        <v>1842</v>
      </c>
      <c r="W586" s="632">
        <f t="shared" si="476"/>
        <v>1842</v>
      </c>
      <c r="X586" s="632">
        <f t="shared" si="476"/>
        <v>1842</v>
      </c>
      <c r="Y586" s="632">
        <f t="shared" si="476"/>
        <v>1842</v>
      </c>
      <c r="Z586" s="632">
        <f t="shared" si="476"/>
        <v>1842</v>
      </c>
      <c r="AA586" s="632">
        <f t="shared" si="476"/>
        <v>1842</v>
      </c>
      <c r="AB586" s="632">
        <f t="shared" si="476"/>
        <v>1842</v>
      </c>
      <c r="AC586" s="632">
        <f t="shared" si="476"/>
        <v>1842</v>
      </c>
      <c r="AD586" s="632">
        <f t="shared" si="476"/>
        <v>1842</v>
      </c>
      <c r="AE586" s="632">
        <f t="shared" si="476"/>
        <v>1842</v>
      </c>
      <c r="AF586" s="632">
        <f t="shared" si="476"/>
        <v>1842</v>
      </c>
      <c r="AH586" s="587"/>
      <c r="AK586" s="588"/>
      <c r="AM586" s="624"/>
      <c r="AN586" s="590"/>
      <c r="AP586" s="591"/>
      <c r="AQ586" s="591"/>
    </row>
    <row r="587" spans="1:43" s="586" customFormat="1" ht="16.5" hidden="1" customHeight="1" outlineLevel="2">
      <c r="A587" s="584"/>
      <c r="B587" s="585" t="s">
        <v>929</v>
      </c>
      <c r="C587" s="632">
        <f>'Sal._benef.'!$F$10</f>
        <v>1621</v>
      </c>
      <c r="D587" s="632">
        <f t="shared" si="475"/>
        <v>1621</v>
      </c>
      <c r="E587" s="632">
        <f t="shared" si="475"/>
        <v>1621</v>
      </c>
      <c r="F587" s="632">
        <f t="shared" si="475"/>
        <v>1621</v>
      </c>
      <c r="G587" s="632">
        <f t="shared" si="475"/>
        <v>1621</v>
      </c>
      <c r="H587" s="632">
        <f t="shared" si="475"/>
        <v>1621</v>
      </c>
      <c r="I587" s="632">
        <f t="shared" si="475"/>
        <v>1621</v>
      </c>
      <c r="J587" s="632">
        <f t="shared" si="475"/>
        <v>1621</v>
      </c>
      <c r="K587" s="632">
        <f t="shared" si="475"/>
        <v>1621</v>
      </c>
      <c r="L587" s="632">
        <f t="shared" si="475"/>
        <v>1621</v>
      </c>
      <c r="M587" s="632">
        <f t="shared" si="475"/>
        <v>1621</v>
      </c>
      <c r="N587" s="632">
        <f t="shared" si="475"/>
        <v>1621</v>
      </c>
      <c r="O587" s="632">
        <f t="shared" si="475"/>
        <v>1621</v>
      </c>
      <c r="P587" s="632">
        <f t="shared" si="475"/>
        <v>1621</v>
      </c>
      <c r="Q587" s="632">
        <f t="shared" si="475"/>
        <v>1621</v>
      </c>
      <c r="R587" s="632">
        <f t="shared" si="475"/>
        <v>1621</v>
      </c>
      <c r="S587" s="632">
        <f t="shared" si="475"/>
        <v>1621</v>
      </c>
      <c r="T587" s="632">
        <f t="shared" si="476"/>
        <v>1621</v>
      </c>
      <c r="U587" s="632">
        <f t="shared" si="476"/>
        <v>1621</v>
      </c>
      <c r="V587" s="632">
        <f t="shared" si="476"/>
        <v>1621</v>
      </c>
      <c r="W587" s="632">
        <f t="shared" si="476"/>
        <v>1621</v>
      </c>
      <c r="X587" s="632">
        <f t="shared" si="476"/>
        <v>1621</v>
      </c>
      <c r="Y587" s="632">
        <f t="shared" si="476"/>
        <v>1621</v>
      </c>
      <c r="Z587" s="632">
        <f t="shared" si="476"/>
        <v>1621</v>
      </c>
      <c r="AA587" s="632">
        <f t="shared" si="476"/>
        <v>1621</v>
      </c>
      <c r="AB587" s="632">
        <f t="shared" si="476"/>
        <v>1621</v>
      </c>
      <c r="AC587" s="632">
        <f t="shared" si="476"/>
        <v>1621</v>
      </c>
      <c r="AD587" s="632">
        <f t="shared" si="476"/>
        <v>1621</v>
      </c>
      <c r="AE587" s="632">
        <f t="shared" si="476"/>
        <v>1621</v>
      </c>
      <c r="AF587" s="632">
        <f t="shared" si="476"/>
        <v>1621</v>
      </c>
      <c r="AH587" s="587"/>
      <c r="AK587" s="588"/>
      <c r="AM587" s="624"/>
      <c r="AN587" s="590"/>
      <c r="AP587" s="591"/>
      <c r="AQ587" s="591"/>
    </row>
    <row r="588" spans="1:43" s="586" customFormat="1" ht="16.5" hidden="1" customHeight="1" outlineLevel="2">
      <c r="A588" s="584"/>
      <c r="B588" s="585" t="s">
        <v>1487</v>
      </c>
      <c r="C588" s="574">
        <f>'Sal._benef.'!$F$19*'Sal._benef.'!$F$10</f>
        <v>648.40000000000009</v>
      </c>
      <c r="D588" s="632">
        <f t="shared" si="475"/>
        <v>648.40000000000009</v>
      </c>
      <c r="E588" s="632">
        <f t="shared" si="475"/>
        <v>648.40000000000009</v>
      </c>
      <c r="F588" s="632">
        <f t="shared" si="475"/>
        <v>648.40000000000009</v>
      </c>
      <c r="G588" s="632">
        <f t="shared" si="475"/>
        <v>648.40000000000009</v>
      </c>
      <c r="H588" s="632">
        <f t="shared" si="475"/>
        <v>648.40000000000009</v>
      </c>
      <c r="I588" s="632">
        <f t="shared" si="475"/>
        <v>648.40000000000009</v>
      </c>
      <c r="J588" s="632">
        <f t="shared" si="475"/>
        <v>648.40000000000009</v>
      </c>
      <c r="K588" s="632">
        <f t="shared" si="475"/>
        <v>648.40000000000009</v>
      </c>
      <c r="L588" s="632">
        <f t="shared" si="475"/>
        <v>648.40000000000009</v>
      </c>
      <c r="M588" s="632">
        <f t="shared" si="475"/>
        <v>648.40000000000009</v>
      </c>
      <c r="N588" s="632">
        <f t="shared" si="475"/>
        <v>648.40000000000009</v>
      </c>
      <c r="O588" s="632">
        <f t="shared" si="475"/>
        <v>648.40000000000009</v>
      </c>
      <c r="P588" s="632">
        <f t="shared" si="475"/>
        <v>648.40000000000009</v>
      </c>
      <c r="Q588" s="632">
        <f t="shared" si="475"/>
        <v>648.40000000000009</v>
      </c>
      <c r="R588" s="632">
        <f t="shared" si="475"/>
        <v>648.40000000000009</v>
      </c>
      <c r="S588" s="632">
        <f t="shared" si="475"/>
        <v>648.40000000000009</v>
      </c>
      <c r="T588" s="632">
        <f t="shared" si="476"/>
        <v>648.40000000000009</v>
      </c>
      <c r="U588" s="632">
        <f t="shared" si="476"/>
        <v>648.40000000000009</v>
      </c>
      <c r="V588" s="632">
        <f t="shared" si="476"/>
        <v>648.40000000000009</v>
      </c>
      <c r="W588" s="632">
        <f t="shared" si="476"/>
        <v>648.40000000000009</v>
      </c>
      <c r="X588" s="632">
        <f t="shared" si="476"/>
        <v>648.40000000000009</v>
      </c>
      <c r="Y588" s="632">
        <f t="shared" si="476"/>
        <v>648.40000000000009</v>
      </c>
      <c r="Z588" s="632">
        <f t="shared" si="476"/>
        <v>648.40000000000009</v>
      </c>
      <c r="AA588" s="632">
        <f t="shared" si="476"/>
        <v>648.40000000000009</v>
      </c>
      <c r="AB588" s="632">
        <f t="shared" si="476"/>
        <v>648.40000000000009</v>
      </c>
      <c r="AC588" s="632">
        <f t="shared" si="476"/>
        <v>648.40000000000009</v>
      </c>
      <c r="AD588" s="632">
        <f t="shared" si="476"/>
        <v>648.40000000000009</v>
      </c>
      <c r="AE588" s="632">
        <f t="shared" si="476"/>
        <v>648.40000000000009</v>
      </c>
      <c r="AF588" s="632">
        <f t="shared" si="476"/>
        <v>648.40000000000009</v>
      </c>
      <c r="AH588" s="587"/>
      <c r="AK588" s="588"/>
      <c r="AM588" s="624"/>
      <c r="AN588" s="590"/>
      <c r="AP588" s="591"/>
      <c r="AQ588" s="591"/>
    </row>
    <row r="589" spans="1:43" s="586" customFormat="1" ht="16.5" hidden="1" customHeight="1" outlineLevel="2">
      <c r="A589" s="584"/>
      <c r="B589" s="585" t="s">
        <v>1486</v>
      </c>
      <c r="C589" s="632">
        <v>0</v>
      </c>
      <c r="D589" s="632">
        <f t="shared" si="475"/>
        <v>0</v>
      </c>
      <c r="E589" s="632">
        <f t="shared" si="475"/>
        <v>0</v>
      </c>
      <c r="F589" s="632">
        <f t="shared" si="475"/>
        <v>0</v>
      </c>
      <c r="G589" s="632">
        <f t="shared" si="475"/>
        <v>0</v>
      </c>
      <c r="H589" s="632">
        <f t="shared" si="475"/>
        <v>0</v>
      </c>
      <c r="I589" s="632">
        <f t="shared" si="475"/>
        <v>0</v>
      </c>
      <c r="J589" s="632">
        <f t="shared" si="475"/>
        <v>0</v>
      </c>
      <c r="K589" s="632">
        <f t="shared" si="475"/>
        <v>0</v>
      </c>
      <c r="L589" s="632">
        <f t="shared" si="475"/>
        <v>0</v>
      </c>
      <c r="M589" s="632">
        <f t="shared" si="475"/>
        <v>0</v>
      </c>
      <c r="N589" s="632">
        <f t="shared" si="475"/>
        <v>0</v>
      </c>
      <c r="O589" s="632">
        <f t="shared" si="475"/>
        <v>0</v>
      </c>
      <c r="P589" s="632">
        <f t="shared" si="475"/>
        <v>0</v>
      </c>
      <c r="Q589" s="632">
        <f t="shared" si="475"/>
        <v>0</v>
      </c>
      <c r="R589" s="632">
        <f t="shared" si="475"/>
        <v>0</v>
      </c>
      <c r="S589" s="632">
        <f t="shared" si="475"/>
        <v>0</v>
      </c>
      <c r="T589" s="632">
        <f t="shared" si="476"/>
        <v>0</v>
      </c>
      <c r="U589" s="632">
        <f t="shared" si="476"/>
        <v>0</v>
      </c>
      <c r="V589" s="632">
        <f t="shared" si="476"/>
        <v>0</v>
      </c>
      <c r="W589" s="632">
        <f t="shared" si="476"/>
        <v>0</v>
      </c>
      <c r="X589" s="632">
        <f t="shared" si="476"/>
        <v>0</v>
      </c>
      <c r="Y589" s="632">
        <f t="shared" si="476"/>
        <v>0</v>
      </c>
      <c r="Z589" s="632">
        <f t="shared" si="476"/>
        <v>0</v>
      </c>
      <c r="AA589" s="632">
        <f t="shared" si="476"/>
        <v>0</v>
      </c>
      <c r="AB589" s="632">
        <f t="shared" si="476"/>
        <v>0</v>
      </c>
      <c r="AC589" s="632">
        <f t="shared" si="476"/>
        <v>0</v>
      </c>
      <c r="AD589" s="632">
        <f t="shared" si="476"/>
        <v>0</v>
      </c>
      <c r="AE589" s="632">
        <f t="shared" si="476"/>
        <v>0</v>
      </c>
      <c r="AF589" s="632">
        <f t="shared" si="476"/>
        <v>0</v>
      </c>
      <c r="AH589" s="587"/>
      <c r="AK589" s="588"/>
      <c r="AM589" s="624"/>
      <c r="AN589" s="590"/>
      <c r="AP589" s="591"/>
      <c r="AQ589" s="591"/>
    </row>
    <row r="590" spans="1:43" s="586" customFormat="1" ht="16.5" hidden="1" customHeight="1" outlineLevel="2">
      <c r="A590" s="584"/>
      <c r="B590" s="572" t="s">
        <v>1367</v>
      </c>
      <c r="C590" s="632">
        <v>0</v>
      </c>
      <c r="D590" s="632">
        <f t="shared" si="475"/>
        <v>0</v>
      </c>
      <c r="E590" s="632">
        <f t="shared" si="475"/>
        <v>0</v>
      </c>
      <c r="F590" s="632">
        <f t="shared" si="475"/>
        <v>0</v>
      </c>
      <c r="G590" s="632">
        <f t="shared" si="475"/>
        <v>0</v>
      </c>
      <c r="H590" s="632">
        <f t="shared" si="475"/>
        <v>0</v>
      </c>
      <c r="I590" s="632">
        <f t="shared" si="475"/>
        <v>0</v>
      </c>
      <c r="J590" s="632">
        <f t="shared" si="475"/>
        <v>0</v>
      </c>
      <c r="K590" s="632">
        <f t="shared" si="475"/>
        <v>0</v>
      </c>
      <c r="L590" s="632">
        <f t="shared" si="475"/>
        <v>0</v>
      </c>
      <c r="M590" s="632">
        <f t="shared" si="475"/>
        <v>0</v>
      </c>
      <c r="N590" s="632">
        <f t="shared" si="475"/>
        <v>0</v>
      </c>
      <c r="O590" s="632">
        <f t="shared" si="475"/>
        <v>0</v>
      </c>
      <c r="P590" s="632">
        <f t="shared" si="475"/>
        <v>0</v>
      </c>
      <c r="Q590" s="632">
        <f t="shared" si="475"/>
        <v>0</v>
      </c>
      <c r="R590" s="632">
        <f t="shared" si="475"/>
        <v>0</v>
      </c>
      <c r="S590" s="632">
        <f t="shared" si="475"/>
        <v>0</v>
      </c>
      <c r="T590" s="632">
        <f t="shared" si="476"/>
        <v>0</v>
      </c>
      <c r="U590" s="632">
        <f t="shared" si="476"/>
        <v>0</v>
      </c>
      <c r="V590" s="632">
        <f t="shared" si="476"/>
        <v>0</v>
      </c>
      <c r="W590" s="632">
        <f t="shared" si="476"/>
        <v>0</v>
      </c>
      <c r="X590" s="632">
        <f t="shared" si="476"/>
        <v>0</v>
      </c>
      <c r="Y590" s="632">
        <f t="shared" si="476"/>
        <v>0</v>
      </c>
      <c r="Z590" s="632">
        <f t="shared" si="476"/>
        <v>0</v>
      </c>
      <c r="AA590" s="632">
        <f t="shared" si="476"/>
        <v>0</v>
      </c>
      <c r="AB590" s="632">
        <f t="shared" si="476"/>
        <v>0</v>
      </c>
      <c r="AC590" s="632">
        <f t="shared" si="476"/>
        <v>0</v>
      </c>
      <c r="AD590" s="632">
        <f t="shared" si="476"/>
        <v>0</v>
      </c>
      <c r="AE590" s="632">
        <f t="shared" si="476"/>
        <v>0</v>
      </c>
      <c r="AF590" s="632">
        <f t="shared" si="476"/>
        <v>0</v>
      </c>
      <c r="AH590" s="587"/>
      <c r="AK590" s="588"/>
      <c r="AM590" s="624"/>
      <c r="AN590" s="590"/>
      <c r="AP590" s="591"/>
      <c r="AQ590" s="591"/>
    </row>
    <row r="591" spans="1:43" ht="3" hidden="1" customHeight="1" outlineLevel="2">
      <c r="A591" s="584"/>
      <c r="B591" s="609"/>
      <c r="C591" s="611"/>
      <c r="D591" s="611"/>
      <c r="E591" s="610"/>
      <c r="F591" s="610"/>
      <c r="G591" s="610"/>
      <c r="H591" s="610"/>
      <c r="I591" s="610"/>
      <c r="J591" s="610"/>
      <c r="K591" s="610"/>
      <c r="L591" s="610"/>
      <c r="M591" s="610"/>
      <c r="N591" s="610"/>
      <c r="O591" s="610"/>
      <c r="P591" s="610"/>
      <c r="Q591" s="610"/>
      <c r="R591" s="610"/>
      <c r="S591" s="610"/>
      <c r="T591" s="610"/>
      <c r="U591" s="610"/>
      <c r="V591" s="610"/>
      <c r="W591" s="610"/>
      <c r="X591" s="610"/>
      <c r="Y591" s="610"/>
      <c r="Z591" s="610"/>
      <c r="AA591" s="610"/>
      <c r="AB591" s="610"/>
      <c r="AC591" s="610"/>
      <c r="AD591" s="610"/>
      <c r="AE591" s="610"/>
      <c r="AF591" s="610"/>
      <c r="AH591" s="593"/>
      <c r="AK591" s="531"/>
      <c r="AM591" s="594"/>
      <c r="AN591" s="535"/>
      <c r="AP591" s="535"/>
      <c r="AQ591" s="535"/>
    </row>
    <row r="592" spans="1:43" s="564" customFormat="1" ht="16.5" hidden="1" customHeight="1" outlineLevel="1" collapsed="1">
      <c r="A592" s="584"/>
      <c r="B592" s="576" t="s">
        <v>936</v>
      </c>
      <c r="C592" s="577">
        <f>C593</f>
        <v>91.280937120000004</v>
      </c>
      <c r="D592" s="577">
        <f t="shared" ref="D592:AF592" si="477">D593</f>
        <v>91.280937120000004</v>
      </c>
      <c r="E592" s="577">
        <f t="shared" si="477"/>
        <v>91.280937120000004</v>
      </c>
      <c r="F592" s="577">
        <f t="shared" si="477"/>
        <v>91.280937120000004</v>
      </c>
      <c r="G592" s="577">
        <f t="shared" si="477"/>
        <v>91.280937120000004</v>
      </c>
      <c r="H592" s="577">
        <f t="shared" si="477"/>
        <v>91.280937120000004</v>
      </c>
      <c r="I592" s="577">
        <f t="shared" si="477"/>
        <v>91.280937120000004</v>
      </c>
      <c r="J592" s="577">
        <f t="shared" si="477"/>
        <v>91.280937120000004</v>
      </c>
      <c r="K592" s="577">
        <f t="shared" si="477"/>
        <v>91.280937120000004</v>
      </c>
      <c r="L592" s="577">
        <f t="shared" si="477"/>
        <v>91.280937120000004</v>
      </c>
      <c r="M592" s="577">
        <f t="shared" si="477"/>
        <v>91.280937120000004</v>
      </c>
      <c r="N592" s="577">
        <f t="shared" si="477"/>
        <v>91.280937120000004</v>
      </c>
      <c r="O592" s="577">
        <f t="shared" si="477"/>
        <v>91.280937120000004</v>
      </c>
      <c r="P592" s="577">
        <f t="shared" si="477"/>
        <v>91.280937120000004</v>
      </c>
      <c r="Q592" s="577">
        <f t="shared" si="477"/>
        <v>91.280937120000004</v>
      </c>
      <c r="R592" s="577">
        <f t="shared" si="477"/>
        <v>91.280937120000004</v>
      </c>
      <c r="S592" s="577">
        <f t="shared" si="477"/>
        <v>91.280937120000004</v>
      </c>
      <c r="T592" s="577">
        <f t="shared" si="477"/>
        <v>91.280937120000004</v>
      </c>
      <c r="U592" s="577">
        <f t="shared" si="477"/>
        <v>91.280937120000004</v>
      </c>
      <c r="V592" s="577">
        <f t="shared" si="477"/>
        <v>91.280937120000004</v>
      </c>
      <c r="W592" s="577">
        <f t="shared" si="477"/>
        <v>91.280937120000004</v>
      </c>
      <c r="X592" s="577">
        <f t="shared" si="477"/>
        <v>91.280937120000004</v>
      </c>
      <c r="Y592" s="577">
        <f t="shared" si="477"/>
        <v>91.280937120000004</v>
      </c>
      <c r="Z592" s="577">
        <f t="shared" si="477"/>
        <v>91.280937120000004</v>
      </c>
      <c r="AA592" s="577">
        <f t="shared" si="477"/>
        <v>91.280937120000004</v>
      </c>
      <c r="AB592" s="577">
        <f t="shared" si="477"/>
        <v>91.280937120000004</v>
      </c>
      <c r="AC592" s="577">
        <f t="shared" si="477"/>
        <v>91.280937120000004</v>
      </c>
      <c r="AD592" s="577">
        <f t="shared" si="477"/>
        <v>91.280937120000004</v>
      </c>
      <c r="AE592" s="577">
        <f t="shared" si="477"/>
        <v>91.280937120000004</v>
      </c>
      <c r="AF592" s="577">
        <f t="shared" si="477"/>
        <v>91.280937120000004</v>
      </c>
      <c r="AH592" s="578">
        <f>SUM(C592:AF592)</f>
        <v>2738.4281136000013</v>
      </c>
      <c r="AJ592" s="579"/>
      <c r="AK592" s="531"/>
      <c r="AM592" s="594"/>
      <c r="AN592" s="535"/>
      <c r="AP592" s="568"/>
      <c r="AQ592" s="568"/>
    </row>
    <row r="593" spans="1:43" s="546" customFormat="1" ht="16.5" hidden="1" customHeight="1" outlineLevel="2">
      <c r="A593" s="584"/>
      <c r="B593" s="569" t="s">
        <v>937</v>
      </c>
      <c r="C593" s="570">
        <f t="shared" ref="C593:AF593" si="478">C576*C594</f>
        <v>91.280937120000004</v>
      </c>
      <c r="D593" s="570">
        <f t="shared" si="478"/>
        <v>91.280937120000004</v>
      </c>
      <c r="E593" s="570">
        <f t="shared" si="478"/>
        <v>91.280937120000004</v>
      </c>
      <c r="F593" s="570">
        <f t="shared" si="478"/>
        <v>91.280937120000004</v>
      </c>
      <c r="G593" s="570">
        <f t="shared" si="478"/>
        <v>91.280937120000004</v>
      </c>
      <c r="H593" s="570">
        <f t="shared" si="478"/>
        <v>91.280937120000004</v>
      </c>
      <c r="I593" s="570">
        <f t="shared" si="478"/>
        <v>91.280937120000004</v>
      </c>
      <c r="J593" s="570">
        <f t="shared" si="478"/>
        <v>91.280937120000004</v>
      </c>
      <c r="K593" s="570">
        <f t="shared" si="478"/>
        <v>91.280937120000004</v>
      </c>
      <c r="L593" s="570">
        <f t="shared" si="478"/>
        <v>91.280937120000004</v>
      </c>
      <c r="M593" s="570">
        <f t="shared" si="478"/>
        <v>91.280937120000004</v>
      </c>
      <c r="N593" s="570">
        <f t="shared" si="478"/>
        <v>91.280937120000004</v>
      </c>
      <c r="O593" s="570">
        <f t="shared" si="478"/>
        <v>91.280937120000004</v>
      </c>
      <c r="P593" s="570">
        <f t="shared" si="478"/>
        <v>91.280937120000004</v>
      </c>
      <c r="Q593" s="570">
        <f t="shared" si="478"/>
        <v>91.280937120000004</v>
      </c>
      <c r="R593" s="570">
        <f t="shared" si="478"/>
        <v>91.280937120000004</v>
      </c>
      <c r="S593" s="570">
        <f t="shared" si="478"/>
        <v>91.280937120000004</v>
      </c>
      <c r="T593" s="570">
        <f t="shared" si="478"/>
        <v>91.280937120000004</v>
      </c>
      <c r="U593" s="570">
        <f t="shared" si="478"/>
        <v>91.280937120000004</v>
      </c>
      <c r="V593" s="570">
        <f t="shared" si="478"/>
        <v>91.280937120000004</v>
      </c>
      <c r="W593" s="570">
        <f t="shared" si="478"/>
        <v>91.280937120000004</v>
      </c>
      <c r="X593" s="570">
        <f t="shared" si="478"/>
        <v>91.280937120000004</v>
      </c>
      <c r="Y593" s="570">
        <f t="shared" si="478"/>
        <v>91.280937120000004</v>
      </c>
      <c r="Z593" s="570">
        <f t="shared" si="478"/>
        <v>91.280937120000004</v>
      </c>
      <c r="AA593" s="570">
        <f t="shared" si="478"/>
        <v>91.280937120000004</v>
      </c>
      <c r="AB593" s="570">
        <f t="shared" si="478"/>
        <v>91.280937120000004</v>
      </c>
      <c r="AC593" s="570">
        <f t="shared" si="478"/>
        <v>91.280937120000004</v>
      </c>
      <c r="AD593" s="570">
        <f t="shared" si="478"/>
        <v>91.280937120000004</v>
      </c>
      <c r="AE593" s="570">
        <f t="shared" si="478"/>
        <v>91.280937120000004</v>
      </c>
      <c r="AF593" s="570">
        <f t="shared" si="478"/>
        <v>91.280937120000004</v>
      </c>
      <c r="AH593" s="571"/>
      <c r="AK593" s="531"/>
      <c r="AM593" s="594"/>
      <c r="AN593" s="535"/>
      <c r="AP593" s="549"/>
      <c r="AQ593" s="549"/>
    </row>
    <row r="594" spans="1:43" s="513" customFormat="1" ht="16.5" hidden="1" customHeight="1" outlineLevel="2">
      <c r="A594" s="584"/>
      <c r="B594" s="572" t="s">
        <v>938</v>
      </c>
      <c r="C594" s="378">
        <f>'Sal._benef.'!$F$11</f>
        <v>0.71030000000000004</v>
      </c>
      <c r="D594" s="378">
        <f>C594</f>
        <v>0.71030000000000004</v>
      </c>
      <c r="E594" s="378">
        <f t="shared" ref="E594:AF594" si="479">D594</f>
        <v>0.71030000000000004</v>
      </c>
      <c r="F594" s="378">
        <f t="shared" si="479"/>
        <v>0.71030000000000004</v>
      </c>
      <c r="G594" s="378">
        <f t="shared" si="479"/>
        <v>0.71030000000000004</v>
      </c>
      <c r="H594" s="378">
        <f t="shared" si="479"/>
        <v>0.71030000000000004</v>
      </c>
      <c r="I594" s="378">
        <f t="shared" si="479"/>
        <v>0.71030000000000004</v>
      </c>
      <c r="J594" s="378">
        <f t="shared" si="479"/>
        <v>0.71030000000000004</v>
      </c>
      <c r="K594" s="378">
        <f t="shared" si="479"/>
        <v>0.71030000000000004</v>
      </c>
      <c r="L594" s="378">
        <f t="shared" si="479"/>
        <v>0.71030000000000004</v>
      </c>
      <c r="M594" s="378">
        <f t="shared" si="479"/>
        <v>0.71030000000000004</v>
      </c>
      <c r="N594" s="378">
        <f t="shared" si="479"/>
        <v>0.71030000000000004</v>
      </c>
      <c r="O594" s="378">
        <f t="shared" si="479"/>
        <v>0.71030000000000004</v>
      </c>
      <c r="P594" s="378">
        <f t="shared" si="479"/>
        <v>0.71030000000000004</v>
      </c>
      <c r="Q594" s="378">
        <f t="shared" si="479"/>
        <v>0.71030000000000004</v>
      </c>
      <c r="R594" s="378">
        <f t="shared" si="479"/>
        <v>0.71030000000000004</v>
      </c>
      <c r="S594" s="378">
        <f t="shared" si="479"/>
        <v>0.71030000000000004</v>
      </c>
      <c r="T594" s="378">
        <f t="shared" si="479"/>
        <v>0.71030000000000004</v>
      </c>
      <c r="U594" s="378">
        <f t="shared" si="479"/>
        <v>0.71030000000000004</v>
      </c>
      <c r="V594" s="378">
        <f t="shared" si="479"/>
        <v>0.71030000000000004</v>
      </c>
      <c r="W594" s="378">
        <f t="shared" si="479"/>
        <v>0.71030000000000004</v>
      </c>
      <c r="X594" s="378">
        <f t="shared" si="479"/>
        <v>0.71030000000000004</v>
      </c>
      <c r="Y594" s="378">
        <f t="shared" si="479"/>
        <v>0.71030000000000004</v>
      </c>
      <c r="Z594" s="378">
        <f t="shared" si="479"/>
        <v>0.71030000000000004</v>
      </c>
      <c r="AA594" s="378">
        <f t="shared" si="479"/>
        <v>0.71030000000000004</v>
      </c>
      <c r="AB594" s="378">
        <f t="shared" si="479"/>
        <v>0.71030000000000004</v>
      </c>
      <c r="AC594" s="378">
        <f t="shared" si="479"/>
        <v>0.71030000000000004</v>
      </c>
      <c r="AD594" s="378">
        <f t="shared" si="479"/>
        <v>0.71030000000000004</v>
      </c>
      <c r="AE594" s="378">
        <f t="shared" si="479"/>
        <v>0.71030000000000004</v>
      </c>
      <c r="AF594" s="378">
        <f t="shared" si="479"/>
        <v>0.71030000000000004</v>
      </c>
      <c r="AH594" s="538"/>
      <c r="AK594" s="531"/>
      <c r="AM594" s="594"/>
      <c r="AN594" s="535"/>
      <c r="AP594" s="540"/>
      <c r="AQ594" s="540"/>
    </row>
    <row r="595" spans="1:43" ht="3" hidden="1" customHeight="1" outlineLevel="2">
      <c r="A595" s="584"/>
      <c r="B595" s="609"/>
      <c r="C595" s="611"/>
      <c r="D595" s="611"/>
      <c r="E595" s="610"/>
      <c r="F595" s="610"/>
      <c r="G595" s="610"/>
      <c r="H595" s="610"/>
      <c r="I595" s="610"/>
      <c r="J595" s="610"/>
      <c r="K595" s="610"/>
      <c r="L595" s="610"/>
      <c r="M595" s="610"/>
      <c r="N595" s="610"/>
      <c r="O595" s="610"/>
      <c r="P595" s="610"/>
      <c r="Q595" s="610"/>
      <c r="R595" s="610"/>
      <c r="S595" s="610"/>
      <c r="T595" s="610"/>
      <c r="U595" s="610"/>
      <c r="V595" s="610"/>
      <c r="W595" s="610"/>
      <c r="X595" s="610"/>
      <c r="Y595" s="610"/>
      <c r="Z595" s="610"/>
      <c r="AA595" s="610"/>
      <c r="AB595" s="610"/>
      <c r="AC595" s="610"/>
      <c r="AD595" s="610"/>
      <c r="AE595" s="610"/>
      <c r="AF595" s="610"/>
      <c r="AH595" s="593"/>
      <c r="AK595" s="531"/>
      <c r="AM595" s="594"/>
      <c r="AN595" s="535"/>
      <c r="AP595" s="535"/>
      <c r="AQ595" s="535"/>
    </row>
    <row r="596" spans="1:43" s="564" customFormat="1" ht="16.5" hidden="1" customHeight="1" outlineLevel="1" collapsed="1">
      <c r="A596" s="584"/>
      <c r="B596" s="576" t="s">
        <v>939</v>
      </c>
      <c r="C596" s="599">
        <f>SUM(C597,C603)*12/10^3</f>
        <v>30.036960000000001</v>
      </c>
      <c r="D596" s="599">
        <f t="shared" ref="D596:AF596" si="480">SUM(D597,D603)*12/10^3</f>
        <v>30.036960000000001</v>
      </c>
      <c r="E596" s="599">
        <f t="shared" si="480"/>
        <v>30.036960000000001</v>
      </c>
      <c r="F596" s="599">
        <f t="shared" si="480"/>
        <v>30.036960000000001</v>
      </c>
      <c r="G596" s="599">
        <f t="shared" si="480"/>
        <v>30.036960000000001</v>
      </c>
      <c r="H596" s="599">
        <f t="shared" si="480"/>
        <v>30.036960000000001</v>
      </c>
      <c r="I596" s="599">
        <f t="shared" si="480"/>
        <v>30.036960000000001</v>
      </c>
      <c r="J596" s="599">
        <f t="shared" si="480"/>
        <v>30.036960000000001</v>
      </c>
      <c r="K596" s="599">
        <f t="shared" si="480"/>
        <v>30.036960000000001</v>
      </c>
      <c r="L596" s="599">
        <f t="shared" si="480"/>
        <v>30.036960000000001</v>
      </c>
      <c r="M596" s="599">
        <f t="shared" si="480"/>
        <v>30.036960000000001</v>
      </c>
      <c r="N596" s="599">
        <f t="shared" si="480"/>
        <v>30.036960000000001</v>
      </c>
      <c r="O596" s="599">
        <f t="shared" si="480"/>
        <v>30.036960000000001</v>
      </c>
      <c r="P596" s="599">
        <f t="shared" si="480"/>
        <v>30.036960000000001</v>
      </c>
      <c r="Q596" s="599">
        <f t="shared" si="480"/>
        <v>30.036960000000001</v>
      </c>
      <c r="R596" s="599">
        <f t="shared" si="480"/>
        <v>30.036960000000001</v>
      </c>
      <c r="S596" s="599">
        <f t="shared" si="480"/>
        <v>30.036960000000001</v>
      </c>
      <c r="T596" s="599">
        <f t="shared" si="480"/>
        <v>30.036960000000001</v>
      </c>
      <c r="U596" s="599">
        <f t="shared" si="480"/>
        <v>30.036960000000001</v>
      </c>
      <c r="V596" s="599">
        <f t="shared" si="480"/>
        <v>30.036960000000001</v>
      </c>
      <c r="W596" s="599">
        <f t="shared" si="480"/>
        <v>30.036960000000001</v>
      </c>
      <c r="X596" s="599">
        <f t="shared" si="480"/>
        <v>30.036960000000001</v>
      </c>
      <c r="Y596" s="599">
        <f t="shared" si="480"/>
        <v>30.036960000000001</v>
      </c>
      <c r="Z596" s="599">
        <f t="shared" si="480"/>
        <v>30.036960000000001</v>
      </c>
      <c r="AA596" s="599">
        <f t="shared" si="480"/>
        <v>30.036960000000001</v>
      </c>
      <c r="AB596" s="599">
        <f t="shared" si="480"/>
        <v>30.036960000000001</v>
      </c>
      <c r="AC596" s="599">
        <f t="shared" si="480"/>
        <v>30.036960000000001</v>
      </c>
      <c r="AD596" s="599">
        <f t="shared" si="480"/>
        <v>30.036960000000001</v>
      </c>
      <c r="AE596" s="599">
        <f t="shared" si="480"/>
        <v>30.036960000000001</v>
      </c>
      <c r="AF596" s="599">
        <f t="shared" si="480"/>
        <v>30.036960000000001</v>
      </c>
      <c r="AH596" s="578">
        <f>SUM(C596:AF596)</f>
        <v>901.10880000000043</v>
      </c>
      <c r="AJ596" s="579"/>
      <c r="AK596" s="531"/>
      <c r="AM596" s="594"/>
      <c r="AN596" s="535"/>
      <c r="AP596" s="568"/>
      <c r="AQ596" s="568"/>
    </row>
    <row r="597" spans="1:43" s="546" customFormat="1" ht="16.5" hidden="1" customHeight="1" outlineLevel="2">
      <c r="A597" s="584"/>
      <c r="B597" s="613" t="s">
        <v>927</v>
      </c>
      <c r="C597" s="570">
        <f>C598*(C599+C600+C601+C602)</f>
        <v>1209.6599999999999</v>
      </c>
      <c r="D597" s="570">
        <f t="shared" ref="D597:AF597" si="481">D598*(D599+D600+D601+D602)</f>
        <v>1209.6599999999999</v>
      </c>
      <c r="E597" s="570">
        <f t="shared" si="481"/>
        <v>1209.6599999999999</v>
      </c>
      <c r="F597" s="570">
        <f t="shared" si="481"/>
        <v>1209.6599999999999</v>
      </c>
      <c r="G597" s="570">
        <f t="shared" si="481"/>
        <v>1209.6599999999999</v>
      </c>
      <c r="H597" s="570">
        <f t="shared" si="481"/>
        <v>1209.6599999999999</v>
      </c>
      <c r="I597" s="570">
        <f t="shared" si="481"/>
        <v>1209.6599999999999</v>
      </c>
      <c r="J597" s="570">
        <f t="shared" si="481"/>
        <v>1209.6599999999999</v>
      </c>
      <c r="K597" s="570">
        <f t="shared" si="481"/>
        <v>1209.6599999999999</v>
      </c>
      <c r="L597" s="570">
        <f t="shared" si="481"/>
        <v>1209.6599999999999</v>
      </c>
      <c r="M597" s="570">
        <f t="shared" si="481"/>
        <v>1209.6599999999999</v>
      </c>
      <c r="N597" s="570">
        <f t="shared" si="481"/>
        <v>1209.6599999999999</v>
      </c>
      <c r="O597" s="570">
        <f t="shared" si="481"/>
        <v>1209.6599999999999</v>
      </c>
      <c r="P597" s="570">
        <f t="shared" si="481"/>
        <v>1209.6599999999999</v>
      </c>
      <c r="Q597" s="570">
        <f t="shared" si="481"/>
        <v>1209.6599999999999</v>
      </c>
      <c r="R597" s="570">
        <f t="shared" si="481"/>
        <v>1209.6599999999999</v>
      </c>
      <c r="S597" s="570">
        <f t="shared" si="481"/>
        <v>1209.6599999999999</v>
      </c>
      <c r="T597" s="570">
        <f t="shared" si="481"/>
        <v>1209.6599999999999</v>
      </c>
      <c r="U597" s="570">
        <f t="shared" si="481"/>
        <v>1209.6599999999999</v>
      </c>
      <c r="V597" s="570">
        <f t="shared" si="481"/>
        <v>1209.6599999999999</v>
      </c>
      <c r="W597" s="570">
        <f t="shared" si="481"/>
        <v>1209.6599999999999</v>
      </c>
      <c r="X597" s="570">
        <f t="shared" si="481"/>
        <v>1209.6599999999999</v>
      </c>
      <c r="Y597" s="570">
        <f t="shared" si="481"/>
        <v>1209.6599999999999</v>
      </c>
      <c r="Z597" s="570">
        <f t="shared" si="481"/>
        <v>1209.6599999999999</v>
      </c>
      <c r="AA597" s="570">
        <f t="shared" si="481"/>
        <v>1209.6599999999999</v>
      </c>
      <c r="AB597" s="570">
        <f t="shared" si="481"/>
        <v>1209.6599999999999</v>
      </c>
      <c r="AC597" s="570">
        <f t="shared" si="481"/>
        <v>1209.6599999999999</v>
      </c>
      <c r="AD597" s="570">
        <f t="shared" si="481"/>
        <v>1209.6599999999999</v>
      </c>
      <c r="AE597" s="570">
        <f t="shared" si="481"/>
        <v>1209.6599999999999</v>
      </c>
      <c r="AF597" s="570">
        <f t="shared" si="481"/>
        <v>1209.6599999999999</v>
      </c>
      <c r="AH597" s="571"/>
      <c r="AK597" s="531"/>
      <c r="AM597" s="594"/>
      <c r="AN597" s="535"/>
      <c r="AP597" s="549"/>
      <c r="AQ597" s="549"/>
    </row>
    <row r="598" spans="1:43" s="513" customFormat="1" ht="16.5" hidden="1" customHeight="1" outlineLevel="2">
      <c r="A598" s="584"/>
      <c r="B598" s="572" t="s">
        <v>805</v>
      </c>
      <c r="C598" s="592">
        <f t="shared" ref="C598:AF598" si="482">C578</f>
        <v>2</v>
      </c>
      <c r="D598" s="592">
        <f t="shared" si="482"/>
        <v>2</v>
      </c>
      <c r="E598" s="592">
        <f t="shared" si="482"/>
        <v>2</v>
      </c>
      <c r="F598" s="592">
        <f t="shared" si="482"/>
        <v>2</v>
      </c>
      <c r="G598" s="592">
        <f t="shared" si="482"/>
        <v>2</v>
      </c>
      <c r="H598" s="592">
        <f t="shared" si="482"/>
        <v>2</v>
      </c>
      <c r="I598" s="592">
        <f t="shared" si="482"/>
        <v>2</v>
      </c>
      <c r="J598" s="592">
        <f t="shared" si="482"/>
        <v>2</v>
      </c>
      <c r="K598" s="592">
        <f t="shared" si="482"/>
        <v>2</v>
      </c>
      <c r="L598" s="592">
        <f t="shared" si="482"/>
        <v>2</v>
      </c>
      <c r="M598" s="592">
        <f t="shared" si="482"/>
        <v>2</v>
      </c>
      <c r="N598" s="592">
        <f t="shared" si="482"/>
        <v>2</v>
      </c>
      <c r="O598" s="592">
        <f t="shared" si="482"/>
        <v>2</v>
      </c>
      <c r="P598" s="592">
        <f t="shared" si="482"/>
        <v>2</v>
      </c>
      <c r="Q598" s="592">
        <f t="shared" si="482"/>
        <v>2</v>
      </c>
      <c r="R598" s="592">
        <f t="shared" si="482"/>
        <v>2</v>
      </c>
      <c r="S598" s="592">
        <f t="shared" si="482"/>
        <v>2</v>
      </c>
      <c r="T598" s="592">
        <f t="shared" si="482"/>
        <v>2</v>
      </c>
      <c r="U598" s="592">
        <f t="shared" si="482"/>
        <v>2</v>
      </c>
      <c r="V598" s="592">
        <f t="shared" si="482"/>
        <v>2</v>
      </c>
      <c r="W598" s="592">
        <f t="shared" si="482"/>
        <v>2</v>
      </c>
      <c r="X598" s="592">
        <f t="shared" si="482"/>
        <v>2</v>
      </c>
      <c r="Y598" s="592">
        <f t="shared" si="482"/>
        <v>2</v>
      </c>
      <c r="Z598" s="592">
        <f t="shared" si="482"/>
        <v>2</v>
      </c>
      <c r="AA598" s="592">
        <f t="shared" si="482"/>
        <v>2</v>
      </c>
      <c r="AB598" s="592">
        <f t="shared" si="482"/>
        <v>2</v>
      </c>
      <c r="AC598" s="592">
        <f t="shared" si="482"/>
        <v>2</v>
      </c>
      <c r="AD598" s="592">
        <f t="shared" si="482"/>
        <v>2</v>
      </c>
      <c r="AE598" s="592">
        <f t="shared" si="482"/>
        <v>2</v>
      </c>
      <c r="AF598" s="592">
        <f t="shared" si="482"/>
        <v>2</v>
      </c>
      <c r="AH598" s="538"/>
      <c r="AK598" s="531"/>
      <c r="AM598" s="594"/>
      <c r="AN598" s="535"/>
      <c r="AP598" s="540"/>
      <c r="AQ598" s="540"/>
    </row>
    <row r="599" spans="1:43" s="513" customFormat="1" ht="16.5" hidden="1" customHeight="1" outlineLevel="2">
      <c r="A599" s="584"/>
      <c r="B599" s="572" t="s">
        <v>940</v>
      </c>
      <c r="C599" s="592">
        <f>'Sal._benef.'!$I$23</f>
        <v>500</v>
      </c>
      <c r="D599" s="592">
        <f>C599</f>
        <v>500</v>
      </c>
      <c r="E599" s="592">
        <f t="shared" ref="E599:T602" si="483">D599</f>
        <v>500</v>
      </c>
      <c r="F599" s="592">
        <f t="shared" si="483"/>
        <v>500</v>
      </c>
      <c r="G599" s="592">
        <f t="shared" si="483"/>
        <v>500</v>
      </c>
      <c r="H599" s="592">
        <f t="shared" si="483"/>
        <v>500</v>
      </c>
      <c r="I599" s="592">
        <f t="shared" si="483"/>
        <v>500</v>
      </c>
      <c r="J599" s="592">
        <f t="shared" si="483"/>
        <v>500</v>
      </c>
      <c r="K599" s="592">
        <f t="shared" si="483"/>
        <v>500</v>
      </c>
      <c r="L599" s="592">
        <f t="shared" si="483"/>
        <v>500</v>
      </c>
      <c r="M599" s="592">
        <f t="shared" si="483"/>
        <v>500</v>
      </c>
      <c r="N599" s="592">
        <f t="shared" si="483"/>
        <v>500</v>
      </c>
      <c r="O599" s="592">
        <f t="shared" si="483"/>
        <v>500</v>
      </c>
      <c r="P599" s="592">
        <f t="shared" si="483"/>
        <v>500</v>
      </c>
      <c r="Q599" s="592">
        <f t="shared" si="483"/>
        <v>500</v>
      </c>
      <c r="R599" s="592">
        <f t="shared" si="483"/>
        <v>500</v>
      </c>
      <c r="S599" s="592">
        <f t="shared" si="483"/>
        <v>500</v>
      </c>
      <c r="T599" s="592">
        <f t="shared" si="483"/>
        <v>500</v>
      </c>
      <c r="U599" s="592">
        <f t="shared" ref="U599:AF602" si="484">T599</f>
        <v>500</v>
      </c>
      <c r="V599" s="592">
        <f t="shared" si="484"/>
        <v>500</v>
      </c>
      <c r="W599" s="592">
        <f t="shared" si="484"/>
        <v>500</v>
      </c>
      <c r="X599" s="592">
        <f t="shared" si="484"/>
        <v>500</v>
      </c>
      <c r="Y599" s="592">
        <f t="shared" si="484"/>
        <v>500</v>
      </c>
      <c r="Z599" s="592">
        <f t="shared" si="484"/>
        <v>500</v>
      </c>
      <c r="AA599" s="592">
        <f t="shared" si="484"/>
        <v>500</v>
      </c>
      <c r="AB599" s="592">
        <f t="shared" si="484"/>
        <v>500</v>
      </c>
      <c r="AC599" s="592">
        <f t="shared" si="484"/>
        <v>500</v>
      </c>
      <c r="AD599" s="592">
        <f t="shared" si="484"/>
        <v>500</v>
      </c>
      <c r="AE599" s="592">
        <f t="shared" si="484"/>
        <v>500</v>
      </c>
      <c r="AF599" s="592">
        <f t="shared" si="484"/>
        <v>500</v>
      </c>
      <c r="AH599" s="538"/>
      <c r="AK599" s="531"/>
      <c r="AM599" s="594"/>
      <c r="AN599" s="535"/>
      <c r="AP599" s="540"/>
      <c r="AQ599" s="540"/>
    </row>
    <row r="600" spans="1:43" s="513" customFormat="1" ht="16.5" hidden="1" customHeight="1" outlineLevel="2">
      <c r="A600" s="584"/>
      <c r="B600" s="572" t="s">
        <v>941</v>
      </c>
      <c r="C600" s="592">
        <f>'Sal._benef.'!$K$23</f>
        <v>5.53</v>
      </c>
      <c r="D600" s="592">
        <f>C600</f>
        <v>5.53</v>
      </c>
      <c r="E600" s="592">
        <f t="shared" si="483"/>
        <v>5.53</v>
      </c>
      <c r="F600" s="592">
        <f t="shared" si="483"/>
        <v>5.53</v>
      </c>
      <c r="G600" s="592">
        <f t="shared" si="483"/>
        <v>5.53</v>
      </c>
      <c r="H600" s="592">
        <f t="shared" si="483"/>
        <v>5.53</v>
      </c>
      <c r="I600" s="592">
        <f t="shared" si="483"/>
        <v>5.53</v>
      </c>
      <c r="J600" s="592">
        <f t="shared" si="483"/>
        <v>5.53</v>
      </c>
      <c r="K600" s="592">
        <f t="shared" si="483"/>
        <v>5.53</v>
      </c>
      <c r="L600" s="592">
        <f t="shared" si="483"/>
        <v>5.53</v>
      </c>
      <c r="M600" s="592">
        <f t="shared" si="483"/>
        <v>5.53</v>
      </c>
      <c r="N600" s="592">
        <f t="shared" si="483"/>
        <v>5.53</v>
      </c>
      <c r="O600" s="592">
        <f t="shared" si="483"/>
        <v>5.53</v>
      </c>
      <c r="P600" s="592">
        <f t="shared" si="483"/>
        <v>5.53</v>
      </c>
      <c r="Q600" s="592">
        <f t="shared" si="483"/>
        <v>5.53</v>
      </c>
      <c r="R600" s="592">
        <f t="shared" si="483"/>
        <v>5.53</v>
      </c>
      <c r="S600" s="592">
        <f t="shared" si="483"/>
        <v>5.53</v>
      </c>
      <c r="T600" s="592">
        <f t="shared" si="483"/>
        <v>5.53</v>
      </c>
      <c r="U600" s="592">
        <f t="shared" si="484"/>
        <v>5.53</v>
      </c>
      <c r="V600" s="592">
        <f t="shared" si="484"/>
        <v>5.53</v>
      </c>
      <c r="W600" s="592">
        <f t="shared" si="484"/>
        <v>5.53</v>
      </c>
      <c r="X600" s="592">
        <f t="shared" si="484"/>
        <v>5.53</v>
      </c>
      <c r="Y600" s="592">
        <f t="shared" si="484"/>
        <v>5.53</v>
      </c>
      <c r="Z600" s="592">
        <f t="shared" si="484"/>
        <v>5.53</v>
      </c>
      <c r="AA600" s="592">
        <f t="shared" si="484"/>
        <v>5.53</v>
      </c>
      <c r="AB600" s="592">
        <f t="shared" si="484"/>
        <v>5.53</v>
      </c>
      <c r="AC600" s="592">
        <f t="shared" si="484"/>
        <v>5.53</v>
      </c>
      <c r="AD600" s="592">
        <f t="shared" si="484"/>
        <v>5.53</v>
      </c>
      <c r="AE600" s="592">
        <f t="shared" si="484"/>
        <v>5.53</v>
      </c>
      <c r="AF600" s="592">
        <f t="shared" si="484"/>
        <v>5.53</v>
      </c>
      <c r="AH600" s="538"/>
      <c r="AK600" s="531"/>
      <c r="AM600" s="594"/>
      <c r="AN600" s="535"/>
      <c r="AP600" s="540"/>
      <c r="AQ600" s="540"/>
    </row>
    <row r="601" spans="1:43" s="513" customFormat="1" ht="16.5" hidden="1" customHeight="1" outlineLevel="2">
      <c r="A601" s="584"/>
      <c r="B601" s="572" t="s">
        <v>862</v>
      </c>
      <c r="C601" s="592">
        <f>'Sal._benef.'!$J$23</f>
        <v>99.300000000000011</v>
      </c>
      <c r="D601" s="592">
        <f>C601</f>
        <v>99.300000000000011</v>
      </c>
      <c r="E601" s="592">
        <f t="shared" si="483"/>
        <v>99.300000000000011</v>
      </c>
      <c r="F601" s="592">
        <f t="shared" si="483"/>
        <v>99.300000000000011</v>
      </c>
      <c r="G601" s="592">
        <f t="shared" si="483"/>
        <v>99.300000000000011</v>
      </c>
      <c r="H601" s="592">
        <f t="shared" si="483"/>
        <v>99.300000000000011</v>
      </c>
      <c r="I601" s="592">
        <f t="shared" si="483"/>
        <v>99.300000000000011</v>
      </c>
      <c r="J601" s="592">
        <f t="shared" si="483"/>
        <v>99.300000000000011</v>
      </c>
      <c r="K601" s="592">
        <f t="shared" si="483"/>
        <v>99.300000000000011</v>
      </c>
      <c r="L601" s="592">
        <f t="shared" si="483"/>
        <v>99.300000000000011</v>
      </c>
      <c r="M601" s="592">
        <f t="shared" si="483"/>
        <v>99.300000000000011</v>
      </c>
      <c r="N601" s="592">
        <f t="shared" si="483"/>
        <v>99.300000000000011</v>
      </c>
      <c r="O601" s="592">
        <f t="shared" si="483"/>
        <v>99.300000000000011</v>
      </c>
      <c r="P601" s="592">
        <f t="shared" si="483"/>
        <v>99.300000000000011</v>
      </c>
      <c r="Q601" s="592">
        <f t="shared" si="483"/>
        <v>99.300000000000011</v>
      </c>
      <c r="R601" s="592">
        <f t="shared" si="483"/>
        <v>99.300000000000011</v>
      </c>
      <c r="S601" s="592">
        <f t="shared" si="483"/>
        <v>99.300000000000011</v>
      </c>
      <c r="T601" s="592">
        <f t="shared" si="483"/>
        <v>99.300000000000011</v>
      </c>
      <c r="U601" s="592">
        <f t="shared" si="484"/>
        <v>99.300000000000011</v>
      </c>
      <c r="V601" s="592">
        <f t="shared" si="484"/>
        <v>99.300000000000011</v>
      </c>
      <c r="W601" s="592">
        <f t="shared" si="484"/>
        <v>99.300000000000011</v>
      </c>
      <c r="X601" s="592">
        <f t="shared" si="484"/>
        <v>99.300000000000011</v>
      </c>
      <c r="Y601" s="592">
        <f t="shared" si="484"/>
        <v>99.300000000000011</v>
      </c>
      <c r="Z601" s="592">
        <f t="shared" si="484"/>
        <v>99.300000000000011</v>
      </c>
      <c r="AA601" s="592">
        <f t="shared" si="484"/>
        <v>99.300000000000011</v>
      </c>
      <c r="AB601" s="592">
        <f t="shared" si="484"/>
        <v>99.300000000000011</v>
      </c>
      <c r="AC601" s="592">
        <f t="shared" si="484"/>
        <v>99.300000000000011</v>
      </c>
      <c r="AD601" s="592">
        <f t="shared" si="484"/>
        <v>99.300000000000011</v>
      </c>
      <c r="AE601" s="592">
        <f t="shared" si="484"/>
        <v>99.300000000000011</v>
      </c>
      <c r="AF601" s="592">
        <f t="shared" si="484"/>
        <v>99.300000000000011</v>
      </c>
      <c r="AH601" s="538"/>
      <c r="AK601" s="531"/>
      <c r="AM601" s="594"/>
      <c r="AN601" s="535"/>
      <c r="AP601" s="540"/>
      <c r="AQ601" s="540"/>
    </row>
    <row r="602" spans="1:43" s="513" customFormat="1" ht="16.5" hidden="1" customHeight="1" outlineLevel="2">
      <c r="A602" s="584"/>
      <c r="B602" s="572" t="s">
        <v>862</v>
      </c>
      <c r="C602" s="592">
        <v>0</v>
      </c>
      <c r="D602" s="592">
        <f t="shared" ref="D602" si="485">C602</f>
        <v>0</v>
      </c>
      <c r="E602" s="592">
        <f t="shared" si="483"/>
        <v>0</v>
      </c>
      <c r="F602" s="592">
        <f t="shared" si="483"/>
        <v>0</v>
      </c>
      <c r="G602" s="592">
        <f t="shared" si="483"/>
        <v>0</v>
      </c>
      <c r="H602" s="592">
        <f t="shared" si="483"/>
        <v>0</v>
      </c>
      <c r="I602" s="592">
        <f t="shared" si="483"/>
        <v>0</v>
      </c>
      <c r="J602" s="592">
        <f t="shared" si="483"/>
        <v>0</v>
      </c>
      <c r="K602" s="592">
        <f t="shared" si="483"/>
        <v>0</v>
      </c>
      <c r="L602" s="592">
        <f t="shared" si="483"/>
        <v>0</v>
      </c>
      <c r="M602" s="592">
        <f t="shared" si="483"/>
        <v>0</v>
      </c>
      <c r="N602" s="592">
        <f t="shared" si="483"/>
        <v>0</v>
      </c>
      <c r="O602" s="592">
        <f t="shared" si="483"/>
        <v>0</v>
      </c>
      <c r="P602" s="592">
        <f t="shared" si="483"/>
        <v>0</v>
      </c>
      <c r="Q602" s="592">
        <f t="shared" si="483"/>
        <v>0</v>
      </c>
      <c r="R602" s="592">
        <f t="shared" si="483"/>
        <v>0</v>
      </c>
      <c r="S602" s="592">
        <f t="shared" si="483"/>
        <v>0</v>
      </c>
      <c r="T602" s="592">
        <f t="shared" si="483"/>
        <v>0</v>
      </c>
      <c r="U602" s="592">
        <f t="shared" si="484"/>
        <v>0</v>
      </c>
      <c r="V602" s="592">
        <f t="shared" si="484"/>
        <v>0</v>
      </c>
      <c r="W602" s="592">
        <f t="shared" si="484"/>
        <v>0</v>
      </c>
      <c r="X602" s="592">
        <f t="shared" si="484"/>
        <v>0</v>
      </c>
      <c r="Y602" s="592">
        <f t="shared" si="484"/>
        <v>0</v>
      </c>
      <c r="Z602" s="592">
        <f t="shared" si="484"/>
        <v>0</v>
      </c>
      <c r="AA602" s="592">
        <f t="shared" si="484"/>
        <v>0</v>
      </c>
      <c r="AB602" s="592">
        <f t="shared" si="484"/>
        <v>0</v>
      </c>
      <c r="AC602" s="592">
        <f t="shared" si="484"/>
        <v>0</v>
      </c>
      <c r="AD602" s="592">
        <f t="shared" si="484"/>
        <v>0</v>
      </c>
      <c r="AE602" s="592">
        <f t="shared" si="484"/>
        <v>0</v>
      </c>
      <c r="AF602" s="592">
        <f t="shared" si="484"/>
        <v>0</v>
      </c>
      <c r="AH602" s="538"/>
      <c r="AK602" s="531"/>
      <c r="AM602" s="594"/>
      <c r="AN602" s="535"/>
      <c r="AP602" s="540"/>
      <c r="AQ602" s="540"/>
    </row>
    <row r="603" spans="1:43" s="546" customFormat="1" ht="16.5" hidden="1" customHeight="1" outlineLevel="2">
      <c r="A603" s="584"/>
      <c r="B603" s="613" t="s">
        <v>931</v>
      </c>
      <c r="C603" s="570">
        <f>C604*(C605+C606+C607+C608)</f>
        <v>1293.42</v>
      </c>
      <c r="D603" s="570">
        <f t="shared" ref="D603:AF603" si="486">D604*(D605+D606+D607+D608)</f>
        <v>1293.42</v>
      </c>
      <c r="E603" s="570">
        <f t="shared" si="486"/>
        <v>1293.42</v>
      </c>
      <c r="F603" s="570">
        <f t="shared" si="486"/>
        <v>1293.42</v>
      </c>
      <c r="G603" s="570">
        <f t="shared" si="486"/>
        <v>1293.42</v>
      </c>
      <c r="H603" s="570">
        <f t="shared" si="486"/>
        <v>1293.42</v>
      </c>
      <c r="I603" s="570">
        <f t="shared" si="486"/>
        <v>1293.42</v>
      </c>
      <c r="J603" s="570">
        <f t="shared" si="486"/>
        <v>1293.42</v>
      </c>
      <c r="K603" s="570">
        <f t="shared" si="486"/>
        <v>1293.42</v>
      </c>
      <c r="L603" s="570">
        <f t="shared" si="486"/>
        <v>1293.42</v>
      </c>
      <c r="M603" s="570">
        <f t="shared" si="486"/>
        <v>1293.42</v>
      </c>
      <c r="N603" s="570">
        <f t="shared" si="486"/>
        <v>1293.42</v>
      </c>
      <c r="O603" s="570">
        <f t="shared" si="486"/>
        <v>1293.42</v>
      </c>
      <c r="P603" s="570">
        <f t="shared" si="486"/>
        <v>1293.42</v>
      </c>
      <c r="Q603" s="570">
        <f t="shared" si="486"/>
        <v>1293.42</v>
      </c>
      <c r="R603" s="570">
        <f t="shared" si="486"/>
        <v>1293.42</v>
      </c>
      <c r="S603" s="570">
        <f t="shared" si="486"/>
        <v>1293.42</v>
      </c>
      <c r="T603" s="570">
        <f t="shared" si="486"/>
        <v>1293.42</v>
      </c>
      <c r="U603" s="570">
        <f t="shared" si="486"/>
        <v>1293.42</v>
      </c>
      <c r="V603" s="570">
        <f t="shared" si="486"/>
        <v>1293.42</v>
      </c>
      <c r="W603" s="570">
        <f t="shared" si="486"/>
        <v>1293.42</v>
      </c>
      <c r="X603" s="570">
        <f t="shared" si="486"/>
        <v>1293.42</v>
      </c>
      <c r="Y603" s="570">
        <f t="shared" si="486"/>
        <v>1293.42</v>
      </c>
      <c r="Z603" s="570">
        <f t="shared" si="486"/>
        <v>1293.42</v>
      </c>
      <c r="AA603" s="570">
        <f t="shared" si="486"/>
        <v>1293.42</v>
      </c>
      <c r="AB603" s="570">
        <f t="shared" si="486"/>
        <v>1293.42</v>
      </c>
      <c r="AC603" s="570">
        <f t="shared" si="486"/>
        <v>1293.42</v>
      </c>
      <c r="AD603" s="570">
        <f t="shared" si="486"/>
        <v>1293.42</v>
      </c>
      <c r="AE603" s="570">
        <f t="shared" si="486"/>
        <v>1293.42</v>
      </c>
      <c r="AF603" s="570">
        <f t="shared" si="486"/>
        <v>1293.42</v>
      </c>
      <c r="AH603" s="571"/>
      <c r="AK603" s="531"/>
      <c r="AM603" s="594"/>
      <c r="AN603" s="535"/>
      <c r="AP603" s="549"/>
      <c r="AQ603" s="549"/>
    </row>
    <row r="604" spans="1:43" s="513" customFormat="1" ht="16.5" hidden="1" customHeight="1" outlineLevel="2">
      <c r="A604" s="584"/>
      <c r="B604" s="572" t="s">
        <v>805</v>
      </c>
      <c r="C604" s="592">
        <f t="shared" ref="C604:AF604" si="487">C585</f>
        <v>2</v>
      </c>
      <c r="D604" s="592">
        <f t="shared" si="487"/>
        <v>2</v>
      </c>
      <c r="E604" s="592">
        <f t="shared" si="487"/>
        <v>2</v>
      </c>
      <c r="F604" s="592">
        <f t="shared" si="487"/>
        <v>2</v>
      </c>
      <c r="G604" s="592">
        <f t="shared" si="487"/>
        <v>2</v>
      </c>
      <c r="H604" s="592">
        <f t="shared" si="487"/>
        <v>2</v>
      </c>
      <c r="I604" s="592">
        <f t="shared" si="487"/>
        <v>2</v>
      </c>
      <c r="J604" s="592">
        <f t="shared" si="487"/>
        <v>2</v>
      </c>
      <c r="K604" s="592">
        <f t="shared" si="487"/>
        <v>2</v>
      </c>
      <c r="L604" s="592">
        <f t="shared" si="487"/>
        <v>2</v>
      </c>
      <c r="M604" s="592">
        <f t="shared" si="487"/>
        <v>2</v>
      </c>
      <c r="N604" s="592">
        <f t="shared" si="487"/>
        <v>2</v>
      </c>
      <c r="O604" s="592">
        <f t="shared" si="487"/>
        <v>2</v>
      </c>
      <c r="P604" s="592">
        <f t="shared" si="487"/>
        <v>2</v>
      </c>
      <c r="Q604" s="592">
        <f t="shared" si="487"/>
        <v>2</v>
      </c>
      <c r="R604" s="592">
        <f t="shared" si="487"/>
        <v>2</v>
      </c>
      <c r="S604" s="592">
        <f t="shared" si="487"/>
        <v>2</v>
      </c>
      <c r="T604" s="592">
        <f t="shared" si="487"/>
        <v>2</v>
      </c>
      <c r="U604" s="592">
        <f t="shared" si="487"/>
        <v>2</v>
      </c>
      <c r="V604" s="592">
        <f t="shared" si="487"/>
        <v>2</v>
      </c>
      <c r="W604" s="592">
        <f t="shared" si="487"/>
        <v>2</v>
      </c>
      <c r="X604" s="592">
        <f t="shared" si="487"/>
        <v>2</v>
      </c>
      <c r="Y604" s="592">
        <f t="shared" si="487"/>
        <v>2</v>
      </c>
      <c r="Z604" s="592">
        <f t="shared" si="487"/>
        <v>2</v>
      </c>
      <c r="AA604" s="592">
        <f t="shared" si="487"/>
        <v>2</v>
      </c>
      <c r="AB604" s="592">
        <f t="shared" si="487"/>
        <v>2</v>
      </c>
      <c r="AC604" s="592">
        <f t="shared" si="487"/>
        <v>2</v>
      </c>
      <c r="AD604" s="592">
        <f t="shared" si="487"/>
        <v>2</v>
      </c>
      <c r="AE604" s="592">
        <f t="shared" si="487"/>
        <v>2</v>
      </c>
      <c r="AF604" s="592">
        <f t="shared" si="487"/>
        <v>2</v>
      </c>
      <c r="AH604" s="538"/>
      <c r="AK604" s="531"/>
      <c r="AM604" s="594"/>
      <c r="AN604" s="535"/>
      <c r="AP604" s="540"/>
      <c r="AQ604" s="540"/>
    </row>
    <row r="605" spans="1:43" s="513" customFormat="1" ht="16.5" hidden="1" customHeight="1" outlineLevel="2">
      <c r="A605" s="584"/>
      <c r="B605" s="572" t="s">
        <v>940</v>
      </c>
      <c r="C605" s="592">
        <f>'Sal._benef.'!$I$19</f>
        <v>500</v>
      </c>
      <c r="D605" s="592">
        <f>C605</f>
        <v>500</v>
      </c>
      <c r="E605" s="592">
        <f t="shared" ref="E605:T608" si="488">D605</f>
        <v>500</v>
      </c>
      <c r="F605" s="592">
        <f t="shared" si="488"/>
        <v>500</v>
      </c>
      <c r="G605" s="592">
        <f t="shared" si="488"/>
        <v>500</v>
      </c>
      <c r="H605" s="592">
        <f t="shared" si="488"/>
        <v>500</v>
      </c>
      <c r="I605" s="592">
        <f t="shared" si="488"/>
        <v>500</v>
      </c>
      <c r="J605" s="592">
        <f t="shared" si="488"/>
        <v>500</v>
      </c>
      <c r="K605" s="592">
        <f t="shared" si="488"/>
        <v>500</v>
      </c>
      <c r="L605" s="592">
        <f t="shared" si="488"/>
        <v>500</v>
      </c>
      <c r="M605" s="592">
        <f t="shared" si="488"/>
        <v>500</v>
      </c>
      <c r="N605" s="592">
        <f t="shared" si="488"/>
        <v>500</v>
      </c>
      <c r="O605" s="592">
        <f t="shared" si="488"/>
        <v>500</v>
      </c>
      <c r="P605" s="592">
        <f t="shared" si="488"/>
        <v>500</v>
      </c>
      <c r="Q605" s="592">
        <f t="shared" si="488"/>
        <v>500</v>
      </c>
      <c r="R605" s="592">
        <f t="shared" si="488"/>
        <v>500</v>
      </c>
      <c r="S605" s="592">
        <f t="shared" si="488"/>
        <v>500</v>
      </c>
      <c r="T605" s="592">
        <f t="shared" si="488"/>
        <v>500</v>
      </c>
      <c r="U605" s="592">
        <f t="shared" ref="U605:AF608" si="489">T605</f>
        <v>500</v>
      </c>
      <c r="V605" s="592">
        <f t="shared" si="489"/>
        <v>500</v>
      </c>
      <c r="W605" s="592">
        <f t="shared" si="489"/>
        <v>500</v>
      </c>
      <c r="X605" s="592">
        <f t="shared" si="489"/>
        <v>500</v>
      </c>
      <c r="Y605" s="592">
        <f t="shared" si="489"/>
        <v>500</v>
      </c>
      <c r="Z605" s="592">
        <f t="shared" si="489"/>
        <v>500</v>
      </c>
      <c r="AA605" s="592">
        <f t="shared" si="489"/>
        <v>500</v>
      </c>
      <c r="AB605" s="592">
        <f t="shared" si="489"/>
        <v>500</v>
      </c>
      <c r="AC605" s="592">
        <f t="shared" si="489"/>
        <v>500</v>
      </c>
      <c r="AD605" s="592">
        <f t="shared" si="489"/>
        <v>500</v>
      </c>
      <c r="AE605" s="592">
        <f t="shared" si="489"/>
        <v>500</v>
      </c>
      <c r="AF605" s="592">
        <f t="shared" si="489"/>
        <v>500</v>
      </c>
      <c r="AH605" s="538"/>
      <c r="AK605" s="531"/>
      <c r="AM605" s="594"/>
      <c r="AN605" s="535"/>
      <c r="AP605" s="540"/>
      <c r="AQ605" s="540"/>
    </row>
    <row r="606" spans="1:43" s="513" customFormat="1" ht="16.5" hidden="1" customHeight="1" outlineLevel="2">
      <c r="A606" s="584"/>
      <c r="B606" s="572" t="s">
        <v>941</v>
      </c>
      <c r="C606" s="592">
        <f>'Sal._benef.'!$K$19</f>
        <v>5.53</v>
      </c>
      <c r="D606" s="592">
        <f>C606</f>
        <v>5.53</v>
      </c>
      <c r="E606" s="592">
        <f t="shared" si="488"/>
        <v>5.53</v>
      </c>
      <c r="F606" s="592">
        <f t="shared" si="488"/>
        <v>5.53</v>
      </c>
      <c r="G606" s="592">
        <f t="shared" si="488"/>
        <v>5.53</v>
      </c>
      <c r="H606" s="592">
        <f t="shared" si="488"/>
        <v>5.53</v>
      </c>
      <c r="I606" s="592">
        <f t="shared" si="488"/>
        <v>5.53</v>
      </c>
      <c r="J606" s="592">
        <f t="shared" si="488"/>
        <v>5.53</v>
      </c>
      <c r="K606" s="592">
        <f t="shared" si="488"/>
        <v>5.53</v>
      </c>
      <c r="L606" s="592">
        <f t="shared" si="488"/>
        <v>5.53</v>
      </c>
      <c r="M606" s="592">
        <f t="shared" si="488"/>
        <v>5.53</v>
      </c>
      <c r="N606" s="592">
        <f t="shared" si="488"/>
        <v>5.53</v>
      </c>
      <c r="O606" s="592">
        <f t="shared" si="488"/>
        <v>5.53</v>
      </c>
      <c r="P606" s="592">
        <f t="shared" si="488"/>
        <v>5.53</v>
      </c>
      <c r="Q606" s="592">
        <f t="shared" si="488"/>
        <v>5.53</v>
      </c>
      <c r="R606" s="592">
        <f t="shared" si="488"/>
        <v>5.53</v>
      </c>
      <c r="S606" s="592">
        <f t="shared" si="488"/>
        <v>5.53</v>
      </c>
      <c r="T606" s="592">
        <f t="shared" si="488"/>
        <v>5.53</v>
      </c>
      <c r="U606" s="592">
        <f t="shared" si="489"/>
        <v>5.53</v>
      </c>
      <c r="V606" s="592">
        <f t="shared" si="489"/>
        <v>5.53</v>
      </c>
      <c r="W606" s="592">
        <f t="shared" si="489"/>
        <v>5.53</v>
      </c>
      <c r="X606" s="592">
        <f t="shared" si="489"/>
        <v>5.53</v>
      </c>
      <c r="Y606" s="592">
        <f t="shared" si="489"/>
        <v>5.53</v>
      </c>
      <c r="Z606" s="592">
        <f t="shared" si="489"/>
        <v>5.53</v>
      </c>
      <c r="AA606" s="592">
        <f t="shared" si="489"/>
        <v>5.53</v>
      </c>
      <c r="AB606" s="592">
        <f t="shared" si="489"/>
        <v>5.53</v>
      </c>
      <c r="AC606" s="592">
        <f t="shared" si="489"/>
        <v>5.53</v>
      </c>
      <c r="AD606" s="592">
        <f t="shared" si="489"/>
        <v>5.53</v>
      </c>
      <c r="AE606" s="592">
        <f t="shared" si="489"/>
        <v>5.53</v>
      </c>
      <c r="AF606" s="592">
        <f t="shared" si="489"/>
        <v>5.53</v>
      </c>
      <c r="AH606" s="538"/>
      <c r="AK606" s="531"/>
      <c r="AM606" s="594"/>
      <c r="AN606" s="535"/>
      <c r="AP606" s="540"/>
      <c r="AQ606" s="540"/>
    </row>
    <row r="607" spans="1:43" s="513" customFormat="1" ht="16.5" hidden="1" customHeight="1" outlineLevel="2">
      <c r="A607" s="584"/>
      <c r="B607" s="572" t="s">
        <v>942</v>
      </c>
      <c r="C607" s="592">
        <f>'Sal._benef.'!$J$19</f>
        <v>141.18</v>
      </c>
      <c r="D607" s="592">
        <f>C607</f>
        <v>141.18</v>
      </c>
      <c r="E607" s="592">
        <f t="shared" si="488"/>
        <v>141.18</v>
      </c>
      <c r="F607" s="592">
        <f t="shared" si="488"/>
        <v>141.18</v>
      </c>
      <c r="G607" s="592">
        <f t="shared" si="488"/>
        <v>141.18</v>
      </c>
      <c r="H607" s="592">
        <f t="shared" si="488"/>
        <v>141.18</v>
      </c>
      <c r="I607" s="592">
        <f t="shared" si="488"/>
        <v>141.18</v>
      </c>
      <c r="J607" s="592">
        <f t="shared" si="488"/>
        <v>141.18</v>
      </c>
      <c r="K607" s="592">
        <f t="shared" si="488"/>
        <v>141.18</v>
      </c>
      <c r="L607" s="592">
        <f t="shared" si="488"/>
        <v>141.18</v>
      </c>
      <c r="M607" s="592">
        <f t="shared" si="488"/>
        <v>141.18</v>
      </c>
      <c r="N607" s="592">
        <f t="shared" si="488"/>
        <v>141.18</v>
      </c>
      <c r="O607" s="592">
        <f t="shared" si="488"/>
        <v>141.18</v>
      </c>
      <c r="P607" s="592">
        <f t="shared" si="488"/>
        <v>141.18</v>
      </c>
      <c r="Q607" s="592">
        <f t="shared" si="488"/>
        <v>141.18</v>
      </c>
      <c r="R607" s="592">
        <f t="shared" si="488"/>
        <v>141.18</v>
      </c>
      <c r="S607" s="592">
        <f t="shared" si="488"/>
        <v>141.18</v>
      </c>
      <c r="T607" s="592">
        <f t="shared" si="488"/>
        <v>141.18</v>
      </c>
      <c r="U607" s="592">
        <f t="shared" si="489"/>
        <v>141.18</v>
      </c>
      <c r="V607" s="592">
        <f t="shared" si="489"/>
        <v>141.18</v>
      </c>
      <c r="W607" s="592">
        <f t="shared" si="489"/>
        <v>141.18</v>
      </c>
      <c r="X607" s="592">
        <f t="shared" si="489"/>
        <v>141.18</v>
      </c>
      <c r="Y607" s="592">
        <f t="shared" si="489"/>
        <v>141.18</v>
      </c>
      <c r="Z607" s="592">
        <f t="shared" si="489"/>
        <v>141.18</v>
      </c>
      <c r="AA607" s="592">
        <f t="shared" si="489"/>
        <v>141.18</v>
      </c>
      <c r="AB607" s="592">
        <f t="shared" si="489"/>
        <v>141.18</v>
      </c>
      <c r="AC607" s="592">
        <f t="shared" si="489"/>
        <v>141.18</v>
      </c>
      <c r="AD607" s="592">
        <f t="shared" si="489"/>
        <v>141.18</v>
      </c>
      <c r="AE607" s="592">
        <f t="shared" si="489"/>
        <v>141.18</v>
      </c>
      <c r="AF607" s="592">
        <f t="shared" si="489"/>
        <v>141.18</v>
      </c>
      <c r="AH607" s="538"/>
      <c r="AK607" s="531"/>
      <c r="AM607" s="594"/>
      <c r="AN607" s="535"/>
      <c r="AP607" s="540"/>
      <c r="AQ607" s="540"/>
    </row>
    <row r="608" spans="1:43" s="513" customFormat="1" ht="16.5" hidden="1" customHeight="1" outlineLevel="2">
      <c r="A608" s="584"/>
      <c r="B608" s="572" t="s">
        <v>862</v>
      </c>
      <c r="C608" s="592">
        <v>0</v>
      </c>
      <c r="D608" s="592">
        <f t="shared" ref="D608" si="490">C608</f>
        <v>0</v>
      </c>
      <c r="E608" s="592">
        <f t="shared" si="488"/>
        <v>0</v>
      </c>
      <c r="F608" s="592">
        <f t="shared" si="488"/>
        <v>0</v>
      </c>
      <c r="G608" s="592">
        <f t="shared" si="488"/>
        <v>0</v>
      </c>
      <c r="H608" s="592">
        <f t="shared" si="488"/>
        <v>0</v>
      </c>
      <c r="I608" s="592">
        <f t="shared" si="488"/>
        <v>0</v>
      </c>
      <c r="J608" s="592">
        <f t="shared" si="488"/>
        <v>0</v>
      </c>
      <c r="K608" s="592">
        <f t="shared" si="488"/>
        <v>0</v>
      </c>
      <c r="L608" s="592">
        <f t="shared" si="488"/>
        <v>0</v>
      </c>
      <c r="M608" s="592">
        <f t="shared" si="488"/>
        <v>0</v>
      </c>
      <c r="N608" s="592">
        <f t="shared" si="488"/>
        <v>0</v>
      </c>
      <c r="O608" s="592">
        <f t="shared" si="488"/>
        <v>0</v>
      </c>
      <c r="P608" s="592">
        <f t="shared" si="488"/>
        <v>0</v>
      </c>
      <c r="Q608" s="592">
        <f t="shared" si="488"/>
        <v>0</v>
      </c>
      <c r="R608" s="592">
        <f t="shared" si="488"/>
        <v>0</v>
      </c>
      <c r="S608" s="592">
        <f t="shared" si="488"/>
        <v>0</v>
      </c>
      <c r="T608" s="592">
        <f t="shared" si="488"/>
        <v>0</v>
      </c>
      <c r="U608" s="592">
        <f t="shared" si="489"/>
        <v>0</v>
      </c>
      <c r="V608" s="592">
        <f t="shared" si="489"/>
        <v>0</v>
      </c>
      <c r="W608" s="592">
        <f t="shared" si="489"/>
        <v>0</v>
      </c>
      <c r="X608" s="592">
        <f t="shared" si="489"/>
        <v>0</v>
      </c>
      <c r="Y608" s="592">
        <f t="shared" si="489"/>
        <v>0</v>
      </c>
      <c r="Z608" s="592">
        <f t="shared" si="489"/>
        <v>0</v>
      </c>
      <c r="AA608" s="592">
        <f t="shared" si="489"/>
        <v>0</v>
      </c>
      <c r="AB608" s="592">
        <f t="shared" si="489"/>
        <v>0</v>
      </c>
      <c r="AC608" s="592">
        <f t="shared" si="489"/>
        <v>0</v>
      </c>
      <c r="AD608" s="592">
        <f t="shared" si="489"/>
        <v>0</v>
      </c>
      <c r="AE608" s="592">
        <f t="shared" si="489"/>
        <v>0</v>
      </c>
      <c r="AF608" s="592">
        <f t="shared" si="489"/>
        <v>0</v>
      </c>
      <c r="AH608" s="538"/>
      <c r="AK608" s="531"/>
      <c r="AM608" s="594"/>
      <c r="AN608" s="535"/>
      <c r="AP608" s="540"/>
      <c r="AQ608" s="540"/>
    </row>
    <row r="609" spans="1:43" ht="3" hidden="1" customHeight="1" outlineLevel="2">
      <c r="A609" s="584"/>
      <c r="B609" s="609"/>
      <c r="C609" s="611"/>
      <c r="D609" s="611"/>
      <c r="E609" s="610"/>
      <c r="F609" s="610"/>
      <c r="G609" s="610"/>
      <c r="H609" s="610"/>
      <c r="I609" s="610"/>
      <c r="J609" s="610"/>
      <c r="K609" s="610"/>
      <c r="L609" s="610"/>
      <c r="M609" s="610"/>
      <c r="N609" s="610"/>
      <c r="O609" s="610"/>
      <c r="P609" s="610"/>
      <c r="Q609" s="610"/>
      <c r="R609" s="610"/>
      <c r="S609" s="610"/>
      <c r="T609" s="610"/>
      <c r="U609" s="610"/>
      <c r="V609" s="610"/>
      <c r="W609" s="610"/>
      <c r="X609" s="610"/>
      <c r="Y609" s="610"/>
      <c r="Z609" s="610"/>
      <c r="AA609" s="610"/>
      <c r="AB609" s="610"/>
      <c r="AC609" s="610"/>
      <c r="AD609" s="610"/>
      <c r="AE609" s="610"/>
      <c r="AF609" s="610"/>
      <c r="AH609" s="593"/>
      <c r="AK609" s="531"/>
      <c r="AM609" s="594"/>
      <c r="AN609" s="535"/>
      <c r="AP609" s="535"/>
      <c r="AQ609" s="535"/>
    </row>
    <row r="610" spans="1:43" s="564" customFormat="1" ht="16.5" hidden="1" customHeight="1" outlineLevel="1" collapsed="1">
      <c r="A610" s="584"/>
      <c r="B610" s="576" t="s">
        <v>943</v>
      </c>
      <c r="C610" s="599">
        <f>SUM(C611,C614)/10^3</f>
        <v>15.675400000000002</v>
      </c>
      <c r="D610" s="599">
        <f t="shared" ref="D610:AF610" si="491">SUM(D611,D614)/10^3</f>
        <v>15.675400000000002</v>
      </c>
      <c r="E610" s="599">
        <f t="shared" si="491"/>
        <v>15.675400000000002</v>
      </c>
      <c r="F610" s="599">
        <f t="shared" si="491"/>
        <v>15.675400000000002</v>
      </c>
      <c r="G610" s="599">
        <f t="shared" si="491"/>
        <v>15.675400000000002</v>
      </c>
      <c r="H610" s="599">
        <f t="shared" si="491"/>
        <v>15.675400000000002</v>
      </c>
      <c r="I610" s="599">
        <f t="shared" si="491"/>
        <v>15.675400000000002</v>
      </c>
      <c r="J610" s="599">
        <f t="shared" si="491"/>
        <v>15.675400000000002</v>
      </c>
      <c r="K610" s="599">
        <f t="shared" si="491"/>
        <v>15.675400000000002</v>
      </c>
      <c r="L610" s="599">
        <f t="shared" si="491"/>
        <v>15.675400000000002</v>
      </c>
      <c r="M610" s="599">
        <f t="shared" si="491"/>
        <v>15.675400000000002</v>
      </c>
      <c r="N610" s="599">
        <f t="shared" si="491"/>
        <v>15.675400000000002</v>
      </c>
      <c r="O610" s="599">
        <f t="shared" si="491"/>
        <v>15.675400000000002</v>
      </c>
      <c r="P610" s="599">
        <f t="shared" si="491"/>
        <v>15.675400000000002</v>
      </c>
      <c r="Q610" s="599">
        <f t="shared" si="491"/>
        <v>15.675400000000002</v>
      </c>
      <c r="R610" s="599">
        <f t="shared" si="491"/>
        <v>15.675400000000002</v>
      </c>
      <c r="S610" s="599">
        <f t="shared" si="491"/>
        <v>15.675400000000002</v>
      </c>
      <c r="T610" s="599">
        <f t="shared" si="491"/>
        <v>15.675400000000002</v>
      </c>
      <c r="U610" s="599">
        <f t="shared" si="491"/>
        <v>15.675400000000002</v>
      </c>
      <c r="V610" s="599">
        <f t="shared" si="491"/>
        <v>15.675400000000002</v>
      </c>
      <c r="W610" s="599">
        <f t="shared" si="491"/>
        <v>15.675400000000002</v>
      </c>
      <c r="X610" s="599">
        <f t="shared" si="491"/>
        <v>15.675400000000002</v>
      </c>
      <c r="Y610" s="599">
        <f t="shared" si="491"/>
        <v>15.675400000000002</v>
      </c>
      <c r="Z610" s="599">
        <f t="shared" si="491"/>
        <v>15.675400000000002</v>
      </c>
      <c r="AA610" s="599">
        <f t="shared" si="491"/>
        <v>15.675400000000002</v>
      </c>
      <c r="AB610" s="599">
        <f t="shared" si="491"/>
        <v>15.675400000000002</v>
      </c>
      <c r="AC610" s="599">
        <f t="shared" si="491"/>
        <v>15.675400000000002</v>
      </c>
      <c r="AD610" s="599">
        <f t="shared" si="491"/>
        <v>15.675400000000002</v>
      </c>
      <c r="AE610" s="599">
        <f t="shared" si="491"/>
        <v>15.675400000000002</v>
      </c>
      <c r="AF610" s="599">
        <f t="shared" si="491"/>
        <v>15.675400000000002</v>
      </c>
      <c r="AH610" s="578">
        <f>SUM(C610:AF610)</f>
        <v>470.26200000000028</v>
      </c>
      <c r="AJ610" s="579"/>
      <c r="AK610" s="531"/>
      <c r="AM610" s="594"/>
      <c r="AN610" s="535"/>
      <c r="AP610" s="568"/>
      <c r="AQ610" s="568"/>
    </row>
    <row r="611" spans="1:43" s="546" customFormat="1" ht="16.5" hidden="1" customHeight="1" outlineLevel="2">
      <c r="A611" s="584"/>
      <c r="B611" s="613" t="s">
        <v>927</v>
      </c>
      <c r="C611" s="570">
        <f>C612*C613</f>
        <v>5365.92</v>
      </c>
      <c r="D611" s="570">
        <f t="shared" ref="D611:AF611" si="492">D612*D613</f>
        <v>5365.92</v>
      </c>
      <c r="E611" s="570">
        <f t="shared" si="492"/>
        <v>5365.92</v>
      </c>
      <c r="F611" s="570">
        <f t="shared" si="492"/>
        <v>5365.92</v>
      </c>
      <c r="G611" s="570">
        <f t="shared" si="492"/>
        <v>5365.92</v>
      </c>
      <c r="H611" s="570">
        <f t="shared" si="492"/>
        <v>5365.92</v>
      </c>
      <c r="I611" s="570">
        <f t="shared" si="492"/>
        <v>5365.92</v>
      </c>
      <c r="J611" s="570">
        <f t="shared" si="492"/>
        <v>5365.92</v>
      </c>
      <c r="K611" s="570">
        <f t="shared" si="492"/>
        <v>5365.92</v>
      </c>
      <c r="L611" s="570">
        <f t="shared" si="492"/>
        <v>5365.92</v>
      </c>
      <c r="M611" s="570">
        <f t="shared" si="492"/>
        <v>5365.92</v>
      </c>
      <c r="N611" s="570">
        <f t="shared" si="492"/>
        <v>5365.92</v>
      </c>
      <c r="O611" s="570">
        <f t="shared" si="492"/>
        <v>5365.92</v>
      </c>
      <c r="P611" s="570">
        <f t="shared" si="492"/>
        <v>5365.92</v>
      </c>
      <c r="Q611" s="570">
        <f t="shared" si="492"/>
        <v>5365.92</v>
      </c>
      <c r="R611" s="570">
        <f t="shared" si="492"/>
        <v>5365.92</v>
      </c>
      <c r="S611" s="570">
        <f t="shared" si="492"/>
        <v>5365.92</v>
      </c>
      <c r="T611" s="570">
        <f t="shared" si="492"/>
        <v>5365.92</v>
      </c>
      <c r="U611" s="570">
        <f t="shared" si="492"/>
        <v>5365.92</v>
      </c>
      <c r="V611" s="570">
        <f t="shared" si="492"/>
        <v>5365.92</v>
      </c>
      <c r="W611" s="570">
        <f t="shared" si="492"/>
        <v>5365.92</v>
      </c>
      <c r="X611" s="570">
        <f t="shared" si="492"/>
        <v>5365.92</v>
      </c>
      <c r="Y611" s="570">
        <f t="shared" si="492"/>
        <v>5365.92</v>
      </c>
      <c r="Z611" s="570">
        <f t="shared" si="492"/>
        <v>5365.92</v>
      </c>
      <c r="AA611" s="570">
        <f t="shared" si="492"/>
        <v>5365.92</v>
      </c>
      <c r="AB611" s="570">
        <f t="shared" si="492"/>
        <v>5365.92</v>
      </c>
      <c r="AC611" s="570">
        <f t="shared" si="492"/>
        <v>5365.92</v>
      </c>
      <c r="AD611" s="570">
        <f t="shared" si="492"/>
        <v>5365.92</v>
      </c>
      <c r="AE611" s="570">
        <f t="shared" si="492"/>
        <v>5365.92</v>
      </c>
      <c r="AF611" s="570">
        <f t="shared" si="492"/>
        <v>5365.92</v>
      </c>
      <c r="AH611" s="571"/>
      <c r="AK611" s="531"/>
      <c r="AM611" s="594"/>
      <c r="AN611" s="535"/>
      <c r="AP611" s="549"/>
      <c r="AQ611" s="549"/>
    </row>
    <row r="612" spans="1:43" s="513" customFormat="1" ht="16.5" hidden="1" customHeight="1" outlineLevel="2">
      <c r="A612" s="584"/>
      <c r="B612" s="572" t="s">
        <v>805</v>
      </c>
      <c r="C612" s="592">
        <f t="shared" ref="C612:AF612" si="493">C578</f>
        <v>2</v>
      </c>
      <c r="D612" s="592">
        <f t="shared" si="493"/>
        <v>2</v>
      </c>
      <c r="E612" s="592">
        <f t="shared" si="493"/>
        <v>2</v>
      </c>
      <c r="F612" s="592">
        <f t="shared" si="493"/>
        <v>2</v>
      </c>
      <c r="G612" s="592">
        <f t="shared" si="493"/>
        <v>2</v>
      </c>
      <c r="H612" s="592">
        <f t="shared" si="493"/>
        <v>2</v>
      </c>
      <c r="I612" s="592">
        <f t="shared" si="493"/>
        <v>2</v>
      </c>
      <c r="J612" s="592">
        <f t="shared" si="493"/>
        <v>2</v>
      </c>
      <c r="K612" s="592">
        <f t="shared" si="493"/>
        <v>2</v>
      </c>
      <c r="L612" s="592">
        <f t="shared" si="493"/>
        <v>2</v>
      </c>
      <c r="M612" s="592">
        <f t="shared" si="493"/>
        <v>2</v>
      </c>
      <c r="N612" s="592">
        <f t="shared" si="493"/>
        <v>2</v>
      </c>
      <c r="O612" s="592">
        <f t="shared" si="493"/>
        <v>2</v>
      </c>
      <c r="P612" s="592">
        <f t="shared" si="493"/>
        <v>2</v>
      </c>
      <c r="Q612" s="592">
        <f t="shared" si="493"/>
        <v>2</v>
      </c>
      <c r="R612" s="592">
        <f t="shared" si="493"/>
        <v>2</v>
      </c>
      <c r="S612" s="592">
        <f t="shared" si="493"/>
        <v>2</v>
      </c>
      <c r="T612" s="592">
        <f t="shared" si="493"/>
        <v>2</v>
      </c>
      <c r="U612" s="592">
        <f t="shared" si="493"/>
        <v>2</v>
      </c>
      <c r="V612" s="592">
        <f t="shared" si="493"/>
        <v>2</v>
      </c>
      <c r="W612" s="592">
        <f t="shared" si="493"/>
        <v>2</v>
      </c>
      <c r="X612" s="592">
        <f t="shared" si="493"/>
        <v>2</v>
      </c>
      <c r="Y612" s="592">
        <f t="shared" si="493"/>
        <v>2</v>
      </c>
      <c r="Z612" s="592">
        <f t="shared" si="493"/>
        <v>2</v>
      </c>
      <c r="AA612" s="592">
        <f t="shared" si="493"/>
        <v>2</v>
      </c>
      <c r="AB612" s="592">
        <f t="shared" si="493"/>
        <v>2</v>
      </c>
      <c r="AC612" s="592">
        <f t="shared" si="493"/>
        <v>2</v>
      </c>
      <c r="AD612" s="592">
        <f t="shared" si="493"/>
        <v>2</v>
      </c>
      <c r="AE612" s="592">
        <f t="shared" si="493"/>
        <v>2</v>
      </c>
      <c r="AF612" s="592">
        <f t="shared" si="493"/>
        <v>2</v>
      </c>
      <c r="AH612" s="538"/>
      <c r="AK612" s="531"/>
      <c r="AM612" s="594"/>
      <c r="AN612" s="535"/>
      <c r="AP612" s="540"/>
      <c r="AQ612" s="540"/>
    </row>
    <row r="613" spans="1:43" s="513" customFormat="1" ht="16.5" hidden="1" customHeight="1" outlineLevel="2">
      <c r="A613" s="584"/>
      <c r="B613" s="572" t="s">
        <v>888</v>
      </c>
      <c r="C613" s="592">
        <f>EPIs_unif.!$D$16+EPIs_unif.!$D$42</f>
        <v>2682.96</v>
      </c>
      <c r="D613" s="592">
        <f>C613</f>
        <v>2682.96</v>
      </c>
      <c r="E613" s="592">
        <f t="shared" ref="E613:AF613" si="494">D613</f>
        <v>2682.96</v>
      </c>
      <c r="F613" s="592">
        <f t="shared" si="494"/>
        <v>2682.96</v>
      </c>
      <c r="G613" s="592">
        <f t="shared" si="494"/>
        <v>2682.96</v>
      </c>
      <c r="H613" s="592">
        <f t="shared" si="494"/>
        <v>2682.96</v>
      </c>
      <c r="I613" s="592">
        <f t="shared" si="494"/>
        <v>2682.96</v>
      </c>
      <c r="J613" s="592">
        <f t="shared" si="494"/>
        <v>2682.96</v>
      </c>
      <c r="K613" s="592">
        <f t="shared" si="494"/>
        <v>2682.96</v>
      </c>
      <c r="L613" s="592">
        <f t="shared" si="494"/>
        <v>2682.96</v>
      </c>
      <c r="M613" s="592">
        <f t="shared" si="494"/>
        <v>2682.96</v>
      </c>
      <c r="N613" s="592">
        <f t="shared" si="494"/>
        <v>2682.96</v>
      </c>
      <c r="O613" s="592">
        <f t="shared" si="494"/>
        <v>2682.96</v>
      </c>
      <c r="P613" s="592">
        <f t="shared" si="494"/>
        <v>2682.96</v>
      </c>
      <c r="Q613" s="592">
        <f t="shared" si="494"/>
        <v>2682.96</v>
      </c>
      <c r="R613" s="592">
        <f t="shared" si="494"/>
        <v>2682.96</v>
      </c>
      <c r="S613" s="592">
        <f t="shared" si="494"/>
        <v>2682.96</v>
      </c>
      <c r="T613" s="592">
        <f t="shared" si="494"/>
        <v>2682.96</v>
      </c>
      <c r="U613" s="592">
        <f t="shared" si="494"/>
        <v>2682.96</v>
      </c>
      <c r="V613" s="592">
        <f t="shared" si="494"/>
        <v>2682.96</v>
      </c>
      <c r="W613" s="592">
        <f t="shared" si="494"/>
        <v>2682.96</v>
      </c>
      <c r="X613" s="592">
        <f t="shared" si="494"/>
        <v>2682.96</v>
      </c>
      <c r="Y613" s="592">
        <f t="shared" si="494"/>
        <v>2682.96</v>
      </c>
      <c r="Z613" s="592">
        <f t="shared" si="494"/>
        <v>2682.96</v>
      </c>
      <c r="AA613" s="592">
        <f t="shared" si="494"/>
        <v>2682.96</v>
      </c>
      <c r="AB613" s="592">
        <f t="shared" si="494"/>
        <v>2682.96</v>
      </c>
      <c r="AC613" s="592">
        <f t="shared" si="494"/>
        <v>2682.96</v>
      </c>
      <c r="AD613" s="592">
        <f t="shared" si="494"/>
        <v>2682.96</v>
      </c>
      <c r="AE613" s="592">
        <f t="shared" si="494"/>
        <v>2682.96</v>
      </c>
      <c r="AF613" s="592">
        <f t="shared" si="494"/>
        <v>2682.96</v>
      </c>
      <c r="AH613" s="538"/>
      <c r="AK613" s="531"/>
      <c r="AM613" s="594"/>
      <c r="AN613" s="535"/>
      <c r="AP613" s="540"/>
      <c r="AQ613" s="540"/>
    </row>
    <row r="614" spans="1:43" s="546" customFormat="1" ht="16.5" hidden="1" customHeight="1" outlineLevel="2">
      <c r="A614" s="584"/>
      <c r="B614" s="613" t="s">
        <v>931</v>
      </c>
      <c r="C614" s="570">
        <f>C615*C616</f>
        <v>10309.480000000001</v>
      </c>
      <c r="D614" s="570">
        <f t="shared" ref="D614:AF614" si="495">D615*D616</f>
        <v>10309.480000000001</v>
      </c>
      <c r="E614" s="570">
        <f t="shared" si="495"/>
        <v>10309.480000000001</v>
      </c>
      <c r="F614" s="570">
        <f t="shared" si="495"/>
        <v>10309.480000000001</v>
      </c>
      <c r="G614" s="570">
        <f t="shared" si="495"/>
        <v>10309.480000000001</v>
      </c>
      <c r="H614" s="570">
        <f t="shared" si="495"/>
        <v>10309.480000000001</v>
      </c>
      <c r="I614" s="570">
        <f t="shared" si="495"/>
        <v>10309.480000000001</v>
      </c>
      <c r="J614" s="570">
        <f t="shared" si="495"/>
        <v>10309.480000000001</v>
      </c>
      <c r="K614" s="570">
        <f t="shared" si="495"/>
        <v>10309.480000000001</v>
      </c>
      <c r="L614" s="570">
        <f t="shared" si="495"/>
        <v>10309.480000000001</v>
      </c>
      <c r="M614" s="570">
        <f t="shared" si="495"/>
        <v>10309.480000000001</v>
      </c>
      <c r="N614" s="570">
        <f t="shared" si="495"/>
        <v>10309.480000000001</v>
      </c>
      <c r="O614" s="570">
        <f t="shared" si="495"/>
        <v>10309.480000000001</v>
      </c>
      <c r="P614" s="570">
        <f t="shared" si="495"/>
        <v>10309.480000000001</v>
      </c>
      <c r="Q614" s="570">
        <f t="shared" si="495"/>
        <v>10309.480000000001</v>
      </c>
      <c r="R614" s="570">
        <f t="shared" si="495"/>
        <v>10309.480000000001</v>
      </c>
      <c r="S614" s="570">
        <f t="shared" si="495"/>
        <v>10309.480000000001</v>
      </c>
      <c r="T614" s="570">
        <f t="shared" si="495"/>
        <v>10309.480000000001</v>
      </c>
      <c r="U614" s="570">
        <f t="shared" si="495"/>
        <v>10309.480000000001</v>
      </c>
      <c r="V614" s="570">
        <f t="shared" si="495"/>
        <v>10309.480000000001</v>
      </c>
      <c r="W614" s="570">
        <f t="shared" si="495"/>
        <v>10309.480000000001</v>
      </c>
      <c r="X614" s="570">
        <f t="shared" si="495"/>
        <v>10309.480000000001</v>
      </c>
      <c r="Y614" s="570">
        <f t="shared" si="495"/>
        <v>10309.480000000001</v>
      </c>
      <c r="Z614" s="570">
        <f t="shared" si="495"/>
        <v>10309.480000000001</v>
      </c>
      <c r="AA614" s="570">
        <f t="shared" si="495"/>
        <v>10309.480000000001</v>
      </c>
      <c r="AB614" s="570">
        <f t="shared" si="495"/>
        <v>10309.480000000001</v>
      </c>
      <c r="AC614" s="570">
        <f t="shared" si="495"/>
        <v>10309.480000000001</v>
      </c>
      <c r="AD614" s="570">
        <f t="shared" si="495"/>
        <v>10309.480000000001</v>
      </c>
      <c r="AE614" s="570">
        <f t="shared" si="495"/>
        <v>10309.480000000001</v>
      </c>
      <c r="AF614" s="570">
        <f t="shared" si="495"/>
        <v>10309.480000000001</v>
      </c>
      <c r="AH614" s="571"/>
      <c r="AK614" s="531"/>
      <c r="AM614" s="594"/>
      <c r="AN614" s="535"/>
      <c r="AP614" s="549"/>
      <c r="AQ614" s="549"/>
    </row>
    <row r="615" spans="1:43" s="513" customFormat="1" ht="16.5" hidden="1" customHeight="1" outlineLevel="2">
      <c r="A615" s="584"/>
      <c r="B615" s="572" t="s">
        <v>805</v>
      </c>
      <c r="C615" s="592">
        <f t="shared" ref="C615:AF615" si="496">C585</f>
        <v>2</v>
      </c>
      <c r="D615" s="592">
        <f t="shared" si="496"/>
        <v>2</v>
      </c>
      <c r="E615" s="592">
        <f t="shared" si="496"/>
        <v>2</v>
      </c>
      <c r="F615" s="592">
        <f t="shared" si="496"/>
        <v>2</v>
      </c>
      <c r="G615" s="592">
        <f t="shared" si="496"/>
        <v>2</v>
      </c>
      <c r="H615" s="592">
        <f t="shared" si="496"/>
        <v>2</v>
      </c>
      <c r="I615" s="592">
        <f t="shared" si="496"/>
        <v>2</v>
      </c>
      <c r="J615" s="592">
        <f t="shared" si="496"/>
        <v>2</v>
      </c>
      <c r="K615" s="592">
        <f t="shared" si="496"/>
        <v>2</v>
      </c>
      <c r="L615" s="592">
        <f t="shared" si="496"/>
        <v>2</v>
      </c>
      <c r="M615" s="592">
        <f t="shared" si="496"/>
        <v>2</v>
      </c>
      <c r="N615" s="592">
        <f t="shared" si="496"/>
        <v>2</v>
      </c>
      <c r="O615" s="592">
        <f t="shared" si="496"/>
        <v>2</v>
      </c>
      <c r="P615" s="592">
        <f t="shared" si="496"/>
        <v>2</v>
      </c>
      <c r="Q615" s="592">
        <f t="shared" si="496"/>
        <v>2</v>
      </c>
      <c r="R615" s="592">
        <f t="shared" si="496"/>
        <v>2</v>
      </c>
      <c r="S615" s="592">
        <f t="shared" si="496"/>
        <v>2</v>
      </c>
      <c r="T615" s="592">
        <f t="shared" si="496"/>
        <v>2</v>
      </c>
      <c r="U615" s="592">
        <f t="shared" si="496"/>
        <v>2</v>
      </c>
      <c r="V615" s="592">
        <f t="shared" si="496"/>
        <v>2</v>
      </c>
      <c r="W615" s="592">
        <f t="shared" si="496"/>
        <v>2</v>
      </c>
      <c r="X615" s="592">
        <f t="shared" si="496"/>
        <v>2</v>
      </c>
      <c r="Y615" s="592">
        <f t="shared" si="496"/>
        <v>2</v>
      </c>
      <c r="Z615" s="592">
        <f t="shared" si="496"/>
        <v>2</v>
      </c>
      <c r="AA615" s="592">
        <f t="shared" si="496"/>
        <v>2</v>
      </c>
      <c r="AB615" s="592">
        <f t="shared" si="496"/>
        <v>2</v>
      </c>
      <c r="AC615" s="592">
        <f t="shared" si="496"/>
        <v>2</v>
      </c>
      <c r="AD615" s="592">
        <f t="shared" si="496"/>
        <v>2</v>
      </c>
      <c r="AE615" s="592">
        <f t="shared" si="496"/>
        <v>2</v>
      </c>
      <c r="AF615" s="592">
        <f t="shared" si="496"/>
        <v>2</v>
      </c>
      <c r="AH615" s="538"/>
      <c r="AK615" s="531"/>
      <c r="AM615" s="594"/>
      <c r="AN615" s="535"/>
      <c r="AP615" s="540"/>
      <c r="AQ615" s="540"/>
    </row>
    <row r="616" spans="1:43" s="513" customFormat="1" ht="16.5" hidden="1" customHeight="1" outlineLevel="2">
      <c r="A616" s="584"/>
      <c r="B616" s="572" t="s">
        <v>888</v>
      </c>
      <c r="C616" s="592">
        <f>EPIs_unif.!$D$10+EPIs_unif.!$D$36</f>
        <v>5154.7400000000007</v>
      </c>
      <c r="D616" s="592">
        <f>C616</f>
        <v>5154.7400000000007</v>
      </c>
      <c r="E616" s="592">
        <f t="shared" ref="E616:AF616" si="497">D616</f>
        <v>5154.7400000000007</v>
      </c>
      <c r="F616" s="592">
        <f t="shared" si="497"/>
        <v>5154.7400000000007</v>
      </c>
      <c r="G616" s="592">
        <f t="shared" si="497"/>
        <v>5154.7400000000007</v>
      </c>
      <c r="H616" s="592">
        <f t="shared" si="497"/>
        <v>5154.7400000000007</v>
      </c>
      <c r="I616" s="592">
        <f t="shared" si="497"/>
        <v>5154.7400000000007</v>
      </c>
      <c r="J616" s="592">
        <f t="shared" si="497"/>
        <v>5154.7400000000007</v>
      </c>
      <c r="K616" s="592">
        <f t="shared" si="497"/>
        <v>5154.7400000000007</v>
      </c>
      <c r="L616" s="592">
        <f t="shared" si="497"/>
        <v>5154.7400000000007</v>
      </c>
      <c r="M616" s="592">
        <f t="shared" si="497"/>
        <v>5154.7400000000007</v>
      </c>
      <c r="N616" s="592">
        <f t="shared" si="497"/>
        <v>5154.7400000000007</v>
      </c>
      <c r="O616" s="592">
        <f t="shared" si="497"/>
        <v>5154.7400000000007</v>
      </c>
      <c r="P616" s="592">
        <f t="shared" si="497"/>
        <v>5154.7400000000007</v>
      </c>
      <c r="Q616" s="592">
        <f t="shared" si="497"/>
        <v>5154.7400000000007</v>
      </c>
      <c r="R616" s="592">
        <f t="shared" si="497"/>
        <v>5154.7400000000007</v>
      </c>
      <c r="S616" s="592">
        <f t="shared" si="497"/>
        <v>5154.7400000000007</v>
      </c>
      <c r="T616" s="592">
        <f t="shared" si="497"/>
        <v>5154.7400000000007</v>
      </c>
      <c r="U616" s="592">
        <f t="shared" si="497"/>
        <v>5154.7400000000007</v>
      </c>
      <c r="V616" s="592">
        <f t="shared" si="497"/>
        <v>5154.7400000000007</v>
      </c>
      <c r="W616" s="592">
        <f t="shared" si="497"/>
        <v>5154.7400000000007</v>
      </c>
      <c r="X616" s="592">
        <f t="shared" si="497"/>
        <v>5154.7400000000007</v>
      </c>
      <c r="Y616" s="592">
        <f t="shared" si="497"/>
        <v>5154.7400000000007</v>
      </c>
      <c r="Z616" s="592">
        <f t="shared" si="497"/>
        <v>5154.7400000000007</v>
      </c>
      <c r="AA616" s="592">
        <f t="shared" si="497"/>
        <v>5154.7400000000007</v>
      </c>
      <c r="AB616" s="592">
        <f t="shared" si="497"/>
        <v>5154.7400000000007</v>
      </c>
      <c r="AC616" s="592">
        <f t="shared" si="497"/>
        <v>5154.7400000000007</v>
      </c>
      <c r="AD616" s="592">
        <f t="shared" si="497"/>
        <v>5154.7400000000007</v>
      </c>
      <c r="AE616" s="592">
        <f t="shared" si="497"/>
        <v>5154.7400000000007</v>
      </c>
      <c r="AF616" s="592">
        <f t="shared" si="497"/>
        <v>5154.7400000000007</v>
      </c>
      <c r="AH616" s="538"/>
      <c r="AK616" s="531"/>
      <c r="AM616" s="594"/>
      <c r="AN616" s="535"/>
      <c r="AP616" s="540"/>
      <c r="AQ616" s="540"/>
    </row>
    <row r="617" spans="1:43" s="513" customFormat="1" ht="9" hidden="1" customHeight="1" outlineLevel="2">
      <c r="A617" s="584"/>
      <c r="B617" s="572"/>
      <c r="C617" s="592"/>
      <c r="D617" s="592"/>
      <c r="E617" s="592"/>
      <c r="F617" s="592"/>
      <c r="G617" s="592"/>
      <c r="H617" s="592"/>
      <c r="I617" s="592"/>
      <c r="J617" s="592"/>
      <c r="K617" s="592"/>
      <c r="L617" s="592"/>
      <c r="M617" s="592"/>
      <c r="N617" s="592"/>
      <c r="O617" s="592"/>
      <c r="P617" s="592"/>
      <c r="Q617" s="592"/>
      <c r="R617" s="592"/>
      <c r="S617" s="592"/>
      <c r="T617" s="592"/>
      <c r="U617" s="592"/>
      <c r="V617" s="592"/>
      <c r="W617" s="592"/>
      <c r="X617" s="592"/>
      <c r="Y617" s="592"/>
      <c r="Z617" s="592"/>
      <c r="AA617" s="592"/>
      <c r="AB617" s="592"/>
      <c r="AC617" s="592"/>
      <c r="AD617" s="592"/>
      <c r="AE617" s="592"/>
      <c r="AF617" s="592"/>
      <c r="AH617" s="538"/>
      <c r="AK617" s="531"/>
      <c r="AM617" s="539"/>
      <c r="AN617" s="540"/>
      <c r="AP617" s="540"/>
      <c r="AQ617" s="540"/>
    </row>
    <row r="618" spans="1:43" ht="16.5" customHeight="1">
      <c r="A618" s="584"/>
      <c r="B618" s="749" t="s">
        <v>822</v>
      </c>
      <c r="C618" s="710">
        <f t="shared" ref="C618:AF618" si="498">SUM(C627,C632,C644,C656,C662,C672,C679,C687,C691,C708,C724,C728,C742)*C3</f>
        <v>902.85758976611521</v>
      </c>
      <c r="D618" s="710">
        <f t="shared" si="498"/>
        <v>1027.1445066461151</v>
      </c>
      <c r="E618" s="710">
        <f t="shared" si="498"/>
        <v>1027.4155866461151</v>
      </c>
      <c r="F618" s="710">
        <f t="shared" si="498"/>
        <v>1027.4155866461151</v>
      </c>
      <c r="G618" s="710">
        <f t="shared" si="498"/>
        <v>1027.4155866461151</v>
      </c>
      <c r="H618" s="710">
        <f t="shared" si="498"/>
        <v>1027.4155866461151</v>
      </c>
      <c r="I618" s="710">
        <f t="shared" si="498"/>
        <v>1027.4155866461151</v>
      </c>
      <c r="J618" s="710">
        <f t="shared" si="498"/>
        <v>1027.4155866461151</v>
      </c>
      <c r="K618" s="710">
        <f t="shared" si="498"/>
        <v>1027.4155866461151</v>
      </c>
      <c r="L618" s="710">
        <f t="shared" si="498"/>
        <v>1089.8466100861149</v>
      </c>
      <c r="M618" s="710">
        <f t="shared" si="498"/>
        <v>1089.8466100861149</v>
      </c>
      <c r="N618" s="710">
        <f t="shared" si="498"/>
        <v>1089.8466100861149</v>
      </c>
      <c r="O618" s="710">
        <f t="shared" si="498"/>
        <v>1089.8466100861149</v>
      </c>
      <c r="P618" s="710">
        <f t="shared" si="498"/>
        <v>1089.8466100861149</v>
      </c>
      <c r="Q618" s="710">
        <f t="shared" si="498"/>
        <v>1089.8466100861149</v>
      </c>
      <c r="R618" s="710">
        <f t="shared" si="498"/>
        <v>1089.8466100861149</v>
      </c>
      <c r="S618" s="710">
        <f t="shared" si="498"/>
        <v>1090.1176900861149</v>
      </c>
      <c r="T618" s="710">
        <f t="shared" si="498"/>
        <v>1090.1176900861149</v>
      </c>
      <c r="U618" s="710">
        <f t="shared" si="498"/>
        <v>1152.2776335261151</v>
      </c>
      <c r="V618" s="710">
        <f t="shared" si="498"/>
        <v>1152.2776335261151</v>
      </c>
      <c r="W618" s="710">
        <f t="shared" si="498"/>
        <v>1152.2776335261151</v>
      </c>
      <c r="X618" s="710">
        <f t="shared" si="498"/>
        <v>1152.2776335261151</v>
      </c>
      <c r="Y618" s="710">
        <f t="shared" si="498"/>
        <v>1152.2776335261151</v>
      </c>
      <c r="Z618" s="710">
        <f t="shared" si="498"/>
        <v>1152.5487135261151</v>
      </c>
      <c r="AA618" s="710">
        <f t="shared" si="498"/>
        <v>1152.5487135261151</v>
      </c>
      <c r="AB618" s="710">
        <f t="shared" si="498"/>
        <v>1152.5487135261151</v>
      </c>
      <c r="AC618" s="710">
        <f t="shared" si="498"/>
        <v>1214.7086569661151</v>
      </c>
      <c r="AD618" s="710">
        <f t="shared" si="498"/>
        <v>1214.7086569661151</v>
      </c>
      <c r="AE618" s="710">
        <f t="shared" si="498"/>
        <v>1214.7086569661151</v>
      </c>
      <c r="AF618" s="710">
        <f t="shared" si="498"/>
        <v>1214.7086569661151</v>
      </c>
      <c r="AG618" s="750"/>
      <c r="AH618" s="751">
        <f>SUM(C618:AF618)</f>
        <v>33008.94178978345</v>
      </c>
      <c r="AK618" s="531"/>
      <c r="AM618" s="533"/>
      <c r="AN618" s="535"/>
      <c r="AP618" s="535"/>
      <c r="AQ618" s="534"/>
    </row>
    <row r="619" spans="1:43" s="513" customFormat="1" ht="3" customHeight="1">
      <c r="A619" s="584"/>
      <c r="B619" s="541"/>
      <c r="C619" s="542"/>
      <c r="D619" s="542"/>
      <c r="E619" s="537"/>
      <c r="F619" s="537"/>
      <c r="G619" s="537"/>
      <c r="H619" s="537"/>
      <c r="I619" s="537"/>
      <c r="J619" s="537"/>
      <c r="K619" s="537"/>
      <c r="L619" s="537"/>
      <c r="M619" s="537"/>
      <c r="N619" s="537"/>
      <c r="O619" s="537"/>
      <c r="P619" s="537"/>
      <c r="Q619" s="537"/>
      <c r="R619" s="537"/>
      <c r="S619" s="537"/>
      <c r="T619" s="537"/>
      <c r="U619" s="537"/>
      <c r="V619" s="537"/>
      <c r="W619" s="537"/>
      <c r="X619" s="537"/>
      <c r="Y619" s="537"/>
      <c r="Z619" s="537"/>
      <c r="AA619" s="537"/>
      <c r="AB619" s="537"/>
      <c r="AC619" s="537"/>
      <c r="AD619" s="537"/>
      <c r="AE619" s="537"/>
      <c r="AF619" s="537"/>
      <c r="AH619" s="538"/>
      <c r="AJ619" s="629"/>
      <c r="AK619" s="531"/>
      <c r="AM619" s="539"/>
      <c r="AN619" s="540"/>
      <c r="AP619" s="540"/>
      <c r="AQ619" s="540"/>
    </row>
    <row r="620" spans="1:43" s="546" customFormat="1" ht="16.5" customHeight="1" collapsed="1">
      <c r="A620" s="584"/>
      <c r="B620" s="544" t="s">
        <v>947</v>
      </c>
      <c r="C620" s="545"/>
      <c r="D620" s="545"/>
      <c r="E620" s="545"/>
      <c r="F620" s="545"/>
      <c r="G620" s="545"/>
      <c r="H620" s="545"/>
      <c r="I620" s="545"/>
      <c r="J620" s="545"/>
      <c r="K620" s="545"/>
      <c r="L620" s="545"/>
      <c r="M620" s="545"/>
      <c r="N620" s="545"/>
      <c r="O620" s="545"/>
      <c r="P620" s="545"/>
      <c r="Q620" s="545"/>
      <c r="R620" s="545"/>
      <c r="S620" s="545"/>
      <c r="T620" s="545"/>
      <c r="U620" s="545"/>
      <c r="V620" s="545"/>
      <c r="W620" s="545"/>
      <c r="X620" s="545"/>
      <c r="Y620" s="545"/>
      <c r="Z620" s="545"/>
      <c r="AA620" s="545"/>
      <c r="AB620" s="545"/>
      <c r="AC620" s="545"/>
      <c r="AD620" s="545"/>
      <c r="AE620" s="545"/>
      <c r="AF620" s="545"/>
      <c r="AH620" s="571"/>
      <c r="AK620" s="531"/>
      <c r="AM620" s="539"/>
      <c r="AN620" s="540"/>
      <c r="AP620" s="549"/>
      <c r="AQ620" s="549"/>
    </row>
    <row r="621" spans="1:43" s="586" customFormat="1" ht="16.5" hidden="1" customHeight="1" outlineLevel="2">
      <c r="A621" s="584"/>
      <c r="B621" s="608" t="s">
        <v>823</v>
      </c>
      <c r="C621" s="554">
        <v>10</v>
      </c>
      <c r="D621" s="554">
        <v>11</v>
      </c>
      <c r="E621" s="554">
        <v>11</v>
      </c>
      <c r="F621" s="554">
        <v>11</v>
      </c>
      <c r="G621" s="554">
        <v>11</v>
      </c>
      <c r="H621" s="554">
        <v>11</v>
      </c>
      <c r="I621" s="554">
        <v>11</v>
      </c>
      <c r="J621" s="554">
        <v>11</v>
      </c>
      <c r="K621" s="554">
        <v>11</v>
      </c>
      <c r="L621" s="554">
        <v>12</v>
      </c>
      <c r="M621" s="554">
        <v>12</v>
      </c>
      <c r="N621" s="554">
        <v>12</v>
      </c>
      <c r="O621" s="554">
        <v>12</v>
      </c>
      <c r="P621" s="554">
        <v>12</v>
      </c>
      <c r="Q621" s="554">
        <v>12</v>
      </c>
      <c r="R621" s="554">
        <v>12</v>
      </c>
      <c r="S621" s="554">
        <v>12</v>
      </c>
      <c r="T621" s="554">
        <v>12</v>
      </c>
      <c r="U621" s="554">
        <v>13</v>
      </c>
      <c r="V621" s="554">
        <v>13</v>
      </c>
      <c r="W621" s="554">
        <v>13</v>
      </c>
      <c r="X621" s="554">
        <v>13</v>
      </c>
      <c r="Y621" s="554">
        <v>13</v>
      </c>
      <c r="Z621" s="554">
        <v>13</v>
      </c>
      <c r="AA621" s="554">
        <v>13</v>
      </c>
      <c r="AB621" s="554">
        <v>13</v>
      </c>
      <c r="AC621" s="554">
        <v>14</v>
      </c>
      <c r="AD621" s="554">
        <v>14</v>
      </c>
      <c r="AE621" s="554">
        <v>14</v>
      </c>
      <c r="AF621" s="554">
        <v>14</v>
      </c>
      <c r="AH621" s="587"/>
      <c r="AK621" s="588"/>
      <c r="AM621" s="589"/>
      <c r="AN621" s="591"/>
      <c r="AP621" s="591"/>
      <c r="AQ621" s="591"/>
    </row>
    <row r="622" spans="1:43" s="586" customFormat="1" ht="16.5" hidden="1" customHeight="1" outlineLevel="2">
      <c r="A622" s="584"/>
      <c r="B622" s="608" t="s">
        <v>954</v>
      </c>
      <c r="C622" s="554">
        <v>50</v>
      </c>
      <c r="D622" s="554">
        <v>50</v>
      </c>
      <c r="E622" s="554">
        <v>50</v>
      </c>
      <c r="F622" s="554">
        <v>50</v>
      </c>
      <c r="G622" s="554">
        <v>50</v>
      </c>
      <c r="H622" s="554">
        <v>50</v>
      </c>
      <c r="I622" s="554">
        <v>50</v>
      </c>
      <c r="J622" s="554">
        <v>50</v>
      </c>
      <c r="K622" s="554">
        <v>50</v>
      </c>
      <c r="L622" s="554">
        <v>50</v>
      </c>
      <c r="M622" s="554">
        <v>50</v>
      </c>
      <c r="N622" s="554">
        <v>50</v>
      </c>
      <c r="O622" s="554">
        <v>50</v>
      </c>
      <c r="P622" s="554">
        <v>50</v>
      </c>
      <c r="Q622" s="554">
        <v>50</v>
      </c>
      <c r="R622" s="554">
        <v>50</v>
      </c>
      <c r="S622" s="554">
        <v>50</v>
      </c>
      <c r="T622" s="554">
        <v>50</v>
      </c>
      <c r="U622" s="554">
        <v>50</v>
      </c>
      <c r="V622" s="554">
        <v>50</v>
      </c>
      <c r="W622" s="554">
        <v>50</v>
      </c>
      <c r="X622" s="554">
        <v>50</v>
      </c>
      <c r="Y622" s="554">
        <v>50</v>
      </c>
      <c r="Z622" s="554">
        <v>50</v>
      </c>
      <c r="AA622" s="554">
        <v>50</v>
      </c>
      <c r="AB622" s="554">
        <v>50</v>
      </c>
      <c r="AC622" s="554">
        <v>50</v>
      </c>
      <c r="AD622" s="554">
        <v>50</v>
      </c>
      <c r="AE622" s="554">
        <v>50</v>
      </c>
      <c r="AF622" s="554">
        <v>50</v>
      </c>
      <c r="AH622" s="587"/>
      <c r="AK622" s="588"/>
      <c r="AM622" s="589"/>
      <c r="AN622" s="591"/>
      <c r="AP622" s="591"/>
      <c r="AQ622" s="591"/>
    </row>
    <row r="623" spans="1:43" s="586" customFormat="1" ht="16.5" hidden="1" customHeight="1" outlineLevel="2">
      <c r="A623" s="584"/>
      <c r="B623" s="608" t="s">
        <v>808</v>
      </c>
      <c r="C623" s="554">
        <v>1</v>
      </c>
      <c r="D623" s="554">
        <f t="shared" ref="D623:AF623" si="499">C623</f>
        <v>1</v>
      </c>
      <c r="E623" s="554">
        <f t="shared" si="499"/>
        <v>1</v>
      </c>
      <c r="F623" s="554">
        <f t="shared" si="499"/>
        <v>1</v>
      </c>
      <c r="G623" s="554">
        <f t="shared" si="499"/>
        <v>1</v>
      </c>
      <c r="H623" s="554">
        <f t="shared" si="499"/>
        <v>1</v>
      </c>
      <c r="I623" s="554">
        <f t="shared" si="499"/>
        <v>1</v>
      </c>
      <c r="J623" s="554">
        <f t="shared" si="499"/>
        <v>1</v>
      </c>
      <c r="K623" s="554">
        <f t="shared" si="499"/>
        <v>1</v>
      </c>
      <c r="L623" s="554">
        <f t="shared" si="499"/>
        <v>1</v>
      </c>
      <c r="M623" s="554">
        <f t="shared" si="499"/>
        <v>1</v>
      </c>
      <c r="N623" s="554">
        <f t="shared" si="499"/>
        <v>1</v>
      </c>
      <c r="O623" s="554">
        <f t="shared" si="499"/>
        <v>1</v>
      </c>
      <c r="P623" s="554">
        <f t="shared" si="499"/>
        <v>1</v>
      </c>
      <c r="Q623" s="554">
        <f t="shared" si="499"/>
        <v>1</v>
      </c>
      <c r="R623" s="554">
        <f t="shared" si="499"/>
        <v>1</v>
      </c>
      <c r="S623" s="554">
        <f t="shared" si="499"/>
        <v>1</v>
      </c>
      <c r="T623" s="554">
        <f t="shared" si="499"/>
        <v>1</v>
      </c>
      <c r="U623" s="554">
        <f t="shared" si="499"/>
        <v>1</v>
      </c>
      <c r="V623" s="554">
        <f t="shared" si="499"/>
        <v>1</v>
      </c>
      <c r="W623" s="554">
        <f t="shared" si="499"/>
        <v>1</v>
      </c>
      <c r="X623" s="554">
        <f t="shared" si="499"/>
        <v>1</v>
      </c>
      <c r="Y623" s="554">
        <f t="shared" si="499"/>
        <v>1</v>
      </c>
      <c r="Z623" s="554">
        <f t="shared" si="499"/>
        <v>1</v>
      </c>
      <c r="AA623" s="554">
        <f t="shared" si="499"/>
        <v>1</v>
      </c>
      <c r="AB623" s="554">
        <f t="shared" si="499"/>
        <v>1</v>
      </c>
      <c r="AC623" s="554">
        <f t="shared" si="499"/>
        <v>1</v>
      </c>
      <c r="AD623" s="554">
        <f t="shared" si="499"/>
        <v>1</v>
      </c>
      <c r="AE623" s="554">
        <f t="shared" si="499"/>
        <v>1</v>
      </c>
      <c r="AF623" s="554">
        <f t="shared" si="499"/>
        <v>1</v>
      </c>
      <c r="AH623" s="587"/>
      <c r="AK623" s="588"/>
      <c r="AM623" s="589"/>
      <c r="AN623" s="591"/>
      <c r="AP623" s="591"/>
      <c r="AQ623" s="591"/>
    </row>
    <row r="624" spans="1:43" s="586" customFormat="1" ht="16.5" hidden="1" customHeight="1" outlineLevel="2">
      <c r="A624" s="584"/>
      <c r="B624" s="608" t="s">
        <v>882</v>
      </c>
      <c r="C624" s="554">
        <v>1</v>
      </c>
      <c r="D624" s="554">
        <v>1</v>
      </c>
      <c r="E624" s="554">
        <v>1</v>
      </c>
      <c r="F624" s="554">
        <v>1</v>
      </c>
      <c r="G624" s="554">
        <v>1</v>
      </c>
      <c r="H624" s="554">
        <v>1</v>
      </c>
      <c r="I624" s="554">
        <v>1</v>
      </c>
      <c r="J624" s="554">
        <v>1</v>
      </c>
      <c r="K624" s="554">
        <v>1</v>
      </c>
      <c r="L624" s="554">
        <v>1</v>
      </c>
      <c r="M624" s="554">
        <v>1</v>
      </c>
      <c r="N624" s="554">
        <v>1</v>
      </c>
      <c r="O624" s="554">
        <v>1</v>
      </c>
      <c r="P624" s="554">
        <v>1</v>
      </c>
      <c r="Q624" s="554">
        <v>1</v>
      </c>
      <c r="R624" s="554">
        <v>1</v>
      </c>
      <c r="S624" s="554">
        <v>1</v>
      </c>
      <c r="T624" s="554">
        <v>1</v>
      </c>
      <c r="U624" s="554">
        <v>1</v>
      </c>
      <c r="V624" s="554">
        <v>1</v>
      </c>
      <c r="W624" s="554">
        <v>1</v>
      </c>
      <c r="X624" s="554">
        <v>1</v>
      </c>
      <c r="Y624" s="554">
        <v>1</v>
      </c>
      <c r="Z624" s="554">
        <v>1</v>
      </c>
      <c r="AA624" s="554">
        <v>1</v>
      </c>
      <c r="AB624" s="554">
        <v>1</v>
      </c>
      <c r="AC624" s="554">
        <v>1</v>
      </c>
      <c r="AD624" s="554">
        <v>1</v>
      </c>
      <c r="AE624" s="554">
        <v>1</v>
      </c>
      <c r="AF624" s="554">
        <v>1</v>
      </c>
      <c r="AH624" s="587"/>
      <c r="AK624" s="588"/>
      <c r="AM624" s="624"/>
      <c r="AN624" s="590"/>
      <c r="AP624" s="591"/>
      <c r="AQ624" s="591"/>
    </row>
    <row r="625" spans="1:43" s="620" customFormat="1" ht="16.5" customHeight="1" collapsed="1">
      <c r="A625" s="584"/>
      <c r="B625" s="618" t="s">
        <v>886</v>
      </c>
      <c r="C625" s="545">
        <f>SUM(C710,C717)</f>
        <v>13</v>
      </c>
      <c r="D625" s="545">
        <f t="shared" ref="D625:AF625" si="500">SUM(D710,D717)</f>
        <v>15</v>
      </c>
      <c r="E625" s="545">
        <f t="shared" si="500"/>
        <v>15</v>
      </c>
      <c r="F625" s="545">
        <f t="shared" si="500"/>
        <v>15</v>
      </c>
      <c r="G625" s="545">
        <f t="shared" si="500"/>
        <v>15</v>
      </c>
      <c r="H625" s="545">
        <f t="shared" si="500"/>
        <v>15</v>
      </c>
      <c r="I625" s="545">
        <f t="shared" si="500"/>
        <v>15</v>
      </c>
      <c r="J625" s="545">
        <f t="shared" si="500"/>
        <v>15</v>
      </c>
      <c r="K625" s="545">
        <f t="shared" si="500"/>
        <v>15</v>
      </c>
      <c r="L625" s="545">
        <f t="shared" si="500"/>
        <v>16</v>
      </c>
      <c r="M625" s="545">
        <f t="shared" si="500"/>
        <v>16</v>
      </c>
      <c r="N625" s="545">
        <f t="shared" si="500"/>
        <v>16</v>
      </c>
      <c r="O625" s="545">
        <f t="shared" si="500"/>
        <v>16</v>
      </c>
      <c r="P625" s="545">
        <f t="shared" si="500"/>
        <v>16</v>
      </c>
      <c r="Q625" s="545">
        <f t="shared" si="500"/>
        <v>16</v>
      </c>
      <c r="R625" s="545">
        <f t="shared" si="500"/>
        <v>16</v>
      </c>
      <c r="S625" s="545">
        <f t="shared" si="500"/>
        <v>16</v>
      </c>
      <c r="T625" s="545">
        <f t="shared" si="500"/>
        <v>16</v>
      </c>
      <c r="U625" s="545">
        <f t="shared" si="500"/>
        <v>17</v>
      </c>
      <c r="V625" s="545">
        <f t="shared" si="500"/>
        <v>17</v>
      </c>
      <c r="W625" s="545">
        <f t="shared" si="500"/>
        <v>17</v>
      </c>
      <c r="X625" s="545">
        <f t="shared" si="500"/>
        <v>17</v>
      </c>
      <c r="Y625" s="545">
        <f t="shared" si="500"/>
        <v>17</v>
      </c>
      <c r="Z625" s="545">
        <f t="shared" si="500"/>
        <v>17</v>
      </c>
      <c r="AA625" s="545">
        <f t="shared" si="500"/>
        <v>17</v>
      </c>
      <c r="AB625" s="545">
        <f t="shared" si="500"/>
        <v>17</v>
      </c>
      <c r="AC625" s="545">
        <f t="shared" si="500"/>
        <v>18</v>
      </c>
      <c r="AD625" s="545">
        <f t="shared" si="500"/>
        <v>18</v>
      </c>
      <c r="AE625" s="545">
        <f t="shared" si="500"/>
        <v>18</v>
      </c>
      <c r="AF625" s="545">
        <f t="shared" si="500"/>
        <v>18</v>
      </c>
      <c r="AG625" s="546"/>
      <c r="AH625" s="619"/>
      <c r="AI625" s="546"/>
      <c r="AJ625" s="546"/>
      <c r="AK625" s="531"/>
      <c r="AL625" s="546"/>
      <c r="AM625" s="548"/>
      <c r="AN625" s="540"/>
      <c r="AO625" s="546"/>
      <c r="AP625" s="549"/>
      <c r="AQ625" s="549"/>
    </row>
    <row r="626" spans="1:43" s="513" customFormat="1" ht="5.25" hidden="1" customHeight="1" outlineLevel="2">
      <c r="A626" s="584"/>
      <c r="B626" s="551"/>
      <c r="C626" s="555"/>
      <c r="D626" s="555"/>
      <c r="E626" s="555"/>
      <c r="F626" s="555"/>
      <c r="G626" s="555"/>
      <c r="H626" s="555"/>
      <c r="I626" s="555"/>
      <c r="J626" s="555"/>
      <c r="K626" s="555"/>
      <c r="L626" s="555"/>
      <c r="M626" s="555"/>
      <c r="N626" s="555"/>
      <c r="O626" s="555"/>
      <c r="P626" s="555"/>
      <c r="Q626" s="555"/>
      <c r="R626" s="555"/>
      <c r="S626" s="555"/>
      <c r="T626" s="555"/>
      <c r="U626" s="555"/>
      <c r="V626" s="555"/>
      <c r="W626" s="555"/>
      <c r="X626" s="555"/>
      <c r="Y626" s="555"/>
      <c r="Z626" s="555"/>
      <c r="AA626" s="555"/>
      <c r="AB626" s="555"/>
      <c r="AC626" s="555"/>
      <c r="AD626" s="555"/>
      <c r="AE626" s="555"/>
      <c r="AF626" s="555"/>
      <c r="AH626" s="538"/>
      <c r="AK626" s="531"/>
      <c r="AM626" s="539"/>
      <c r="AN626" s="540"/>
      <c r="AP626" s="540"/>
      <c r="AQ626" s="540"/>
    </row>
    <row r="627" spans="1:43" s="564" customFormat="1" ht="16.5" hidden="1" customHeight="1" outlineLevel="1" collapsed="1">
      <c r="A627" s="584"/>
      <c r="B627" s="576" t="s">
        <v>887</v>
      </c>
      <c r="C627" s="577">
        <f>SUM(C628)*12/10^3</f>
        <v>23.810065809600005</v>
      </c>
      <c r="D627" s="577">
        <f t="shared" ref="D627:AF627" si="501">SUM(D628)*12/10^3</f>
        <v>23.810065809600005</v>
      </c>
      <c r="E627" s="577">
        <f t="shared" si="501"/>
        <v>23.810065809600005</v>
      </c>
      <c r="F627" s="577">
        <f t="shared" si="501"/>
        <v>23.810065809600005</v>
      </c>
      <c r="G627" s="577">
        <f t="shared" si="501"/>
        <v>23.810065809600005</v>
      </c>
      <c r="H627" s="577">
        <f t="shared" si="501"/>
        <v>23.810065809600005</v>
      </c>
      <c r="I627" s="577">
        <f t="shared" si="501"/>
        <v>23.810065809600005</v>
      </c>
      <c r="J627" s="577">
        <f t="shared" si="501"/>
        <v>23.810065809600005</v>
      </c>
      <c r="K627" s="577">
        <f t="shared" si="501"/>
        <v>23.810065809600005</v>
      </c>
      <c r="L627" s="577">
        <f t="shared" si="501"/>
        <v>23.810065809600005</v>
      </c>
      <c r="M627" s="577">
        <f t="shared" si="501"/>
        <v>23.810065809600005</v>
      </c>
      <c r="N627" s="577">
        <f t="shared" si="501"/>
        <v>23.810065809600005</v>
      </c>
      <c r="O627" s="577">
        <f t="shared" si="501"/>
        <v>23.810065809600005</v>
      </c>
      <c r="P627" s="577">
        <f t="shared" si="501"/>
        <v>23.810065809600005</v>
      </c>
      <c r="Q627" s="577">
        <f t="shared" si="501"/>
        <v>23.810065809600005</v>
      </c>
      <c r="R627" s="577">
        <f t="shared" si="501"/>
        <v>23.810065809600005</v>
      </c>
      <c r="S627" s="577">
        <f t="shared" si="501"/>
        <v>23.810065809600005</v>
      </c>
      <c r="T627" s="577">
        <f t="shared" si="501"/>
        <v>23.810065809600005</v>
      </c>
      <c r="U627" s="577">
        <f t="shared" si="501"/>
        <v>23.810065809600005</v>
      </c>
      <c r="V627" s="577">
        <f t="shared" si="501"/>
        <v>23.810065809600005</v>
      </c>
      <c r="W627" s="577">
        <f t="shared" si="501"/>
        <v>23.810065809600005</v>
      </c>
      <c r="X627" s="577">
        <f t="shared" si="501"/>
        <v>23.810065809600005</v>
      </c>
      <c r="Y627" s="577">
        <f t="shared" si="501"/>
        <v>23.810065809600005</v>
      </c>
      <c r="Z627" s="577">
        <f t="shared" si="501"/>
        <v>23.810065809600005</v>
      </c>
      <c r="AA627" s="577">
        <f t="shared" si="501"/>
        <v>23.810065809600005</v>
      </c>
      <c r="AB627" s="577">
        <f t="shared" si="501"/>
        <v>23.810065809600005</v>
      </c>
      <c r="AC627" s="577">
        <f t="shared" si="501"/>
        <v>23.810065809600005</v>
      </c>
      <c r="AD627" s="577">
        <f t="shared" si="501"/>
        <v>23.810065809600005</v>
      </c>
      <c r="AE627" s="577">
        <f t="shared" si="501"/>
        <v>23.810065809600005</v>
      </c>
      <c r="AF627" s="577">
        <f t="shared" si="501"/>
        <v>23.810065809600005</v>
      </c>
      <c r="AH627" s="578">
        <f>SUM(C627:AF627)</f>
        <v>714.30197428800045</v>
      </c>
      <c r="AJ627" s="566"/>
      <c r="AK627" s="531"/>
      <c r="AM627" s="594"/>
      <c r="AN627" s="535"/>
      <c r="AP627" s="568"/>
      <c r="AQ627" s="568"/>
    </row>
    <row r="628" spans="1:43" s="546" customFormat="1" ht="16.5" hidden="1" customHeight="1" outlineLevel="2">
      <c r="A628" s="584"/>
      <c r="B628" s="569" t="s">
        <v>882</v>
      </c>
      <c r="C628" s="570">
        <f>C629*C630</f>
        <v>1984.1721508000003</v>
      </c>
      <c r="D628" s="570">
        <f t="shared" ref="D628:AF628" si="502">D629*D630</f>
        <v>1984.1721508000003</v>
      </c>
      <c r="E628" s="570">
        <f t="shared" si="502"/>
        <v>1984.1721508000003</v>
      </c>
      <c r="F628" s="570">
        <f t="shared" si="502"/>
        <v>1984.1721508000003</v>
      </c>
      <c r="G628" s="570">
        <f t="shared" si="502"/>
        <v>1984.1721508000003</v>
      </c>
      <c r="H628" s="570">
        <f t="shared" si="502"/>
        <v>1984.1721508000003</v>
      </c>
      <c r="I628" s="570">
        <f t="shared" si="502"/>
        <v>1984.1721508000003</v>
      </c>
      <c r="J628" s="570">
        <f t="shared" si="502"/>
        <v>1984.1721508000003</v>
      </c>
      <c r="K628" s="570">
        <f t="shared" si="502"/>
        <v>1984.1721508000003</v>
      </c>
      <c r="L628" s="570">
        <f t="shared" si="502"/>
        <v>1984.1721508000003</v>
      </c>
      <c r="M628" s="570">
        <f t="shared" si="502"/>
        <v>1984.1721508000003</v>
      </c>
      <c r="N628" s="570">
        <f t="shared" si="502"/>
        <v>1984.1721508000003</v>
      </c>
      <c r="O628" s="570">
        <f t="shared" si="502"/>
        <v>1984.1721508000003</v>
      </c>
      <c r="P628" s="570">
        <f t="shared" si="502"/>
        <v>1984.1721508000003</v>
      </c>
      <c r="Q628" s="570">
        <f t="shared" si="502"/>
        <v>1984.1721508000003</v>
      </c>
      <c r="R628" s="570">
        <f t="shared" si="502"/>
        <v>1984.1721508000003</v>
      </c>
      <c r="S628" s="570">
        <f t="shared" si="502"/>
        <v>1984.1721508000003</v>
      </c>
      <c r="T628" s="570">
        <f t="shared" si="502"/>
        <v>1984.1721508000003</v>
      </c>
      <c r="U628" s="570">
        <f t="shared" si="502"/>
        <v>1984.1721508000003</v>
      </c>
      <c r="V628" s="570">
        <f t="shared" si="502"/>
        <v>1984.1721508000003</v>
      </c>
      <c r="W628" s="570">
        <f t="shared" si="502"/>
        <v>1984.1721508000003</v>
      </c>
      <c r="X628" s="570">
        <f t="shared" si="502"/>
        <v>1984.1721508000003</v>
      </c>
      <c r="Y628" s="570">
        <f t="shared" si="502"/>
        <v>1984.1721508000003</v>
      </c>
      <c r="Z628" s="570">
        <f t="shared" si="502"/>
        <v>1984.1721508000003</v>
      </c>
      <c r="AA628" s="570">
        <f t="shared" si="502"/>
        <v>1984.1721508000003</v>
      </c>
      <c r="AB628" s="570">
        <f t="shared" si="502"/>
        <v>1984.1721508000003</v>
      </c>
      <c r="AC628" s="570">
        <f t="shared" si="502"/>
        <v>1984.1721508000003</v>
      </c>
      <c r="AD628" s="570">
        <f t="shared" si="502"/>
        <v>1984.1721508000003</v>
      </c>
      <c r="AE628" s="570">
        <f t="shared" si="502"/>
        <v>1984.1721508000003</v>
      </c>
      <c r="AF628" s="570">
        <f t="shared" si="502"/>
        <v>1984.1721508000003</v>
      </c>
      <c r="AH628" s="571"/>
      <c r="AK628" s="531"/>
      <c r="AM628" s="594"/>
      <c r="AN628" s="535"/>
      <c r="AP628" s="549"/>
      <c r="AQ628" s="549"/>
    </row>
    <row r="629" spans="1:43" s="586" customFormat="1" ht="16.5" hidden="1" customHeight="1" outlineLevel="2">
      <c r="A629" s="584"/>
      <c r="B629" s="585" t="s">
        <v>805</v>
      </c>
      <c r="C629" s="716">
        <f>C624</f>
        <v>1</v>
      </c>
      <c r="D629" s="716">
        <f t="shared" ref="D629:AF629" si="503">D624</f>
        <v>1</v>
      </c>
      <c r="E629" s="716">
        <f t="shared" si="503"/>
        <v>1</v>
      </c>
      <c r="F629" s="716">
        <f t="shared" si="503"/>
        <v>1</v>
      </c>
      <c r="G629" s="716">
        <f t="shared" si="503"/>
        <v>1</v>
      </c>
      <c r="H629" s="716">
        <f t="shared" si="503"/>
        <v>1</v>
      </c>
      <c r="I629" s="716">
        <f t="shared" si="503"/>
        <v>1</v>
      </c>
      <c r="J629" s="716">
        <f t="shared" si="503"/>
        <v>1</v>
      </c>
      <c r="K629" s="716">
        <f t="shared" si="503"/>
        <v>1</v>
      </c>
      <c r="L629" s="716">
        <f t="shared" si="503"/>
        <v>1</v>
      </c>
      <c r="M629" s="716">
        <f t="shared" si="503"/>
        <v>1</v>
      </c>
      <c r="N629" s="716">
        <f t="shared" si="503"/>
        <v>1</v>
      </c>
      <c r="O629" s="716">
        <f t="shared" si="503"/>
        <v>1</v>
      </c>
      <c r="P629" s="716">
        <f t="shared" si="503"/>
        <v>1</v>
      </c>
      <c r="Q629" s="716">
        <f t="shared" si="503"/>
        <v>1</v>
      </c>
      <c r="R629" s="716">
        <f t="shared" si="503"/>
        <v>1</v>
      </c>
      <c r="S629" s="716">
        <f t="shared" si="503"/>
        <v>1</v>
      </c>
      <c r="T629" s="716">
        <f t="shared" si="503"/>
        <v>1</v>
      </c>
      <c r="U629" s="716">
        <f t="shared" si="503"/>
        <v>1</v>
      </c>
      <c r="V629" s="716">
        <f t="shared" si="503"/>
        <v>1</v>
      </c>
      <c r="W629" s="716">
        <f t="shared" si="503"/>
        <v>1</v>
      </c>
      <c r="X629" s="716">
        <f t="shared" si="503"/>
        <v>1</v>
      </c>
      <c r="Y629" s="716">
        <f t="shared" si="503"/>
        <v>1</v>
      </c>
      <c r="Z629" s="716">
        <f t="shared" si="503"/>
        <v>1</v>
      </c>
      <c r="AA629" s="716">
        <f t="shared" si="503"/>
        <v>1</v>
      </c>
      <c r="AB629" s="716">
        <f t="shared" si="503"/>
        <v>1</v>
      </c>
      <c r="AC629" s="716">
        <f t="shared" si="503"/>
        <v>1</v>
      </c>
      <c r="AD629" s="716">
        <f t="shared" si="503"/>
        <v>1</v>
      </c>
      <c r="AE629" s="716">
        <f t="shared" si="503"/>
        <v>1</v>
      </c>
      <c r="AF629" s="716">
        <f t="shared" si="503"/>
        <v>1</v>
      </c>
      <c r="AH629" s="587"/>
      <c r="AK629" s="588"/>
      <c r="AM629" s="624"/>
      <c r="AN629" s="590"/>
      <c r="AP629" s="591"/>
      <c r="AQ629" s="591"/>
    </row>
    <row r="630" spans="1:43" s="513" customFormat="1" ht="16.5" hidden="1" customHeight="1" outlineLevel="2">
      <c r="A630" s="584"/>
      <c r="B630" s="572" t="s">
        <v>888</v>
      </c>
      <c r="C630" s="632">
        <f>Insumos!$E$174</f>
        <v>1984.1721508000003</v>
      </c>
      <c r="D630" s="574">
        <f>C630</f>
        <v>1984.1721508000003</v>
      </c>
      <c r="E630" s="574">
        <f t="shared" ref="E630:AF630" si="504">D630</f>
        <v>1984.1721508000003</v>
      </c>
      <c r="F630" s="574">
        <f t="shared" si="504"/>
        <v>1984.1721508000003</v>
      </c>
      <c r="G630" s="574">
        <f t="shared" si="504"/>
        <v>1984.1721508000003</v>
      </c>
      <c r="H630" s="574">
        <f t="shared" si="504"/>
        <v>1984.1721508000003</v>
      </c>
      <c r="I630" s="574">
        <f t="shared" si="504"/>
        <v>1984.1721508000003</v>
      </c>
      <c r="J630" s="574">
        <f t="shared" si="504"/>
        <v>1984.1721508000003</v>
      </c>
      <c r="K630" s="574">
        <f t="shared" si="504"/>
        <v>1984.1721508000003</v>
      </c>
      <c r="L630" s="574">
        <f t="shared" si="504"/>
        <v>1984.1721508000003</v>
      </c>
      <c r="M630" s="574">
        <f t="shared" si="504"/>
        <v>1984.1721508000003</v>
      </c>
      <c r="N630" s="574">
        <f t="shared" si="504"/>
        <v>1984.1721508000003</v>
      </c>
      <c r="O630" s="574">
        <f t="shared" si="504"/>
        <v>1984.1721508000003</v>
      </c>
      <c r="P630" s="574">
        <f t="shared" si="504"/>
        <v>1984.1721508000003</v>
      </c>
      <c r="Q630" s="574">
        <f t="shared" si="504"/>
        <v>1984.1721508000003</v>
      </c>
      <c r="R630" s="574">
        <f t="shared" si="504"/>
        <v>1984.1721508000003</v>
      </c>
      <c r="S630" s="574">
        <f t="shared" si="504"/>
        <v>1984.1721508000003</v>
      </c>
      <c r="T630" s="574">
        <f t="shared" si="504"/>
        <v>1984.1721508000003</v>
      </c>
      <c r="U630" s="574">
        <f t="shared" si="504"/>
        <v>1984.1721508000003</v>
      </c>
      <c r="V630" s="574">
        <f t="shared" si="504"/>
        <v>1984.1721508000003</v>
      </c>
      <c r="W630" s="574">
        <f t="shared" si="504"/>
        <v>1984.1721508000003</v>
      </c>
      <c r="X630" s="574">
        <f t="shared" si="504"/>
        <v>1984.1721508000003</v>
      </c>
      <c r="Y630" s="574">
        <f t="shared" si="504"/>
        <v>1984.1721508000003</v>
      </c>
      <c r="Z630" s="574">
        <f t="shared" si="504"/>
        <v>1984.1721508000003</v>
      </c>
      <c r="AA630" s="574">
        <f t="shared" si="504"/>
        <v>1984.1721508000003</v>
      </c>
      <c r="AB630" s="574">
        <f t="shared" si="504"/>
        <v>1984.1721508000003</v>
      </c>
      <c r="AC630" s="574">
        <f t="shared" si="504"/>
        <v>1984.1721508000003</v>
      </c>
      <c r="AD630" s="574">
        <f t="shared" si="504"/>
        <v>1984.1721508000003</v>
      </c>
      <c r="AE630" s="574">
        <f t="shared" si="504"/>
        <v>1984.1721508000003</v>
      </c>
      <c r="AF630" s="574">
        <f t="shared" si="504"/>
        <v>1984.1721508000003</v>
      </c>
      <c r="AH630" s="538"/>
      <c r="AK630" s="531"/>
      <c r="AM630" s="594"/>
      <c r="AN630" s="535"/>
      <c r="AP630" s="540"/>
      <c r="AQ630" s="540"/>
    </row>
    <row r="631" spans="1:43" s="513" customFormat="1" ht="3" hidden="1" customHeight="1" outlineLevel="2">
      <c r="A631" s="584"/>
      <c r="B631" s="572"/>
      <c r="C631" s="575"/>
      <c r="D631" s="575"/>
      <c r="E631" s="575"/>
      <c r="F631" s="575"/>
      <c r="G631" s="575"/>
      <c r="H631" s="575"/>
      <c r="I631" s="575"/>
      <c r="J631" s="575"/>
      <c r="K631" s="575"/>
      <c r="L631" s="575"/>
      <c r="M631" s="575"/>
      <c r="N631" s="575"/>
      <c r="O631" s="575"/>
      <c r="P631" s="575"/>
      <c r="Q631" s="575"/>
      <c r="R631" s="575"/>
      <c r="S631" s="575"/>
      <c r="T631" s="575"/>
      <c r="U631" s="575"/>
      <c r="V631" s="575"/>
      <c r="W631" s="575"/>
      <c r="X631" s="575"/>
      <c r="Y631" s="575"/>
      <c r="Z631" s="575"/>
      <c r="AA631" s="575"/>
      <c r="AB631" s="575"/>
      <c r="AC631" s="575"/>
      <c r="AD631" s="575"/>
      <c r="AE631" s="575"/>
      <c r="AF631" s="575"/>
      <c r="AH631" s="538"/>
      <c r="AK631" s="531"/>
      <c r="AM631" s="594"/>
      <c r="AN631" s="535"/>
      <c r="AP631" s="540"/>
      <c r="AQ631" s="540"/>
    </row>
    <row r="632" spans="1:43" s="564" customFormat="1" ht="16.5" hidden="1" customHeight="1" outlineLevel="1" collapsed="1">
      <c r="A632" s="584"/>
      <c r="B632" s="576" t="s">
        <v>890</v>
      </c>
      <c r="C632" s="577">
        <f>SUM(C633,C636,C639)*12/10^3</f>
        <v>6.4098750000000004</v>
      </c>
      <c r="D632" s="577">
        <f t="shared" ref="D632:AF632" si="505">SUM(D633,D636,D639)*12/10^3</f>
        <v>6.4428449999999993</v>
      </c>
      <c r="E632" s="577">
        <f t="shared" si="505"/>
        <v>6.4428449999999993</v>
      </c>
      <c r="F632" s="577">
        <f t="shared" si="505"/>
        <v>6.4428449999999993</v>
      </c>
      <c r="G632" s="577">
        <f t="shared" si="505"/>
        <v>6.4428449999999993</v>
      </c>
      <c r="H632" s="577">
        <f t="shared" si="505"/>
        <v>6.4428449999999993</v>
      </c>
      <c r="I632" s="577">
        <f t="shared" si="505"/>
        <v>6.4428449999999993</v>
      </c>
      <c r="J632" s="577">
        <f t="shared" si="505"/>
        <v>6.4428449999999993</v>
      </c>
      <c r="K632" s="577">
        <f t="shared" si="505"/>
        <v>6.4428449999999993</v>
      </c>
      <c r="L632" s="577">
        <f t="shared" si="505"/>
        <v>6.4758150000000008</v>
      </c>
      <c r="M632" s="577">
        <f t="shared" si="505"/>
        <v>6.4758150000000008</v>
      </c>
      <c r="N632" s="577">
        <f t="shared" si="505"/>
        <v>6.4758150000000008</v>
      </c>
      <c r="O632" s="577">
        <f t="shared" si="505"/>
        <v>6.4758150000000008</v>
      </c>
      <c r="P632" s="577">
        <f t="shared" si="505"/>
        <v>6.4758150000000008</v>
      </c>
      <c r="Q632" s="577">
        <f t="shared" si="505"/>
        <v>6.4758150000000008</v>
      </c>
      <c r="R632" s="577">
        <f t="shared" si="505"/>
        <v>6.4758150000000008</v>
      </c>
      <c r="S632" s="577">
        <f t="shared" si="505"/>
        <v>6.4758150000000008</v>
      </c>
      <c r="T632" s="577">
        <f t="shared" si="505"/>
        <v>6.4758150000000008</v>
      </c>
      <c r="U632" s="577">
        <f t="shared" si="505"/>
        <v>6.5087850000000005</v>
      </c>
      <c r="V632" s="577">
        <f t="shared" si="505"/>
        <v>6.5087850000000005</v>
      </c>
      <c r="W632" s="577">
        <f t="shared" si="505"/>
        <v>6.5087850000000005</v>
      </c>
      <c r="X632" s="577">
        <f t="shared" si="505"/>
        <v>6.5087850000000005</v>
      </c>
      <c r="Y632" s="577">
        <f t="shared" si="505"/>
        <v>6.5087850000000005</v>
      </c>
      <c r="Z632" s="577">
        <f t="shared" si="505"/>
        <v>6.5087850000000005</v>
      </c>
      <c r="AA632" s="577">
        <f t="shared" si="505"/>
        <v>6.5087850000000005</v>
      </c>
      <c r="AB632" s="577">
        <f t="shared" si="505"/>
        <v>6.5087850000000005</v>
      </c>
      <c r="AC632" s="577">
        <f t="shared" si="505"/>
        <v>6.5417550000000002</v>
      </c>
      <c r="AD632" s="577">
        <f t="shared" si="505"/>
        <v>6.5417550000000002</v>
      </c>
      <c r="AE632" s="577">
        <f t="shared" si="505"/>
        <v>6.5417550000000002</v>
      </c>
      <c r="AF632" s="577">
        <f t="shared" si="505"/>
        <v>6.5417550000000002</v>
      </c>
      <c r="AG632" s="627"/>
      <c r="AH632" s="578">
        <f>SUM(C632:AF632)</f>
        <v>194.4722699999999</v>
      </c>
      <c r="AJ632" s="579"/>
      <c r="AK632" s="531"/>
      <c r="AM632" s="594"/>
      <c r="AN632" s="535"/>
      <c r="AP632" s="568"/>
      <c r="AQ632" s="568"/>
    </row>
    <row r="633" spans="1:43" s="546" customFormat="1" ht="16.5" hidden="1" customHeight="1" outlineLevel="2">
      <c r="A633" s="584"/>
      <c r="B633" s="569" t="s">
        <v>823</v>
      </c>
      <c r="C633" s="581">
        <f>C634*C635</f>
        <v>27.475000000000005</v>
      </c>
      <c r="D633" s="581">
        <f t="shared" ref="D633:AF633" si="506">D634*D635</f>
        <v>30.222500000000004</v>
      </c>
      <c r="E633" s="581">
        <f t="shared" si="506"/>
        <v>30.222500000000004</v>
      </c>
      <c r="F633" s="581">
        <f t="shared" si="506"/>
        <v>30.222500000000004</v>
      </c>
      <c r="G633" s="581">
        <f t="shared" si="506"/>
        <v>30.222500000000004</v>
      </c>
      <c r="H633" s="581">
        <f t="shared" si="506"/>
        <v>30.222500000000004</v>
      </c>
      <c r="I633" s="581">
        <f t="shared" si="506"/>
        <v>30.222500000000004</v>
      </c>
      <c r="J633" s="581">
        <f t="shared" si="506"/>
        <v>30.222500000000004</v>
      </c>
      <c r="K633" s="581">
        <f t="shared" si="506"/>
        <v>30.222500000000004</v>
      </c>
      <c r="L633" s="581">
        <f t="shared" si="506"/>
        <v>32.970000000000006</v>
      </c>
      <c r="M633" s="581">
        <f t="shared" si="506"/>
        <v>32.970000000000006</v>
      </c>
      <c r="N633" s="581">
        <f t="shared" si="506"/>
        <v>32.970000000000006</v>
      </c>
      <c r="O633" s="581">
        <f t="shared" si="506"/>
        <v>32.970000000000006</v>
      </c>
      <c r="P633" s="581">
        <f t="shared" si="506"/>
        <v>32.970000000000006</v>
      </c>
      <c r="Q633" s="581">
        <f t="shared" si="506"/>
        <v>32.970000000000006</v>
      </c>
      <c r="R633" s="581">
        <f t="shared" si="506"/>
        <v>32.970000000000006</v>
      </c>
      <c r="S633" s="581">
        <f t="shared" si="506"/>
        <v>32.970000000000006</v>
      </c>
      <c r="T633" s="581">
        <f t="shared" si="506"/>
        <v>32.970000000000006</v>
      </c>
      <c r="U633" s="581">
        <f t="shared" si="506"/>
        <v>35.717500000000008</v>
      </c>
      <c r="V633" s="581">
        <f t="shared" si="506"/>
        <v>35.717500000000008</v>
      </c>
      <c r="W633" s="581">
        <f t="shared" si="506"/>
        <v>35.717500000000008</v>
      </c>
      <c r="X633" s="581">
        <f t="shared" si="506"/>
        <v>35.717500000000008</v>
      </c>
      <c r="Y633" s="581">
        <f t="shared" si="506"/>
        <v>35.717500000000008</v>
      </c>
      <c r="Z633" s="581">
        <f t="shared" si="506"/>
        <v>35.717500000000008</v>
      </c>
      <c r="AA633" s="581">
        <f t="shared" si="506"/>
        <v>35.717500000000008</v>
      </c>
      <c r="AB633" s="581">
        <f t="shared" si="506"/>
        <v>35.717500000000008</v>
      </c>
      <c r="AC633" s="581">
        <f t="shared" si="506"/>
        <v>38.465000000000003</v>
      </c>
      <c r="AD633" s="581">
        <f t="shared" si="506"/>
        <v>38.465000000000003</v>
      </c>
      <c r="AE633" s="581">
        <f t="shared" si="506"/>
        <v>38.465000000000003</v>
      </c>
      <c r="AF633" s="581">
        <f t="shared" si="506"/>
        <v>38.465000000000003</v>
      </c>
      <c r="AH633" s="571"/>
      <c r="AK633" s="531"/>
      <c r="AM633" s="594"/>
      <c r="AN633" s="535"/>
      <c r="AP633" s="549"/>
      <c r="AQ633" s="549"/>
    </row>
    <row r="634" spans="1:43" s="586" customFormat="1" ht="16.5" hidden="1" customHeight="1" outlineLevel="2">
      <c r="A634" s="584"/>
      <c r="B634" s="585" t="s">
        <v>805</v>
      </c>
      <c r="C634" s="716">
        <f t="shared" ref="C634:AF634" si="507">C621</f>
        <v>10</v>
      </c>
      <c r="D634" s="716">
        <f t="shared" si="507"/>
        <v>11</v>
      </c>
      <c r="E634" s="716">
        <f t="shared" si="507"/>
        <v>11</v>
      </c>
      <c r="F634" s="716">
        <f t="shared" si="507"/>
        <v>11</v>
      </c>
      <c r="G634" s="716">
        <f t="shared" si="507"/>
        <v>11</v>
      </c>
      <c r="H634" s="716">
        <f t="shared" si="507"/>
        <v>11</v>
      </c>
      <c r="I634" s="716">
        <f t="shared" si="507"/>
        <v>11</v>
      </c>
      <c r="J634" s="716">
        <f t="shared" si="507"/>
        <v>11</v>
      </c>
      <c r="K634" s="716">
        <f t="shared" si="507"/>
        <v>11</v>
      </c>
      <c r="L634" s="716">
        <f t="shared" si="507"/>
        <v>12</v>
      </c>
      <c r="M634" s="716">
        <f t="shared" si="507"/>
        <v>12</v>
      </c>
      <c r="N634" s="716">
        <f t="shared" si="507"/>
        <v>12</v>
      </c>
      <c r="O634" s="716">
        <f t="shared" si="507"/>
        <v>12</v>
      </c>
      <c r="P634" s="716">
        <f t="shared" si="507"/>
        <v>12</v>
      </c>
      <c r="Q634" s="716">
        <f t="shared" si="507"/>
        <v>12</v>
      </c>
      <c r="R634" s="716">
        <f t="shared" si="507"/>
        <v>12</v>
      </c>
      <c r="S634" s="716">
        <f t="shared" si="507"/>
        <v>12</v>
      </c>
      <c r="T634" s="716">
        <f t="shared" si="507"/>
        <v>12</v>
      </c>
      <c r="U634" s="716">
        <f t="shared" si="507"/>
        <v>13</v>
      </c>
      <c r="V634" s="716">
        <f t="shared" si="507"/>
        <v>13</v>
      </c>
      <c r="W634" s="716">
        <f t="shared" si="507"/>
        <v>13</v>
      </c>
      <c r="X634" s="716">
        <f t="shared" si="507"/>
        <v>13</v>
      </c>
      <c r="Y634" s="716">
        <f t="shared" si="507"/>
        <v>13</v>
      </c>
      <c r="Z634" s="716">
        <f t="shared" si="507"/>
        <v>13</v>
      </c>
      <c r="AA634" s="716">
        <f t="shared" si="507"/>
        <v>13</v>
      </c>
      <c r="AB634" s="716">
        <f t="shared" si="507"/>
        <v>13</v>
      </c>
      <c r="AC634" s="716">
        <f t="shared" si="507"/>
        <v>14</v>
      </c>
      <c r="AD634" s="716">
        <f t="shared" si="507"/>
        <v>14</v>
      </c>
      <c r="AE634" s="716">
        <f t="shared" si="507"/>
        <v>14</v>
      </c>
      <c r="AF634" s="716">
        <f t="shared" si="507"/>
        <v>14</v>
      </c>
      <c r="AH634" s="587"/>
      <c r="AK634" s="588"/>
      <c r="AM634" s="624"/>
      <c r="AN634" s="590"/>
      <c r="AP634" s="591"/>
      <c r="AQ634" s="591"/>
    </row>
    <row r="635" spans="1:43" s="513" customFormat="1" ht="16.5" hidden="1" customHeight="1" outlineLevel="2">
      <c r="A635" s="584"/>
      <c r="B635" s="572" t="s">
        <v>888</v>
      </c>
      <c r="C635" s="574">
        <f>CAPEX!$C$70*(0.83%+0.42%)</f>
        <v>2.7475000000000005</v>
      </c>
      <c r="D635" s="574">
        <f>C635</f>
        <v>2.7475000000000005</v>
      </c>
      <c r="E635" s="574">
        <f t="shared" ref="E635:AF635" si="508">D635</f>
        <v>2.7475000000000005</v>
      </c>
      <c r="F635" s="574">
        <f t="shared" si="508"/>
        <v>2.7475000000000005</v>
      </c>
      <c r="G635" s="574">
        <f t="shared" si="508"/>
        <v>2.7475000000000005</v>
      </c>
      <c r="H635" s="574">
        <f t="shared" si="508"/>
        <v>2.7475000000000005</v>
      </c>
      <c r="I635" s="574">
        <f t="shared" si="508"/>
        <v>2.7475000000000005</v>
      </c>
      <c r="J635" s="574">
        <f t="shared" si="508"/>
        <v>2.7475000000000005</v>
      </c>
      <c r="K635" s="574">
        <f t="shared" si="508"/>
        <v>2.7475000000000005</v>
      </c>
      <c r="L635" s="574">
        <f t="shared" si="508"/>
        <v>2.7475000000000005</v>
      </c>
      <c r="M635" s="574">
        <f t="shared" si="508"/>
        <v>2.7475000000000005</v>
      </c>
      <c r="N635" s="574">
        <f t="shared" si="508"/>
        <v>2.7475000000000005</v>
      </c>
      <c r="O635" s="574">
        <f t="shared" si="508"/>
        <v>2.7475000000000005</v>
      </c>
      <c r="P635" s="574">
        <f t="shared" si="508"/>
        <v>2.7475000000000005</v>
      </c>
      <c r="Q635" s="574">
        <f t="shared" si="508"/>
        <v>2.7475000000000005</v>
      </c>
      <c r="R635" s="574">
        <f t="shared" si="508"/>
        <v>2.7475000000000005</v>
      </c>
      <c r="S635" s="574">
        <f t="shared" si="508"/>
        <v>2.7475000000000005</v>
      </c>
      <c r="T635" s="574">
        <f t="shared" si="508"/>
        <v>2.7475000000000005</v>
      </c>
      <c r="U635" s="574">
        <f t="shared" si="508"/>
        <v>2.7475000000000005</v>
      </c>
      <c r="V635" s="574">
        <f t="shared" si="508"/>
        <v>2.7475000000000005</v>
      </c>
      <c r="W635" s="574">
        <f t="shared" si="508"/>
        <v>2.7475000000000005</v>
      </c>
      <c r="X635" s="574">
        <f t="shared" si="508"/>
        <v>2.7475000000000005</v>
      </c>
      <c r="Y635" s="574">
        <f t="shared" si="508"/>
        <v>2.7475000000000005</v>
      </c>
      <c r="Z635" s="574">
        <f t="shared" si="508"/>
        <v>2.7475000000000005</v>
      </c>
      <c r="AA635" s="574">
        <f t="shared" si="508"/>
        <v>2.7475000000000005</v>
      </c>
      <c r="AB635" s="574">
        <f t="shared" si="508"/>
        <v>2.7475000000000005</v>
      </c>
      <c r="AC635" s="574">
        <f t="shared" si="508"/>
        <v>2.7475000000000005</v>
      </c>
      <c r="AD635" s="574">
        <f t="shared" si="508"/>
        <v>2.7475000000000005</v>
      </c>
      <c r="AE635" s="574">
        <f t="shared" si="508"/>
        <v>2.7475000000000005</v>
      </c>
      <c r="AF635" s="574">
        <f t="shared" si="508"/>
        <v>2.7475000000000005</v>
      </c>
      <c r="AH635" s="538"/>
      <c r="AK635" s="531"/>
      <c r="AM635" s="594"/>
      <c r="AN635" s="535"/>
      <c r="AP635" s="540"/>
      <c r="AQ635" s="540"/>
    </row>
    <row r="636" spans="1:43" s="546" customFormat="1" ht="16.5" hidden="1" customHeight="1" outlineLevel="2">
      <c r="A636" s="584"/>
      <c r="B636" s="569" t="s">
        <v>954</v>
      </c>
      <c r="C636" s="581">
        <f>C637*C638</f>
        <v>242.18125000000001</v>
      </c>
      <c r="D636" s="581">
        <f>D637*D638</f>
        <v>242.18125000000001</v>
      </c>
      <c r="E636" s="581">
        <f t="shared" ref="E636:AF636" si="509">E637*E638</f>
        <v>242.18125000000001</v>
      </c>
      <c r="F636" s="581">
        <f t="shared" si="509"/>
        <v>242.18125000000001</v>
      </c>
      <c r="G636" s="581">
        <f t="shared" si="509"/>
        <v>242.18125000000001</v>
      </c>
      <c r="H636" s="581">
        <f t="shared" si="509"/>
        <v>242.18125000000001</v>
      </c>
      <c r="I636" s="581">
        <f t="shared" si="509"/>
        <v>242.18125000000001</v>
      </c>
      <c r="J636" s="581">
        <f t="shared" si="509"/>
        <v>242.18125000000001</v>
      </c>
      <c r="K636" s="581">
        <f t="shared" si="509"/>
        <v>242.18125000000001</v>
      </c>
      <c r="L636" s="581">
        <f t="shared" si="509"/>
        <v>242.18125000000001</v>
      </c>
      <c r="M636" s="581">
        <f t="shared" si="509"/>
        <v>242.18125000000001</v>
      </c>
      <c r="N636" s="581">
        <f t="shared" si="509"/>
        <v>242.18125000000001</v>
      </c>
      <c r="O636" s="581">
        <f t="shared" si="509"/>
        <v>242.18125000000001</v>
      </c>
      <c r="P636" s="581">
        <f t="shared" si="509"/>
        <v>242.18125000000001</v>
      </c>
      <c r="Q636" s="581">
        <f t="shared" si="509"/>
        <v>242.18125000000001</v>
      </c>
      <c r="R636" s="581">
        <f t="shared" si="509"/>
        <v>242.18125000000001</v>
      </c>
      <c r="S636" s="581">
        <f t="shared" si="509"/>
        <v>242.18125000000001</v>
      </c>
      <c r="T636" s="581">
        <f t="shared" si="509"/>
        <v>242.18125000000001</v>
      </c>
      <c r="U636" s="581">
        <f t="shared" si="509"/>
        <v>242.18125000000001</v>
      </c>
      <c r="V636" s="581">
        <f t="shared" si="509"/>
        <v>242.18125000000001</v>
      </c>
      <c r="W636" s="581">
        <f t="shared" si="509"/>
        <v>242.18125000000001</v>
      </c>
      <c r="X636" s="581">
        <f t="shared" si="509"/>
        <v>242.18125000000001</v>
      </c>
      <c r="Y636" s="581">
        <f t="shared" si="509"/>
        <v>242.18125000000001</v>
      </c>
      <c r="Z636" s="581">
        <f t="shared" si="509"/>
        <v>242.18125000000001</v>
      </c>
      <c r="AA636" s="581">
        <f t="shared" si="509"/>
        <v>242.18125000000001</v>
      </c>
      <c r="AB636" s="581">
        <f t="shared" si="509"/>
        <v>242.18125000000001</v>
      </c>
      <c r="AC636" s="581">
        <f t="shared" si="509"/>
        <v>242.18125000000001</v>
      </c>
      <c r="AD636" s="581">
        <f t="shared" si="509"/>
        <v>242.18125000000001</v>
      </c>
      <c r="AE636" s="581">
        <f t="shared" si="509"/>
        <v>242.18125000000001</v>
      </c>
      <c r="AF636" s="581">
        <f t="shared" si="509"/>
        <v>242.18125000000001</v>
      </c>
      <c r="AH636" s="571"/>
      <c r="AK636" s="531"/>
      <c r="AM636" s="594"/>
      <c r="AN636" s="535"/>
      <c r="AP636" s="549"/>
      <c r="AQ636" s="549"/>
    </row>
    <row r="637" spans="1:43" s="586" customFormat="1" ht="16.5" hidden="1" customHeight="1" outlineLevel="2">
      <c r="A637" s="584"/>
      <c r="B637" s="585" t="s">
        <v>805</v>
      </c>
      <c r="C637" s="716">
        <f t="shared" ref="C637:AF637" si="510">C622</f>
        <v>50</v>
      </c>
      <c r="D637" s="716">
        <f t="shared" si="510"/>
        <v>50</v>
      </c>
      <c r="E637" s="716">
        <f t="shared" si="510"/>
        <v>50</v>
      </c>
      <c r="F637" s="716">
        <f t="shared" si="510"/>
        <v>50</v>
      </c>
      <c r="G637" s="716">
        <f t="shared" si="510"/>
        <v>50</v>
      </c>
      <c r="H637" s="716">
        <f t="shared" si="510"/>
        <v>50</v>
      </c>
      <c r="I637" s="716">
        <f t="shared" si="510"/>
        <v>50</v>
      </c>
      <c r="J637" s="716">
        <f t="shared" si="510"/>
        <v>50</v>
      </c>
      <c r="K637" s="716">
        <f t="shared" si="510"/>
        <v>50</v>
      </c>
      <c r="L637" s="716">
        <f t="shared" si="510"/>
        <v>50</v>
      </c>
      <c r="M637" s="716">
        <f t="shared" si="510"/>
        <v>50</v>
      </c>
      <c r="N637" s="716">
        <f t="shared" si="510"/>
        <v>50</v>
      </c>
      <c r="O637" s="716">
        <f t="shared" si="510"/>
        <v>50</v>
      </c>
      <c r="P637" s="716">
        <f t="shared" si="510"/>
        <v>50</v>
      </c>
      <c r="Q637" s="716">
        <f t="shared" si="510"/>
        <v>50</v>
      </c>
      <c r="R637" s="716">
        <f t="shared" si="510"/>
        <v>50</v>
      </c>
      <c r="S637" s="716">
        <f t="shared" si="510"/>
        <v>50</v>
      </c>
      <c r="T637" s="716">
        <f t="shared" si="510"/>
        <v>50</v>
      </c>
      <c r="U637" s="716">
        <f t="shared" si="510"/>
        <v>50</v>
      </c>
      <c r="V637" s="716">
        <f t="shared" si="510"/>
        <v>50</v>
      </c>
      <c r="W637" s="716">
        <f t="shared" si="510"/>
        <v>50</v>
      </c>
      <c r="X637" s="716">
        <f t="shared" si="510"/>
        <v>50</v>
      </c>
      <c r="Y637" s="716">
        <f t="shared" si="510"/>
        <v>50</v>
      </c>
      <c r="Z637" s="716">
        <f t="shared" si="510"/>
        <v>50</v>
      </c>
      <c r="AA637" s="716">
        <f t="shared" si="510"/>
        <v>50</v>
      </c>
      <c r="AB637" s="716">
        <f t="shared" si="510"/>
        <v>50</v>
      </c>
      <c r="AC637" s="716">
        <f t="shared" si="510"/>
        <v>50</v>
      </c>
      <c r="AD637" s="716">
        <f t="shared" si="510"/>
        <v>50</v>
      </c>
      <c r="AE637" s="716">
        <f t="shared" si="510"/>
        <v>50</v>
      </c>
      <c r="AF637" s="716">
        <f t="shared" si="510"/>
        <v>50</v>
      </c>
      <c r="AH637" s="587"/>
      <c r="AK637" s="588"/>
      <c r="AM637" s="624"/>
      <c r="AN637" s="590"/>
      <c r="AP637" s="591"/>
      <c r="AQ637" s="591"/>
    </row>
    <row r="638" spans="1:43" s="513" customFormat="1" ht="16.5" hidden="1" customHeight="1" outlineLevel="2">
      <c r="A638" s="584"/>
      <c r="B638" s="572" t="s">
        <v>888</v>
      </c>
      <c r="C638" s="574">
        <f>CAPEX!$C$73*(0.83%+0.42%)</f>
        <v>4.8436250000000003</v>
      </c>
      <c r="D638" s="574">
        <f>C638</f>
        <v>4.8436250000000003</v>
      </c>
      <c r="E638" s="574">
        <f t="shared" ref="E638:AF638" si="511">D638</f>
        <v>4.8436250000000003</v>
      </c>
      <c r="F638" s="574">
        <f t="shared" si="511"/>
        <v>4.8436250000000003</v>
      </c>
      <c r="G638" s="574">
        <f t="shared" si="511"/>
        <v>4.8436250000000003</v>
      </c>
      <c r="H638" s="574">
        <f t="shared" si="511"/>
        <v>4.8436250000000003</v>
      </c>
      <c r="I638" s="574">
        <f t="shared" si="511"/>
        <v>4.8436250000000003</v>
      </c>
      <c r="J638" s="574">
        <f t="shared" si="511"/>
        <v>4.8436250000000003</v>
      </c>
      <c r="K638" s="574">
        <f t="shared" si="511"/>
        <v>4.8436250000000003</v>
      </c>
      <c r="L638" s="574">
        <f t="shared" si="511"/>
        <v>4.8436250000000003</v>
      </c>
      <c r="M638" s="574">
        <f t="shared" si="511"/>
        <v>4.8436250000000003</v>
      </c>
      <c r="N638" s="574">
        <f t="shared" si="511"/>
        <v>4.8436250000000003</v>
      </c>
      <c r="O638" s="574">
        <f t="shared" si="511"/>
        <v>4.8436250000000003</v>
      </c>
      <c r="P638" s="574">
        <f t="shared" si="511"/>
        <v>4.8436250000000003</v>
      </c>
      <c r="Q638" s="574">
        <f t="shared" si="511"/>
        <v>4.8436250000000003</v>
      </c>
      <c r="R638" s="574">
        <f t="shared" si="511"/>
        <v>4.8436250000000003</v>
      </c>
      <c r="S638" s="574">
        <f t="shared" si="511"/>
        <v>4.8436250000000003</v>
      </c>
      <c r="T638" s="574">
        <f t="shared" si="511"/>
        <v>4.8436250000000003</v>
      </c>
      <c r="U638" s="574">
        <f t="shared" si="511"/>
        <v>4.8436250000000003</v>
      </c>
      <c r="V638" s="574">
        <f t="shared" si="511"/>
        <v>4.8436250000000003</v>
      </c>
      <c r="W638" s="574">
        <f t="shared" si="511"/>
        <v>4.8436250000000003</v>
      </c>
      <c r="X638" s="574">
        <f t="shared" si="511"/>
        <v>4.8436250000000003</v>
      </c>
      <c r="Y638" s="574">
        <f t="shared" si="511"/>
        <v>4.8436250000000003</v>
      </c>
      <c r="Z638" s="574">
        <f t="shared" si="511"/>
        <v>4.8436250000000003</v>
      </c>
      <c r="AA638" s="574">
        <f t="shared" si="511"/>
        <v>4.8436250000000003</v>
      </c>
      <c r="AB638" s="574">
        <f t="shared" si="511"/>
        <v>4.8436250000000003</v>
      </c>
      <c r="AC638" s="574">
        <f t="shared" si="511"/>
        <v>4.8436250000000003</v>
      </c>
      <c r="AD638" s="574">
        <f t="shared" si="511"/>
        <v>4.8436250000000003</v>
      </c>
      <c r="AE638" s="574">
        <f t="shared" si="511"/>
        <v>4.8436250000000003</v>
      </c>
      <c r="AF638" s="574">
        <f t="shared" si="511"/>
        <v>4.8436250000000003</v>
      </c>
      <c r="AH638" s="538"/>
      <c r="AK638" s="531"/>
      <c r="AM638" s="594"/>
      <c r="AN638" s="535"/>
      <c r="AP638" s="540"/>
      <c r="AQ638" s="540"/>
    </row>
    <row r="639" spans="1:43" s="546" customFormat="1" ht="16.5" hidden="1" customHeight="1" outlineLevel="2">
      <c r="A639" s="584"/>
      <c r="B639" s="569" t="s">
        <v>808</v>
      </c>
      <c r="C639" s="581">
        <f>C641*C642</f>
        <v>264.5</v>
      </c>
      <c r="D639" s="581">
        <f t="shared" ref="D639:AF639" si="512">D641*D642</f>
        <v>264.5</v>
      </c>
      <c r="E639" s="581">
        <f t="shared" si="512"/>
        <v>264.5</v>
      </c>
      <c r="F639" s="581">
        <f t="shared" si="512"/>
        <v>264.5</v>
      </c>
      <c r="G639" s="581">
        <f t="shared" si="512"/>
        <v>264.5</v>
      </c>
      <c r="H639" s="581">
        <f t="shared" si="512"/>
        <v>264.5</v>
      </c>
      <c r="I639" s="581">
        <f t="shared" si="512"/>
        <v>264.5</v>
      </c>
      <c r="J639" s="581">
        <f t="shared" si="512"/>
        <v>264.5</v>
      </c>
      <c r="K639" s="581">
        <f t="shared" si="512"/>
        <v>264.5</v>
      </c>
      <c r="L639" s="581">
        <f t="shared" si="512"/>
        <v>264.5</v>
      </c>
      <c r="M639" s="581">
        <f t="shared" si="512"/>
        <v>264.5</v>
      </c>
      <c r="N639" s="581">
        <f t="shared" si="512"/>
        <v>264.5</v>
      </c>
      <c r="O639" s="581">
        <f t="shared" si="512"/>
        <v>264.5</v>
      </c>
      <c r="P639" s="581">
        <f t="shared" si="512"/>
        <v>264.5</v>
      </c>
      <c r="Q639" s="581">
        <f t="shared" si="512"/>
        <v>264.5</v>
      </c>
      <c r="R639" s="581">
        <f t="shared" si="512"/>
        <v>264.5</v>
      </c>
      <c r="S639" s="581">
        <f t="shared" si="512"/>
        <v>264.5</v>
      </c>
      <c r="T639" s="581">
        <f t="shared" si="512"/>
        <v>264.5</v>
      </c>
      <c r="U639" s="581">
        <f t="shared" si="512"/>
        <v>264.5</v>
      </c>
      <c r="V639" s="581">
        <f t="shared" si="512"/>
        <v>264.5</v>
      </c>
      <c r="W639" s="581">
        <f t="shared" si="512"/>
        <v>264.5</v>
      </c>
      <c r="X639" s="581">
        <f t="shared" si="512"/>
        <v>264.5</v>
      </c>
      <c r="Y639" s="581">
        <f t="shared" si="512"/>
        <v>264.5</v>
      </c>
      <c r="Z639" s="581">
        <f t="shared" si="512"/>
        <v>264.5</v>
      </c>
      <c r="AA639" s="581">
        <f t="shared" si="512"/>
        <v>264.5</v>
      </c>
      <c r="AB639" s="581">
        <f t="shared" si="512"/>
        <v>264.5</v>
      </c>
      <c r="AC639" s="581">
        <f t="shared" si="512"/>
        <v>264.5</v>
      </c>
      <c r="AD639" s="581">
        <f t="shared" si="512"/>
        <v>264.5</v>
      </c>
      <c r="AE639" s="581">
        <f t="shared" si="512"/>
        <v>264.5</v>
      </c>
      <c r="AF639" s="581">
        <f t="shared" si="512"/>
        <v>264.5</v>
      </c>
      <c r="AH639" s="571"/>
      <c r="AK639" s="531"/>
      <c r="AM639" s="594"/>
      <c r="AN639" s="535"/>
      <c r="AP639" s="549"/>
      <c r="AQ639" s="549"/>
    </row>
    <row r="640" spans="1:43" s="513" customFormat="1" ht="16.5" hidden="1" customHeight="1" outlineLevel="2">
      <c r="A640" s="584"/>
      <c r="B640" s="572" t="s">
        <v>891</v>
      </c>
      <c r="C640" s="574">
        <f>35*1*25.17</f>
        <v>880.95</v>
      </c>
      <c r="D640" s="574">
        <f>C640</f>
        <v>880.95</v>
      </c>
      <c r="E640" s="574">
        <f t="shared" ref="E640:AF640" si="513">D640</f>
        <v>880.95</v>
      </c>
      <c r="F640" s="574">
        <f t="shared" si="513"/>
        <v>880.95</v>
      </c>
      <c r="G640" s="574">
        <f t="shared" si="513"/>
        <v>880.95</v>
      </c>
      <c r="H640" s="574">
        <f t="shared" si="513"/>
        <v>880.95</v>
      </c>
      <c r="I640" s="574">
        <f t="shared" si="513"/>
        <v>880.95</v>
      </c>
      <c r="J640" s="574">
        <f t="shared" si="513"/>
        <v>880.95</v>
      </c>
      <c r="K640" s="574">
        <f t="shared" si="513"/>
        <v>880.95</v>
      </c>
      <c r="L640" s="574">
        <f t="shared" si="513"/>
        <v>880.95</v>
      </c>
      <c r="M640" s="574">
        <f t="shared" si="513"/>
        <v>880.95</v>
      </c>
      <c r="N640" s="574">
        <f t="shared" si="513"/>
        <v>880.95</v>
      </c>
      <c r="O640" s="574">
        <f t="shared" si="513"/>
        <v>880.95</v>
      </c>
      <c r="P640" s="574">
        <f t="shared" si="513"/>
        <v>880.95</v>
      </c>
      <c r="Q640" s="574">
        <f t="shared" si="513"/>
        <v>880.95</v>
      </c>
      <c r="R640" s="574">
        <f t="shared" si="513"/>
        <v>880.95</v>
      </c>
      <c r="S640" s="574">
        <f t="shared" si="513"/>
        <v>880.95</v>
      </c>
      <c r="T640" s="574">
        <f t="shared" si="513"/>
        <v>880.95</v>
      </c>
      <c r="U640" s="574">
        <f t="shared" si="513"/>
        <v>880.95</v>
      </c>
      <c r="V640" s="574">
        <f t="shared" si="513"/>
        <v>880.95</v>
      </c>
      <c r="W640" s="574">
        <f t="shared" si="513"/>
        <v>880.95</v>
      </c>
      <c r="X640" s="574">
        <f t="shared" si="513"/>
        <v>880.95</v>
      </c>
      <c r="Y640" s="574">
        <f t="shared" si="513"/>
        <v>880.95</v>
      </c>
      <c r="Z640" s="574">
        <f t="shared" si="513"/>
        <v>880.95</v>
      </c>
      <c r="AA640" s="574">
        <f t="shared" si="513"/>
        <v>880.95</v>
      </c>
      <c r="AB640" s="574">
        <f t="shared" si="513"/>
        <v>880.95</v>
      </c>
      <c r="AC640" s="574">
        <f t="shared" si="513"/>
        <v>880.95</v>
      </c>
      <c r="AD640" s="574">
        <f t="shared" si="513"/>
        <v>880.95</v>
      </c>
      <c r="AE640" s="574">
        <f t="shared" si="513"/>
        <v>880.95</v>
      </c>
      <c r="AF640" s="574">
        <f t="shared" si="513"/>
        <v>880.95</v>
      </c>
      <c r="AH640" s="538"/>
      <c r="AK640" s="531"/>
      <c r="AM640" s="594"/>
      <c r="AN640" s="535"/>
      <c r="AP640" s="540"/>
      <c r="AQ640" s="540"/>
    </row>
    <row r="641" spans="1:43" s="586" customFormat="1" ht="16.5" hidden="1" customHeight="1" outlineLevel="2">
      <c r="A641" s="584"/>
      <c r="B641" s="585" t="s">
        <v>805</v>
      </c>
      <c r="C641" s="716">
        <f t="shared" ref="C641:AF641" si="514">C623</f>
        <v>1</v>
      </c>
      <c r="D641" s="716">
        <f t="shared" si="514"/>
        <v>1</v>
      </c>
      <c r="E641" s="716">
        <f t="shared" si="514"/>
        <v>1</v>
      </c>
      <c r="F641" s="716">
        <f t="shared" si="514"/>
        <v>1</v>
      </c>
      <c r="G641" s="716">
        <f t="shared" si="514"/>
        <v>1</v>
      </c>
      <c r="H641" s="716">
        <f t="shared" si="514"/>
        <v>1</v>
      </c>
      <c r="I641" s="716">
        <f t="shared" si="514"/>
        <v>1</v>
      </c>
      <c r="J641" s="716">
        <f t="shared" si="514"/>
        <v>1</v>
      </c>
      <c r="K641" s="716">
        <f t="shared" si="514"/>
        <v>1</v>
      </c>
      <c r="L641" s="716">
        <f t="shared" si="514"/>
        <v>1</v>
      </c>
      <c r="M641" s="716">
        <f t="shared" si="514"/>
        <v>1</v>
      </c>
      <c r="N641" s="716">
        <f t="shared" si="514"/>
        <v>1</v>
      </c>
      <c r="O641" s="716">
        <f t="shared" si="514"/>
        <v>1</v>
      </c>
      <c r="P641" s="716">
        <f t="shared" si="514"/>
        <v>1</v>
      </c>
      <c r="Q641" s="716">
        <f t="shared" si="514"/>
        <v>1</v>
      </c>
      <c r="R641" s="716">
        <f t="shared" si="514"/>
        <v>1</v>
      </c>
      <c r="S641" s="716">
        <f t="shared" si="514"/>
        <v>1</v>
      </c>
      <c r="T641" s="716">
        <f t="shared" si="514"/>
        <v>1</v>
      </c>
      <c r="U641" s="716">
        <f t="shared" si="514"/>
        <v>1</v>
      </c>
      <c r="V641" s="716">
        <f t="shared" si="514"/>
        <v>1</v>
      </c>
      <c r="W641" s="716">
        <f t="shared" si="514"/>
        <v>1</v>
      </c>
      <c r="X641" s="716">
        <f t="shared" si="514"/>
        <v>1</v>
      </c>
      <c r="Y641" s="716">
        <f t="shared" si="514"/>
        <v>1</v>
      </c>
      <c r="Z641" s="716">
        <f t="shared" si="514"/>
        <v>1</v>
      </c>
      <c r="AA641" s="716">
        <f t="shared" si="514"/>
        <v>1</v>
      </c>
      <c r="AB641" s="716">
        <f t="shared" si="514"/>
        <v>1</v>
      </c>
      <c r="AC641" s="716">
        <f t="shared" si="514"/>
        <v>1</v>
      </c>
      <c r="AD641" s="716">
        <f t="shared" si="514"/>
        <v>1</v>
      </c>
      <c r="AE641" s="716">
        <f t="shared" si="514"/>
        <v>1</v>
      </c>
      <c r="AF641" s="716">
        <f t="shared" si="514"/>
        <v>1</v>
      </c>
      <c r="AH641" s="587"/>
      <c r="AK641" s="588"/>
      <c r="AM641" s="624"/>
      <c r="AN641" s="590"/>
      <c r="AP641" s="591"/>
      <c r="AQ641" s="591"/>
    </row>
    <row r="642" spans="1:43" s="513" customFormat="1" ht="16.5" hidden="1" customHeight="1" outlineLevel="2">
      <c r="A642" s="584"/>
      <c r="B642" s="572" t="s">
        <v>888</v>
      </c>
      <c r="C642" s="574">
        <f>CAPEX!$C$66*(0.83%+0.42%)</f>
        <v>264.5</v>
      </c>
      <c r="D642" s="574">
        <f>C642</f>
        <v>264.5</v>
      </c>
      <c r="E642" s="574">
        <f t="shared" ref="E642:AF642" si="515">D642</f>
        <v>264.5</v>
      </c>
      <c r="F642" s="574">
        <f t="shared" si="515"/>
        <v>264.5</v>
      </c>
      <c r="G642" s="574">
        <f t="shared" si="515"/>
        <v>264.5</v>
      </c>
      <c r="H642" s="574">
        <f t="shared" si="515"/>
        <v>264.5</v>
      </c>
      <c r="I642" s="574">
        <f t="shared" si="515"/>
        <v>264.5</v>
      </c>
      <c r="J642" s="574">
        <f t="shared" si="515"/>
        <v>264.5</v>
      </c>
      <c r="K642" s="574">
        <f t="shared" si="515"/>
        <v>264.5</v>
      </c>
      <c r="L642" s="574">
        <f t="shared" si="515"/>
        <v>264.5</v>
      </c>
      <c r="M642" s="574">
        <f t="shared" si="515"/>
        <v>264.5</v>
      </c>
      <c r="N642" s="574">
        <f t="shared" si="515"/>
        <v>264.5</v>
      </c>
      <c r="O642" s="574">
        <f t="shared" si="515"/>
        <v>264.5</v>
      </c>
      <c r="P642" s="574">
        <f t="shared" si="515"/>
        <v>264.5</v>
      </c>
      <c r="Q642" s="574">
        <f t="shared" si="515"/>
        <v>264.5</v>
      </c>
      <c r="R642" s="574">
        <f t="shared" si="515"/>
        <v>264.5</v>
      </c>
      <c r="S642" s="574">
        <f t="shared" si="515"/>
        <v>264.5</v>
      </c>
      <c r="T642" s="574">
        <f t="shared" si="515"/>
        <v>264.5</v>
      </c>
      <c r="U642" s="574">
        <f t="shared" si="515"/>
        <v>264.5</v>
      </c>
      <c r="V642" s="574">
        <f t="shared" si="515"/>
        <v>264.5</v>
      </c>
      <c r="W642" s="574">
        <f t="shared" si="515"/>
        <v>264.5</v>
      </c>
      <c r="X642" s="574">
        <f t="shared" si="515"/>
        <v>264.5</v>
      </c>
      <c r="Y642" s="574">
        <f t="shared" si="515"/>
        <v>264.5</v>
      </c>
      <c r="Z642" s="574">
        <f t="shared" si="515"/>
        <v>264.5</v>
      </c>
      <c r="AA642" s="574">
        <f t="shared" si="515"/>
        <v>264.5</v>
      </c>
      <c r="AB642" s="574">
        <f t="shared" si="515"/>
        <v>264.5</v>
      </c>
      <c r="AC642" s="574">
        <f t="shared" si="515"/>
        <v>264.5</v>
      </c>
      <c r="AD642" s="574">
        <f t="shared" si="515"/>
        <v>264.5</v>
      </c>
      <c r="AE642" s="574">
        <f t="shared" si="515"/>
        <v>264.5</v>
      </c>
      <c r="AF642" s="574">
        <f t="shared" si="515"/>
        <v>264.5</v>
      </c>
      <c r="AH642" s="538"/>
      <c r="AK642" s="531"/>
      <c r="AM642" s="594"/>
      <c r="AN642" s="535"/>
      <c r="AP642" s="540"/>
      <c r="AQ642" s="540"/>
    </row>
    <row r="643" spans="1:43" ht="3" hidden="1" customHeight="1" outlineLevel="2">
      <c r="A643" s="584"/>
      <c r="B643" s="551"/>
      <c r="C643" s="592"/>
      <c r="D643" s="592"/>
      <c r="E643" s="592"/>
      <c r="F643" s="592"/>
      <c r="G643" s="592"/>
      <c r="H643" s="592"/>
      <c r="I643" s="592"/>
      <c r="J643" s="592"/>
      <c r="K643" s="592"/>
      <c r="L643" s="592"/>
      <c r="M643" s="592"/>
      <c r="N643" s="592"/>
      <c r="O643" s="592"/>
      <c r="P643" s="592"/>
      <c r="Q643" s="592"/>
      <c r="R643" s="592"/>
      <c r="S643" s="592"/>
      <c r="T643" s="592"/>
      <c r="U643" s="592"/>
      <c r="V643" s="592"/>
      <c r="W643" s="592"/>
      <c r="X643" s="592"/>
      <c r="Y643" s="592"/>
      <c r="Z643" s="592"/>
      <c r="AA643" s="592"/>
      <c r="AB643" s="592"/>
      <c r="AC643" s="592"/>
      <c r="AD643" s="592"/>
      <c r="AE643" s="592"/>
      <c r="AF643" s="592"/>
      <c r="AH643" s="593"/>
      <c r="AK643" s="531"/>
      <c r="AM643" s="594"/>
      <c r="AN643" s="535"/>
      <c r="AP643" s="535"/>
      <c r="AQ643" s="535"/>
    </row>
    <row r="644" spans="1:43" s="564" customFormat="1" ht="16.5" hidden="1" customHeight="1" outlineLevel="1" collapsed="1">
      <c r="A644" s="584"/>
      <c r="B644" s="576" t="s">
        <v>894</v>
      </c>
      <c r="C644" s="577">
        <f>SUM(C645,C650)*12/10^3</f>
        <v>7.4977381948350805</v>
      </c>
      <c r="D644" s="577">
        <f t="shared" ref="D644:AF644" si="516">SUM(D645,D650)*12/10^3</f>
        <v>7.4977381948350805</v>
      </c>
      <c r="E644" s="577">
        <f t="shared" si="516"/>
        <v>7.4977381948350805</v>
      </c>
      <c r="F644" s="577">
        <f t="shared" si="516"/>
        <v>7.4977381948350805</v>
      </c>
      <c r="G644" s="577">
        <f t="shared" si="516"/>
        <v>7.4977381948350805</v>
      </c>
      <c r="H644" s="577">
        <f t="shared" si="516"/>
        <v>7.4977381948350805</v>
      </c>
      <c r="I644" s="577">
        <f t="shared" si="516"/>
        <v>7.4977381948350805</v>
      </c>
      <c r="J644" s="577">
        <f t="shared" si="516"/>
        <v>7.4977381948350805</v>
      </c>
      <c r="K644" s="577">
        <f t="shared" si="516"/>
        <v>7.4977381948350805</v>
      </c>
      <c r="L644" s="577">
        <f t="shared" si="516"/>
        <v>7.4977381948350805</v>
      </c>
      <c r="M644" s="577">
        <f t="shared" si="516"/>
        <v>7.4977381948350805</v>
      </c>
      <c r="N644" s="577">
        <f t="shared" si="516"/>
        <v>7.4977381948350805</v>
      </c>
      <c r="O644" s="577">
        <f t="shared" si="516"/>
        <v>7.4977381948350805</v>
      </c>
      <c r="P644" s="577">
        <f t="shared" si="516"/>
        <v>7.4977381948350805</v>
      </c>
      <c r="Q644" s="577">
        <f t="shared" si="516"/>
        <v>7.4977381948350805</v>
      </c>
      <c r="R644" s="577">
        <f t="shared" si="516"/>
        <v>7.4977381948350805</v>
      </c>
      <c r="S644" s="577">
        <f t="shared" si="516"/>
        <v>7.4977381948350805</v>
      </c>
      <c r="T644" s="577">
        <f t="shared" si="516"/>
        <v>7.4977381948350805</v>
      </c>
      <c r="U644" s="577">
        <f t="shared" si="516"/>
        <v>7.4977381948350805</v>
      </c>
      <c r="V644" s="577">
        <f t="shared" si="516"/>
        <v>7.4977381948350805</v>
      </c>
      <c r="W644" s="577">
        <f t="shared" si="516"/>
        <v>7.4977381948350805</v>
      </c>
      <c r="X644" s="577">
        <f t="shared" si="516"/>
        <v>7.4977381948350805</v>
      </c>
      <c r="Y644" s="577">
        <f t="shared" si="516"/>
        <v>7.4977381948350805</v>
      </c>
      <c r="Z644" s="577">
        <f t="shared" si="516"/>
        <v>7.4977381948350805</v>
      </c>
      <c r="AA644" s="577">
        <f t="shared" si="516"/>
        <v>7.4977381948350805</v>
      </c>
      <c r="AB644" s="577">
        <f t="shared" si="516"/>
        <v>7.4977381948350805</v>
      </c>
      <c r="AC644" s="577">
        <f t="shared" si="516"/>
        <v>7.4977381948350805</v>
      </c>
      <c r="AD644" s="577">
        <f t="shared" si="516"/>
        <v>7.4977381948350805</v>
      </c>
      <c r="AE644" s="577">
        <f t="shared" si="516"/>
        <v>7.4977381948350805</v>
      </c>
      <c r="AF644" s="577">
        <f t="shared" si="516"/>
        <v>7.4977381948350805</v>
      </c>
      <c r="AH644" s="578">
        <f>SUM(C644:AF644)</f>
        <v>224.93214584505242</v>
      </c>
      <c r="AJ644" s="579"/>
      <c r="AK644" s="531"/>
      <c r="AM644" s="594"/>
      <c r="AN644" s="535"/>
      <c r="AP644" s="568"/>
      <c r="AQ644" s="568"/>
    </row>
    <row r="645" spans="1:43" s="546" customFormat="1" ht="16.5" hidden="1" customHeight="1" outlineLevel="2">
      <c r="A645" s="584"/>
      <c r="B645" s="569" t="s">
        <v>808</v>
      </c>
      <c r="C645" s="581">
        <f>C646*(C647/C648)*C649</f>
        <v>154.97151623625672</v>
      </c>
      <c r="D645" s="581">
        <f>D646*(D647/D648)*D649</f>
        <v>154.97151623625672</v>
      </c>
      <c r="E645" s="581">
        <f t="shared" ref="E645:AF645" si="517">E646*(E647/E648)*E649</f>
        <v>154.97151623625672</v>
      </c>
      <c r="F645" s="581">
        <f t="shared" si="517"/>
        <v>154.97151623625672</v>
      </c>
      <c r="G645" s="581">
        <f t="shared" si="517"/>
        <v>154.97151623625672</v>
      </c>
      <c r="H645" s="581">
        <f t="shared" si="517"/>
        <v>154.97151623625672</v>
      </c>
      <c r="I645" s="581">
        <f t="shared" si="517"/>
        <v>154.97151623625672</v>
      </c>
      <c r="J645" s="581">
        <f t="shared" si="517"/>
        <v>154.97151623625672</v>
      </c>
      <c r="K645" s="581">
        <f t="shared" si="517"/>
        <v>154.97151623625672</v>
      </c>
      <c r="L645" s="581">
        <f t="shared" si="517"/>
        <v>154.97151623625672</v>
      </c>
      <c r="M645" s="581">
        <f t="shared" si="517"/>
        <v>154.97151623625672</v>
      </c>
      <c r="N645" s="581">
        <f t="shared" si="517"/>
        <v>154.97151623625672</v>
      </c>
      <c r="O645" s="581">
        <f t="shared" si="517"/>
        <v>154.97151623625672</v>
      </c>
      <c r="P645" s="581">
        <f t="shared" si="517"/>
        <v>154.97151623625672</v>
      </c>
      <c r="Q645" s="581">
        <f t="shared" si="517"/>
        <v>154.97151623625672</v>
      </c>
      <c r="R645" s="581">
        <f t="shared" si="517"/>
        <v>154.97151623625672</v>
      </c>
      <c r="S645" s="581">
        <f t="shared" si="517"/>
        <v>154.97151623625672</v>
      </c>
      <c r="T645" s="581">
        <f t="shared" si="517"/>
        <v>154.97151623625672</v>
      </c>
      <c r="U645" s="581">
        <f t="shared" si="517"/>
        <v>154.97151623625672</v>
      </c>
      <c r="V645" s="581">
        <f t="shared" si="517"/>
        <v>154.97151623625672</v>
      </c>
      <c r="W645" s="581">
        <f t="shared" si="517"/>
        <v>154.97151623625672</v>
      </c>
      <c r="X645" s="581">
        <f t="shared" si="517"/>
        <v>154.97151623625672</v>
      </c>
      <c r="Y645" s="581">
        <f t="shared" si="517"/>
        <v>154.97151623625672</v>
      </c>
      <c r="Z645" s="581">
        <f t="shared" si="517"/>
        <v>154.97151623625672</v>
      </c>
      <c r="AA645" s="581">
        <f t="shared" si="517"/>
        <v>154.97151623625672</v>
      </c>
      <c r="AB645" s="581">
        <f t="shared" si="517"/>
        <v>154.97151623625672</v>
      </c>
      <c r="AC645" s="581">
        <f t="shared" si="517"/>
        <v>154.97151623625672</v>
      </c>
      <c r="AD645" s="581">
        <f t="shared" si="517"/>
        <v>154.97151623625672</v>
      </c>
      <c r="AE645" s="581">
        <f t="shared" si="517"/>
        <v>154.97151623625672</v>
      </c>
      <c r="AF645" s="581">
        <f t="shared" si="517"/>
        <v>154.97151623625672</v>
      </c>
      <c r="AH645" s="571"/>
      <c r="AK645" s="531"/>
      <c r="AM645" s="594"/>
      <c r="AN645" s="535"/>
      <c r="AP645" s="549"/>
      <c r="AQ645" s="549"/>
    </row>
    <row r="646" spans="1:43" s="513" customFormat="1" ht="16.5" hidden="1" customHeight="1" outlineLevel="2">
      <c r="A646" s="584"/>
      <c r="B646" s="572" t="s">
        <v>805</v>
      </c>
      <c r="C646" s="643">
        <f t="shared" ref="C646:AF646" si="518">C623</f>
        <v>1</v>
      </c>
      <c r="D646" s="643">
        <f t="shared" si="518"/>
        <v>1</v>
      </c>
      <c r="E646" s="643">
        <f t="shared" si="518"/>
        <v>1</v>
      </c>
      <c r="F646" s="643">
        <f t="shared" si="518"/>
        <v>1</v>
      </c>
      <c r="G646" s="643">
        <f t="shared" si="518"/>
        <v>1</v>
      </c>
      <c r="H646" s="643">
        <f t="shared" si="518"/>
        <v>1</v>
      </c>
      <c r="I646" s="643">
        <f t="shared" si="518"/>
        <v>1</v>
      </c>
      <c r="J646" s="643">
        <f t="shared" si="518"/>
        <v>1</v>
      </c>
      <c r="K646" s="643">
        <f t="shared" si="518"/>
        <v>1</v>
      </c>
      <c r="L646" s="643">
        <f t="shared" si="518"/>
        <v>1</v>
      </c>
      <c r="M646" s="643">
        <f t="shared" si="518"/>
        <v>1</v>
      </c>
      <c r="N646" s="643">
        <f t="shared" si="518"/>
        <v>1</v>
      </c>
      <c r="O646" s="643">
        <f t="shared" si="518"/>
        <v>1</v>
      </c>
      <c r="P646" s="643">
        <f t="shared" si="518"/>
        <v>1</v>
      </c>
      <c r="Q646" s="643">
        <f t="shared" si="518"/>
        <v>1</v>
      </c>
      <c r="R646" s="643">
        <f t="shared" si="518"/>
        <v>1</v>
      </c>
      <c r="S646" s="643">
        <f t="shared" si="518"/>
        <v>1</v>
      </c>
      <c r="T646" s="643">
        <f t="shared" si="518"/>
        <v>1</v>
      </c>
      <c r="U646" s="643">
        <f t="shared" si="518"/>
        <v>1</v>
      </c>
      <c r="V646" s="643">
        <f t="shared" si="518"/>
        <v>1</v>
      </c>
      <c r="W646" s="643">
        <f t="shared" si="518"/>
        <v>1</v>
      </c>
      <c r="X646" s="643">
        <f t="shared" si="518"/>
        <v>1</v>
      </c>
      <c r="Y646" s="643">
        <f t="shared" si="518"/>
        <v>1</v>
      </c>
      <c r="Z646" s="643">
        <f t="shared" si="518"/>
        <v>1</v>
      </c>
      <c r="AA646" s="643">
        <f t="shared" si="518"/>
        <v>1</v>
      </c>
      <c r="AB646" s="643">
        <f t="shared" si="518"/>
        <v>1</v>
      </c>
      <c r="AC646" s="643">
        <f t="shared" si="518"/>
        <v>1</v>
      </c>
      <c r="AD646" s="643">
        <f t="shared" si="518"/>
        <v>1</v>
      </c>
      <c r="AE646" s="643">
        <f t="shared" si="518"/>
        <v>1</v>
      </c>
      <c r="AF646" s="643">
        <f t="shared" si="518"/>
        <v>1</v>
      </c>
      <c r="AH646" s="538"/>
      <c r="AK646" s="531"/>
      <c r="AM646" s="594"/>
      <c r="AN646" s="535"/>
      <c r="AP646" s="540"/>
      <c r="AQ646" s="540"/>
    </row>
    <row r="647" spans="1:43" s="513" customFormat="1" ht="16.5" hidden="1" customHeight="1" outlineLevel="2">
      <c r="A647" s="584"/>
      <c r="B647" s="572" t="s">
        <v>895</v>
      </c>
      <c r="C647" s="574">
        <f t="shared" ref="C647:AF647" si="519">C640</f>
        <v>880.95</v>
      </c>
      <c r="D647" s="574">
        <f t="shared" si="519"/>
        <v>880.95</v>
      </c>
      <c r="E647" s="574">
        <f t="shared" si="519"/>
        <v>880.95</v>
      </c>
      <c r="F647" s="574">
        <f t="shared" si="519"/>
        <v>880.95</v>
      </c>
      <c r="G647" s="574">
        <f t="shared" si="519"/>
        <v>880.95</v>
      </c>
      <c r="H647" s="574">
        <f t="shared" si="519"/>
        <v>880.95</v>
      </c>
      <c r="I647" s="574">
        <f t="shared" si="519"/>
        <v>880.95</v>
      </c>
      <c r="J647" s="574">
        <f t="shared" si="519"/>
        <v>880.95</v>
      </c>
      <c r="K647" s="574">
        <f t="shared" si="519"/>
        <v>880.95</v>
      </c>
      <c r="L647" s="574">
        <f t="shared" si="519"/>
        <v>880.95</v>
      </c>
      <c r="M647" s="574">
        <f t="shared" si="519"/>
        <v>880.95</v>
      </c>
      <c r="N647" s="574">
        <f t="shared" si="519"/>
        <v>880.95</v>
      </c>
      <c r="O647" s="574">
        <f t="shared" si="519"/>
        <v>880.95</v>
      </c>
      <c r="P647" s="574">
        <f t="shared" si="519"/>
        <v>880.95</v>
      </c>
      <c r="Q647" s="574">
        <f t="shared" si="519"/>
        <v>880.95</v>
      </c>
      <c r="R647" s="574">
        <f t="shared" si="519"/>
        <v>880.95</v>
      </c>
      <c r="S647" s="574">
        <f t="shared" si="519"/>
        <v>880.95</v>
      </c>
      <c r="T647" s="574">
        <f t="shared" si="519"/>
        <v>880.95</v>
      </c>
      <c r="U647" s="574">
        <f t="shared" si="519"/>
        <v>880.95</v>
      </c>
      <c r="V647" s="574">
        <f t="shared" si="519"/>
        <v>880.95</v>
      </c>
      <c r="W647" s="574">
        <f t="shared" si="519"/>
        <v>880.95</v>
      </c>
      <c r="X647" s="574">
        <f t="shared" si="519"/>
        <v>880.95</v>
      </c>
      <c r="Y647" s="574">
        <f t="shared" si="519"/>
        <v>880.95</v>
      </c>
      <c r="Z647" s="574">
        <f t="shared" si="519"/>
        <v>880.95</v>
      </c>
      <c r="AA647" s="574">
        <f t="shared" si="519"/>
        <v>880.95</v>
      </c>
      <c r="AB647" s="574">
        <f t="shared" si="519"/>
        <v>880.95</v>
      </c>
      <c r="AC647" s="574">
        <f t="shared" si="519"/>
        <v>880.95</v>
      </c>
      <c r="AD647" s="574">
        <f t="shared" si="519"/>
        <v>880.95</v>
      </c>
      <c r="AE647" s="574">
        <f t="shared" si="519"/>
        <v>880.95</v>
      </c>
      <c r="AF647" s="574">
        <f t="shared" si="519"/>
        <v>880.95</v>
      </c>
      <c r="AH647" s="538"/>
      <c r="AK647" s="531"/>
      <c r="AM647" s="594"/>
      <c r="AN647" s="535"/>
      <c r="AP647" s="540"/>
      <c r="AQ647" s="540"/>
    </row>
    <row r="648" spans="1:43" s="513" customFormat="1" ht="16.5" hidden="1" customHeight="1" outlineLevel="2">
      <c r="A648" s="584"/>
      <c r="B648" s="572" t="s">
        <v>896</v>
      </c>
      <c r="C648" s="574">
        <v>39.11</v>
      </c>
      <c r="D648" s="574">
        <f>C648</f>
        <v>39.11</v>
      </c>
      <c r="E648" s="574">
        <f t="shared" ref="E648:T649" si="520">D648</f>
        <v>39.11</v>
      </c>
      <c r="F648" s="574">
        <f t="shared" si="520"/>
        <v>39.11</v>
      </c>
      <c r="G648" s="574">
        <f t="shared" si="520"/>
        <v>39.11</v>
      </c>
      <c r="H648" s="574">
        <f t="shared" si="520"/>
        <v>39.11</v>
      </c>
      <c r="I648" s="574">
        <f t="shared" si="520"/>
        <v>39.11</v>
      </c>
      <c r="J648" s="574">
        <f t="shared" si="520"/>
        <v>39.11</v>
      </c>
      <c r="K648" s="574">
        <f t="shared" si="520"/>
        <v>39.11</v>
      </c>
      <c r="L648" s="574">
        <f t="shared" si="520"/>
        <v>39.11</v>
      </c>
      <c r="M648" s="574">
        <f t="shared" si="520"/>
        <v>39.11</v>
      </c>
      <c r="N648" s="574">
        <f t="shared" si="520"/>
        <v>39.11</v>
      </c>
      <c r="O648" s="574">
        <f t="shared" si="520"/>
        <v>39.11</v>
      </c>
      <c r="P648" s="574">
        <f t="shared" si="520"/>
        <v>39.11</v>
      </c>
      <c r="Q648" s="574">
        <f t="shared" si="520"/>
        <v>39.11</v>
      </c>
      <c r="R648" s="574">
        <f t="shared" si="520"/>
        <v>39.11</v>
      </c>
      <c r="S648" s="574">
        <f t="shared" si="520"/>
        <v>39.11</v>
      </c>
      <c r="T648" s="574">
        <f t="shared" si="520"/>
        <v>39.11</v>
      </c>
      <c r="U648" s="574">
        <f t="shared" ref="U648:AF649" si="521">T648</f>
        <v>39.11</v>
      </c>
      <c r="V648" s="574">
        <f t="shared" si="521"/>
        <v>39.11</v>
      </c>
      <c r="W648" s="574">
        <f t="shared" si="521"/>
        <v>39.11</v>
      </c>
      <c r="X648" s="574">
        <f t="shared" si="521"/>
        <v>39.11</v>
      </c>
      <c r="Y648" s="574">
        <f t="shared" si="521"/>
        <v>39.11</v>
      </c>
      <c r="Z648" s="574">
        <f t="shared" si="521"/>
        <v>39.11</v>
      </c>
      <c r="AA648" s="574">
        <f t="shared" si="521"/>
        <v>39.11</v>
      </c>
      <c r="AB648" s="574">
        <f t="shared" si="521"/>
        <v>39.11</v>
      </c>
      <c r="AC648" s="574">
        <f t="shared" si="521"/>
        <v>39.11</v>
      </c>
      <c r="AD648" s="574">
        <f t="shared" si="521"/>
        <v>39.11</v>
      </c>
      <c r="AE648" s="574">
        <f t="shared" si="521"/>
        <v>39.11</v>
      </c>
      <c r="AF648" s="574">
        <f t="shared" si="521"/>
        <v>39.11</v>
      </c>
      <c r="AH648" s="538"/>
      <c r="AK648" s="531"/>
      <c r="AM648" s="594"/>
      <c r="AN648" s="535"/>
      <c r="AP648" s="540"/>
      <c r="AQ648" s="540"/>
    </row>
    <row r="649" spans="1:43" s="513" customFormat="1" ht="16.5" hidden="1" customHeight="1" outlineLevel="2">
      <c r="A649" s="584"/>
      <c r="B649" s="572" t="s">
        <v>888</v>
      </c>
      <c r="C649" s="574">
        <f>Insumos!$E$40</f>
        <v>6.88</v>
      </c>
      <c r="D649" s="574">
        <f>C649</f>
        <v>6.88</v>
      </c>
      <c r="E649" s="574">
        <f t="shared" si="520"/>
        <v>6.88</v>
      </c>
      <c r="F649" s="574">
        <f t="shared" si="520"/>
        <v>6.88</v>
      </c>
      <c r="G649" s="574">
        <f t="shared" si="520"/>
        <v>6.88</v>
      </c>
      <c r="H649" s="574">
        <f t="shared" si="520"/>
        <v>6.88</v>
      </c>
      <c r="I649" s="574">
        <f t="shared" si="520"/>
        <v>6.88</v>
      </c>
      <c r="J649" s="574">
        <f t="shared" si="520"/>
        <v>6.88</v>
      </c>
      <c r="K649" s="574">
        <f t="shared" si="520"/>
        <v>6.88</v>
      </c>
      <c r="L649" s="574">
        <f t="shared" si="520"/>
        <v>6.88</v>
      </c>
      <c r="M649" s="574">
        <f t="shared" si="520"/>
        <v>6.88</v>
      </c>
      <c r="N649" s="574">
        <f t="shared" si="520"/>
        <v>6.88</v>
      </c>
      <c r="O649" s="574">
        <f t="shared" si="520"/>
        <v>6.88</v>
      </c>
      <c r="P649" s="574">
        <f t="shared" si="520"/>
        <v>6.88</v>
      </c>
      <c r="Q649" s="574">
        <f t="shared" si="520"/>
        <v>6.88</v>
      </c>
      <c r="R649" s="574">
        <f t="shared" si="520"/>
        <v>6.88</v>
      </c>
      <c r="S649" s="574">
        <f t="shared" si="520"/>
        <v>6.88</v>
      </c>
      <c r="T649" s="574">
        <f t="shared" si="520"/>
        <v>6.88</v>
      </c>
      <c r="U649" s="574">
        <f t="shared" si="521"/>
        <v>6.88</v>
      </c>
      <c r="V649" s="574">
        <f t="shared" si="521"/>
        <v>6.88</v>
      </c>
      <c r="W649" s="574">
        <f t="shared" si="521"/>
        <v>6.88</v>
      </c>
      <c r="X649" s="574">
        <f t="shared" si="521"/>
        <v>6.88</v>
      </c>
      <c r="Y649" s="574">
        <f t="shared" si="521"/>
        <v>6.88</v>
      </c>
      <c r="Z649" s="574">
        <f t="shared" si="521"/>
        <v>6.88</v>
      </c>
      <c r="AA649" s="574">
        <f t="shared" si="521"/>
        <v>6.88</v>
      </c>
      <c r="AB649" s="574">
        <f t="shared" si="521"/>
        <v>6.88</v>
      </c>
      <c r="AC649" s="574">
        <f t="shared" si="521"/>
        <v>6.88</v>
      </c>
      <c r="AD649" s="574">
        <f t="shared" si="521"/>
        <v>6.88</v>
      </c>
      <c r="AE649" s="574">
        <f t="shared" si="521"/>
        <v>6.88</v>
      </c>
      <c r="AF649" s="574">
        <f t="shared" si="521"/>
        <v>6.88</v>
      </c>
      <c r="AH649" s="538"/>
      <c r="AK649" s="531"/>
      <c r="AM649" s="594"/>
      <c r="AN649" s="535"/>
      <c r="AP649" s="540"/>
      <c r="AQ649" s="540"/>
    </row>
    <row r="650" spans="1:43" s="546" customFormat="1" ht="16.5" hidden="1" customHeight="1" outlineLevel="2">
      <c r="A650" s="584"/>
      <c r="B650" s="569" t="s">
        <v>882</v>
      </c>
      <c r="C650" s="581">
        <f>C651*(C652/C653)*C654</f>
        <v>469.84000000000003</v>
      </c>
      <c r="D650" s="581">
        <f>D651*(D652/D653)*D654</f>
        <v>469.84000000000003</v>
      </c>
      <c r="E650" s="581">
        <f t="shared" ref="E650:AF650" si="522">E651*(E652/E653)*E654</f>
        <v>469.84000000000003</v>
      </c>
      <c r="F650" s="581">
        <f t="shared" si="522"/>
        <v>469.84000000000003</v>
      </c>
      <c r="G650" s="581">
        <f t="shared" si="522"/>
        <v>469.84000000000003</v>
      </c>
      <c r="H650" s="581">
        <f t="shared" si="522"/>
        <v>469.84000000000003</v>
      </c>
      <c r="I650" s="581">
        <f t="shared" si="522"/>
        <v>469.84000000000003</v>
      </c>
      <c r="J650" s="581">
        <f t="shared" si="522"/>
        <v>469.84000000000003</v>
      </c>
      <c r="K650" s="581">
        <f t="shared" si="522"/>
        <v>469.84000000000003</v>
      </c>
      <c r="L650" s="581">
        <f t="shared" si="522"/>
        <v>469.84000000000003</v>
      </c>
      <c r="M650" s="581">
        <f t="shared" si="522"/>
        <v>469.84000000000003</v>
      </c>
      <c r="N650" s="581">
        <f t="shared" si="522"/>
        <v>469.84000000000003</v>
      </c>
      <c r="O650" s="581">
        <f t="shared" si="522"/>
        <v>469.84000000000003</v>
      </c>
      <c r="P650" s="581">
        <f t="shared" si="522"/>
        <v>469.84000000000003</v>
      </c>
      <c r="Q650" s="581">
        <f t="shared" si="522"/>
        <v>469.84000000000003</v>
      </c>
      <c r="R650" s="581">
        <f t="shared" si="522"/>
        <v>469.84000000000003</v>
      </c>
      <c r="S650" s="581">
        <f t="shared" si="522"/>
        <v>469.84000000000003</v>
      </c>
      <c r="T650" s="581">
        <f t="shared" si="522"/>
        <v>469.84000000000003</v>
      </c>
      <c r="U650" s="581">
        <f t="shared" si="522"/>
        <v>469.84000000000003</v>
      </c>
      <c r="V650" s="581">
        <f t="shared" si="522"/>
        <v>469.84000000000003</v>
      </c>
      <c r="W650" s="581">
        <f t="shared" si="522"/>
        <v>469.84000000000003</v>
      </c>
      <c r="X650" s="581">
        <f t="shared" si="522"/>
        <v>469.84000000000003</v>
      </c>
      <c r="Y650" s="581">
        <f t="shared" si="522"/>
        <v>469.84000000000003</v>
      </c>
      <c r="Z650" s="581">
        <f t="shared" si="522"/>
        <v>469.84000000000003</v>
      </c>
      <c r="AA650" s="581">
        <f t="shared" si="522"/>
        <v>469.84000000000003</v>
      </c>
      <c r="AB650" s="581">
        <f t="shared" si="522"/>
        <v>469.84000000000003</v>
      </c>
      <c r="AC650" s="581">
        <f t="shared" si="522"/>
        <v>469.84000000000003</v>
      </c>
      <c r="AD650" s="581">
        <f t="shared" si="522"/>
        <v>469.84000000000003</v>
      </c>
      <c r="AE650" s="581">
        <f t="shared" si="522"/>
        <v>469.84000000000003</v>
      </c>
      <c r="AF650" s="581">
        <f t="shared" si="522"/>
        <v>469.84000000000003</v>
      </c>
      <c r="AH650" s="571"/>
      <c r="AK650" s="531"/>
      <c r="AM650" s="594"/>
      <c r="AN650" s="535"/>
      <c r="AP650" s="549"/>
      <c r="AQ650" s="549"/>
    </row>
    <row r="651" spans="1:43" s="513" customFormat="1" ht="16.5" hidden="1" customHeight="1" outlineLevel="2">
      <c r="A651" s="584"/>
      <c r="B651" s="572" t="s">
        <v>805</v>
      </c>
      <c r="C651" s="643">
        <f t="shared" ref="C651:AF651" si="523">C624</f>
        <v>1</v>
      </c>
      <c r="D651" s="643">
        <f t="shared" si="523"/>
        <v>1</v>
      </c>
      <c r="E651" s="643">
        <f t="shared" si="523"/>
        <v>1</v>
      </c>
      <c r="F651" s="643">
        <f t="shared" si="523"/>
        <v>1</v>
      </c>
      <c r="G651" s="643">
        <f t="shared" si="523"/>
        <v>1</v>
      </c>
      <c r="H651" s="643">
        <f t="shared" si="523"/>
        <v>1</v>
      </c>
      <c r="I651" s="643">
        <f t="shared" si="523"/>
        <v>1</v>
      </c>
      <c r="J651" s="643">
        <f t="shared" si="523"/>
        <v>1</v>
      </c>
      <c r="K651" s="643">
        <f t="shared" si="523"/>
        <v>1</v>
      </c>
      <c r="L651" s="643">
        <f t="shared" si="523"/>
        <v>1</v>
      </c>
      <c r="M651" s="643">
        <f t="shared" si="523"/>
        <v>1</v>
      </c>
      <c r="N651" s="643">
        <f t="shared" si="523"/>
        <v>1</v>
      </c>
      <c r="O651" s="643">
        <f t="shared" si="523"/>
        <v>1</v>
      </c>
      <c r="P651" s="643">
        <f t="shared" si="523"/>
        <v>1</v>
      </c>
      <c r="Q651" s="643">
        <f t="shared" si="523"/>
        <v>1</v>
      </c>
      <c r="R651" s="643">
        <f t="shared" si="523"/>
        <v>1</v>
      </c>
      <c r="S651" s="643">
        <f t="shared" si="523"/>
        <v>1</v>
      </c>
      <c r="T651" s="643">
        <f t="shared" si="523"/>
        <v>1</v>
      </c>
      <c r="U651" s="643">
        <f t="shared" si="523"/>
        <v>1</v>
      </c>
      <c r="V651" s="643">
        <f t="shared" si="523"/>
        <v>1</v>
      </c>
      <c r="W651" s="643">
        <f t="shared" si="523"/>
        <v>1</v>
      </c>
      <c r="X651" s="643">
        <f t="shared" si="523"/>
        <v>1</v>
      </c>
      <c r="Y651" s="643">
        <f t="shared" si="523"/>
        <v>1</v>
      </c>
      <c r="Z651" s="643">
        <f t="shared" si="523"/>
        <v>1</v>
      </c>
      <c r="AA651" s="643">
        <f t="shared" si="523"/>
        <v>1</v>
      </c>
      <c r="AB651" s="643">
        <f t="shared" si="523"/>
        <v>1</v>
      </c>
      <c r="AC651" s="643">
        <f t="shared" si="523"/>
        <v>1</v>
      </c>
      <c r="AD651" s="643">
        <f t="shared" si="523"/>
        <v>1</v>
      </c>
      <c r="AE651" s="643">
        <f t="shared" si="523"/>
        <v>1</v>
      </c>
      <c r="AF651" s="643">
        <f t="shared" si="523"/>
        <v>1</v>
      </c>
      <c r="AH651" s="538"/>
      <c r="AK651" s="531"/>
      <c r="AM651" s="594"/>
      <c r="AN651" s="535"/>
      <c r="AP651" s="540"/>
      <c r="AQ651" s="540"/>
    </row>
    <row r="652" spans="1:43" s="513" customFormat="1" ht="16.5" hidden="1" customHeight="1" outlineLevel="2">
      <c r="A652" s="584"/>
      <c r="B652" s="572" t="s">
        <v>895</v>
      </c>
      <c r="C652" s="574">
        <f t="shared" ref="C652:AF652" si="524">C640</f>
        <v>880.95</v>
      </c>
      <c r="D652" s="574">
        <f t="shared" si="524"/>
        <v>880.95</v>
      </c>
      <c r="E652" s="574">
        <f t="shared" si="524"/>
        <v>880.95</v>
      </c>
      <c r="F652" s="574">
        <f t="shared" si="524"/>
        <v>880.95</v>
      </c>
      <c r="G652" s="574">
        <f t="shared" si="524"/>
        <v>880.95</v>
      </c>
      <c r="H652" s="574">
        <f t="shared" si="524"/>
        <v>880.95</v>
      </c>
      <c r="I652" s="574">
        <f t="shared" si="524"/>
        <v>880.95</v>
      </c>
      <c r="J652" s="574">
        <f t="shared" si="524"/>
        <v>880.95</v>
      </c>
      <c r="K652" s="574">
        <f t="shared" si="524"/>
        <v>880.95</v>
      </c>
      <c r="L652" s="574">
        <f t="shared" si="524"/>
        <v>880.95</v>
      </c>
      <c r="M652" s="574">
        <f t="shared" si="524"/>
        <v>880.95</v>
      </c>
      <c r="N652" s="574">
        <f t="shared" si="524"/>
        <v>880.95</v>
      </c>
      <c r="O652" s="574">
        <f t="shared" si="524"/>
        <v>880.95</v>
      </c>
      <c r="P652" s="574">
        <f t="shared" si="524"/>
        <v>880.95</v>
      </c>
      <c r="Q652" s="574">
        <f t="shared" si="524"/>
        <v>880.95</v>
      </c>
      <c r="R652" s="574">
        <f t="shared" si="524"/>
        <v>880.95</v>
      </c>
      <c r="S652" s="574">
        <f t="shared" si="524"/>
        <v>880.95</v>
      </c>
      <c r="T652" s="574">
        <f t="shared" si="524"/>
        <v>880.95</v>
      </c>
      <c r="U652" s="574">
        <f t="shared" si="524"/>
        <v>880.95</v>
      </c>
      <c r="V652" s="574">
        <f t="shared" si="524"/>
        <v>880.95</v>
      </c>
      <c r="W652" s="574">
        <f t="shared" si="524"/>
        <v>880.95</v>
      </c>
      <c r="X652" s="574">
        <f t="shared" si="524"/>
        <v>880.95</v>
      </c>
      <c r="Y652" s="574">
        <f t="shared" si="524"/>
        <v>880.95</v>
      </c>
      <c r="Z652" s="574">
        <f t="shared" si="524"/>
        <v>880.95</v>
      </c>
      <c r="AA652" s="574">
        <f t="shared" si="524"/>
        <v>880.95</v>
      </c>
      <c r="AB652" s="574">
        <f t="shared" si="524"/>
        <v>880.95</v>
      </c>
      <c r="AC652" s="574">
        <f t="shared" si="524"/>
        <v>880.95</v>
      </c>
      <c r="AD652" s="574">
        <f t="shared" si="524"/>
        <v>880.95</v>
      </c>
      <c r="AE652" s="574">
        <f t="shared" si="524"/>
        <v>880.95</v>
      </c>
      <c r="AF652" s="574">
        <f t="shared" si="524"/>
        <v>880.95</v>
      </c>
      <c r="AH652" s="538"/>
      <c r="AK652" s="531"/>
      <c r="AM652" s="594"/>
      <c r="AN652" s="535"/>
      <c r="AP652" s="540"/>
      <c r="AQ652" s="540"/>
    </row>
    <row r="653" spans="1:43" s="513" customFormat="1" ht="16.5" hidden="1" customHeight="1" outlineLevel="2">
      <c r="A653" s="584"/>
      <c r="B653" s="572" t="s">
        <v>896</v>
      </c>
      <c r="C653" s="574">
        <v>12.9</v>
      </c>
      <c r="D653" s="574">
        <f>C653</f>
        <v>12.9</v>
      </c>
      <c r="E653" s="574">
        <f t="shared" ref="E653:T654" si="525">D653</f>
        <v>12.9</v>
      </c>
      <c r="F653" s="574">
        <f t="shared" si="525"/>
        <v>12.9</v>
      </c>
      <c r="G653" s="574">
        <f t="shared" si="525"/>
        <v>12.9</v>
      </c>
      <c r="H653" s="574">
        <f t="shared" si="525"/>
        <v>12.9</v>
      </c>
      <c r="I653" s="574">
        <f t="shared" si="525"/>
        <v>12.9</v>
      </c>
      <c r="J653" s="574">
        <f t="shared" si="525"/>
        <v>12.9</v>
      </c>
      <c r="K653" s="574">
        <f t="shared" si="525"/>
        <v>12.9</v>
      </c>
      <c r="L653" s="574">
        <f t="shared" si="525"/>
        <v>12.9</v>
      </c>
      <c r="M653" s="574">
        <f t="shared" si="525"/>
        <v>12.9</v>
      </c>
      <c r="N653" s="574">
        <f t="shared" si="525"/>
        <v>12.9</v>
      </c>
      <c r="O653" s="574">
        <f t="shared" si="525"/>
        <v>12.9</v>
      </c>
      <c r="P653" s="574">
        <f t="shared" si="525"/>
        <v>12.9</v>
      </c>
      <c r="Q653" s="574">
        <f t="shared" si="525"/>
        <v>12.9</v>
      </c>
      <c r="R653" s="574">
        <f t="shared" si="525"/>
        <v>12.9</v>
      </c>
      <c r="S653" s="574">
        <f t="shared" si="525"/>
        <v>12.9</v>
      </c>
      <c r="T653" s="574">
        <f t="shared" si="525"/>
        <v>12.9</v>
      </c>
      <c r="U653" s="574">
        <f t="shared" ref="U653:AF654" si="526">T653</f>
        <v>12.9</v>
      </c>
      <c r="V653" s="574">
        <f t="shared" si="526"/>
        <v>12.9</v>
      </c>
      <c r="W653" s="574">
        <f t="shared" si="526"/>
        <v>12.9</v>
      </c>
      <c r="X653" s="574">
        <f t="shared" si="526"/>
        <v>12.9</v>
      </c>
      <c r="Y653" s="574">
        <f t="shared" si="526"/>
        <v>12.9</v>
      </c>
      <c r="Z653" s="574">
        <f t="shared" si="526"/>
        <v>12.9</v>
      </c>
      <c r="AA653" s="574">
        <f t="shared" si="526"/>
        <v>12.9</v>
      </c>
      <c r="AB653" s="574">
        <f t="shared" si="526"/>
        <v>12.9</v>
      </c>
      <c r="AC653" s="574">
        <f t="shared" si="526"/>
        <v>12.9</v>
      </c>
      <c r="AD653" s="574">
        <f t="shared" si="526"/>
        <v>12.9</v>
      </c>
      <c r="AE653" s="574">
        <f t="shared" si="526"/>
        <v>12.9</v>
      </c>
      <c r="AF653" s="574">
        <f t="shared" si="526"/>
        <v>12.9</v>
      </c>
      <c r="AH653" s="538"/>
      <c r="AK653" s="531"/>
      <c r="AM653" s="594"/>
      <c r="AN653" s="535"/>
      <c r="AP653" s="540"/>
      <c r="AQ653" s="540"/>
    </row>
    <row r="654" spans="1:43" s="513" customFormat="1" ht="16.5" hidden="1" customHeight="1" outlineLevel="2">
      <c r="A654" s="584"/>
      <c r="B654" s="572" t="s">
        <v>888</v>
      </c>
      <c r="C654" s="574">
        <f>Insumos!$E$40</f>
        <v>6.88</v>
      </c>
      <c r="D654" s="574">
        <f>C654</f>
        <v>6.88</v>
      </c>
      <c r="E654" s="574">
        <f t="shared" si="525"/>
        <v>6.88</v>
      </c>
      <c r="F654" s="574">
        <f t="shared" si="525"/>
        <v>6.88</v>
      </c>
      <c r="G654" s="574">
        <f t="shared" si="525"/>
        <v>6.88</v>
      </c>
      <c r="H654" s="574">
        <f t="shared" si="525"/>
        <v>6.88</v>
      </c>
      <c r="I654" s="574">
        <f t="shared" si="525"/>
        <v>6.88</v>
      </c>
      <c r="J654" s="574">
        <f t="shared" si="525"/>
        <v>6.88</v>
      </c>
      <c r="K654" s="574">
        <f t="shared" si="525"/>
        <v>6.88</v>
      </c>
      <c r="L654" s="574">
        <f t="shared" si="525"/>
        <v>6.88</v>
      </c>
      <c r="M654" s="574">
        <f t="shared" si="525"/>
        <v>6.88</v>
      </c>
      <c r="N654" s="574">
        <f t="shared" si="525"/>
        <v>6.88</v>
      </c>
      <c r="O654" s="574">
        <f t="shared" si="525"/>
        <v>6.88</v>
      </c>
      <c r="P654" s="574">
        <f t="shared" si="525"/>
        <v>6.88</v>
      </c>
      <c r="Q654" s="574">
        <f t="shared" si="525"/>
        <v>6.88</v>
      </c>
      <c r="R654" s="574">
        <f t="shared" si="525"/>
        <v>6.88</v>
      </c>
      <c r="S654" s="574">
        <f t="shared" si="525"/>
        <v>6.88</v>
      </c>
      <c r="T654" s="574">
        <f t="shared" si="525"/>
        <v>6.88</v>
      </c>
      <c r="U654" s="574">
        <f t="shared" si="526"/>
        <v>6.88</v>
      </c>
      <c r="V654" s="574">
        <f t="shared" si="526"/>
        <v>6.88</v>
      </c>
      <c r="W654" s="574">
        <f t="shared" si="526"/>
        <v>6.88</v>
      </c>
      <c r="X654" s="574">
        <f t="shared" si="526"/>
        <v>6.88</v>
      </c>
      <c r="Y654" s="574">
        <f t="shared" si="526"/>
        <v>6.88</v>
      </c>
      <c r="Z654" s="574">
        <f t="shared" si="526"/>
        <v>6.88</v>
      </c>
      <c r="AA654" s="574">
        <f t="shared" si="526"/>
        <v>6.88</v>
      </c>
      <c r="AB654" s="574">
        <f t="shared" si="526"/>
        <v>6.88</v>
      </c>
      <c r="AC654" s="574">
        <f t="shared" si="526"/>
        <v>6.88</v>
      </c>
      <c r="AD654" s="574">
        <f t="shared" si="526"/>
        <v>6.88</v>
      </c>
      <c r="AE654" s="574">
        <f t="shared" si="526"/>
        <v>6.88</v>
      </c>
      <c r="AF654" s="574">
        <f t="shared" si="526"/>
        <v>6.88</v>
      </c>
      <c r="AH654" s="538"/>
      <c r="AK654" s="531"/>
      <c r="AM654" s="594"/>
      <c r="AN654" s="535"/>
      <c r="AP654" s="540"/>
      <c r="AQ654" s="540"/>
    </row>
    <row r="655" spans="1:43" s="513" customFormat="1" ht="3" hidden="1" customHeight="1" outlineLevel="2">
      <c r="A655" s="584"/>
      <c r="B655" s="572"/>
      <c r="C655" s="574"/>
      <c r="D655" s="574"/>
      <c r="E655" s="574"/>
      <c r="F655" s="574"/>
      <c r="G655" s="574"/>
      <c r="H655" s="574"/>
      <c r="I655" s="574"/>
      <c r="J655" s="574"/>
      <c r="K655" s="574"/>
      <c r="L655" s="574"/>
      <c r="M655" s="574"/>
      <c r="N655" s="574"/>
      <c r="O655" s="574"/>
      <c r="P655" s="574"/>
      <c r="Q655" s="574"/>
      <c r="R655" s="574"/>
      <c r="S655" s="574"/>
      <c r="T655" s="574"/>
      <c r="U655" s="574"/>
      <c r="V655" s="574"/>
      <c r="W655" s="574"/>
      <c r="X655" s="574"/>
      <c r="Y655" s="574"/>
      <c r="Z655" s="574"/>
      <c r="AA655" s="574"/>
      <c r="AB655" s="574"/>
      <c r="AC655" s="574"/>
      <c r="AD655" s="574"/>
      <c r="AE655" s="574"/>
      <c r="AF655" s="574"/>
      <c r="AH655" s="538"/>
      <c r="AK655" s="531"/>
      <c r="AM655" s="594"/>
      <c r="AN655" s="535"/>
      <c r="AP655" s="540"/>
      <c r="AQ655" s="540"/>
    </row>
    <row r="656" spans="1:43" s="564" customFormat="1" ht="16.5" hidden="1" customHeight="1" outlineLevel="1" collapsed="1">
      <c r="A656" s="584"/>
      <c r="B656" s="576" t="s">
        <v>897</v>
      </c>
      <c r="C656" s="577">
        <f>SUM(C657)*12/10^3</f>
        <v>0.16412309928000002</v>
      </c>
      <c r="D656" s="577">
        <f t="shared" ref="D656:AF656" si="527">SUM(D657)*12/10^3</f>
        <v>0.16412309928000002</v>
      </c>
      <c r="E656" s="577">
        <f t="shared" si="527"/>
        <v>0.16412309928000002</v>
      </c>
      <c r="F656" s="577">
        <f t="shared" si="527"/>
        <v>0.16412309928000002</v>
      </c>
      <c r="G656" s="577">
        <f t="shared" si="527"/>
        <v>0.16412309928000002</v>
      </c>
      <c r="H656" s="577">
        <f t="shared" si="527"/>
        <v>0.16412309928000002</v>
      </c>
      <c r="I656" s="577">
        <f t="shared" si="527"/>
        <v>0.16412309928000002</v>
      </c>
      <c r="J656" s="577">
        <f t="shared" si="527"/>
        <v>0.16412309928000002</v>
      </c>
      <c r="K656" s="577">
        <f t="shared" si="527"/>
        <v>0.16412309928000002</v>
      </c>
      <c r="L656" s="577">
        <f t="shared" si="527"/>
        <v>0.16412309928000002</v>
      </c>
      <c r="M656" s="577">
        <f t="shared" si="527"/>
        <v>0.16412309928000002</v>
      </c>
      <c r="N656" s="577">
        <f t="shared" si="527"/>
        <v>0.16412309928000002</v>
      </c>
      <c r="O656" s="577">
        <f t="shared" si="527"/>
        <v>0.16412309928000002</v>
      </c>
      <c r="P656" s="577">
        <f t="shared" si="527"/>
        <v>0.16412309928000002</v>
      </c>
      <c r="Q656" s="577">
        <f t="shared" si="527"/>
        <v>0.16412309928000002</v>
      </c>
      <c r="R656" s="577">
        <f t="shared" si="527"/>
        <v>0.16412309928000002</v>
      </c>
      <c r="S656" s="577">
        <f t="shared" si="527"/>
        <v>0.16412309928000002</v>
      </c>
      <c r="T656" s="577">
        <f t="shared" si="527"/>
        <v>0.16412309928000002</v>
      </c>
      <c r="U656" s="577">
        <f t="shared" si="527"/>
        <v>0.16412309928000002</v>
      </c>
      <c r="V656" s="577">
        <f t="shared" si="527"/>
        <v>0.16412309928000002</v>
      </c>
      <c r="W656" s="577">
        <f t="shared" si="527"/>
        <v>0.16412309928000002</v>
      </c>
      <c r="X656" s="577">
        <f t="shared" si="527"/>
        <v>0.16412309928000002</v>
      </c>
      <c r="Y656" s="577">
        <f t="shared" si="527"/>
        <v>0.16412309928000002</v>
      </c>
      <c r="Z656" s="577">
        <f t="shared" si="527"/>
        <v>0.16412309928000002</v>
      </c>
      <c r="AA656" s="577">
        <f t="shared" si="527"/>
        <v>0.16412309928000002</v>
      </c>
      <c r="AB656" s="577">
        <f t="shared" si="527"/>
        <v>0.16412309928000002</v>
      </c>
      <c r="AC656" s="577">
        <f t="shared" si="527"/>
        <v>0.16412309928000002</v>
      </c>
      <c r="AD656" s="577">
        <f t="shared" si="527"/>
        <v>0.16412309928000002</v>
      </c>
      <c r="AE656" s="577">
        <f t="shared" si="527"/>
        <v>0.16412309928000002</v>
      </c>
      <c r="AF656" s="577">
        <f t="shared" si="527"/>
        <v>0.16412309928000002</v>
      </c>
      <c r="AH656" s="578">
        <f>SUM(C656:AF656)</f>
        <v>4.9236929784000045</v>
      </c>
      <c r="AK656" s="531"/>
      <c r="AM656" s="594"/>
      <c r="AN656" s="535"/>
      <c r="AP656" s="568"/>
      <c r="AQ656" s="568"/>
    </row>
    <row r="657" spans="1:43" s="546" customFormat="1" ht="16.5" hidden="1" customHeight="1" outlineLevel="2">
      <c r="A657" s="584"/>
      <c r="B657" s="595" t="s">
        <v>808</v>
      </c>
      <c r="C657" s="581">
        <f>C659*C660</f>
        <v>13.676924940000001</v>
      </c>
      <c r="D657" s="581">
        <f t="shared" ref="D657:AF657" si="528">D659*D660</f>
        <v>13.676924940000001</v>
      </c>
      <c r="E657" s="581">
        <f t="shared" si="528"/>
        <v>13.676924940000001</v>
      </c>
      <c r="F657" s="581">
        <f t="shared" si="528"/>
        <v>13.676924940000001</v>
      </c>
      <c r="G657" s="581">
        <f t="shared" si="528"/>
        <v>13.676924940000001</v>
      </c>
      <c r="H657" s="581">
        <f t="shared" si="528"/>
        <v>13.676924940000001</v>
      </c>
      <c r="I657" s="581">
        <f t="shared" si="528"/>
        <v>13.676924940000001</v>
      </c>
      <c r="J657" s="581">
        <f t="shared" si="528"/>
        <v>13.676924940000001</v>
      </c>
      <c r="K657" s="581">
        <f t="shared" si="528"/>
        <v>13.676924940000001</v>
      </c>
      <c r="L657" s="581">
        <f t="shared" si="528"/>
        <v>13.676924940000001</v>
      </c>
      <c r="M657" s="581">
        <f t="shared" si="528"/>
        <v>13.676924940000001</v>
      </c>
      <c r="N657" s="581">
        <f t="shared" si="528"/>
        <v>13.676924940000001</v>
      </c>
      <c r="O657" s="581">
        <f t="shared" si="528"/>
        <v>13.676924940000001</v>
      </c>
      <c r="P657" s="581">
        <f t="shared" si="528"/>
        <v>13.676924940000001</v>
      </c>
      <c r="Q657" s="581">
        <f t="shared" si="528"/>
        <v>13.676924940000001</v>
      </c>
      <c r="R657" s="581">
        <f t="shared" si="528"/>
        <v>13.676924940000001</v>
      </c>
      <c r="S657" s="581">
        <f t="shared" si="528"/>
        <v>13.676924940000001</v>
      </c>
      <c r="T657" s="581">
        <f t="shared" si="528"/>
        <v>13.676924940000001</v>
      </c>
      <c r="U657" s="581">
        <f t="shared" si="528"/>
        <v>13.676924940000001</v>
      </c>
      <c r="V657" s="581">
        <f t="shared" si="528"/>
        <v>13.676924940000001</v>
      </c>
      <c r="W657" s="581">
        <f t="shared" si="528"/>
        <v>13.676924940000001</v>
      </c>
      <c r="X657" s="581">
        <f t="shared" si="528"/>
        <v>13.676924940000001</v>
      </c>
      <c r="Y657" s="581">
        <f t="shared" si="528"/>
        <v>13.676924940000001</v>
      </c>
      <c r="Z657" s="581">
        <f t="shared" si="528"/>
        <v>13.676924940000001</v>
      </c>
      <c r="AA657" s="581">
        <f t="shared" si="528"/>
        <v>13.676924940000001</v>
      </c>
      <c r="AB657" s="581">
        <f t="shared" si="528"/>
        <v>13.676924940000001</v>
      </c>
      <c r="AC657" s="581">
        <f t="shared" si="528"/>
        <v>13.676924940000001</v>
      </c>
      <c r="AD657" s="581">
        <f t="shared" si="528"/>
        <v>13.676924940000001</v>
      </c>
      <c r="AE657" s="581">
        <f t="shared" si="528"/>
        <v>13.676924940000001</v>
      </c>
      <c r="AF657" s="581">
        <f t="shared" si="528"/>
        <v>13.676924940000001</v>
      </c>
      <c r="AH657" s="571"/>
      <c r="AK657" s="531"/>
      <c r="AM657" s="594"/>
      <c r="AN657" s="535"/>
      <c r="AP657" s="549"/>
      <c r="AQ657" s="549"/>
    </row>
    <row r="658" spans="1:43" s="546" customFormat="1" ht="16.5" hidden="1" customHeight="1" outlineLevel="2">
      <c r="A658" s="584"/>
      <c r="B658" s="596" t="s">
        <v>805</v>
      </c>
      <c r="C658" s="581">
        <f t="shared" ref="C658:AF658" si="529">C623</f>
        <v>1</v>
      </c>
      <c r="D658" s="581">
        <f t="shared" si="529"/>
        <v>1</v>
      </c>
      <c r="E658" s="581">
        <f t="shared" si="529"/>
        <v>1</v>
      </c>
      <c r="F658" s="581">
        <f t="shared" si="529"/>
        <v>1</v>
      </c>
      <c r="G658" s="581">
        <f t="shared" si="529"/>
        <v>1</v>
      </c>
      <c r="H658" s="581">
        <f t="shared" si="529"/>
        <v>1</v>
      </c>
      <c r="I658" s="581">
        <f t="shared" si="529"/>
        <v>1</v>
      </c>
      <c r="J658" s="581">
        <f t="shared" si="529"/>
        <v>1</v>
      </c>
      <c r="K658" s="581">
        <f t="shared" si="529"/>
        <v>1</v>
      </c>
      <c r="L658" s="581">
        <f t="shared" si="529"/>
        <v>1</v>
      </c>
      <c r="M658" s="581">
        <f t="shared" si="529"/>
        <v>1</v>
      </c>
      <c r="N658" s="581">
        <f t="shared" si="529"/>
        <v>1</v>
      </c>
      <c r="O658" s="581">
        <f t="shared" si="529"/>
        <v>1</v>
      </c>
      <c r="P658" s="581">
        <f t="shared" si="529"/>
        <v>1</v>
      </c>
      <c r="Q658" s="581">
        <f t="shared" si="529"/>
        <v>1</v>
      </c>
      <c r="R658" s="581">
        <f t="shared" si="529"/>
        <v>1</v>
      </c>
      <c r="S658" s="581">
        <f t="shared" si="529"/>
        <v>1</v>
      </c>
      <c r="T658" s="581">
        <f t="shared" si="529"/>
        <v>1</v>
      </c>
      <c r="U658" s="581">
        <f t="shared" si="529"/>
        <v>1</v>
      </c>
      <c r="V658" s="581">
        <f t="shared" si="529"/>
        <v>1</v>
      </c>
      <c r="W658" s="581">
        <f t="shared" si="529"/>
        <v>1</v>
      </c>
      <c r="X658" s="581">
        <f t="shared" si="529"/>
        <v>1</v>
      </c>
      <c r="Y658" s="581">
        <f t="shared" si="529"/>
        <v>1</v>
      </c>
      <c r="Z658" s="581">
        <f t="shared" si="529"/>
        <v>1</v>
      </c>
      <c r="AA658" s="581">
        <f t="shared" si="529"/>
        <v>1</v>
      </c>
      <c r="AB658" s="581">
        <f t="shared" si="529"/>
        <v>1</v>
      </c>
      <c r="AC658" s="581">
        <f t="shared" si="529"/>
        <v>1</v>
      </c>
      <c r="AD658" s="581">
        <f t="shared" si="529"/>
        <v>1</v>
      </c>
      <c r="AE658" s="581">
        <f t="shared" si="529"/>
        <v>1</v>
      </c>
      <c r="AF658" s="581">
        <f t="shared" si="529"/>
        <v>1</v>
      </c>
      <c r="AH658" s="571"/>
      <c r="AK658" s="531"/>
      <c r="AM658" s="594"/>
      <c r="AN658" s="535"/>
      <c r="AP658" s="549"/>
      <c r="AQ658" s="549"/>
    </row>
    <row r="659" spans="1:43" s="513" customFormat="1" ht="16.5" hidden="1" customHeight="1" outlineLevel="2">
      <c r="A659" s="584"/>
      <c r="B659" s="596" t="s">
        <v>895</v>
      </c>
      <c r="C659" s="574">
        <f t="shared" ref="C659:AF659" si="530">C640</f>
        <v>880.95</v>
      </c>
      <c r="D659" s="574">
        <f t="shared" si="530"/>
        <v>880.95</v>
      </c>
      <c r="E659" s="574">
        <f t="shared" si="530"/>
        <v>880.95</v>
      </c>
      <c r="F659" s="574">
        <f t="shared" si="530"/>
        <v>880.95</v>
      </c>
      <c r="G659" s="574">
        <f t="shared" si="530"/>
        <v>880.95</v>
      </c>
      <c r="H659" s="574">
        <f t="shared" si="530"/>
        <v>880.95</v>
      </c>
      <c r="I659" s="574">
        <f t="shared" si="530"/>
        <v>880.95</v>
      </c>
      <c r="J659" s="574">
        <f t="shared" si="530"/>
        <v>880.95</v>
      </c>
      <c r="K659" s="574">
        <f t="shared" si="530"/>
        <v>880.95</v>
      </c>
      <c r="L659" s="574">
        <f t="shared" si="530"/>
        <v>880.95</v>
      </c>
      <c r="M659" s="574">
        <f t="shared" si="530"/>
        <v>880.95</v>
      </c>
      <c r="N659" s="574">
        <f t="shared" si="530"/>
        <v>880.95</v>
      </c>
      <c r="O659" s="574">
        <f t="shared" si="530"/>
        <v>880.95</v>
      </c>
      <c r="P659" s="574">
        <f t="shared" si="530"/>
        <v>880.95</v>
      </c>
      <c r="Q659" s="574">
        <f t="shared" si="530"/>
        <v>880.95</v>
      </c>
      <c r="R659" s="574">
        <f t="shared" si="530"/>
        <v>880.95</v>
      </c>
      <c r="S659" s="574">
        <f t="shared" si="530"/>
        <v>880.95</v>
      </c>
      <c r="T659" s="574">
        <f t="shared" si="530"/>
        <v>880.95</v>
      </c>
      <c r="U659" s="574">
        <f t="shared" si="530"/>
        <v>880.95</v>
      </c>
      <c r="V659" s="574">
        <f t="shared" si="530"/>
        <v>880.95</v>
      </c>
      <c r="W659" s="574">
        <f t="shared" si="530"/>
        <v>880.95</v>
      </c>
      <c r="X659" s="574">
        <f t="shared" si="530"/>
        <v>880.95</v>
      </c>
      <c r="Y659" s="574">
        <f t="shared" si="530"/>
        <v>880.95</v>
      </c>
      <c r="Z659" s="574">
        <f t="shared" si="530"/>
        <v>880.95</v>
      </c>
      <c r="AA659" s="574">
        <f t="shared" si="530"/>
        <v>880.95</v>
      </c>
      <c r="AB659" s="574">
        <f t="shared" si="530"/>
        <v>880.95</v>
      </c>
      <c r="AC659" s="574">
        <f t="shared" si="530"/>
        <v>880.95</v>
      </c>
      <c r="AD659" s="574">
        <f t="shared" si="530"/>
        <v>880.95</v>
      </c>
      <c r="AE659" s="574">
        <f t="shared" si="530"/>
        <v>880.95</v>
      </c>
      <c r="AF659" s="574">
        <f t="shared" si="530"/>
        <v>880.95</v>
      </c>
      <c r="AH659" s="538"/>
      <c r="AK659" s="531"/>
      <c r="AM659" s="594"/>
      <c r="AN659" s="535"/>
      <c r="AP659" s="540"/>
      <c r="AQ659" s="540"/>
    </row>
    <row r="660" spans="1:43" s="513" customFormat="1" ht="16.5" hidden="1" customHeight="1" outlineLevel="2">
      <c r="A660" s="584"/>
      <c r="B660" s="596" t="s">
        <v>898</v>
      </c>
      <c r="C660" s="597">
        <v>1.5525199999999999E-2</v>
      </c>
      <c r="D660" s="597">
        <f>C660</f>
        <v>1.5525199999999999E-2</v>
      </c>
      <c r="E660" s="597">
        <f t="shared" ref="E660:AF660" si="531">D660</f>
        <v>1.5525199999999999E-2</v>
      </c>
      <c r="F660" s="597">
        <f t="shared" si="531"/>
        <v>1.5525199999999999E-2</v>
      </c>
      <c r="G660" s="597">
        <f t="shared" si="531"/>
        <v>1.5525199999999999E-2</v>
      </c>
      <c r="H660" s="597">
        <f t="shared" si="531"/>
        <v>1.5525199999999999E-2</v>
      </c>
      <c r="I660" s="597">
        <f t="shared" si="531"/>
        <v>1.5525199999999999E-2</v>
      </c>
      <c r="J660" s="597">
        <f t="shared" si="531"/>
        <v>1.5525199999999999E-2</v>
      </c>
      <c r="K660" s="597">
        <f t="shared" si="531"/>
        <v>1.5525199999999999E-2</v>
      </c>
      <c r="L660" s="597">
        <f t="shared" si="531"/>
        <v>1.5525199999999999E-2</v>
      </c>
      <c r="M660" s="597">
        <f t="shared" si="531"/>
        <v>1.5525199999999999E-2</v>
      </c>
      <c r="N660" s="597">
        <f t="shared" si="531"/>
        <v>1.5525199999999999E-2</v>
      </c>
      <c r="O660" s="597">
        <f t="shared" si="531"/>
        <v>1.5525199999999999E-2</v>
      </c>
      <c r="P660" s="597">
        <f t="shared" si="531"/>
        <v>1.5525199999999999E-2</v>
      </c>
      <c r="Q660" s="597">
        <f t="shared" si="531"/>
        <v>1.5525199999999999E-2</v>
      </c>
      <c r="R660" s="597">
        <f t="shared" si="531"/>
        <v>1.5525199999999999E-2</v>
      </c>
      <c r="S660" s="597">
        <f t="shared" si="531"/>
        <v>1.5525199999999999E-2</v>
      </c>
      <c r="T660" s="597">
        <f t="shared" si="531"/>
        <v>1.5525199999999999E-2</v>
      </c>
      <c r="U660" s="597">
        <f t="shared" si="531"/>
        <v>1.5525199999999999E-2</v>
      </c>
      <c r="V660" s="597">
        <f t="shared" si="531"/>
        <v>1.5525199999999999E-2</v>
      </c>
      <c r="W660" s="597">
        <f t="shared" si="531"/>
        <v>1.5525199999999999E-2</v>
      </c>
      <c r="X660" s="597">
        <f t="shared" si="531"/>
        <v>1.5525199999999999E-2</v>
      </c>
      <c r="Y660" s="597">
        <f t="shared" si="531"/>
        <v>1.5525199999999999E-2</v>
      </c>
      <c r="Z660" s="597">
        <f t="shared" si="531"/>
        <v>1.5525199999999999E-2</v>
      </c>
      <c r="AA660" s="597">
        <f t="shared" si="531"/>
        <v>1.5525199999999999E-2</v>
      </c>
      <c r="AB660" s="597">
        <f t="shared" si="531"/>
        <v>1.5525199999999999E-2</v>
      </c>
      <c r="AC660" s="597">
        <f t="shared" si="531"/>
        <v>1.5525199999999999E-2</v>
      </c>
      <c r="AD660" s="597">
        <f t="shared" si="531"/>
        <v>1.5525199999999999E-2</v>
      </c>
      <c r="AE660" s="597">
        <f t="shared" si="531"/>
        <v>1.5525199999999999E-2</v>
      </c>
      <c r="AF660" s="597">
        <f t="shared" si="531"/>
        <v>1.5525199999999999E-2</v>
      </c>
      <c r="AH660" s="538"/>
      <c r="AK660" s="531"/>
      <c r="AM660" s="594"/>
      <c r="AN660" s="535"/>
      <c r="AP660" s="540"/>
      <c r="AQ660" s="540"/>
    </row>
    <row r="661" spans="1:43" s="513" customFormat="1" ht="3" hidden="1" customHeight="1" outlineLevel="2">
      <c r="A661" s="584"/>
      <c r="B661" s="596"/>
      <c r="C661" s="598"/>
      <c r="D661" s="598"/>
      <c r="E661" s="598"/>
      <c r="F661" s="598"/>
      <c r="G661" s="598"/>
      <c r="H661" s="598"/>
      <c r="I661" s="598"/>
      <c r="J661" s="598"/>
      <c r="K661" s="598"/>
      <c r="L661" s="598"/>
      <c r="M661" s="598"/>
      <c r="N661" s="598"/>
      <c r="O661" s="598"/>
      <c r="P661" s="598"/>
      <c r="Q661" s="598"/>
      <c r="R661" s="598"/>
      <c r="S661" s="598"/>
      <c r="T661" s="598"/>
      <c r="U661" s="598"/>
      <c r="V661" s="598"/>
      <c r="W661" s="598"/>
      <c r="X661" s="598"/>
      <c r="Y661" s="598"/>
      <c r="Z661" s="598"/>
      <c r="AA661" s="598"/>
      <c r="AB661" s="598"/>
      <c r="AC661" s="598"/>
      <c r="AD661" s="598"/>
      <c r="AE661" s="598"/>
      <c r="AF661" s="598"/>
      <c r="AH661" s="538"/>
      <c r="AK661" s="531"/>
      <c r="AM661" s="594"/>
      <c r="AN661" s="535"/>
      <c r="AP661" s="540"/>
      <c r="AQ661" s="540"/>
    </row>
    <row r="662" spans="1:43" s="564" customFormat="1" ht="16.5" hidden="1" customHeight="1" outlineLevel="1" collapsed="1">
      <c r="A662" s="584"/>
      <c r="B662" s="576" t="s">
        <v>899</v>
      </c>
      <c r="C662" s="577">
        <f>SUM(C663)*12/10^3</f>
        <v>0.38761800000000007</v>
      </c>
      <c r="D662" s="577">
        <f t="shared" ref="D662:AF662" si="532">SUM(D663)*12/10^3</f>
        <v>0.38761800000000007</v>
      </c>
      <c r="E662" s="577">
        <f t="shared" si="532"/>
        <v>0.38761800000000007</v>
      </c>
      <c r="F662" s="577">
        <f t="shared" si="532"/>
        <v>0.38761800000000007</v>
      </c>
      <c r="G662" s="577">
        <f t="shared" si="532"/>
        <v>0.38761800000000007</v>
      </c>
      <c r="H662" s="577">
        <f t="shared" si="532"/>
        <v>0.38761800000000007</v>
      </c>
      <c r="I662" s="577">
        <f t="shared" si="532"/>
        <v>0.38761800000000007</v>
      </c>
      <c r="J662" s="577">
        <f t="shared" si="532"/>
        <v>0.38761800000000007</v>
      </c>
      <c r="K662" s="577">
        <f t="shared" si="532"/>
        <v>0.38761800000000007</v>
      </c>
      <c r="L662" s="577">
        <f t="shared" si="532"/>
        <v>0.38761800000000007</v>
      </c>
      <c r="M662" s="577">
        <f t="shared" si="532"/>
        <v>0.38761800000000007</v>
      </c>
      <c r="N662" s="577">
        <f t="shared" si="532"/>
        <v>0.38761800000000007</v>
      </c>
      <c r="O662" s="577">
        <f t="shared" si="532"/>
        <v>0.38761800000000007</v>
      </c>
      <c r="P662" s="577">
        <f t="shared" si="532"/>
        <v>0.38761800000000007</v>
      </c>
      <c r="Q662" s="577">
        <f t="shared" si="532"/>
        <v>0.38761800000000007</v>
      </c>
      <c r="R662" s="577">
        <f t="shared" si="532"/>
        <v>0.38761800000000007</v>
      </c>
      <c r="S662" s="577">
        <f t="shared" si="532"/>
        <v>0.38761800000000007</v>
      </c>
      <c r="T662" s="577">
        <f t="shared" si="532"/>
        <v>0.38761800000000007</v>
      </c>
      <c r="U662" s="577">
        <f t="shared" si="532"/>
        <v>0.38761800000000007</v>
      </c>
      <c r="V662" s="577">
        <f t="shared" si="532"/>
        <v>0.38761800000000007</v>
      </c>
      <c r="W662" s="577">
        <f t="shared" si="532"/>
        <v>0.38761800000000007</v>
      </c>
      <c r="X662" s="577">
        <f t="shared" si="532"/>
        <v>0.38761800000000007</v>
      </c>
      <c r="Y662" s="577">
        <f t="shared" si="532"/>
        <v>0.38761800000000007</v>
      </c>
      <c r="Z662" s="577">
        <f t="shared" si="532"/>
        <v>0.38761800000000007</v>
      </c>
      <c r="AA662" s="577">
        <f t="shared" si="532"/>
        <v>0.38761800000000007</v>
      </c>
      <c r="AB662" s="577">
        <f t="shared" si="532"/>
        <v>0.38761800000000007</v>
      </c>
      <c r="AC662" s="577">
        <f t="shared" si="532"/>
        <v>0.38761800000000007</v>
      </c>
      <c r="AD662" s="577">
        <f t="shared" si="532"/>
        <v>0.38761800000000007</v>
      </c>
      <c r="AE662" s="577">
        <f t="shared" si="532"/>
        <v>0.38761800000000007</v>
      </c>
      <c r="AF662" s="577">
        <f t="shared" si="532"/>
        <v>0.38761800000000007</v>
      </c>
      <c r="AH662" s="578">
        <f>SUM(C662:AF662)</f>
        <v>11.628539999999997</v>
      </c>
      <c r="AK662" s="531"/>
      <c r="AM662" s="594"/>
      <c r="AN662" s="535"/>
      <c r="AP662" s="568"/>
      <c r="AQ662" s="568"/>
    </row>
    <row r="663" spans="1:43" s="546" customFormat="1" ht="16.5" hidden="1" customHeight="1" outlineLevel="2">
      <c r="A663" s="584"/>
      <c r="B663" s="595" t="s">
        <v>808</v>
      </c>
      <c r="C663" s="581">
        <f>C665*C666*C664</f>
        <v>32.301500000000004</v>
      </c>
      <c r="D663" s="581">
        <f t="shared" ref="D663:AF663" si="533">D665*D666*D664</f>
        <v>32.301500000000004</v>
      </c>
      <c r="E663" s="581">
        <f t="shared" si="533"/>
        <v>32.301500000000004</v>
      </c>
      <c r="F663" s="581">
        <f t="shared" si="533"/>
        <v>32.301500000000004</v>
      </c>
      <c r="G663" s="581">
        <f t="shared" si="533"/>
        <v>32.301500000000004</v>
      </c>
      <c r="H663" s="581">
        <f t="shared" si="533"/>
        <v>32.301500000000004</v>
      </c>
      <c r="I663" s="581">
        <f t="shared" si="533"/>
        <v>32.301500000000004</v>
      </c>
      <c r="J663" s="581">
        <f t="shared" si="533"/>
        <v>32.301500000000004</v>
      </c>
      <c r="K663" s="581">
        <f t="shared" si="533"/>
        <v>32.301500000000004</v>
      </c>
      <c r="L663" s="581">
        <f t="shared" si="533"/>
        <v>32.301500000000004</v>
      </c>
      <c r="M663" s="581">
        <f t="shared" si="533"/>
        <v>32.301500000000004</v>
      </c>
      <c r="N663" s="581">
        <f t="shared" si="533"/>
        <v>32.301500000000004</v>
      </c>
      <c r="O663" s="581">
        <f t="shared" si="533"/>
        <v>32.301500000000004</v>
      </c>
      <c r="P663" s="581">
        <f t="shared" si="533"/>
        <v>32.301500000000004</v>
      </c>
      <c r="Q663" s="581">
        <f t="shared" si="533"/>
        <v>32.301500000000004</v>
      </c>
      <c r="R663" s="581">
        <f t="shared" si="533"/>
        <v>32.301500000000004</v>
      </c>
      <c r="S663" s="581">
        <f t="shared" si="533"/>
        <v>32.301500000000004</v>
      </c>
      <c r="T663" s="581">
        <f t="shared" si="533"/>
        <v>32.301500000000004</v>
      </c>
      <c r="U663" s="581">
        <f t="shared" si="533"/>
        <v>32.301500000000004</v>
      </c>
      <c r="V663" s="581">
        <f t="shared" si="533"/>
        <v>32.301500000000004</v>
      </c>
      <c r="W663" s="581">
        <f t="shared" si="533"/>
        <v>32.301500000000004</v>
      </c>
      <c r="X663" s="581">
        <f t="shared" si="533"/>
        <v>32.301500000000004</v>
      </c>
      <c r="Y663" s="581">
        <f t="shared" si="533"/>
        <v>32.301500000000004</v>
      </c>
      <c r="Z663" s="581">
        <f t="shared" si="533"/>
        <v>32.301500000000004</v>
      </c>
      <c r="AA663" s="581">
        <f t="shared" si="533"/>
        <v>32.301500000000004</v>
      </c>
      <c r="AB663" s="581">
        <f t="shared" si="533"/>
        <v>32.301500000000004</v>
      </c>
      <c r="AC663" s="581">
        <f t="shared" si="533"/>
        <v>32.301500000000004</v>
      </c>
      <c r="AD663" s="581">
        <f t="shared" si="533"/>
        <v>32.301500000000004</v>
      </c>
      <c r="AE663" s="581">
        <f t="shared" si="533"/>
        <v>32.301500000000004</v>
      </c>
      <c r="AF663" s="581">
        <f t="shared" si="533"/>
        <v>32.301500000000004</v>
      </c>
      <c r="AH663" s="571"/>
      <c r="AK663" s="531"/>
      <c r="AM663" s="594"/>
      <c r="AN663" s="535"/>
      <c r="AP663" s="549"/>
      <c r="AQ663" s="549"/>
    </row>
    <row r="664" spans="1:43" s="546" customFormat="1" ht="16.5" hidden="1" customHeight="1" outlineLevel="2">
      <c r="A664" s="584"/>
      <c r="B664" s="572" t="s">
        <v>805</v>
      </c>
      <c r="C664" s="643">
        <f t="shared" ref="C664:AF664" si="534">C623</f>
        <v>1</v>
      </c>
      <c r="D664" s="643">
        <f t="shared" si="534"/>
        <v>1</v>
      </c>
      <c r="E664" s="643">
        <f t="shared" si="534"/>
        <v>1</v>
      </c>
      <c r="F664" s="643">
        <f t="shared" si="534"/>
        <v>1</v>
      </c>
      <c r="G664" s="643">
        <f t="shared" si="534"/>
        <v>1</v>
      </c>
      <c r="H664" s="643">
        <f t="shared" si="534"/>
        <v>1</v>
      </c>
      <c r="I664" s="643">
        <f t="shared" si="534"/>
        <v>1</v>
      </c>
      <c r="J664" s="643">
        <f t="shared" si="534"/>
        <v>1</v>
      </c>
      <c r="K664" s="643">
        <f t="shared" si="534"/>
        <v>1</v>
      </c>
      <c r="L664" s="643">
        <f t="shared" si="534"/>
        <v>1</v>
      </c>
      <c r="M664" s="643">
        <f t="shared" si="534"/>
        <v>1</v>
      </c>
      <c r="N664" s="643">
        <f t="shared" si="534"/>
        <v>1</v>
      </c>
      <c r="O664" s="643">
        <f t="shared" si="534"/>
        <v>1</v>
      </c>
      <c r="P664" s="643">
        <f t="shared" si="534"/>
        <v>1</v>
      </c>
      <c r="Q664" s="643">
        <f t="shared" si="534"/>
        <v>1</v>
      </c>
      <c r="R664" s="643">
        <f t="shared" si="534"/>
        <v>1</v>
      </c>
      <c r="S664" s="643">
        <f t="shared" si="534"/>
        <v>1</v>
      </c>
      <c r="T664" s="643">
        <f t="shared" si="534"/>
        <v>1</v>
      </c>
      <c r="U664" s="643">
        <f t="shared" si="534"/>
        <v>1</v>
      </c>
      <c r="V664" s="643">
        <f t="shared" si="534"/>
        <v>1</v>
      </c>
      <c r="W664" s="643">
        <f t="shared" si="534"/>
        <v>1</v>
      </c>
      <c r="X664" s="643">
        <f t="shared" si="534"/>
        <v>1</v>
      </c>
      <c r="Y664" s="643">
        <f t="shared" si="534"/>
        <v>1</v>
      </c>
      <c r="Z664" s="643">
        <f t="shared" si="534"/>
        <v>1</v>
      </c>
      <c r="AA664" s="643">
        <f t="shared" si="534"/>
        <v>1</v>
      </c>
      <c r="AB664" s="643">
        <f t="shared" si="534"/>
        <v>1</v>
      </c>
      <c r="AC664" s="643">
        <f t="shared" si="534"/>
        <v>1</v>
      </c>
      <c r="AD664" s="643">
        <f t="shared" si="534"/>
        <v>1</v>
      </c>
      <c r="AE664" s="643">
        <f t="shared" si="534"/>
        <v>1</v>
      </c>
      <c r="AF664" s="643">
        <f t="shared" si="534"/>
        <v>1</v>
      </c>
      <c r="AH664" s="571"/>
      <c r="AK664" s="531"/>
      <c r="AM664" s="594"/>
      <c r="AN664" s="535"/>
      <c r="AP664" s="549"/>
      <c r="AQ664" s="549"/>
    </row>
    <row r="665" spans="1:43" s="546" customFormat="1" ht="16.5" hidden="1" customHeight="1" outlineLevel="2">
      <c r="A665" s="584"/>
      <c r="B665" s="572" t="s">
        <v>901</v>
      </c>
      <c r="C665" s="574">
        <f t="shared" ref="C665:AF665" si="535">C640</f>
        <v>880.95</v>
      </c>
      <c r="D665" s="574">
        <f t="shared" si="535"/>
        <v>880.95</v>
      </c>
      <c r="E665" s="574">
        <f t="shared" si="535"/>
        <v>880.95</v>
      </c>
      <c r="F665" s="574">
        <f t="shared" si="535"/>
        <v>880.95</v>
      </c>
      <c r="G665" s="574">
        <f t="shared" si="535"/>
        <v>880.95</v>
      </c>
      <c r="H665" s="574">
        <f t="shared" si="535"/>
        <v>880.95</v>
      </c>
      <c r="I665" s="574">
        <f t="shared" si="535"/>
        <v>880.95</v>
      </c>
      <c r="J665" s="574">
        <f t="shared" si="535"/>
        <v>880.95</v>
      </c>
      <c r="K665" s="574">
        <f t="shared" si="535"/>
        <v>880.95</v>
      </c>
      <c r="L665" s="574">
        <f t="shared" si="535"/>
        <v>880.95</v>
      </c>
      <c r="M665" s="574">
        <f t="shared" si="535"/>
        <v>880.95</v>
      </c>
      <c r="N665" s="574">
        <f t="shared" si="535"/>
        <v>880.95</v>
      </c>
      <c r="O665" s="574">
        <f t="shared" si="535"/>
        <v>880.95</v>
      </c>
      <c r="P665" s="574">
        <f t="shared" si="535"/>
        <v>880.95</v>
      </c>
      <c r="Q665" s="574">
        <f t="shared" si="535"/>
        <v>880.95</v>
      </c>
      <c r="R665" s="574">
        <f t="shared" si="535"/>
        <v>880.95</v>
      </c>
      <c r="S665" s="574">
        <f t="shared" si="535"/>
        <v>880.95</v>
      </c>
      <c r="T665" s="574">
        <f t="shared" si="535"/>
        <v>880.95</v>
      </c>
      <c r="U665" s="574">
        <f t="shared" si="535"/>
        <v>880.95</v>
      </c>
      <c r="V665" s="574">
        <f t="shared" si="535"/>
        <v>880.95</v>
      </c>
      <c r="W665" s="574">
        <f t="shared" si="535"/>
        <v>880.95</v>
      </c>
      <c r="X665" s="574">
        <f t="shared" si="535"/>
        <v>880.95</v>
      </c>
      <c r="Y665" s="574">
        <f t="shared" si="535"/>
        <v>880.95</v>
      </c>
      <c r="Z665" s="574">
        <f t="shared" si="535"/>
        <v>880.95</v>
      </c>
      <c r="AA665" s="574">
        <f t="shared" si="535"/>
        <v>880.95</v>
      </c>
      <c r="AB665" s="574">
        <f t="shared" si="535"/>
        <v>880.95</v>
      </c>
      <c r="AC665" s="574">
        <f t="shared" si="535"/>
        <v>880.95</v>
      </c>
      <c r="AD665" s="574">
        <f t="shared" si="535"/>
        <v>880.95</v>
      </c>
      <c r="AE665" s="574">
        <f t="shared" si="535"/>
        <v>880.95</v>
      </c>
      <c r="AF665" s="574">
        <f t="shared" si="535"/>
        <v>880.95</v>
      </c>
      <c r="AH665" s="571"/>
      <c r="AK665" s="531"/>
      <c r="AM665" s="594"/>
      <c r="AN665" s="535"/>
      <c r="AP665" s="549"/>
      <c r="AQ665" s="549"/>
    </row>
    <row r="666" spans="1:43" s="546" customFormat="1" ht="16.5" hidden="1" customHeight="1" outlineLevel="2">
      <c r="A666" s="584"/>
      <c r="B666" s="572" t="s">
        <v>902</v>
      </c>
      <c r="C666" s="602">
        <f t="shared" ref="C666:AF666" si="536">((C667*C668)+(C669*C670))/$C$1758</f>
        <v>3.6666666666666667E-2</v>
      </c>
      <c r="D666" s="602">
        <f t="shared" si="536"/>
        <v>3.6666666666666667E-2</v>
      </c>
      <c r="E666" s="602">
        <f t="shared" si="536"/>
        <v>3.6666666666666667E-2</v>
      </c>
      <c r="F666" s="602">
        <f t="shared" si="536"/>
        <v>3.6666666666666667E-2</v>
      </c>
      <c r="G666" s="602">
        <f t="shared" si="536"/>
        <v>3.6666666666666667E-2</v>
      </c>
      <c r="H666" s="602">
        <f t="shared" si="536"/>
        <v>3.6666666666666667E-2</v>
      </c>
      <c r="I666" s="602">
        <f t="shared" si="536"/>
        <v>3.6666666666666667E-2</v>
      </c>
      <c r="J666" s="602">
        <f t="shared" si="536"/>
        <v>3.6666666666666667E-2</v>
      </c>
      <c r="K666" s="602">
        <f t="shared" si="536"/>
        <v>3.6666666666666667E-2</v>
      </c>
      <c r="L666" s="602">
        <f t="shared" si="536"/>
        <v>3.6666666666666667E-2</v>
      </c>
      <c r="M666" s="602">
        <f t="shared" si="536"/>
        <v>3.6666666666666667E-2</v>
      </c>
      <c r="N666" s="602">
        <f t="shared" si="536"/>
        <v>3.6666666666666667E-2</v>
      </c>
      <c r="O666" s="602">
        <f t="shared" si="536"/>
        <v>3.6666666666666667E-2</v>
      </c>
      <c r="P666" s="602">
        <f t="shared" si="536"/>
        <v>3.6666666666666667E-2</v>
      </c>
      <c r="Q666" s="602">
        <f t="shared" si="536"/>
        <v>3.6666666666666667E-2</v>
      </c>
      <c r="R666" s="602">
        <f t="shared" si="536"/>
        <v>3.6666666666666667E-2</v>
      </c>
      <c r="S666" s="602">
        <f t="shared" si="536"/>
        <v>3.6666666666666667E-2</v>
      </c>
      <c r="T666" s="602">
        <f t="shared" si="536"/>
        <v>3.6666666666666667E-2</v>
      </c>
      <c r="U666" s="602">
        <f t="shared" si="536"/>
        <v>3.6666666666666667E-2</v>
      </c>
      <c r="V666" s="602">
        <f t="shared" si="536"/>
        <v>3.6666666666666667E-2</v>
      </c>
      <c r="W666" s="602">
        <f t="shared" si="536"/>
        <v>3.6666666666666667E-2</v>
      </c>
      <c r="X666" s="602">
        <f t="shared" si="536"/>
        <v>3.6666666666666667E-2</v>
      </c>
      <c r="Y666" s="602">
        <f t="shared" si="536"/>
        <v>3.6666666666666667E-2</v>
      </c>
      <c r="Z666" s="602">
        <f t="shared" si="536"/>
        <v>3.6666666666666667E-2</v>
      </c>
      <c r="AA666" s="602">
        <f t="shared" si="536"/>
        <v>3.6666666666666667E-2</v>
      </c>
      <c r="AB666" s="602">
        <f t="shared" si="536"/>
        <v>3.6666666666666667E-2</v>
      </c>
      <c r="AC666" s="602">
        <f t="shared" si="536"/>
        <v>3.6666666666666667E-2</v>
      </c>
      <c r="AD666" s="602">
        <f t="shared" si="536"/>
        <v>3.6666666666666667E-2</v>
      </c>
      <c r="AE666" s="602">
        <f t="shared" si="536"/>
        <v>3.6666666666666667E-2</v>
      </c>
      <c r="AF666" s="602">
        <f t="shared" si="536"/>
        <v>3.6666666666666667E-2</v>
      </c>
      <c r="AH666" s="571"/>
      <c r="AK666" s="531"/>
      <c r="AM666" s="594"/>
      <c r="AN666" s="535"/>
      <c r="AP666" s="549"/>
      <c r="AQ666" s="549"/>
    </row>
    <row r="667" spans="1:43" s="513" customFormat="1" ht="16.5" hidden="1" customHeight="1" outlineLevel="2">
      <c r="A667" s="584"/>
      <c r="B667" s="596" t="s">
        <v>907</v>
      </c>
      <c r="C667" s="366">
        <v>2</v>
      </c>
      <c r="D667" s="366">
        <f>C667</f>
        <v>2</v>
      </c>
      <c r="E667" s="366">
        <f t="shared" ref="E667:T670" si="537">D667</f>
        <v>2</v>
      </c>
      <c r="F667" s="366">
        <f t="shared" si="537"/>
        <v>2</v>
      </c>
      <c r="G667" s="366">
        <f t="shared" si="537"/>
        <v>2</v>
      </c>
      <c r="H667" s="366">
        <f t="shared" si="537"/>
        <v>2</v>
      </c>
      <c r="I667" s="366">
        <f t="shared" si="537"/>
        <v>2</v>
      </c>
      <c r="J667" s="366">
        <f t="shared" si="537"/>
        <v>2</v>
      </c>
      <c r="K667" s="366">
        <f t="shared" si="537"/>
        <v>2</v>
      </c>
      <c r="L667" s="366">
        <f t="shared" si="537"/>
        <v>2</v>
      </c>
      <c r="M667" s="366">
        <f t="shared" si="537"/>
        <v>2</v>
      </c>
      <c r="N667" s="366">
        <f t="shared" si="537"/>
        <v>2</v>
      </c>
      <c r="O667" s="366">
        <f t="shared" si="537"/>
        <v>2</v>
      </c>
      <c r="P667" s="366">
        <f t="shared" si="537"/>
        <v>2</v>
      </c>
      <c r="Q667" s="366">
        <f t="shared" si="537"/>
        <v>2</v>
      </c>
      <c r="R667" s="366">
        <f t="shared" si="537"/>
        <v>2</v>
      </c>
      <c r="S667" s="366">
        <f t="shared" si="537"/>
        <v>2</v>
      </c>
      <c r="T667" s="366">
        <f t="shared" si="537"/>
        <v>2</v>
      </c>
      <c r="U667" s="366">
        <f t="shared" ref="U667:AF670" si="538">T667</f>
        <v>2</v>
      </c>
      <c r="V667" s="366">
        <f t="shared" si="538"/>
        <v>2</v>
      </c>
      <c r="W667" s="366">
        <f t="shared" si="538"/>
        <v>2</v>
      </c>
      <c r="X667" s="366">
        <f t="shared" si="538"/>
        <v>2</v>
      </c>
      <c r="Y667" s="366">
        <f t="shared" si="538"/>
        <v>2</v>
      </c>
      <c r="Z667" s="366">
        <f t="shared" si="538"/>
        <v>2</v>
      </c>
      <c r="AA667" s="366">
        <f t="shared" si="538"/>
        <v>2</v>
      </c>
      <c r="AB667" s="366">
        <f t="shared" si="538"/>
        <v>2</v>
      </c>
      <c r="AC667" s="366">
        <f t="shared" si="538"/>
        <v>2</v>
      </c>
      <c r="AD667" s="366">
        <f t="shared" si="538"/>
        <v>2</v>
      </c>
      <c r="AE667" s="366">
        <f t="shared" si="538"/>
        <v>2</v>
      </c>
      <c r="AF667" s="366">
        <f t="shared" si="538"/>
        <v>2</v>
      </c>
      <c r="AH667" s="538"/>
      <c r="AK667" s="531"/>
      <c r="AM667" s="594"/>
      <c r="AN667" s="535"/>
      <c r="AP667" s="540"/>
      <c r="AQ667" s="540"/>
    </row>
    <row r="668" spans="1:43" s="513" customFormat="1" ht="16.5" hidden="1" customHeight="1" outlineLevel="2">
      <c r="A668" s="584"/>
      <c r="B668" s="596" t="s">
        <v>904</v>
      </c>
      <c r="C668" s="366">
        <f>Insumos!$E$51</f>
        <v>275</v>
      </c>
      <c r="D668" s="366">
        <f>C668</f>
        <v>275</v>
      </c>
      <c r="E668" s="366">
        <f t="shared" si="537"/>
        <v>275</v>
      </c>
      <c r="F668" s="366">
        <f t="shared" si="537"/>
        <v>275</v>
      </c>
      <c r="G668" s="366">
        <f t="shared" si="537"/>
        <v>275</v>
      </c>
      <c r="H668" s="366">
        <f t="shared" si="537"/>
        <v>275</v>
      </c>
      <c r="I668" s="366">
        <f t="shared" si="537"/>
        <v>275</v>
      </c>
      <c r="J668" s="366">
        <f t="shared" si="537"/>
        <v>275</v>
      </c>
      <c r="K668" s="366">
        <f t="shared" si="537"/>
        <v>275</v>
      </c>
      <c r="L668" s="366">
        <f t="shared" si="537"/>
        <v>275</v>
      </c>
      <c r="M668" s="366">
        <f t="shared" si="537"/>
        <v>275</v>
      </c>
      <c r="N668" s="366">
        <f t="shared" si="537"/>
        <v>275</v>
      </c>
      <c r="O668" s="366">
        <f t="shared" si="537"/>
        <v>275</v>
      </c>
      <c r="P668" s="366">
        <f t="shared" si="537"/>
        <v>275</v>
      </c>
      <c r="Q668" s="366">
        <f t="shared" si="537"/>
        <v>275</v>
      </c>
      <c r="R668" s="366">
        <f t="shared" si="537"/>
        <v>275</v>
      </c>
      <c r="S668" s="366">
        <f t="shared" si="537"/>
        <v>275</v>
      </c>
      <c r="T668" s="366">
        <f t="shared" si="537"/>
        <v>275</v>
      </c>
      <c r="U668" s="366">
        <f t="shared" si="538"/>
        <v>275</v>
      </c>
      <c r="V668" s="366">
        <f t="shared" si="538"/>
        <v>275</v>
      </c>
      <c r="W668" s="366">
        <f t="shared" si="538"/>
        <v>275</v>
      </c>
      <c r="X668" s="366">
        <f t="shared" si="538"/>
        <v>275</v>
      </c>
      <c r="Y668" s="366">
        <f t="shared" si="538"/>
        <v>275</v>
      </c>
      <c r="Z668" s="366">
        <f t="shared" si="538"/>
        <v>275</v>
      </c>
      <c r="AA668" s="366">
        <f t="shared" si="538"/>
        <v>275</v>
      </c>
      <c r="AB668" s="366">
        <f t="shared" si="538"/>
        <v>275</v>
      </c>
      <c r="AC668" s="366">
        <f t="shared" si="538"/>
        <v>275</v>
      </c>
      <c r="AD668" s="366">
        <f t="shared" si="538"/>
        <v>275</v>
      </c>
      <c r="AE668" s="366">
        <f t="shared" si="538"/>
        <v>275</v>
      </c>
      <c r="AF668" s="366">
        <f t="shared" si="538"/>
        <v>275</v>
      </c>
      <c r="AH668" s="538"/>
      <c r="AK668" s="531"/>
      <c r="AM668" s="594"/>
      <c r="AN668" s="535"/>
      <c r="AP668" s="540"/>
      <c r="AQ668" s="540"/>
    </row>
    <row r="669" spans="1:43" s="513" customFormat="1" ht="16.5" hidden="1" customHeight="1" outlineLevel="2">
      <c r="A669" s="584"/>
      <c r="B669" s="596" t="s">
        <v>908</v>
      </c>
      <c r="C669" s="366">
        <v>0</v>
      </c>
      <c r="D669" s="366">
        <f>C669</f>
        <v>0</v>
      </c>
      <c r="E669" s="366">
        <f t="shared" si="537"/>
        <v>0</v>
      </c>
      <c r="F669" s="366">
        <f t="shared" si="537"/>
        <v>0</v>
      </c>
      <c r="G669" s="366">
        <f t="shared" si="537"/>
        <v>0</v>
      </c>
      <c r="H669" s="366">
        <f t="shared" si="537"/>
        <v>0</v>
      </c>
      <c r="I669" s="366">
        <f t="shared" si="537"/>
        <v>0</v>
      </c>
      <c r="J669" s="366">
        <f t="shared" si="537"/>
        <v>0</v>
      </c>
      <c r="K669" s="366">
        <f t="shared" si="537"/>
        <v>0</v>
      </c>
      <c r="L669" s="366">
        <f t="shared" si="537"/>
        <v>0</v>
      </c>
      <c r="M669" s="366">
        <f t="shared" si="537"/>
        <v>0</v>
      </c>
      <c r="N669" s="366">
        <f t="shared" si="537"/>
        <v>0</v>
      </c>
      <c r="O669" s="366">
        <f t="shared" si="537"/>
        <v>0</v>
      </c>
      <c r="P669" s="366">
        <f t="shared" si="537"/>
        <v>0</v>
      </c>
      <c r="Q669" s="366">
        <f t="shared" si="537"/>
        <v>0</v>
      </c>
      <c r="R669" s="366">
        <f t="shared" si="537"/>
        <v>0</v>
      </c>
      <c r="S669" s="366">
        <f t="shared" si="537"/>
        <v>0</v>
      </c>
      <c r="T669" s="366">
        <f t="shared" si="537"/>
        <v>0</v>
      </c>
      <c r="U669" s="366">
        <f t="shared" si="538"/>
        <v>0</v>
      </c>
      <c r="V669" s="366">
        <f t="shared" si="538"/>
        <v>0</v>
      </c>
      <c r="W669" s="366">
        <f t="shared" si="538"/>
        <v>0</v>
      </c>
      <c r="X669" s="366">
        <f t="shared" si="538"/>
        <v>0</v>
      </c>
      <c r="Y669" s="366">
        <f t="shared" si="538"/>
        <v>0</v>
      </c>
      <c r="Z669" s="366">
        <f t="shared" si="538"/>
        <v>0</v>
      </c>
      <c r="AA669" s="366">
        <f t="shared" si="538"/>
        <v>0</v>
      </c>
      <c r="AB669" s="366">
        <f t="shared" si="538"/>
        <v>0</v>
      </c>
      <c r="AC669" s="366">
        <f t="shared" si="538"/>
        <v>0</v>
      </c>
      <c r="AD669" s="366">
        <f t="shared" si="538"/>
        <v>0</v>
      </c>
      <c r="AE669" s="366">
        <f t="shared" si="538"/>
        <v>0</v>
      </c>
      <c r="AF669" s="366">
        <f t="shared" si="538"/>
        <v>0</v>
      </c>
      <c r="AH669" s="538"/>
      <c r="AK669" s="531"/>
      <c r="AM669" s="594"/>
      <c r="AN669" s="535"/>
      <c r="AP669" s="540"/>
      <c r="AQ669" s="540"/>
    </row>
    <row r="670" spans="1:43" s="513" customFormat="1" ht="16.5" hidden="1" customHeight="1" outlineLevel="2">
      <c r="A670" s="584"/>
      <c r="B670" s="596" t="s">
        <v>906</v>
      </c>
      <c r="C670" s="366">
        <v>0</v>
      </c>
      <c r="D670" s="366">
        <f>C670</f>
        <v>0</v>
      </c>
      <c r="E670" s="366">
        <f t="shared" si="537"/>
        <v>0</v>
      </c>
      <c r="F670" s="366">
        <f t="shared" si="537"/>
        <v>0</v>
      </c>
      <c r="G670" s="366">
        <f t="shared" si="537"/>
        <v>0</v>
      </c>
      <c r="H670" s="366">
        <f t="shared" si="537"/>
        <v>0</v>
      </c>
      <c r="I670" s="366">
        <f t="shared" si="537"/>
        <v>0</v>
      </c>
      <c r="J670" s="366">
        <f t="shared" si="537"/>
        <v>0</v>
      </c>
      <c r="K670" s="366">
        <f t="shared" si="537"/>
        <v>0</v>
      </c>
      <c r="L670" s="366">
        <f t="shared" si="537"/>
        <v>0</v>
      </c>
      <c r="M670" s="366">
        <f t="shared" si="537"/>
        <v>0</v>
      </c>
      <c r="N670" s="366">
        <f t="shared" si="537"/>
        <v>0</v>
      </c>
      <c r="O670" s="366">
        <f t="shared" si="537"/>
        <v>0</v>
      </c>
      <c r="P670" s="366">
        <f t="shared" si="537"/>
        <v>0</v>
      </c>
      <c r="Q670" s="366">
        <f t="shared" si="537"/>
        <v>0</v>
      </c>
      <c r="R670" s="366">
        <f t="shared" si="537"/>
        <v>0</v>
      </c>
      <c r="S670" s="366">
        <f t="shared" si="537"/>
        <v>0</v>
      </c>
      <c r="T670" s="366">
        <f t="shared" si="537"/>
        <v>0</v>
      </c>
      <c r="U670" s="366">
        <f t="shared" si="538"/>
        <v>0</v>
      </c>
      <c r="V670" s="366">
        <f t="shared" si="538"/>
        <v>0</v>
      </c>
      <c r="W670" s="366">
        <f t="shared" si="538"/>
        <v>0</v>
      </c>
      <c r="X670" s="366">
        <f t="shared" si="538"/>
        <v>0</v>
      </c>
      <c r="Y670" s="366">
        <f t="shared" si="538"/>
        <v>0</v>
      </c>
      <c r="Z670" s="366">
        <f t="shared" si="538"/>
        <v>0</v>
      </c>
      <c r="AA670" s="366">
        <f t="shared" si="538"/>
        <v>0</v>
      </c>
      <c r="AB670" s="366">
        <f t="shared" si="538"/>
        <v>0</v>
      </c>
      <c r="AC670" s="366">
        <f t="shared" si="538"/>
        <v>0</v>
      </c>
      <c r="AD670" s="366">
        <f t="shared" si="538"/>
        <v>0</v>
      </c>
      <c r="AE670" s="366">
        <f t="shared" si="538"/>
        <v>0</v>
      </c>
      <c r="AF670" s="366">
        <f t="shared" si="538"/>
        <v>0</v>
      </c>
      <c r="AH670" s="538"/>
      <c r="AK670" s="531"/>
      <c r="AM670" s="594"/>
      <c r="AN670" s="535"/>
      <c r="AP670" s="540"/>
      <c r="AQ670" s="540"/>
    </row>
    <row r="671" spans="1:43" s="513" customFormat="1" ht="3" hidden="1" customHeight="1" outlineLevel="2">
      <c r="A671" s="584"/>
      <c r="B671" s="596"/>
      <c r="C671" s="598"/>
      <c r="D671" s="598"/>
      <c r="E671" s="598"/>
      <c r="F671" s="598"/>
      <c r="G671" s="598"/>
      <c r="H671" s="598"/>
      <c r="I671" s="598"/>
      <c r="J671" s="598"/>
      <c r="K671" s="598"/>
      <c r="L671" s="598"/>
      <c r="M671" s="598"/>
      <c r="N671" s="598"/>
      <c r="O671" s="598"/>
      <c r="P671" s="598"/>
      <c r="Q671" s="598"/>
      <c r="R671" s="598"/>
      <c r="S671" s="598"/>
      <c r="T671" s="598"/>
      <c r="U671" s="598"/>
      <c r="V671" s="598"/>
      <c r="W671" s="598"/>
      <c r="X671" s="598"/>
      <c r="Y671" s="598"/>
      <c r="Z671" s="598"/>
      <c r="AA671" s="598"/>
      <c r="AB671" s="598"/>
      <c r="AC671" s="598"/>
      <c r="AD671" s="598"/>
      <c r="AE671" s="598"/>
      <c r="AF671" s="598"/>
      <c r="AH671" s="538"/>
      <c r="AK671" s="531"/>
      <c r="AM671" s="594"/>
      <c r="AN671" s="535"/>
      <c r="AP671" s="540"/>
      <c r="AQ671" s="540"/>
    </row>
    <row r="672" spans="1:43" s="564" customFormat="1" ht="16.5" hidden="1" customHeight="1" outlineLevel="1" collapsed="1">
      <c r="A672" s="584"/>
      <c r="B672" s="576" t="s">
        <v>909</v>
      </c>
      <c r="C672" s="577">
        <f>C673*12/10^3</f>
        <v>4.3860000000000001</v>
      </c>
      <c r="D672" s="577">
        <f t="shared" ref="D672:AF672" si="539">D673*12/10^3</f>
        <v>4.3860000000000001</v>
      </c>
      <c r="E672" s="577">
        <f t="shared" si="539"/>
        <v>4.3860000000000001</v>
      </c>
      <c r="F672" s="577">
        <f t="shared" si="539"/>
        <v>4.3860000000000001</v>
      </c>
      <c r="G672" s="577">
        <f t="shared" si="539"/>
        <v>4.3860000000000001</v>
      </c>
      <c r="H672" s="577">
        <f t="shared" si="539"/>
        <v>4.3860000000000001</v>
      </c>
      <c r="I672" s="577">
        <f t="shared" si="539"/>
        <v>4.3860000000000001</v>
      </c>
      <c r="J672" s="577">
        <f t="shared" si="539"/>
        <v>4.3860000000000001</v>
      </c>
      <c r="K672" s="577">
        <f t="shared" si="539"/>
        <v>4.3860000000000001</v>
      </c>
      <c r="L672" s="577">
        <f t="shared" si="539"/>
        <v>4.3860000000000001</v>
      </c>
      <c r="M672" s="577">
        <f t="shared" si="539"/>
        <v>4.3860000000000001</v>
      </c>
      <c r="N672" s="577">
        <f t="shared" si="539"/>
        <v>4.3860000000000001</v>
      </c>
      <c r="O672" s="577">
        <f t="shared" si="539"/>
        <v>4.3860000000000001</v>
      </c>
      <c r="P672" s="577">
        <f t="shared" si="539"/>
        <v>4.3860000000000001</v>
      </c>
      <c r="Q672" s="577">
        <f t="shared" si="539"/>
        <v>4.3860000000000001</v>
      </c>
      <c r="R672" s="577">
        <f t="shared" si="539"/>
        <v>4.3860000000000001</v>
      </c>
      <c r="S672" s="577">
        <f t="shared" si="539"/>
        <v>4.3860000000000001</v>
      </c>
      <c r="T672" s="577">
        <f t="shared" si="539"/>
        <v>4.3860000000000001</v>
      </c>
      <c r="U672" s="577">
        <f t="shared" si="539"/>
        <v>4.3860000000000001</v>
      </c>
      <c r="V672" s="577">
        <f t="shared" si="539"/>
        <v>4.3860000000000001</v>
      </c>
      <c r="W672" s="577">
        <f t="shared" si="539"/>
        <v>4.3860000000000001</v>
      </c>
      <c r="X672" s="577">
        <f t="shared" si="539"/>
        <v>4.3860000000000001</v>
      </c>
      <c r="Y672" s="577">
        <f t="shared" si="539"/>
        <v>4.3860000000000001</v>
      </c>
      <c r="Z672" s="577">
        <f t="shared" si="539"/>
        <v>4.3860000000000001</v>
      </c>
      <c r="AA672" s="577">
        <f t="shared" si="539"/>
        <v>4.3860000000000001</v>
      </c>
      <c r="AB672" s="577">
        <f t="shared" si="539"/>
        <v>4.3860000000000001</v>
      </c>
      <c r="AC672" s="577">
        <f t="shared" si="539"/>
        <v>4.3860000000000001</v>
      </c>
      <c r="AD672" s="577">
        <f t="shared" si="539"/>
        <v>4.3860000000000001</v>
      </c>
      <c r="AE672" s="577">
        <f t="shared" si="539"/>
        <v>4.3860000000000001</v>
      </c>
      <c r="AF672" s="577">
        <f t="shared" si="539"/>
        <v>4.3860000000000001</v>
      </c>
      <c r="AH672" s="578">
        <f>SUM(C672:AF672)</f>
        <v>131.57999999999996</v>
      </c>
      <c r="AK672" s="531"/>
      <c r="AM672" s="594"/>
      <c r="AN672" s="535"/>
      <c r="AP672" s="568"/>
      <c r="AQ672" s="568"/>
    </row>
    <row r="673" spans="1:43" s="546" customFormat="1" ht="16.5" hidden="1" customHeight="1" outlineLevel="2">
      <c r="A673" s="584"/>
      <c r="B673" s="603" t="s">
        <v>910</v>
      </c>
      <c r="C673" s="581">
        <f>(C674*C675)+(C676*C677)</f>
        <v>365.5</v>
      </c>
      <c r="D673" s="581">
        <f t="shared" ref="D673:AF673" si="540">(D674*D675)+(D676*D677)</f>
        <v>365.5</v>
      </c>
      <c r="E673" s="581">
        <f t="shared" si="540"/>
        <v>365.5</v>
      </c>
      <c r="F673" s="581">
        <f t="shared" si="540"/>
        <v>365.5</v>
      </c>
      <c r="G673" s="581">
        <f t="shared" si="540"/>
        <v>365.5</v>
      </c>
      <c r="H673" s="581">
        <f t="shared" si="540"/>
        <v>365.5</v>
      </c>
      <c r="I673" s="581">
        <f t="shared" si="540"/>
        <v>365.5</v>
      </c>
      <c r="J673" s="581">
        <f t="shared" si="540"/>
        <v>365.5</v>
      </c>
      <c r="K673" s="581">
        <f t="shared" si="540"/>
        <v>365.5</v>
      </c>
      <c r="L673" s="581">
        <f t="shared" si="540"/>
        <v>365.5</v>
      </c>
      <c r="M673" s="581">
        <f t="shared" si="540"/>
        <v>365.5</v>
      </c>
      <c r="N673" s="581">
        <f t="shared" si="540"/>
        <v>365.5</v>
      </c>
      <c r="O673" s="581">
        <f t="shared" si="540"/>
        <v>365.5</v>
      </c>
      <c r="P673" s="581">
        <f t="shared" si="540"/>
        <v>365.5</v>
      </c>
      <c r="Q673" s="581">
        <f t="shared" si="540"/>
        <v>365.5</v>
      </c>
      <c r="R673" s="581">
        <f t="shared" si="540"/>
        <v>365.5</v>
      </c>
      <c r="S673" s="581">
        <f t="shared" si="540"/>
        <v>365.5</v>
      </c>
      <c r="T673" s="581">
        <f t="shared" si="540"/>
        <v>365.5</v>
      </c>
      <c r="U673" s="581">
        <f t="shared" si="540"/>
        <v>365.5</v>
      </c>
      <c r="V673" s="581">
        <f t="shared" si="540"/>
        <v>365.5</v>
      </c>
      <c r="W673" s="581">
        <f t="shared" si="540"/>
        <v>365.5</v>
      </c>
      <c r="X673" s="581">
        <f t="shared" si="540"/>
        <v>365.5</v>
      </c>
      <c r="Y673" s="581">
        <f t="shared" si="540"/>
        <v>365.5</v>
      </c>
      <c r="Z673" s="581">
        <f t="shared" si="540"/>
        <v>365.5</v>
      </c>
      <c r="AA673" s="581">
        <f t="shared" si="540"/>
        <v>365.5</v>
      </c>
      <c r="AB673" s="581">
        <f t="shared" si="540"/>
        <v>365.5</v>
      </c>
      <c r="AC673" s="581">
        <f t="shared" si="540"/>
        <v>365.5</v>
      </c>
      <c r="AD673" s="581">
        <f t="shared" si="540"/>
        <v>365.5</v>
      </c>
      <c r="AE673" s="581">
        <f t="shared" si="540"/>
        <v>365.5</v>
      </c>
      <c r="AF673" s="581">
        <f t="shared" si="540"/>
        <v>365.5</v>
      </c>
      <c r="AH673" s="571"/>
      <c r="AK673" s="531"/>
      <c r="AM673" s="594"/>
      <c r="AN673" s="535"/>
      <c r="AP673" s="549"/>
      <c r="AQ673" s="549"/>
    </row>
    <row r="674" spans="1:43" s="513" customFormat="1" ht="16.5" hidden="1" customHeight="1" outlineLevel="2">
      <c r="A674" s="584"/>
      <c r="B674" s="572" t="s">
        <v>913</v>
      </c>
      <c r="C674" s="643">
        <f t="shared" ref="C674:AF674" si="541">C623</f>
        <v>1</v>
      </c>
      <c r="D674" s="643">
        <f t="shared" si="541"/>
        <v>1</v>
      </c>
      <c r="E674" s="643">
        <f t="shared" si="541"/>
        <v>1</v>
      </c>
      <c r="F674" s="643">
        <f t="shared" si="541"/>
        <v>1</v>
      </c>
      <c r="G674" s="643">
        <f t="shared" si="541"/>
        <v>1</v>
      </c>
      <c r="H674" s="643">
        <f t="shared" si="541"/>
        <v>1</v>
      </c>
      <c r="I674" s="643">
        <f t="shared" si="541"/>
        <v>1</v>
      </c>
      <c r="J674" s="643">
        <f t="shared" si="541"/>
        <v>1</v>
      </c>
      <c r="K674" s="643">
        <f t="shared" si="541"/>
        <v>1</v>
      </c>
      <c r="L674" s="643">
        <f t="shared" si="541"/>
        <v>1</v>
      </c>
      <c r="M674" s="643">
        <f t="shared" si="541"/>
        <v>1</v>
      </c>
      <c r="N674" s="643">
        <f t="shared" si="541"/>
        <v>1</v>
      </c>
      <c r="O674" s="643">
        <f t="shared" si="541"/>
        <v>1</v>
      </c>
      <c r="P674" s="643">
        <f t="shared" si="541"/>
        <v>1</v>
      </c>
      <c r="Q674" s="643">
        <f t="shared" si="541"/>
        <v>1</v>
      </c>
      <c r="R674" s="643">
        <f t="shared" si="541"/>
        <v>1</v>
      </c>
      <c r="S674" s="643">
        <f t="shared" si="541"/>
        <v>1</v>
      </c>
      <c r="T674" s="643">
        <f t="shared" si="541"/>
        <v>1</v>
      </c>
      <c r="U674" s="643">
        <f t="shared" si="541"/>
        <v>1</v>
      </c>
      <c r="V674" s="643">
        <f t="shared" si="541"/>
        <v>1</v>
      </c>
      <c r="W674" s="643">
        <f t="shared" si="541"/>
        <v>1</v>
      </c>
      <c r="X674" s="643">
        <f t="shared" si="541"/>
        <v>1</v>
      </c>
      <c r="Y674" s="643">
        <f t="shared" si="541"/>
        <v>1</v>
      </c>
      <c r="Z674" s="643">
        <f t="shared" si="541"/>
        <v>1</v>
      </c>
      <c r="AA674" s="643">
        <f t="shared" si="541"/>
        <v>1</v>
      </c>
      <c r="AB674" s="643">
        <f t="shared" si="541"/>
        <v>1</v>
      </c>
      <c r="AC674" s="643">
        <f t="shared" si="541"/>
        <v>1</v>
      </c>
      <c r="AD674" s="643">
        <f t="shared" si="541"/>
        <v>1</v>
      </c>
      <c r="AE674" s="643">
        <f t="shared" si="541"/>
        <v>1</v>
      </c>
      <c r="AF674" s="643">
        <f t="shared" si="541"/>
        <v>1</v>
      </c>
      <c r="AH674" s="538"/>
      <c r="AK674" s="531"/>
      <c r="AM674" s="594"/>
      <c r="AN674" s="535"/>
      <c r="AP674" s="540"/>
      <c r="AQ674" s="540"/>
    </row>
    <row r="675" spans="1:43" s="513" customFormat="1" ht="16.5" hidden="1" customHeight="1" outlineLevel="2">
      <c r="A675" s="584"/>
      <c r="B675" s="604" t="s">
        <v>912</v>
      </c>
      <c r="C675" s="605">
        <f>Insumos!$E$43*4.3</f>
        <v>107.5</v>
      </c>
      <c r="D675" s="605">
        <f>C675</f>
        <v>107.5</v>
      </c>
      <c r="E675" s="605">
        <f t="shared" ref="E675:AF675" si="542">D675</f>
        <v>107.5</v>
      </c>
      <c r="F675" s="605">
        <f t="shared" si="542"/>
        <v>107.5</v>
      </c>
      <c r="G675" s="605">
        <f t="shared" si="542"/>
        <v>107.5</v>
      </c>
      <c r="H675" s="605">
        <f t="shared" si="542"/>
        <v>107.5</v>
      </c>
      <c r="I675" s="605">
        <f t="shared" si="542"/>
        <v>107.5</v>
      </c>
      <c r="J675" s="605">
        <f t="shared" si="542"/>
        <v>107.5</v>
      </c>
      <c r="K675" s="605">
        <f t="shared" si="542"/>
        <v>107.5</v>
      </c>
      <c r="L675" s="605">
        <f t="shared" si="542"/>
        <v>107.5</v>
      </c>
      <c r="M675" s="605">
        <f t="shared" si="542"/>
        <v>107.5</v>
      </c>
      <c r="N675" s="605">
        <f t="shared" si="542"/>
        <v>107.5</v>
      </c>
      <c r="O675" s="605">
        <f t="shared" si="542"/>
        <v>107.5</v>
      </c>
      <c r="P675" s="605">
        <f t="shared" si="542"/>
        <v>107.5</v>
      </c>
      <c r="Q675" s="605">
        <f t="shared" si="542"/>
        <v>107.5</v>
      </c>
      <c r="R675" s="605">
        <f t="shared" si="542"/>
        <v>107.5</v>
      </c>
      <c r="S675" s="605">
        <f t="shared" si="542"/>
        <v>107.5</v>
      </c>
      <c r="T675" s="605">
        <f t="shared" si="542"/>
        <v>107.5</v>
      </c>
      <c r="U675" s="605">
        <f t="shared" si="542"/>
        <v>107.5</v>
      </c>
      <c r="V675" s="605">
        <f t="shared" si="542"/>
        <v>107.5</v>
      </c>
      <c r="W675" s="605">
        <f t="shared" si="542"/>
        <v>107.5</v>
      </c>
      <c r="X675" s="605">
        <f t="shared" si="542"/>
        <v>107.5</v>
      </c>
      <c r="Y675" s="605">
        <f t="shared" si="542"/>
        <v>107.5</v>
      </c>
      <c r="Z675" s="605">
        <f t="shared" si="542"/>
        <v>107.5</v>
      </c>
      <c r="AA675" s="605">
        <f t="shared" si="542"/>
        <v>107.5</v>
      </c>
      <c r="AB675" s="605">
        <f t="shared" si="542"/>
        <v>107.5</v>
      </c>
      <c r="AC675" s="605">
        <f t="shared" si="542"/>
        <v>107.5</v>
      </c>
      <c r="AD675" s="605">
        <f t="shared" si="542"/>
        <v>107.5</v>
      </c>
      <c r="AE675" s="605">
        <f t="shared" si="542"/>
        <v>107.5</v>
      </c>
      <c r="AF675" s="605">
        <f t="shared" si="542"/>
        <v>107.5</v>
      </c>
      <c r="AH675" s="538"/>
      <c r="AK675" s="531"/>
      <c r="AM675" s="594"/>
      <c r="AN675" s="535"/>
      <c r="AP675" s="540"/>
      <c r="AQ675" s="540"/>
    </row>
    <row r="676" spans="1:43" s="513" customFormat="1" ht="16.5" hidden="1" customHeight="1" outlineLevel="2">
      <c r="A676" s="584"/>
      <c r="B676" s="572" t="s">
        <v>914</v>
      </c>
      <c r="C676" s="643">
        <f t="shared" ref="C676:AF676" si="543">C624</f>
        <v>1</v>
      </c>
      <c r="D676" s="643">
        <f t="shared" si="543"/>
        <v>1</v>
      </c>
      <c r="E676" s="643">
        <f t="shared" si="543"/>
        <v>1</v>
      </c>
      <c r="F676" s="643">
        <f t="shared" si="543"/>
        <v>1</v>
      </c>
      <c r="G676" s="643">
        <f t="shared" si="543"/>
        <v>1</v>
      </c>
      <c r="H676" s="643">
        <f t="shared" si="543"/>
        <v>1</v>
      </c>
      <c r="I676" s="643">
        <f t="shared" si="543"/>
        <v>1</v>
      </c>
      <c r="J676" s="643">
        <f t="shared" si="543"/>
        <v>1</v>
      </c>
      <c r="K676" s="643">
        <f t="shared" si="543"/>
        <v>1</v>
      </c>
      <c r="L676" s="643">
        <f t="shared" si="543"/>
        <v>1</v>
      </c>
      <c r="M676" s="643">
        <f t="shared" si="543"/>
        <v>1</v>
      </c>
      <c r="N676" s="643">
        <f t="shared" si="543"/>
        <v>1</v>
      </c>
      <c r="O676" s="643">
        <f t="shared" si="543"/>
        <v>1</v>
      </c>
      <c r="P676" s="643">
        <f t="shared" si="543"/>
        <v>1</v>
      </c>
      <c r="Q676" s="643">
        <f t="shared" si="543"/>
        <v>1</v>
      </c>
      <c r="R676" s="643">
        <f t="shared" si="543"/>
        <v>1</v>
      </c>
      <c r="S676" s="643">
        <f t="shared" si="543"/>
        <v>1</v>
      </c>
      <c r="T676" s="643">
        <f t="shared" si="543"/>
        <v>1</v>
      </c>
      <c r="U676" s="643">
        <f t="shared" si="543"/>
        <v>1</v>
      </c>
      <c r="V676" s="643">
        <f t="shared" si="543"/>
        <v>1</v>
      </c>
      <c r="W676" s="643">
        <f t="shared" si="543"/>
        <v>1</v>
      </c>
      <c r="X676" s="643">
        <f t="shared" si="543"/>
        <v>1</v>
      </c>
      <c r="Y676" s="643">
        <f t="shared" si="543"/>
        <v>1</v>
      </c>
      <c r="Z676" s="643">
        <f t="shared" si="543"/>
        <v>1</v>
      </c>
      <c r="AA676" s="643">
        <f t="shared" si="543"/>
        <v>1</v>
      </c>
      <c r="AB676" s="643">
        <f t="shared" si="543"/>
        <v>1</v>
      </c>
      <c r="AC676" s="643">
        <f t="shared" si="543"/>
        <v>1</v>
      </c>
      <c r="AD676" s="643">
        <f t="shared" si="543"/>
        <v>1</v>
      </c>
      <c r="AE676" s="643">
        <f t="shared" si="543"/>
        <v>1</v>
      </c>
      <c r="AF676" s="643">
        <f t="shared" si="543"/>
        <v>1</v>
      </c>
      <c r="AH676" s="538"/>
      <c r="AK676" s="531"/>
      <c r="AM676" s="594"/>
      <c r="AN676" s="535"/>
      <c r="AP676" s="540"/>
      <c r="AQ676" s="540"/>
    </row>
    <row r="677" spans="1:43" s="513" customFormat="1" ht="16.5" hidden="1" customHeight="1" outlineLevel="2">
      <c r="A677" s="584"/>
      <c r="B677" s="604" t="s">
        <v>912</v>
      </c>
      <c r="C677" s="605">
        <f>Insumos!$E$45*4.3</f>
        <v>258</v>
      </c>
      <c r="D677" s="605">
        <f>C677</f>
        <v>258</v>
      </c>
      <c r="E677" s="605">
        <f t="shared" ref="E677:AF677" si="544">D677</f>
        <v>258</v>
      </c>
      <c r="F677" s="605">
        <f t="shared" si="544"/>
        <v>258</v>
      </c>
      <c r="G677" s="605">
        <f t="shared" si="544"/>
        <v>258</v>
      </c>
      <c r="H677" s="605">
        <f t="shared" si="544"/>
        <v>258</v>
      </c>
      <c r="I677" s="605">
        <f t="shared" si="544"/>
        <v>258</v>
      </c>
      <c r="J677" s="605">
        <f t="shared" si="544"/>
        <v>258</v>
      </c>
      <c r="K677" s="605">
        <f t="shared" si="544"/>
        <v>258</v>
      </c>
      <c r="L677" s="605">
        <f t="shared" si="544"/>
        <v>258</v>
      </c>
      <c r="M677" s="605">
        <f t="shared" si="544"/>
        <v>258</v>
      </c>
      <c r="N677" s="605">
        <f t="shared" si="544"/>
        <v>258</v>
      </c>
      <c r="O677" s="605">
        <f t="shared" si="544"/>
        <v>258</v>
      </c>
      <c r="P677" s="605">
        <f t="shared" si="544"/>
        <v>258</v>
      </c>
      <c r="Q677" s="605">
        <f t="shared" si="544"/>
        <v>258</v>
      </c>
      <c r="R677" s="605">
        <f t="shared" si="544"/>
        <v>258</v>
      </c>
      <c r="S677" s="605">
        <f t="shared" si="544"/>
        <v>258</v>
      </c>
      <c r="T677" s="605">
        <f t="shared" si="544"/>
        <v>258</v>
      </c>
      <c r="U677" s="605">
        <f t="shared" si="544"/>
        <v>258</v>
      </c>
      <c r="V677" s="605">
        <f t="shared" si="544"/>
        <v>258</v>
      </c>
      <c r="W677" s="605">
        <f t="shared" si="544"/>
        <v>258</v>
      </c>
      <c r="X677" s="605">
        <f t="shared" si="544"/>
        <v>258</v>
      </c>
      <c r="Y677" s="605">
        <f t="shared" si="544"/>
        <v>258</v>
      </c>
      <c r="Z677" s="605">
        <f t="shared" si="544"/>
        <v>258</v>
      </c>
      <c r="AA677" s="605">
        <f t="shared" si="544"/>
        <v>258</v>
      </c>
      <c r="AB677" s="605">
        <f t="shared" si="544"/>
        <v>258</v>
      </c>
      <c r="AC677" s="605">
        <f t="shared" si="544"/>
        <v>258</v>
      </c>
      <c r="AD677" s="605">
        <f t="shared" si="544"/>
        <v>258</v>
      </c>
      <c r="AE677" s="605">
        <f t="shared" si="544"/>
        <v>258</v>
      </c>
      <c r="AF677" s="605">
        <f t="shared" si="544"/>
        <v>258</v>
      </c>
      <c r="AH677" s="538"/>
      <c r="AK677" s="531"/>
      <c r="AM677" s="594"/>
      <c r="AN677" s="535"/>
      <c r="AP677" s="540"/>
      <c r="AQ677" s="540"/>
    </row>
    <row r="678" spans="1:43" s="513" customFormat="1" ht="3" hidden="1" customHeight="1" outlineLevel="2">
      <c r="A678" s="584"/>
      <c r="B678" s="606"/>
      <c r="C678" s="575"/>
      <c r="D678" s="575"/>
      <c r="E678" s="575"/>
      <c r="F678" s="575"/>
      <c r="G678" s="575"/>
      <c r="H678" s="575"/>
      <c r="I678" s="575"/>
      <c r="J678" s="575"/>
      <c r="K678" s="575"/>
      <c r="L678" s="575"/>
      <c r="M678" s="575"/>
      <c r="N678" s="575"/>
      <c r="O678" s="575"/>
      <c r="P678" s="575"/>
      <c r="Q678" s="575"/>
      <c r="R678" s="575"/>
      <c r="S678" s="575"/>
      <c r="T678" s="575"/>
      <c r="U678" s="575"/>
      <c r="V678" s="575"/>
      <c r="W678" s="575"/>
      <c r="X678" s="575"/>
      <c r="Y678" s="575"/>
      <c r="Z678" s="575"/>
      <c r="AA678" s="575"/>
      <c r="AB678" s="575"/>
      <c r="AC678" s="575"/>
      <c r="AD678" s="575"/>
      <c r="AE678" s="575"/>
      <c r="AF678" s="575"/>
      <c r="AH678" s="538"/>
      <c r="AK678" s="531"/>
      <c r="AM678" s="594"/>
      <c r="AN678" s="535"/>
      <c r="AP678" s="540"/>
      <c r="AQ678" s="540"/>
    </row>
    <row r="679" spans="1:43" s="564" customFormat="1" ht="16.5" hidden="1" customHeight="1" outlineLevel="1" collapsed="1">
      <c r="A679" s="584"/>
      <c r="B679" s="576" t="s">
        <v>915</v>
      </c>
      <c r="C679" s="577">
        <f>SUM(C680)*12/10^3</f>
        <v>0.36096999999999996</v>
      </c>
      <c r="D679" s="577">
        <f t="shared" ref="D679:AF679" si="545">SUM(D680)*12/10^3</f>
        <v>0.36096999999999996</v>
      </c>
      <c r="E679" s="577">
        <f t="shared" si="545"/>
        <v>0.36096999999999996</v>
      </c>
      <c r="F679" s="577">
        <f t="shared" si="545"/>
        <v>0.36096999999999996</v>
      </c>
      <c r="G679" s="577">
        <f t="shared" si="545"/>
        <v>0.36096999999999996</v>
      </c>
      <c r="H679" s="577">
        <f t="shared" si="545"/>
        <v>0.36096999999999996</v>
      </c>
      <c r="I679" s="577">
        <f t="shared" si="545"/>
        <v>0.36096999999999996</v>
      </c>
      <c r="J679" s="577">
        <f t="shared" si="545"/>
        <v>0.36096999999999996</v>
      </c>
      <c r="K679" s="577">
        <f t="shared" si="545"/>
        <v>0.36096999999999996</v>
      </c>
      <c r="L679" s="577">
        <f t="shared" si="545"/>
        <v>0.36096999999999996</v>
      </c>
      <c r="M679" s="577">
        <f t="shared" si="545"/>
        <v>0.36096999999999996</v>
      </c>
      <c r="N679" s="577">
        <f t="shared" si="545"/>
        <v>0.36096999999999996</v>
      </c>
      <c r="O679" s="577">
        <f t="shared" si="545"/>
        <v>0.36096999999999996</v>
      </c>
      <c r="P679" s="577">
        <f t="shared" si="545"/>
        <v>0.36096999999999996</v>
      </c>
      <c r="Q679" s="577">
        <f t="shared" si="545"/>
        <v>0.36096999999999996</v>
      </c>
      <c r="R679" s="577">
        <f t="shared" si="545"/>
        <v>0.36096999999999996</v>
      </c>
      <c r="S679" s="577">
        <f t="shared" si="545"/>
        <v>0.36096999999999996</v>
      </c>
      <c r="T679" s="577">
        <f t="shared" si="545"/>
        <v>0.36096999999999996</v>
      </c>
      <c r="U679" s="577">
        <f t="shared" si="545"/>
        <v>0.36096999999999996</v>
      </c>
      <c r="V679" s="577">
        <f t="shared" si="545"/>
        <v>0.36096999999999996</v>
      </c>
      <c r="W679" s="577">
        <f t="shared" si="545"/>
        <v>0.36096999999999996</v>
      </c>
      <c r="X679" s="577">
        <f t="shared" si="545"/>
        <v>0.36096999999999996</v>
      </c>
      <c r="Y679" s="577">
        <f t="shared" si="545"/>
        <v>0.36096999999999996</v>
      </c>
      <c r="Z679" s="577">
        <f t="shared" si="545"/>
        <v>0.36096999999999996</v>
      </c>
      <c r="AA679" s="577">
        <f t="shared" si="545"/>
        <v>0.36096999999999996</v>
      </c>
      <c r="AB679" s="577">
        <f t="shared" si="545"/>
        <v>0.36096999999999996</v>
      </c>
      <c r="AC679" s="577">
        <f t="shared" si="545"/>
        <v>0.36096999999999996</v>
      </c>
      <c r="AD679" s="577">
        <f t="shared" si="545"/>
        <v>0.36096999999999996</v>
      </c>
      <c r="AE679" s="577">
        <f t="shared" si="545"/>
        <v>0.36096999999999996</v>
      </c>
      <c r="AF679" s="577">
        <f t="shared" si="545"/>
        <v>0.36096999999999996</v>
      </c>
      <c r="AH679" s="578">
        <f>SUM(C679:AF679)</f>
        <v>10.829099999999999</v>
      </c>
      <c r="AJ679" s="579"/>
      <c r="AK679" s="531"/>
      <c r="AM679" s="594"/>
      <c r="AN679" s="535"/>
      <c r="AP679" s="568"/>
      <c r="AQ679" s="568"/>
    </row>
    <row r="680" spans="1:43" s="546" customFormat="1" ht="16.5" hidden="1" customHeight="1" outlineLevel="2">
      <c r="A680" s="584"/>
      <c r="B680" s="569" t="s">
        <v>808</v>
      </c>
      <c r="C680" s="581">
        <f>((C681*C685)*(C683+C684)/12)+((C682*C681)/12)</f>
        <v>30.080833333333331</v>
      </c>
      <c r="D680" s="581">
        <f t="shared" ref="D680:AF680" si="546">((D681*D685)*(D683+D684)/12)+((D682*D681)/12)</f>
        <v>30.080833333333331</v>
      </c>
      <c r="E680" s="581">
        <f t="shared" si="546"/>
        <v>30.080833333333331</v>
      </c>
      <c r="F680" s="581">
        <f t="shared" si="546"/>
        <v>30.080833333333331</v>
      </c>
      <c r="G680" s="581">
        <f t="shared" si="546"/>
        <v>30.080833333333331</v>
      </c>
      <c r="H680" s="581">
        <f t="shared" si="546"/>
        <v>30.080833333333331</v>
      </c>
      <c r="I680" s="581">
        <f t="shared" si="546"/>
        <v>30.080833333333331</v>
      </c>
      <c r="J680" s="581">
        <f t="shared" si="546"/>
        <v>30.080833333333331</v>
      </c>
      <c r="K680" s="581">
        <f t="shared" si="546"/>
        <v>30.080833333333331</v>
      </c>
      <c r="L680" s="581">
        <f t="shared" si="546"/>
        <v>30.080833333333331</v>
      </c>
      <c r="M680" s="581">
        <f t="shared" si="546"/>
        <v>30.080833333333331</v>
      </c>
      <c r="N680" s="581">
        <f t="shared" si="546"/>
        <v>30.080833333333331</v>
      </c>
      <c r="O680" s="581">
        <f t="shared" si="546"/>
        <v>30.080833333333331</v>
      </c>
      <c r="P680" s="581">
        <f t="shared" si="546"/>
        <v>30.080833333333331</v>
      </c>
      <c r="Q680" s="581">
        <f t="shared" si="546"/>
        <v>30.080833333333331</v>
      </c>
      <c r="R680" s="581">
        <f t="shared" si="546"/>
        <v>30.080833333333331</v>
      </c>
      <c r="S680" s="581">
        <f t="shared" si="546"/>
        <v>30.080833333333331</v>
      </c>
      <c r="T680" s="581">
        <f t="shared" si="546"/>
        <v>30.080833333333331</v>
      </c>
      <c r="U680" s="581">
        <f t="shared" si="546"/>
        <v>30.080833333333331</v>
      </c>
      <c r="V680" s="581">
        <f t="shared" si="546"/>
        <v>30.080833333333331</v>
      </c>
      <c r="W680" s="581">
        <f t="shared" si="546"/>
        <v>30.080833333333331</v>
      </c>
      <c r="X680" s="581">
        <f t="shared" si="546"/>
        <v>30.080833333333331</v>
      </c>
      <c r="Y680" s="581">
        <f t="shared" si="546"/>
        <v>30.080833333333331</v>
      </c>
      <c r="Z680" s="581">
        <f t="shared" si="546"/>
        <v>30.080833333333331</v>
      </c>
      <c r="AA680" s="581">
        <f t="shared" si="546"/>
        <v>30.080833333333331</v>
      </c>
      <c r="AB680" s="581">
        <f t="shared" si="546"/>
        <v>30.080833333333331</v>
      </c>
      <c r="AC680" s="581">
        <f t="shared" si="546"/>
        <v>30.080833333333331</v>
      </c>
      <c r="AD680" s="581">
        <f t="shared" si="546"/>
        <v>30.080833333333331</v>
      </c>
      <c r="AE680" s="581">
        <f t="shared" si="546"/>
        <v>30.080833333333331</v>
      </c>
      <c r="AF680" s="581">
        <f t="shared" si="546"/>
        <v>30.080833333333331</v>
      </c>
      <c r="AH680" s="571"/>
      <c r="AK680" s="531"/>
      <c r="AM680" s="594"/>
      <c r="AN680" s="535"/>
      <c r="AP680" s="549"/>
      <c r="AQ680" s="549"/>
    </row>
    <row r="681" spans="1:43" s="513" customFormat="1" ht="16.5" hidden="1" customHeight="1" outlineLevel="2">
      <c r="A681" s="584"/>
      <c r="B681" s="572" t="s">
        <v>805</v>
      </c>
      <c r="C681" s="741">
        <v>1</v>
      </c>
      <c r="D681" s="741">
        <f>C681</f>
        <v>1</v>
      </c>
      <c r="E681" s="741">
        <f t="shared" ref="E681:T685" si="547">D681</f>
        <v>1</v>
      </c>
      <c r="F681" s="741">
        <f t="shared" si="547"/>
        <v>1</v>
      </c>
      <c r="G681" s="741">
        <f t="shared" si="547"/>
        <v>1</v>
      </c>
      <c r="H681" s="741">
        <f t="shared" si="547"/>
        <v>1</v>
      </c>
      <c r="I681" s="741">
        <f t="shared" si="547"/>
        <v>1</v>
      </c>
      <c r="J681" s="741">
        <f t="shared" si="547"/>
        <v>1</v>
      </c>
      <c r="K681" s="741">
        <f t="shared" si="547"/>
        <v>1</v>
      </c>
      <c r="L681" s="741">
        <f t="shared" si="547"/>
        <v>1</v>
      </c>
      <c r="M681" s="741">
        <f t="shared" si="547"/>
        <v>1</v>
      </c>
      <c r="N681" s="741">
        <f t="shared" si="547"/>
        <v>1</v>
      </c>
      <c r="O681" s="741">
        <f t="shared" si="547"/>
        <v>1</v>
      </c>
      <c r="P681" s="741">
        <f t="shared" si="547"/>
        <v>1</v>
      </c>
      <c r="Q681" s="741">
        <f t="shared" si="547"/>
        <v>1</v>
      </c>
      <c r="R681" s="741">
        <f t="shared" si="547"/>
        <v>1</v>
      </c>
      <c r="S681" s="741">
        <f t="shared" si="547"/>
        <v>1</v>
      </c>
      <c r="T681" s="741">
        <f t="shared" si="547"/>
        <v>1</v>
      </c>
      <c r="U681" s="741">
        <f t="shared" ref="U681:AF685" si="548">T681</f>
        <v>1</v>
      </c>
      <c r="V681" s="741">
        <f t="shared" si="548"/>
        <v>1</v>
      </c>
      <c r="W681" s="741">
        <f t="shared" si="548"/>
        <v>1</v>
      </c>
      <c r="X681" s="741">
        <f t="shared" si="548"/>
        <v>1</v>
      </c>
      <c r="Y681" s="741">
        <f t="shared" si="548"/>
        <v>1</v>
      </c>
      <c r="Z681" s="741">
        <f t="shared" si="548"/>
        <v>1</v>
      </c>
      <c r="AA681" s="741">
        <f t="shared" si="548"/>
        <v>1</v>
      </c>
      <c r="AB681" s="741">
        <f t="shared" si="548"/>
        <v>1</v>
      </c>
      <c r="AC681" s="741">
        <f t="shared" si="548"/>
        <v>1</v>
      </c>
      <c r="AD681" s="741">
        <f t="shared" si="548"/>
        <v>1</v>
      </c>
      <c r="AE681" s="741">
        <f t="shared" si="548"/>
        <v>1</v>
      </c>
      <c r="AF681" s="741">
        <f t="shared" si="548"/>
        <v>1</v>
      </c>
      <c r="AH681" s="538"/>
      <c r="AK681" s="531"/>
      <c r="AM681" s="594"/>
      <c r="AN681" s="535"/>
      <c r="AP681" s="540"/>
      <c r="AQ681" s="540"/>
    </row>
    <row r="682" spans="1:43" s="513" customFormat="1" ht="16.5" hidden="1" customHeight="1" outlineLevel="2">
      <c r="A682" s="584"/>
      <c r="B682" s="572" t="s">
        <v>916</v>
      </c>
      <c r="C682" s="605">
        <f>C106</f>
        <v>149.37</v>
      </c>
      <c r="D682" s="605">
        <f>C682</f>
        <v>149.37</v>
      </c>
      <c r="E682" s="605">
        <f t="shared" si="547"/>
        <v>149.37</v>
      </c>
      <c r="F682" s="605">
        <f t="shared" si="547"/>
        <v>149.37</v>
      </c>
      <c r="G682" s="605">
        <f t="shared" si="547"/>
        <v>149.37</v>
      </c>
      <c r="H682" s="605">
        <f t="shared" si="547"/>
        <v>149.37</v>
      </c>
      <c r="I682" s="605">
        <f t="shared" si="547"/>
        <v>149.37</v>
      </c>
      <c r="J682" s="605">
        <f t="shared" si="547"/>
        <v>149.37</v>
      </c>
      <c r="K682" s="605">
        <f t="shared" si="547"/>
        <v>149.37</v>
      </c>
      <c r="L682" s="605">
        <f t="shared" si="547"/>
        <v>149.37</v>
      </c>
      <c r="M682" s="605">
        <f t="shared" si="547"/>
        <v>149.37</v>
      </c>
      <c r="N682" s="605">
        <f t="shared" si="547"/>
        <v>149.37</v>
      </c>
      <c r="O682" s="605">
        <f t="shared" si="547"/>
        <v>149.37</v>
      </c>
      <c r="P682" s="605">
        <f t="shared" si="547"/>
        <v>149.37</v>
      </c>
      <c r="Q682" s="605">
        <f t="shared" si="547"/>
        <v>149.37</v>
      </c>
      <c r="R682" s="605">
        <f t="shared" si="547"/>
        <v>149.37</v>
      </c>
      <c r="S682" s="605">
        <f t="shared" si="547"/>
        <v>149.37</v>
      </c>
      <c r="T682" s="605">
        <f t="shared" si="547"/>
        <v>149.37</v>
      </c>
      <c r="U682" s="605">
        <f t="shared" si="548"/>
        <v>149.37</v>
      </c>
      <c r="V682" s="605">
        <f t="shared" si="548"/>
        <v>149.37</v>
      </c>
      <c r="W682" s="605">
        <f t="shared" si="548"/>
        <v>149.37</v>
      </c>
      <c r="X682" s="605">
        <f t="shared" si="548"/>
        <v>149.37</v>
      </c>
      <c r="Y682" s="605">
        <f t="shared" si="548"/>
        <v>149.37</v>
      </c>
      <c r="Z682" s="605">
        <f t="shared" si="548"/>
        <v>149.37</v>
      </c>
      <c r="AA682" s="605">
        <f t="shared" si="548"/>
        <v>149.37</v>
      </c>
      <c r="AB682" s="605">
        <f t="shared" si="548"/>
        <v>149.37</v>
      </c>
      <c r="AC682" s="605">
        <f t="shared" si="548"/>
        <v>149.37</v>
      </c>
      <c r="AD682" s="605">
        <f t="shared" si="548"/>
        <v>149.37</v>
      </c>
      <c r="AE682" s="605">
        <f t="shared" si="548"/>
        <v>149.37</v>
      </c>
      <c r="AF682" s="605">
        <f t="shared" si="548"/>
        <v>149.37</v>
      </c>
      <c r="AH682" s="538"/>
      <c r="AK682" s="531"/>
      <c r="AM682" s="594"/>
      <c r="AN682" s="535"/>
      <c r="AP682" s="540"/>
      <c r="AQ682" s="540"/>
    </row>
    <row r="683" spans="1:43" s="513" customFormat="1" ht="16.5" hidden="1" customHeight="1" outlineLevel="2">
      <c r="A683" s="584"/>
      <c r="B683" s="572" t="s">
        <v>917</v>
      </c>
      <c r="C683" s="186">
        <f>C107</f>
        <v>0.01</v>
      </c>
      <c r="D683" s="186">
        <f>C683</f>
        <v>0.01</v>
      </c>
      <c r="E683" s="186">
        <f t="shared" si="547"/>
        <v>0.01</v>
      </c>
      <c r="F683" s="186">
        <f t="shared" si="547"/>
        <v>0.01</v>
      </c>
      <c r="G683" s="186">
        <f t="shared" si="547"/>
        <v>0.01</v>
      </c>
      <c r="H683" s="186">
        <f t="shared" si="547"/>
        <v>0.01</v>
      </c>
      <c r="I683" s="186">
        <f t="shared" si="547"/>
        <v>0.01</v>
      </c>
      <c r="J683" s="186">
        <f t="shared" si="547"/>
        <v>0.01</v>
      </c>
      <c r="K683" s="186">
        <f t="shared" si="547"/>
        <v>0.01</v>
      </c>
      <c r="L683" s="186">
        <f t="shared" si="547"/>
        <v>0.01</v>
      </c>
      <c r="M683" s="186">
        <f t="shared" si="547"/>
        <v>0.01</v>
      </c>
      <c r="N683" s="186">
        <f t="shared" si="547"/>
        <v>0.01</v>
      </c>
      <c r="O683" s="186">
        <f t="shared" si="547"/>
        <v>0.01</v>
      </c>
      <c r="P683" s="186">
        <f t="shared" si="547"/>
        <v>0.01</v>
      </c>
      <c r="Q683" s="186">
        <f t="shared" si="547"/>
        <v>0.01</v>
      </c>
      <c r="R683" s="186">
        <f t="shared" si="547"/>
        <v>0.01</v>
      </c>
      <c r="S683" s="186">
        <f t="shared" si="547"/>
        <v>0.01</v>
      </c>
      <c r="T683" s="186">
        <f t="shared" si="547"/>
        <v>0.01</v>
      </c>
      <c r="U683" s="186">
        <f t="shared" si="548"/>
        <v>0.01</v>
      </c>
      <c r="V683" s="186">
        <f t="shared" si="548"/>
        <v>0.01</v>
      </c>
      <c r="W683" s="186">
        <f t="shared" si="548"/>
        <v>0.01</v>
      </c>
      <c r="X683" s="186">
        <f t="shared" si="548"/>
        <v>0.01</v>
      </c>
      <c r="Y683" s="186">
        <f t="shared" si="548"/>
        <v>0.01</v>
      </c>
      <c r="Z683" s="186">
        <f t="shared" si="548"/>
        <v>0.01</v>
      </c>
      <c r="AA683" s="186">
        <f t="shared" si="548"/>
        <v>0.01</v>
      </c>
      <c r="AB683" s="186">
        <f t="shared" si="548"/>
        <v>0.01</v>
      </c>
      <c r="AC683" s="186">
        <f t="shared" si="548"/>
        <v>0.01</v>
      </c>
      <c r="AD683" s="186">
        <f t="shared" si="548"/>
        <v>0.01</v>
      </c>
      <c r="AE683" s="186">
        <f t="shared" si="548"/>
        <v>0.01</v>
      </c>
      <c r="AF683" s="186">
        <f t="shared" si="548"/>
        <v>0.01</v>
      </c>
      <c r="AH683" s="538"/>
      <c r="AK683" s="531"/>
      <c r="AM683" s="594"/>
      <c r="AN683" s="535"/>
      <c r="AP683" s="540"/>
      <c r="AQ683" s="540"/>
    </row>
    <row r="684" spans="1:43" s="513" customFormat="1" ht="16.5" hidden="1" customHeight="1" outlineLevel="2">
      <c r="A684" s="584"/>
      <c r="B684" s="572" t="s">
        <v>918</v>
      </c>
      <c r="C684" s="186">
        <f>C108</f>
        <v>0</v>
      </c>
      <c r="D684" s="186">
        <f>C684</f>
        <v>0</v>
      </c>
      <c r="E684" s="186">
        <f t="shared" si="547"/>
        <v>0</v>
      </c>
      <c r="F684" s="186">
        <f t="shared" si="547"/>
        <v>0</v>
      </c>
      <c r="G684" s="186">
        <f t="shared" si="547"/>
        <v>0</v>
      </c>
      <c r="H684" s="186">
        <f t="shared" si="547"/>
        <v>0</v>
      </c>
      <c r="I684" s="186">
        <f t="shared" si="547"/>
        <v>0</v>
      </c>
      <c r="J684" s="186">
        <f t="shared" si="547"/>
        <v>0</v>
      </c>
      <c r="K684" s="186">
        <f t="shared" si="547"/>
        <v>0</v>
      </c>
      <c r="L684" s="186">
        <f t="shared" si="547"/>
        <v>0</v>
      </c>
      <c r="M684" s="186">
        <f t="shared" si="547"/>
        <v>0</v>
      </c>
      <c r="N684" s="186">
        <f t="shared" si="547"/>
        <v>0</v>
      </c>
      <c r="O684" s="186">
        <f t="shared" si="547"/>
        <v>0</v>
      </c>
      <c r="P684" s="186">
        <f t="shared" si="547"/>
        <v>0</v>
      </c>
      <c r="Q684" s="186">
        <f t="shared" si="547"/>
        <v>0</v>
      </c>
      <c r="R684" s="186">
        <f t="shared" si="547"/>
        <v>0</v>
      </c>
      <c r="S684" s="186">
        <f t="shared" si="547"/>
        <v>0</v>
      </c>
      <c r="T684" s="186">
        <f t="shared" si="547"/>
        <v>0</v>
      </c>
      <c r="U684" s="186">
        <f t="shared" si="548"/>
        <v>0</v>
      </c>
      <c r="V684" s="186">
        <f t="shared" si="548"/>
        <v>0</v>
      </c>
      <c r="W684" s="186">
        <f t="shared" si="548"/>
        <v>0</v>
      </c>
      <c r="X684" s="186">
        <f t="shared" si="548"/>
        <v>0</v>
      </c>
      <c r="Y684" s="186">
        <f t="shared" si="548"/>
        <v>0</v>
      </c>
      <c r="Z684" s="186">
        <f t="shared" si="548"/>
        <v>0</v>
      </c>
      <c r="AA684" s="186">
        <f t="shared" si="548"/>
        <v>0</v>
      </c>
      <c r="AB684" s="186">
        <f t="shared" si="548"/>
        <v>0</v>
      </c>
      <c r="AC684" s="186">
        <f t="shared" si="548"/>
        <v>0</v>
      </c>
      <c r="AD684" s="186">
        <f t="shared" si="548"/>
        <v>0</v>
      </c>
      <c r="AE684" s="186">
        <f t="shared" si="548"/>
        <v>0</v>
      </c>
      <c r="AF684" s="186">
        <f t="shared" si="548"/>
        <v>0</v>
      </c>
      <c r="AH684" s="538"/>
      <c r="AK684" s="531"/>
      <c r="AM684" s="594"/>
      <c r="AN684" s="535"/>
      <c r="AP684" s="540"/>
      <c r="AQ684" s="540"/>
    </row>
    <row r="685" spans="1:43" s="513" customFormat="1" ht="16.5" hidden="1" customHeight="1" outlineLevel="2">
      <c r="A685" s="584"/>
      <c r="B685" s="572" t="s">
        <v>919</v>
      </c>
      <c r="C685" s="605">
        <f>CAPEX!$C$66</f>
        <v>21160</v>
      </c>
      <c r="D685" s="605">
        <f>C685</f>
        <v>21160</v>
      </c>
      <c r="E685" s="605">
        <f t="shared" si="547"/>
        <v>21160</v>
      </c>
      <c r="F685" s="605">
        <f t="shared" si="547"/>
        <v>21160</v>
      </c>
      <c r="G685" s="605">
        <f t="shared" si="547"/>
        <v>21160</v>
      </c>
      <c r="H685" s="605">
        <f t="shared" si="547"/>
        <v>21160</v>
      </c>
      <c r="I685" s="605">
        <f t="shared" si="547"/>
        <v>21160</v>
      </c>
      <c r="J685" s="605">
        <f t="shared" si="547"/>
        <v>21160</v>
      </c>
      <c r="K685" s="605">
        <f t="shared" si="547"/>
        <v>21160</v>
      </c>
      <c r="L685" s="605">
        <f t="shared" si="547"/>
        <v>21160</v>
      </c>
      <c r="M685" s="605">
        <f t="shared" si="547"/>
        <v>21160</v>
      </c>
      <c r="N685" s="605">
        <f t="shared" si="547"/>
        <v>21160</v>
      </c>
      <c r="O685" s="605">
        <f t="shared" si="547"/>
        <v>21160</v>
      </c>
      <c r="P685" s="605">
        <f t="shared" si="547"/>
        <v>21160</v>
      </c>
      <c r="Q685" s="605">
        <f t="shared" si="547"/>
        <v>21160</v>
      </c>
      <c r="R685" s="605">
        <f t="shared" si="547"/>
        <v>21160</v>
      </c>
      <c r="S685" s="605">
        <f t="shared" si="547"/>
        <v>21160</v>
      </c>
      <c r="T685" s="605">
        <f t="shared" si="547"/>
        <v>21160</v>
      </c>
      <c r="U685" s="605">
        <f t="shared" si="548"/>
        <v>21160</v>
      </c>
      <c r="V685" s="605">
        <f t="shared" si="548"/>
        <v>21160</v>
      </c>
      <c r="W685" s="605">
        <f t="shared" si="548"/>
        <v>21160</v>
      </c>
      <c r="X685" s="605">
        <f t="shared" si="548"/>
        <v>21160</v>
      </c>
      <c r="Y685" s="605">
        <f t="shared" si="548"/>
        <v>21160</v>
      </c>
      <c r="Z685" s="605">
        <f t="shared" si="548"/>
        <v>21160</v>
      </c>
      <c r="AA685" s="605">
        <f t="shared" si="548"/>
        <v>21160</v>
      </c>
      <c r="AB685" s="605">
        <f t="shared" si="548"/>
        <v>21160</v>
      </c>
      <c r="AC685" s="605">
        <f t="shared" si="548"/>
        <v>21160</v>
      </c>
      <c r="AD685" s="605">
        <f t="shared" si="548"/>
        <v>21160</v>
      </c>
      <c r="AE685" s="605">
        <f t="shared" si="548"/>
        <v>21160</v>
      </c>
      <c r="AF685" s="605">
        <f t="shared" si="548"/>
        <v>21160</v>
      </c>
      <c r="AH685" s="538"/>
      <c r="AK685" s="531"/>
      <c r="AM685" s="594"/>
      <c r="AN685" s="535"/>
      <c r="AP685" s="540"/>
      <c r="AQ685" s="540"/>
    </row>
    <row r="686" spans="1:43" s="513" customFormat="1" ht="3" hidden="1" customHeight="1" outlineLevel="2">
      <c r="A686" s="584"/>
      <c r="B686" s="572"/>
      <c r="C686" s="607"/>
      <c r="D686" s="607"/>
      <c r="E686" s="607"/>
      <c r="F686" s="607"/>
      <c r="G686" s="607"/>
      <c r="H686" s="607"/>
      <c r="I686" s="607"/>
      <c r="J686" s="607"/>
      <c r="K686" s="607"/>
      <c r="L686" s="607"/>
      <c r="M686" s="607"/>
      <c r="N686" s="607"/>
      <c r="O686" s="607"/>
      <c r="P686" s="607"/>
      <c r="Q686" s="607"/>
      <c r="R686" s="607"/>
      <c r="S686" s="607"/>
      <c r="T686" s="607"/>
      <c r="U686" s="607"/>
      <c r="V686" s="607"/>
      <c r="W686" s="607"/>
      <c r="X686" s="607"/>
      <c r="Y686" s="607"/>
      <c r="Z686" s="607"/>
      <c r="AA686" s="607"/>
      <c r="AB686" s="607"/>
      <c r="AC686" s="607"/>
      <c r="AD686" s="607"/>
      <c r="AE686" s="607"/>
      <c r="AF686" s="607"/>
      <c r="AH686" s="538"/>
      <c r="AK686" s="531"/>
      <c r="AM686" s="594"/>
      <c r="AN686" s="535"/>
      <c r="AP686" s="540"/>
      <c r="AQ686" s="540"/>
    </row>
    <row r="687" spans="1:43" s="564" customFormat="1" ht="16.5" hidden="1" customHeight="1" outlineLevel="1" collapsed="1">
      <c r="A687" s="584"/>
      <c r="B687" s="576" t="s">
        <v>950</v>
      </c>
      <c r="C687" s="577">
        <f>C688*C689*12/10^3</f>
        <v>6.6343199999999998</v>
      </c>
      <c r="D687" s="577">
        <f t="shared" ref="D687:AF687" si="549">D688*D689*12/10^3</f>
        <v>6.6343199999999998</v>
      </c>
      <c r="E687" s="577">
        <f t="shared" si="549"/>
        <v>6.6343199999999998</v>
      </c>
      <c r="F687" s="577">
        <f t="shared" si="549"/>
        <v>6.6343199999999998</v>
      </c>
      <c r="G687" s="577">
        <f t="shared" si="549"/>
        <v>6.6343199999999998</v>
      </c>
      <c r="H687" s="577">
        <f t="shared" si="549"/>
        <v>6.6343199999999998</v>
      </c>
      <c r="I687" s="577">
        <f t="shared" si="549"/>
        <v>6.6343199999999998</v>
      </c>
      <c r="J687" s="577">
        <f t="shared" si="549"/>
        <v>6.6343199999999998</v>
      </c>
      <c r="K687" s="577">
        <f t="shared" si="549"/>
        <v>6.6343199999999998</v>
      </c>
      <c r="L687" s="577">
        <f t="shared" si="549"/>
        <v>6.6343199999999998</v>
      </c>
      <c r="M687" s="577">
        <f t="shared" si="549"/>
        <v>6.6343199999999998</v>
      </c>
      <c r="N687" s="577">
        <f t="shared" si="549"/>
        <v>6.6343199999999998</v>
      </c>
      <c r="O687" s="577">
        <f t="shared" si="549"/>
        <v>6.6343199999999998</v>
      </c>
      <c r="P687" s="577">
        <f t="shared" si="549"/>
        <v>6.6343199999999998</v>
      </c>
      <c r="Q687" s="577">
        <f t="shared" si="549"/>
        <v>6.6343199999999998</v>
      </c>
      <c r="R687" s="577">
        <f t="shared" si="549"/>
        <v>6.6343199999999998</v>
      </c>
      <c r="S687" s="577">
        <f t="shared" si="549"/>
        <v>6.6343199999999998</v>
      </c>
      <c r="T687" s="577">
        <f t="shared" si="549"/>
        <v>6.6343199999999998</v>
      </c>
      <c r="U687" s="577">
        <f t="shared" si="549"/>
        <v>6.6343199999999998</v>
      </c>
      <c r="V687" s="577">
        <f t="shared" si="549"/>
        <v>6.6343199999999998</v>
      </c>
      <c r="W687" s="577">
        <f t="shared" si="549"/>
        <v>6.6343199999999998</v>
      </c>
      <c r="X687" s="577">
        <f t="shared" si="549"/>
        <v>6.6343199999999998</v>
      </c>
      <c r="Y687" s="577">
        <f t="shared" si="549"/>
        <v>6.6343199999999998</v>
      </c>
      <c r="Z687" s="577">
        <f t="shared" si="549"/>
        <v>6.6343199999999998</v>
      </c>
      <c r="AA687" s="577">
        <f t="shared" si="549"/>
        <v>6.6343199999999998</v>
      </c>
      <c r="AB687" s="577">
        <f t="shared" si="549"/>
        <v>6.6343199999999998</v>
      </c>
      <c r="AC687" s="577">
        <f t="shared" si="549"/>
        <v>6.6343199999999998</v>
      </c>
      <c r="AD687" s="577">
        <f t="shared" si="549"/>
        <v>6.6343199999999998</v>
      </c>
      <c r="AE687" s="577">
        <f t="shared" si="549"/>
        <v>6.6343199999999998</v>
      </c>
      <c r="AF687" s="577">
        <f t="shared" si="549"/>
        <v>6.6343199999999998</v>
      </c>
      <c r="AH687" s="578">
        <f>SUM(C687:AF687)</f>
        <v>199.02960000000004</v>
      </c>
      <c r="AJ687" s="579"/>
      <c r="AK687" s="531"/>
      <c r="AM687" s="594"/>
      <c r="AN687" s="535"/>
      <c r="AP687" s="568"/>
      <c r="AQ687" s="568"/>
    </row>
    <row r="688" spans="1:43" s="513" customFormat="1" ht="16.5" hidden="1" customHeight="1" outlineLevel="2">
      <c r="A688" s="584"/>
      <c r="B688" s="572" t="s">
        <v>921</v>
      </c>
      <c r="C688" s="741">
        <f>SUM(C674,C676)</f>
        <v>2</v>
      </c>
      <c r="D688" s="741">
        <f t="shared" ref="D688:AF688" si="550">SUM(D674,D676)</f>
        <v>2</v>
      </c>
      <c r="E688" s="741">
        <f t="shared" si="550"/>
        <v>2</v>
      </c>
      <c r="F688" s="741">
        <f t="shared" si="550"/>
        <v>2</v>
      </c>
      <c r="G688" s="741">
        <f t="shared" si="550"/>
        <v>2</v>
      </c>
      <c r="H688" s="741">
        <f t="shared" si="550"/>
        <v>2</v>
      </c>
      <c r="I688" s="741">
        <f t="shared" si="550"/>
        <v>2</v>
      </c>
      <c r="J688" s="741">
        <f t="shared" si="550"/>
        <v>2</v>
      </c>
      <c r="K688" s="741">
        <f t="shared" si="550"/>
        <v>2</v>
      </c>
      <c r="L688" s="741">
        <f t="shared" si="550"/>
        <v>2</v>
      </c>
      <c r="M688" s="741">
        <f t="shared" si="550"/>
        <v>2</v>
      </c>
      <c r="N688" s="741">
        <f t="shared" si="550"/>
        <v>2</v>
      </c>
      <c r="O688" s="741">
        <f t="shared" si="550"/>
        <v>2</v>
      </c>
      <c r="P688" s="741">
        <f t="shared" si="550"/>
        <v>2</v>
      </c>
      <c r="Q688" s="741">
        <f t="shared" si="550"/>
        <v>2</v>
      </c>
      <c r="R688" s="741">
        <f t="shared" si="550"/>
        <v>2</v>
      </c>
      <c r="S688" s="741">
        <f t="shared" si="550"/>
        <v>2</v>
      </c>
      <c r="T688" s="741">
        <f t="shared" si="550"/>
        <v>2</v>
      </c>
      <c r="U688" s="741">
        <f t="shared" si="550"/>
        <v>2</v>
      </c>
      <c r="V688" s="741">
        <f t="shared" si="550"/>
        <v>2</v>
      </c>
      <c r="W688" s="741">
        <f t="shared" si="550"/>
        <v>2</v>
      </c>
      <c r="X688" s="741">
        <f t="shared" si="550"/>
        <v>2</v>
      </c>
      <c r="Y688" s="741">
        <f t="shared" si="550"/>
        <v>2</v>
      </c>
      <c r="Z688" s="741">
        <f t="shared" si="550"/>
        <v>2</v>
      </c>
      <c r="AA688" s="741">
        <f t="shared" si="550"/>
        <v>2</v>
      </c>
      <c r="AB688" s="741">
        <f t="shared" si="550"/>
        <v>2</v>
      </c>
      <c r="AC688" s="741">
        <f t="shared" si="550"/>
        <v>2</v>
      </c>
      <c r="AD688" s="741">
        <f t="shared" si="550"/>
        <v>2</v>
      </c>
      <c r="AE688" s="741">
        <f t="shared" si="550"/>
        <v>2</v>
      </c>
      <c r="AF688" s="741">
        <f t="shared" si="550"/>
        <v>2</v>
      </c>
      <c r="AH688" s="538"/>
      <c r="AK688" s="531"/>
      <c r="AM688" s="594"/>
      <c r="AN688" s="535"/>
      <c r="AP688" s="540"/>
      <c r="AQ688" s="540"/>
    </row>
    <row r="689" spans="1:43" s="513" customFormat="1" ht="16.5" hidden="1" customHeight="1" outlineLevel="2">
      <c r="A689" s="584"/>
      <c r="B689" s="551" t="s">
        <v>888</v>
      </c>
      <c r="C689" s="605">
        <f>Insumos!$E$53</f>
        <v>276.43</v>
      </c>
      <c r="D689" s="605">
        <f>C689</f>
        <v>276.43</v>
      </c>
      <c r="E689" s="605">
        <f t="shared" ref="E689:AF689" si="551">D689</f>
        <v>276.43</v>
      </c>
      <c r="F689" s="605">
        <f t="shared" si="551"/>
        <v>276.43</v>
      </c>
      <c r="G689" s="605">
        <f t="shared" si="551"/>
        <v>276.43</v>
      </c>
      <c r="H689" s="605">
        <f t="shared" si="551"/>
        <v>276.43</v>
      </c>
      <c r="I689" s="605">
        <f t="shared" si="551"/>
        <v>276.43</v>
      </c>
      <c r="J689" s="605">
        <f t="shared" si="551"/>
        <v>276.43</v>
      </c>
      <c r="K689" s="605">
        <f t="shared" si="551"/>
        <v>276.43</v>
      </c>
      <c r="L689" s="605">
        <f t="shared" si="551"/>
        <v>276.43</v>
      </c>
      <c r="M689" s="605">
        <f t="shared" si="551"/>
        <v>276.43</v>
      </c>
      <c r="N689" s="605">
        <f t="shared" si="551"/>
        <v>276.43</v>
      </c>
      <c r="O689" s="605">
        <f t="shared" si="551"/>
        <v>276.43</v>
      </c>
      <c r="P689" s="605">
        <f t="shared" si="551"/>
        <v>276.43</v>
      </c>
      <c r="Q689" s="605">
        <f t="shared" si="551"/>
        <v>276.43</v>
      </c>
      <c r="R689" s="605">
        <f t="shared" si="551"/>
        <v>276.43</v>
      </c>
      <c r="S689" s="605">
        <f t="shared" si="551"/>
        <v>276.43</v>
      </c>
      <c r="T689" s="605">
        <f t="shared" si="551"/>
        <v>276.43</v>
      </c>
      <c r="U689" s="605">
        <f t="shared" si="551"/>
        <v>276.43</v>
      </c>
      <c r="V689" s="605">
        <f t="shared" si="551"/>
        <v>276.43</v>
      </c>
      <c r="W689" s="605">
        <f t="shared" si="551"/>
        <v>276.43</v>
      </c>
      <c r="X689" s="605">
        <f t="shared" si="551"/>
        <v>276.43</v>
      </c>
      <c r="Y689" s="605">
        <f t="shared" si="551"/>
        <v>276.43</v>
      </c>
      <c r="Z689" s="605">
        <f t="shared" si="551"/>
        <v>276.43</v>
      </c>
      <c r="AA689" s="605">
        <f t="shared" si="551"/>
        <v>276.43</v>
      </c>
      <c r="AB689" s="605">
        <f t="shared" si="551"/>
        <v>276.43</v>
      </c>
      <c r="AC689" s="605">
        <f t="shared" si="551"/>
        <v>276.43</v>
      </c>
      <c r="AD689" s="605">
        <f t="shared" si="551"/>
        <v>276.43</v>
      </c>
      <c r="AE689" s="605">
        <f t="shared" si="551"/>
        <v>276.43</v>
      </c>
      <c r="AF689" s="605">
        <f t="shared" si="551"/>
        <v>276.43</v>
      </c>
      <c r="AH689" s="538"/>
      <c r="AK689" s="531"/>
      <c r="AM689" s="594"/>
      <c r="AN689" s="535"/>
      <c r="AP689" s="540"/>
      <c r="AQ689" s="540"/>
    </row>
    <row r="690" spans="1:43" ht="3" hidden="1" customHeight="1" outlineLevel="2">
      <c r="A690" s="584"/>
      <c r="B690" s="609"/>
      <c r="C690" s="611"/>
      <c r="D690" s="611"/>
      <c r="E690" s="610"/>
      <c r="F690" s="610"/>
      <c r="G690" s="610"/>
      <c r="H690" s="610"/>
      <c r="I690" s="610"/>
      <c r="J690" s="610"/>
      <c r="K690" s="610"/>
      <c r="L690" s="610"/>
      <c r="M690" s="610"/>
      <c r="N690" s="610"/>
      <c r="O690" s="610"/>
      <c r="P690" s="610"/>
      <c r="Q690" s="610"/>
      <c r="R690" s="610"/>
      <c r="S690" s="610"/>
      <c r="T690" s="610"/>
      <c r="U690" s="610"/>
      <c r="V690" s="610"/>
      <c r="W690" s="610"/>
      <c r="X690" s="610"/>
      <c r="Y690" s="610"/>
      <c r="Z690" s="610"/>
      <c r="AA690" s="610"/>
      <c r="AB690" s="610"/>
      <c r="AC690" s="610"/>
      <c r="AD690" s="610"/>
      <c r="AE690" s="610"/>
      <c r="AF690" s="610"/>
      <c r="AH690" s="593"/>
      <c r="AK690" s="531"/>
      <c r="AM690" s="594"/>
      <c r="AN690" s="535"/>
      <c r="AP690" s="535"/>
      <c r="AQ690" s="535"/>
    </row>
    <row r="691" spans="1:43" s="564" customFormat="1" ht="16.5" hidden="1" customHeight="1" outlineLevel="1" collapsed="1">
      <c r="A691" s="584"/>
      <c r="B691" s="576" t="s">
        <v>922</v>
      </c>
      <c r="C691" s="577">
        <f>SUM(C692,C695,C698,C701,C704)*12/10^3</f>
        <v>30.3935359824</v>
      </c>
      <c r="D691" s="577">
        <f t="shared" ref="D691:Q691" si="552">SUM(D692,D695,D698,D701,D704)*12/10^3</f>
        <v>30.3935359824</v>
      </c>
      <c r="E691" s="577">
        <f t="shared" si="552"/>
        <v>30.664615982400001</v>
      </c>
      <c r="F691" s="577">
        <f t="shared" si="552"/>
        <v>30.664615982400001</v>
      </c>
      <c r="G691" s="577">
        <f t="shared" si="552"/>
        <v>30.664615982400001</v>
      </c>
      <c r="H691" s="577">
        <f t="shared" si="552"/>
        <v>30.664615982400001</v>
      </c>
      <c r="I691" s="577">
        <f t="shared" si="552"/>
        <v>30.664615982400001</v>
      </c>
      <c r="J691" s="577">
        <f t="shared" si="552"/>
        <v>30.664615982400001</v>
      </c>
      <c r="K691" s="577">
        <f t="shared" si="552"/>
        <v>30.664615982400001</v>
      </c>
      <c r="L691" s="577">
        <f t="shared" si="552"/>
        <v>30.935695982400006</v>
      </c>
      <c r="M691" s="577">
        <f t="shared" si="552"/>
        <v>30.935695982400006</v>
      </c>
      <c r="N691" s="577">
        <f t="shared" si="552"/>
        <v>30.935695982400006</v>
      </c>
      <c r="O691" s="577">
        <f t="shared" si="552"/>
        <v>30.935695982400006</v>
      </c>
      <c r="P691" s="577">
        <f>SUM(P692,P695,P698,P701,P704)*12/10^3</f>
        <v>30.935695982400006</v>
      </c>
      <c r="Q691" s="577">
        <f t="shared" si="552"/>
        <v>30.935695982400006</v>
      </c>
      <c r="R691" s="577">
        <f>SUM(R692,R695,R698,R701,R704)*12/10^3</f>
        <v>30.935695982400006</v>
      </c>
      <c r="S691" s="577">
        <f t="shared" ref="S691:AF691" si="553">SUM(S692,S695,S698,S701,S704)*12/10^3</f>
        <v>31.206775982400003</v>
      </c>
      <c r="T691" s="577">
        <f t="shared" si="553"/>
        <v>31.206775982400003</v>
      </c>
      <c r="U691" s="577">
        <f t="shared" si="553"/>
        <v>31.206775982400003</v>
      </c>
      <c r="V691" s="577">
        <f t="shared" si="553"/>
        <v>31.206775982400003</v>
      </c>
      <c r="W691" s="577">
        <f t="shared" si="553"/>
        <v>31.206775982400003</v>
      </c>
      <c r="X691" s="577">
        <f t="shared" si="553"/>
        <v>31.206775982400003</v>
      </c>
      <c r="Y691" s="577">
        <f t="shared" si="553"/>
        <v>31.206775982400003</v>
      </c>
      <c r="Z691" s="577">
        <f t="shared" si="553"/>
        <v>31.477855982400005</v>
      </c>
      <c r="AA691" s="577">
        <f t="shared" si="553"/>
        <v>31.477855982400005</v>
      </c>
      <c r="AB691" s="577">
        <f t="shared" si="553"/>
        <v>31.477855982400005</v>
      </c>
      <c r="AC691" s="577">
        <f t="shared" si="553"/>
        <v>31.477855982400005</v>
      </c>
      <c r="AD691" s="577">
        <f t="shared" si="553"/>
        <v>31.477855982400005</v>
      </c>
      <c r="AE691" s="577">
        <f t="shared" si="553"/>
        <v>31.477855982400005</v>
      </c>
      <c r="AF691" s="577">
        <f t="shared" si="553"/>
        <v>31.477855982400005</v>
      </c>
      <c r="AH691" s="578">
        <f>SUM(C691:AF691)</f>
        <v>930.78167947200029</v>
      </c>
      <c r="AJ691" s="579"/>
      <c r="AK691" s="531"/>
      <c r="AM691" s="594"/>
      <c r="AN691" s="535"/>
      <c r="AP691" s="568"/>
      <c r="AQ691" s="568"/>
    </row>
    <row r="692" spans="1:43" s="546" customFormat="1" ht="16.5" hidden="1" customHeight="1" outlineLevel="2">
      <c r="A692" s="584"/>
      <c r="B692" s="569" t="s">
        <v>955</v>
      </c>
      <c r="C692" s="581">
        <f>C693*C694</f>
        <v>184</v>
      </c>
      <c r="D692" s="581">
        <f t="shared" ref="D692:AF692" si="554">D693*D694</f>
        <v>184</v>
      </c>
      <c r="E692" s="581">
        <f t="shared" si="554"/>
        <v>184</v>
      </c>
      <c r="F692" s="581">
        <f t="shared" si="554"/>
        <v>184</v>
      </c>
      <c r="G692" s="581">
        <f t="shared" si="554"/>
        <v>184</v>
      </c>
      <c r="H692" s="581">
        <f t="shared" si="554"/>
        <v>184</v>
      </c>
      <c r="I692" s="581">
        <f t="shared" si="554"/>
        <v>184</v>
      </c>
      <c r="J692" s="581">
        <f t="shared" si="554"/>
        <v>184</v>
      </c>
      <c r="K692" s="581">
        <f t="shared" si="554"/>
        <v>184</v>
      </c>
      <c r="L692" s="581">
        <f t="shared" si="554"/>
        <v>184</v>
      </c>
      <c r="M692" s="581">
        <f t="shared" si="554"/>
        <v>184</v>
      </c>
      <c r="N692" s="581">
        <f t="shared" si="554"/>
        <v>184</v>
      </c>
      <c r="O692" s="581">
        <f t="shared" si="554"/>
        <v>184</v>
      </c>
      <c r="P692" s="581">
        <f t="shared" si="554"/>
        <v>184</v>
      </c>
      <c r="Q692" s="581">
        <f t="shared" si="554"/>
        <v>184</v>
      </c>
      <c r="R692" s="581">
        <f t="shared" si="554"/>
        <v>184</v>
      </c>
      <c r="S692" s="581">
        <f t="shared" si="554"/>
        <v>184</v>
      </c>
      <c r="T692" s="581">
        <f t="shared" si="554"/>
        <v>184</v>
      </c>
      <c r="U692" s="581">
        <f t="shared" si="554"/>
        <v>184</v>
      </c>
      <c r="V692" s="581">
        <f t="shared" si="554"/>
        <v>184</v>
      </c>
      <c r="W692" s="581">
        <f t="shared" si="554"/>
        <v>184</v>
      </c>
      <c r="X692" s="581">
        <f t="shared" si="554"/>
        <v>184</v>
      </c>
      <c r="Y692" s="581">
        <f t="shared" si="554"/>
        <v>184</v>
      </c>
      <c r="Z692" s="581">
        <f t="shared" si="554"/>
        <v>184</v>
      </c>
      <c r="AA692" s="581">
        <f t="shared" si="554"/>
        <v>184</v>
      </c>
      <c r="AB692" s="581">
        <f t="shared" si="554"/>
        <v>184</v>
      </c>
      <c r="AC692" s="581">
        <f t="shared" si="554"/>
        <v>184</v>
      </c>
      <c r="AD692" s="581">
        <f t="shared" si="554"/>
        <v>184</v>
      </c>
      <c r="AE692" s="581">
        <f t="shared" si="554"/>
        <v>184</v>
      </c>
      <c r="AF692" s="581">
        <f t="shared" si="554"/>
        <v>184</v>
      </c>
      <c r="AH692" s="571"/>
      <c r="AK692" s="531"/>
      <c r="AM692" s="594"/>
      <c r="AN692" s="535"/>
      <c r="AP692" s="549"/>
      <c r="AQ692" s="549"/>
    </row>
    <row r="693" spans="1:43" s="586" customFormat="1" ht="16.5" hidden="1" customHeight="1" outlineLevel="2">
      <c r="A693" s="584"/>
      <c r="B693" s="585" t="s">
        <v>805</v>
      </c>
      <c r="C693" s="716">
        <f>ROUND((8*(AVERAGE(C621:AF621))/12),0)</f>
        <v>8</v>
      </c>
      <c r="D693" s="716">
        <f>C693</f>
        <v>8</v>
      </c>
      <c r="E693" s="716">
        <f t="shared" ref="E693:T694" si="555">D693</f>
        <v>8</v>
      </c>
      <c r="F693" s="716">
        <f t="shared" si="555"/>
        <v>8</v>
      </c>
      <c r="G693" s="716">
        <f t="shared" si="555"/>
        <v>8</v>
      </c>
      <c r="H693" s="716">
        <f t="shared" si="555"/>
        <v>8</v>
      </c>
      <c r="I693" s="716">
        <f t="shared" si="555"/>
        <v>8</v>
      </c>
      <c r="J693" s="716">
        <f t="shared" si="555"/>
        <v>8</v>
      </c>
      <c r="K693" s="716">
        <f t="shared" si="555"/>
        <v>8</v>
      </c>
      <c r="L693" s="716">
        <f t="shared" si="555"/>
        <v>8</v>
      </c>
      <c r="M693" s="716">
        <f t="shared" si="555"/>
        <v>8</v>
      </c>
      <c r="N693" s="716">
        <f t="shared" si="555"/>
        <v>8</v>
      </c>
      <c r="O693" s="716">
        <f t="shared" si="555"/>
        <v>8</v>
      </c>
      <c r="P693" s="716">
        <f t="shared" si="555"/>
        <v>8</v>
      </c>
      <c r="Q693" s="716">
        <f t="shared" si="555"/>
        <v>8</v>
      </c>
      <c r="R693" s="716">
        <f t="shared" si="555"/>
        <v>8</v>
      </c>
      <c r="S693" s="716">
        <f t="shared" si="555"/>
        <v>8</v>
      </c>
      <c r="T693" s="716">
        <f t="shared" si="555"/>
        <v>8</v>
      </c>
      <c r="U693" s="716">
        <f t="shared" ref="U693:AF694" si="556">T693</f>
        <v>8</v>
      </c>
      <c r="V693" s="716">
        <f t="shared" si="556"/>
        <v>8</v>
      </c>
      <c r="W693" s="716">
        <f t="shared" si="556"/>
        <v>8</v>
      </c>
      <c r="X693" s="716">
        <f t="shared" si="556"/>
        <v>8</v>
      </c>
      <c r="Y693" s="716">
        <f t="shared" si="556"/>
        <v>8</v>
      </c>
      <c r="Z693" s="716">
        <f t="shared" si="556"/>
        <v>8</v>
      </c>
      <c r="AA693" s="716">
        <f t="shared" si="556"/>
        <v>8</v>
      </c>
      <c r="AB693" s="716">
        <f t="shared" si="556"/>
        <v>8</v>
      </c>
      <c r="AC693" s="716">
        <f t="shared" si="556"/>
        <v>8</v>
      </c>
      <c r="AD693" s="716">
        <f t="shared" si="556"/>
        <v>8</v>
      </c>
      <c r="AE693" s="716">
        <f t="shared" si="556"/>
        <v>8</v>
      </c>
      <c r="AF693" s="716">
        <f t="shared" si="556"/>
        <v>8</v>
      </c>
      <c r="AH693" s="587"/>
      <c r="AK693" s="591"/>
      <c r="AM693" s="624"/>
      <c r="AN693" s="590"/>
      <c r="AP693" s="591"/>
      <c r="AQ693" s="591"/>
    </row>
    <row r="694" spans="1:43" s="513" customFormat="1" ht="16.5" hidden="1" customHeight="1" outlineLevel="2">
      <c r="A694" s="584"/>
      <c r="B694" s="572" t="s">
        <v>924</v>
      </c>
      <c r="C694" s="605">
        <f>Insumos!$E$68</f>
        <v>23</v>
      </c>
      <c r="D694" s="605">
        <f>C694</f>
        <v>23</v>
      </c>
      <c r="E694" s="605">
        <f t="shared" si="555"/>
        <v>23</v>
      </c>
      <c r="F694" s="605">
        <f t="shared" si="555"/>
        <v>23</v>
      </c>
      <c r="G694" s="605">
        <f t="shared" si="555"/>
        <v>23</v>
      </c>
      <c r="H694" s="605">
        <f t="shared" si="555"/>
        <v>23</v>
      </c>
      <c r="I694" s="605">
        <f t="shared" si="555"/>
        <v>23</v>
      </c>
      <c r="J694" s="605">
        <f t="shared" si="555"/>
        <v>23</v>
      </c>
      <c r="K694" s="605">
        <f t="shared" si="555"/>
        <v>23</v>
      </c>
      <c r="L694" s="605">
        <f t="shared" si="555"/>
        <v>23</v>
      </c>
      <c r="M694" s="605">
        <f t="shared" si="555"/>
        <v>23</v>
      </c>
      <c r="N694" s="605">
        <f t="shared" si="555"/>
        <v>23</v>
      </c>
      <c r="O694" s="605">
        <f t="shared" si="555"/>
        <v>23</v>
      </c>
      <c r="P694" s="605">
        <f t="shared" si="555"/>
        <v>23</v>
      </c>
      <c r="Q694" s="605">
        <f t="shared" si="555"/>
        <v>23</v>
      </c>
      <c r="R694" s="605">
        <f t="shared" si="555"/>
        <v>23</v>
      </c>
      <c r="S694" s="605">
        <f t="shared" si="555"/>
        <v>23</v>
      </c>
      <c r="T694" s="605">
        <f t="shared" si="555"/>
        <v>23</v>
      </c>
      <c r="U694" s="605">
        <f t="shared" si="556"/>
        <v>23</v>
      </c>
      <c r="V694" s="605">
        <f t="shared" si="556"/>
        <v>23</v>
      </c>
      <c r="W694" s="605">
        <f t="shared" si="556"/>
        <v>23</v>
      </c>
      <c r="X694" s="605">
        <f t="shared" si="556"/>
        <v>23</v>
      </c>
      <c r="Y694" s="605">
        <f t="shared" si="556"/>
        <v>23</v>
      </c>
      <c r="Z694" s="605">
        <f t="shared" si="556"/>
        <v>23</v>
      </c>
      <c r="AA694" s="605">
        <f t="shared" si="556"/>
        <v>23</v>
      </c>
      <c r="AB694" s="605">
        <f t="shared" si="556"/>
        <v>23</v>
      </c>
      <c r="AC694" s="605">
        <f t="shared" si="556"/>
        <v>23</v>
      </c>
      <c r="AD694" s="605">
        <f t="shared" si="556"/>
        <v>23</v>
      </c>
      <c r="AE694" s="605">
        <f t="shared" si="556"/>
        <v>23</v>
      </c>
      <c r="AF694" s="605">
        <f t="shared" si="556"/>
        <v>23</v>
      </c>
      <c r="AH694" s="538"/>
      <c r="AK694" s="531"/>
      <c r="AM694" s="594"/>
      <c r="AN694" s="535"/>
      <c r="AP694" s="540"/>
      <c r="AQ694" s="540"/>
    </row>
    <row r="695" spans="1:43" s="546" customFormat="1" ht="16.5" hidden="1" customHeight="1" outlineLevel="2">
      <c r="A695" s="584"/>
      <c r="B695" s="569" t="s">
        <v>925</v>
      </c>
      <c r="C695" s="581">
        <f>C696*C697</f>
        <v>353.4</v>
      </c>
      <c r="D695" s="581">
        <f t="shared" ref="D695:AF695" si="557">D696*D697</f>
        <v>353.4</v>
      </c>
      <c r="E695" s="581">
        <f t="shared" si="557"/>
        <v>353.4</v>
      </c>
      <c r="F695" s="581">
        <f t="shared" si="557"/>
        <v>353.4</v>
      </c>
      <c r="G695" s="581">
        <f t="shared" si="557"/>
        <v>353.4</v>
      </c>
      <c r="H695" s="581">
        <f t="shared" si="557"/>
        <v>353.4</v>
      </c>
      <c r="I695" s="581">
        <f t="shared" si="557"/>
        <v>353.4</v>
      </c>
      <c r="J695" s="581">
        <f t="shared" si="557"/>
        <v>353.4</v>
      </c>
      <c r="K695" s="581">
        <f t="shared" si="557"/>
        <v>353.4</v>
      </c>
      <c r="L695" s="581">
        <f t="shared" si="557"/>
        <v>353.4</v>
      </c>
      <c r="M695" s="581">
        <f t="shared" si="557"/>
        <v>353.4</v>
      </c>
      <c r="N695" s="581">
        <f t="shared" si="557"/>
        <v>353.4</v>
      </c>
      <c r="O695" s="581">
        <f t="shared" si="557"/>
        <v>353.4</v>
      </c>
      <c r="P695" s="581">
        <f t="shared" si="557"/>
        <v>353.4</v>
      </c>
      <c r="Q695" s="581">
        <f t="shared" si="557"/>
        <v>353.4</v>
      </c>
      <c r="R695" s="581">
        <f t="shared" si="557"/>
        <v>353.4</v>
      </c>
      <c r="S695" s="581">
        <f t="shared" si="557"/>
        <v>353.4</v>
      </c>
      <c r="T695" s="581">
        <f t="shared" si="557"/>
        <v>353.4</v>
      </c>
      <c r="U695" s="581">
        <f t="shared" si="557"/>
        <v>353.4</v>
      </c>
      <c r="V695" s="581">
        <f t="shared" si="557"/>
        <v>353.4</v>
      </c>
      <c r="W695" s="581">
        <f t="shared" si="557"/>
        <v>353.4</v>
      </c>
      <c r="X695" s="581">
        <f t="shared" si="557"/>
        <v>353.4</v>
      </c>
      <c r="Y695" s="581">
        <f t="shared" si="557"/>
        <v>353.4</v>
      </c>
      <c r="Z695" s="581">
        <f t="shared" si="557"/>
        <v>353.4</v>
      </c>
      <c r="AA695" s="581">
        <f t="shared" si="557"/>
        <v>353.4</v>
      </c>
      <c r="AB695" s="581">
        <f t="shared" si="557"/>
        <v>353.4</v>
      </c>
      <c r="AC695" s="581">
        <f t="shared" si="557"/>
        <v>353.4</v>
      </c>
      <c r="AD695" s="581">
        <f t="shared" si="557"/>
        <v>353.4</v>
      </c>
      <c r="AE695" s="581">
        <f t="shared" si="557"/>
        <v>353.4</v>
      </c>
      <c r="AF695" s="581">
        <f t="shared" si="557"/>
        <v>353.4</v>
      </c>
      <c r="AH695" s="571"/>
      <c r="AK695" s="531"/>
      <c r="AM695" s="594"/>
      <c r="AN695" s="535"/>
      <c r="AP695" s="549"/>
      <c r="AQ695" s="549"/>
    </row>
    <row r="696" spans="1:43" s="586" customFormat="1" ht="16.5" hidden="1" customHeight="1" outlineLevel="2">
      <c r="A696" s="584"/>
      <c r="B696" s="585" t="s">
        <v>805</v>
      </c>
      <c r="C696" s="716">
        <f>ROUND((6*(AVERAGE(C621:AF621)/12)),0)</f>
        <v>6</v>
      </c>
      <c r="D696" s="716">
        <f>C696</f>
        <v>6</v>
      </c>
      <c r="E696" s="716">
        <f t="shared" ref="E696:T697" si="558">D696</f>
        <v>6</v>
      </c>
      <c r="F696" s="716">
        <f t="shared" si="558"/>
        <v>6</v>
      </c>
      <c r="G696" s="716">
        <f t="shared" si="558"/>
        <v>6</v>
      </c>
      <c r="H696" s="716">
        <f t="shared" si="558"/>
        <v>6</v>
      </c>
      <c r="I696" s="716">
        <f t="shared" si="558"/>
        <v>6</v>
      </c>
      <c r="J696" s="716">
        <f t="shared" si="558"/>
        <v>6</v>
      </c>
      <c r="K696" s="716">
        <f t="shared" si="558"/>
        <v>6</v>
      </c>
      <c r="L696" s="716">
        <f t="shared" si="558"/>
        <v>6</v>
      </c>
      <c r="M696" s="716">
        <f t="shared" si="558"/>
        <v>6</v>
      </c>
      <c r="N696" s="716">
        <f t="shared" si="558"/>
        <v>6</v>
      </c>
      <c r="O696" s="716">
        <f t="shared" si="558"/>
        <v>6</v>
      </c>
      <c r="P696" s="716">
        <f t="shared" si="558"/>
        <v>6</v>
      </c>
      <c r="Q696" s="716">
        <f t="shared" si="558"/>
        <v>6</v>
      </c>
      <c r="R696" s="716">
        <f t="shared" si="558"/>
        <v>6</v>
      </c>
      <c r="S696" s="716">
        <f t="shared" si="558"/>
        <v>6</v>
      </c>
      <c r="T696" s="716">
        <f t="shared" si="558"/>
        <v>6</v>
      </c>
      <c r="U696" s="716">
        <f t="shared" ref="U696:AF697" si="559">T696</f>
        <v>6</v>
      </c>
      <c r="V696" s="716">
        <f t="shared" si="559"/>
        <v>6</v>
      </c>
      <c r="W696" s="716">
        <f t="shared" si="559"/>
        <v>6</v>
      </c>
      <c r="X696" s="716">
        <f t="shared" si="559"/>
        <v>6</v>
      </c>
      <c r="Y696" s="716">
        <f t="shared" si="559"/>
        <v>6</v>
      </c>
      <c r="Z696" s="716">
        <f t="shared" si="559"/>
        <v>6</v>
      </c>
      <c r="AA696" s="716">
        <f t="shared" si="559"/>
        <v>6</v>
      </c>
      <c r="AB696" s="716">
        <f t="shared" si="559"/>
        <v>6</v>
      </c>
      <c r="AC696" s="716">
        <f t="shared" si="559"/>
        <v>6</v>
      </c>
      <c r="AD696" s="716">
        <f t="shared" si="559"/>
        <v>6</v>
      </c>
      <c r="AE696" s="716">
        <f t="shared" si="559"/>
        <v>6</v>
      </c>
      <c r="AF696" s="716">
        <f t="shared" si="559"/>
        <v>6</v>
      </c>
      <c r="AH696" s="587"/>
      <c r="AK696" s="591"/>
      <c r="AM696" s="624"/>
      <c r="AN696" s="590"/>
      <c r="AP696" s="591"/>
      <c r="AQ696" s="591"/>
    </row>
    <row r="697" spans="1:43" s="513" customFormat="1" ht="16.5" hidden="1" customHeight="1" outlineLevel="2">
      <c r="A697" s="584"/>
      <c r="B697" s="572" t="s">
        <v>924</v>
      </c>
      <c r="C697" s="605">
        <f>Insumos!$E$63</f>
        <v>58.9</v>
      </c>
      <c r="D697" s="605">
        <f>C697</f>
        <v>58.9</v>
      </c>
      <c r="E697" s="605">
        <f t="shared" si="558"/>
        <v>58.9</v>
      </c>
      <c r="F697" s="605">
        <f t="shared" si="558"/>
        <v>58.9</v>
      </c>
      <c r="G697" s="605">
        <f t="shared" si="558"/>
        <v>58.9</v>
      </c>
      <c r="H697" s="605">
        <f t="shared" si="558"/>
        <v>58.9</v>
      </c>
      <c r="I697" s="605">
        <f t="shared" si="558"/>
        <v>58.9</v>
      </c>
      <c r="J697" s="605">
        <f t="shared" si="558"/>
        <v>58.9</v>
      </c>
      <c r="K697" s="605">
        <f t="shared" si="558"/>
        <v>58.9</v>
      </c>
      <c r="L697" s="605">
        <f t="shared" si="558"/>
        <v>58.9</v>
      </c>
      <c r="M697" s="605">
        <f t="shared" si="558"/>
        <v>58.9</v>
      </c>
      <c r="N697" s="605">
        <f t="shared" si="558"/>
        <v>58.9</v>
      </c>
      <c r="O697" s="605">
        <f t="shared" si="558"/>
        <v>58.9</v>
      </c>
      <c r="P697" s="605">
        <f t="shared" si="558"/>
        <v>58.9</v>
      </c>
      <c r="Q697" s="605">
        <f t="shared" si="558"/>
        <v>58.9</v>
      </c>
      <c r="R697" s="605">
        <f t="shared" si="558"/>
        <v>58.9</v>
      </c>
      <c r="S697" s="605">
        <f t="shared" si="558"/>
        <v>58.9</v>
      </c>
      <c r="T697" s="605">
        <f t="shared" si="558"/>
        <v>58.9</v>
      </c>
      <c r="U697" s="605">
        <f t="shared" si="559"/>
        <v>58.9</v>
      </c>
      <c r="V697" s="605">
        <f t="shared" si="559"/>
        <v>58.9</v>
      </c>
      <c r="W697" s="605">
        <f t="shared" si="559"/>
        <v>58.9</v>
      </c>
      <c r="X697" s="605">
        <f t="shared" si="559"/>
        <v>58.9</v>
      </c>
      <c r="Y697" s="605">
        <f t="shared" si="559"/>
        <v>58.9</v>
      </c>
      <c r="Z697" s="605">
        <f t="shared" si="559"/>
        <v>58.9</v>
      </c>
      <c r="AA697" s="605">
        <f t="shared" si="559"/>
        <v>58.9</v>
      </c>
      <c r="AB697" s="605">
        <f t="shared" si="559"/>
        <v>58.9</v>
      </c>
      <c r="AC697" s="605">
        <f t="shared" si="559"/>
        <v>58.9</v>
      </c>
      <c r="AD697" s="605">
        <f t="shared" si="559"/>
        <v>58.9</v>
      </c>
      <c r="AE697" s="605">
        <f t="shared" si="559"/>
        <v>58.9</v>
      </c>
      <c r="AF697" s="605">
        <f t="shared" si="559"/>
        <v>58.9</v>
      </c>
      <c r="AH697" s="538"/>
      <c r="AK697" s="531"/>
      <c r="AM697" s="594"/>
      <c r="AN697" s="535"/>
      <c r="AP697" s="540"/>
      <c r="AQ697" s="540"/>
    </row>
    <row r="698" spans="1:43" s="546" customFormat="1" ht="16.5" hidden="1" customHeight="1" outlineLevel="2">
      <c r="A698" s="584"/>
      <c r="B698" s="569" t="s">
        <v>956</v>
      </c>
      <c r="C698" s="581">
        <f>C699*C700</f>
        <v>1298.5999999999999</v>
      </c>
      <c r="D698" s="581">
        <f t="shared" ref="D698:AF698" si="560">D699*D700</f>
        <v>1298.5999999999999</v>
      </c>
      <c r="E698" s="581">
        <f t="shared" si="560"/>
        <v>1298.5999999999999</v>
      </c>
      <c r="F698" s="581">
        <f t="shared" si="560"/>
        <v>1298.5999999999999</v>
      </c>
      <c r="G698" s="581">
        <f t="shared" si="560"/>
        <v>1298.5999999999999</v>
      </c>
      <c r="H698" s="581">
        <f t="shared" si="560"/>
        <v>1298.5999999999999</v>
      </c>
      <c r="I698" s="581">
        <f t="shared" si="560"/>
        <v>1298.5999999999999</v>
      </c>
      <c r="J698" s="581">
        <f t="shared" si="560"/>
        <v>1298.5999999999999</v>
      </c>
      <c r="K698" s="581">
        <f t="shared" si="560"/>
        <v>1298.5999999999999</v>
      </c>
      <c r="L698" s="581">
        <f t="shared" si="560"/>
        <v>1298.5999999999999</v>
      </c>
      <c r="M698" s="581">
        <f t="shared" si="560"/>
        <v>1298.5999999999999</v>
      </c>
      <c r="N698" s="581">
        <f t="shared" si="560"/>
        <v>1298.5999999999999</v>
      </c>
      <c r="O698" s="581">
        <f t="shared" si="560"/>
        <v>1298.5999999999999</v>
      </c>
      <c r="P698" s="581">
        <f t="shared" si="560"/>
        <v>1298.5999999999999</v>
      </c>
      <c r="Q698" s="581">
        <f t="shared" si="560"/>
        <v>1298.5999999999999</v>
      </c>
      <c r="R698" s="581">
        <f t="shared" si="560"/>
        <v>1298.5999999999999</v>
      </c>
      <c r="S698" s="581">
        <f t="shared" si="560"/>
        <v>1298.5999999999999</v>
      </c>
      <c r="T698" s="581">
        <f t="shared" si="560"/>
        <v>1298.5999999999999</v>
      </c>
      <c r="U698" s="581">
        <f t="shared" si="560"/>
        <v>1298.5999999999999</v>
      </c>
      <c r="V698" s="581">
        <f t="shared" si="560"/>
        <v>1298.5999999999999</v>
      </c>
      <c r="W698" s="581">
        <f t="shared" si="560"/>
        <v>1298.5999999999999</v>
      </c>
      <c r="X698" s="581">
        <f t="shared" si="560"/>
        <v>1298.5999999999999</v>
      </c>
      <c r="Y698" s="581">
        <f t="shared" si="560"/>
        <v>1298.5999999999999</v>
      </c>
      <c r="Z698" s="581">
        <f t="shared" si="560"/>
        <v>1298.5999999999999</v>
      </c>
      <c r="AA698" s="581">
        <f t="shared" si="560"/>
        <v>1298.5999999999999</v>
      </c>
      <c r="AB698" s="581">
        <f t="shared" si="560"/>
        <v>1298.5999999999999</v>
      </c>
      <c r="AC698" s="581">
        <f t="shared" si="560"/>
        <v>1298.5999999999999</v>
      </c>
      <c r="AD698" s="581">
        <f t="shared" si="560"/>
        <v>1298.5999999999999</v>
      </c>
      <c r="AE698" s="581">
        <f t="shared" si="560"/>
        <v>1298.5999999999999</v>
      </c>
      <c r="AF698" s="581">
        <f t="shared" si="560"/>
        <v>1298.5999999999999</v>
      </c>
      <c r="AH698" s="571"/>
      <c r="AK698" s="531"/>
      <c r="AM698" s="594"/>
      <c r="AN698" s="535"/>
      <c r="AP698" s="549"/>
      <c r="AQ698" s="549"/>
    </row>
    <row r="699" spans="1:43" s="586" customFormat="1" ht="16.5" hidden="1" customHeight="1" outlineLevel="2">
      <c r="A699" s="584"/>
      <c r="B699" s="585" t="s">
        <v>805</v>
      </c>
      <c r="C699" s="716">
        <f>ROUND((10*25.17*12*12/12),0)</f>
        <v>3020</v>
      </c>
      <c r="D699" s="716">
        <f>C699</f>
        <v>3020</v>
      </c>
      <c r="E699" s="716">
        <f t="shared" ref="E699:T700" si="561">D699</f>
        <v>3020</v>
      </c>
      <c r="F699" s="716">
        <f t="shared" si="561"/>
        <v>3020</v>
      </c>
      <c r="G699" s="716">
        <f t="shared" si="561"/>
        <v>3020</v>
      </c>
      <c r="H699" s="716">
        <f t="shared" si="561"/>
        <v>3020</v>
      </c>
      <c r="I699" s="716">
        <f t="shared" si="561"/>
        <v>3020</v>
      </c>
      <c r="J699" s="716">
        <f t="shared" si="561"/>
        <v>3020</v>
      </c>
      <c r="K699" s="716">
        <f t="shared" si="561"/>
        <v>3020</v>
      </c>
      <c r="L699" s="716">
        <f t="shared" si="561"/>
        <v>3020</v>
      </c>
      <c r="M699" s="716">
        <f t="shared" si="561"/>
        <v>3020</v>
      </c>
      <c r="N699" s="716">
        <f t="shared" si="561"/>
        <v>3020</v>
      </c>
      <c r="O699" s="716">
        <f t="shared" si="561"/>
        <v>3020</v>
      </c>
      <c r="P699" s="716">
        <f t="shared" si="561"/>
        <v>3020</v>
      </c>
      <c r="Q699" s="716">
        <f t="shared" si="561"/>
        <v>3020</v>
      </c>
      <c r="R699" s="716">
        <f t="shared" si="561"/>
        <v>3020</v>
      </c>
      <c r="S699" s="716">
        <f t="shared" si="561"/>
        <v>3020</v>
      </c>
      <c r="T699" s="716">
        <f t="shared" si="561"/>
        <v>3020</v>
      </c>
      <c r="U699" s="716">
        <f t="shared" ref="U699:AF700" si="562">T699</f>
        <v>3020</v>
      </c>
      <c r="V699" s="716">
        <f t="shared" si="562"/>
        <v>3020</v>
      </c>
      <c r="W699" s="716">
        <f t="shared" si="562"/>
        <v>3020</v>
      </c>
      <c r="X699" s="716">
        <f t="shared" si="562"/>
        <v>3020</v>
      </c>
      <c r="Y699" s="716">
        <f t="shared" si="562"/>
        <v>3020</v>
      </c>
      <c r="Z699" s="716">
        <f t="shared" si="562"/>
        <v>3020</v>
      </c>
      <c r="AA699" s="716">
        <f t="shared" si="562"/>
        <v>3020</v>
      </c>
      <c r="AB699" s="716">
        <f t="shared" si="562"/>
        <v>3020</v>
      </c>
      <c r="AC699" s="716">
        <f t="shared" si="562"/>
        <v>3020</v>
      </c>
      <c r="AD699" s="716">
        <f t="shared" si="562"/>
        <v>3020</v>
      </c>
      <c r="AE699" s="716">
        <f t="shared" si="562"/>
        <v>3020</v>
      </c>
      <c r="AF699" s="716">
        <f t="shared" si="562"/>
        <v>3020</v>
      </c>
      <c r="AH699" s="587"/>
      <c r="AK699" s="591"/>
      <c r="AM699" s="624"/>
      <c r="AN699" s="590"/>
      <c r="AP699" s="591"/>
      <c r="AQ699" s="591"/>
    </row>
    <row r="700" spans="1:43" s="513" customFormat="1" ht="16.5" hidden="1" customHeight="1" outlineLevel="2">
      <c r="A700" s="584"/>
      <c r="B700" s="572" t="s">
        <v>924</v>
      </c>
      <c r="C700" s="612">
        <f>Insumos!$E$66</f>
        <v>0.43</v>
      </c>
      <c r="D700" s="612">
        <f>C700</f>
        <v>0.43</v>
      </c>
      <c r="E700" s="612">
        <f t="shared" si="561"/>
        <v>0.43</v>
      </c>
      <c r="F700" s="612">
        <f t="shared" si="561"/>
        <v>0.43</v>
      </c>
      <c r="G700" s="612">
        <f t="shared" si="561"/>
        <v>0.43</v>
      </c>
      <c r="H700" s="612">
        <f t="shared" si="561"/>
        <v>0.43</v>
      </c>
      <c r="I700" s="612">
        <f t="shared" si="561"/>
        <v>0.43</v>
      </c>
      <c r="J700" s="612">
        <f t="shared" si="561"/>
        <v>0.43</v>
      </c>
      <c r="K700" s="612">
        <f t="shared" si="561"/>
        <v>0.43</v>
      </c>
      <c r="L700" s="612">
        <f t="shared" si="561"/>
        <v>0.43</v>
      </c>
      <c r="M700" s="612">
        <f t="shared" si="561"/>
        <v>0.43</v>
      </c>
      <c r="N700" s="612">
        <f t="shared" si="561"/>
        <v>0.43</v>
      </c>
      <c r="O700" s="612">
        <f t="shared" si="561"/>
        <v>0.43</v>
      </c>
      <c r="P700" s="612">
        <f t="shared" si="561"/>
        <v>0.43</v>
      </c>
      <c r="Q700" s="612">
        <f t="shared" si="561"/>
        <v>0.43</v>
      </c>
      <c r="R700" s="612">
        <f t="shared" si="561"/>
        <v>0.43</v>
      </c>
      <c r="S700" s="612">
        <f t="shared" si="561"/>
        <v>0.43</v>
      </c>
      <c r="T700" s="612">
        <f t="shared" si="561"/>
        <v>0.43</v>
      </c>
      <c r="U700" s="612">
        <f t="shared" si="562"/>
        <v>0.43</v>
      </c>
      <c r="V700" s="612">
        <f t="shared" si="562"/>
        <v>0.43</v>
      </c>
      <c r="W700" s="612">
        <f t="shared" si="562"/>
        <v>0.43</v>
      </c>
      <c r="X700" s="612">
        <f t="shared" si="562"/>
        <v>0.43</v>
      </c>
      <c r="Y700" s="612">
        <f t="shared" si="562"/>
        <v>0.43</v>
      </c>
      <c r="Z700" s="612">
        <f t="shared" si="562"/>
        <v>0.43</v>
      </c>
      <c r="AA700" s="612">
        <f t="shared" si="562"/>
        <v>0.43</v>
      </c>
      <c r="AB700" s="612">
        <f t="shared" si="562"/>
        <v>0.43</v>
      </c>
      <c r="AC700" s="612">
        <f t="shared" si="562"/>
        <v>0.43</v>
      </c>
      <c r="AD700" s="612">
        <f t="shared" si="562"/>
        <v>0.43</v>
      </c>
      <c r="AE700" s="612">
        <f t="shared" si="562"/>
        <v>0.43</v>
      </c>
      <c r="AF700" s="612">
        <f t="shared" si="562"/>
        <v>0.43</v>
      </c>
      <c r="AH700" s="538"/>
      <c r="AK700" s="531"/>
      <c r="AM700" s="594"/>
      <c r="AN700" s="535"/>
      <c r="AP700" s="540"/>
      <c r="AQ700" s="540"/>
    </row>
    <row r="701" spans="1:43" s="546" customFormat="1" ht="16.5" hidden="1" customHeight="1" outlineLevel="2">
      <c r="A701" s="584"/>
      <c r="B701" s="569" t="s">
        <v>957</v>
      </c>
      <c r="C701" s="581">
        <f>C702*C703</f>
        <v>425.71466520000001</v>
      </c>
      <c r="D701" s="581">
        <f t="shared" ref="D701:AF701" si="563">D702*D703</f>
        <v>425.71466520000001</v>
      </c>
      <c r="E701" s="581">
        <f t="shared" si="563"/>
        <v>425.71466520000001</v>
      </c>
      <c r="F701" s="581">
        <f t="shared" si="563"/>
        <v>425.71466520000001</v>
      </c>
      <c r="G701" s="581">
        <f t="shared" si="563"/>
        <v>425.71466520000001</v>
      </c>
      <c r="H701" s="581">
        <f t="shared" si="563"/>
        <v>425.71466520000001</v>
      </c>
      <c r="I701" s="581">
        <f t="shared" si="563"/>
        <v>425.71466520000001</v>
      </c>
      <c r="J701" s="581">
        <f t="shared" si="563"/>
        <v>425.71466520000001</v>
      </c>
      <c r="K701" s="581">
        <f t="shared" si="563"/>
        <v>425.71466520000001</v>
      </c>
      <c r="L701" s="581">
        <f t="shared" si="563"/>
        <v>425.71466520000001</v>
      </c>
      <c r="M701" s="581">
        <f t="shared" si="563"/>
        <v>425.71466520000001</v>
      </c>
      <c r="N701" s="581">
        <f t="shared" si="563"/>
        <v>425.71466520000001</v>
      </c>
      <c r="O701" s="581">
        <f t="shared" si="563"/>
        <v>425.71466520000001</v>
      </c>
      <c r="P701" s="581">
        <f t="shared" si="563"/>
        <v>425.71466520000001</v>
      </c>
      <c r="Q701" s="581">
        <f t="shared" si="563"/>
        <v>425.71466520000001</v>
      </c>
      <c r="R701" s="581">
        <f t="shared" si="563"/>
        <v>425.71466520000001</v>
      </c>
      <c r="S701" s="581">
        <f t="shared" si="563"/>
        <v>425.71466520000001</v>
      </c>
      <c r="T701" s="581">
        <f t="shared" si="563"/>
        <v>425.71466520000001</v>
      </c>
      <c r="U701" s="581">
        <f t="shared" si="563"/>
        <v>425.71466520000001</v>
      </c>
      <c r="V701" s="581">
        <f t="shared" si="563"/>
        <v>425.71466520000001</v>
      </c>
      <c r="W701" s="581">
        <f t="shared" si="563"/>
        <v>425.71466520000001</v>
      </c>
      <c r="X701" s="581">
        <f t="shared" si="563"/>
        <v>425.71466520000001</v>
      </c>
      <c r="Y701" s="581">
        <f t="shared" si="563"/>
        <v>425.71466520000001</v>
      </c>
      <c r="Z701" s="581">
        <f t="shared" si="563"/>
        <v>425.71466520000001</v>
      </c>
      <c r="AA701" s="581">
        <f t="shared" si="563"/>
        <v>425.71466520000001</v>
      </c>
      <c r="AB701" s="581">
        <f t="shared" si="563"/>
        <v>425.71466520000001</v>
      </c>
      <c r="AC701" s="581">
        <f t="shared" si="563"/>
        <v>425.71466520000001</v>
      </c>
      <c r="AD701" s="581">
        <f t="shared" si="563"/>
        <v>425.71466520000001</v>
      </c>
      <c r="AE701" s="581">
        <f t="shared" si="563"/>
        <v>425.71466520000001</v>
      </c>
      <c r="AF701" s="581">
        <f t="shared" si="563"/>
        <v>425.71466520000001</v>
      </c>
      <c r="AH701" s="571"/>
      <c r="AK701" s="531"/>
      <c r="AM701" s="539"/>
      <c r="AN701" s="540"/>
      <c r="AP701" s="549"/>
      <c r="AQ701" s="549"/>
    </row>
    <row r="702" spans="1:43" s="586" customFormat="1" ht="16.5" hidden="1" customHeight="1" outlineLevel="2">
      <c r="A702" s="584"/>
      <c r="B702" s="585" t="s">
        <v>805</v>
      </c>
      <c r="C702" s="716">
        <f>19.3506666*C622</f>
        <v>967.53332999999998</v>
      </c>
      <c r="D702" s="716">
        <f>19.3506666*D622</f>
        <v>967.53332999999998</v>
      </c>
      <c r="E702" s="716">
        <f>19.3506666*E622</f>
        <v>967.53332999999998</v>
      </c>
      <c r="F702" s="716">
        <f>19.3506666*F622</f>
        <v>967.53332999999998</v>
      </c>
      <c r="G702" s="716">
        <f>19.3506666*G622</f>
        <v>967.53332999999998</v>
      </c>
      <c r="H702" s="716">
        <f t="shared" ref="H702:W703" si="564">G702</f>
        <v>967.53332999999998</v>
      </c>
      <c r="I702" s="716">
        <f t="shared" si="564"/>
        <v>967.53332999999998</v>
      </c>
      <c r="J702" s="716">
        <f t="shared" si="564"/>
        <v>967.53332999999998</v>
      </c>
      <c r="K702" s="716">
        <f t="shared" si="564"/>
        <v>967.53332999999998</v>
      </c>
      <c r="L702" s="716">
        <f t="shared" si="564"/>
        <v>967.53332999999998</v>
      </c>
      <c r="M702" s="716">
        <f t="shared" si="564"/>
        <v>967.53332999999998</v>
      </c>
      <c r="N702" s="716">
        <f t="shared" si="564"/>
        <v>967.53332999999998</v>
      </c>
      <c r="O702" s="716">
        <f t="shared" si="564"/>
        <v>967.53332999999998</v>
      </c>
      <c r="P702" s="716">
        <f t="shared" si="564"/>
        <v>967.53332999999998</v>
      </c>
      <c r="Q702" s="716">
        <f t="shared" si="564"/>
        <v>967.53332999999998</v>
      </c>
      <c r="R702" s="716">
        <f t="shared" si="564"/>
        <v>967.53332999999998</v>
      </c>
      <c r="S702" s="716">
        <f t="shared" si="564"/>
        <v>967.53332999999998</v>
      </c>
      <c r="T702" s="716">
        <f t="shared" si="564"/>
        <v>967.53332999999998</v>
      </c>
      <c r="U702" s="716">
        <f t="shared" si="564"/>
        <v>967.53332999999998</v>
      </c>
      <c r="V702" s="716">
        <f t="shared" si="564"/>
        <v>967.53332999999998</v>
      </c>
      <c r="W702" s="716">
        <f t="shared" si="564"/>
        <v>967.53332999999998</v>
      </c>
      <c r="X702" s="716">
        <f t="shared" ref="X702:AF703" si="565">W702</f>
        <v>967.53332999999998</v>
      </c>
      <c r="Y702" s="716">
        <f t="shared" si="565"/>
        <v>967.53332999999998</v>
      </c>
      <c r="Z702" s="716">
        <f t="shared" si="565"/>
        <v>967.53332999999998</v>
      </c>
      <c r="AA702" s="716">
        <f>Z702</f>
        <v>967.53332999999998</v>
      </c>
      <c r="AB702" s="716">
        <f t="shared" si="565"/>
        <v>967.53332999999998</v>
      </c>
      <c r="AC702" s="716">
        <f t="shared" si="565"/>
        <v>967.53332999999998</v>
      </c>
      <c r="AD702" s="716">
        <f t="shared" si="565"/>
        <v>967.53332999999998</v>
      </c>
      <c r="AE702" s="716">
        <f t="shared" si="565"/>
        <v>967.53332999999998</v>
      </c>
      <c r="AF702" s="716">
        <f t="shared" si="565"/>
        <v>967.53332999999998</v>
      </c>
      <c r="AH702" s="587"/>
      <c r="AK702" s="591"/>
      <c r="AM702" s="624"/>
      <c r="AN702" s="590"/>
      <c r="AP702" s="591"/>
      <c r="AQ702" s="591"/>
    </row>
    <row r="703" spans="1:43" s="513" customFormat="1" ht="16.5" hidden="1" customHeight="1" outlineLevel="2">
      <c r="A703" s="584"/>
      <c r="B703" s="572" t="s">
        <v>924</v>
      </c>
      <c r="C703" s="612">
        <f>Insumos!$E$67</f>
        <v>0.44</v>
      </c>
      <c r="D703" s="612">
        <f>C703</f>
        <v>0.44</v>
      </c>
      <c r="E703" s="612">
        <f t="shared" ref="E703:G703" si="566">D703</f>
        <v>0.44</v>
      </c>
      <c r="F703" s="612">
        <f t="shared" si="566"/>
        <v>0.44</v>
      </c>
      <c r="G703" s="612">
        <f t="shared" si="566"/>
        <v>0.44</v>
      </c>
      <c r="H703" s="612">
        <f t="shared" si="564"/>
        <v>0.44</v>
      </c>
      <c r="I703" s="612">
        <f t="shared" si="564"/>
        <v>0.44</v>
      </c>
      <c r="J703" s="612">
        <f t="shared" si="564"/>
        <v>0.44</v>
      </c>
      <c r="K703" s="612">
        <f t="shared" si="564"/>
        <v>0.44</v>
      </c>
      <c r="L703" s="612">
        <f t="shared" si="564"/>
        <v>0.44</v>
      </c>
      <c r="M703" s="612">
        <f t="shared" si="564"/>
        <v>0.44</v>
      </c>
      <c r="N703" s="612">
        <f t="shared" si="564"/>
        <v>0.44</v>
      </c>
      <c r="O703" s="612">
        <f t="shared" si="564"/>
        <v>0.44</v>
      </c>
      <c r="P703" s="612">
        <f t="shared" si="564"/>
        <v>0.44</v>
      </c>
      <c r="Q703" s="612">
        <f t="shared" si="564"/>
        <v>0.44</v>
      </c>
      <c r="R703" s="612">
        <f t="shared" si="564"/>
        <v>0.44</v>
      </c>
      <c r="S703" s="612">
        <f t="shared" si="564"/>
        <v>0.44</v>
      </c>
      <c r="T703" s="612">
        <f t="shared" si="564"/>
        <v>0.44</v>
      </c>
      <c r="U703" s="612">
        <f t="shared" si="564"/>
        <v>0.44</v>
      </c>
      <c r="V703" s="612">
        <f t="shared" si="564"/>
        <v>0.44</v>
      </c>
      <c r="W703" s="612">
        <f t="shared" si="564"/>
        <v>0.44</v>
      </c>
      <c r="X703" s="612">
        <f t="shared" si="565"/>
        <v>0.44</v>
      </c>
      <c r="Y703" s="612">
        <f t="shared" si="565"/>
        <v>0.44</v>
      </c>
      <c r="Z703" s="612">
        <f t="shared" si="565"/>
        <v>0.44</v>
      </c>
      <c r="AA703" s="612">
        <f t="shared" si="565"/>
        <v>0.44</v>
      </c>
      <c r="AB703" s="612">
        <f t="shared" si="565"/>
        <v>0.44</v>
      </c>
      <c r="AC703" s="612">
        <f t="shared" si="565"/>
        <v>0.44</v>
      </c>
      <c r="AD703" s="612">
        <f t="shared" si="565"/>
        <v>0.44</v>
      </c>
      <c r="AE703" s="612">
        <f t="shared" si="565"/>
        <v>0.44</v>
      </c>
      <c r="AF703" s="612">
        <f t="shared" si="565"/>
        <v>0.44</v>
      </c>
      <c r="AH703" s="538"/>
      <c r="AK703" s="531"/>
      <c r="AM703" s="539"/>
      <c r="AN703" s="540"/>
      <c r="AP703" s="540"/>
      <c r="AQ703" s="540"/>
    </row>
    <row r="704" spans="1:43" s="546" customFormat="1" ht="16.5" hidden="1" customHeight="1" outlineLevel="2">
      <c r="A704" s="584"/>
      <c r="B704" s="569" t="s">
        <v>958</v>
      </c>
      <c r="C704" s="581">
        <f>C705*C706</f>
        <v>271.08</v>
      </c>
      <c r="D704" s="581">
        <f t="shared" ref="D704:AF704" si="567">D705*D706</f>
        <v>271.08</v>
      </c>
      <c r="E704" s="581">
        <f t="shared" si="567"/>
        <v>293.67</v>
      </c>
      <c r="F704" s="581">
        <f t="shared" si="567"/>
        <v>293.67</v>
      </c>
      <c r="G704" s="581">
        <f t="shared" si="567"/>
        <v>293.67</v>
      </c>
      <c r="H704" s="581">
        <f t="shared" si="567"/>
        <v>293.67</v>
      </c>
      <c r="I704" s="581">
        <f t="shared" si="567"/>
        <v>293.67</v>
      </c>
      <c r="J704" s="581">
        <f t="shared" si="567"/>
        <v>293.67</v>
      </c>
      <c r="K704" s="581">
        <f t="shared" si="567"/>
        <v>293.67</v>
      </c>
      <c r="L704" s="581">
        <f t="shared" si="567"/>
        <v>316.26</v>
      </c>
      <c r="M704" s="581">
        <f t="shared" si="567"/>
        <v>316.26</v>
      </c>
      <c r="N704" s="581">
        <f t="shared" si="567"/>
        <v>316.26</v>
      </c>
      <c r="O704" s="581">
        <f t="shared" si="567"/>
        <v>316.26</v>
      </c>
      <c r="P704" s="581">
        <f t="shared" si="567"/>
        <v>316.26</v>
      </c>
      <c r="Q704" s="581">
        <f t="shared" si="567"/>
        <v>316.26</v>
      </c>
      <c r="R704" s="581">
        <f t="shared" si="567"/>
        <v>316.26</v>
      </c>
      <c r="S704" s="581">
        <f t="shared" si="567"/>
        <v>338.85</v>
      </c>
      <c r="T704" s="581">
        <f t="shared" si="567"/>
        <v>338.85</v>
      </c>
      <c r="U704" s="581">
        <f t="shared" si="567"/>
        <v>338.85</v>
      </c>
      <c r="V704" s="581">
        <f t="shared" si="567"/>
        <v>338.85</v>
      </c>
      <c r="W704" s="581">
        <f t="shared" si="567"/>
        <v>338.85</v>
      </c>
      <c r="X704" s="581">
        <f t="shared" si="567"/>
        <v>338.85</v>
      </c>
      <c r="Y704" s="581">
        <f t="shared" si="567"/>
        <v>338.85</v>
      </c>
      <c r="Z704" s="581">
        <f t="shared" si="567"/>
        <v>361.44</v>
      </c>
      <c r="AA704" s="581">
        <f t="shared" si="567"/>
        <v>361.44</v>
      </c>
      <c r="AB704" s="581">
        <f t="shared" si="567"/>
        <v>361.44</v>
      </c>
      <c r="AC704" s="581">
        <f t="shared" si="567"/>
        <v>361.44</v>
      </c>
      <c r="AD704" s="581">
        <f t="shared" si="567"/>
        <v>361.44</v>
      </c>
      <c r="AE704" s="581">
        <f t="shared" si="567"/>
        <v>361.44</v>
      </c>
      <c r="AF704" s="581">
        <f t="shared" si="567"/>
        <v>361.44</v>
      </c>
      <c r="AH704" s="571"/>
      <c r="AK704" s="531"/>
      <c r="AM704" s="594"/>
      <c r="AN704" s="535"/>
      <c r="AP704" s="549"/>
      <c r="AQ704" s="549"/>
    </row>
    <row r="705" spans="1:43" s="586" customFormat="1" ht="16.5" hidden="1" customHeight="1" outlineLevel="2">
      <c r="A705" s="584"/>
      <c r="B705" s="585" t="s">
        <v>805</v>
      </c>
      <c r="C705" s="716">
        <v>12</v>
      </c>
      <c r="D705" s="716">
        <v>12</v>
      </c>
      <c r="E705" s="716">
        <v>13</v>
      </c>
      <c r="F705" s="716">
        <v>13</v>
      </c>
      <c r="G705" s="716">
        <v>13</v>
      </c>
      <c r="H705" s="716">
        <v>13</v>
      </c>
      <c r="I705" s="716">
        <v>13</v>
      </c>
      <c r="J705" s="716">
        <v>13</v>
      </c>
      <c r="K705" s="716">
        <v>13</v>
      </c>
      <c r="L705" s="716">
        <v>14</v>
      </c>
      <c r="M705" s="716">
        <v>14</v>
      </c>
      <c r="N705" s="716">
        <v>14</v>
      </c>
      <c r="O705" s="716">
        <v>14</v>
      </c>
      <c r="P705" s="716">
        <v>14</v>
      </c>
      <c r="Q705" s="716">
        <v>14</v>
      </c>
      <c r="R705" s="716">
        <v>14</v>
      </c>
      <c r="S705" s="716">
        <v>15</v>
      </c>
      <c r="T705" s="716">
        <v>15</v>
      </c>
      <c r="U705" s="716">
        <v>15</v>
      </c>
      <c r="V705" s="716">
        <v>15</v>
      </c>
      <c r="W705" s="716">
        <v>15</v>
      </c>
      <c r="X705" s="716">
        <v>15</v>
      </c>
      <c r="Y705" s="716">
        <v>15</v>
      </c>
      <c r="Z705" s="716">
        <v>16</v>
      </c>
      <c r="AA705" s="716">
        <v>16</v>
      </c>
      <c r="AB705" s="716">
        <v>16</v>
      </c>
      <c r="AC705" s="716">
        <v>16</v>
      </c>
      <c r="AD705" s="716">
        <v>16</v>
      </c>
      <c r="AE705" s="716">
        <v>16</v>
      </c>
      <c r="AF705" s="716">
        <v>16</v>
      </c>
      <c r="AH705" s="587"/>
      <c r="AK705" s="591"/>
      <c r="AM705" s="624"/>
      <c r="AN705" s="590"/>
      <c r="AP705" s="591"/>
      <c r="AQ705" s="591"/>
    </row>
    <row r="706" spans="1:43" s="513" customFormat="1" ht="16.5" hidden="1" customHeight="1" outlineLevel="2">
      <c r="A706" s="584"/>
      <c r="B706" s="572" t="s">
        <v>924</v>
      </c>
      <c r="C706" s="605">
        <f>Insumos!$E$59</f>
        <v>22.59</v>
      </c>
      <c r="D706" s="605">
        <f>C706</f>
        <v>22.59</v>
      </c>
      <c r="E706" s="605">
        <f t="shared" ref="E706:AF706" si="568">D706</f>
        <v>22.59</v>
      </c>
      <c r="F706" s="605">
        <f t="shared" si="568"/>
        <v>22.59</v>
      </c>
      <c r="G706" s="605">
        <f t="shared" si="568"/>
        <v>22.59</v>
      </c>
      <c r="H706" s="605">
        <f t="shared" si="568"/>
        <v>22.59</v>
      </c>
      <c r="I706" s="605">
        <f t="shared" si="568"/>
        <v>22.59</v>
      </c>
      <c r="J706" s="605">
        <f t="shared" si="568"/>
        <v>22.59</v>
      </c>
      <c r="K706" s="605">
        <f t="shared" si="568"/>
        <v>22.59</v>
      </c>
      <c r="L706" s="605">
        <f t="shared" si="568"/>
        <v>22.59</v>
      </c>
      <c r="M706" s="605">
        <f t="shared" si="568"/>
        <v>22.59</v>
      </c>
      <c r="N706" s="605">
        <f t="shared" si="568"/>
        <v>22.59</v>
      </c>
      <c r="O706" s="605">
        <f t="shared" si="568"/>
        <v>22.59</v>
      </c>
      <c r="P706" s="605">
        <f t="shared" si="568"/>
        <v>22.59</v>
      </c>
      <c r="Q706" s="605">
        <f t="shared" si="568"/>
        <v>22.59</v>
      </c>
      <c r="R706" s="605">
        <f t="shared" si="568"/>
        <v>22.59</v>
      </c>
      <c r="S706" s="605">
        <f t="shared" si="568"/>
        <v>22.59</v>
      </c>
      <c r="T706" s="605">
        <f t="shared" si="568"/>
        <v>22.59</v>
      </c>
      <c r="U706" s="605">
        <f t="shared" si="568"/>
        <v>22.59</v>
      </c>
      <c r="V706" s="605">
        <f t="shared" si="568"/>
        <v>22.59</v>
      </c>
      <c r="W706" s="605">
        <f t="shared" si="568"/>
        <v>22.59</v>
      </c>
      <c r="X706" s="605">
        <f t="shared" si="568"/>
        <v>22.59</v>
      </c>
      <c r="Y706" s="605">
        <f t="shared" si="568"/>
        <v>22.59</v>
      </c>
      <c r="Z706" s="605">
        <f t="shared" si="568"/>
        <v>22.59</v>
      </c>
      <c r="AA706" s="605">
        <f t="shared" si="568"/>
        <v>22.59</v>
      </c>
      <c r="AB706" s="605">
        <f t="shared" si="568"/>
        <v>22.59</v>
      </c>
      <c r="AC706" s="605">
        <f t="shared" si="568"/>
        <v>22.59</v>
      </c>
      <c r="AD706" s="605">
        <f t="shared" si="568"/>
        <v>22.59</v>
      </c>
      <c r="AE706" s="605">
        <f t="shared" si="568"/>
        <v>22.59</v>
      </c>
      <c r="AF706" s="605">
        <f t="shared" si="568"/>
        <v>22.59</v>
      </c>
      <c r="AH706" s="538"/>
      <c r="AK706" s="531"/>
      <c r="AM706" s="594"/>
      <c r="AN706" s="535"/>
      <c r="AP706" s="540"/>
      <c r="AQ706" s="540"/>
    </row>
    <row r="707" spans="1:43" ht="3" hidden="1" customHeight="1" outlineLevel="2">
      <c r="A707" s="584"/>
      <c r="B707" s="609"/>
      <c r="C707" s="631"/>
      <c r="D707" s="631"/>
      <c r="E707" s="630"/>
      <c r="F707" s="630"/>
      <c r="G707" s="630"/>
      <c r="H707" s="630"/>
      <c r="I707" s="630"/>
      <c r="J707" s="630"/>
      <c r="K707" s="630"/>
      <c r="L707" s="630"/>
      <c r="M707" s="630"/>
      <c r="N707" s="630"/>
      <c r="O707" s="630"/>
      <c r="P707" s="630"/>
      <c r="Q707" s="630"/>
      <c r="R707" s="630"/>
      <c r="S707" s="630"/>
      <c r="T707" s="630"/>
      <c r="U707" s="630"/>
      <c r="V707" s="630"/>
      <c r="W707" s="630"/>
      <c r="X707" s="630"/>
      <c r="Y707" s="630"/>
      <c r="Z707" s="630"/>
      <c r="AA707" s="630"/>
      <c r="AB707" s="630"/>
      <c r="AC707" s="612"/>
      <c r="AD707" s="612"/>
      <c r="AE707" s="612"/>
      <c r="AF707" s="612"/>
      <c r="AH707" s="593"/>
      <c r="AK707" s="531"/>
      <c r="AM707" s="594"/>
      <c r="AN707" s="535"/>
      <c r="AP707" s="535"/>
      <c r="AQ707" s="535"/>
    </row>
    <row r="708" spans="1:43" s="564" customFormat="1" ht="16.5" hidden="1" customHeight="1" outlineLevel="1" collapsed="1">
      <c r="A708" s="584"/>
      <c r="B708" s="576" t="s">
        <v>926</v>
      </c>
      <c r="C708" s="577">
        <f>SUM(C709,C716)*12/10^3</f>
        <v>398.14560000000006</v>
      </c>
      <c r="D708" s="577">
        <f t="shared" ref="D708:AF708" si="569">SUM(D709,D716)*12/10^3</f>
        <v>457.91519999999997</v>
      </c>
      <c r="E708" s="577">
        <f t="shared" si="569"/>
        <v>457.91519999999997</v>
      </c>
      <c r="F708" s="577">
        <f t="shared" si="569"/>
        <v>457.91519999999997</v>
      </c>
      <c r="G708" s="577">
        <f t="shared" si="569"/>
        <v>457.91519999999997</v>
      </c>
      <c r="H708" s="577">
        <f t="shared" si="569"/>
        <v>457.91519999999997</v>
      </c>
      <c r="I708" s="577">
        <f t="shared" si="569"/>
        <v>457.91519999999997</v>
      </c>
      <c r="J708" s="577">
        <f t="shared" si="569"/>
        <v>457.91519999999997</v>
      </c>
      <c r="K708" s="577">
        <f t="shared" si="569"/>
        <v>457.91519999999997</v>
      </c>
      <c r="L708" s="577">
        <f t="shared" si="569"/>
        <v>487.8</v>
      </c>
      <c r="M708" s="577">
        <f t="shared" si="569"/>
        <v>487.8</v>
      </c>
      <c r="N708" s="577">
        <f t="shared" si="569"/>
        <v>487.8</v>
      </c>
      <c r="O708" s="577">
        <f t="shared" si="569"/>
        <v>487.8</v>
      </c>
      <c r="P708" s="577">
        <f t="shared" si="569"/>
        <v>487.8</v>
      </c>
      <c r="Q708" s="577">
        <f t="shared" si="569"/>
        <v>487.8</v>
      </c>
      <c r="R708" s="577">
        <f t="shared" si="569"/>
        <v>487.8</v>
      </c>
      <c r="S708" s="577">
        <f t="shared" si="569"/>
        <v>487.8</v>
      </c>
      <c r="T708" s="577">
        <f t="shared" si="569"/>
        <v>487.8</v>
      </c>
      <c r="U708" s="577">
        <f t="shared" si="569"/>
        <v>517.6848</v>
      </c>
      <c r="V708" s="577">
        <f t="shared" si="569"/>
        <v>517.6848</v>
      </c>
      <c r="W708" s="577">
        <f t="shared" si="569"/>
        <v>517.6848</v>
      </c>
      <c r="X708" s="577">
        <f t="shared" si="569"/>
        <v>517.6848</v>
      </c>
      <c r="Y708" s="577">
        <f t="shared" si="569"/>
        <v>517.6848</v>
      </c>
      <c r="Z708" s="577">
        <f t="shared" si="569"/>
        <v>517.6848</v>
      </c>
      <c r="AA708" s="577">
        <f t="shared" si="569"/>
        <v>517.6848</v>
      </c>
      <c r="AB708" s="577">
        <f t="shared" si="569"/>
        <v>517.6848</v>
      </c>
      <c r="AC708" s="577">
        <f t="shared" si="569"/>
        <v>547.56960000000004</v>
      </c>
      <c r="AD708" s="577">
        <f t="shared" si="569"/>
        <v>547.56960000000004</v>
      </c>
      <c r="AE708" s="577">
        <f t="shared" si="569"/>
        <v>547.56960000000004</v>
      </c>
      <c r="AF708" s="577">
        <f t="shared" si="569"/>
        <v>547.56960000000004</v>
      </c>
      <c r="AH708" s="578">
        <f>SUM(C708:AF708)</f>
        <v>14783.423999999995</v>
      </c>
      <c r="AJ708" s="579"/>
      <c r="AK708" s="531"/>
      <c r="AM708" s="594"/>
      <c r="AN708" s="535"/>
      <c r="AP708" s="568"/>
      <c r="AQ708" s="568"/>
    </row>
    <row r="709" spans="1:43" s="546" customFormat="1" ht="16.5" hidden="1" customHeight="1" outlineLevel="2">
      <c r="A709" s="584"/>
      <c r="B709" s="569" t="s">
        <v>959</v>
      </c>
      <c r="C709" s="581">
        <f>C710*(C711+C713+C714+C715)</f>
        <v>29884.800000000003</v>
      </c>
      <c r="D709" s="581">
        <f t="shared" ref="D709:AF709" si="570">D710*(D711+D713+D714+D715)</f>
        <v>34865.599999999999</v>
      </c>
      <c r="E709" s="581">
        <f t="shared" si="570"/>
        <v>34865.599999999999</v>
      </c>
      <c r="F709" s="581">
        <f t="shared" si="570"/>
        <v>34865.599999999999</v>
      </c>
      <c r="G709" s="581">
        <f t="shared" si="570"/>
        <v>34865.599999999999</v>
      </c>
      <c r="H709" s="581">
        <f t="shared" si="570"/>
        <v>34865.599999999999</v>
      </c>
      <c r="I709" s="581">
        <f t="shared" si="570"/>
        <v>34865.599999999999</v>
      </c>
      <c r="J709" s="581">
        <f t="shared" si="570"/>
        <v>34865.599999999999</v>
      </c>
      <c r="K709" s="581">
        <f t="shared" si="570"/>
        <v>34865.599999999999</v>
      </c>
      <c r="L709" s="581">
        <f t="shared" si="570"/>
        <v>37356</v>
      </c>
      <c r="M709" s="581">
        <f t="shared" si="570"/>
        <v>37356</v>
      </c>
      <c r="N709" s="581">
        <f t="shared" si="570"/>
        <v>37356</v>
      </c>
      <c r="O709" s="581">
        <f t="shared" si="570"/>
        <v>37356</v>
      </c>
      <c r="P709" s="581">
        <f t="shared" si="570"/>
        <v>37356</v>
      </c>
      <c r="Q709" s="581">
        <f t="shared" si="570"/>
        <v>37356</v>
      </c>
      <c r="R709" s="581">
        <f t="shared" si="570"/>
        <v>37356</v>
      </c>
      <c r="S709" s="581">
        <f t="shared" si="570"/>
        <v>37356</v>
      </c>
      <c r="T709" s="581">
        <f t="shared" si="570"/>
        <v>37356</v>
      </c>
      <c r="U709" s="581">
        <f t="shared" si="570"/>
        <v>39846.400000000001</v>
      </c>
      <c r="V709" s="581">
        <f t="shared" si="570"/>
        <v>39846.400000000001</v>
      </c>
      <c r="W709" s="581">
        <f t="shared" si="570"/>
        <v>39846.400000000001</v>
      </c>
      <c r="X709" s="581">
        <f t="shared" si="570"/>
        <v>39846.400000000001</v>
      </c>
      <c r="Y709" s="581">
        <f t="shared" si="570"/>
        <v>39846.400000000001</v>
      </c>
      <c r="Z709" s="581">
        <f t="shared" si="570"/>
        <v>39846.400000000001</v>
      </c>
      <c r="AA709" s="581">
        <f t="shared" si="570"/>
        <v>39846.400000000001</v>
      </c>
      <c r="AB709" s="581">
        <f t="shared" si="570"/>
        <v>39846.400000000001</v>
      </c>
      <c r="AC709" s="581">
        <f t="shared" si="570"/>
        <v>42336.800000000003</v>
      </c>
      <c r="AD709" s="581">
        <f t="shared" si="570"/>
        <v>42336.800000000003</v>
      </c>
      <c r="AE709" s="581">
        <f t="shared" si="570"/>
        <v>42336.800000000003</v>
      </c>
      <c r="AF709" s="581">
        <f t="shared" si="570"/>
        <v>42336.800000000003</v>
      </c>
      <c r="AH709" s="571"/>
      <c r="AK709" s="531"/>
      <c r="AM709" s="594"/>
      <c r="AN709" s="535"/>
      <c r="AP709" s="549"/>
      <c r="AQ709" s="549"/>
    </row>
    <row r="710" spans="1:43" s="513" customFormat="1" ht="16.5" hidden="1" customHeight="1" outlineLevel="2">
      <c r="A710" s="584"/>
      <c r="B710" s="572" t="s">
        <v>805</v>
      </c>
      <c r="C710" s="554">
        <v>12</v>
      </c>
      <c r="D710" s="554">
        <v>14</v>
      </c>
      <c r="E710" s="554">
        <v>14</v>
      </c>
      <c r="F710" s="554">
        <v>14</v>
      </c>
      <c r="G710" s="554">
        <v>14</v>
      </c>
      <c r="H710" s="554">
        <v>14</v>
      </c>
      <c r="I710" s="554">
        <v>14</v>
      </c>
      <c r="J710" s="554">
        <v>14</v>
      </c>
      <c r="K710" s="554">
        <v>14</v>
      </c>
      <c r="L710" s="554">
        <v>15</v>
      </c>
      <c r="M710" s="554">
        <v>15</v>
      </c>
      <c r="N710" s="554">
        <v>15</v>
      </c>
      <c r="O710" s="554">
        <v>15</v>
      </c>
      <c r="P710" s="554">
        <v>15</v>
      </c>
      <c r="Q710" s="554">
        <v>15</v>
      </c>
      <c r="R710" s="554">
        <v>15</v>
      </c>
      <c r="S710" s="554">
        <v>15</v>
      </c>
      <c r="T710" s="554">
        <v>15</v>
      </c>
      <c r="U710" s="554">
        <v>16</v>
      </c>
      <c r="V710" s="554">
        <v>16</v>
      </c>
      <c r="W710" s="554">
        <v>16</v>
      </c>
      <c r="X710" s="554">
        <v>16</v>
      </c>
      <c r="Y710" s="554">
        <v>16</v>
      </c>
      <c r="Z710" s="554">
        <v>16</v>
      </c>
      <c r="AA710" s="554">
        <v>16</v>
      </c>
      <c r="AB710" s="554">
        <v>16</v>
      </c>
      <c r="AC710" s="554">
        <v>17</v>
      </c>
      <c r="AD710" s="554">
        <v>17</v>
      </c>
      <c r="AE710" s="554">
        <v>17</v>
      </c>
      <c r="AF710" s="554">
        <v>17</v>
      </c>
      <c r="AH710" s="538"/>
      <c r="AK710" s="531"/>
      <c r="AM710" s="594"/>
      <c r="AN710" s="535"/>
      <c r="AP710" s="540"/>
      <c r="AQ710" s="540"/>
    </row>
    <row r="711" spans="1:43" s="513" customFormat="1" ht="16.5" hidden="1" customHeight="1" outlineLevel="2">
      <c r="A711" s="584"/>
      <c r="B711" s="572" t="s">
        <v>928</v>
      </c>
      <c r="C711" s="574">
        <f>'Sal._benef.'!$D$27</f>
        <v>1842</v>
      </c>
      <c r="D711" s="574">
        <f t="shared" ref="D711:S715" si="571">C711</f>
        <v>1842</v>
      </c>
      <c r="E711" s="574">
        <f t="shared" si="571"/>
        <v>1842</v>
      </c>
      <c r="F711" s="574">
        <f t="shared" si="571"/>
        <v>1842</v>
      </c>
      <c r="G711" s="574">
        <f t="shared" si="571"/>
        <v>1842</v>
      </c>
      <c r="H711" s="574">
        <f t="shared" si="571"/>
        <v>1842</v>
      </c>
      <c r="I711" s="574">
        <f t="shared" si="571"/>
        <v>1842</v>
      </c>
      <c r="J711" s="574">
        <f t="shared" si="571"/>
        <v>1842</v>
      </c>
      <c r="K711" s="574">
        <f t="shared" si="571"/>
        <v>1842</v>
      </c>
      <c r="L711" s="574">
        <f t="shared" si="571"/>
        <v>1842</v>
      </c>
      <c r="M711" s="574">
        <f t="shared" si="571"/>
        <v>1842</v>
      </c>
      <c r="N711" s="574">
        <f t="shared" si="571"/>
        <v>1842</v>
      </c>
      <c r="O711" s="574">
        <f t="shared" si="571"/>
        <v>1842</v>
      </c>
      <c r="P711" s="574">
        <f t="shared" si="571"/>
        <v>1842</v>
      </c>
      <c r="Q711" s="574">
        <f t="shared" si="571"/>
        <v>1842</v>
      </c>
      <c r="R711" s="574">
        <f t="shared" si="571"/>
        <v>1842</v>
      </c>
      <c r="S711" s="574">
        <f t="shared" si="571"/>
        <v>1842</v>
      </c>
      <c r="T711" s="574">
        <f t="shared" ref="T711:AF715" si="572">S711</f>
        <v>1842</v>
      </c>
      <c r="U711" s="574">
        <f t="shared" si="572"/>
        <v>1842</v>
      </c>
      <c r="V711" s="574">
        <f t="shared" si="572"/>
        <v>1842</v>
      </c>
      <c r="W711" s="574">
        <f t="shared" si="572"/>
        <v>1842</v>
      </c>
      <c r="X711" s="574">
        <f t="shared" si="572"/>
        <v>1842</v>
      </c>
      <c r="Y711" s="574">
        <f t="shared" si="572"/>
        <v>1842</v>
      </c>
      <c r="Z711" s="574">
        <f t="shared" si="572"/>
        <v>1842</v>
      </c>
      <c r="AA711" s="574">
        <f t="shared" si="572"/>
        <v>1842</v>
      </c>
      <c r="AB711" s="574">
        <f t="shared" si="572"/>
        <v>1842</v>
      </c>
      <c r="AC711" s="574">
        <f t="shared" si="572"/>
        <v>1842</v>
      </c>
      <c r="AD711" s="574">
        <f t="shared" si="572"/>
        <v>1842</v>
      </c>
      <c r="AE711" s="574">
        <f t="shared" si="572"/>
        <v>1842</v>
      </c>
      <c r="AF711" s="574">
        <f t="shared" si="572"/>
        <v>1842</v>
      </c>
      <c r="AH711" s="538"/>
      <c r="AK711" s="531"/>
      <c r="AM711" s="594"/>
      <c r="AN711" s="535"/>
      <c r="AP711" s="540"/>
      <c r="AQ711" s="540"/>
    </row>
    <row r="712" spans="1:43" s="513" customFormat="1" ht="16.5" hidden="1" customHeight="1" outlineLevel="2">
      <c r="A712" s="584"/>
      <c r="B712" s="572" t="s">
        <v>929</v>
      </c>
      <c r="C712" s="574">
        <f>'Sal._benef.'!$F$10</f>
        <v>1621</v>
      </c>
      <c r="D712" s="574">
        <f t="shared" si="571"/>
        <v>1621</v>
      </c>
      <c r="E712" s="574">
        <f t="shared" si="571"/>
        <v>1621</v>
      </c>
      <c r="F712" s="574">
        <f t="shared" si="571"/>
        <v>1621</v>
      </c>
      <c r="G712" s="574">
        <f t="shared" si="571"/>
        <v>1621</v>
      </c>
      <c r="H712" s="574">
        <f t="shared" si="571"/>
        <v>1621</v>
      </c>
      <c r="I712" s="574">
        <f t="shared" si="571"/>
        <v>1621</v>
      </c>
      <c r="J712" s="574">
        <f t="shared" si="571"/>
        <v>1621</v>
      </c>
      <c r="K712" s="574">
        <f t="shared" si="571"/>
        <v>1621</v>
      </c>
      <c r="L712" s="574">
        <f t="shared" si="571"/>
        <v>1621</v>
      </c>
      <c r="M712" s="574">
        <f t="shared" si="571"/>
        <v>1621</v>
      </c>
      <c r="N712" s="574">
        <f t="shared" si="571"/>
        <v>1621</v>
      </c>
      <c r="O712" s="574">
        <f t="shared" si="571"/>
        <v>1621</v>
      </c>
      <c r="P712" s="574">
        <f t="shared" si="571"/>
        <v>1621</v>
      </c>
      <c r="Q712" s="574">
        <f t="shared" si="571"/>
        <v>1621</v>
      </c>
      <c r="R712" s="574">
        <f t="shared" si="571"/>
        <v>1621</v>
      </c>
      <c r="S712" s="574">
        <f t="shared" si="571"/>
        <v>1621</v>
      </c>
      <c r="T712" s="574">
        <f t="shared" si="572"/>
        <v>1621</v>
      </c>
      <c r="U712" s="574">
        <f t="shared" si="572"/>
        <v>1621</v>
      </c>
      <c r="V712" s="574">
        <f t="shared" si="572"/>
        <v>1621</v>
      </c>
      <c r="W712" s="574">
        <f t="shared" si="572"/>
        <v>1621</v>
      </c>
      <c r="X712" s="574">
        <f t="shared" si="572"/>
        <v>1621</v>
      </c>
      <c r="Y712" s="574">
        <f t="shared" si="572"/>
        <v>1621</v>
      </c>
      <c r="Z712" s="574">
        <f t="shared" si="572"/>
        <v>1621</v>
      </c>
      <c r="AA712" s="574">
        <f t="shared" si="572"/>
        <v>1621</v>
      </c>
      <c r="AB712" s="574">
        <f t="shared" si="572"/>
        <v>1621</v>
      </c>
      <c r="AC712" s="574">
        <f t="shared" si="572"/>
        <v>1621</v>
      </c>
      <c r="AD712" s="574">
        <f t="shared" si="572"/>
        <v>1621</v>
      </c>
      <c r="AE712" s="574">
        <f t="shared" si="572"/>
        <v>1621</v>
      </c>
      <c r="AF712" s="574">
        <f t="shared" si="572"/>
        <v>1621</v>
      </c>
      <c r="AH712" s="538"/>
      <c r="AK712" s="531"/>
      <c r="AM712" s="594"/>
      <c r="AN712" s="535"/>
      <c r="AP712" s="540"/>
      <c r="AQ712" s="540"/>
    </row>
    <row r="713" spans="1:43" s="513" customFormat="1" ht="16.5" hidden="1" customHeight="1" outlineLevel="2">
      <c r="A713" s="584"/>
      <c r="B713" s="585" t="s">
        <v>1487</v>
      </c>
      <c r="C713" s="574">
        <f>'Sal._benef.'!$F$27*'Sal._benef.'!$F$10</f>
        <v>648.40000000000009</v>
      </c>
      <c r="D713" s="574">
        <f t="shared" si="571"/>
        <v>648.40000000000009</v>
      </c>
      <c r="E713" s="574">
        <f t="shared" si="571"/>
        <v>648.40000000000009</v>
      </c>
      <c r="F713" s="574">
        <f t="shared" si="571"/>
        <v>648.40000000000009</v>
      </c>
      <c r="G713" s="574">
        <f t="shared" si="571"/>
        <v>648.40000000000009</v>
      </c>
      <c r="H713" s="574">
        <f t="shared" si="571"/>
        <v>648.40000000000009</v>
      </c>
      <c r="I713" s="574">
        <f t="shared" si="571"/>
        <v>648.40000000000009</v>
      </c>
      <c r="J713" s="574">
        <f t="shared" si="571"/>
        <v>648.40000000000009</v>
      </c>
      <c r="K713" s="574">
        <f t="shared" si="571"/>
        <v>648.40000000000009</v>
      </c>
      <c r="L713" s="574">
        <f t="shared" si="571"/>
        <v>648.40000000000009</v>
      </c>
      <c r="M713" s="574">
        <f t="shared" si="571"/>
        <v>648.40000000000009</v>
      </c>
      <c r="N713" s="574">
        <f t="shared" si="571"/>
        <v>648.40000000000009</v>
      </c>
      <c r="O713" s="574">
        <f t="shared" si="571"/>
        <v>648.40000000000009</v>
      </c>
      <c r="P713" s="574">
        <f t="shared" si="571"/>
        <v>648.40000000000009</v>
      </c>
      <c r="Q713" s="574">
        <f t="shared" si="571"/>
        <v>648.40000000000009</v>
      </c>
      <c r="R713" s="574">
        <f t="shared" si="571"/>
        <v>648.40000000000009</v>
      </c>
      <c r="S713" s="574">
        <f t="shared" si="571"/>
        <v>648.40000000000009</v>
      </c>
      <c r="T713" s="574">
        <f t="shared" si="572"/>
        <v>648.40000000000009</v>
      </c>
      <c r="U713" s="574">
        <f t="shared" si="572"/>
        <v>648.40000000000009</v>
      </c>
      <c r="V713" s="574">
        <f t="shared" si="572"/>
        <v>648.40000000000009</v>
      </c>
      <c r="W713" s="574">
        <f t="shared" si="572"/>
        <v>648.40000000000009</v>
      </c>
      <c r="X713" s="574">
        <f t="shared" si="572"/>
        <v>648.40000000000009</v>
      </c>
      <c r="Y713" s="574">
        <f t="shared" si="572"/>
        <v>648.40000000000009</v>
      </c>
      <c r="Z713" s="574">
        <f t="shared" si="572"/>
        <v>648.40000000000009</v>
      </c>
      <c r="AA713" s="574">
        <f t="shared" si="572"/>
        <v>648.40000000000009</v>
      </c>
      <c r="AB713" s="574">
        <f t="shared" si="572"/>
        <v>648.40000000000009</v>
      </c>
      <c r="AC713" s="574">
        <f t="shared" si="572"/>
        <v>648.40000000000009</v>
      </c>
      <c r="AD713" s="574">
        <f t="shared" si="572"/>
        <v>648.40000000000009</v>
      </c>
      <c r="AE713" s="574">
        <f t="shared" si="572"/>
        <v>648.40000000000009</v>
      </c>
      <c r="AF713" s="574">
        <f t="shared" si="572"/>
        <v>648.40000000000009</v>
      </c>
      <c r="AH713" s="538"/>
      <c r="AK713" s="531"/>
      <c r="AM713" s="594"/>
      <c r="AN713" s="535"/>
      <c r="AP713" s="540"/>
      <c r="AQ713" s="540"/>
    </row>
    <row r="714" spans="1:43" s="513" customFormat="1" ht="16.5" hidden="1" customHeight="1" outlineLevel="2">
      <c r="A714" s="584"/>
      <c r="B714" s="585" t="s">
        <v>1486</v>
      </c>
      <c r="C714" s="574">
        <v>0</v>
      </c>
      <c r="D714" s="574">
        <f t="shared" si="571"/>
        <v>0</v>
      </c>
      <c r="E714" s="574">
        <f t="shared" si="571"/>
        <v>0</v>
      </c>
      <c r="F714" s="574">
        <f t="shared" si="571"/>
        <v>0</v>
      </c>
      <c r="G714" s="574">
        <f t="shared" si="571"/>
        <v>0</v>
      </c>
      <c r="H714" s="574">
        <f t="shared" si="571"/>
        <v>0</v>
      </c>
      <c r="I714" s="574">
        <f t="shared" si="571"/>
        <v>0</v>
      </c>
      <c r="J714" s="574">
        <f t="shared" si="571"/>
        <v>0</v>
      </c>
      <c r="K714" s="574">
        <f t="shared" si="571"/>
        <v>0</v>
      </c>
      <c r="L714" s="574">
        <f t="shared" si="571"/>
        <v>0</v>
      </c>
      <c r="M714" s="574">
        <f t="shared" si="571"/>
        <v>0</v>
      </c>
      <c r="N714" s="574">
        <f t="shared" si="571"/>
        <v>0</v>
      </c>
      <c r="O714" s="574">
        <f t="shared" si="571"/>
        <v>0</v>
      </c>
      <c r="P714" s="574">
        <f t="shared" si="571"/>
        <v>0</v>
      </c>
      <c r="Q714" s="574">
        <f t="shared" si="571"/>
        <v>0</v>
      </c>
      <c r="R714" s="574">
        <f t="shared" si="571"/>
        <v>0</v>
      </c>
      <c r="S714" s="574">
        <f t="shared" si="571"/>
        <v>0</v>
      </c>
      <c r="T714" s="574">
        <f t="shared" si="572"/>
        <v>0</v>
      </c>
      <c r="U714" s="574">
        <f t="shared" si="572"/>
        <v>0</v>
      </c>
      <c r="V714" s="574">
        <f t="shared" si="572"/>
        <v>0</v>
      </c>
      <c r="W714" s="574">
        <f t="shared" si="572"/>
        <v>0</v>
      </c>
      <c r="X714" s="574">
        <f t="shared" si="572"/>
        <v>0</v>
      </c>
      <c r="Y714" s="574">
        <f t="shared" si="572"/>
        <v>0</v>
      </c>
      <c r="Z714" s="574">
        <f t="shared" si="572"/>
        <v>0</v>
      </c>
      <c r="AA714" s="574">
        <f t="shared" si="572"/>
        <v>0</v>
      </c>
      <c r="AB714" s="574">
        <f t="shared" si="572"/>
        <v>0</v>
      </c>
      <c r="AC714" s="574">
        <f t="shared" si="572"/>
        <v>0</v>
      </c>
      <c r="AD714" s="574">
        <f t="shared" si="572"/>
        <v>0</v>
      </c>
      <c r="AE714" s="574">
        <f t="shared" si="572"/>
        <v>0</v>
      </c>
      <c r="AF714" s="574">
        <f t="shared" si="572"/>
        <v>0</v>
      </c>
      <c r="AH714" s="538"/>
      <c r="AK714" s="531"/>
      <c r="AM714" s="594"/>
      <c r="AN714" s="535"/>
      <c r="AP714" s="540"/>
      <c r="AQ714" s="540"/>
    </row>
    <row r="715" spans="1:43" s="513" customFormat="1" ht="16.5" hidden="1" customHeight="1" outlineLevel="2">
      <c r="A715" s="584"/>
      <c r="B715" s="572" t="s">
        <v>1367</v>
      </c>
      <c r="C715" s="574">
        <v>0</v>
      </c>
      <c r="D715" s="574">
        <f t="shared" si="571"/>
        <v>0</v>
      </c>
      <c r="E715" s="574">
        <f t="shared" si="571"/>
        <v>0</v>
      </c>
      <c r="F715" s="574">
        <f t="shared" si="571"/>
        <v>0</v>
      </c>
      <c r="G715" s="574">
        <f t="shared" si="571"/>
        <v>0</v>
      </c>
      <c r="H715" s="574">
        <f t="shared" si="571"/>
        <v>0</v>
      </c>
      <c r="I715" s="574">
        <f t="shared" si="571"/>
        <v>0</v>
      </c>
      <c r="J715" s="574">
        <f t="shared" si="571"/>
        <v>0</v>
      </c>
      <c r="K715" s="574">
        <f t="shared" si="571"/>
        <v>0</v>
      </c>
      <c r="L715" s="574">
        <f t="shared" si="571"/>
        <v>0</v>
      </c>
      <c r="M715" s="574">
        <f t="shared" si="571"/>
        <v>0</v>
      </c>
      <c r="N715" s="574">
        <f t="shared" si="571"/>
        <v>0</v>
      </c>
      <c r="O715" s="574">
        <f t="shared" si="571"/>
        <v>0</v>
      </c>
      <c r="P715" s="574">
        <f t="shared" si="571"/>
        <v>0</v>
      </c>
      <c r="Q715" s="574">
        <f t="shared" si="571"/>
        <v>0</v>
      </c>
      <c r="R715" s="574">
        <f t="shared" si="571"/>
        <v>0</v>
      </c>
      <c r="S715" s="574">
        <f t="shared" si="571"/>
        <v>0</v>
      </c>
      <c r="T715" s="574">
        <f t="shared" si="572"/>
        <v>0</v>
      </c>
      <c r="U715" s="574">
        <f t="shared" si="572"/>
        <v>0</v>
      </c>
      <c r="V715" s="574">
        <f t="shared" si="572"/>
        <v>0</v>
      </c>
      <c r="W715" s="574">
        <f t="shared" si="572"/>
        <v>0</v>
      </c>
      <c r="X715" s="574">
        <f t="shared" si="572"/>
        <v>0</v>
      </c>
      <c r="Y715" s="574">
        <f t="shared" si="572"/>
        <v>0</v>
      </c>
      <c r="Z715" s="574">
        <f t="shared" si="572"/>
        <v>0</v>
      </c>
      <c r="AA715" s="574">
        <f t="shared" si="572"/>
        <v>0</v>
      </c>
      <c r="AB715" s="574">
        <f t="shared" si="572"/>
        <v>0</v>
      </c>
      <c r="AC715" s="574">
        <f t="shared" si="572"/>
        <v>0</v>
      </c>
      <c r="AD715" s="574">
        <f t="shared" si="572"/>
        <v>0</v>
      </c>
      <c r="AE715" s="574">
        <f t="shared" si="572"/>
        <v>0</v>
      </c>
      <c r="AF715" s="574">
        <f t="shared" si="572"/>
        <v>0</v>
      </c>
      <c r="AH715" s="538"/>
      <c r="AK715" s="531"/>
      <c r="AM715" s="594"/>
      <c r="AN715" s="535"/>
      <c r="AP715" s="540"/>
      <c r="AQ715" s="540"/>
    </row>
    <row r="716" spans="1:43" s="546" customFormat="1" ht="16.5" hidden="1" customHeight="1" outlineLevel="2">
      <c r="A716" s="584"/>
      <c r="B716" s="569" t="s">
        <v>933</v>
      </c>
      <c r="C716" s="581">
        <f>C717*(C718+C720+C721+C722)</f>
        <v>3294</v>
      </c>
      <c r="D716" s="581">
        <f t="shared" ref="D716:AF716" si="573">D717*(D718+D720+D721+D722)</f>
        <v>3294</v>
      </c>
      <c r="E716" s="581">
        <f t="shared" si="573"/>
        <v>3294</v>
      </c>
      <c r="F716" s="581">
        <f t="shared" si="573"/>
        <v>3294</v>
      </c>
      <c r="G716" s="581">
        <f t="shared" si="573"/>
        <v>3294</v>
      </c>
      <c r="H716" s="581">
        <f t="shared" si="573"/>
        <v>3294</v>
      </c>
      <c r="I716" s="581">
        <f t="shared" si="573"/>
        <v>3294</v>
      </c>
      <c r="J716" s="581">
        <f t="shared" si="573"/>
        <v>3294</v>
      </c>
      <c r="K716" s="581">
        <f t="shared" si="573"/>
        <v>3294</v>
      </c>
      <c r="L716" s="581">
        <f t="shared" si="573"/>
        <v>3294</v>
      </c>
      <c r="M716" s="581">
        <f t="shared" si="573"/>
        <v>3294</v>
      </c>
      <c r="N716" s="581">
        <f t="shared" si="573"/>
        <v>3294</v>
      </c>
      <c r="O716" s="581">
        <f t="shared" si="573"/>
        <v>3294</v>
      </c>
      <c r="P716" s="581">
        <f t="shared" si="573"/>
        <v>3294</v>
      </c>
      <c r="Q716" s="581">
        <f t="shared" si="573"/>
        <v>3294</v>
      </c>
      <c r="R716" s="581">
        <f t="shared" si="573"/>
        <v>3294</v>
      </c>
      <c r="S716" s="581">
        <f t="shared" si="573"/>
        <v>3294</v>
      </c>
      <c r="T716" s="581">
        <f t="shared" si="573"/>
        <v>3294</v>
      </c>
      <c r="U716" s="581">
        <f t="shared" si="573"/>
        <v>3294</v>
      </c>
      <c r="V716" s="581">
        <f t="shared" si="573"/>
        <v>3294</v>
      </c>
      <c r="W716" s="581">
        <f t="shared" si="573"/>
        <v>3294</v>
      </c>
      <c r="X716" s="581">
        <f t="shared" si="573"/>
        <v>3294</v>
      </c>
      <c r="Y716" s="581">
        <f t="shared" si="573"/>
        <v>3294</v>
      </c>
      <c r="Z716" s="581">
        <f t="shared" si="573"/>
        <v>3294</v>
      </c>
      <c r="AA716" s="581">
        <f t="shared" si="573"/>
        <v>3294</v>
      </c>
      <c r="AB716" s="581">
        <f t="shared" si="573"/>
        <v>3294</v>
      </c>
      <c r="AC716" s="581">
        <f t="shared" si="573"/>
        <v>3294</v>
      </c>
      <c r="AD716" s="581">
        <f t="shared" si="573"/>
        <v>3294</v>
      </c>
      <c r="AE716" s="581">
        <f t="shared" si="573"/>
        <v>3294</v>
      </c>
      <c r="AF716" s="581">
        <f t="shared" si="573"/>
        <v>3294</v>
      </c>
      <c r="AH716" s="571"/>
      <c r="AK716" s="531"/>
      <c r="AM716" s="594"/>
      <c r="AN716" s="535"/>
      <c r="AP716" s="549"/>
      <c r="AQ716" s="549"/>
    </row>
    <row r="717" spans="1:43" s="513" customFormat="1" ht="16.5" hidden="1" customHeight="1" outlineLevel="2">
      <c r="A717" s="584"/>
      <c r="B717" s="572" t="s">
        <v>805</v>
      </c>
      <c r="C717" s="553">
        <v>1</v>
      </c>
      <c r="D717" s="553">
        <v>1</v>
      </c>
      <c r="E717" s="553">
        <v>1</v>
      </c>
      <c r="F717" s="553">
        <v>1</v>
      </c>
      <c r="G717" s="553">
        <v>1</v>
      </c>
      <c r="H717" s="553">
        <v>1</v>
      </c>
      <c r="I717" s="553">
        <v>1</v>
      </c>
      <c r="J717" s="553">
        <v>1</v>
      </c>
      <c r="K717" s="553">
        <v>1</v>
      </c>
      <c r="L717" s="553">
        <v>1</v>
      </c>
      <c r="M717" s="553">
        <v>1</v>
      </c>
      <c r="N717" s="553">
        <v>1</v>
      </c>
      <c r="O717" s="553">
        <v>1</v>
      </c>
      <c r="P717" s="553">
        <v>1</v>
      </c>
      <c r="Q717" s="553">
        <v>1</v>
      </c>
      <c r="R717" s="553">
        <v>1</v>
      </c>
      <c r="S717" s="553">
        <v>1</v>
      </c>
      <c r="T717" s="553">
        <v>1</v>
      </c>
      <c r="U717" s="553">
        <v>1</v>
      </c>
      <c r="V717" s="553">
        <v>1</v>
      </c>
      <c r="W717" s="553">
        <v>1</v>
      </c>
      <c r="X717" s="553">
        <v>1</v>
      </c>
      <c r="Y717" s="553">
        <v>1</v>
      </c>
      <c r="Z717" s="553">
        <v>1</v>
      </c>
      <c r="AA717" s="553">
        <v>1</v>
      </c>
      <c r="AB717" s="553">
        <v>1</v>
      </c>
      <c r="AC717" s="553">
        <v>1</v>
      </c>
      <c r="AD717" s="553">
        <v>1</v>
      </c>
      <c r="AE717" s="553">
        <v>1</v>
      </c>
      <c r="AF717" s="553">
        <v>1</v>
      </c>
      <c r="AH717" s="538"/>
      <c r="AK717" s="531"/>
      <c r="AM717" s="594"/>
      <c r="AN717" s="535"/>
      <c r="AP717" s="540"/>
      <c r="AQ717" s="540"/>
    </row>
    <row r="718" spans="1:43" s="513" customFormat="1" ht="16.5" hidden="1" customHeight="1" outlineLevel="2">
      <c r="A718" s="584"/>
      <c r="B718" s="572" t="s">
        <v>928</v>
      </c>
      <c r="C718" s="574">
        <f>'Sal._benef.'!$D$22</f>
        <v>2969.8</v>
      </c>
      <c r="D718" s="574">
        <f>C718</f>
        <v>2969.8</v>
      </c>
      <c r="E718" s="574">
        <f t="shared" ref="E718:T722" si="574">D718</f>
        <v>2969.8</v>
      </c>
      <c r="F718" s="574">
        <f t="shared" si="574"/>
        <v>2969.8</v>
      </c>
      <c r="G718" s="574">
        <f t="shared" si="574"/>
        <v>2969.8</v>
      </c>
      <c r="H718" s="574">
        <f t="shared" si="574"/>
        <v>2969.8</v>
      </c>
      <c r="I718" s="574">
        <f t="shared" si="574"/>
        <v>2969.8</v>
      </c>
      <c r="J718" s="574">
        <f t="shared" si="574"/>
        <v>2969.8</v>
      </c>
      <c r="K718" s="574">
        <f t="shared" si="574"/>
        <v>2969.8</v>
      </c>
      <c r="L718" s="574">
        <f t="shared" si="574"/>
        <v>2969.8</v>
      </c>
      <c r="M718" s="574">
        <f t="shared" si="574"/>
        <v>2969.8</v>
      </c>
      <c r="N718" s="574">
        <f t="shared" si="574"/>
        <v>2969.8</v>
      </c>
      <c r="O718" s="574">
        <f t="shared" si="574"/>
        <v>2969.8</v>
      </c>
      <c r="P718" s="574">
        <f t="shared" si="574"/>
        <v>2969.8</v>
      </c>
      <c r="Q718" s="574">
        <f t="shared" si="574"/>
        <v>2969.8</v>
      </c>
      <c r="R718" s="574">
        <f t="shared" si="574"/>
        <v>2969.8</v>
      </c>
      <c r="S718" s="574">
        <f t="shared" si="574"/>
        <v>2969.8</v>
      </c>
      <c r="T718" s="574">
        <f t="shared" si="574"/>
        <v>2969.8</v>
      </c>
      <c r="U718" s="574">
        <f t="shared" ref="U718:AF722" si="575">T718</f>
        <v>2969.8</v>
      </c>
      <c r="V718" s="574">
        <f t="shared" si="575"/>
        <v>2969.8</v>
      </c>
      <c r="W718" s="574">
        <f t="shared" si="575"/>
        <v>2969.8</v>
      </c>
      <c r="X718" s="574">
        <f t="shared" si="575"/>
        <v>2969.8</v>
      </c>
      <c r="Y718" s="574">
        <f t="shared" si="575"/>
        <v>2969.8</v>
      </c>
      <c r="Z718" s="574">
        <f t="shared" si="575"/>
        <v>2969.8</v>
      </c>
      <c r="AA718" s="574">
        <f t="shared" si="575"/>
        <v>2969.8</v>
      </c>
      <c r="AB718" s="574">
        <f t="shared" si="575"/>
        <v>2969.8</v>
      </c>
      <c r="AC718" s="574">
        <f t="shared" si="575"/>
        <v>2969.8</v>
      </c>
      <c r="AD718" s="574">
        <f t="shared" si="575"/>
        <v>2969.8</v>
      </c>
      <c r="AE718" s="574">
        <f t="shared" si="575"/>
        <v>2969.8</v>
      </c>
      <c r="AF718" s="574">
        <f t="shared" si="575"/>
        <v>2969.8</v>
      </c>
      <c r="AH718" s="538"/>
      <c r="AK718" s="531"/>
      <c r="AM718" s="594"/>
      <c r="AN718" s="535"/>
      <c r="AP718" s="540"/>
      <c r="AQ718" s="540"/>
    </row>
    <row r="719" spans="1:43" s="513" customFormat="1" ht="16.5" hidden="1" customHeight="1" outlineLevel="2">
      <c r="A719" s="584"/>
      <c r="B719" s="572" t="s">
        <v>929</v>
      </c>
      <c r="C719" s="574">
        <f>'Sal._benef.'!$F$10</f>
        <v>1621</v>
      </c>
      <c r="D719" s="574">
        <f>C719</f>
        <v>1621</v>
      </c>
      <c r="E719" s="574">
        <f t="shared" si="574"/>
        <v>1621</v>
      </c>
      <c r="F719" s="574">
        <f t="shared" si="574"/>
        <v>1621</v>
      </c>
      <c r="G719" s="574">
        <f t="shared" si="574"/>
        <v>1621</v>
      </c>
      <c r="H719" s="574">
        <f t="shared" si="574"/>
        <v>1621</v>
      </c>
      <c r="I719" s="574">
        <f t="shared" si="574"/>
        <v>1621</v>
      </c>
      <c r="J719" s="574">
        <f t="shared" si="574"/>
        <v>1621</v>
      </c>
      <c r="K719" s="574">
        <f t="shared" si="574"/>
        <v>1621</v>
      </c>
      <c r="L719" s="574">
        <f t="shared" si="574"/>
        <v>1621</v>
      </c>
      <c r="M719" s="574">
        <f t="shared" si="574"/>
        <v>1621</v>
      </c>
      <c r="N719" s="574">
        <f t="shared" si="574"/>
        <v>1621</v>
      </c>
      <c r="O719" s="574">
        <f t="shared" si="574"/>
        <v>1621</v>
      </c>
      <c r="P719" s="574">
        <f t="shared" si="574"/>
        <v>1621</v>
      </c>
      <c r="Q719" s="574">
        <f t="shared" si="574"/>
        <v>1621</v>
      </c>
      <c r="R719" s="574">
        <f t="shared" si="574"/>
        <v>1621</v>
      </c>
      <c r="S719" s="574">
        <f t="shared" si="574"/>
        <v>1621</v>
      </c>
      <c r="T719" s="574">
        <f t="shared" si="574"/>
        <v>1621</v>
      </c>
      <c r="U719" s="574">
        <f t="shared" si="575"/>
        <v>1621</v>
      </c>
      <c r="V719" s="574">
        <f t="shared" si="575"/>
        <v>1621</v>
      </c>
      <c r="W719" s="574">
        <f t="shared" si="575"/>
        <v>1621</v>
      </c>
      <c r="X719" s="574">
        <f t="shared" si="575"/>
        <v>1621</v>
      </c>
      <c r="Y719" s="574">
        <f t="shared" si="575"/>
        <v>1621</v>
      </c>
      <c r="Z719" s="574">
        <f t="shared" si="575"/>
        <v>1621</v>
      </c>
      <c r="AA719" s="574">
        <f t="shared" si="575"/>
        <v>1621</v>
      </c>
      <c r="AB719" s="574">
        <f t="shared" si="575"/>
        <v>1621</v>
      </c>
      <c r="AC719" s="574">
        <f t="shared" si="575"/>
        <v>1621</v>
      </c>
      <c r="AD719" s="574">
        <f t="shared" si="575"/>
        <v>1621</v>
      </c>
      <c r="AE719" s="574">
        <f t="shared" si="575"/>
        <v>1621</v>
      </c>
      <c r="AF719" s="574">
        <f t="shared" si="575"/>
        <v>1621</v>
      </c>
      <c r="AH719" s="538"/>
      <c r="AK719" s="531"/>
      <c r="AM719" s="594"/>
      <c r="AN719" s="535"/>
      <c r="AP719" s="540"/>
      <c r="AQ719" s="540"/>
    </row>
    <row r="720" spans="1:43" s="513" customFormat="1" ht="16.5" hidden="1" customHeight="1" outlineLevel="2">
      <c r="A720" s="584"/>
      <c r="B720" s="585" t="s">
        <v>1487</v>
      </c>
      <c r="C720" s="574">
        <f>'Sal._benef.'!$F$22*'Sal._benef.'!$F$10</f>
        <v>324.20000000000005</v>
      </c>
      <c r="D720" s="574">
        <f>C720</f>
        <v>324.20000000000005</v>
      </c>
      <c r="E720" s="574">
        <f t="shared" si="574"/>
        <v>324.20000000000005</v>
      </c>
      <c r="F720" s="574">
        <f t="shared" si="574"/>
        <v>324.20000000000005</v>
      </c>
      <c r="G720" s="574">
        <f t="shared" si="574"/>
        <v>324.20000000000005</v>
      </c>
      <c r="H720" s="574">
        <f t="shared" si="574"/>
        <v>324.20000000000005</v>
      </c>
      <c r="I720" s="574">
        <f t="shared" si="574"/>
        <v>324.20000000000005</v>
      </c>
      <c r="J720" s="574">
        <f t="shared" si="574"/>
        <v>324.20000000000005</v>
      </c>
      <c r="K720" s="574">
        <f t="shared" si="574"/>
        <v>324.20000000000005</v>
      </c>
      <c r="L720" s="574">
        <f t="shared" si="574"/>
        <v>324.20000000000005</v>
      </c>
      <c r="M720" s="574">
        <f t="shared" si="574"/>
        <v>324.20000000000005</v>
      </c>
      <c r="N720" s="574">
        <f t="shared" si="574"/>
        <v>324.20000000000005</v>
      </c>
      <c r="O720" s="574">
        <f t="shared" si="574"/>
        <v>324.20000000000005</v>
      </c>
      <c r="P720" s="574">
        <f t="shared" si="574"/>
        <v>324.20000000000005</v>
      </c>
      <c r="Q720" s="574">
        <f t="shared" si="574"/>
        <v>324.20000000000005</v>
      </c>
      <c r="R720" s="574">
        <f t="shared" si="574"/>
        <v>324.20000000000005</v>
      </c>
      <c r="S720" s="574">
        <f t="shared" si="574"/>
        <v>324.20000000000005</v>
      </c>
      <c r="T720" s="574">
        <f t="shared" si="574"/>
        <v>324.20000000000005</v>
      </c>
      <c r="U720" s="574">
        <f t="shared" si="575"/>
        <v>324.20000000000005</v>
      </c>
      <c r="V720" s="574">
        <f t="shared" si="575"/>
        <v>324.20000000000005</v>
      </c>
      <c r="W720" s="574">
        <f t="shared" si="575"/>
        <v>324.20000000000005</v>
      </c>
      <c r="X720" s="574">
        <f t="shared" si="575"/>
        <v>324.20000000000005</v>
      </c>
      <c r="Y720" s="574">
        <f t="shared" si="575"/>
        <v>324.20000000000005</v>
      </c>
      <c r="Z720" s="574">
        <f t="shared" si="575"/>
        <v>324.20000000000005</v>
      </c>
      <c r="AA720" s="574">
        <f t="shared" si="575"/>
        <v>324.20000000000005</v>
      </c>
      <c r="AB720" s="574">
        <f t="shared" si="575"/>
        <v>324.20000000000005</v>
      </c>
      <c r="AC720" s="574">
        <f t="shared" si="575"/>
        <v>324.20000000000005</v>
      </c>
      <c r="AD720" s="574">
        <f t="shared" si="575"/>
        <v>324.20000000000005</v>
      </c>
      <c r="AE720" s="574">
        <f t="shared" si="575"/>
        <v>324.20000000000005</v>
      </c>
      <c r="AF720" s="574">
        <f t="shared" si="575"/>
        <v>324.20000000000005</v>
      </c>
      <c r="AH720" s="538"/>
      <c r="AK720" s="531"/>
      <c r="AM720" s="594"/>
      <c r="AN720" s="535"/>
      <c r="AP720" s="540"/>
      <c r="AQ720" s="540"/>
    </row>
    <row r="721" spans="1:43" s="513" customFormat="1" ht="16.5" hidden="1" customHeight="1" outlineLevel="2">
      <c r="A721" s="584"/>
      <c r="B721" s="585" t="s">
        <v>1486</v>
      </c>
      <c r="C721" s="574">
        <v>0</v>
      </c>
      <c r="D721" s="574">
        <f>C721</f>
        <v>0</v>
      </c>
      <c r="E721" s="574">
        <f t="shared" si="574"/>
        <v>0</v>
      </c>
      <c r="F721" s="574">
        <f t="shared" si="574"/>
        <v>0</v>
      </c>
      <c r="G721" s="574">
        <f t="shared" si="574"/>
        <v>0</v>
      </c>
      <c r="H721" s="574">
        <f t="shared" si="574"/>
        <v>0</v>
      </c>
      <c r="I721" s="574">
        <f t="shared" si="574"/>
        <v>0</v>
      </c>
      <c r="J721" s="574">
        <f t="shared" si="574"/>
        <v>0</v>
      </c>
      <c r="K721" s="574">
        <f t="shared" si="574"/>
        <v>0</v>
      </c>
      <c r="L721" s="574">
        <f t="shared" si="574"/>
        <v>0</v>
      </c>
      <c r="M721" s="574">
        <f t="shared" si="574"/>
        <v>0</v>
      </c>
      <c r="N721" s="574">
        <f t="shared" si="574"/>
        <v>0</v>
      </c>
      <c r="O721" s="574">
        <f t="shared" si="574"/>
        <v>0</v>
      </c>
      <c r="P721" s="574">
        <f t="shared" si="574"/>
        <v>0</v>
      </c>
      <c r="Q721" s="574">
        <f t="shared" si="574"/>
        <v>0</v>
      </c>
      <c r="R721" s="574">
        <f t="shared" si="574"/>
        <v>0</v>
      </c>
      <c r="S721" s="574">
        <f t="shared" si="574"/>
        <v>0</v>
      </c>
      <c r="T721" s="574">
        <f t="shared" si="574"/>
        <v>0</v>
      </c>
      <c r="U721" s="574">
        <f t="shared" si="575"/>
        <v>0</v>
      </c>
      <c r="V721" s="574">
        <f t="shared" si="575"/>
        <v>0</v>
      </c>
      <c r="W721" s="574">
        <f t="shared" si="575"/>
        <v>0</v>
      </c>
      <c r="X721" s="574">
        <f t="shared" si="575"/>
        <v>0</v>
      </c>
      <c r="Y721" s="574">
        <f t="shared" si="575"/>
        <v>0</v>
      </c>
      <c r="Z721" s="574">
        <f t="shared" si="575"/>
        <v>0</v>
      </c>
      <c r="AA721" s="574">
        <f t="shared" si="575"/>
        <v>0</v>
      </c>
      <c r="AB721" s="574">
        <f t="shared" si="575"/>
        <v>0</v>
      </c>
      <c r="AC721" s="574">
        <f t="shared" si="575"/>
        <v>0</v>
      </c>
      <c r="AD721" s="574">
        <f t="shared" si="575"/>
        <v>0</v>
      </c>
      <c r="AE721" s="574">
        <f t="shared" si="575"/>
        <v>0</v>
      </c>
      <c r="AF721" s="574">
        <f t="shared" si="575"/>
        <v>0</v>
      </c>
      <c r="AH721" s="538"/>
      <c r="AK721" s="531"/>
      <c r="AM721" s="594"/>
      <c r="AN721" s="535"/>
      <c r="AP721" s="540"/>
      <c r="AQ721" s="540"/>
    </row>
    <row r="722" spans="1:43" s="513" customFormat="1" ht="16.5" hidden="1" customHeight="1" outlineLevel="2">
      <c r="A722" s="584"/>
      <c r="B722" s="572" t="s">
        <v>1367</v>
      </c>
      <c r="C722" s="574">
        <v>0</v>
      </c>
      <c r="D722" s="574">
        <f>C722</f>
        <v>0</v>
      </c>
      <c r="E722" s="574">
        <f t="shared" si="574"/>
        <v>0</v>
      </c>
      <c r="F722" s="574">
        <f t="shared" si="574"/>
        <v>0</v>
      </c>
      <c r="G722" s="574">
        <f t="shared" si="574"/>
        <v>0</v>
      </c>
      <c r="H722" s="574">
        <f t="shared" si="574"/>
        <v>0</v>
      </c>
      <c r="I722" s="574">
        <f t="shared" si="574"/>
        <v>0</v>
      </c>
      <c r="J722" s="574">
        <f t="shared" si="574"/>
        <v>0</v>
      </c>
      <c r="K722" s="574">
        <f t="shared" si="574"/>
        <v>0</v>
      </c>
      <c r="L722" s="574">
        <f t="shared" si="574"/>
        <v>0</v>
      </c>
      <c r="M722" s="574">
        <f t="shared" si="574"/>
        <v>0</v>
      </c>
      <c r="N722" s="574">
        <f t="shared" si="574"/>
        <v>0</v>
      </c>
      <c r="O722" s="574">
        <f t="shared" si="574"/>
        <v>0</v>
      </c>
      <c r="P722" s="574">
        <f t="shared" si="574"/>
        <v>0</v>
      </c>
      <c r="Q722" s="574">
        <f t="shared" si="574"/>
        <v>0</v>
      </c>
      <c r="R722" s="574">
        <f t="shared" si="574"/>
        <v>0</v>
      </c>
      <c r="S722" s="574">
        <f t="shared" si="574"/>
        <v>0</v>
      </c>
      <c r="T722" s="574">
        <f t="shared" si="574"/>
        <v>0</v>
      </c>
      <c r="U722" s="574">
        <f t="shared" si="575"/>
        <v>0</v>
      </c>
      <c r="V722" s="574">
        <f t="shared" si="575"/>
        <v>0</v>
      </c>
      <c r="W722" s="574">
        <f t="shared" si="575"/>
        <v>0</v>
      </c>
      <c r="X722" s="574">
        <f t="shared" si="575"/>
        <v>0</v>
      </c>
      <c r="Y722" s="574">
        <f t="shared" si="575"/>
        <v>0</v>
      </c>
      <c r="Z722" s="574">
        <f t="shared" si="575"/>
        <v>0</v>
      </c>
      <c r="AA722" s="574">
        <f t="shared" si="575"/>
        <v>0</v>
      </c>
      <c r="AB722" s="574">
        <f t="shared" si="575"/>
        <v>0</v>
      </c>
      <c r="AC722" s="574">
        <f t="shared" si="575"/>
        <v>0</v>
      </c>
      <c r="AD722" s="574">
        <f t="shared" si="575"/>
        <v>0</v>
      </c>
      <c r="AE722" s="574">
        <f t="shared" si="575"/>
        <v>0</v>
      </c>
      <c r="AF722" s="574">
        <f t="shared" si="575"/>
        <v>0</v>
      </c>
      <c r="AH722" s="538"/>
      <c r="AK722" s="531"/>
      <c r="AM722" s="594"/>
      <c r="AN722" s="535"/>
      <c r="AP722" s="540"/>
      <c r="AQ722" s="540"/>
    </row>
    <row r="723" spans="1:43" ht="3" hidden="1" customHeight="1" outlineLevel="2">
      <c r="A723" s="584"/>
      <c r="B723" s="609"/>
      <c r="C723" s="611"/>
      <c r="D723" s="611"/>
      <c r="E723" s="610"/>
      <c r="F723" s="610"/>
      <c r="G723" s="610"/>
      <c r="H723" s="610"/>
      <c r="I723" s="610"/>
      <c r="J723" s="610"/>
      <c r="K723" s="610"/>
      <c r="L723" s="610"/>
      <c r="M723" s="610"/>
      <c r="N723" s="610"/>
      <c r="O723" s="610"/>
      <c r="P723" s="610"/>
      <c r="Q723" s="610"/>
      <c r="R723" s="610"/>
      <c r="S723" s="610"/>
      <c r="T723" s="610"/>
      <c r="U723" s="610"/>
      <c r="V723" s="610"/>
      <c r="W723" s="610"/>
      <c r="X723" s="610"/>
      <c r="Y723" s="610"/>
      <c r="Z723" s="610"/>
      <c r="AA723" s="610"/>
      <c r="AB723" s="610"/>
      <c r="AC723" s="610"/>
      <c r="AD723" s="610"/>
      <c r="AE723" s="610"/>
      <c r="AF723" s="610"/>
      <c r="AH723" s="593"/>
      <c r="AK723" s="531"/>
      <c r="AM723" s="594"/>
      <c r="AN723" s="535"/>
      <c r="AP723" s="535"/>
      <c r="AQ723" s="535"/>
    </row>
    <row r="724" spans="1:43" s="564" customFormat="1" ht="16.5" hidden="1" customHeight="1" outlineLevel="1" collapsed="1">
      <c r="A724" s="584"/>
      <c r="B724" s="576" t="s">
        <v>936</v>
      </c>
      <c r="C724" s="577">
        <f>C725</f>
        <v>282.80281968000008</v>
      </c>
      <c r="D724" s="577">
        <f t="shared" ref="D724:AF724" si="576">D725</f>
        <v>325.25716655999997</v>
      </c>
      <c r="E724" s="577">
        <f t="shared" si="576"/>
        <v>325.25716655999997</v>
      </c>
      <c r="F724" s="577">
        <f t="shared" si="576"/>
        <v>325.25716655999997</v>
      </c>
      <c r="G724" s="577">
        <f t="shared" si="576"/>
        <v>325.25716655999997</v>
      </c>
      <c r="H724" s="577">
        <f t="shared" si="576"/>
        <v>325.25716655999997</v>
      </c>
      <c r="I724" s="577">
        <f t="shared" si="576"/>
        <v>325.25716655999997</v>
      </c>
      <c r="J724" s="577">
        <f t="shared" si="576"/>
        <v>325.25716655999997</v>
      </c>
      <c r="K724" s="577">
        <f t="shared" si="576"/>
        <v>325.25716655999997</v>
      </c>
      <c r="L724" s="577">
        <f t="shared" si="576"/>
        <v>346.48434000000003</v>
      </c>
      <c r="M724" s="577">
        <f t="shared" si="576"/>
        <v>346.48434000000003</v>
      </c>
      <c r="N724" s="577">
        <f t="shared" si="576"/>
        <v>346.48434000000003</v>
      </c>
      <c r="O724" s="577">
        <f t="shared" si="576"/>
        <v>346.48434000000003</v>
      </c>
      <c r="P724" s="577">
        <f t="shared" si="576"/>
        <v>346.48434000000003</v>
      </c>
      <c r="Q724" s="577">
        <f t="shared" si="576"/>
        <v>346.48434000000003</v>
      </c>
      <c r="R724" s="577">
        <f t="shared" si="576"/>
        <v>346.48434000000003</v>
      </c>
      <c r="S724" s="577">
        <f t="shared" si="576"/>
        <v>346.48434000000003</v>
      </c>
      <c r="T724" s="577">
        <f t="shared" si="576"/>
        <v>346.48434000000003</v>
      </c>
      <c r="U724" s="577">
        <f t="shared" si="576"/>
        <v>367.71151344000003</v>
      </c>
      <c r="V724" s="577">
        <f t="shared" si="576"/>
        <v>367.71151344000003</v>
      </c>
      <c r="W724" s="577">
        <f t="shared" si="576"/>
        <v>367.71151344000003</v>
      </c>
      <c r="X724" s="577">
        <f t="shared" si="576"/>
        <v>367.71151344000003</v>
      </c>
      <c r="Y724" s="577">
        <f t="shared" si="576"/>
        <v>367.71151344000003</v>
      </c>
      <c r="Z724" s="577">
        <f t="shared" si="576"/>
        <v>367.71151344000003</v>
      </c>
      <c r="AA724" s="577">
        <f t="shared" si="576"/>
        <v>367.71151344000003</v>
      </c>
      <c r="AB724" s="577">
        <f t="shared" si="576"/>
        <v>367.71151344000003</v>
      </c>
      <c r="AC724" s="577">
        <f t="shared" si="576"/>
        <v>388.93868688000003</v>
      </c>
      <c r="AD724" s="577">
        <f t="shared" si="576"/>
        <v>388.93868688000003</v>
      </c>
      <c r="AE724" s="577">
        <f t="shared" si="576"/>
        <v>388.93868688000003</v>
      </c>
      <c r="AF724" s="577">
        <f t="shared" si="576"/>
        <v>388.93868688000003</v>
      </c>
      <c r="AH724" s="578">
        <f>SUM(C724:AF724)</f>
        <v>10500.666067199994</v>
      </c>
      <c r="AJ724" s="579"/>
      <c r="AK724" s="531"/>
      <c r="AM724" s="594"/>
      <c r="AN724" s="535"/>
      <c r="AP724" s="568"/>
      <c r="AQ724" s="568"/>
    </row>
    <row r="725" spans="1:43" s="546" customFormat="1" ht="16.5" hidden="1" customHeight="1" outlineLevel="2">
      <c r="A725" s="584"/>
      <c r="B725" s="569" t="s">
        <v>937</v>
      </c>
      <c r="C725" s="570">
        <f t="shared" ref="C725:AF725" si="577">C708*C726</f>
        <v>282.80281968000008</v>
      </c>
      <c r="D725" s="570">
        <f t="shared" si="577"/>
        <v>325.25716655999997</v>
      </c>
      <c r="E725" s="570">
        <f t="shared" si="577"/>
        <v>325.25716655999997</v>
      </c>
      <c r="F725" s="570">
        <f t="shared" si="577"/>
        <v>325.25716655999997</v>
      </c>
      <c r="G725" s="570">
        <f t="shared" si="577"/>
        <v>325.25716655999997</v>
      </c>
      <c r="H725" s="570">
        <f t="shared" si="577"/>
        <v>325.25716655999997</v>
      </c>
      <c r="I725" s="570">
        <f t="shared" si="577"/>
        <v>325.25716655999997</v>
      </c>
      <c r="J725" s="570">
        <f t="shared" si="577"/>
        <v>325.25716655999997</v>
      </c>
      <c r="K725" s="570">
        <f t="shared" si="577"/>
        <v>325.25716655999997</v>
      </c>
      <c r="L725" s="570">
        <f t="shared" si="577"/>
        <v>346.48434000000003</v>
      </c>
      <c r="M725" s="570">
        <f t="shared" si="577"/>
        <v>346.48434000000003</v>
      </c>
      <c r="N725" s="570">
        <f t="shared" si="577"/>
        <v>346.48434000000003</v>
      </c>
      <c r="O725" s="570">
        <f t="shared" si="577"/>
        <v>346.48434000000003</v>
      </c>
      <c r="P725" s="570">
        <f t="shared" si="577"/>
        <v>346.48434000000003</v>
      </c>
      <c r="Q725" s="570">
        <f t="shared" si="577"/>
        <v>346.48434000000003</v>
      </c>
      <c r="R725" s="570">
        <f t="shared" si="577"/>
        <v>346.48434000000003</v>
      </c>
      <c r="S725" s="570">
        <f t="shared" si="577"/>
        <v>346.48434000000003</v>
      </c>
      <c r="T725" s="570">
        <f t="shared" si="577"/>
        <v>346.48434000000003</v>
      </c>
      <c r="U725" s="570">
        <f t="shared" si="577"/>
        <v>367.71151344000003</v>
      </c>
      <c r="V725" s="570">
        <f t="shared" si="577"/>
        <v>367.71151344000003</v>
      </c>
      <c r="W725" s="570">
        <f t="shared" si="577"/>
        <v>367.71151344000003</v>
      </c>
      <c r="X725" s="570">
        <f t="shared" si="577"/>
        <v>367.71151344000003</v>
      </c>
      <c r="Y725" s="570">
        <f t="shared" si="577"/>
        <v>367.71151344000003</v>
      </c>
      <c r="Z725" s="570">
        <f t="shared" si="577"/>
        <v>367.71151344000003</v>
      </c>
      <c r="AA725" s="570">
        <f t="shared" si="577"/>
        <v>367.71151344000003</v>
      </c>
      <c r="AB725" s="570">
        <f t="shared" si="577"/>
        <v>367.71151344000003</v>
      </c>
      <c r="AC725" s="570">
        <f t="shared" si="577"/>
        <v>388.93868688000003</v>
      </c>
      <c r="AD725" s="570">
        <f t="shared" si="577"/>
        <v>388.93868688000003</v>
      </c>
      <c r="AE725" s="570">
        <f t="shared" si="577"/>
        <v>388.93868688000003</v>
      </c>
      <c r="AF725" s="570">
        <f t="shared" si="577"/>
        <v>388.93868688000003</v>
      </c>
      <c r="AH725" s="571"/>
      <c r="AK725" s="531"/>
      <c r="AM725" s="594"/>
      <c r="AN725" s="535"/>
      <c r="AP725" s="549"/>
      <c r="AQ725" s="549"/>
    </row>
    <row r="726" spans="1:43" s="513" customFormat="1" ht="16.5" hidden="1" customHeight="1" outlineLevel="2">
      <c r="A726" s="584"/>
      <c r="B726" s="572" t="s">
        <v>938</v>
      </c>
      <c r="C726" s="378">
        <f>'Sal._benef.'!$F$11</f>
        <v>0.71030000000000004</v>
      </c>
      <c r="D726" s="378">
        <f>C726</f>
        <v>0.71030000000000004</v>
      </c>
      <c r="E726" s="378">
        <f t="shared" ref="E726:AF726" si="578">D726</f>
        <v>0.71030000000000004</v>
      </c>
      <c r="F726" s="378">
        <f t="shared" si="578"/>
        <v>0.71030000000000004</v>
      </c>
      <c r="G726" s="378">
        <f t="shared" si="578"/>
        <v>0.71030000000000004</v>
      </c>
      <c r="H726" s="378">
        <f t="shared" si="578"/>
        <v>0.71030000000000004</v>
      </c>
      <c r="I726" s="378">
        <f t="shared" si="578"/>
        <v>0.71030000000000004</v>
      </c>
      <c r="J726" s="378">
        <f t="shared" si="578"/>
        <v>0.71030000000000004</v>
      </c>
      <c r="K726" s="378">
        <f t="shared" si="578"/>
        <v>0.71030000000000004</v>
      </c>
      <c r="L726" s="378">
        <f t="shared" si="578"/>
        <v>0.71030000000000004</v>
      </c>
      <c r="M726" s="378">
        <f t="shared" si="578"/>
        <v>0.71030000000000004</v>
      </c>
      <c r="N726" s="378">
        <f t="shared" si="578"/>
        <v>0.71030000000000004</v>
      </c>
      <c r="O726" s="378">
        <f t="shared" si="578"/>
        <v>0.71030000000000004</v>
      </c>
      <c r="P726" s="378">
        <f t="shared" si="578"/>
        <v>0.71030000000000004</v>
      </c>
      <c r="Q726" s="378">
        <f t="shared" si="578"/>
        <v>0.71030000000000004</v>
      </c>
      <c r="R726" s="378">
        <f t="shared" si="578"/>
        <v>0.71030000000000004</v>
      </c>
      <c r="S726" s="378">
        <f t="shared" si="578"/>
        <v>0.71030000000000004</v>
      </c>
      <c r="T726" s="378">
        <f t="shared" si="578"/>
        <v>0.71030000000000004</v>
      </c>
      <c r="U726" s="378">
        <f t="shared" si="578"/>
        <v>0.71030000000000004</v>
      </c>
      <c r="V726" s="378">
        <f t="shared" si="578"/>
        <v>0.71030000000000004</v>
      </c>
      <c r="W726" s="378">
        <f t="shared" si="578"/>
        <v>0.71030000000000004</v>
      </c>
      <c r="X726" s="378">
        <f t="shared" si="578"/>
        <v>0.71030000000000004</v>
      </c>
      <c r="Y726" s="378">
        <f t="shared" si="578"/>
        <v>0.71030000000000004</v>
      </c>
      <c r="Z726" s="378">
        <f t="shared" si="578"/>
        <v>0.71030000000000004</v>
      </c>
      <c r="AA726" s="378">
        <f t="shared" si="578"/>
        <v>0.71030000000000004</v>
      </c>
      <c r="AB726" s="378">
        <f t="shared" si="578"/>
        <v>0.71030000000000004</v>
      </c>
      <c r="AC726" s="378">
        <f t="shared" si="578"/>
        <v>0.71030000000000004</v>
      </c>
      <c r="AD726" s="378">
        <f t="shared" si="578"/>
        <v>0.71030000000000004</v>
      </c>
      <c r="AE726" s="378">
        <f t="shared" si="578"/>
        <v>0.71030000000000004</v>
      </c>
      <c r="AF726" s="378">
        <f t="shared" si="578"/>
        <v>0.71030000000000004</v>
      </c>
      <c r="AH726" s="538"/>
      <c r="AK726" s="531"/>
      <c r="AM726" s="594"/>
      <c r="AN726" s="535"/>
      <c r="AP726" s="540"/>
      <c r="AQ726" s="540"/>
    </row>
    <row r="727" spans="1:43" ht="3" hidden="1" customHeight="1" outlineLevel="2">
      <c r="A727" s="584"/>
      <c r="B727" s="609"/>
      <c r="C727" s="611"/>
      <c r="D727" s="611"/>
      <c r="E727" s="610"/>
      <c r="F727" s="610"/>
      <c r="G727" s="610"/>
      <c r="H727" s="610"/>
      <c r="I727" s="610"/>
      <c r="J727" s="610"/>
      <c r="K727" s="610"/>
      <c r="L727" s="610"/>
      <c r="M727" s="610"/>
      <c r="N727" s="610"/>
      <c r="O727" s="610"/>
      <c r="P727" s="610"/>
      <c r="Q727" s="610"/>
      <c r="R727" s="610"/>
      <c r="S727" s="610"/>
      <c r="T727" s="610"/>
      <c r="U727" s="610"/>
      <c r="V727" s="610"/>
      <c r="W727" s="610"/>
      <c r="X727" s="610"/>
      <c r="Y727" s="610"/>
      <c r="Z727" s="610"/>
      <c r="AA727" s="610"/>
      <c r="AB727" s="610"/>
      <c r="AC727" s="610"/>
      <c r="AD727" s="610"/>
      <c r="AE727" s="610"/>
      <c r="AF727" s="610"/>
      <c r="AH727" s="593"/>
      <c r="AK727" s="531"/>
      <c r="AM727" s="594"/>
      <c r="AN727" s="535"/>
      <c r="AP727" s="535"/>
      <c r="AQ727" s="535"/>
    </row>
    <row r="728" spans="1:43" s="564" customFormat="1" ht="16.5" hidden="1" customHeight="1" outlineLevel="1" collapsed="1">
      <c r="A728" s="584"/>
      <c r="B728" s="576" t="s">
        <v>939</v>
      </c>
      <c r="C728" s="577">
        <f>SUM(C729,C735)*12/10^3</f>
        <v>100.07474400000001</v>
      </c>
      <c r="D728" s="577">
        <f t="shared" ref="D728:AF728" si="579">SUM(D729,D735)*12/10^3</f>
        <v>115.59578399999999</v>
      </c>
      <c r="E728" s="577">
        <f t="shared" si="579"/>
        <v>115.59578399999999</v>
      </c>
      <c r="F728" s="577">
        <f t="shared" si="579"/>
        <v>115.59578399999999</v>
      </c>
      <c r="G728" s="577">
        <f t="shared" si="579"/>
        <v>115.59578399999999</v>
      </c>
      <c r="H728" s="577">
        <f t="shared" si="579"/>
        <v>115.59578399999999</v>
      </c>
      <c r="I728" s="577">
        <f t="shared" si="579"/>
        <v>115.59578399999999</v>
      </c>
      <c r="J728" s="577">
        <f t="shared" si="579"/>
        <v>115.59578399999999</v>
      </c>
      <c r="K728" s="577">
        <f t="shared" si="579"/>
        <v>115.59578399999999</v>
      </c>
      <c r="L728" s="577">
        <f t="shared" si="579"/>
        <v>123.35630400000001</v>
      </c>
      <c r="M728" s="577">
        <f t="shared" si="579"/>
        <v>123.35630400000001</v>
      </c>
      <c r="N728" s="577">
        <f t="shared" si="579"/>
        <v>123.35630400000001</v>
      </c>
      <c r="O728" s="577">
        <f t="shared" si="579"/>
        <v>123.35630400000001</v>
      </c>
      <c r="P728" s="577">
        <f t="shared" si="579"/>
        <v>123.35630400000001</v>
      </c>
      <c r="Q728" s="577">
        <f t="shared" si="579"/>
        <v>123.35630400000001</v>
      </c>
      <c r="R728" s="577">
        <f t="shared" si="579"/>
        <v>123.35630400000001</v>
      </c>
      <c r="S728" s="577">
        <f t="shared" si="579"/>
        <v>123.35630400000001</v>
      </c>
      <c r="T728" s="577">
        <f t="shared" si="579"/>
        <v>123.35630400000001</v>
      </c>
      <c r="U728" s="577">
        <f t="shared" si="579"/>
        <v>131.11682399999998</v>
      </c>
      <c r="V728" s="577">
        <f t="shared" si="579"/>
        <v>131.11682399999998</v>
      </c>
      <c r="W728" s="577">
        <f t="shared" si="579"/>
        <v>131.11682399999998</v>
      </c>
      <c r="X728" s="577">
        <f t="shared" si="579"/>
        <v>131.11682399999998</v>
      </c>
      <c r="Y728" s="577">
        <f t="shared" si="579"/>
        <v>131.11682399999998</v>
      </c>
      <c r="Z728" s="577">
        <f t="shared" si="579"/>
        <v>131.11682399999998</v>
      </c>
      <c r="AA728" s="577">
        <f t="shared" si="579"/>
        <v>131.11682399999998</v>
      </c>
      <c r="AB728" s="577">
        <f t="shared" si="579"/>
        <v>131.11682399999998</v>
      </c>
      <c r="AC728" s="577">
        <f t="shared" si="579"/>
        <v>138.87734399999999</v>
      </c>
      <c r="AD728" s="577">
        <f t="shared" si="579"/>
        <v>138.87734399999999</v>
      </c>
      <c r="AE728" s="577">
        <f t="shared" si="579"/>
        <v>138.87734399999999</v>
      </c>
      <c r="AF728" s="577">
        <f t="shared" si="579"/>
        <v>138.87734399999999</v>
      </c>
      <c r="AH728" s="578">
        <f>SUM(C728:AF728)</f>
        <v>3739.4917200000004</v>
      </c>
      <c r="AJ728" s="579"/>
      <c r="AK728" s="531"/>
      <c r="AM728" s="594"/>
      <c r="AN728" s="535"/>
      <c r="AP728" s="568"/>
      <c r="AQ728" s="568"/>
    </row>
    <row r="729" spans="1:43" s="546" customFormat="1" ht="16.5" hidden="1" customHeight="1" outlineLevel="2">
      <c r="A729" s="584"/>
      <c r="B729" s="613" t="s">
        <v>959</v>
      </c>
      <c r="C729" s="570">
        <f>C730*(C731+C732+C733+C734)</f>
        <v>7760.52</v>
      </c>
      <c r="D729" s="570">
        <f t="shared" ref="D729:AF729" si="580">D730*(D731+D732+D733+D734)</f>
        <v>9053.94</v>
      </c>
      <c r="E729" s="570">
        <f t="shared" si="580"/>
        <v>9053.94</v>
      </c>
      <c r="F729" s="570">
        <f t="shared" si="580"/>
        <v>9053.94</v>
      </c>
      <c r="G729" s="570">
        <f t="shared" si="580"/>
        <v>9053.94</v>
      </c>
      <c r="H729" s="570">
        <f t="shared" si="580"/>
        <v>9053.94</v>
      </c>
      <c r="I729" s="570">
        <f t="shared" si="580"/>
        <v>9053.94</v>
      </c>
      <c r="J729" s="570">
        <f t="shared" si="580"/>
        <v>9053.94</v>
      </c>
      <c r="K729" s="570">
        <f t="shared" si="580"/>
        <v>9053.94</v>
      </c>
      <c r="L729" s="570">
        <f t="shared" si="580"/>
        <v>9700.6500000000015</v>
      </c>
      <c r="M729" s="570">
        <f t="shared" si="580"/>
        <v>9700.6500000000015</v>
      </c>
      <c r="N729" s="570">
        <f t="shared" si="580"/>
        <v>9700.6500000000015</v>
      </c>
      <c r="O729" s="570">
        <f t="shared" si="580"/>
        <v>9700.6500000000015</v>
      </c>
      <c r="P729" s="570">
        <f t="shared" si="580"/>
        <v>9700.6500000000015</v>
      </c>
      <c r="Q729" s="570">
        <f t="shared" si="580"/>
        <v>9700.6500000000015</v>
      </c>
      <c r="R729" s="570">
        <f t="shared" si="580"/>
        <v>9700.6500000000015</v>
      </c>
      <c r="S729" s="570">
        <f t="shared" si="580"/>
        <v>9700.6500000000015</v>
      </c>
      <c r="T729" s="570">
        <f t="shared" si="580"/>
        <v>9700.6500000000015</v>
      </c>
      <c r="U729" s="570">
        <f t="shared" si="580"/>
        <v>10347.36</v>
      </c>
      <c r="V729" s="570">
        <f t="shared" si="580"/>
        <v>10347.36</v>
      </c>
      <c r="W729" s="570">
        <f t="shared" si="580"/>
        <v>10347.36</v>
      </c>
      <c r="X729" s="570">
        <f t="shared" si="580"/>
        <v>10347.36</v>
      </c>
      <c r="Y729" s="570">
        <f t="shared" si="580"/>
        <v>10347.36</v>
      </c>
      <c r="Z729" s="570">
        <f t="shared" si="580"/>
        <v>10347.36</v>
      </c>
      <c r="AA729" s="570">
        <f t="shared" si="580"/>
        <v>10347.36</v>
      </c>
      <c r="AB729" s="570">
        <f t="shared" si="580"/>
        <v>10347.36</v>
      </c>
      <c r="AC729" s="570">
        <f t="shared" si="580"/>
        <v>10994.07</v>
      </c>
      <c r="AD729" s="570">
        <f t="shared" si="580"/>
        <v>10994.07</v>
      </c>
      <c r="AE729" s="570">
        <f t="shared" si="580"/>
        <v>10994.07</v>
      </c>
      <c r="AF729" s="570">
        <f t="shared" si="580"/>
        <v>10994.07</v>
      </c>
      <c r="AH729" s="571"/>
      <c r="AK729" s="531"/>
      <c r="AM729" s="594"/>
      <c r="AN729" s="535"/>
      <c r="AP729" s="549"/>
      <c r="AQ729" s="549"/>
    </row>
    <row r="730" spans="1:43" s="513" customFormat="1" ht="16.5" hidden="1" customHeight="1" outlineLevel="2">
      <c r="A730" s="584"/>
      <c r="B730" s="572" t="s">
        <v>805</v>
      </c>
      <c r="C730" s="592">
        <f t="shared" ref="C730:AF730" si="581">C710</f>
        <v>12</v>
      </c>
      <c r="D730" s="592">
        <f t="shared" si="581"/>
        <v>14</v>
      </c>
      <c r="E730" s="592">
        <f t="shared" si="581"/>
        <v>14</v>
      </c>
      <c r="F730" s="592">
        <f t="shared" si="581"/>
        <v>14</v>
      </c>
      <c r="G730" s="592">
        <f t="shared" si="581"/>
        <v>14</v>
      </c>
      <c r="H730" s="592">
        <f t="shared" si="581"/>
        <v>14</v>
      </c>
      <c r="I730" s="592">
        <f t="shared" si="581"/>
        <v>14</v>
      </c>
      <c r="J730" s="592">
        <f t="shared" si="581"/>
        <v>14</v>
      </c>
      <c r="K730" s="592">
        <f t="shared" si="581"/>
        <v>14</v>
      </c>
      <c r="L730" s="592">
        <f t="shared" si="581"/>
        <v>15</v>
      </c>
      <c r="M730" s="592">
        <f t="shared" si="581"/>
        <v>15</v>
      </c>
      <c r="N730" s="592">
        <f t="shared" si="581"/>
        <v>15</v>
      </c>
      <c r="O730" s="592">
        <f t="shared" si="581"/>
        <v>15</v>
      </c>
      <c r="P730" s="592">
        <f t="shared" si="581"/>
        <v>15</v>
      </c>
      <c r="Q730" s="592">
        <f t="shared" si="581"/>
        <v>15</v>
      </c>
      <c r="R730" s="592">
        <f t="shared" si="581"/>
        <v>15</v>
      </c>
      <c r="S730" s="592">
        <f t="shared" si="581"/>
        <v>15</v>
      </c>
      <c r="T730" s="592">
        <f t="shared" si="581"/>
        <v>15</v>
      </c>
      <c r="U730" s="592">
        <f t="shared" si="581"/>
        <v>16</v>
      </c>
      <c r="V730" s="592">
        <f t="shared" si="581"/>
        <v>16</v>
      </c>
      <c r="W730" s="592">
        <f t="shared" si="581"/>
        <v>16</v>
      </c>
      <c r="X730" s="592">
        <f t="shared" si="581"/>
        <v>16</v>
      </c>
      <c r="Y730" s="592">
        <f t="shared" si="581"/>
        <v>16</v>
      </c>
      <c r="Z730" s="592">
        <f t="shared" si="581"/>
        <v>16</v>
      </c>
      <c r="AA730" s="592">
        <f t="shared" si="581"/>
        <v>16</v>
      </c>
      <c r="AB730" s="592">
        <f t="shared" si="581"/>
        <v>16</v>
      </c>
      <c r="AC730" s="592">
        <f t="shared" si="581"/>
        <v>17</v>
      </c>
      <c r="AD730" s="592">
        <f t="shared" si="581"/>
        <v>17</v>
      </c>
      <c r="AE730" s="592">
        <f t="shared" si="581"/>
        <v>17</v>
      </c>
      <c r="AF730" s="592">
        <f t="shared" si="581"/>
        <v>17</v>
      </c>
      <c r="AH730" s="538"/>
      <c r="AK730" s="531"/>
      <c r="AM730" s="594"/>
      <c r="AN730" s="535"/>
      <c r="AP730" s="540"/>
      <c r="AQ730" s="540"/>
    </row>
    <row r="731" spans="1:43" s="513" customFormat="1" ht="16.5" hidden="1" customHeight="1" outlineLevel="2">
      <c r="A731" s="584"/>
      <c r="B731" s="572" t="s">
        <v>940</v>
      </c>
      <c r="C731" s="592">
        <f>'Sal._benef.'!$I$27</f>
        <v>500</v>
      </c>
      <c r="D731" s="592">
        <f>C731</f>
        <v>500</v>
      </c>
      <c r="E731" s="592">
        <f t="shared" ref="E731:T734" si="582">D731</f>
        <v>500</v>
      </c>
      <c r="F731" s="592">
        <f t="shared" si="582"/>
        <v>500</v>
      </c>
      <c r="G731" s="592">
        <f t="shared" si="582"/>
        <v>500</v>
      </c>
      <c r="H731" s="592">
        <f t="shared" si="582"/>
        <v>500</v>
      </c>
      <c r="I731" s="592">
        <f t="shared" si="582"/>
        <v>500</v>
      </c>
      <c r="J731" s="592">
        <f t="shared" si="582"/>
        <v>500</v>
      </c>
      <c r="K731" s="592">
        <f t="shared" si="582"/>
        <v>500</v>
      </c>
      <c r="L731" s="592">
        <f t="shared" si="582"/>
        <v>500</v>
      </c>
      <c r="M731" s="592">
        <f t="shared" si="582"/>
        <v>500</v>
      </c>
      <c r="N731" s="592">
        <f t="shared" si="582"/>
        <v>500</v>
      </c>
      <c r="O731" s="592">
        <f t="shared" si="582"/>
        <v>500</v>
      </c>
      <c r="P731" s="592">
        <f t="shared" si="582"/>
        <v>500</v>
      </c>
      <c r="Q731" s="592">
        <f t="shared" si="582"/>
        <v>500</v>
      </c>
      <c r="R731" s="592">
        <f t="shared" si="582"/>
        <v>500</v>
      </c>
      <c r="S731" s="592">
        <f t="shared" si="582"/>
        <v>500</v>
      </c>
      <c r="T731" s="592">
        <f t="shared" si="582"/>
        <v>500</v>
      </c>
      <c r="U731" s="592">
        <f t="shared" ref="U731:AF734" si="583">T731</f>
        <v>500</v>
      </c>
      <c r="V731" s="592">
        <f t="shared" si="583"/>
        <v>500</v>
      </c>
      <c r="W731" s="592">
        <f t="shared" si="583"/>
        <v>500</v>
      </c>
      <c r="X731" s="592">
        <f t="shared" si="583"/>
        <v>500</v>
      </c>
      <c r="Y731" s="592">
        <f t="shared" si="583"/>
        <v>500</v>
      </c>
      <c r="Z731" s="592">
        <f t="shared" si="583"/>
        <v>500</v>
      </c>
      <c r="AA731" s="592">
        <f t="shared" si="583"/>
        <v>500</v>
      </c>
      <c r="AB731" s="592">
        <f t="shared" si="583"/>
        <v>500</v>
      </c>
      <c r="AC731" s="592">
        <f t="shared" si="583"/>
        <v>500</v>
      </c>
      <c r="AD731" s="592">
        <f t="shared" si="583"/>
        <v>500</v>
      </c>
      <c r="AE731" s="592">
        <f t="shared" si="583"/>
        <v>500</v>
      </c>
      <c r="AF731" s="592">
        <f t="shared" si="583"/>
        <v>500</v>
      </c>
      <c r="AH731" s="538"/>
      <c r="AK731" s="531"/>
      <c r="AM731" s="594"/>
      <c r="AN731" s="535"/>
      <c r="AP731" s="540"/>
      <c r="AQ731" s="540"/>
    </row>
    <row r="732" spans="1:43" s="513" customFormat="1" ht="16.5" hidden="1" customHeight="1" outlineLevel="2">
      <c r="A732" s="584"/>
      <c r="B732" s="572" t="s">
        <v>941</v>
      </c>
      <c r="C732" s="592">
        <f>'Sal._benef.'!$K$27</f>
        <v>5.53</v>
      </c>
      <c r="D732" s="592">
        <f>C732</f>
        <v>5.53</v>
      </c>
      <c r="E732" s="592">
        <f t="shared" si="582"/>
        <v>5.53</v>
      </c>
      <c r="F732" s="592">
        <f t="shared" si="582"/>
        <v>5.53</v>
      </c>
      <c r="G732" s="592">
        <f t="shared" si="582"/>
        <v>5.53</v>
      </c>
      <c r="H732" s="592">
        <f t="shared" si="582"/>
        <v>5.53</v>
      </c>
      <c r="I732" s="592">
        <f t="shared" si="582"/>
        <v>5.53</v>
      </c>
      <c r="J732" s="592">
        <f t="shared" si="582"/>
        <v>5.53</v>
      </c>
      <c r="K732" s="592">
        <f t="shared" si="582"/>
        <v>5.53</v>
      </c>
      <c r="L732" s="592">
        <f t="shared" si="582"/>
        <v>5.53</v>
      </c>
      <c r="M732" s="592">
        <f t="shared" si="582"/>
        <v>5.53</v>
      </c>
      <c r="N732" s="592">
        <f t="shared" si="582"/>
        <v>5.53</v>
      </c>
      <c r="O732" s="592">
        <f t="shared" si="582"/>
        <v>5.53</v>
      </c>
      <c r="P732" s="592">
        <f t="shared" si="582"/>
        <v>5.53</v>
      </c>
      <c r="Q732" s="592">
        <f t="shared" si="582"/>
        <v>5.53</v>
      </c>
      <c r="R732" s="592">
        <f t="shared" si="582"/>
        <v>5.53</v>
      </c>
      <c r="S732" s="592">
        <f t="shared" si="582"/>
        <v>5.53</v>
      </c>
      <c r="T732" s="592">
        <f t="shared" si="582"/>
        <v>5.53</v>
      </c>
      <c r="U732" s="592">
        <f t="shared" si="583"/>
        <v>5.53</v>
      </c>
      <c r="V732" s="592">
        <f t="shared" si="583"/>
        <v>5.53</v>
      </c>
      <c r="W732" s="592">
        <f t="shared" si="583"/>
        <v>5.53</v>
      </c>
      <c r="X732" s="592">
        <f t="shared" si="583"/>
        <v>5.53</v>
      </c>
      <c r="Y732" s="592">
        <f t="shared" si="583"/>
        <v>5.53</v>
      </c>
      <c r="Z732" s="592">
        <f t="shared" si="583"/>
        <v>5.53</v>
      </c>
      <c r="AA732" s="592">
        <f t="shared" si="583"/>
        <v>5.53</v>
      </c>
      <c r="AB732" s="592">
        <f t="shared" si="583"/>
        <v>5.53</v>
      </c>
      <c r="AC732" s="592">
        <f t="shared" si="583"/>
        <v>5.53</v>
      </c>
      <c r="AD732" s="592">
        <f t="shared" si="583"/>
        <v>5.53</v>
      </c>
      <c r="AE732" s="592">
        <f t="shared" si="583"/>
        <v>5.53</v>
      </c>
      <c r="AF732" s="592">
        <f t="shared" si="583"/>
        <v>5.53</v>
      </c>
      <c r="AH732" s="538"/>
      <c r="AK732" s="531"/>
      <c r="AM732" s="594"/>
      <c r="AN732" s="535"/>
      <c r="AP732" s="540"/>
      <c r="AQ732" s="540"/>
    </row>
    <row r="733" spans="1:43" s="513" customFormat="1" ht="16.5" hidden="1" customHeight="1" outlineLevel="2">
      <c r="A733" s="584"/>
      <c r="B733" s="572" t="s">
        <v>942</v>
      </c>
      <c r="C733" s="592">
        <f>'Sal._benef.'!$J$27</f>
        <v>141.18</v>
      </c>
      <c r="D733" s="592">
        <f>C733</f>
        <v>141.18</v>
      </c>
      <c r="E733" s="592">
        <f t="shared" si="582"/>
        <v>141.18</v>
      </c>
      <c r="F733" s="592">
        <f t="shared" si="582"/>
        <v>141.18</v>
      </c>
      <c r="G733" s="592">
        <f t="shared" si="582"/>
        <v>141.18</v>
      </c>
      <c r="H733" s="592">
        <f t="shared" si="582"/>
        <v>141.18</v>
      </c>
      <c r="I733" s="592">
        <f t="shared" si="582"/>
        <v>141.18</v>
      </c>
      <c r="J733" s="592">
        <f t="shared" si="582"/>
        <v>141.18</v>
      </c>
      <c r="K733" s="592">
        <f t="shared" si="582"/>
        <v>141.18</v>
      </c>
      <c r="L733" s="592">
        <f t="shared" si="582"/>
        <v>141.18</v>
      </c>
      <c r="M733" s="592">
        <f t="shared" si="582"/>
        <v>141.18</v>
      </c>
      <c r="N733" s="592">
        <f t="shared" si="582"/>
        <v>141.18</v>
      </c>
      <c r="O733" s="592">
        <f t="shared" si="582"/>
        <v>141.18</v>
      </c>
      <c r="P733" s="592">
        <f t="shared" si="582"/>
        <v>141.18</v>
      </c>
      <c r="Q733" s="592">
        <f t="shared" si="582"/>
        <v>141.18</v>
      </c>
      <c r="R733" s="592">
        <f t="shared" si="582"/>
        <v>141.18</v>
      </c>
      <c r="S733" s="592">
        <f t="shared" si="582"/>
        <v>141.18</v>
      </c>
      <c r="T733" s="592">
        <f t="shared" si="582"/>
        <v>141.18</v>
      </c>
      <c r="U733" s="592">
        <f t="shared" si="583"/>
        <v>141.18</v>
      </c>
      <c r="V733" s="592">
        <f t="shared" si="583"/>
        <v>141.18</v>
      </c>
      <c r="W733" s="592">
        <f t="shared" si="583"/>
        <v>141.18</v>
      </c>
      <c r="X733" s="592">
        <f t="shared" si="583"/>
        <v>141.18</v>
      </c>
      <c r="Y733" s="592">
        <f t="shared" si="583"/>
        <v>141.18</v>
      </c>
      <c r="Z733" s="592">
        <f t="shared" si="583"/>
        <v>141.18</v>
      </c>
      <c r="AA733" s="592">
        <f t="shared" si="583"/>
        <v>141.18</v>
      </c>
      <c r="AB733" s="592">
        <f t="shared" si="583"/>
        <v>141.18</v>
      </c>
      <c r="AC733" s="592">
        <f t="shared" si="583"/>
        <v>141.18</v>
      </c>
      <c r="AD733" s="592">
        <f t="shared" si="583"/>
        <v>141.18</v>
      </c>
      <c r="AE733" s="592">
        <f t="shared" si="583"/>
        <v>141.18</v>
      </c>
      <c r="AF733" s="592">
        <f t="shared" si="583"/>
        <v>141.18</v>
      </c>
      <c r="AH733" s="538"/>
      <c r="AK733" s="531"/>
      <c r="AM733" s="594"/>
      <c r="AN733" s="535"/>
      <c r="AP733" s="540"/>
      <c r="AQ733" s="540"/>
    </row>
    <row r="734" spans="1:43" s="513" customFormat="1" ht="16.5" hidden="1" customHeight="1" outlineLevel="2">
      <c r="A734" s="584"/>
      <c r="B734" s="572" t="s">
        <v>862</v>
      </c>
      <c r="C734" s="592">
        <v>0</v>
      </c>
      <c r="D734" s="592">
        <f t="shared" ref="D734" si="584">C734</f>
        <v>0</v>
      </c>
      <c r="E734" s="592">
        <f t="shared" si="582"/>
        <v>0</v>
      </c>
      <c r="F734" s="592">
        <f t="shared" si="582"/>
        <v>0</v>
      </c>
      <c r="G734" s="592">
        <f t="shared" si="582"/>
        <v>0</v>
      </c>
      <c r="H734" s="592">
        <f t="shared" si="582"/>
        <v>0</v>
      </c>
      <c r="I734" s="592">
        <f t="shared" si="582"/>
        <v>0</v>
      </c>
      <c r="J734" s="592">
        <f t="shared" si="582"/>
        <v>0</v>
      </c>
      <c r="K734" s="592">
        <f t="shared" si="582"/>
        <v>0</v>
      </c>
      <c r="L734" s="592">
        <f t="shared" si="582"/>
        <v>0</v>
      </c>
      <c r="M734" s="592">
        <f t="shared" si="582"/>
        <v>0</v>
      </c>
      <c r="N734" s="592">
        <f t="shared" si="582"/>
        <v>0</v>
      </c>
      <c r="O734" s="592">
        <f t="shared" si="582"/>
        <v>0</v>
      </c>
      <c r="P734" s="592">
        <f t="shared" si="582"/>
        <v>0</v>
      </c>
      <c r="Q734" s="592">
        <f t="shared" si="582"/>
        <v>0</v>
      </c>
      <c r="R734" s="592">
        <f t="shared" si="582"/>
        <v>0</v>
      </c>
      <c r="S734" s="592">
        <f t="shared" si="582"/>
        <v>0</v>
      </c>
      <c r="T734" s="592">
        <f t="shared" si="582"/>
        <v>0</v>
      </c>
      <c r="U734" s="592">
        <f t="shared" si="583"/>
        <v>0</v>
      </c>
      <c r="V734" s="592">
        <f t="shared" si="583"/>
        <v>0</v>
      </c>
      <c r="W734" s="592">
        <f t="shared" si="583"/>
        <v>0</v>
      </c>
      <c r="X734" s="592">
        <f t="shared" si="583"/>
        <v>0</v>
      </c>
      <c r="Y734" s="592">
        <f t="shared" si="583"/>
        <v>0</v>
      </c>
      <c r="Z734" s="592">
        <f t="shared" si="583"/>
        <v>0</v>
      </c>
      <c r="AA734" s="592">
        <f t="shared" si="583"/>
        <v>0</v>
      </c>
      <c r="AB734" s="592">
        <f t="shared" si="583"/>
        <v>0</v>
      </c>
      <c r="AC734" s="592">
        <f t="shared" si="583"/>
        <v>0</v>
      </c>
      <c r="AD734" s="592">
        <f t="shared" si="583"/>
        <v>0</v>
      </c>
      <c r="AE734" s="592">
        <f t="shared" si="583"/>
        <v>0</v>
      </c>
      <c r="AF734" s="592">
        <f t="shared" si="583"/>
        <v>0</v>
      </c>
      <c r="AH734" s="538"/>
      <c r="AK734" s="531"/>
      <c r="AM734" s="594"/>
      <c r="AN734" s="535"/>
      <c r="AP734" s="540"/>
      <c r="AQ734" s="540"/>
    </row>
    <row r="735" spans="1:43" s="546" customFormat="1" ht="16.5" hidden="1" customHeight="1" outlineLevel="2">
      <c r="A735" s="584"/>
      <c r="B735" s="613" t="s">
        <v>933</v>
      </c>
      <c r="C735" s="570">
        <f>C736*(C737+C738+C739+C740)</f>
        <v>579.04199999999992</v>
      </c>
      <c r="D735" s="570">
        <f t="shared" ref="D735:AF735" si="585">D736*(D737+D738+D739+D740)</f>
        <v>579.04199999999992</v>
      </c>
      <c r="E735" s="570">
        <f t="shared" si="585"/>
        <v>579.04199999999992</v>
      </c>
      <c r="F735" s="570">
        <f t="shared" si="585"/>
        <v>579.04199999999992</v>
      </c>
      <c r="G735" s="570">
        <f t="shared" si="585"/>
        <v>579.04199999999992</v>
      </c>
      <c r="H735" s="570">
        <f t="shared" si="585"/>
        <v>579.04199999999992</v>
      </c>
      <c r="I735" s="570">
        <f t="shared" si="585"/>
        <v>579.04199999999992</v>
      </c>
      <c r="J735" s="570">
        <f t="shared" si="585"/>
        <v>579.04199999999992</v>
      </c>
      <c r="K735" s="570">
        <f t="shared" si="585"/>
        <v>579.04199999999992</v>
      </c>
      <c r="L735" s="570">
        <f t="shared" si="585"/>
        <v>579.04199999999992</v>
      </c>
      <c r="M735" s="570">
        <f t="shared" si="585"/>
        <v>579.04199999999992</v>
      </c>
      <c r="N735" s="570">
        <f t="shared" si="585"/>
        <v>579.04199999999992</v>
      </c>
      <c r="O735" s="570">
        <f t="shared" si="585"/>
        <v>579.04199999999992</v>
      </c>
      <c r="P735" s="570">
        <f t="shared" si="585"/>
        <v>579.04199999999992</v>
      </c>
      <c r="Q735" s="570">
        <f t="shared" si="585"/>
        <v>579.04199999999992</v>
      </c>
      <c r="R735" s="570">
        <f t="shared" si="585"/>
        <v>579.04199999999992</v>
      </c>
      <c r="S735" s="570">
        <f t="shared" si="585"/>
        <v>579.04199999999992</v>
      </c>
      <c r="T735" s="570">
        <f t="shared" si="585"/>
        <v>579.04199999999992</v>
      </c>
      <c r="U735" s="570">
        <f t="shared" si="585"/>
        <v>579.04199999999992</v>
      </c>
      <c r="V735" s="570">
        <f t="shared" si="585"/>
        <v>579.04199999999992</v>
      </c>
      <c r="W735" s="570">
        <f t="shared" si="585"/>
        <v>579.04199999999992</v>
      </c>
      <c r="X735" s="570">
        <f t="shared" si="585"/>
        <v>579.04199999999992</v>
      </c>
      <c r="Y735" s="570">
        <f t="shared" si="585"/>
        <v>579.04199999999992</v>
      </c>
      <c r="Z735" s="570">
        <f t="shared" si="585"/>
        <v>579.04199999999992</v>
      </c>
      <c r="AA735" s="570">
        <f t="shared" si="585"/>
        <v>579.04199999999992</v>
      </c>
      <c r="AB735" s="570">
        <f t="shared" si="585"/>
        <v>579.04199999999992</v>
      </c>
      <c r="AC735" s="570">
        <f t="shared" si="585"/>
        <v>579.04199999999992</v>
      </c>
      <c r="AD735" s="570">
        <f t="shared" si="585"/>
        <v>579.04199999999992</v>
      </c>
      <c r="AE735" s="570">
        <f t="shared" si="585"/>
        <v>579.04199999999992</v>
      </c>
      <c r="AF735" s="570">
        <f t="shared" si="585"/>
        <v>579.04199999999992</v>
      </c>
      <c r="AH735" s="571"/>
      <c r="AK735" s="531"/>
      <c r="AM735" s="594"/>
      <c r="AN735" s="535"/>
      <c r="AP735" s="549"/>
      <c r="AQ735" s="549"/>
    </row>
    <row r="736" spans="1:43" s="513" customFormat="1" ht="16.5" hidden="1" customHeight="1" outlineLevel="2">
      <c r="A736" s="584"/>
      <c r="B736" s="572" t="s">
        <v>805</v>
      </c>
      <c r="C736" s="592">
        <f t="shared" ref="C736:AF736" si="586">C717</f>
        <v>1</v>
      </c>
      <c r="D736" s="592">
        <f t="shared" si="586"/>
        <v>1</v>
      </c>
      <c r="E736" s="592">
        <f t="shared" si="586"/>
        <v>1</v>
      </c>
      <c r="F736" s="592">
        <f t="shared" si="586"/>
        <v>1</v>
      </c>
      <c r="G736" s="592">
        <f t="shared" si="586"/>
        <v>1</v>
      </c>
      <c r="H736" s="592">
        <f t="shared" si="586"/>
        <v>1</v>
      </c>
      <c r="I736" s="592">
        <f t="shared" si="586"/>
        <v>1</v>
      </c>
      <c r="J736" s="592">
        <f t="shared" si="586"/>
        <v>1</v>
      </c>
      <c r="K736" s="592">
        <f t="shared" si="586"/>
        <v>1</v>
      </c>
      <c r="L736" s="592">
        <f t="shared" si="586"/>
        <v>1</v>
      </c>
      <c r="M736" s="592">
        <f t="shared" si="586"/>
        <v>1</v>
      </c>
      <c r="N736" s="592">
        <f t="shared" si="586"/>
        <v>1</v>
      </c>
      <c r="O736" s="592">
        <f t="shared" si="586"/>
        <v>1</v>
      </c>
      <c r="P736" s="592">
        <f t="shared" si="586"/>
        <v>1</v>
      </c>
      <c r="Q736" s="592">
        <f t="shared" si="586"/>
        <v>1</v>
      </c>
      <c r="R736" s="592">
        <f t="shared" si="586"/>
        <v>1</v>
      </c>
      <c r="S736" s="592">
        <f t="shared" si="586"/>
        <v>1</v>
      </c>
      <c r="T736" s="592">
        <f t="shared" si="586"/>
        <v>1</v>
      </c>
      <c r="U736" s="592">
        <f t="shared" si="586"/>
        <v>1</v>
      </c>
      <c r="V736" s="592">
        <f t="shared" si="586"/>
        <v>1</v>
      </c>
      <c r="W736" s="592">
        <f t="shared" si="586"/>
        <v>1</v>
      </c>
      <c r="X736" s="592">
        <f t="shared" si="586"/>
        <v>1</v>
      </c>
      <c r="Y736" s="592">
        <f t="shared" si="586"/>
        <v>1</v>
      </c>
      <c r="Z736" s="592">
        <f t="shared" si="586"/>
        <v>1</v>
      </c>
      <c r="AA736" s="592">
        <f t="shared" si="586"/>
        <v>1</v>
      </c>
      <c r="AB736" s="592">
        <f t="shared" si="586"/>
        <v>1</v>
      </c>
      <c r="AC736" s="592">
        <f t="shared" si="586"/>
        <v>1</v>
      </c>
      <c r="AD736" s="592">
        <f t="shared" si="586"/>
        <v>1</v>
      </c>
      <c r="AE736" s="592">
        <f t="shared" si="586"/>
        <v>1</v>
      </c>
      <c r="AF736" s="592">
        <f t="shared" si="586"/>
        <v>1</v>
      </c>
      <c r="AH736" s="538"/>
      <c r="AK736" s="531"/>
      <c r="AM736" s="594"/>
      <c r="AN736" s="535"/>
      <c r="AP736" s="540"/>
      <c r="AQ736" s="540"/>
    </row>
    <row r="737" spans="1:43" s="513" customFormat="1" ht="16.5" hidden="1" customHeight="1" outlineLevel="2">
      <c r="A737" s="584"/>
      <c r="B737" s="572" t="s">
        <v>940</v>
      </c>
      <c r="C737" s="592">
        <f>'Sal._benef.'!$I$22</f>
        <v>500</v>
      </c>
      <c r="D737" s="592">
        <f>C737</f>
        <v>500</v>
      </c>
      <c r="E737" s="592">
        <f t="shared" ref="E737:T740" si="587">D737</f>
        <v>500</v>
      </c>
      <c r="F737" s="592">
        <f t="shared" si="587"/>
        <v>500</v>
      </c>
      <c r="G737" s="592">
        <f t="shared" si="587"/>
        <v>500</v>
      </c>
      <c r="H737" s="592">
        <f t="shared" si="587"/>
        <v>500</v>
      </c>
      <c r="I737" s="592">
        <f t="shared" si="587"/>
        <v>500</v>
      </c>
      <c r="J737" s="592">
        <f t="shared" si="587"/>
        <v>500</v>
      </c>
      <c r="K737" s="592">
        <f t="shared" si="587"/>
        <v>500</v>
      </c>
      <c r="L737" s="592">
        <f t="shared" si="587"/>
        <v>500</v>
      </c>
      <c r="M737" s="592">
        <f t="shared" si="587"/>
        <v>500</v>
      </c>
      <c r="N737" s="592">
        <f t="shared" si="587"/>
        <v>500</v>
      </c>
      <c r="O737" s="592">
        <f t="shared" si="587"/>
        <v>500</v>
      </c>
      <c r="P737" s="592">
        <f t="shared" si="587"/>
        <v>500</v>
      </c>
      <c r="Q737" s="592">
        <f t="shared" si="587"/>
        <v>500</v>
      </c>
      <c r="R737" s="592">
        <f t="shared" si="587"/>
        <v>500</v>
      </c>
      <c r="S737" s="592">
        <f t="shared" si="587"/>
        <v>500</v>
      </c>
      <c r="T737" s="592">
        <f t="shared" si="587"/>
        <v>500</v>
      </c>
      <c r="U737" s="592">
        <f t="shared" ref="U737:AF740" si="588">T737</f>
        <v>500</v>
      </c>
      <c r="V737" s="592">
        <f t="shared" si="588"/>
        <v>500</v>
      </c>
      <c r="W737" s="592">
        <f t="shared" si="588"/>
        <v>500</v>
      </c>
      <c r="X737" s="592">
        <f t="shared" si="588"/>
        <v>500</v>
      </c>
      <c r="Y737" s="592">
        <f t="shared" si="588"/>
        <v>500</v>
      </c>
      <c r="Z737" s="592">
        <f t="shared" si="588"/>
        <v>500</v>
      </c>
      <c r="AA737" s="592">
        <f t="shared" si="588"/>
        <v>500</v>
      </c>
      <c r="AB737" s="592">
        <f t="shared" si="588"/>
        <v>500</v>
      </c>
      <c r="AC737" s="592">
        <f t="shared" si="588"/>
        <v>500</v>
      </c>
      <c r="AD737" s="592">
        <f t="shared" si="588"/>
        <v>500</v>
      </c>
      <c r="AE737" s="592">
        <f t="shared" si="588"/>
        <v>500</v>
      </c>
      <c r="AF737" s="592">
        <f t="shared" si="588"/>
        <v>500</v>
      </c>
      <c r="AH737" s="538"/>
      <c r="AK737" s="531"/>
      <c r="AM737" s="594"/>
      <c r="AN737" s="535"/>
      <c r="AP737" s="540"/>
      <c r="AQ737" s="540"/>
    </row>
    <row r="738" spans="1:43" s="513" customFormat="1" ht="16.5" hidden="1" customHeight="1" outlineLevel="2">
      <c r="A738" s="584"/>
      <c r="B738" s="572" t="s">
        <v>941</v>
      </c>
      <c r="C738" s="592">
        <f>'Sal._benef.'!$K$22</f>
        <v>5.53</v>
      </c>
      <c r="D738" s="592">
        <f>C738</f>
        <v>5.53</v>
      </c>
      <c r="E738" s="592">
        <f t="shared" si="587"/>
        <v>5.53</v>
      </c>
      <c r="F738" s="592">
        <f t="shared" si="587"/>
        <v>5.53</v>
      </c>
      <c r="G738" s="592">
        <f t="shared" si="587"/>
        <v>5.53</v>
      </c>
      <c r="H738" s="592">
        <f t="shared" si="587"/>
        <v>5.53</v>
      </c>
      <c r="I738" s="592">
        <f t="shared" si="587"/>
        <v>5.53</v>
      </c>
      <c r="J738" s="592">
        <f t="shared" si="587"/>
        <v>5.53</v>
      </c>
      <c r="K738" s="592">
        <f t="shared" si="587"/>
        <v>5.53</v>
      </c>
      <c r="L738" s="592">
        <f t="shared" si="587"/>
        <v>5.53</v>
      </c>
      <c r="M738" s="592">
        <f t="shared" si="587"/>
        <v>5.53</v>
      </c>
      <c r="N738" s="592">
        <f t="shared" si="587"/>
        <v>5.53</v>
      </c>
      <c r="O738" s="592">
        <f t="shared" si="587"/>
        <v>5.53</v>
      </c>
      <c r="P738" s="592">
        <f t="shared" si="587"/>
        <v>5.53</v>
      </c>
      <c r="Q738" s="592">
        <f t="shared" si="587"/>
        <v>5.53</v>
      </c>
      <c r="R738" s="592">
        <f t="shared" si="587"/>
        <v>5.53</v>
      </c>
      <c r="S738" s="592">
        <f t="shared" si="587"/>
        <v>5.53</v>
      </c>
      <c r="T738" s="592">
        <f t="shared" si="587"/>
        <v>5.53</v>
      </c>
      <c r="U738" s="592">
        <f t="shared" si="588"/>
        <v>5.53</v>
      </c>
      <c r="V738" s="592">
        <f t="shared" si="588"/>
        <v>5.53</v>
      </c>
      <c r="W738" s="592">
        <f t="shared" si="588"/>
        <v>5.53</v>
      </c>
      <c r="X738" s="592">
        <f t="shared" si="588"/>
        <v>5.53</v>
      </c>
      <c r="Y738" s="592">
        <f t="shared" si="588"/>
        <v>5.53</v>
      </c>
      <c r="Z738" s="592">
        <f t="shared" si="588"/>
        <v>5.53</v>
      </c>
      <c r="AA738" s="592">
        <f t="shared" si="588"/>
        <v>5.53</v>
      </c>
      <c r="AB738" s="592">
        <f t="shared" si="588"/>
        <v>5.53</v>
      </c>
      <c r="AC738" s="592">
        <f t="shared" si="588"/>
        <v>5.53</v>
      </c>
      <c r="AD738" s="592">
        <f t="shared" si="588"/>
        <v>5.53</v>
      </c>
      <c r="AE738" s="592">
        <f t="shared" si="588"/>
        <v>5.53</v>
      </c>
      <c r="AF738" s="592">
        <f t="shared" si="588"/>
        <v>5.53</v>
      </c>
      <c r="AH738" s="538"/>
      <c r="AK738" s="531"/>
      <c r="AM738" s="594"/>
      <c r="AN738" s="535"/>
      <c r="AP738" s="540"/>
      <c r="AQ738" s="540"/>
    </row>
    <row r="739" spans="1:43" s="513" customFormat="1" ht="16.5" hidden="1" customHeight="1" outlineLevel="2">
      <c r="A739" s="584"/>
      <c r="B739" s="572" t="s">
        <v>942</v>
      </c>
      <c r="C739" s="592">
        <f>'Sal._benef.'!$J$22</f>
        <v>73.512</v>
      </c>
      <c r="D739" s="592">
        <f>C739</f>
        <v>73.512</v>
      </c>
      <c r="E739" s="592">
        <f t="shared" si="587"/>
        <v>73.512</v>
      </c>
      <c r="F739" s="592">
        <f t="shared" si="587"/>
        <v>73.512</v>
      </c>
      <c r="G739" s="592">
        <f t="shared" si="587"/>
        <v>73.512</v>
      </c>
      <c r="H739" s="592">
        <f t="shared" si="587"/>
        <v>73.512</v>
      </c>
      <c r="I739" s="592">
        <f t="shared" si="587"/>
        <v>73.512</v>
      </c>
      <c r="J739" s="592">
        <f t="shared" si="587"/>
        <v>73.512</v>
      </c>
      <c r="K739" s="592">
        <f t="shared" si="587"/>
        <v>73.512</v>
      </c>
      <c r="L739" s="592">
        <f t="shared" si="587"/>
        <v>73.512</v>
      </c>
      <c r="M739" s="592">
        <f t="shared" si="587"/>
        <v>73.512</v>
      </c>
      <c r="N739" s="592">
        <f t="shared" si="587"/>
        <v>73.512</v>
      </c>
      <c r="O739" s="592">
        <f t="shared" si="587"/>
        <v>73.512</v>
      </c>
      <c r="P739" s="592">
        <f t="shared" si="587"/>
        <v>73.512</v>
      </c>
      <c r="Q739" s="592">
        <f t="shared" si="587"/>
        <v>73.512</v>
      </c>
      <c r="R739" s="592">
        <f t="shared" si="587"/>
        <v>73.512</v>
      </c>
      <c r="S739" s="592">
        <f t="shared" si="587"/>
        <v>73.512</v>
      </c>
      <c r="T739" s="592">
        <f t="shared" si="587"/>
        <v>73.512</v>
      </c>
      <c r="U739" s="592">
        <f t="shared" si="588"/>
        <v>73.512</v>
      </c>
      <c r="V739" s="592">
        <f t="shared" si="588"/>
        <v>73.512</v>
      </c>
      <c r="W739" s="592">
        <f t="shared" si="588"/>
        <v>73.512</v>
      </c>
      <c r="X739" s="592">
        <f t="shared" si="588"/>
        <v>73.512</v>
      </c>
      <c r="Y739" s="592">
        <f t="shared" si="588"/>
        <v>73.512</v>
      </c>
      <c r="Z739" s="592">
        <f t="shared" si="588"/>
        <v>73.512</v>
      </c>
      <c r="AA739" s="592">
        <f t="shared" si="588"/>
        <v>73.512</v>
      </c>
      <c r="AB739" s="592">
        <f t="shared" si="588"/>
        <v>73.512</v>
      </c>
      <c r="AC739" s="592">
        <f t="shared" si="588"/>
        <v>73.512</v>
      </c>
      <c r="AD739" s="592">
        <f t="shared" si="588"/>
        <v>73.512</v>
      </c>
      <c r="AE739" s="592">
        <f t="shared" si="588"/>
        <v>73.512</v>
      </c>
      <c r="AF739" s="592">
        <f t="shared" si="588"/>
        <v>73.512</v>
      </c>
      <c r="AH739" s="538"/>
      <c r="AK739" s="531"/>
      <c r="AM739" s="594"/>
      <c r="AN739" s="535"/>
      <c r="AP739" s="540"/>
      <c r="AQ739" s="540"/>
    </row>
    <row r="740" spans="1:43" s="513" customFormat="1" ht="16.5" hidden="1" customHeight="1" outlineLevel="2">
      <c r="A740" s="584"/>
      <c r="B740" s="572" t="s">
        <v>862</v>
      </c>
      <c r="C740" s="592">
        <v>0</v>
      </c>
      <c r="D740" s="592">
        <f t="shared" ref="D740" si="589">C740</f>
        <v>0</v>
      </c>
      <c r="E740" s="592">
        <f t="shared" si="587"/>
        <v>0</v>
      </c>
      <c r="F740" s="592">
        <f t="shared" si="587"/>
        <v>0</v>
      </c>
      <c r="G740" s="592">
        <f t="shared" si="587"/>
        <v>0</v>
      </c>
      <c r="H740" s="592">
        <f t="shared" si="587"/>
        <v>0</v>
      </c>
      <c r="I740" s="592">
        <f t="shared" si="587"/>
        <v>0</v>
      </c>
      <c r="J740" s="592">
        <f t="shared" si="587"/>
        <v>0</v>
      </c>
      <c r="K740" s="592">
        <f t="shared" si="587"/>
        <v>0</v>
      </c>
      <c r="L740" s="592">
        <f t="shared" si="587"/>
        <v>0</v>
      </c>
      <c r="M740" s="592">
        <f t="shared" si="587"/>
        <v>0</v>
      </c>
      <c r="N740" s="592">
        <f t="shared" si="587"/>
        <v>0</v>
      </c>
      <c r="O740" s="592">
        <f t="shared" si="587"/>
        <v>0</v>
      </c>
      <c r="P740" s="592">
        <f t="shared" si="587"/>
        <v>0</v>
      </c>
      <c r="Q740" s="592">
        <f t="shared" si="587"/>
        <v>0</v>
      </c>
      <c r="R740" s="592">
        <f t="shared" si="587"/>
        <v>0</v>
      </c>
      <c r="S740" s="592">
        <f t="shared" si="587"/>
        <v>0</v>
      </c>
      <c r="T740" s="592">
        <f t="shared" si="587"/>
        <v>0</v>
      </c>
      <c r="U740" s="592">
        <f t="shared" si="588"/>
        <v>0</v>
      </c>
      <c r="V740" s="592">
        <f t="shared" si="588"/>
        <v>0</v>
      </c>
      <c r="W740" s="592">
        <f t="shared" si="588"/>
        <v>0</v>
      </c>
      <c r="X740" s="592">
        <f t="shared" si="588"/>
        <v>0</v>
      </c>
      <c r="Y740" s="592">
        <f t="shared" si="588"/>
        <v>0</v>
      </c>
      <c r="Z740" s="592">
        <f t="shared" si="588"/>
        <v>0</v>
      </c>
      <c r="AA740" s="592">
        <f t="shared" si="588"/>
        <v>0</v>
      </c>
      <c r="AB740" s="592">
        <f t="shared" si="588"/>
        <v>0</v>
      </c>
      <c r="AC740" s="592">
        <f t="shared" si="588"/>
        <v>0</v>
      </c>
      <c r="AD740" s="592">
        <f t="shared" si="588"/>
        <v>0</v>
      </c>
      <c r="AE740" s="592">
        <f t="shared" si="588"/>
        <v>0</v>
      </c>
      <c r="AF740" s="592">
        <f t="shared" si="588"/>
        <v>0</v>
      </c>
      <c r="AH740" s="538"/>
      <c r="AK740" s="531"/>
      <c r="AM740" s="594"/>
      <c r="AN740" s="535"/>
      <c r="AP740" s="540"/>
      <c r="AQ740" s="540"/>
    </row>
    <row r="741" spans="1:43" ht="3" hidden="1" customHeight="1" outlineLevel="2">
      <c r="A741" s="584"/>
      <c r="B741" s="609"/>
      <c r="C741" s="611"/>
      <c r="D741" s="611"/>
      <c r="E741" s="610"/>
      <c r="F741" s="610"/>
      <c r="G741" s="610"/>
      <c r="H741" s="610"/>
      <c r="I741" s="610"/>
      <c r="J741" s="610"/>
      <c r="K741" s="610"/>
      <c r="L741" s="610"/>
      <c r="M741" s="610"/>
      <c r="N741" s="610"/>
      <c r="O741" s="610"/>
      <c r="P741" s="610"/>
      <c r="Q741" s="610"/>
      <c r="R741" s="610"/>
      <c r="S741" s="610"/>
      <c r="T741" s="610"/>
      <c r="U741" s="610"/>
      <c r="V741" s="610"/>
      <c r="W741" s="610"/>
      <c r="X741" s="610"/>
      <c r="Y741" s="610"/>
      <c r="Z741" s="610"/>
      <c r="AA741" s="610"/>
      <c r="AB741" s="610"/>
      <c r="AC741" s="610"/>
      <c r="AD741" s="610"/>
      <c r="AE741" s="610"/>
      <c r="AF741" s="610"/>
      <c r="AH741" s="593"/>
      <c r="AK741" s="531"/>
      <c r="AM741" s="594"/>
      <c r="AN741" s="535"/>
      <c r="AP741" s="535"/>
      <c r="AQ741" s="535"/>
    </row>
    <row r="742" spans="1:43" s="564" customFormat="1" ht="16.5" hidden="1" customHeight="1" outlineLevel="1" collapsed="1">
      <c r="A742" s="584"/>
      <c r="B742" s="576" t="s">
        <v>943</v>
      </c>
      <c r="C742" s="577">
        <f>SUM(C743,C746)/10^3</f>
        <v>41.790179999999992</v>
      </c>
      <c r="D742" s="577">
        <f t="shared" ref="D742:AF742" si="590">SUM(D743,D746)/10^3</f>
        <v>48.299139999999994</v>
      </c>
      <c r="E742" s="577">
        <f t="shared" si="590"/>
        <v>48.299139999999994</v>
      </c>
      <c r="F742" s="577">
        <f t="shared" si="590"/>
        <v>48.299139999999994</v>
      </c>
      <c r="G742" s="577">
        <f t="shared" si="590"/>
        <v>48.299139999999994</v>
      </c>
      <c r="H742" s="577">
        <f t="shared" si="590"/>
        <v>48.299139999999994</v>
      </c>
      <c r="I742" s="577">
        <f t="shared" si="590"/>
        <v>48.299139999999994</v>
      </c>
      <c r="J742" s="577">
        <f t="shared" si="590"/>
        <v>48.299139999999994</v>
      </c>
      <c r="K742" s="577">
        <f t="shared" si="590"/>
        <v>48.299139999999994</v>
      </c>
      <c r="L742" s="577">
        <f t="shared" si="590"/>
        <v>51.553619999999995</v>
      </c>
      <c r="M742" s="577">
        <f t="shared" si="590"/>
        <v>51.553619999999995</v>
      </c>
      <c r="N742" s="577">
        <f t="shared" si="590"/>
        <v>51.553619999999995</v>
      </c>
      <c r="O742" s="577">
        <f t="shared" si="590"/>
        <v>51.553619999999995</v>
      </c>
      <c r="P742" s="577">
        <f t="shared" si="590"/>
        <v>51.553619999999995</v>
      </c>
      <c r="Q742" s="577">
        <f t="shared" si="590"/>
        <v>51.553619999999995</v>
      </c>
      <c r="R742" s="577">
        <f t="shared" si="590"/>
        <v>51.553619999999995</v>
      </c>
      <c r="S742" s="577">
        <f t="shared" si="590"/>
        <v>51.553619999999995</v>
      </c>
      <c r="T742" s="577">
        <f t="shared" si="590"/>
        <v>51.553619999999995</v>
      </c>
      <c r="U742" s="577">
        <f t="shared" si="590"/>
        <v>54.808099999999989</v>
      </c>
      <c r="V742" s="577">
        <f t="shared" si="590"/>
        <v>54.808099999999989</v>
      </c>
      <c r="W742" s="577">
        <f t="shared" si="590"/>
        <v>54.808099999999989</v>
      </c>
      <c r="X742" s="577">
        <f t="shared" si="590"/>
        <v>54.808099999999989</v>
      </c>
      <c r="Y742" s="577">
        <f t="shared" si="590"/>
        <v>54.808099999999989</v>
      </c>
      <c r="Z742" s="577">
        <f t="shared" si="590"/>
        <v>54.808099999999989</v>
      </c>
      <c r="AA742" s="577">
        <f t="shared" si="590"/>
        <v>54.808099999999989</v>
      </c>
      <c r="AB742" s="577">
        <f t="shared" si="590"/>
        <v>54.808099999999989</v>
      </c>
      <c r="AC742" s="577">
        <f t="shared" si="590"/>
        <v>58.06257999999999</v>
      </c>
      <c r="AD742" s="577">
        <f t="shared" si="590"/>
        <v>58.06257999999999</v>
      </c>
      <c r="AE742" s="577">
        <f t="shared" si="590"/>
        <v>58.06257999999999</v>
      </c>
      <c r="AF742" s="577">
        <f t="shared" si="590"/>
        <v>58.06257999999999</v>
      </c>
      <c r="AH742" s="578">
        <f>SUM(C742:AF742)</f>
        <v>1562.8810000000001</v>
      </c>
      <c r="AJ742" s="579"/>
      <c r="AK742" s="531"/>
      <c r="AM742" s="594"/>
      <c r="AN742" s="535"/>
      <c r="AP742" s="568"/>
      <c r="AQ742" s="568"/>
    </row>
    <row r="743" spans="1:43" s="546" customFormat="1" ht="16.5" hidden="1" customHeight="1" outlineLevel="2">
      <c r="A743" s="584"/>
      <c r="B743" s="613" t="s">
        <v>960</v>
      </c>
      <c r="C743" s="570">
        <f>C744*C745</f>
        <v>39053.759999999995</v>
      </c>
      <c r="D743" s="570">
        <f t="shared" ref="D743:AF743" si="591">D744*D745</f>
        <v>45562.719999999994</v>
      </c>
      <c r="E743" s="570">
        <f t="shared" si="591"/>
        <v>45562.719999999994</v>
      </c>
      <c r="F743" s="570">
        <f t="shared" si="591"/>
        <v>45562.719999999994</v>
      </c>
      <c r="G743" s="570">
        <f t="shared" si="591"/>
        <v>45562.719999999994</v>
      </c>
      <c r="H743" s="570">
        <f t="shared" si="591"/>
        <v>45562.719999999994</v>
      </c>
      <c r="I743" s="570">
        <f t="shared" si="591"/>
        <v>45562.719999999994</v>
      </c>
      <c r="J743" s="570">
        <f t="shared" si="591"/>
        <v>45562.719999999994</v>
      </c>
      <c r="K743" s="570">
        <f t="shared" si="591"/>
        <v>45562.719999999994</v>
      </c>
      <c r="L743" s="570">
        <f t="shared" si="591"/>
        <v>48817.2</v>
      </c>
      <c r="M743" s="570">
        <f t="shared" si="591"/>
        <v>48817.2</v>
      </c>
      <c r="N743" s="570">
        <f t="shared" si="591"/>
        <v>48817.2</v>
      </c>
      <c r="O743" s="570">
        <f t="shared" si="591"/>
        <v>48817.2</v>
      </c>
      <c r="P743" s="570">
        <f t="shared" si="591"/>
        <v>48817.2</v>
      </c>
      <c r="Q743" s="570">
        <f t="shared" si="591"/>
        <v>48817.2</v>
      </c>
      <c r="R743" s="570">
        <f t="shared" si="591"/>
        <v>48817.2</v>
      </c>
      <c r="S743" s="570">
        <f t="shared" si="591"/>
        <v>48817.2</v>
      </c>
      <c r="T743" s="570">
        <f t="shared" si="591"/>
        <v>48817.2</v>
      </c>
      <c r="U743" s="570">
        <f t="shared" si="591"/>
        <v>52071.679999999993</v>
      </c>
      <c r="V743" s="570">
        <f t="shared" si="591"/>
        <v>52071.679999999993</v>
      </c>
      <c r="W743" s="570">
        <f t="shared" si="591"/>
        <v>52071.679999999993</v>
      </c>
      <c r="X743" s="570">
        <f t="shared" si="591"/>
        <v>52071.679999999993</v>
      </c>
      <c r="Y743" s="570">
        <f t="shared" si="591"/>
        <v>52071.679999999993</v>
      </c>
      <c r="Z743" s="570">
        <f t="shared" si="591"/>
        <v>52071.679999999993</v>
      </c>
      <c r="AA743" s="570">
        <f t="shared" si="591"/>
        <v>52071.679999999993</v>
      </c>
      <c r="AB743" s="570">
        <f t="shared" si="591"/>
        <v>52071.679999999993</v>
      </c>
      <c r="AC743" s="570">
        <f t="shared" si="591"/>
        <v>55326.159999999989</v>
      </c>
      <c r="AD743" s="570">
        <f t="shared" si="591"/>
        <v>55326.159999999989</v>
      </c>
      <c r="AE743" s="570">
        <f t="shared" si="591"/>
        <v>55326.159999999989</v>
      </c>
      <c r="AF743" s="570">
        <f t="shared" si="591"/>
        <v>55326.159999999989</v>
      </c>
      <c r="AH743" s="571"/>
      <c r="AK743" s="531"/>
      <c r="AM743" s="594"/>
      <c r="AN743" s="535"/>
      <c r="AP743" s="549"/>
      <c r="AQ743" s="549"/>
    </row>
    <row r="744" spans="1:43" s="513" customFormat="1" ht="16.5" hidden="1" customHeight="1" outlineLevel="2">
      <c r="A744" s="584"/>
      <c r="B744" s="572" t="s">
        <v>805</v>
      </c>
      <c r="C744" s="592">
        <f t="shared" ref="C744:AF744" si="592">C710</f>
        <v>12</v>
      </c>
      <c r="D744" s="592">
        <f t="shared" si="592"/>
        <v>14</v>
      </c>
      <c r="E744" s="592">
        <f t="shared" si="592"/>
        <v>14</v>
      </c>
      <c r="F744" s="592">
        <f t="shared" si="592"/>
        <v>14</v>
      </c>
      <c r="G744" s="592">
        <f t="shared" si="592"/>
        <v>14</v>
      </c>
      <c r="H744" s="592">
        <f t="shared" si="592"/>
        <v>14</v>
      </c>
      <c r="I744" s="592">
        <f t="shared" si="592"/>
        <v>14</v>
      </c>
      <c r="J744" s="592">
        <f t="shared" si="592"/>
        <v>14</v>
      </c>
      <c r="K744" s="592">
        <f t="shared" si="592"/>
        <v>14</v>
      </c>
      <c r="L744" s="592">
        <f t="shared" si="592"/>
        <v>15</v>
      </c>
      <c r="M744" s="592">
        <f t="shared" si="592"/>
        <v>15</v>
      </c>
      <c r="N744" s="592">
        <f t="shared" si="592"/>
        <v>15</v>
      </c>
      <c r="O744" s="592">
        <f t="shared" si="592"/>
        <v>15</v>
      </c>
      <c r="P744" s="592">
        <f t="shared" si="592"/>
        <v>15</v>
      </c>
      <c r="Q744" s="592">
        <f t="shared" si="592"/>
        <v>15</v>
      </c>
      <c r="R744" s="592">
        <f t="shared" si="592"/>
        <v>15</v>
      </c>
      <c r="S744" s="592">
        <f t="shared" si="592"/>
        <v>15</v>
      </c>
      <c r="T744" s="592">
        <f t="shared" si="592"/>
        <v>15</v>
      </c>
      <c r="U744" s="592">
        <f t="shared" si="592"/>
        <v>16</v>
      </c>
      <c r="V744" s="592">
        <f t="shared" si="592"/>
        <v>16</v>
      </c>
      <c r="W744" s="592">
        <f t="shared" si="592"/>
        <v>16</v>
      </c>
      <c r="X744" s="592">
        <f t="shared" si="592"/>
        <v>16</v>
      </c>
      <c r="Y744" s="592">
        <f t="shared" si="592"/>
        <v>16</v>
      </c>
      <c r="Z744" s="592">
        <f t="shared" si="592"/>
        <v>16</v>
      </c>
      <c r="AA744" s="592">
        <f t="shared" si="592"/>
        <v>16</v>
      </c>
      <c r="AB744" s="592">
        <f t="shared" si="592"/>
        <v>16</v>
      </c>
      <c r="AC744" s="592">
        <f t="shared" si="592"/>
        <v>17</v>
      </c>
      <c r="AD744" s="592">
        <f t="shared" si="592"/>
        <v>17</v>
      </c>
      <c r="AE744" s="592">
        <f t="shared" si="592"/>
        <v>17</v>
      </c>
      <c r="AF744" s="592">
        <f t="shared" si="592"/>
        <v>17</v>
      </c>
      <c r="AH744" s="538"/>
      <c r="AK744" s="531"/>
      <c r="AM744" s="594"/>
      <c r="AN744" s="535"/>
      <c r="AP744" s="540"/>
      <c r="AQ744" s="540"/>
    </row>
    <row r="745" spans="1:43" s="513" customFormat="1" ht="16.5" hidden="1" customHeight="1" outlineLevel="2">
      <c r="A745" s="584"/>
      <c r="B745" s="572" t="s">
        <v>888</v>
      </c>
      <c r="C745" s="592">
        <f>EPIs_unif.!$D$21+EPIs_unif.!$D$47</f>
        <v>3254.4799999999996</v>
      </c>
      <c r="D745" s="592">
        <f>C745</f>
        <v>3254.4799999999996</v>
      </c>
      <c r="E745" s="592">
        <f t="shared" ref="E745:AF745" si="593">D745</f>
        <v>3254.4799999999996</v>
      </c>
      <c r="F745" s="592">
        <f t="shared" si="593"/>
        <v>3254.4799999999996</v>
      </c>
      <c r="G745" s="592">
        <f t="shared" si="593"/>
        <v>3254.4799999999996</v>
      </c>
      <c r="H745" s="592">
        <f t="shared" si="593"/>
        <v>3254.4799999999996</v>
      </c>
      <c r="I745" s="592">
        <f t="shared" si="593"/>
        <v>3254.4799999999996</v>
      </c>
      <c r="J745" s="592">
        <f t="shared" si="593"/>
        <v>3254.4799999999996</v>
      </c>
      <c r="K745" s="592">
        <f t="shared" si="593"/>
        <v>3254.4799999999996</v>
      </c>
      <c r="L745" s="592">
        <f t="shared" si="593"/>
        <v>3254.4799999999996</v>
      </c>
      <c r="M745" s="592">
        <f t="shared" si="593"/>
        <v>3254.4799999999996</v>
      </c>
      <c r="N745" s="592">
        <f t="shared" si="593"/>
        <v>3254.4799999999996</v>
      </c>
      <c r="O745" s="592">
        <f t="shared" si="593"/>
        <v>3254.4799999999996</v>
      </c>
      <c r="P745" s="592">
        <f t="shared" si="593"/>
        <v>3254.4799999999996</v>
      </c>
      <c r="Q745" s="592">
        <f t="shared" si="593"/>
        <v>3254.4799999999996</v>
      </c>
      <c r="R745" s="592">
        <f t="shared" si="593"/>
        <v>3254.4799999999996</v>
      </c>
      <c r="S745" s="592">
        <f t="shared" si="593"/>
        <v>3254.4799999999996</v>
      </c>
      <c r="T745" s="592">
        <f t="shared" si="593"/>
        <v>3254.4799999999996</v>
      </c>
      <c r="U745" s="592">
        <f t="shared" si="593"/>
        <v>3254.4799999999996</v>
      </c>
      <c r="V745" s="592">
        <f t="shared" si="593"/>
        <v>3254.4799999999996</v>
      </c>
      <c r="W745" s="592">
        <f t="shared" si="593"/>
        <v>3254.4799999999996</v>
      </c>
      <c r="X745" s="592">
        <f t="shared" si="593"/>
        <v>3254.4799999999996</v>
      </c>
      <c r="Y745" s="592">
        <f t="shared" si="593"/>
        <v>3254.4799999999996</v>
      </c>
      <c r="Z745" s="592">
        <f t="shared" si="593"/>
        <v>3254.4799999999996</v>
      </c>
      <c r="AA745" s="592">
        <f t="shared" si="593"/>
        <v>3254.4799999999996</v>
      </c>
      <c r="AB745" s="592">
        <f t="shared" si="593"/>
        <v>3254.4799999999996</v>
      </c>
      <c r="AC745" s="592">
        <f t="shared" si="593"/>
        <v>3254.4799999999996</v>
      </c>
      <c r="AD745" s="592">
        <f t="shared" si="593"/>
        <v>3254.4799999999996</v>
      </c>
      <c r="AE745" s="592">
        <f t="shared" si="593"/>
        <v>3254.4799999999996</v>
      </c>
      <c r="AF745" s="592">
        <f t="shared" si="593"/>
        <v>3254.4799999999996</v>
      </c>
      <c r="AH745" s="538"/>
      <c r="AK745" s="531"/>
      <c r="AM745" s="594"/>
      <c r="AN745" s="535"/>
      <c r="AP745" s="540"/>
      <c r="AQ745" s="540"/>
    </row>
    <row r="746" spans="1:43" s="546" customFormat="1" ht="16.5" hidden="1" customHeight="1" outlineLevel="2">
      <c r="A746" s="584"/>
      <c r="B746" s="613" t="s">
        <v>944</v>
      </c>
      <c r="C746" s="570">
        <f>C747*C748</f>
        <v>2736.42</v>
      </c>
      <c r="D746" s="570">
        <f t="shared" ref="D746:AF746" si="594">D747*D748</f>
        <v>2736.42</v>
      </c>
      <c r="E746" s="570">
        <f t="shared" si="594"/>
        <v>2736.42</v>
      </c>
      <c r="F746" s="570">
        <f t="shared" si="594"/>
        <v>2736.42</v>
      </c>
      <c r="G746" s="570">
        <f t="shared" si="594"/>
        <v>2736.42</v>
      </c>
      <c r="H746" s="570">
        <f t="shared" si="594"/>
        <v>2736.42</v>
      </c>
      <c r="I746" s="570">
        <f t="shared" si="594"/>
        <v>2736.42</v>
      </c>
      <c r="J746" s="570">
        <f t="shared" si="594"/>
        <v>2736.42</v>
      </c>
      <c r="K746" s="570">
        <f t="shared" si="594"/>
        <v>2736.42</v>
      </c>
      <c r="L746" s="570">
        <f t="shared" si="594"/>
        <v>2736.42</v>
      </c>
      <c r="M746" s="570">
        <f t="shared" si="594"/>
        <v>2736.42</v>
      </c>
      <c r="N746" s="570">
        <f t="shared" si="594"/>
        <v>2736.42</v>
      </c>
      <c r="O746" s="570">
        <f t="shared" si="594"/>
        <v>2736.42</v>
      </c>
      <c r="P746" s="570">
        <f t="shared" si="594"/>
        <v>2736.42</v>
      </c>
      <c r="Q746" s="570">
        <f t="shared" si="594"/>
        <v>2736.42</v>
      </c>
      <c r="R746" s="570">
        <f t="shared" si="594"/>
        <v>2736.42</v>
      </c>
      <c r="S746" s="570">
        <f t="shared" si="594"/>
        <v>2736.42</v>
      </c>
      <c r="T746" s="570">
        <f t="shared" si="594"/>
        <v>2736.42</v>
      </c>
      <c r="U746" s="570">
        <f t="shared" si="594"/>
        <v>2736.42</v>
      </c>
      <c r="V746" s="570">
        <f t="shared" si="594"/>
        <v>2736.42</v>
      </c>
      <c r="W746" s="570">
        <f t="shared" si="594"/>
        <v>2736.42</v>
      </c>
      <c r="X746" s="570">
        <f t="shared" si="594"/>
        <v>2736.42</v>
      </c>
      <c r="Y746" s="570">
        <f t="shared" si="594"/>
        <v>2736.42</v>
      </c>
      <c r="Z746" s="570">
        <f t="shared" si="594"/>
        <v>2736.42</v>
      </c>
      <c r="AA746" s="570">
        <f t="shared" si="594"/>
        <v>2736.42</v>
      </c>
      <c r="AB746" s="570">
        <f t="shared" si="594"/>
        <v>2736.42</v>
      </c>
      <c r="AC746" s="570">
        <f t="shared" si="594"/>
        <v>2736.42</v>
      </c>
      <c r="AD746" s="570">
        <f t="shared" si="594"/>
        <v>2736.42</v>
      </c>
      <c r="AE746" s="570">
        <f t="shared" si="594"/>
        <v>2736.42</v>
      </c>
      <c r="AF746" s="570">
        <f t="shared" si="594"/>
        <v>2736.42</v>
      </c>
      <c r="AH746" s="571"/>
      <c r="AK746" s="531"/>
      <c r="AM746" s="594"/>
      <c r="AN746" s="535"/>
      <c r="AP746" s="549"/>
      <c r="AQ746" s="549"/>
    </row>
    <row r="747" spans="1:43" s="513" customFormat="1" ht="16.5" hidden="1" customHeight="1" outlineLevel="2">
      <c r="A747" s="584"/>
      <c r="B747" s="572" t="s">
        <v>805</v>
      </c>
      <c r="C747" s="592">
        <f t="shared" ref="C747:AF747" si="595">C717</f>
        <v>1</v>
      </c>
      <c r="D747" s="592">
        <f t="shared" si="595"/>
        <v>1</v>
      </c>
      <c r="E747" s="592">
        <f t="shared" si="595"/>
        <v>1</v>
      </c>
      <c r="F747" s="592">
        <f t="shared" si="595"/>
        <v>1</v>
      </c>
      <c r="G747" s="592">
        <f t="shared" si="595"/>
        <v>1</v>
      </c>
      <c r="H747" s="592">
        <f t="shared" si="595"/>
        <v>1</v>
      </c>
      <c r="I747" s="592">
        <f t="shared" si="595"/>
        <v>1</v>
      </c>
      <c r="J747" s="592">
        <f t="shared" si="595"/>
        <v>1</v>
      </c>
      <c r="K747" s="592">
        <f t="shared" si="595"/>
        <v>1</v>
      </c>
      <c r="L747" s="592">
        <f t="shared" si="595"/>
        <v>1</v>
      </c>
      <c r="M747" s="592">
        <f t="shared" si="595"/>
        <v>1</v>
      </c>
      <c r="N747" s="592">
        <f t="shared" si="595"/>
        <v>1</v>
      </c>
      <c r="O747" s="592">
        <f t="shared" si="595"/>
        <v>1</v>
      </c>
      <c r="P747" s="592">
        <f t="shared" si="595"/>
        <v>1</v>
      </c>
      <c r="Q747" s="592">
        <f t="shared" si="595"/>
        <v>1</v>
      </c>
      <c r="R747" s="592">
        <f t="shared" si="595"/>
        <v>1</v>
      </c>
      <c r="S747" s="592">
        <f t="shared" si="595"/>
        <v>1</v>
      </c>
      <c r="T747" s="592">
        <f t="shared" si="595"/>
        <v>1</v>
      </c>
      <c r="U747" s="592">
        <f t="shared" si="595"/>
        <v>1</v>
      </c>
      <c r="V747" s="592">
        <f t="shared" si="595"/>
        <v>1</v>
      </c>
      <c r="W747" s="592">
        <f t="shared" si="595"/>
        <v>1</v>
      </c>
      <c r="X747" s="592">
        <f t="shared" si="595"/>
        <v>1</v>
      </c>
      <c r="Y747" s="592">
        <f t="shared" si="595"/>
        <v>1</v>
      </c>
      <c r="Z747" s="592">
        <f t="shared" si="595"/>
        <v>1</v>
      </c>
      <c r="AA747" s="592">
        <f t="shared" si="595"/>
        <v>1</v>
      </c>
      <c r="AB747" s="592">
        <f t="shared" si="595"/>
        <v>1</v>
      </c>
      <c r="AC747" s="592">
        <f t="shared" si="595"/>
        <v>1</v>
      </c>
      <c r="AD747" s="592">
        <f t="shared" si="595"/>
        <v>1</v>
      </c>
      <c r="AE747" s="592">
        <f t="shared" si="595"/>
        <v>1</v>
      </c>
      <c r="AF747" s="592">
        <f t="shared" si="595"/>
        <v>1</v>
      </c>
      <c r="AH747" s="538"/>
      <c r="AK747" s="531"/>
      <c r="AM747" s="594"/>
      <c r="AN747" s="535"/>
      <c r="AP747" s="540"/>
      <c r="AQ747" s="540"/>
    </row>
    <row r="748" spans="1:43" s="513" customFormat="1" ht="16.5" hidden="1" customHeight="1" outlineLevel="2">
      <c r="A748" s="584"/>
      <c r="B748" s="572" t="s">
        <v>888</v>
      </c>
      <c r="C748" s="592">
        <f>EPIs_unif.!$D$15+EPIs_unif.!$D$41</f>
        <v>2736.42</v>
      </c>
      <c r="D748" s="592">
        <f>C748</f>
        <v>2736.42</v>
      </c>
      <c r="E748" s="592">
        <f t="shared" ref="E748:AF748" si="596">D748</f>
        <v>2736.42</v>
      </c>
      <c r="F748" s="592">
        <f t="shared" si="596"/>
        <v>2736.42</v>
      </c>
      <c r="G748" s="592">
        <f t="shared" si="596"/>
        <v>2736.42</v>
      </c>
      <c r="H748" s="592">
        <f t="shared" si="596"/>
        <v>2736.42</v>
      </c>
      <c r="I748" s="592">
        <f t="shared" si="596"/>
        <v>2736.42</v>
      </c>
      <c r="J748" s="592">
        <f t="shared" si="596"/>
        <v>2736.42</v>
      </c>
      <c r="K748" s="592">
        <f t="shared" si="596"/>
        <v>2736.42</v>
      </c>
      <c r="L748" s="592">
        <f t="shared" si="596"/>
        <v>2736.42</v>
      </c>
      <c r="M748" s="592">
        <f t="shared" si="596"/>
        <v>2736.42</v>
      </c>
      <c r="N748" s="592">
        <f t="shared" si="596"/>
        <v>2736.42</v>
      </c>
      <c r="O748" s="592">
        <f t="shared" si="596"/>
        <v>2736.42</v>
      </c>
      <c r="P748" s="592">
        <f t="shared" si="596"/>
        <v>2736.42</v>
      </c>
      <c r="Q748" s="592">
        <f t="shared" si="596"/>
        <v>2736.42</v>
      </c>
      <c r="R748" s="592">
        <f t="shared" si="596"/>
        <v>2736.42</v>
      </c>
      <c r="S748" s="592">
        <f t="shared" si="596"/>
        <v>2736.42</v>
      </c>
      <c r="T748" s="592">
        <f t="shared" si="596"/>
        <v>2736.42</v>
      </c>
      <c r="U748" s="592">
        <f t="shared" si="596"/>
        <v>2736.42</v>
      </c>
      <c r="V748" s="592">
        <f t="shared" si="596"/>
        <v>2736.42</v>
      </c>
      <c r="W748" s="592">
        <f t="shared" si="596"/>
        <v>2736.42</v>
      </c>
      <c r="X748" s="592">
        <f t="shared" si="596"/>
        <v>2736.42</v>
      </c>
      <c r="Y748" s="592">
        <f t="shared" si="596"/>
        <v>2736.42</v>
      </c>
      <c r="Z748" s="592">
        <f t="shared" si="596"/>
        <v>2736.42</v>
      </c>
      <c r="AA748" s="592">
        <f t="shared" si="596"/>
        <v>2736.42</v>
      </c>
      <c r="AB748" s="592">
        <f t="shared" si="596"/>
        <v>2736.42</v>
      </c>
      <c r="AC748" s="592">
        <f t="shared" si="596"/>
        <v>2736.42</v>
      </c>
      <c r="AD748" s="592">
        <f t="shared" si="596"/>
        <v>2736.42</v>
      </c>
      <c r="AE748" s="592">
        <f t="shared" si="596"/>
        <v>2736.42</v>
      </c>
      <c r="AF748" s="592">
        <f t="shared" si="596"/>
        <v>2736.42</v>
      </c>
      <c r="AH748" s="538"/>
      <c r="AK748" s="531"/>
      <c r="AM748" s="594"/>
      <c r="AN748" s="535"/>
      <c r="AP748" s="540"/>
      <c r="AQ748" s="540"/>
    </row>
    <row r="749" spans="1:43" s="513" customFormat="1" ht="3" hidden="1" customHeight="1" outlineLevel="2">
      <c r="A749" s="584"/>
      <c r="B749" s="572"/>
      <c r="C749" s="592"/>
      <c r="D749" s="592"/>
      <c r="E749" s="592"/>
      <c r="F749" s="592"/>
      <c r="G749" s="592"/>
      <c r="H749" s="592"/>
      <c r="I749" s="592"/>
      <c r="J749" s="592"/>
      <c r="K749" s="592"/>
      <c r="L749" s="592"/>
      <c r="M749" s="592"/>
      <c r="N749" s="592"/>
      <c r="O749" s="592"/>
      <c r="P749" s="592"/>
      <c r="Q749" s="592"/>
      <c r="R749" s="592"/>
      <c r="S749" s="592"/>
      <c r="T749" s="592"/>
      <c r="U749" s="592"/>
      <c r="V749" s="592"/>
      <c r="W749" s="592"/>
      <c r="X749" s="592"/>
      <c r="Y749" s="592"/>
      <c r="Z749" s="592"/>
      <c r="AA749" s="592"/>
      <c r="AB749" s="592"/>
      <c r="AC749" s="592"/>
      <c r="AD749" s="592"/>
      <c r="AE749" s="592"/>
      <c r="AF749" s="592"/>
      <c r="AH749" s="538"/>
      <c r="AK749" s="531"/>
      <c r="AM749" s="594"/>
      <c r="AN749" s="535"/>
      <c r="AP749" s="540"/>
      <c r="AQ749" s="540"/>
    </row>
    <row r="750" spans="1:43" ht="16.5" customHeight="1">
      <c r="A750" s="584"/>
      <c r="B750" s="749" t="s">
        <v>825</v>
      </c>
      <c r="C750" s="710">
        <f t="shared" ref="C750:AF750" si="597">SUM(C762,C776,C789,C811,C825,C835,C840,C848,C852,C881,C897,C901,C915)*C3</f>
        <v>2479.9108490438762</v>
      </c>
      <c r="D750" s="710">
        <f t="shared" si="597"/>
        <v>2479.9108490438762</v>
      </c>
      <c r="E750" s="710">
        <f t="shared" si="597"/>
        <v>2479.9108490438762</v>
      </c>
      <c r="F750" s="710">
        <f t="shared" si="597"/>
        <v>2479.9108490438762</v>
      </c>
      <c r="G750" s="710">
        <f t="shared" si="597"/>
        <v>2479.9108490438762</v>
      </c>
      <c r="H750" s="710">
        <f t="shared" si="597"/>
        <v>2479.9108490438762</v>
      </c>
      <c r="I750" s="710">
        <f t="shared" si="597"/>
        <v>2479.9108490438762</v>
      </c>
      <c r="J750" s="710">
        <f t="shared" si="597"/>
        <v>2479.9108490438762</v>
      </c>
      <c r="K750" s="710">
        <f t="shared" si="597"/>
        <v>2479.9108490438762</v>
      </c>
      <c r="L750" s="710">
        <f t="shared" si="597"/>
        <v>2479.9108490438762</v>
      </c>
      <c r="M750" s="710">
        <f t="shared" si="597"/>
        <v>2479.9108490438762</v>
      </c>
      <c r="N750" s="710">
        <f t="shared" si="597"/>
        <v>2479.9108490438762</v>
      </c>
      <c r="O750" s="710">
        <f t="shared" si="597"/>
        <v>2479.9108490438762</v>
      </c>
      <c r="P750" s="710">
        <f t="shared" si="597"/>
        <v>2479.9108490438762</v>
      </c>
      <c r="Q750" s="710">
        <f t="shared" si="597"/>
        <v>2479.9108490438762</v>
      </c>
      <c r="R750" s="710">
        <f t="shared" si="597"/>
        <v>2479.9108490438762</v>
      </c>
      <c r="S750" s="710">
        <f t="shared" si="597"/>
        <v>2479.9108490438762</v>
      </c>
      <c r="T750" s="710">
        <f t="shared" si="597"/>
        <v>2479.9108490438762</v>
      </c>
      <c r="U750" s="710">
        <f t="shared" si="597"/>
        <v>2479.9108490438762</v>
      </c>
      <c r="V750" s="710">
        <f t="shared" si="597"/>
        <v>2479.9108490438762</v>
      </c>
      <c r="W750" s="710">
        <f t="shared" si="597"/>
        <v>2479.9108490438762</v>
      </c>
      <c r="X750" s="710">
        <f t="shared" si="597"/>
        <v>2479.9108490438762</v>
      </c>
      <c r="Y750" s="710">
        <f t="shared" si="597"/>
        <v>2479.9108490438762</v>
      </c>
      <c r="Z750" s="710">
        <f t="shared" si="597"/>
        <v>2479.9108490438762</v>
      </c>
      <c r="AA750" s="710">
        <f t="shared" si="597"/>
        <v>2479.9108490438762</v>
      </c>
      <c r="AB750" s="710">
        <f t="shared" si="597"/>
        <v>2479.9108490438762</v>
      </c>
      <c r="AC750" s="710">
        <f t="shared" si="597"/>
        <v>2479.9108490438762</v>
      </c>
      <c r="AD750" s="710">
        <f t="shared" si="597"/>
        <v>2479.9108490438762</v>
      </c>
      <c r="AE750" s="710">
        <f t="shared" si="597"/>
        <v>2479.9108490438762</v>
      </c>
      <c r="AF750" s="710">
        <f t="shared" si="597"/>
        <v>2479.9108490438762</v>
      </c>
      <c r="AG750" s="750"/>
      <c r="AH750" s="751">
        <f>SUM(C750:AF750)</f>
        <v>74397.325471316275</v>
      </c>
      <c r="AK750" s="531"/>
      <c r="AM750" s="533"/>
      <c r="AN750" s="535"/>
      <c r="AP750" s="535"/>
      <c r="AQ750" s="534"/>
    </row>
    <row r="751" spans="1:43" s="513" customFormat="1" ht="3" customHeight="1">
      <c r="A751" s="584"/>
      <c r="B751" s="541"/>
      <c r="C751" s="542"/>
      <c r="D751" s="542"/>
      <c r="E751" s="537"/>
      <c r="F751" s="537"/>
      <c r="G751" s="537"/>
      <c r="H751" s="537"/>
      <c r="I751" s="537"/>
      <c r="J751" s="537"/>
      <c r="K751" s="537"/>
      <c r="L751" s="537"/>
      <c r="M751" s="537"/>
      <c r="N751" s="537"/>
      <c r="O751" s="537"/>
      <c r="P751" s="537"/>
      <c r="Q751" s="537"/>
      <c r="R751" s="537"/>
      <c r="S751" s="537"/>
      <c r="T751" s="537"/>
      <c r="U751" s="537"/>
      <c r="V751" s="537"/>
      <c r="W751" s="537"/>
      <c r="X751" s="537"/>
      <c r="Y751" s="537"/>
      <c r="Z751" s="537"/>
      <c r="AA751" s="537"/>
      <c r="AB751" s="537"/>
      <c r="AC751" s="537"/>
      <c r="AD751" s="537"/>
      <c r="AE751" s="537"/>
      <c r="AF751" s="537"/>
      <c r="AH751" s="538"/>
      <c r="AK751" s="531"/>
      <c r="AM751" s="594"/>
      <c r="AN751" s="535"/>
      <c r="AP751" s="540"/>
      <c r="AQ751" s="540"/>
    </row>
    <row r="752" spans="1:43" s="546" customFormat="1" ht="16.5" customHeight="1" collapsed="1">
      <c r="A752" s="584"/>
      <c r="B752" s="544" t="s">
        <v>880</v>
      </c>
      <c r="C752" s="545"/>
      <c r="D752" s="545"/>
      <c r="E752" s="545"/>
      <c r="F752" s="545"/>
      <c r="G752" s="545"/>
      <c r="H752" s="545"/>
      <c r="I752" s="545"/>
      <c r="J752" s="545"/>
      <c r="K752" s="545"/>
      <c r="L752" s="545"/>
      <c r="M752" s="545"/>
      <c r="N752" s="545"/>
      <c r="O752" s="545"/>
      <c r="P752" s="545"/>
      <c r="Q752" s="545"/>
      <c r="R752" s="545"/>
      <c r="S752" s="545"/>
      <c r="T752" s="545"/>
      <c r="U752" s="545"/>
      <c r="V752" s="545"/>
      <c r="W752" s="545"/>
      <c r="X752" s="545"/>
      <c r="Y752" s="545"/>
      <c r="Z752" s="545"/>
      <c r="AA752" s="545"/>
      <c r="AB752" s="545"/>
      <c r="AC752" s="545"/>
      <c r="AD752" s="545"/>
      <c r="AE752" s="545"/>
      <c r="AF752" s="545"/>
      <c r="AH752" s="571"/>
      <c r="AK752" s="531"/>
      <c r="AM752" s="594"/>
      <c r="AN752" s="535"/>
      <c r="AP752" s="549"/>
      <c r="AQ752" s="549"/>
    </row>
    <row r="753" spans="1:43" s="513" customFormat="1" ht="16.5" hidden="1" customHeight="1" outlineLevel="2">
      <c r="A753" s="584"/>
      <c r="B753" s="608" t="s">
        <v>961</v>
      </c>
      <c r="C753" s="553">
        <v>1</v>
      </c>
      <c r="D753" s="553">
        <v>1</v>
      </c>
      <c r="E753" s="553">
        <f t="shared" ref="E753:T758" si="598">D753</f>
        <v>1</v>
      </c>
      <c r="F753" s="553">
        <f t="shared" si="598"/>
        <v>1</v>
      </c>
      <c r="G753" s="553">
        <f t="shared" si="598"/>
        <v>1</v>
      </c>
      <c r="H753" s="553">
        <f t="shared" si="598"/>
        <v>1</v>
      </c>
      <c r="I753" s="553">
        <f t="shared" si="598"/>
        <v>1</v>
      </c>
      <c r="J753" s="553">
        <f t="shared" si="598"/>
        <v>1</v>
      </c>
      <c r="K753" s="553">
        <f t="shared" si="598"/>
        <v>1</v>
      </c>
      <c r="L753" s="553">
        <f t="shared" si="598"/>
        <v>1</v>
      </c>
      <c r="M753" s="553">
        <f t="shared" si="598"/>
        <v>1</v>
      </c>
      <c r="N753" s="553">
        <f t="shared" si="598"/>
        <v>1</v>
      </c>
      <c r="O753" s="553">
        <f t="shared" si="598"/>
        <v>1</v>
      </c>
      <c r="P753" s="553">
        <f t="shared" si="598"/>
        <v>1</v>
      </c>
      <c r="Q753" s="553">
        <f t="shared" si="598"/>
        <v>1</v>
      </c>
      <c r="R753" s="553">
        <f t="shared" si="598"/>
        <v>1</v>
      </c>
      <c r="S753" s="553">
        <f t="shared" si="598"/>
        <v>1</v>
      </c>
      <c r="T753" s="553">
        <f t="shared" si="598"/>
        <v>1</v>
      </c>
      <c r="U753" s="553">
        <f t="shared" ref="U753:AF758" si="599">T753</f>
        <v>1</v>
      </c>
      <c r="V753" s="553">
        <f t="shared" si="599"/>
        <v>1</v>
      </c>
      <c r="W753" s="553">
        <f t="shared" si="599"/>
        <v>1</v>
      </c>
      <c r="X753" s="553">
        <f t="shared" si="599"/>
        <v>1</v>
      </c>
      <c r="Y753" s="553">
        <f t="shared" si="599"/>
        <v>1</v>
      </c>
      <c r="Z753" s="553">
        <f t="shared" si="599"/>
        <v>1</v>
      </c>
      <c r="AA753" s="553">
        <f t="shared" si="599"/>
        <v>1</v>
      </c>
      <c r="AB753" s="553">
        <f t="shared" si="599"/>
        <v>1</v>
      </c>
      <c r="AC753" s="553">
        <f t="shared" si="599"/>
        <v>1</v>
      </c>
      <c r="AD753" s="553">
        <f t="shared" si="599"/>
        <v>1</v>
      </c>
      <c r="AE753" s="553">
        <f t="shared" si="599"/>
        <v>1</v>
      </c>
      <c r="AF753" s="553">
        <f t="shared" si="599"/>
        <v>1</v>
      </c>
      <c r="AH753" s="538"/>
      <c r="AK753" s="531"/>
      <c r="AM753" s="594"/>
      <c r="AN753" s="535"/>
      <c r="AP753" s="540"/>
      <c r="AQ753" s="540"/>
    </row>
    <row r="754" spans="1:43" s="513" customFormat="1" ht="16.5" hidden="1" customHeight="1" outlineLevel="2">
      <c r="A754" s="584"/>
      <c r="B754" s="608" t="s">
        <v>962</v>
      </c>
      <c r="C754" s="553">
        <v>1</v>
      </c>
      <c r="D754" s="553">
        <v>1</v>
      </c>
      <c r="E754" s="553">
        <f t="shared" si="598"/>
        <v>1</v>
      </c>
      <c r="F754" s="553">
        <f t="shared" si="598"/>
        <v>1</v>
      </c>
      <c r="G754" s="553">
        <f t="shared" si="598"/>
        <v>1</v>
      </c>
      <c r="H754" s="553">
        <f t="shared" si="598"/>
        <v>1</v>
      </c>
      <c r="I754" s="553">
        <f t="shared" si="598"/>
        <v>1</v>
      </c>
      <c r="J754" s="553">
        <f t="shared" si="598"/>
        <v>1</v>
      </c>
      <c r="K754" s="553">
        <f t="shared" si="598"/>
        <v>1</v>
      </c>
      <c r="L754" s="553">
        <f t="shared" si="598"/>
        <v>1</v>
      </c>
      <c r="M754" s="553">
        <f t="shared" si="598"/>
        <v>1</v>
      </c>
      <c r="N754" s="553">
        <f t="shared" si="598"/>
        <v>1</v>
      </c>
      <c r="O754" s="553">
        <f t="shared" si="598"/>
        <v>1</v>
      </c>
      <c r="P754" s="553">
        <f t="shared" si="598"/>
        <v>1</v>
      </c>
      <c r="Q754" s="553">
        <f t="shared" si="598"/>
        <v>1</v>
      </c>
      <c r="R754" s="553">
        <f t="shared" si="598"/>
        <v>1</v>
      </c>
      <c r="S754" s="553">
        <f t="shared" si="598"/>
        <v>1</v>
      </c>
      <c r="T754" s="553">
        <f t="shared" si="598"/>
        <v>1</v>
      </c>
      <c r="U754" s="553">
        <f t="shared" si="599"/>
        <v>1</v>
      </c>
      <c r="V754" s="553">
        <f t="shared" si="599"/>
        <v>1</v>
      </c>
      <c r="W754" s="553">
        <f t="shared" si="599"/>
        <v>1</v>
      </c>
      <c r="X754" s="553">
        <f t="shared" si="599"/>
        <v>1</v>
      </c>
      <c r="Y754" s="553">
        <f t="shared" si="599"/>
        <v>1</v>
      </c>
      <c r="Z754" s="553">
        <f t="shared" si="599"/>
        <v>1</v>
      </c>
      <c r="AA754" s="553">
        <f t="shared" si="599"/>
        <v>1</v>
      </c>
      <c r="AB754" s="553">
        <f t="shared" si="599"/>
        <v>1</v>
      </c>
      <c r="AC754" s="553">
        <f t="shared" si="599"/>
        <v>1</v>
      </c>
      <c r="AD754" s="553">
        <f t="shared" si="599"/>
        <v>1</v>
      </c>
      <c r="AE754" s="553">
        <f t="shared" si="599"/>
        <v>1</v>
      </c>
      <c r="AF754" s="553">
        <f t="shared" si="599"/>
        <v>1</v>
      </c>
      <c r="AH754" s="538"/>
      <c r="AK754" s="531"/>
      <c r="AM754" s="594"/>
      <c r="AN754" s="535"/>
      <c r="AP754" s="540"/>
      <c r="AQ754" s="540"/>
    </row>
    <row r="755" spans="1:43" s="513" customFormat="1" ht="16.5" hidden="1" customHeight="1" outlineLevel="2">
      <c r="A755" s="584"/>
      <c r="B755" s="608" t="s">
        <v>963</v>
      </c>
      <c r="C755" s="553">
        <v>1</v>
      </c>
      <c r="D755" s="553">
        <v>1</v>
      </c>
      <c r="E755" s="553">
        <f t="shared" si="598"/>
        <v>1</v>
      </c>
      <c r="F755" s="553">
        <f t="shared" si="598"/>
        <v>1</v>
      </c>
      <c r="G755" s="553">
        <f t="shared" si="598"/>
        <v>1</v>
      </c>
      <c r="H755" s="553">
        <f t="shared" si="598"/>
        <v>1</v>
      </c>
      <c r="I755" s="553">
        <f t="shared" si="598"/>
        <v>1</v>
      </c>
      <c r="J755" s="553">
        <f t="shared" si="598"/>
        <v>1</v>
      </c>
      <c r="K755" s="553">
        <f t="shared" si="598"/>
        <v>1</v>
      </c>
      <c r="L755" s="553">
        <f t="shared" si="598"/>
        <v>1</v>
      </c>
      <c r="M755" s="553">
        <f t="shared" si="598"/>
        <v>1</v>
      </c>
      <c r="N755" s="553">
        <f t="shared" si="598"/>
        <v>1</v>
      </c>
      <c r="O755" s="553">
        <f t="shared" si="598"/>
        <v>1</v>
      </c>
      <c r="P755" s="553">
        <f t="shared" si="598"/>
        <v>1</v>
      </c>
      <c r="Q755" s="553">
        <f t="shared" si="598"/>
        <v>1</v>
      </c>
      <c r="R755" s="553">
        <f t="shared" si="598"/>
        <v>1</v>
      </c>
      <c r="S755" s="553">
        <f t="shared" si="598"/>
        <v>1</v>
      </c>
      <c r="T755" s="553">
        <f t="shared" si="598"/>
        <v>1</v>
      </c>
      <c r="U755" s="553">
        <f t="shared" si="599"/>
        <v>1</v>
      </c>
      <c r="V755" s="553">
        <f t="shared" si="599"/>
        <v>1</v>
      </c>
      <c r="W755" s="553">
        <f t="shared" si="599"/>
        <v>1</v>
      </c>
      <c r="X755" s="553">
        <f t="shared" si="599"/>
        <v>1</v>
      </c>
      <c r="Y755" s="553">
        <f t="shared" si="599"/>
        <v>1</v>
      </c>
      <c r="Z755" s="553">
        <f t="shared" si="599"/>
        <v>1</v>
      </c>
      <c r="AA755" s="553">
        <f t="shared" si="599"/>
        <v>1</v>
      </c>
      <c r="AB755" s="553">
        <f t="shared" si="599"/>
        <v>1</v>
      </c>
      <c r="AC755" s="553">
        <f t="shared" si="599"/>
        <v>1</v>
      </c>
      <c r="AD755" s="553">
        <f t="shared" si="599"/>
        <v>1</v>
      </c>
      <c r="AE755" s="553">
        <f t="shared" si="599"/>
        <v>1</v>
      </c>
      <c r="AF755" s="553">
        <f t="shared" si="599"/>
        <v>1</v>
      </c>
      <c r="AH755" s="538"/>
      <c r="AK755" s="531"/>
      <c r="AM755" s="594"/>
      <c r="AN755" s="535"/>
      <c r="AP755" s="540"/>
      <c r="AQ755" s="540"/>
    </row>
    <row r="756" spans="1:43" s="513" customFormat="1" ht="16.5" hidden="1" customHeight="1" outlineLevel="2">
      <c r="A756" s="584"/>
      <c r="B756" s="608" t="s">
        <v>828</v>
      </c>
      <c r="C756" s="553">
        <v>2</v>
      </c>
      <c r="D756" s="553">
        <v>2</v>
      </c>
      <c r="E756" s="553">
        <v>2</v>
      </c>
      <c r="F756" s="553">
        <v>2</v>
      </c>
      <c r="G756" s="553">
        <v>2</v>
      </c>
      <c r="H756" s="553">
        <v>2</v>
      </c>
      <c r="I756" s="553">
        <v>2</v>
      </c>
      <c r="J756" s="553">
        <v>2</v>
      </c>
      <c r="K756" s="553">
        <v>2</v>
      </c>
      <c r="L756" s="553">
        <v>2</v>
      </c>
      <c r="M756" s="553">
        <v>2</v>
      </c>
      <c r="N756" s="553">
        <v>2</v>
      </c>
      <c r="O756" s="553">
        <v>2</v>
      </c>
      <c r="P756" s="553">
        <v>2</v>
      </c>
      <c r="Q756" s="553">
        <v>2</v>
      </c>
      <c r="R756" s="553">
        <v>2</v>
      </c>
      <c r="S756" s="553">
        <v>2</v>
      </c>
      <c r="T756" s="553">
        <v>2</v>
      </c>
      <c r="U756" s="553">
        <v>2</v>
      </c>
      <c r="V756" s="553">
        <v>2</v>
      </c>
      <c r="W756" s="553">
        <v>2</v>
      </c>
      <c r="X756" s="553">
        <v>2</v>
      </c>
      <c r="Y756" s="553">
        <v>2</v>
      </c>
      <c r="Z756" s="553">
        <v>2</v>
      </c>
      <c r="AA756" s="553">
        <v>2</v>
      </c>
      <c r="AB756" s="553">
        <v>2</v>
      </c>
      <c r="AC756" s="553">
        <v>2</v>
      </c>
      <c r="AD756" s="553">
        <v>2</v>
      </c>
      <c r="AE756" s="553">
        <v>2</v>
      </c>
      <c r="AF756" s="553">
        <v>2</v>
      </c>
      <c r="AH756" s="538"/>
      <c r="AK756" s="531"/>
      <c r="AM756" s="594"/>
      <c r="AN756" s="535"/>
      <c r="AP756" s="540"/>
      <c r="AQ756" s="540"/>
    </row>
    <row r="757" spans="1:43" s="513" customFormat="1" ht="16.5" hidden="1" customHeight="1" outlineLevel="2">
      <c r="A757" s="584"/>
      <c r="B757" s="608" t="s">
        <v>964</v>
      </c>
      <c r="C757" s="553">
        <v>1</v>
      </c>
      <c r="D757" s="553">
        <v>1</v>
      </c>
      <c r="E757" s="553">
        <f t="shared" si="598"/>
        <v>1</v>
      </c>
      <c r="F757" s="553">
        <f t="shared" si="598"/>
        <v>1</v>
      </c>
      <c r="G757" s="553">
        <f t="shared" si="598"/>
        <v>1</v>
      </c>
      <c r="H757" s="553">
        <f t="shared" si="598"/>
        <v>1</v>
      </c>
      <c r="I757" s="553">
        <f t="shared" si="598"/>
        <v>1</v>
      </c>
      <c r="J757" s="553">
        <f t="shared" si="598"/>
        <v>1</v>
      </c>
      <c r="K757" s="553">
        <f t="shared" si="598"/>
        <v>1</v>
      </c>
      <c r="L757" s="553">
        <f t="shared" si="598"/>
        <v>1</v>
      </c>
      <c r="M757" s="553">
        <f t="shared" si="598"/>
        <v>1</v>
      </c>
      <c r="N757" s="553">
        <f t="shared" si="598"/>
        <v>1</v>
      </c>
      <c r="O757" s="553">
        <f t="shared" si="598"/>
        <v>1</v>
      </c>
      <c r="P757" s="553">
        <f t="shared" si="598"/>
        <v>1</v>
      </c>
      <c r="Q757" s="553">
        <f t="shared" si="598"/>
        <v>1</v>
      </c>
      <c r="R757" s="553">
        <f t="shared" si="598"/>
        <v>1</v>
      </c>
      <c r="S757" s="553">
        <f t="shared" si="598"/>
        <v>1</v>
      </c>
      <c r="T757" s="553">
        <f t="shared" si="598"/>
        <v>1</v>
      </c>
      <c r="U757" s="553">
        <f t="shared" si="599"/>
        <v>1</v>
      </c>
      <c r="V757" s="553">
        <f t="shared" si="599"/>
        <v>1</v>
      </c>
      <c r="W757" s="553">
        <f t="shared" si="599"/>
        <v>1</v>
      </c>
      <c r="X757" s="553">
        <f t="shared" si="599"/>
        <v>1</v>
      </c>
      <c r="Y757" s="553">
        <f t="shared" si="599"/>
        <v>1</v>
      </c>
      <c r="Z757" s="553">
        <f t="shared" si="599"/>
        <v>1</v>
      </c>
      <c r="AA757" s="553">
        <f t="shared" si="599"/>
        <v>1</v>
      </c>
      <c r="AB757" s="553">
        <f t="shared" si="599"/>
        <v>1</v>
      </c>
      <c r="AC757" s="553">
        <f t="shared" si="599"/>
        <v>1</v>
      </c>
      <c r="AD757" s="553">
        <f t="shared" si="599"/>
        <v>1</v>
      </c>
      <c r="AE757" s="553">
        <f t="shared" si="599"/>
        <v>1</v>
      </c>
      <c r="AF757" s="553">
        <f t="shared" si="599"/>
        <v>1</v>
      </c>
      <c r="AH757" s="538"/>
      <c r="AK757" s="531"/>
      <c r="AM757" s="594"/>
      <c r="AN757" s="535"/>
      <c r="AP757" s="540"/>
      <c r="AQ757" s="540"/>
    </row>
    <row r="758" spans="1:43" s="513" customFormat="1" ht="16.5" hidden="1" customHeight="1" outlineLevel="2">
      <c r="A758" s="584"/>
      <c r="B758" s="608" t="s">
        <v>965</v>
      </c>
      <c r="C758" s="553">
        <v>1</v>
      </c>
      <c r="D758" s="553">
        <f>C758</f>
        <v>1</v>
      </c>
      <c r="E758" s="553">
        <f t="shared" si="598"/>
        <v>1</v>
      </c>
      <c r="F758" s="553">
        <f t="shared" si="598"/>
        <v>1</v>
      </c>
      <c r="G758" s="553">
        <f t="shared" si="598"/>
        <v>1</v>
      </c>
      <c r="H758" s="553">
        <f t="shared" si="598"/>
        <v>1</v>
      </c>
      <c r="I758" s="553">
        <f t="shared" si="598"/>
        <v>1</v>
      </c>
      <c r="J758" s="553">
        <f t="shared" si="598"/>
        <v>1</v>
      </c>
      <c r="K758" s="553">
        <f t="shared" si="598"/>
        <v>1</v>
      </c>
      <c r="L758" s="553">
        <f t="shared" si="598"/>
        <v>1</v>
      </c>
      <c r="M758" s="553">
        <f t="shared" si="598"/>
        <v>1</v>
      </c>
      <c r="N758" s="553">
        <f t="shared" si="598"/>
        <v>1</v>
      </c>
      <c r="O758" s="553">
        <f t="shared" si="598"/>
        <v>1</v>
      </c>
      <c r="P758" s="553">
        <f t="shared" si="598"/>
        <v>1</v>
      </c>
      <c r="Q758" s="553">
        <f t="shared" si="598"/>
        <v>1</v>
      </c>
      <c r="R758" s="553">
        <f t="shared" si="598"/>
        <v>1</v>
      </c>
      <c r="S758" s="553">
        <f t="shared" si="598"/>
        <v>1</v>
      </c>
      <c r="T758" s="553">
        <f t="shared" si="598"/>
        <v>1</v>
      </c>
      <c r="U758" s="553">
        <f t="shared" si="599"/>
        <v>1</v>
      </c>
      <c r="V758" s="553">
        <f t="shared" si="599"/>
        <v>1</v>
      </c>
      <c r="W758" s="553">
        <f t="shared" si="599"/>
        <v>1</v>
      </c>
      <c r="X758" s="553">
        <f t="shared" si="599"/>
        <v>1</v>
      </c>
      <c r="Y758" s="553">
        <f t="shared" si="599"/>
        <v>1</v>
      </c>
      <c r="Z758" s="553">
        <f t="shared" si="599"/>
        <v>1</v>
      </c>
      <c r="AA758" s="553">
        <f t="shared" si="599"/>
        <v>1</v>
      </c>
      <c r="AB758" s="553">
        <f t="shared" si="599"/>
        <v>1</v>
      </c>
      <c r="AC758" s="553">
        <f t="shared" si="599"/>
        <v>1</v>
      </c>
      <c r="AD758" s="553">
        <f t="shared" si="599"/>
        <v>1</v>
      </c>
      <c r="AE758" s="553">
        <f t="shared" si="599"/>
        <v>1</v>
      </c>
      <c r="AF758" s="553">
        <f t="shared" si="599"/>
        <v>1</v>
      </c>
      <c r="AH758" s="538"/>
      <c r="AK758" s="531"/>
      <c r="AM758" s="594"/>
      <c r="AN758" s="535"/>
      <c r="AP758" s="540"/>
      <c r="AQ758" s="540"/>
    </row>
    <row r="759" spans="1:43" s="513" customFormat="1" ht="16.5" hidden="1" customHeight="1" outlineLevel="2">
      <c r="A759" s="584"/>
      <c r="B759" s="608" t="s">
        <v>829</v>
      </c>
      <c r="C759" s="553">
        <v>1</v>
      </c>
      <c r="D759" s="553">
        <v>1</v>
      </c>
      <c r="E759" s="553">
        <v>1</v>
      </c>
      <c r="F759" s="553">
        <v>1</v>
      </c>
      <c r="G759" s="553">
        <v>1</v>
      </c>
      <c r="H759" s="553">
        <v>1</v>
      </c>
      <c r="I759" s="553">
        <v>1</v>
      </c>
      <c r="J759" s="553">
        <v>1</v>
      </c>
      <c r="K759" s="553">
        <v>1</v>
      </c>
      <c r="L759" s="553">
        <v>1</v>
      </c>
      <c r="M759" s="553">
        <v>1</v>
      </c>
      <c r="N759" s="553">
        <v>1</v>
      </c>
      <c r="O759" s="553">
        <v>1</v>
      </c>
      <c r="P759" s="553">
        <v>1</v>
      </c>
      <c r="Q759" s="553">
        <v>1</v>
      </c>
      <c r="R759" s="553">
        <v>1</v>
      </c>
      <c r="S759" s="553">
        <v>1</v>
      </c>
      <c r="T759" s="553">
        <v>1</v>
      </c>
      <c r="U759" s="553">
        <v>1</v>
      </c>
      <c r="V759" s="553">
        <v>1</v>
      </c>
      <c r="W759" s="553">
        <v>1</v>
      </c>
      <c r="X759" s="553">
        <v>1</v>
      </c>
      <c r="Y759" s="553">
        <v>1</v>
      </c>
      <c r="Z759" s="553">
        <v>1</v>
      </c>
      <c r="AA759" s="553">
        <v>1</v>
      </c>
      <c r="AB759" s="553">
        <v>1</v>
      </c>
      <c r="AC759" s="553">
        <v>1</v>
      </c>
      <c r="AD759" s="553">
        <v>1</v>
      </c>
      <c r="AE759" s="553">
        <v>1</v>
      </c>
      <c r="AF759" s="553">
        <v>1</v>
      </c>
      <c r="AH759" s="538"/>
      <c r="AK759" s="531"/>
      <c r="AM759" s="594"/>
      <c r="AN759" s="535"/>
      <c r="AP759" s="540"/>
      <c r="AQ759" s="540"/>
    </row>
    <row r="760" spans="1:43" s="620" customFormat="1" ht="16.5" customHeight="1" collapsed="1">
      <c r="A760" s="584"/>
      <c r="B760" s="618" t="s">
        <v>886</v>
      </c>
      <c r="C760" s="545">
        <f>SUM(C883,C890)</f>
        <v>16</v>
      </c>
      <c r="D760" s="545">
        <f t="shared" ref="D760:AF760" si="600">SUM(D883,D890)</f>
        <v>16</v>
      </c>
      <c r="E760" s="545">
        <f t="shared" si="600"/>
        <v>16</v>
      </c>
      <c r="F760" s="545">
        <f t="shared" si="600"/>
        <v>16</v>
      </c>
      <c r="G760" s="545">
        <f t="shared" si="600"/>
        <v>16</v>
      </c>
      <c r="H760" s="545">
        <f t="shared" si="600"/>
        <v>16</v>
      </c>
      <c r="I760" s="545">
        <f t="shared" si="600"/>
        <v>16</v>
      </c>
      <c r="J760" s="545">
        <f t="shared" si="600"/>
        <v>16</v>
      </c>
      <c r="K760" s="545">
        <f t="shared" si="600"/>
        <v>16</v>
      </c>
      <c r="L760" s="545">
        <f t="shared" si="600"/>
        <v>16</v>
      </c>
      <c r="M760" s="545">
        <f t="shared" si="600"/>
        <v>16</v>
      </c>
      <c r="N760" s="545">
        <f t="shared" si="600"/>
        <v>16</v>
      </c>
      <c r="O760" s="545">
        <f t="shared" si="600"/>
        <v>16</v>
      </c>
      <c r="P760" s="545">
        <f t="shared" si="600"/>
        <v>16</v>
      </c>
      <c r="Q760" s="545">
        <f t="shared" si="600"/>
        <v>16</v>
      </c>
      <c r="R760" s="545">
        <f t="shared" si="600"/>
        <v>16</v>
      </c>
      <c r="S760" s="545">
        <f t="shared" si="600"/>
        <v>16</v>
      </c>
      <c r="T760" s="545">
        <f t="shared" si="600"/>
        <v>16</v>
      </c>
      <c r="U760" s="545">
        <f t="shared" si="600"/>
        <v>16</v>
      </c>
      <c r="V760" s="545">
        <f t="shared" si="600"/>
        <v>16</v>
      </c>
      <c r="W760" s="545">
        <f t="shared" si="600"/>
        <v>16</v>
      </c>
      <c r="X760" s="545">
        <f t="shared" si="600"/>
        <v>16</v>
      </c>
      <c r="Y760" s="545">
        <f t="shared" si="600"/>
        <v>16</v>
      </c>
      <c r="Z760" s="545">
        <f t="shared" si="600"/>
        <v>16</v>
      </c>
      <c r="AA760" s="545">
        <f t="shared" si="600"/>
        <v>16</v>
      </c>
      <c r="AB760" s="545">
        <f t="shared" si="600"/>
        <v>16</v>
      </c>
      <c r="AC760" s="545">
        <f t="shared" si="600"/>
        <v>16</v>
      </c>
      <c r="AD760" s="545">
        <f t="shared" si="600"/>
        <v>16</v>
      </c>
      <c r="AE760" s="545">
        <f t="shared" si="600"/>
        <v>16</v>
      </c>
      <c r="AF760" s="545">
        <f t="shared" si="600"/>
        <v>16</v>
      </c>
      <c r="AG760" s="546"/>
      <c r="AH760" s="619"/>
      <c r="AI760" s="546"/>
      <c r="AJ760" s="546"/>
      <c r="AK760" s="531"/>
      <c r="AL760" s="546"/>
      <c r="AM760" s="548"/>
      <c r="AN760" s="540"/>
      <c r="AO760" s="546"/>
      <c r="AP760" s="549"/>
      <c r="AQ760" s="549"/>
    </row>
    <row r="761" spans="1:43" s="513" customFormat="1" ht="3" hidden="1" customHeight="1" outlineLevel="2">
      <c r="A761" s="584"/>
      <c r="B761" s="551"/>
      <c r="C761" s="555"/>
      <c r="D761" s="555"/>
      <c r="E761" s="555"/>
      <c r="F761" s="555"/>
      <c r="G761" s="555"/>
      <c r="H761" s="555"/>
      <c r="I761" s="555"/>
      <c r="J761" s="555"/>
      <c r="K761" s="555"/>
      <c r="L761" s="555"/>
      <c r="M761" s="555"/>
      <c r="N761" s="555"/>
      <c r="O761" s="555"/>
      <c r="P761" s="555"/>
      <c r="Q761" s="555"/>
      <c r="R761" s="555"/>
      <c r="S761" s="555"/>
      <c r="T761" s="555"/>
      <c r="U761" s="555"/>
      <c r="V761" s="555"/>
      <c r="W761" s="555"/>
      <c r="X761" s="555"/>
      <c r="Y761" s="555"/>
      <c r="Z761" s="555"/>
      <c r="AA761" s="555"/>
      <c r="AB761" s="555"/>
      <c r="AC761" s="555"/>
      <c r="AD761" s="555"/>
      <c r="AE761" s="555"/>
      <c r="AF761" s="555"/>
      <c r="AH761" s="538"/>
      <c r="AK761" s="531"/>
      <c r="AM761" s="539"/>
      <c r="AN761" s="540"/>
      <c r="AP761" s="540"/>
      <c r="AQ761" s="540"/>
    </row>
    <row r="762" spans="1:43" s="564" customFormat="1" ht="16.5" hidden="1" customHeight="1" outlineLevel="1" collapsed="1">
      <c r="A762" s="584"/>
      <c r="B762" s="576" t="s">
        <v>887</v>
      </c>
      <c r="C762" s="577">
        <f>SUM(C763,C766,C769,C772)*12/10^3</f>
        <v>1265.0768996102163</v>
      </c>
      <c r="D762" s="577">
        <f t="shared" ref="D762:AF762" si="601">SUM(D763,D766,D769,D772)*12/10^3</f>
        <v>1265.0768996102163</v>
      </c>
      <c r="E762" s="577">
        <f t="shared" si="601"/>
        <v>1265.0768996102163</v>
      </c>
      <c r="F762" s="577">
        <f t="shared" si="601"/>
        <v>1265.0768996102163</v>
      </c>
      <c r="G762" s="577">
        <f t="shared" si="601"/>
        <v>1265.0768996102163</v>
      </c>
      <c r="H762" s="577">
        <f t="shared" si="601"/>
        <v>1265.0768996102163</v>
      </c>
      <c r="I762" s="577">
        <f t="shared" si="601"/>
        <v>1265.0768996102163</v>
      </c>
      <c r="J762" s="577">
        <f t="shared" si="601"/>
        <v>1265.0768996102163</v>
      </c>
      <c r="K762" s="577">
        <f t="shared" si="601"/>
        <v>1265.0768996102163</v>
      </c>
      <c r="L762" s="577">
        <f t="shared" si="601"/>
        <v>1265.0768996102163</v>
      </c>
      <c r="M762" s="577">
        <f t="shared" si="601"/>
        <v>1265.0768996102163</v>
      </c>
      <c r="N762" s="577">
        <f t="shared" si="601"/>
        <v>1265.0768996102163</v>
      </c>
      <c r="O762" s="577">
        <f t="shared" si="601"/>
        <v>1265.0768996102163</v>
      </c>
      <c r="P762" s="577">
        <f t="shared" si="601"/>
        <v>1265.0768996102163</v>
      </c>
      <c r="Q762" s="577">
        <f t="shared" si="601"/>
        <v>1265.0768996102163</v>
      </c>
      <c r="R762" s="577">
        <f t="shared" si="601"/>
        <v>1265.0768996102163</v>
      </c>
      <c r="S762" s="577">
        <f t="shared" si="601"/>
        <v>1265.0768996102163</v>
      </c>
      <c r="T762" s="577">
        <f t="shared" si="601"/>
        <v>1265.0768996102163</v>
      </c>
      <c r="U762" s="577">
        <f t="shared" si="601"/>
        <v>1265.0768996102163</v>
      </c>
      <c r="V762" s="577">
        <f t="shared" si="601"/>
        <v>1265.0768996102163</v>
      </c>
      <c r="W762" s="577">
        <f t="shared" si="601"/>
        <v>1265.0768996102163</v>
      </c>
      <c r="X762" s="577">
        <f t="shared" si="601"/>
        <v>1265.0768996102163</v>
      </c>
      <c r="Y762" s="577">
        <f t="shared" si="601"/>
        <v>1265.0768996102163</v>
      </c>
      <c r="Z762" s="577">
        <f t="shared" si="601"/>
        <v>1265.0768996102163</v>
      </c>
      <c r="AA762" s="577">
        <f t="shared" si="601"/>
        <v>1265.0768996102163</v>
      </c>
      <c r="AB762" s="577">
        <f t="shared" si="601"/>
        <v>1265.0768996102163</v>
      </c>
      <c r="AC762" s="577">
        <f t="shared" si="601"/>
        <v>1265.0768996102163</v>
      </c>
      <c r="AD762" s="577">
        <f t="shared" si="601"/>
        <v>1265.0768996102163</v>
      </c>
      <c r="AE762" s="577">
        <f t="shared" si="601"/>
        <v>1265.0768996102163</v>
      </c>
      <c r="AF762" s="577">
        <f t="shared" si="601"/>
        <v>1265.0768996102163</v>
      </c>
      <c r="AH762" s="578">
        <f>SUM(C762:AF762)</f>
        <v>37952.306988306504</v>
      </c>
      <c r="AJ762" s="566"/>
      <c r="AK762" s="531"/>
      <c r="AM762" s="594"/>
      <c r="AN762" s="535"/>
      <c r="AP762" s="568"/>
      <c r="AQ762" s="568"/>
    </row>
    <row r="763" spans="1:43" s="546" customFormat="1" ht="16.5" hidden="1" customHeight="1" outlineLevel="2">
      <c r="A763" s="584"/>
      <c r="B763" s="569" t="s">
        <v>961</v>
      </c>
      <c r="C763" s="570">
        <f>C764*C765</f>
        <v>18900</v>
      </c>
      <c r="D763" s="570">
        <f t="shared" ref="D763:AF763" si="602">D764*D765</f>
        <v>18900</v>
      </c>
      <c r="E763" s="570">
        <f t="shared" si="602"/>
        <v>18900</v>
      </c>
      <c r="F763" s="570">
        <f t="shared" si="602"/>
        <v>18900</v>
      </c>
      <c r="G763" s="570">
        <f t="shared" si="602"/>
        <v>18900</v>
      </c>
      <c r="H763" s="570">
        <f t="shared" si="602"/>
        <v>18900</v>
      </c>
      <c r="I763" s="570">
        <f t="shared" si="602"/>
        <v>18900</v>
      </c>
      <c r="J763" s="570">
        <f t="shared" si="602"/>
        <v>18900</v>
      </c>
      <c r="K763" s="570">
        <f t="shared" si="602"/>
        <v>18900</v>
      </c>
      <c r="L763" s="570">
        <f t="shared" si="602"/>
        <v>18900</v>
      </c>
      <c r="M763" s="570">
        <f t="shared" si="602"/>
        <v>18900</v>
      </c>
      <c r="N763" s="570">
        <f t="shared" si="602"/>
        <v>18900</v>
      </c>
      <c r="O763" s="570">
        <f t="shared" si="602"/>
        <v>18900</v>
      </c>
      <c r="P763" s="570">
        <f t="shared" si="602"/>
        <v>18900</v>
      </c>
      <c r="Q763" s="570">
        <f t="shared" si="602"/>
        <v>18900</v>
      </c>
      <c r="R763" s="570">
        <f t="shared" si="602"/>
        <v>18900</v>
      </c>
      <c r="S763" s="570">
        <f t="shared" si="602"/>
        <v>18900</v>
      </c>
      <c r="T763" s="570">
        <f t="shared" si="602"/>
        <v>18900</v>
      </c>
      <c r="U763" s="570">
        <f t="shared" si="602"/>
        <v>18900</v>
      </c>
      <c r="V763" s="570">
        <f t="shared" si="602"/>
        <v>18900</v>
      </c>
      <c r="W763" s="570">
        <f t="shared" si="602"/>
        <v>18900</v>
      </c>
      <c r="X763" s="570">
        <f t="shared" si="602"/>
        <v>18900</v>
      </c>
      <c r="Y763" s="570">
        <f t="shared" si="602"/>
        <v>18900</v>
      </c>
      <c r="Z763" s="570">
        <f t="shared" si="602"/>
        <v>18900</v>
      </c>
      <c r="AA763" s="570">
        <f t="shared" si="602"/>
        <v>18900</v>
      </c>
      <c r="AB763" s="570">
        <f t="shared" si="602"/>
        <v>18900</v>
      </c>
      <c r="AC763" s="570">
        <f t="shared" si="602"/>
        <v>18900</v>
      </c>
      <c r="AD763" s="570">
        <f t="shared" si="602"/>
        <v>18900</v>
      </c>
      <c r="AE763" s="570">
        <f t="shared" si="602"/>
        <v>18900</v>
      </c>
      <c r="AF763" s="570">
        <f t="shared" si="602"/>
        <v>18900</v>
      </c>
      <c r="AH763" s="571"/>
      <c r="AK763" s="531"/>
      <c r="AM763" s="594"/>
      <c r="AN763" s="535"/>
      <c r="AP763" s="549"/>
      <c r="AQ763" s="549"/>
    </row>
    <row r="764" spans="1:43" s="513" customFormat="1" ht="16.5" hidden="1" customHeight="1" outlineLevel="2">
      <c r="A764" s="584"/>
      <c r="B764" s="572" t="s">
        <v>805</v>
      </c>
      <c r="C764" s="716">
        <f t="shared" ref="C764:AF764" si="603">C753</f>
        <v>1</v>
      </c>
      <c r="D764" s="716">
        <f t="shared" si="603"/>
        <v>1</v>
      </c>
      <c r="E764" s="716">
        <f t="shared" si="603"/>
        <v>1</v>
      </c>
      <c r="F764" s="716">
        <f t="shared" si="603"/>
        <v>1</v>
      </c>
      <c r="G764" s="716">
        <f t="shared" si="603"/>
        <v>1</v>
      </c>
      <c r="H764" s="716">
        <f t="shared" si="603"/>
        <v>1</v>
      </c>
      <c r="I764" s="716">
        <f t="shared" si="603"/>
        <v>1</v>
      </c>
      <c r="J764" s="716">
        <f t="shared" si="603"/>
        <v>1</v>
      </c>
      <c r="K764" s="716">
        <f t="shared" si="603"/>
        <v>1</v>
      </c>
      <c r="L764" s="716">
        <f t="shared" si="603"/>
        <v>1</v>
      </c>
      <c r="M764" s="716">
        <f t="shared" si="603"/>
        <v>1</v>
      </c>
      <c r="N764" s="716">
        <f t="shared" si="603"/>
        <v>1</v>
      </c>
      <c r="O764" s="716">
        <f t="shared" si="603"/>
        <v>1</v>
      </c>
      <c r="P764" s="716">
        <f t="shared" si="603"/>
        <v>1</v>
      </c>
      <c r="Q764" s="716">
        <f t="shared" si="603"/>
        <v>1</v>
      </c>
      <c r="R764" s="716">
        <f t="shared" si="603"/>
        <v>1</v>
      </c>
      <c r="S764" s="716">
        <f t="shared" si="603"/>
        <v>1</v>
      </c>
      <c r="T764" s="716">
        <f t="shared" si="603"/>
        <v>1</v>
      </c>
      <c r="U764" s="716">
        <f t="shared" si="603"/>
        <v>1</v>
      </c>
      <c r="V764" s="716">
        <f t="shared" si="603"/>
        <v>1</v>
      </c>
      <c r="W764" s="716">
        <f t="shared" si="603"/>
        <v>1</v>
      </c>
      <c r="X764" s="716">
        <f t="shared" si="603"/>
        <v>1</v>
      </c>
      <c r="Y764" s="716">
        <f t="shared" si="603"/>
        <v>1</v>
      </c>
      <c r="Z764" s="716">
        <f t="shared" si="603"/>
        <v>1</v>
      </c>
      <c r="AA764" s="716">
        <f t="shared" si="603"/>
        <v>1</v>
      </c>
      <c r="AB764" s="716">
        <f t="shared" si="603"/>
        <v>1</v>
      </c>
      <c r="AC764" s="716">
        <f t="shared" si="603"/>
        <v>1</v>
      </c>
      <c r="AD764" s="716">
        <f t="shared" si="603"/>
        <v>1</v>
      </c>
      <c r="AE764" s="716">
        <f t="shared" si="603"/>
        <v>1</v>
      </c>
      <c r="AF764" s="716">
        <f t="shared" si="603"/>
        <v>1</v>
      </c>
      <c r="AH764" s="538"/>
      <c r="AK764" s="719"/>
      <c r="AM764" s="594"/>
      <c r="AN764" s="535"/>
      <c r="AP764" s="540"/>
      <c r="AQ764" s="540"/>
    </row>
    <row r="765" spans="1:43" s="513" customFormat="1" ht="16.5" hidden="1" customHeight="1" outlineLevel="2">
      <c r="A765" s="584"/>
      <c r="B765" s="572" t="s">
        <v>966</v>
      </c>
      <c r="C765" s="574">
        <f>Insumos!$E$169</f>
        <v>18900</v>
      </c>
      <c r="D765" s="574">
        <f>C765</f>
        <v>18900</v>
      </c>
      <c r="E765" s="574">
        <f t="shared" ref="E765:AF765" si="604">D765</f>
        <v>18900</v>
      </c>
      <c r="F765" s="574">
        <f t="shared" si="604"/>
        <v>18900</v>
      </c>
      <c r="G765" s="574">
        <f t="shared" si="604"/>
        <v>18900</v>
      </c>
      <c r="H765" s="574">
        <f t="shared" si="604"/>
        <v>18900</v>
      </c>
      <c r="I765" s="574">
        <f t="shared" si="604"/>
        <v>18900</v>
      </c>
      <c r="J765" s="574">
        <f t="shared" si="604"/>
        <v>18900</v>
      </c>
      <c r="K765" s="574">
        <f t="shared" si="604"/>
        <v>18900</v>
      </c>
      <c r="L765" s="574">
        <f t="shared" si="604"/>
        <v>18900</v>
      </c>
      <c r="M765" s="574">
        <f t="shared" si="604"/>
        <v>18900</v>
      </c>
      <c r="N765" s="574">
        <f t="shared" si="604"/>
        <v>18900</v>
      </c>
      <c r="O765" s="574">
        <f t="shared" si="604"/>
        <v>18900</v>
      </c>
      <c r="P765" s="574">
        <f t="shared" si="604"/>
        <v>18900</v>
      </c>
      <c r="Q765" s="574">
        <f t="shared" si="604"/>
        <v>18900</v>
      </c>
      <c r="R765" s="574">
        <f t="shared" si="604"/>
        <v>18900</v>
      </c>
      <c r="S765" s="574">
        <f t="shared" si="604"/>
        <v>18900</v>
      </c>
      <c r="T765" s="574">
        <f t="shared" si="604"/>
        <v>18900</v>
      </c>
      <c r="U765" s="574">
        <f t="shared" si="604"/>
        <v>18900</v>
      </c>
      <c r="V765" s="574">
        <f t="shared" si="604"/>
        <v>18900</v>
      </c>
      <c r="W765" s="574">
        <f t="shared" si="604"/>
        <v>18900</v>
      </c>
      <c r="X765" s="574">
        <f t="shared" si="604"/>
        <v>18900</v>
      </c>
      <c r="Y765" s="574">
        <f t="shared" si="604"/>
        <v>18900</v>
      </c>
      <c r="Z765" s="574">
        <f t="shared" si="604"/>
        <v>18900</v>
      </c>
      <c r="AA765" s="574">
        <f t="shared" si="604"/>
        <v>18900</v>
      </c>
      <c r="AB765" s="574">
        <f t="shared" si="604"/>
        <v>18900</v>
      </c>
      <c r="AC765" s="574">
        <f t="shared" si="604"/>
        <v>18900</v>
      </c>
      <c r="AD765" s="574">
        <f t="shared" si="604"/>
        <v>18900</v>
      </c>
      <c r="AE765" s="574">
        <f t="shared" si="604"/>
        <v>18900</v>
      </c>
      <c r="AF765" s="574">
        <f t="shared" si="604"/>
        <v>18900</v>
      </c>
      <c r="AH765" s="538"/>
      <c r="AK765" s="531"/>
      <c r="AM765" s="594"/>
      <c r="AN765" s="535"/>
      <c r="AP765" s="540"/>
      <c r="AQ765" s="540"/>
    </row>
    <row r="766" spans="1:43" s="546" customFormat="1" ht="16.5" hidden="1" customHeight="1" outlineLevel="2">
      <c r="A766" s="584"/>
      <c r="B766" s="569" t="s">
        <v>962</v>
      </c>
      <c r="C766" s="570">
        <f>C767*C768</f>
        <v>35832.545567518006</v>
      </c>
      <c r="D766" s="570">
        <f t="shared" ref="D766:AF766" si="605">D767*D768</f>
        <v>35832.545567518006</v>
      </c>
      <c r="E766" s="570">
        <f t="shared" si="605"/>
        <v>35832.545567518006</v>
      </c>
      <c r="F766" s="570">
        <f t="shared" si="605"/>
        <v>35832.545567518006</v>
      </c>
      <c r="G766" s="570">
        <f t="shared" si="605"/>
        <v>35832.545567518006</v>
      </c>
      <c r="H766" s="570">
        <f t="shared" si="605"/>
        <v>35832.545567518006</v>
      </c>
      <c r="I766" s="570">
        <f t="shared" si="605"/>
        <v>35832.545567518006</v>
      </c>
      <c r="J766" s="570">
        <f t="shared" si="605"/>
        <v>35832.545567518006</v>
      </c>
      <c r="K766" s="570">
        <f t="shared" si="605"/>
        <v>35832.545567518006</v>
      </c>
      <c r="L766" s="570">
        <f t="shared" si="605"/>
        <v>35832.545567518006</v>
      </c>
      <c r="M766" s="570">
        <f t="shared" si="605"/>
        <v>35832.545567518006</v>
      </c>
      <c r="N766" s="570">
        <f t="shared" si="605"/>
        <v>35832.545567518006</v>
      </c>
      <c r="O766" s="570">
        <f t="shared" si="605"/>
        <v>35832.545567518006</v>
      </c>
      <c r="P766" s="570">
        <f t="shared" si="605"/>
        <v>35832.545567518006</v>
      </c>
      <c r="Q766" s="570">
        <f t="shared" si="605"/>
        <v>35832.545567518006</v>
      </c>
      <c r="R766" s="570">
        <f t="shared" si="605"/>
        <v>35832.545567518006</v>
      </c>
      <c r="S766" s="570">
        <f t="shared" si="605"/>
        <v>35832.545567518006</v>
      </c>
      <c r="T766" s="570">
        <f t="shared" si="605"/>
        <v>35832.545567518006</v>
      </c>
      <c r="U766" s="570">
        <f t="shared" si="605"/>
        <v>35832.545567518006</v>
      </c>
      <c r="V766" s="570">
        <f t="shared" si="605"/>
        <v>35832.545567518006</v>
      </c>
      <c r="W766" s="570">
        <f t="shared" si="605"/>
        <v>35832.545567518006</v>
      </c>
      <c r="X766" s="570">
        <f t="shared" si="605"/>
        <v>35832.545567518006</v>
      </c>
      <c r="Y766" s="570">
        <f t="shared" si="605"/>
        <v>35832.545567518006</v>
      </c>
      <c r="Z766" s="570">
        <f t="shared" si="605"/>
        <v>35832.545567518006</v>
      </c>
      <c r="AA766" s="570">
        <f t="shared" si="605"/>
        <v>35832.545567518006</v>
      </c>
      <c r="AB766" s="570">
        <f t="shared" si="605"/>
        <v>35832.545567518006</v>
      </c>
      <c r="AC766" s="570">
        <f t="shared" si="605"/>
        <v>35832.545567518006</v>
      </c>
      <c r="AD766" s="570">
        <f t="shared" si="605"/>
        <v>35832.545567518006</v>
      </c>
      <c r="AE766" s="570">
        <f t="shared" si="605"/>
        <v>35832.545567518006</v>
      </c>
      <c r="AF766" s="570">
        <f t="shared" si="605"/>
        <v>35832.545567518006</v>
      </c>
      <c r="AH766" s="571"/>
      <c r="AK766" s="531"/>
      <c r="AM766" s="594"/>
      <c r="AN766" s="535"/>
      <c r="AP766" s="549"/>
      <c r="AQ766" s="549"/>
    </row>
    <row r="767" spans="1:43" s="513" customFormat="1" ht="16.5" hidden="1" customHeight="1" outlineLevel="2">
      <c r="A767" s="584"/>
      <c r="B767" s="572" t="s">
        <v>805</v>
      </c>
      <c r="C767" s="716">
        <f t="shared" ref="C767:AF767" si="606">C754</f>
        <v>1</v>
      </c>
      <c r="D767" s="716">
        <f t="shared" si="606"/>
        <v>1</v>
      </c>
      <c r="E767" s="716">
        <f t="shared" si="606"/>
        <v>1</v>
      </c>
      <c r="F767" s="716">
        <f t="shared" si="606"/>
        <v>1</v>
      </c>
      <c r="G767" s="716">
        <f t="shared" si="606"/>
        <v>1</v>
      </c>
      <c r="H767" s="716">
        <f t="shared" si="606"/>
        <v>1</v>
      </c>
      <c r="I767" s="716">
        <f t="shared" si="606"/>
        <v>1</v>
      </c>
      <c r="J767" s="716">
        <f t="shared" si="606"/>
        <v>1</v>
      </c>
      <c r="K767" s="716">
        <f t="shared" si="606"/>
        <v>1</v>
      </c>
      <c r="L767" s="716">
        <f t="shared" si="606"/>
        <v>1</v>
      </c>
      <c r="M767" s="716">
        <f t="shared" si="606"/>
        <v>1</v>
      </c>
      <c r="N767" s="716">
        <f t="shared" si="606"/>
        <v>1</v>
      </c>
      <c r="O767" s="716">
        <f t="shared" si="606"/>
        <v>1</v>
      </c>
      <c r="P767" s="716">
        <f t="shared" si="606"/>
        <v>1</v>
      </c>
      <c r="Q767" s="716">
        <f t="shared" si="606"/>
        <v>1</v>
      </c>
      <c r="R767" s="716">
        <f t="shared" si="606"/>
        <v>1</v>
      </c>
      <c r="S767" s="716">
        <f t="shared" si="606"/>
        <v>1</v>
      </c>
      <c r="T767" s="716">
        <f t="shared" si="606"/>
        <v>1</v>
      </c>
      <c r="U767" s="716">
        <f t="shared" si="606"/>
        <v>1</v>
      </c>
      <c r="V767" s="716">
        <f t="shared" si="606"/>
        <v>1</v>
      </c>
      <c r="W767" s="716">
        <f t="shared" si="606"/>
        <v>1</v>
      </c>
      <c r="X767" s="716">
        <f t="shared" si="606"/>
        <v>1</v>
      </c>
      <c r="Y767" s="716">
        <f t="shared" si="606"/>
        <v>1</v>
      </c>
      <c r="Z767" s="716">
        <f t="shared" si="606"/>
        <v>1</v>
      </c>
      <c r="AA767" s="716">
        <f t="shared" si="606"/>
        <v>1</v>
      </c>
      <c r="AB767" s="716">
        <f t="shared" si="606"/>
        <v>1</v>
      </c>
      <c r="AC767" s="716">
        <f t="shared" si="606"/>
        <v>1</v>
      </c>
      <c r="AD767" s="716">
        <f t="shared" si="606"/>
        <v>1</v>
      </c>
      <c r="AE767" s="716">
        <f t="shared" si="606"/>
        <v>1</v>
      </c>
      <c r="AF767" s="716">
        <f t="shared" si="606"/>
        <v>1</v>
      </c>
      <c r="AH767" s="538"/>
      <c r="AK767" s="719"/>
      <c r="AM767" s="594"/>
      <c r="AN767" s="535"/>
      <c r="AP767" s="540"/>
      <c r="AQ767" s="540"/>
    </row>
    <row r="768" spans="1:43" s="513" customFormat="1" ht="16.5" hidden="1" customHeight="1" outlineLevel="2">
      <c r="A768" s="584"/>
      <c r="B768" s="572" t="s">
        <v>966</v>
      </c>
      <c r="C768" s="574">
        <f>Insumos!$E$172</f>
        <v>35832.545567518006</v>
      </c>
      <c r="D768" s="574">
        <f>C768</f>
        <v>35832.545567518006</v>
      </c>
      <c r="E768" s="574">
        <f t="shared" ref="E768:AF768" si="607">D768</f>
        <v>35832.545567518006</v>
      </c>
      <c r="F768" s="574">
        <f t="shared" si="607"/>
        <v>35832.545567518006</v>
      </c>
      <c r="G768" s="574">
        <f t="shared" si="607"/>
        <v>35832.545567518006</v>
      </c>
      <c r="H768" s="574">
        <f t="shared" si="607"/>
        <v>35832.545567518006</v>
      </c>
      <c r="I768" s="574">
        <f t="shared" si="607"/>
        <v>35832.545567518006</v>
      </c>
      <c r="J768" s="574">
        <f t="shared" si="607"/>
        <v>35832.545567518006</v>
      </c>
      <c r="K768" s="574">
        <f t="shared" si="607"/>
        <v>35832.545567518006</v>
      </c>
      <c r="L768" s="574">
        <f t="shared" si="607"/>
        <v>35832.545567518006</v>
      </c>
      <c r="M768" s="574">
        <f t="shared" si="607"/>
        <v>35832.545567518006</v>
      </c>
      <c r="N768" s="574">
        <f t="shared" si="607"/>
        <v>35832.545567518006</v>
      </c>
      <c r="O768" s="574">
        <f t="shared" si="607"/>
        <v>35832.545567518006</v>
      </c>
      <c r="P768" s="574">
        <f t="shared" si="607"/>
        <v>35832.545567518006</v>
      </c>
      <c r="Q768" s="574">
        <f t="shared" si="607"/>
        <v>35832.545567518006</v>
      </c>
      <c r="R768" s="574">
        <f t="shared" si="607"/>
        <v>35832.545567518006</v>
      </c>
      <c r="S768" s="574">
        <f t="shared" si="607"/>
        <v>35832.545567518006</v>
      </c>
      <c r="T768" s="574">
        <f t="shared" si="607"/>
        <v>35832.545567518006</v>
      </c>
      <c r="U768" s="574">
        <f t="shared" si="607"/>
        <v>35832.545567518006</v>
      </c>
      <c r="V768" s="574">
        <f t="shared" si="607"/>
        <v>35832.545567518006</v>
      </c>
      <c r="W768" s="574">
        <f t="shared" si="607"/>
        <v>35832.545567518006</v>
      </c>
      <c r="X768" s="574">
        <f t="shared" si="607"/>
        <v>35832.545567518006</v>
      </c>
      <c r="Y768" s="574">
        <f t="shared" si="607"/>
        <v>35832.545567518006</v>
      </c>
      <c r="Z768" s="574">
        <f t="shared" si="607"/>
        <v>35832.545567518006</v>
      </c>
      <c r="AA768" s="574">
        <f t="shared" si="607"/>
        <v>35832.545567518006</v>
      </c>
      <c r="AB768" s="574">
        <f t="shared" si="607"/>
        <v>35832.545567518006</v>
      </c>
      <c r="AC768" s="574">
        <f t="shared" si="607"/>
        <v>35832.545567518006</v>
      </c>
      <c r="AD768" s="574">
        <f t="shared" si="607"/>
        <v>35832.545567518006</v>
      </c>
      <c r="AE768" s="574">
        <f t="shared" si="607"/>
        <v>35832.545567518006</v>
      </c>
      <c r="AF768" s="574">
        <f t="shared" si="607"/>
        <v>35832.545567518006</v>
      </c>
      <c r="AH768" s="538"/>
      <c r="AK768" s="531"/>
      <c r="AM768" s="594"/>
      <c r="AN768" s="535"/>
      <c r="AP768" s="540"/>
      <c r="AQ768" s="540"/>
    </row>
    <row r="769" spans="1:43" s="546" customFormat="1" ht="16.5" hidden="1" customHeight="1" outlineLevel="2">
      <c r="A769" s="584"/>
      <c r="B769" s="569" t="s">
        <v>963</v>
      </c>
      <c r="C769" s="570">
        <f>C770*C771</f>
        <v>46655.977060000005</v>
      </c>
      <c r="D769" s="570">
        <f t="shared" ref="D769:AF769" si="608">D770*D771</f>
        <v>46655.977060000005</v>
      </c>
      <c r="E769" s="570">
        <f t="shared" si="608"/>
        <v>46655.977060000005</v>
      </c>
      <c r="F769" s="570">
        <f t="shared" si="608"/>
        <v>46655.977060000005</v>
      </c>
      <c r="G769" s="570">
        <f t="shared" si="608"/>
        <v>46655.977060000005</v>
      </c>
      <c r="H769" s="570">
        <f t="shared" si="608"/>
        <v>46655.977060000005</v>
      </c>
      <c r="I769" s="570">
        <f t="shared" si="608"/>
        <v>46655.977060000005</v>
      </c>
      <c r="J769" s="570">
        <f t="shared" si="608"/>
        <v>46655.977060000005</v>
      </c>
      <c r="K769" s="570">
        <f t="shared" si="608"/>
        <v>46655.977060000005</v>
      </c>
      <c r="L769" s="570">
        <f t="shared" si="608"/>
        <v>46655.977060000005</v>
      </c>
      <c r="M769" s="570">
        <f t="shared" si="608"/>
        <v>46655.977060000005</v>
      </c>
      <c r="N769" s="570">
        <f t="shared" si="608"/>
        <v>46655.977060000005</v>
      </c>
      <c r="O769" s="570">
        <f t="shared" si="608"/>
        <v>46655.977060000005</v>
      </c>
      <c r="P769" s="570">
        <f t="shared" si="608"/>
        <v>46655.977060000005</v>
      </c>
      <c r="Q769" s="570">
        <f t="shared" si="608"/>
        <v>46655.977060000005</v>
      </c>
      <c r="R769" s="570">
        <f t="shared" si="608"/>
        <v>46655.977060000005</v>
      </c>
      <c r="S769" s="570">
        <f t="shared" si="608"/>
        <v>46655.977060000005</v>
      </c>
      <c r="T769" s="570">
        <f t="shared" si="608"/>
        <v>46655.977060000005</v>
      </c>
      <c r="U769" s="570">
        <f t="shared" si="608"/>
        <v>46655.977060000005</v>
      </c>
      <c r="V769" s="570">
        <f t="shared" si="608"/>
        <v>46655.977060000005</v>
      </c>
      <c r="W769" s="570">
        <f t="shared" si="608"/>
        <v>46655.977060000005</v>
      </c>
      <c r="X769" s="570">
        <f t="shared" si="608"/>
        <v>46655.977060000005</v>
      </c>
      <c r="Y769" s="570">
        <f t="shared" si="608"/>
        <v>46655.977060000005</v>
      </c>
      <c r="Z769" s="570">
        <f t="shared" si="608"/>
        <v>46655.977060000005</v>
      </c>
      <c r="AA769" s="570">
        <f t="shared" si="608"/>
        <v>46655.977060000005</v>
      </c>
      <c r="AB769" s="570">
        <f t="shared" si="608"/>
        <v>46655.977060000005</v>
      </c>
      <c r="AC769" s="570">
        <f t="shared" si="608"/>
        <v>46655.977060000005</v>
      </c>
      <c r="AD769" s="570">
        <f t="shared" si="608"/>
        <v>46655.977060000005</v>
      </c>
      <c r="AE769" s="570">
        <f t="shared" si="608"/>
        <v>46655.977060000005</v>
      </c>
      <c r="AF769" s="570">
        <f t="shared" si="608"/>
        <v>46655.977060000005</v>
      </c>
      <c r="AH769" s="571"/>
      <c r="AK769" s="531"/>
      <c r="AM769" s="594"/>
      <c r="AN769" s="535"/>
      <c r="AP769" s="549"/>
      <c r="AQ769" s="549"/>
    </row>
    <row r="770" spans="1:43" s="513" customFormat="1" ht="16.5" hidden="1" customHeight="1" outlineLevel="2">
      <c r="A770" s="584"/>
      <c r="B770" s="572" t="s">
        <v>805</v>
      </c>
      <c r="C770" s="716">
        <f t="shared" ref="C770:AF770" si="609">C755</f>
        <v>1</v>
      </c>
      <c r="D770" s="716">
        <f t="shared" si="609"/>
        <v>1</v>
      </c>
      <c r="E770" s="716">
        <f t="shared" si="609"/>
        <v>1</v>
      </c>
      <c r="F770" s="716">
        <f t="shared" si="609"/>
        <v>1</v>
      </c>
      <c r="G770" s="716">
        <f t="shared" si="609"/>
        <v>1</v>
      </c>
      <c r="H770" s="716">
        <f t="shared" si="609"/>
        <v>1</v>
      </c>
      <c r="I770" s="716">
        <f t="shared" si="609"/>
        <v>1</v>
      </c>
      <c r="J770" s="716">
        <f t="shared" si="609"/>
        <v>1</v>
      </c>
      <c r="K770" s="716">
        <f t="shared" si="609"/>
        <v>1</v>
      </c>
      <c r="L770" s="716">
        <f t="shared" si="609"/>
        <v>1</v>
      </c>
      <c r="M770" s="716">
        <f t="shared" si="609"/>
        <v>1</v>
      </c>
      <c r="N770" s="716">
        <f t="shared" si="609"/>
        <v>1</v>
      </c>
      <c r="O770" s="716">
        <f t="shared" si="609"/>
        <v>1</v>
      </c>
      <c r="P770" s="716">
        <f t="shared" si="609"/>
        <v>1</v>
      </c>
      <c r="Q770" s="716">
        <f t="shared" si="609"/>
        <v>1</v>
      </c>
      <c r="R770" s="716">
        <f t="shared" si="609"/>
        <v>1</v>
      </c>
      <c r="S770" s="716">
        <f t="shared" si="609"/>
        <v>1</v>
      </c>
      <c r="T770" s="716">
        <f t="shared" si="609"/>
        <v>1</v>
      </c>
      <c r="U770" s="716">
        <f t="shared" si="609"/>
        <v>1</v>
      </c>
      <c r="V770" s="716">
        <f t="shared" si="609"/>
        <v>1</v>
      </c>
      <c r="W770" s="716">
        <f t="shared" si="609"/>
        <v>1</v>
      </c>
      <c r="X770" s="716">
        <f t="shared" si="609"/>
        <v>1</v>
      </c>
      <c r="Y770" s="716">
        <f t="shared" si="609"/>
        <v>1</v>
      </c>
      <c r="Z770" s="716">
        <f t="shared" si="609"/>
        <v>1</v>
      </c>
      <c r="AA770" s="716">
        <f t="shared" si="609"/>
        <v>1</v>
      </c>
      <c r="AB770" s="716">
        <f t="shared" si="609"/>
        <v>1</v>
      </c>
      <c r="AC770" s="716">
        <f t="shared" si="609"/>
        <v>1</v>
      </c>
      <c r="AD770" s="716">
        <f t="shared" si="609"/>
        <v>1</v>
      </c>
      <c r="AE770" s="716">
        <f t="shared" si="609"/>
        <v>1</v>
      </c>
      <c r="AF770" s="716">
        <f t="shared" si="609"/>
        <v>1</v>
      </c>
      <c r="AH770" s="538"/>
      <c r="AK770" s="719"/>
      <c r="AM770" s="594"/>
      <c r="AN770" s="535"/>
      <c r="AP770" s="540"/>
      <c r="AQ770" s="540"/>
    </row>
    <row r="771" spans="1:43" s="513" customFormat="1" ht="16.5" hidden="1" customHeight="1" outlineLevel="2">
      <c r="A771" s="584"/>
      <c r="B771" s="572" t="s">
        <v>966</v>
      </c>
      <c r="C771" s="574">
        <f>Insumos!$E$173</f>
        <v>46655.977060000005</v>
      </c>
      <c r="D771" s="574">
        <f>C771</f>
        <v>46655.977060000005</v>
      </c>
      <c r="E771" s="574">
        <f t="shared" ref="E771:AF771" si="610">D771</f>
        <v>46655.977060000005</v>
      </c>
      <c r="F771" s="574">
        <f t="shared" si="610"/>
        <v>46655.977060000005</v>
      </c>
      <c r="G771" s="574">
        <f t="shared" si="610"/>
        <v>46655.977060000005</v>
      </c>
      <c r="H771" s="574">
        <f t="shared" si="610"/>
        <v>46655.977060000005</v>
      </c>
      <c r="I771" s="574">
        <f t="shared" si="610"/>
        <v>46655.977060000005</v>
      </c>
      <c r="J771" s="574">
        <f t="shared" si="610"/>
        <v>46655.977060000005</v>
      </c>
      <c r="K771" s="574">
        <f t="shared" si="610"/>
        <v>46655.977060000005</v>
      </c>
      <c r="L771" s="574">
        <f t="shared" si="610"/>
        <v>46655.977060000005</v>
      </c>
      <c r="M771" s="574">
        <f t="shared" si="610"/>
        <v>46655.977060000005</v>
      </c>
      <c r="N771" s="574">
        <f t="shared" si="610"/>
        <v>46655.977060000005</v>
      </c>
      <c r="O771" s="574">
        <f t="shared" si="610"/>
        <v>46655.977060000005</v>
      </c>
      <c r="P771" s="574">
        <f t="shared" si="610"/>
        <v>46655.977060000005</v>
      </c>
      <c r="Q771" s="574">
        <f t="shared" si="610"/>
        <v>46655.977060000005</v>
      </c>
      <c r="R771" s="574">
        <f t="shared" si="610"/>
        <v>46655.977060000005</v>
      </c>
      <c r="S771" s="574">
        <f t="shared" si="610"/>
        <v>46655.977060000005</v>
      </c>
      <c r="T771" s="574">
        <f t="shared" si="610"/>
        <v>46655.977060000005</v>
      </c>
      <c r="U771" s="574">
        <f t="shared" si="610"/>
        <v>46655.977060000005</v>
      </c>
      <c r="V771" s="574">
        <f t="shared" si="610"/>
        <v>46655.977060000005</v>
      </c>
      <c r="W771" s="574">
        <f t="shared" si="610"/>
        <v>46655.977060000005</v>
      </c>
      <c r="X771" s="574">
        <f t="shared" si="610"/>
        <v>46655.977060000005</v>
      </c>
      <c r="Y771" s="574">
        <f t="shared" si="610"/>
        <v>46655.977060000005</v>
      </c>
      <c r="Z771" s="574">
        <f t="shared" si="610"/>
        <v>46655.977060000005</v>
      </c>
      <c r="AA771" s="574">
        <f t="shared" si="610"/>
        <v>46655.977060000005</v>
      </c>
      <c r="AB771" s="574">
        <f t="shared" si="610"/>
        <v>46655.977060000005</v>
      </c>
      <c r="AC771" s="574">
        <f t="shared" si="610"/>
        <v>46655.977060000005</v>
      </c>
      <c r="AD771" s="574">
        <f t="shared" si="610"/>
        <v>46655.977060000005</v>
      </c>
      <c r="AE771" s="574">
        <f t="shared" si="610"/>
        <v>46655.977060000005</v>
      </c>
      <c r="AF771" s="574">
        <f t="shared" si="610"/>
        <v>46655.977060000005</v>
      </c>
      <c r="AH771" s="538"/>
      <c r="AK771" s="531"/>
      <c r="AM771" s="594"/>
      <c r="AN771" s="535"/>
      <c r="AP771" s="540"/>
      <c r="AQ771" s="540"/>
    </row>
    <row r="772" spans="1:43" s="546" customFormat="1" ht="16.5" hidden="1" customHeight="1" outlineLevel="2">
      <c r="A772" s="584"/>
      <c r="B772" s="551" t="s">
        <v>965</v>
      </c>
      <c r="C772" s="570">
        <f>C773*C774</f>
        <v>4034.5523400000002</v>
      </c>
      <c r="D772" s="570">
        <f t="shared" ref="D772:AF772" si="611">D773*D774</f>
        <v>4034.5523400000002</v>
      </c>
      <c r="E772" s="570">
        <f t="shared" si="611"/>
        <v>4034.5523400000002</v>
      </c>
      <c r="F772" s="570">
        <f t="shared" si="611"/>
        <v>4034.5523400000002</v>
      </c>
      <c r="G772" s="570">
        <f t="shared" si="611"/>
        <v>4034.5523400000002</v>
      </c>
      <c r="H772" s="570">
        <f t="shared" si="611"/>
        <v>4034.5523400000002</v>
      </c>
      <c r="I772" s="570">
        <f t="shared" si="611"/>
        <v>4034.5523400000002</v>
      </c>
      <c r="J772" s="570">
        <f t="shared" si="611"/>
        <v>4034.5523400000002</v>
      </c>
      <c r="K772" s="570">
        <f t="shared" si="611"/>
        <v>4034.5523400000002</v>
      </c>
      <c r="L772" s="570">
        <f t="shared" si="611"/>
        <v>4034.5523400000002</v>
      </c>
      <c r="M772" s="570">
        <f t="shared" si="611"/>
        <v>4034.5523400000002</v>
      </c>
      <c r="N772" s="570">
        <f t="shared" si="611"/>
        <v>4034.5523400000002</v>
      </c>
      <c r="O772" s="570">
        <f t="shared" si="611"/>
        <v>4034.5523400000002</v>
      </c>
      <c r="P772" s="570">
        <f t="shared" si="611"/>
        <v>4034.5523400000002</v>
      </c>
      <c r="Q772" s="570">
        <f t="shared" si="611"/>
        <v>4034.5523400000002</v>
      </c>
      <c r="R772" s="570">
        <f t="shared" si="611"/>
        <v>4034.5523400000002</v>
      </c>
      <c r="S772" s="570">
        <f t="shared" si="611"/>
        <v>4034.5523400000002</v>
      </c>
      <c r="T772" s="570">
        <f t="shared" si="611"/>
        <v>4034.5523400000002</v>
      </c>
      <c r="U772" s="570">
        <f t="shared" si="611"/>
        <v>4034.5523400000002</v>
      </c>
      <c r="V772" s="570">
        <f t="shared" si="611"/>
        <v>4034.5523400000002</v>
      </c>
      <c r="W772" s="570">
        <f t="shared" si="611"/>
        <v>4034.5523400000002</v>
      </c>
      <c r="X772" s="570">
        <f t="shared" si="611"/>
        <v>4034.5523400000002</v>
      </c>
      <c r="Y772" s="570">
        <f t="shared" si="611"/>
        <v>4034.5523400000002</v>
      </c>
      <c r="Z772" s="570">
        <f t="shared" si="611"/>
        <v>4034.5523400000002</v>
      </c>
      <c r="AA772" s="570">
        <f t="shared" si="611"/>
        <v>4034.5523400000002</v>
      </c>
      <c r="AB772" s="570">
        <f t="shared" si="611"/>
        <v>4034.5523400000002</v>
      </c>
      <c r="AC772" s="570">
        <f t="shared" si="611"/>
        <v>4034.5523400000002</v>
      </c>
      <c r="AD772" s="570">
        <f t="shared" si="611"/>
        <v>4034.5523400000002</v>
      </c>
      <c r="AE772" s="570">
        <f t="shared" si="611"/>
        <v>4034.5523400000002</v>
      </c>
      <c r="AF772" s="570">
        <f t="shared" si="611"/>
        <v>4034.5523400000002</v>
      </c>
      <c r="AH772" s="571"/>
      <c r="AK772" s="531"/>
      <c r="AM772" s="594"/>
      <c r="AN772" s="535"/>
      <c r="AP772" s="549"/>
      <c r="AQ772" s="549"/>
    </row>
    <row r="773" spans="1:43" s="513" customFormat="1" ht="16.5" hidden="1" customHeight="1" outlineLevel="2">
      <c r="A773" s="584"/>
      <c r="B773" s="572" t="s">
        <v>805</v>
      </c>
      <c r="C773" s="716">
        <f>C758</f>
        <v>1</v>
      </c>
      <c r="D773" s="716">
        <f t="shared" ref="D773:AF773" si="612">D758</f>
        <v>1</v>
      </c>
      <c r="E773" s="716">
        <f t="shared" si="612"/>
        <v>1</v>
      </c>
      <c r="F773" s="716">
        <f t="shared" si="612"/>
        <v>1</v>
      </c>
      <c r="G773" s="716">
        <f t="shared" si="612"/>
        <v>1</v>
      </c>
      <c r="H773" s="716">
        <f t="shared" si="612"/>
        <v>1</v>
      </c>
      <c r="I773" s="716">
        <f t="shared" si="612"/>
        <v>1</v>
      </c>
      <c r="J773" s="716">
        <f t="shared" si="612"/>
        <v>1</v>
      </c>
      <c r="K773" s="716">
        <f t="shared" si="612"/>
        <v>1</v>
      </c>
      <c r="L773" s="716">
        <f t="shared" si="612"/>
        <v>1</v>
      </c>
      <c r="M773" s="716">
        <f t="shared" si="612"/>
        <v>1</v>
      </c>
      <c r="N773" s="716">
        <f t="shared" si="612"/>
        <v>1</v>
      </c>
      <c r="O773" s="716">
        <f t="shared" si="612"/>
        <v>1</v>
      </c>
      <c r="P773" s="716">
        <f t="shared" si="612"/>
        <v>1</v>
      </c>
      <c r="Q773" s="716">
        <f t="shared" si="612"/>
        <v>1</v>
      </c>
      <c r="R773" s="716">
        <f t="shared" si="612"/>
        <v>1</v>
      </c>
      <c r="S773" s="716">
        <f t="shared" si="612"/>
        <v>1</v>
      </c>
      <c r="T773" s="716">
        <f t="shared" si="612"/>
        <v>1</v>
      </c>
      <c r="U773" s="716">
        <f t="shared" si="612"/>
        <v>1</v>
      </c>
      <c r="V773" s="716">
        <f t="shared" si="612"/>
        <v>1</v>
      </c>
      <c r="W773" s="716">
        <f t="shared" si="612"/>
        <v>1</v>
      </c>
      <c r="X773" s="716">
        <f t="shared" si="612"/>
        <v>1</v>
      </c>
      <c r="Y773" s="716">
        <f t="shared" si="612"/>
        <v>1</v>
      </c>
      <c r="Z773" s="716">
        <f t="shared" si="612"/>
        <v>1</v>
      </c>
      <c r="AA773" s="716">
        <f t="shared" si="612"/>
        <v>1</v>
      </c>
      <c r="AB773" s="716">
        <f t="shared" si="612"/>
        <v>1</v>
      </c>
      <c r="AC773" s="716">
        <f t="shared" si="612"/>
        <v>1</v>
      </c>
      <c r="AD773" s="716">
        <f t="shared" si="612"/>
        <v>1</v>
      </c>
      <c r="AE773" s="716">
        <f t="shared" si="612"/>
        <v>1</v>
      </c>
      <c r="AF773" s="716">
        <f t="shared" si="612"/>
        <v>1</v>
      </c>
      <c r="AH773" s="538"/>
      <c r="AK773" s="719"/>
      <c r="AM773" s="594"/>
      <c r="AN773" s="535"/>
      <c r="AP773" s="540"/>
      <c r="AQ773" s="540"/>
    </row>
    <row r="774" spans="1:43" ht="16.5" hidden="1" customHeight="1" outlineLevel="2">
      <c r="A774" s="584"/>
      <c r="B774" s="572" t="s">
        <v>888</v>
      </c>
      <c r="C774" s="574">
        <f>Insumos!$E$171</f>
        <v>4034.5523400000002</v>
      </c>
      <c r="D774" s="574">
        <f>C774</f>
        <v>4034.5523400000002</v>
      </c>
      <c r="E774" s="574">
        <f t="shared" ref="E774:T774" si="613">D774</f>
        <v>4034.5523400000002</v>
      </c>
      <c r="F774" s="574">
        <f t="shared" si="613"/>
        <v>4034.5523400000002</v>
      </c>
      <c r="G774" s="574">
        <f t="shared" si="613"/>
        <v>4034.5523400000002</v>
      </c>
      <c r="H774" s="574">
        <f t="shared" si="613"/>
        <v>4034.5523400000002</v>
      </c>
      <c r="I774" s="574">
        <f t="shared" si="613"/>
        <v>4034.5523400000002</v>
      </c>
      <c r="J774" s="574">
        <f t="shared" si="613"/>
        <v>4034.5523400000002</v>
      </c>
      <c r="K774" s="574">
        <f t="shared" si="613"/>
        <v>4034.5523400000002</v>
      </c>
      <c r="L774" s="574">
        <f t="shared" si="613"/>
        <v>4034.5523400000002</v>
      </c>
      <c r="M774" s="574">
        <f t="shared" si="613"/>
        <v>4034.5523400000002</v>
      </c>
      <c r="N774" s="574">
        <f t="shared" si="613"/>
        <v>4034.5523400000002</v>
      </c>
      <c r="O774" s="574">
        <f t="shared" si="613"/>
        <v>4034.5523400000002</v>
      </c>
      <c r="P774" s="574">
        <f t="shared" si="613"/>
        <v>4034.5523400000002</v>
      </c>
      <c r="Q774" s="574">
        <f t="shared" si="613"/>
        <v>4034.5523400000002</v>
      </c>
      <c r="R774" s="574">
        <f t="shared" si="613"/>
        <v>4034.5523400000002</v>
      </c>
      <c r="S774" s="574">
        <f t="shared" si="613"/>
        <v>4034.5523400000002</v>
      </c>
      <c r="T774" s="574">
        <f t="shared" si="613"/>
        <v>4034.5523400000002</v>
      </c>
      <c r="U774" s="574">
        <f t="shared" ref="U774:AF774" si="614">T774</f>
        <v>4034.5523400000002</v>
      </c>
      <c r="V774" s="574">
        <f t="shared" si="614"/>
        <v>4034.5523400000002</v>
      </c>
      <c r="W774" s="574">
        <f t="shared" si="614"/>
        <v>4034.5523400000002</v>
      </c>
      <c r="X774" s="574">
        <f t="shared" si="614"/>
        <v>4034.5523400000002</v>
      </c>
      <c r="Y774" s="574">
        <f t="shared" si="614"/>
        <v>4034.5523400000002</v>
      </c>
      <c r="Z774" s="574">
        <f t="shared" si="614"/>
        <v>4034.5523400000002</v>
      </c>
      <c r="AA774" s="574">
        <f t="shared" si="614"/>
        <v>4034.5523400000002</v>
      </c>
      <c r="AB774" s="574">
        <f t="shared" si="614"/>
        <v>4034.5523400000002</v>
      </c>
      <c r="AC774" s="574">
        <f t="shared" si="614"/>
        <v>4034.5523400000002</v>
      </c>
      <c r="AD774" s="574">
        <f t="shared" si="614"/>
        <v>4034.5523400000002</v>
      </c>
      <c r="AE774" s="574">
        <f t="shared" si="614"/>
        <v>4034.5523400000002</v>
      </c>
      <c r="AF774" s="574">
        <f t="shared" si="614"/>
        <v>4034.5523400000002</v>
      </c>
      <c r="AH774" s="593"/>
      <c r="AK774" s="531"/>
      <c r="AM774" s="594"/>
      <c r="AN774" s="535"/>
      <c r="AP774" s="535"/>
      <c r="AQ774" s="535"/>
    </row>
    <row r="775" spans="1:43" s="513" customFormat="1" ht="3" hidden="1" customHeight="1" outlineLevel="2">
      <c r="A775" s="584"/>
      <c r="B775" s="572"/>
      <c r="C775" s="575"/>
      <c r="D775" s="575"/>
      <c r="E775" s="575"/>
      <c r="F775" s="575"/>
      <c r="G775" s="575"/>
      <c r="H775" s="575"/>
      <c r="I775" s="575"/>
      <c r="J775" s="575"/>
      <c r="K775" s="575"/>
      <c r="L775" s="575"/>
      <c r="M775" s="575"/>
      <c r="N775" s="575"/>
      <c r="O775" s="575"/>
      <c r="P775" s="575"/>
      <c r="Q775" s="575"/>
      <c r="R775" s="575"/>
      <c r="S775" s="575"/>
      <c r="T775" s="575"/>
      <c r="U775" s="575"/>
      <c r="V775" s="575"/>
      <c r="W775" s="575"/>
      <c r="X775" s="575"/>
      <c r="Y775" s="575"/>
      <c r="Z775" s="575"/>
      <c r="AA775" s="575"/>
      <c r="AB775" s="575"/>
      <c r="AC775" s="575"/>
      <c r="AD775" s="575"/>
      <c r="AE775" s="575"/>
      <c r="AF775" s="575"/>
      <c r="AH775" s="538"/>
      <c r="AK775" s="531"/>
      <c r="AM775" s="594"/>
      <c r="AN775" s="535"/>
      <c r="AP775" s="540"/>
      <c r="AQ775" s="540"/>
    </row>
    <row r="776" spans="1:43" s="564" customFormat="1" ht="16.5" hidden="1" customHeight="1" outlineLevel="1" collapsed="1">
      <c r="A776" s="584"/>
      <c r="B776" s="576" t="s">
        <v>890</v>
      </c>
      <c r="C776" s="577">
        <f>SUM(C777,C781,C785)*12/10^3</f>
        <v>61.975200000000001</v>
      </c>
      <c r="D776" s="577">
        <f t="shared" ref="D776:AF776" si="615">SUM(D777,D781,D785)*12/10^3</f>
        <v>61.975200000000001</v>
      </c>
      <c r="E776" s="577">
        <f t="shared" si="615"/>
        <v>61.975200000000001</v>
      </c>
      <c r="F776" s="577">
        <f t="shared" si="615"/>
        <v>61.975200000000001</v>
      </c>
      <c r="G776" s="577">
        <f t="shared" si="615"/>
        <v>61.975200000000001</v>
      </c>
      <c r="H776" s="577">
        <f t="shared" si="615"/>
        <v>61.975200000000001</v>
      </c>
      <c r="I776" s="577">
        <f t="shared" si="615"/>
        <v>61.975200000000001</v>
      </c>
      <c r="J776" s="577">
        <f t="shared" si="615"/>
        <v>61.975200000000001</v>
      </c>
      <c r="K776" s="577">
        <f t="shared" si="615"/>
        <v>61.975200000000001</v>
      </c>
      <c r="L776" s="577">
        <f t="shared" si="615"/>
        <v>61.975200000000001</v>
      </c>
      <c r="M776" s="577">
        <f t="shared" si="615"/>
        <v>61.975200000000001</v>
      </c>
      <c r="N776" s="577">
        <f t="shared" si="615"/>
        <v>61.975200000000001</v>
      </c>
      <c r="O776" s="577">
        <f t="shared" si="615"/>
        <v>61.975200000000001</v>
      </c>
      <c r="P776" s="577">
        <f t="shared" si="615"/>
        <v>61.975200000000001</v>
      </c>
      <c r="Q776" s="577">
        <f t="shared" si="615"/>
        <v>61.975200000000001</v>
      </c>
      <c r="R776" s="577">
        <f t="shared" si="615"/>
        <v>61.975200000000001</v>
      </c>
      <c r="S776" s="577">
        <f t="shared" si="615"/>
        <v>61.975200000000001</v>
      </c>
      <c r="T776" s="577">
        <f t="shared" si="615"/>
        <v>61.975200000000001</v>
      </c>
      <c r="U776" s="577">
        <f t="shared" si="615"/>
        <v>61.975200000000001</v>
      </c>
      <c r="V776" s="577">
        <f t="shared" si="615"/>
        <v>61.975200000000001</v>
      </c>
      <c r="W776" s="577">
        <f t="shared" si="615"/>
        <v>61.975200000000001</v>
      </c>
      <c r="X776" s="577">
        <f t="shared" si="615"/>
        <v>61.975200000000001</v>
      </c>
      <c r="Y776" s="577">
        <f t="shared" si="615"/>
        <v>61.975200000000001</v>
      </c>
      <c r="Z776" s="577">
        <f t="shared" si="615"/>
        <v>61.975200000000001</v>
      </c>
      <c r="AA776" s="577">
        <f t="shared" si="615"/>
        <v>61.975200000000001</v>
      </c>
      <c r="AB776" s="577">
        <f t="shared" si="615"/>
        <v>61.975200000000001</v>
      </c>
      <c r="AC776" s="577">
        <f t="shared" si="615"/>
        <v>61.975200000000001</v>
      </c>
      <c r="AD776" s="577">
        <f t="shared" si="615"/>
        <v>61.975200000000001</v>
      </c>
      <c r="AE776" s="577">
        <f t="shared" si="615"/>
        <v>61.975200000000001</v>
      </c>
      <c r="AF776" s="577">
        <f t="shared" si="615"/>
        <v>61.975200000000001</v>
      </c>
      <c r="AH776" s="578">
        <f>SUM(C776:AF776)</f>
        <v>1859.2560000000008</v>
      </c>
      <c r="AJ776" s="579"/>
      <c r="AK776" s="531"/>
      <c r="AM776" s="594"/>
      <c r="AN776" s="535"/>
      <c r="AP776" s="568"/>
      <c r="AQ776" s="568"/>
    </row>
    <row r="777" spans="1:43" s="546" customFormat="1" ht="16.5" hidden="1" customHeight="1" outlineLevel="2">
      <c r="A777" s="584"/>
      <c r="B777" s="569" t="s">
        <v>828</v>
      </c>
      <c r="C777" s="581">
        <f>C779*C780</f>
        <v>130.875</v>
      </c>
      <c r="D777" s="581">
        <f t="shared" ref="D777:AG777" si="616">D779*D780</f>
        <v>130.875</v>
      </c>
      <c r="E777" s="581">
        <f t="shared" si="616"/>
        <v>130.875</v>
      </c>
      <c r="F777" s="581">
        <f t="shared" si="616"/>
        <v>130.875</v>
      </c>
      <c r="G777" s="581">
        <f t="shared" si="616"/>
        <v>130.875</v>
      </c>
      <c r="H777" s="581">
        <f t="shared" si="616"/>
        <v>130.875</v>
      </c>
      <c r="I777" s="581">
        <f t="shared" si="616"/>
        <v>130.875</v>
      </c>
      <c r="J777" s="581">
        <f t="shared" si="616"/>
        <v>130.875</v>
      </c>
      <c r="K777" s="581">
        <f t="shared" si="616"/>
        <v>130.875</v>
      </c>
      <c r="L777" s="581">
        <f t="shared" si="616"/>
        <v>130.875</v>
      </c>
      <c r="M777" s="581">
        <f t="shared" si="616"/>
        <v>130.875</v>
      </c>
      <c r="N777" s="581">
        <f t="shared" si="616"/>
        <v>130.875</v>
      </c>
      <c r="O777" s="581">
        <f t="shared" si="616"/>
        <v>130.875</v>
      </c>
      <c r="P777" s="581">
        <f t="shared" si="616"/>
        <v>130.875</v>
      </c>
      <c r="Q777" s="581">
        <f t="shared" si="616"/>
        <v>130.875</v>
      </c>
      <c r="R777" s="581">
        <f t="shared" si="616"/>
        <v>130.875</v>
      </c>
      <c r="S777" s="581">
        <f t="shared" si="616"/>
        <v>130.875</v>
      </c>
      <c r="T777" s="581">
        <f t="shared" si="616"/>
        <v>130.875</v>
      </c>
      <c r="U777" s="581">
        <f t="shared" si="616"/>
        <v>130.875</v>
      </c>
      <c r="V777" s="581">
        <f t="shared" si="616"/>
        <v>130.875</v>
      </c>
      <c r="W777" s="581">
        <f t="shared" si="616"/>
        <v>130.875</v>
      </c>
      <c r="X777" s="581">
        <f t="shared" si="616"/>
        <v>130.875</v>
      </c>
      <c r="Y777" s="581">
        <f t="shared" si="616"/>
        <v>130.875</v>
      </c>
      <c r="Z777" s="581">
        <f t="shared" si="616"/>
        <v>130.875</v>
      </c>
      <c r="AA777" s="581">
        <f t="shared" si="616"/>
        <v>130.875</v>
      </c>
      <c r="AB777" s="581">
        <f t="shared" si="616"/>
        <v>130.875</v>
      </c>
      <c r="AC777" s="581">
        <f t="shared" si="616"/>
        <v>130.875</v>
      </c>
      <c r="AD777" s="581">
        <f t="shared" si="616"/>
        <v>130.875</v>
      </c>
      <c r="AE777" s="581">
        <f t="shared" si="616"/>
        <v>130.875</v>
      </c>
      <c r="AF777" s="581">
        <f t="shared" si="616"/>
        <v>130.875</v>
      </c>
      <c r="AG777" s="581">
        <f t="shared" si="616"/>
        <v>0</v>
      </c>
      <c r="AH777" s="571"/>
      <c r="AK777" s="531"/>
      <c r="AM777" s="594"/>
      <c r="AN777" s="535"/>
      <c r="AP777" s="549"/>
      <c r="AQ777" s="549"/>
    </row>
    <row r="778" spans="1:43" s="513" customFormat="1" ht="16.5" hidden="1" customHeight="1" outlineLevel="2">
      <c r="A778" s="584"/>
      <c r="B778" s="572" t="s">
        <v>967</v>
      </c>
      <c r="C778" s="574">
        <f>7.33*25.92</f>
        <v>189.99360000000001</v>
      </c>
      <c r="D778" s="574">
        <f>C778</f>
        <v>189.99360000000001</v>
      </c>
      <c r="E778" s="574">
        <f t="shared" ref="E778:T780" si="617">D778</f>
        <v>189.99360000000001</v>
      </c>
      <c r="F778" s="574">
        <f t="shared" si="617"/>
        <v>189.99360000000001</v>
      </c>
      <c r="G778" s="574">
        <f t="shared" si="617"/>
        <v>189.99360000000001</v>
      </c>
      <c r="H778" s="574">
        <f t="shared" si="617"/>
        <v>189.99360000000001</v>
      </c>
      <c r="I778" s="574">
        <f t="shared" si="617"/>
        <v>189.99360000000001</v>
      </c>
      <c r="J778" s="574">
        <f t="shared" si="617"/>
        <v>189.99360000000001</v>
      </c>
      <c r="K778" s="574">
        <f t="shared" si="617"/>
        <v>189.99360000000001</v>
      </c>
      <c r="L778" s="574">
        <f t="shared" si="617"/>
        <v>189.99360000000001</v>
      </c>
      <c r="M778" s="574">
        <f t="shared" si="617"/>
        <v>189.99360000000001</v>
      </c>
      <c r="N778" s="574">
        <f t="shared" si="617"/>
        <v>189.99360000000001</v>
      </c>
      <c r="O778" s="574">
        <f t="shared" si="617"/>
        <v>189.99360000000001</v>
      </c>
      <c r="P778" s="574">
        <f t="shared" si="617"/>
        <v>189.99360000000001</v>
      </c>
      <c r="Q778" s="574">
        <f t="shared" si="617"/>
        <v>189.99360000000001</v>
      </c>
      <c r="R778" s="574">
        <f t="shared" si="617"/>
        <v>189.99360000000001</v>
      </c>
      <c r="S778" s="574">
        <f t="shared" si="617"/>
        <v>189.99360000000001</v>
      </c>
      <c r="T778" s="574">
        <f t="shared" si="617"/>
        <v>189.99360000000001</v>
      </c>
      <c r="U778" s="574">
        <f t="shared" ref="U778:AF780" si="618">T778</f>
        <v>189.99360000000001</v>
      </c>
      <c r="V778" s="574">
        <f t="shared" si="618"/>
        <v>189.99360000000001</v>
      </c>
      <c r="W778" s="574">
        <f t="shared" si="618"/>
        <v>189.99360000000001</v>
      </c>
      <c r="X778" s="574">
        <f t="shared" si="618"/>
        <v>189.99360000000001</v>
      </c>
      <c r="Y778" s="574">
        <f t="shared" si="618"/>
        <v>189.99360000000001</v>
      </c>
      <c r="Z778" s="574">
        <f t="shared" si="618"/>
        <v>189.99360000000001</v>
      </c>
      <c r="AA778" s="574">
        <f t="shared" si="618"/>
        <v>189.99360000000001</v>
      </c>
      <c r="AB778" s="574">
        <f t="shared" si="618"/>
        <v>189.99360000000001</v>
      </c>
      <c r="AC778" s="574">
        <f t="shared" si="618"/>
        <v>189.99360000000001</v>
      </c>
      <c r="AD778" s="574">
        <f t="shared" si="618"/>
        <v>189.99360000000001</v>
      </c>
      <c r="AE778" s="574">
        <f t="shared" si="618"/>
        <v>189.99360000000001</v>
      </c>
      <c r="AF778" s="574">
        <f t="shared" si="618"/>
        <v>189.99360000000001</v>
      </c>
      <c r="AH778" s="538"/>
      <c r="AK778" s="531"/>
      <c r="AM778" s="594"/>
      <c r="AN778" s="535"/>
      <c r="AP778" s="540"/>
      <c r="AQ778" s="540"/>
    </row>
    <row r="779" spans="1:43" s="513" customFormat="1" ht="16.5" hidden="1" customHeight="1" outlineLevel="2">
      <c r="A779" s="584"/>
      <c r="B779" s="572" t="s">
        <v>805</v>
      </c>
      <c r="C779" s="716">
        <v>3</v>
      </c>
      <c r="D779" s="716">
        <f>C779</f>
        <v>3</v>
      </c>
      <c r="E779" s="716">
        <f t="shared" si="617"/>
        <v>3</v>
      </c>
      <c r="F779" s="716">
        <f t="shared" si="617"/>
        <v>3</v>
      </c>
      <c r="G779" s="716">
        <f t="shared" si="617"/>
        <v>3</v>
      </c>
      <c r="H779" s="716">
        <f t="shared" si="617"/>
        <v>3</v>
      </c>
      <c r="I779" s="716">
        <f t="shared" si="617"/>
        <v>3</v>
      </c>
      <c r="J779" s="716">
        <f t="shared" si="617"/>
        <v>3</v>
      </c>
      <c r="K779" s="716">
        <f t="shared" si="617"/>
        <v>3</v>
      </c>
      <c r="L779" s="716">
        <f t="shared" si="617"/>
        <v>3</v>
      </c>
      <c r="M779" s="716">
        <f t="shared" si="617"/>
        <v>3</v>
      </c>
      <c r="N779" s="716">
        <f t="shared" si="617"/>
        <v>3</v>
      </c>
      <c r="O779" s="716">
        <f t="shared" si="617"/>
        <v>3</v>
      </c>
      <c r="P779" s="716">
        <f t="shared" si="617"/>
        <v>3</v>
      </c>
      <c r="Q779" s="716">
        <f t="shared" si="617"/>
        <v>3</v>
      </c>
      <c r="R779" s="716">
        <f t="shared" si="617"/>
        <v>3</v>
      </c>
      <c r="S779" s="716">
        <f t="shared" si="617"/>
        <v>3</v>
      </c>
      <c r="T779" s="716">
        <f t="shared" si="617"/>
        <v>3</v>
      </c>
      <c r="U779" s="716">
        <f t="shared" si="618"/>
        <v>3</v>
      </c>
      <c r="V779" s="716">
        <f t="shared" si="618"/>
        <v>3</v>
      </c>
      <c r="W779" s="716">
        <f t="shared" si="618"/>
        <v>3</v>
      </c>
      <c r="X779" s="716">
        <f t="shared" si="618"/>
        <v>3</v>
      </c>
      <c r="Y779" s="716">
        <f t="shared" si="618"/>
        <v>3</v>
      </c>
      <c r="Z779" s="716">
        <f t="shared" si="618"/>
        <v>3</v>
      </c>
      <c r="AA779" s="716">
        <f t="shared" si="618"/>
        <v>3</v>
      </c>
      <c r="AB779" s="716">
        <f t="shared" si="618"/>
        <v>3</v>
      </c>
      <c r="AC779" s="716">
        <f t="shared" si="618"/>
        <v>3</v>
      </c>
      <c r="AD779" s="716">
        <f t="shared" si="618"/>
        <v>3</v>
      </c>
      <c r="AE779" s="716">
        <f t="shared" si="618"/>
        <v>3</v>
      </c>
      <c r="AF779" s="716">
        <f t="shared" si="618"/>
        <v>3</v>
      </c>
      <c r="AH779" s="538"/>
      <c r="AK779" s="719"/>
      <c r="AM779" s="594"/>
      <c r="AN779" s="535"/>
      <c r="AP779" s="540"/>
      <c r="AQ779" s="540"/>
    </row>
    <row r="780" spans="1:43" s="586" customFormat="1" ht="16.5" hidden="1" customHeight="1" outlineLevel="2">
      <c r="A780" s="584"/>
      <c r="B780" s="585" t="s">
        <v>888</v>
      </c>
      <c r="C780" s="632">
        <f>CAPEX!$C$87*(0.83%+0.42%)</f>
        <v>43.625</v>
      </c>
      <c r="D780" s="632">
        <f>C780</f>
        <v>43.625</v>
      </c>
      <c r="E780" s="632">
        <f t="shared" si="617"/>
        <v>43.625</v>
      </c>
      <c r="F780" s="632">
        <f t="shared" si="617"/>
        <v>43.625</v>
      </c>
      <c r="G780" s="632">
        <f t="shared" si="617"/>
        <v>43.625</v>
      </c>
      <c r="H780" s="632">
        <f t="shared" si="617"/>
        <v>43.625</v>
      </c>
      <c r="I780" s="632">
        <f t="shared" si="617"/>
        <v>43.625</v>
      </c>
      <c r="J780" s="632">
        <f t="shared" si="617"/>
        <v>43.625</v>
      </c>
      <c r="K780" s="632">
        <f t="shared" si="617"/>
        <v>43.625</v>
      </c>
      <c r="L780" s="632">
        <f t="shared" si="617"/>
        <v>43.625</v>
      </c>
      <c r="M780" s="632">
        <f t="shared" si="617"/>
        <v>43.625</v>
      </c>
      <c r="N780" s="632">
        <f t="shared" si="617"/>
        <v>43.625</v>
      </c>
      <c r="O780" s="632">
        <f t="shared" si="617"/>
        <v>43.625</v>
      </c>
      <c r="P780" s="632">
        <f t="shared" si="617"/>
        <v>43.625</v>
      </c>
      <c r="Q780" s="632">
        <f t="shared" si="617"/>
        <v>43.625</v>
      </c>
      <c r="R780" s="632">
        <f t="shared" si="617"/>
        <v>43.625</v>
      </c>
      <c r="S780" s="632">
        <f t="shared" si="617"/>
        <v>43.625</v>
      </c>
      <c r="T780" s="632">
        <f t="shared" si="617"/>
        <v>43.625</v>
      </c>
      <c r="U780" s="632">
        <f t="shared" si="618"/>
        <v>43.625</v>
      </c>
      <c r="V780" s="632">
        <f t="shared" si="618"/>
        <v>43.625</v>
      </c>
      <c r="W780" s="632">
        <f t="shared" si="618"/>
        <v>43.625</v>
      </c>
      <c r="X780" s="632">
        <f t="shared" si="618"/>
        <v>43.625</v>
      </c>
      <c r="Y780" s="632">
        <f t="shared" si="618"/>
        <v>43.625</v>
      </c>
      <c r="Z780" s="632">
        <f t="shared" si="618"/>
        <v>43.625</v>
      </c>
      <c r="AA780" s="632">
        <f t="shared" si="618"/>
        <v>43.625</v>
      </c>
      <c r="AB780" s="632">
        <f t="shared" si="618"/>
        <v>43.625</v>
      </c>
      <c r="AC780" s="632">
        <f t="shared" si="618"/>
        <v>43.625</v>
      </c>
      <c r="AD780" s="632">
        <f t="shared" si="618"/>
        <v>43.625</v>
      </c>
      <c r="AE780" s="632">
        <f t="shared" si="618"/>
        <v>43.625</v>
      </c>
      <c r="AF780" s="632">
        <f t="shared" si="618"/>
        <v>43.625</v>
      </c>
      <c r="AH780" s="587"/>
      <c r="AK780" s="588"/>
      <c r="AM780" s="624"/>
      <c r="AN780" s="590"/>
      <c r="AP780" s="591"/>
      <c r="AQ780" s="591"/>
    </row>
    <row r="781" spans="1:43" s="634" customFormat="1" ht="16.5" hidden="1" customHeight="1" outlineLevel="2">
      <c r="A781" s="584"/>
      <c r="B781" s="580" t="str">
        <f>B757</f>
        <v>Van Minibus 20+1</v>
      </c>
      <c r="C781" s="583">
        <f>C783*C784</f>
        <v>4998.75</v>
      </c>
      <c r="D781" s="583">
        <f>D783*D784</f>
        <v>4998.75</v>
      </c>
      <c r="E781" s="583">
        <f t="shared" ref="E781:AF781" si="619">E783*E784</f>
        <v>4998.75</v>
      </c>
      <c r="F781" s="583">
        <f t="shared" si="619"/>
        <v>4998.75</v>
      </c>
      <c r="G781" s="583">
        <f t="shared" si="619"/>
        <v>4998.75</v>
      </c>
      <c r="H781" s="583">
        <f t="shared" si="619"/>
        <v>4998.75</v>
      </c>
      <c r="I781" s="583">
        <f t="shared" si="619"/>
        <v>4998.75</v>
      </c>
      <c r="J781" s="583">
        <f t="shared" si="619"/>
        <v>4998.75</v>
      </c>
      <c r="K781" s="583">
        <f t="shared" si="619"/>
        <v>4998.75</v>
      </c>
      <c r="L781" s="583">
        <f t="shared" si="619"/>
        <v>4998.75</v>
      </c>
      <c r="M781" s="583">
        <f t="shared" si="619"/>
        <v>4998.75</v>
      </c>
      <c r="N781" s="583">
        <f t="shared" si="619"/>
        <v>4998.75</v>
      </c>
      <c r="O781" s="583">
        <f t="shared" si="619"/>
        <v>4998.75</v>
      </c>
      <c r="P781" s="583">
        <f t="shared" si="619"/>
        <v>4998.75</v>
      </c>
      <c r="Q781" s="583">
        <f t="shared" si="619"/>
        <v>4998.75</v>
      </c>
      <c r="R781" s="583">
        <f t="shared" si="619"/>
        <v>4998.75</v>
      </c>
      <c r="S781" s="583">
        <f t="shared" si="619"/>
        <v>4998.75</v>
      </c>
      <c r="T781" s="583">
        <f t="shared" si="619"/>
        <v>4998.75</v>
      </c>
      <c r="U781" s="583">
        <f t="shared" si="619"/>
        <v>4998.75</v>
      </c>
      <c r="V781" s="583">
        <f t="shared" si="619"/>
        <v>4998.75</v>
      </c>
      <c r="W781" s="583">
        <f t="shared" si="619"/>
        <v>4998.75</v>
      </c>
      <c r="X781" s="583">
        <f t="shared" si="619"/>
        <v>4998.75</v>
      </c>
      <c r="Y781" s="583">
        <f t="shared" si="619"/>
        <v>4998.75</v>
      </c>
      <c r="Z781" s="583">
        <f t="shared" si="619"/>
        <v>4998.75</v>
      </c>
      <c r="AA781" s="583">
        <f t="shared" si="619"/>
        <v>4998.75</v>
      </c>
      <c r="AB781" s="583">
        <f t="shared" si="619"/>
        <v>4998.75</v>
      </c>
      <c r="AC781" s="583">
        <f t="shared" si="619"/>
        <v>4998.75</v>
      </c>
      <c r="AD781" s="583">
        <f t="shared" si="619"/>
        <v>4998.75</v>
      </c>
      <c r="AE781" s="583">
        <f t="shared" si="619"/>
        <v>4998.75</v>
      </c>
      <c r="AF781" s="583">
        <f t="shared" si="619"/>
        <v>4998.75</v>
      </c>
      <c r="AH781" s="635"/>
      <c r="AK781" s="588"/>
      <c r="AM781" s="624"/>
      <c r="AN781" s="590"/>
      <c r="AP781" s="636"/>
      <c r="AQ781" s="636"/>
    </row>
    <row r="782" spans="1:43" s="586" customFormat="1" ht="16.5" hidden="1" customHeight="1" outlineLevel="2">
      <c r="A782" s="584"/>
      <c r="B782" s="585" t="s">
        <v>891</v>
      </c>
      <c r="C782" s="632">
        <f>20*1*25.17</f>
        <v>503.40000000000003</v>
      </c>
      <c r="D782" s="632">
        <f>C782</f>
        <v>503.40000000000003</v>
      </c>
      <c r="E782" s="632">
        <f t="shared" ref="E782:AF782" si="620">D782</f>
        <v>503.40000000000003</v>
      </c>
      <c r="F782" s="632">
        <f t="shared" si="620"/>
        <v>503.40000000000003</v>
      </c>
      <c r="G782" s="632">
        <f t="shared" si="620"/>
        <v>503.40000000000003</v>
      </c>
      <c r="H782" s="632">
        <f t="shared" si="620"/>
        <v>503.40000000000003</v>
      </c>
      <c r="I782" s="632">
        <f t="shared" si="620"/>
        <v>503.40000000000003</v>
      </c>
      <c r="J782" s="632">
        <f t="shared" si="620"/>
        <v>503.40000000000003</v>
      </c>
      <c r="K782" s="632">
        <f t="shared" si="620"/>
        <v>503.40000000000003</v>
      </c>
      <c r="L782" s="632">
        <f t="shared" si="620"/>
        <v>503.40000000000003</v>
      </c>
      <c r="M782" s="632">
        <f t="shared" si="620"/>
        <v>503.40000000000003</v>
      </c>
      <c r="N782" s="632">
        <f t="shared" si="620"/>
        <v>503.40000000000003</v>
      </c>
      <c r="O782" s="632">
        <f t="shared" si="620"/>
        <v>503.40000000000003</v>
      </c>
      <c r="P782" s="632">
        <f t="shared" si="620"/>
        <v>503.40000000000003</v>
      </c>
      <c r="Q782" s="632">
        <f t="shared" si="620"/>
        <v>503.40000000000003</v>
      </c>
      <c r="R782" s="632">
        <f t="shared" si="620"/>
        <v>503.40000000000003</v>
      </c>
      <c r="S782" s="632">
        <f t="shared" si="620"/>
        <v>503.40000000000003</v>
      </c>
      <c r="T782" s="632">
        <f t="shared" si="620"/>
        <v>503.40000000000003</v>
      </c>
      <c r="U782" s="632">
        <f t="shared" si="620"/>
        <v>503.40000000000003</v>
      </c>
      <c r="V782" s="632">
        <f t="shared" si="620"/>
        <v>503.40000000000003</v>
      </c>
      <c r="W782" s="632">
        <f t="shared" si="620"/>
        <v>503.40000000000003</v>
      </c>
      <c r="X782" s="632">
        <f t="shared" si="620"/>
        <v>503.40000000000003</v>
      </c>
      <c r="Y782" s="632">
        <f t="shared" si="620"/>
        <v>503.40000000000003</v>
      </c>
      <c r="Z782" s="632">
        <f t="shared" si="620"/>
        <v>503.40000000000003</v>
      </c>
      <c r="AA782" s="632">
        <f t="shared" si="620"/>
        <v>503.40000000000003</v>
      </c>
      <c r="AB782" s="632">
        <f t="shared" si="620"/>
        <v>503.40000000000003</v>
      </c>
      <c r="AC782" s="632">
        <f t="shared" si="620"/>
        <v>503.40000000000003</v>
      </c>
      <c r="AD782" s="632">
        <f t="shared" si="620"/>
        <v>503.40000000000003</v>
      </c>
      <c r="AE782" s="632">
        <f t="shared" si="620"/>
        <v>503.40000000000003</v>
      </c>
      <c r="AF782" s="632">
        <f t="shared" si="620"/>
        <v>503.40000000000003</v>
      </c>
      <c r="AH782" s="587"/>
      <c r="AK782" s="588"/>
      <c r="AM782" s="624"/>
      <c r="AN782" s="590"/>
      <c r="AP782" s="591"/>
      <c r="AQ782" s="591"/>
    </row>
    <row r="783" spans="1:43" s="513" customFormat="1" ht="16.5" hidden="1" customHeight="1" outlineLevel="2">
      <c r="A783" s="584"/>
      <c r="B783" s="572" t="s">
        <v>805</v>
      </c>
      <c r="C783" s="716">
        <f t="shared" ref="C783:AF783" si="621">C757</f>
        <v>1</v>
      </c>
      <c r="D783" s="716">
        <f t="shared" si="621"/>
        <v>1</v>
      </c>
      <c r="E783" s="716">
        <f t="shared" si="621"/>
        <v>1</v>
      </c>
      <c r="F783" s="716">
        <f t="shared" si="621"/>
        <v>1</v>
      </c>
      <c r="G783" s="716">
        <f t="shared" si="621"/>
        <v>1</v>
      </c>
      <c r="H783" s="716">
        <f t="shared" si="621"/>
        <v>1</v>
      </c>
      <c r="I783" s="716">
        <f t="shared" si="621"/>
        <v>1</v>
      </c>
      <c r="J783" s="716">
        <f t="shared" si="621"/>
        <v>1</v>
      </c>
      <c r="K783" s="716">
        <f t="shared" si="621"/>
        <v>1</v>
      </c>
      <c r="L783" s="716">
        <f t="shared" si="621"/>
        <v>1</v>
      </c>
      <c r="M783" s="716">
        <f t="shared" si="621"/>
        <v>1</v>
      </c>
      <c r="N783" s="716">
        <f t="shared" si="621"/>
        <v>1</v>
      </c>
      <c r="O783" s="716">
        <f t="shared" si="621"/>
        <v>1</v>
      </c>
      <c r="P783" s="716">
        <f t="shared" si="621"/>
        <v>1</v>
      </c>
      <c r="Q783" s="716">
        <f t="shared" si="621"/>
        <v>1</v>
      </c>
      <c r="R783" s="716">
        <f t="shared" si="621"/>
        <v>1</v>
      </c>
      <c r="S783" s="716">
        <f t="shared" si="621"/>
        <v>1</v>
      </c>
      <c r="T783" s="716">
        <f t="shared" si="621"/>
        <v>1</v>
      </c>
      <c r="U783" s="716">
        <f t="shared" si="621"/>
        <v>1</v>
      </c>
      <c r="V783" s="716">
        <f t="shared" si="621"/>
        <v>1</v>
      </c>
      <c r="W783" s="716">
        <f t="shared" si="621"/>
        <v>1</v>
      </c>
      <c r="X783" s="716">
        <f t="shared" si="621"/>
        <v>1</v>
      </c>
      <c r="Y783" s="716">
        <f t="shared" si="621"/>
        <v>1</v>
      </c>
      <c r="Z783" s="716">
        <f t="shared" si="621"/>
        <v>1</v>
      </c>
      <c r="AA783" s="716">
        <f t="shared" si="621"/>
        <v>1</v>
      </c>
      <c r="AB783" s="716">
        <f t="shared" si="621"/>
        <v>1</v>
      </c>
      <c r="AC783" s="716">
        <f t="shared" si="621"/>
        <v>1</v>
      </c>
      <c r="AD783" s="716">
        <f t="shared" si="621"/>
        <v>1</v>
      </c>
      <c r="AE783" s="716">
        <f t="shared" si="621"/>
        <v>1</v>
      </c>
      <c r="AF783" s="716">
        <f t="shared" si="621"/>
        <v>1</v>
      </c>
      <c r="AH783" s="538"/>
      <c r="AK783" s="719"/>
      <c r="AM783" s="594"/>
      <c r="AN783" s="535"/>
      <c r="AP783" s="540"/>
      <c r="AQ783" s="540"/>
    </row>
    <row r="784" spans="1:43" s="586" customFormat="1" ht="16.5" hidden="1" customHeight="1" outlineLevel="2">
      <c r="A784" s="584"/>
      <c r="B784" s="585" t="s">
        <v>888</v>
      </c>
      <c r="C784" s="632">
        <f>CAPEX!$C$80*(0.83%+0.42%)</f>
        <v>4998.75</v>
      </c>
      <c r="D784" s="632">
        <f>C784</f>
        <v>4998.75</v>
      </c>
      <c r="E784" s="632">
        <f t="shared" ref="E784:AF784" si="622">D784</f>
        <v>4998.75</v>
      </c>
      <c r="F784" s="632">
        <f t="shared" si="622"/>
        <v>4998.75</v>
      </c>
      <c r="G784" s="632">
        <f t="shared" si="622"/>
        <v>4998.75</v>
      </c>
      <c r="H784" s="632">
        <f t="shared" si="622"/>
        <v>4998.75</v>
      </c>
      <c r="I784" s="632">
        <f t="shared" si="622"/>
        <v>4998.75</v>
      </c>
      <c r="J784" s="632">
        <f t="shared" si="622"/>
        <v>4998.75</v>
      </c>
      <c r="K784" s="632">
        <f t="shared" si="622"/>
        <v>4998.75</v>
      </c>
      <c r="L784" s="632">
        <f t="shared" si="622"/>
        <v>4998.75</v>
      </c>
      <c r="M784" s="632">
        <f t="shared" si="622"/>
        <v>4998.75</v>
      </c>
      <c r="N784" s="632">
        <f t="shared" si="622"/>
        <v>4998.75</v>
      </c>
      <c r="O784" s="632">
        <f t="shared" si="622"/>
        <v>4998.75</v>
      </c>
      <c r="P784" s="632">
        <f t="shared" si="622"/>
        <v>4998.75</v>
      </c>
      <c r="Q784" s="632">
        <f t="shared" si="622"/>
        <v>4998.75</v>
      </c>
      <c r="R784" s="632">
        <f t="shared" si="622"/>
        <v>4998.75</v>
      </c>
      <c r="S784" s="632">
        <f t="shared" si="622"/>
        <v>4998.75</v>
      </c>
      <c r="T784" s="632">
        <f t="shared" si="622"/>
        <v>4998.75</v>
      </c>
      <c r="U784" s="632">
        <f t="shared" si="622"/>
        <v>4998.75</v>
      </c>
      <c r="V784" s="632">
        <f t="shared" si="622"/>
        <v>4998.75</v>
      </c>
      <c r="W784" s="632">
        <f t="shared" si="622"/>
        <v>4998.75</v>
      </c>
      <c r="X784" s="632">
        <f t="shared" si="622"/>
        <v>4998.75</v>
      </c>
      <c r="Y784" s="632">
        <f t="shared" si="622"/>
        <v>4998.75</v>
      </c>
      <c r="Z784" s="632">
        <f t="shared" si="622"/>
        <v>4998.75</v>
      </c>
      <c r="AA784" s="632">
        <f t="shared" si="622"/>
        <v>4998.75</v>
      </c>
      <c r="AB784" s="632">
        <f t="shared" si="622"/>
        <v>4998.75</v>
      </c>
      <c r="AC784" s="632">
        <f t="shared" si="622"/>
        <v>4998.75</v>
      </c>
      <c r="AD784" s="632">
        <f t="shared" si="622"/>
        <v>4998.75</v>
      </c>
      <c r="AE784" s="632">
        <f t="shared" si="622"/>
        <v>4998.75</v>
      </c>
      <c r="AF784" s="632">
        <f t="shared" si="622"/>
        <v>4998.75</v>
      </c>
      <c r="AH784" s="587"/>
      <c r="AK784" s="588"/>
      <c r="AM784" s="624"/>
      <c r="AN784" s="590"/>
      <c r="AP784" s="591"/>
      <c r="AQ784" s="591"/>
    </row>
    <row r="785" spans="1:43" s="634" customFormat="1" ht="16.5" hidden="1" customHeight="1" outlineLevel="2">
      <c r="A785" s="584"/>
      <c r="B785" s="580" t="s">
        <v>829</v>
      </c>
      <c r="C785" s="583">
        <f>C787*C788</f>
        <v>34.975000000000001</v>
      </c>
      <c r="D785" s="583">
        <f t="shared" ref="D785:AF785" si="623">D787*D788</f>
        <v>34.975000000000001</v>
      </c>
      <c r="E785" s="583">
        <f t="shared" si="623"/>
        <v>34.975000000000001</v>
      </c>
      <c r="F785" s="583">
        <f t="shared" si="623"/>
        <v>34.975000000000001</v>
      </c>
      <c r="G785" s="583">
        <f t="shared" si="623"/>
        <v>34.975000000000001</v>
      </c>
      <c r="H785" s="583">
        <f t="shared" si="623"/>
        <v>34.975000000000001</v>
      </c>
      <c r="I785" s="583">
        <f t="shared" si="623"/>
        <v>34.975000000000001</v>
      </c>
      <c r="J785" s="583">
        <f t="shared" si="623"/>
        <v>34.975000000000001</v>
      </c>
      <c r="K785" s="583">
        <f t="shared" si="623"/>
        <v>34.975000000000001</v>
      </c>
      <c r="L785" s="583">
        <f t="shared" si="623"/>
        <v>34.975000000000001</v>
      </c>
      <c r="M785" s="583">
        <f t="shared" si="623"/>
        <v>34.975000000000001</v>
      </c>
      <c r="N785" s="583">
        <f t="shared" si="623"/>
        <v>34.975000000000001</v>
      </c>
      <c r="O785" s="583">
        <f t="shared" si="623"/>
        <v>34.975000000000001</v>
      </c>
      <c r="P785" s="583">
        <f t="shared" si="623"/>
        <v>34.975000000000001</v>
      </c>
      <c r="Q785" s="583">
        <f t="shared" si="623"/>
        <v>34.975000000000001</v>
      </c>
      <c r="R785" s="583">
        <f t="shared" si="623"/>
        <v>34.975000000000001</v>
      </c>
      <c r="S785" s="583">
        <f t="shared" si="623"/>
        <v>34.975000000000001</v>
      </c>
      <c r="T785" s="583">
        <f t="shared" si="623"/>
        <v>34.975000000000001</v>
      </c>
      <c r="U785" s="583">
        <f t="shared" si="623"/>
        <v>34.975000000000001</v>
      </c>
      <c r="V785" s="583">
        <f t="shared" si="623"/>
        <v>34.975000000000001</v>
      </c>
      <c r="W785" s="583">
        <f t="shared" si="623"/>
        <v>34.975000000000001</v>
      </c>
      <c r="X785" s="583">
        <f t="shared" si="623"/>
        <v>34.975000000000001</v>
      </c>
      <c r="Y785" s="583">
        <f t="shared" si="623"/>
        <v>34.975000000000001</v>
      </c>
      <c r="Z785" s="583">
        <f t="shared" si="623"/>
        <v>34.975000000000001</v>
      </c>
      <c r="AA785" s="583">
        <f t="shared" si="623"/>
        <v>34.975000000000001</v>
      </c>
      <c r="AB785" s="583">
        <f t="shared" si="623"/>
        <v>34.975000000000001</v>
      </c>
      <c r="AC785" s="583">
        <f t="shared" si="623"/>
        <v>34.975000000000001</v>
      </c>
      <c r="AD785" s="583">
        <f t="shared" si="623"/>
        <v>34.975000000000001</v>
      </c>
      <c r="AE785" s="583">
        <f t="shared" si="623"/>
        <v>34.975000000000001</v>
      </c>
      <c r="AF785" s="583">
        <f t="shared" si="623"/>
        <v>34.975000000000001</v>
      </c>
      <c r="AH785" s="635"/>
      <c r="AK785" s="588"/>
      <c r="AM785" s="624"/>
      <c r="AN785" s="590"/>
      <c r="AP785" s="636"/>
      <c r="AQ785" s="636"/>
    </row>
    <row r="786" spans="1:43" s="513" customFormat="1" ht="16.5" hidden="1" customHeight="1" outlineLevel="2">
      <c r="A786" s="584"/>
      <c r="B786" s="572" t="s">
        <v>967</v>
      </c>
      <c r="C786" s="574">
        <f>C778</f>
        <v>189.99360000000001</v>
      </c>
      <c r="D786" s="574">
        <f>C786</f>
        <v>189.99360000000001</v>
      </c>
      <c r="E786" s="574">
        <f t="shared" ref="E786:T788" si="624">D786</f>
        <v>189.99360000000001</v>
      </c>
      <c r="F786" s="574">
        <f t="shared" si="624"/>
        <v>189.99360000000001</v>
      </c>
      <c r="G786" s="574">
        <f t="shared" si="624"/>
        <v>189.99360000000001</v>
      </c>
      <c r="H786" s="574">
        <f t="shared" si="624"/>
        <v>189.99360000000001</v>
      </c>
      <c r="I786" s="574">
        <f t="shared" si="624"/>
        <v>189.99360000000001</v>
      </c>
      <c r="J786" s="574">
        <f t="shared" si="624"/>
        <v>189.99360000000001</v>
      </c>
      <c r="K786" s="574">
        <f t="shared" si="624"/>
        <v>189.99360000000001</v>
      </c>
      <c r="L786" s="574">
        <f t="shared" si="624"/>
        <v>189.99360000000001</v>
      </c>
      <c r="M786" s="574">
        <f t="shared" si="624"/>
        <v>189.99360000000001</v>
      </c>
      <c r="N786" s="574">
        <f t="shared" si="624"/>
        <v>189.99360000000001</v>
      </c>
      <c r="O786" s="574">
        <f t="shared" si="624"/>
        <v>189.99360000000001</v>
      </c>
      <c r="P786" s="574">
        <f t="shared" si="624"/>
        <v>189.99360000000001</v>
      </c>
      <c r="Q786" s="574">
        <f t="shared" si="624"/>
        <v>189.99360000000001</v>
      </c>
      <c r="R786" s="574">
        <f t="shared" si="624"/>
        <v>189.99360000000001</v>
      </c>
      <c r="S786" s="574">
        <f t="shared" si="624"/>
        <v>189.99360000000001</v>
      </c>
      <c r="T786" s="574">
        <f t="shared" si="624"/>
        <v>189.99360000000001</v>
      </c>
      <c r="U786" s="574">
        <f t="shared" ref="U786:AF788" si="625">T786</f>
        <v>189.99360000000001</v>
      </c>
      <c r="V786" s="574">
        <f t="shared" si="625"/>
        <v>189.99360000000001</v>
      </c>
      <c r="W786" s="574">
        <f t="shared" si="625"/>
        <v>189.99360000000001</v>
      </c>
      <c r="X786" s="574">
        <f t="shared" si="625"/>
        <v>189.99360000000001</v>
      </c>
      <c r="Y786" s="574">
        <f t="shared" si="625"/>
        <v>189.99360000000001</v>
      </c>
      <c r="Z786" s="574">
        <f t="shared" si="625"/>
        <v>189.99360000000001</v>
      </c>
      <c r="AA786" s="574">
        <f t="shared" si="625"/>
        <v>189.99360000000001</v>
      </c>
      <c r="AB786" s="574">
        <f t="shared" si="625"/>
        <v>189.99360000000001</v>
      </c>
      <c r="AC786" s="574">
        <f t="shared" si="625"/>
        <v>189.99360000000001</v>
      </c>
      <c r="AD786" s="574">
        <f t="shared" si="625"/>
        <v>189.99360000000001</v>
      </c>
      <c r="AE786" s="574">
        <f t="shared" si="625"/>
        <v>189.99360000000001</v>
      </c>
      <c r="AF786" s="574">
        <f t="shared" si="625"/>
        <v>189.99360000000001</v>
      </c>
      <c r="AH786" s="538"/>
      <c r="AK786" s="531"/>
      <c r="AM786" s="594"/>
      <c r="AN786" s="535"/>
      <c r="AP786" s="540"/>
      <c r="AQ786" s="540"/>
    </row>
    <row r="787" spans="1:43" s="513" customFormat="1" ht="16.5" hidden="1" customHeight="1" outlineLevel="2">
      <c r="A787" s="584"/>
      <c r="B787" s="572" t="s">
        <v>805</v>
      </c>
      <c r="C787" s="716">
        <v>2</v>
      </c>
      <c r="D787" s="716">
        <f>C787</f>
        <v>2</v>
      </c>
      <c r="E787" s="716">
        <f t="shared" si="624"/>
        <v>2</v>
      </c>
      <c r="F787" s="716">
        <f t="shared" si="624"/>
        <v>2</v>
      </c>
      <c r="G787" s="716">
        <f t="shared" si="624"/>
        <v>2</v>
      </c>
      <c r="H787" s="716">
        <f t="shared" si="624"/>
        <v>2</v>
      </c>
      <c r="I787" s="716">
        <f t="shared" si="624"/>
        <v>2</v>
      </c>
      <c r="J787" s="716">
        <f t="shared" si="624"/>
        <v>2</v>
      </c>
      <c r="K787" s="716">
        <f t="shared" si="624"/>
        <v>2</v>
      </c>
      <c r="L787" s="716">
        <f t="shared" si="624"/>
        <v>2</v>
      </c>
      <c r="M787" s="716">
        <f t="shared" si="624"/>
        <v>2</v>
      </c>
      <c r="N787" s="716">
        <f t="shared" si="624"/>
        <v>2</v>
      </c>
      <c r="O787" s="716">
        <f t="shared" si="624"/>
        <v>2</v>
      </c>
      <c r="P787" s="716">
        <f t="shared" si="624"/>
        <v>2</v>
      </c>
      <c r="Q787" s="716">
        <f t="shared" si="624"/>
        <v>2</v>
      </c>
      <c r="R787" s="716">
        <f t="shared" si="624"/>
        <v>2</v>
      </c>
      <c r="S787" s="716">
        <f t="shared" si="624"/>
        <v>2</v>
      </c>
      <c r="T787" s="716">
        <f t="shared" si="624"/>
        <v>2</v>
      </c>
      <c r="U787" s="716">
        <f t="shared" si="625"/>
        <v>2</v>
      </c>
      <c r="V787" s="716">
        <f t="shared" si="625"/>
        <v>2</v>
      </c>
      <c r="W787" s="716">
        <f t="shared" si="625"/>
        <v>2</v>
      </c>
      <c r="X787" s="716">
        <f t="shared" si="625"/>
        <v>2</v>
      </c>
      <c r="Y787" s="716">
        <f t="shared" si="625"/>
        <v>2</v>
      </c>
      <c r="Z787" s="716">
        <f t="shared" si="625"/>
        <v>2</v>
      </c>
      <c r="AA787" s="716">
        <f t="shared" si="625"/>
        <v>2</v>
      </c>
      <c r="AB787" s="716">
        <f t="shared" si="625"/>
        <v>2</v>
      </c>
      <c r="AC787" s="716">
        <f t="shared" si="625"/>
        <v>2</v>
      </c>
      <c r="AD787" s="716">
        <f t="shared" si="625"/>
        <v>2</v>
      </c>
      <c r="AE787" s="716">
        <f t="shared" si="625"/>
        <v>2</v>
      </c>
      <c r="AF787" s="716">
        <f t="shared" si="625"/>
        <v>2</v>
      </c>
      <c r="AH787" s="538"/>
      <c r="AK787" s="719"/>
      <c r="AM787" s="594"/>
      <c r="AN787" s="535"/>
      <c r="AP787" s="540"/>
      <c r="AQ787" s="540"/>
    </row>
    <row r="788" spans="1:43" s="586" customFormat="1" ht="16.5" hidden="1" customHeight="1" outlineLevel="2">
      <c r="A788" s="584"/>
      <c r="B788" s="585" t="s">
        <v>888</v>
      </c>
      <c r="C788" s="632">
        <f>CAPEX!$C$90*(0.83%+0.42%)</f>
        <v>17.487500000000001</v>
      </c>
      <c r="D788" s="632">
        <f>C788</f>
        <v>17.487500000000001</v>
      </c>
      <c r="E788" s="632">
        <f t="shared" si="624"/>
        <v>17.487500000000001</v>
      </c>
      <c r="F788" s="632">
        <f t="shared" si="624"/>
        <v>17.487500000000001</v>
      </c>
      <c r="G788" s="632">
        <f t="shared" si="624"/>
        <v>17.487500000000001</v>
      </c>
      <c r="H788" s="632">
        <f t="shared" si="624"/>
        <v>17.487500000000001</v>
      </c>
      <c r="I788" s="632">
        <f t="shared" si="624"/>
        <v>17.487500000000001</v>
      </c>
      <c r="J788" s="632">
        <f t="shared" si="624"/>
        <v>17.487500000000001</v>
      </c>
      <c r="K788" s="632">
        <f t="shared" si="624"/>
        <v>17.487500000000001</v>
      </c>
      <c r="L788" s="632">
        <f t="shared" si="624"/>
        <v>17.487500000000001</v>
      </c>
      <c r="M788" s="632">
        <f t="shared" si="624"/>
        <v>17.487500000000001</v>
      </c>
      <c r="N788" s="632">
        <f t="shared" si="624"/>
        <v>17.487500000000001</v>
      </c>
      <c r="O788" s="632">
        <f t="shared" si="624"/>
        <v>17.487500000000001</v>
      </c>
      <c r="P788" s="632">
        <f t="shared" si="624"/>
        <v>17.487500000000001</v>
      </c>
      <c r="Q788" s="632">
        <f t="shared" si="624"/>
        <v>17.487500000000001</v>
      </c>
      <c r="R788" s="632">
        <f t="shared" si="624"/>
        <v>17.487500000000001</v>
      </c>
      <c r="S788" s="632">
        <f t="shared" si="624"/>
        <v>17.487500000000001</v>
      </c>
      <c r="T788" s="632">
        <f t="shared" si="624"/>
        <v>17.487500000000001</v>
      </c>
      <c r="U788" s="632">
        <f t="shared" si="625"/>
        <v>17.487500000000001</v>
      </c>
      <c r="V788" s="632">
        <f t="shared" si="625"/>
        <v>17.487500000000001</v>
      </c>
      <c r="W788" s="632">
        <f t="shared" si="625"/>
        <v>17.487500000000001</v>
      </c>
      <c r="X788" s="632">
        <f t="shared" si="625"/>
        <v>17.487500000000001</v>
      </c>
      <c r="Y788" s="632">
        <f t="shared" si="625"/>
        <v>17.487500000000001</v>
      </c>
      <c r="Z788" s="632">
        <f t="shared" si="625"/>
        <v>17.487500000000001</v>
      </c>
      <c r="AA788" s="632">
        <f t="shared" si="625"/>
        <v>17.487500000000001</v>
      </c>
      <c r="AB788" s="632">
        <f t="shared" si="625"/>
        <v>17.487500000000001</v>
      </c>
      <c r="AC788" s="632">
        <f t="shared" si="625"/>
        <v>17.487500000000001</v>
      </c>
      <c r="AD788" s="632">
        <f t="shared" si="625"/>
        <v>17.487500000000001</v>
      </c>
      <c r="AE788" s="632">
        <f t="shared" si="625"/>
        <v>17.487500000000001</v>
      </c>
      <c r="AF788" s="632">
        <f t="shared" si="625"/>
        <v>17.487500000000001</v>
      </c>
      <c r="AH788" s="587"/>
      <c r="AK788" s="588"/>
      <c r="AM788" s="624"/>
      <c r="AN788" s="590"/>
      <c r="AP788" s="591"/>
      <c r="AQ788" s="591"/>
    </row>
    <row r="789" spans="1:43" s="564" customFormat="1" ht="16.5" hidden="1" customHeight="1" outlineLevel="1" collapsed="1">
      <c r="A789" s="584"/>
      <c r="B789" s="576" t="s">
        <v>894</v>
      </c>
      <c r="C789" s="577">
        <f>SUM(C790,C795,C800,C805)*12/10^3</f>
        <v>65.037071813659793</v>
      </c>
      <c r="D789" s="577">
        <f t="shared" ref="D789:AF789" si="626">SUM(D790,D795,D800,D805)*12/10^3</f>
        <v>65.037071813659793</v>
      </c>
      <c r="E789" s="577">
        <f t="shared" si="626"/>
        <v>65.037071813659793</v>
      </c>
      <c r="F789" s="577">
        <f t="shared" si="626"/>
        <v>65.037071813659793</v>
      </c>
      <c r="G789" s="577">
        <f t="shared" si="626"/>
        <v>65.037071813659793</v>
      </c>
      <c r="H789" s="577">
        <f t="shared" si="626"/>
        <v>65.037071813659793</v>
      </c>
      <c r="I789" s="577">
        <f t="shared" si="626"/>
        <v>65.037071813659793</v>
      </c>
      <c r="J789" s="577">
        <f t="shared" si="626"/>
        <v>65.037071813659793</v>
      </c>
      <c r="K789" s="577">
        <f t="shared" si="626"/>
        <v>65.037071813659793</v>
      </c>
      <c r="L789" s="577">
        <f t="shared" si="626"/>
        <v>65.037071813659793</v>
      </c>
      <c r="M789" s="577">
        <f t="shared" si="626"/>
        <v>65.037071813659793</v>
      </c>
      <c r="N789" s="577">
        <f t="shared" si="626"/>
        <v>65.037071813659793</v>
      </c>
      <c r="O789" s="577">
        <f t="shared" si="626"/>
        <v>65.037071813659793</v>
      </c>
      <c r="P789" s="577">
        <f t="shared" si="626"/>
        <v>65.037071813659793</v>
      </c>
      <c r="Q789" s="577">
        <f t="shared" si="626"/>
        <v>65.037071813659793</v>
      </c>
      <c r="R789" s="577">
        <f t="shared" si="626"/>
        <v>65.037071813659793</v>
      </c>
      <c r="S789" s="577">
        <f t="shared" si="626"/>
        <v>65.037071813659793</v>
      </c>
      <c r="T789" s="577">
        <f t="shared" si="626"/>
        <v>65.037071813659793</v>
      </c>
      <c r="U789" s="577">
        <f t="shared" si="626"/>
        <v>65.037071813659793</v>
      </c>
      <c r="V789" s="577">
        <f t="shared" si="626"/>
        <v>65.037071813659793</v>
      </c>
      <c r="W789" s="577">
        <f t="shared" si="626"/>
        <v>65.037071813659793</v>
      </c>
      <c r="X789" s="577">
        <f t="shared" si="626"/>
        <v>65.037071813659793</v>
      </c>
      <c r="Y789" s="577">
        <f t="shared" si="626"/>
        <v>65.037071813659793</v>
      </c>
      <c r="Z789" s="577">
        <f t="shared" si="626"/>
        <v>65.037071813659793</v>
      </c>
      <c r="AA789" s="577">
        <f t="shared" si="626"/>
        <v>65.037071813659793</v>
      </c>
      <c r="AB789" s="577">
        <f t="shared" si="626"/>
        <v>65.037071813659793</v>
      </c>
      <c r="AC789" s="577">
        <f t="shared" si="626"/>
        <v>65.037071813659793</v>
      </c>
      <c r="AD789" s="577">
        <f t="shared" si="626"/>
        <v>65.037071813659793</v>
      </c>
      <c r="AE789" s="577">
        <f t="shared" si="626"/>
        <v>65.037071813659793</v>
      </c>
      <c r="AF789" s="577">
        <f t="shared" si="626"/>
        <v>65.037071813659793</v>
      </c>
      <c r="AH789" s="578">
        <f>SUM(C789:AF789)</f>
        <v>1951.112154409795</v>
      </c>
      <c r="AJ789" s="579"/>
      <c r="AK789" s="531"/>
      <c r="AM789" s="594"/>
      <c r="AN789" s="535"/>
      <c r="AP789" s="568"/>
      <c r="AQ789" s="568"/>
    </row>
    <row r="790" spans="1:43" s="546" customFormat="1" ht="16.5" hidden="1" customHeight="1" outlineLevel="2">
      <c r="A790" s="584"/>
      <c r="B790" s="569" t="s">
        <v>828</v>
      </c>
      <c r="C790" s="581">
        <f>C791*C792*C793*C794</f>
        <v>2284.49712</v>
      </c>
      <c r="D790" s="581">
        <f t="shared" ref="D790:AF790" si="627">D791*D792*D793*D794</f>
        <v>2284.49712</v>
      </c>
      <c r="E790" s="581">
        <f t="shared" si="627"/>
        <v>2284.49712</v>
      </c>
      <c r="F790" s="581">
        <f t="shared" si="627"/>
        <v>2284.49712</v>
      </c>
      <c r="G790" s="581">
        <f t="shared" si="627"/>
        <v>2284.49712</v>
      </c>
      <c r="H790" s="581">
        <f t="shared" si="627"/>
        <v>2284.49712</v>
      </c>
      <c r="I790" s="581">
        <f t="shared" si="627"/>
        <v>2284.49712</v>
      </c>
      <c r="J790" s="581">
        <f t="shared" si="627"/>
        <v>2284.49712</v>
      </c>
      <c r="K790" s="581">
        <f t="shared" si="627"/>
        <v>2284.49712</v>
      </c>
      <c r="L790" s="581">
        <f t="shared" si="627"/>
        <v>2284.49712</v>
      </c>
      <c r="M790" s="581">
        <f t="shared" si="627"/>
        <v>2284.49712</v>
      </c>
      <c r="N790" s="581">
        <f t="shared" si="627"/>
        <v>2284.49712</v>
      </c>
      <c r="O790" s="581">
        <f t="shared" si="627"/>
        <v>2284.49712</v>
      </c>
      <c r="P790" s="581">
        <f t="shared" si="627"/>
        <v>2284.49712</v>
      </c>
      <c r="Q790" s="581">
        <f t="shared" si="627"/>
        <v>2284.49712</v>
      </c>
      <c r="R790" s="581">
        <f t="shared" si="627"/>
        <v>2284.49712</v>
      </c>
      <c r="S790" s="581">
        <f t="shared" si="627"/>
        <v>2284.49712</v>
      </c>
      <c r="T790" s="581">
        <f t="shared" si="627"/>
        <v>2284.49712</v>
      </c>
      <c r="U790" s="581">
        <f t="shared" si="627"/>
        <v>2284.49712</v>
      </c>
      <c r="V790" s="581">
        <f t="shared" si="627"/>
        <v>2284.49712</v>
      </c>
      <c r="W790" s="581">
        <f t="shared" si="627"/>
        <v>2284.49712</v>
      </c>
      <c r="X790" s="581">
        <f t="shared" si="627"/>
        <v>2284.49712</v>
      </c>
      <c r="Y790" s="581">
        <f t="shared" si="627"/>
        <v>2284.49712</v>
      </c>
      <c r="Z790" s="581">
        <f t="shared" si="627"/>
        <v>2284.49712</v>
      </c>
      <c r="AA790" s="581">
        <f t="shared" si="627"/>
        <v>2284.49712</v>
      </c>
      <c r="AB790" s="581">
        <f t="shared" si="627"/>
        <v>2284.49712</v>
      </c>
      <c r="AC790" s="581">
        <f t="shared" si="627"/>
        <v>2284.49712</v>
      </c>
      <c r="AD790" s="581">
        <f t="shared" si="627"/>
        <v>2284.49712</v>
      </c>
      <c r="AE790" s="581">
        <f t="shared" si="627"/>
        <v>2284.49712</v>
      </c>
      <c r="AF790" s="581">
        <f t="shared" si="627"/>
        <v>2284.49712</v>
      </c>
      <c r="AH790" s="571"/>
      <c r="AK790" s="531"/>
      <c r="AM790" s="594"/>
      <c r="AN790" s="535"/>
      <c r="AP790" s="549"/>
      <c r="AQ790" s="549"/>
    </row>
    <row r="791" spans="1:43" s="513" customFormat="1" ht="16.5" hidden="1" customHeight="1" outlineLevel="2">
      <c r="A791" s="584"/>
      <c r="B791" s="572" t="s">
        <v>805</v>
      </c>
      <c r="C791" s="716">
        <f t="shared" ref="C791:AF791" si="628">C756</f>
        <v>2</v>
      </c>
      <c r="D791" s="716">
        <f t="shared" si="628"/>
        <v>2</v>
      </c>
      <c r="E791" s="716">
        <f t="shared" si="628"/>
        <v>2</v>
      </c>
      <c r="F791" s="716">
        <f t="shared" si="628"/>
        <v>2</v>
      </c>
      <c r="G791" s="716">
        <f t="shared" si="628"/>
        <v>2</v>
      </c>
      <c r="H791" s="716">
        <f t="shared" si="628"/>
        <v>2</v>
      </c>
      <c r="I791" s="716">
        <f t="shared" si="628"/>
        <v>2</v>
      </c>
      <c r="J791" s="716">
        <f t="shared" si="628"/>
        <v>2</v>
      </c>
      <c r="K791" s="716">
        <f t="shared" si="628"/>
        <v>2</v>
      </c>
      <c r="L791" s="716">
        <f t="shared" si="628"/>
        <v>2</v>
      </c>
      <c r="M791" s="716">
        <f t="shared" si="628"/>
        <v>2</v>
      </c>
      <c r="N791" s="716">
        <f t="shared" si="628"/>
        <v>2</v>
      </c>
      <c r="O791" s="716">
        <f t="shared" si="628"/>
        <v>2</v>
      </c>
      <c r="P791" s="716">
        <f t="shared" si="628"/>
        <v>2</v>
      </c>
      <c r="Q791" s="716">
        <f t="shared" si="628"/>
        <v>2</v>
      </c>
      <c r="R791" s="716">
        <f t="shared" si="628"/>
        <v>2</v>
      </c>
      <c r="S791" s="716">
        <f t="shared" si="628"/>
        <v>2</v>
      </c>
      <c r="T791" s="716">
        <f t="shared" si="628"/>
        <v>2</v>
      </c>
      <c r="U791" s="716">
        <f t="shared" si="628"/>
        <v>2</v>
      </c>
      <c r="V791" s="716">
        <f t="shared" si="628"/>
        <v>2</v>
      </c>
      <c r="W791" s="716">
        <f t="shared" si="628"/>
        <v>2</v>
      </c>
      <c r="X791" s="716">
        <f t="shared" si="628"/>
        <v>2</v>
      </c>
      <c r="Y791" s="716">
        <f t="shared" si="628"/>
        <v>2</v>
      </c>
      <c r="Z791" s="716">
        <f t="shared" si="628"/>
        <v>2</v>
      </c>
      <c r="AA791" s="716">
        <f t="shared" si="628"/>
        <v>2</v>
      </c>
      <c r="AB791" s="716">
        <f t="shared" si="628"/>
        <v>2</v>
      </c>
      <c r="AC791" s="716">
        <f t="shared" si="628"/>
        <v>2</v>
      </c>
      <c r="AD791" s="716">
        <f t="shared" si="628"/>
        <v>2</v>
      </c>
      <c r="AE791" s="716">
        <f t="shared" si="628"/>
        <v>2</v>
      </c>
      <c r="AF791" s="716">
        <f t="shared" si="628"/>
        <v>2</v>
      </c>
      <c r="AH791" s="538"/>
      <c r="AK791" s="719"/>
      <c r="AM791" s="594"/>
      <c r="AN791" s="535"/>
      <c r="AP791" s="540"/>
      <c r="AQ791" s="540"/>
    </row>
    <row r="792" spans="1:43" s="513" customFormat="1" ht="16.5" hidden="1" customHeight="1" outlineLevel="2">
      <c r="A792" s="584"/>
      <c r="B792" s="572" t="s">
        <v>968</v>
      </c>
      <c r="C792" s="574">
        <f>302/12</f>
        <v>25.166666666666668</v>
      </c>
      <c r="D792" s="574">
        <f>C792</f>
        <v>25.166666666666668</v>
      </c>
      <c r="E792" s="574">
        <f t="shared" ref="E792:T794" si="629">D792</f>
        <v>25.166666666666668</v>
      </c>
      <c r="F792" s="574">
        <f t="shared" si="629"/>
        <v>25.166666666666668</v>
      </c>
      <c r="G792" s="574">
        <f t="shared" si="629"/>
        <v>25.166666666666668</v>
      </c>
      <c r="H792" s="574">
        <f t="shared" si="629"/>
        <v>25.166666666666668</v>
      </c>
      <c r="I792" s="574">
        <f t="shared" si="629"/>
        <v>25.166666666666668</v>
      </c>
      <c r="J792" s="574">
        <f t="shared" si="629"/>
        <v>25.166666666666668</v>
      </c>
      <c r="K792" s="574">
        <f t="shared" si="629"/>
        <v>25.166666666666668</v>
      </c>
      <c r="L792" s="574">
        <f t="shared" si="629"/>
        <v>25.166666666666668</v>
      </c>
      <c r="M792" s="574">
        <f t="shared" si="629"/>
        <v>25.166666666666668</v>
      </c>
      <c r="N792" s="574">
        <f t="shared" si="629"/>
        <v>25.166666666666668</v>
      </c>
      <c r="O792" s="574">
        <f t="shared" si="629"/>
        <v>25.166666666666668</v>
      </c>
      <c r="P792" s="574">
        <f t="shared" si="629"/>
        <v>25.166666666666668</v>
      </c>
      <c r="Q792" s="574">
        <f t="shared" si="629"/>
        <v>25.166666666666668</v>
      </c>
      <c r="R792" s="574">
        <f t="shared" si="629"/>
        <v>25.166666666666668</v>
      </c>
      <c r="S792" s="574">
        <f t="shared" si="629"/>
        <v>25.166666666666668</v>
      </c>
      <c r="T792" s="574">
        <f t="shared" si="629"/>
        <v>25.166666666666668</v>
      </c>
      <c r="U792" s="574">
        <f t="shared" ref="U792:AF794" si="630">T792</f>
        <v>25.166666666666668</v>
      </c>
      <c r="V792" s="574">
        <f t="shared" si="630"/>
        <v>25.166666666666668</v>
      </c>
      <c r="W792" s="574">
        <f t="shared" si="630"/>
        <v>25.166666666666668</v>
      </c>
      <c r="X792" s="574">
        <f t="shared" si="630"/>
        <v>25.166666666666668</v>
      </c>
      <c r="Y792" s="574">
        <f t="shared" si="630"/>
        <v>25.166666666666668</v>
      </c>
      <c r="Z792" s="574">
        <f t="shared" si="630"/>
        <v>25.166666666666668</v>
      </c>
      <c r="AA792" s="574">
        <f t="shared" si="630"/>
        <v>25.166666666666668</v>
      </c>
      <c r="AB792" s="574">
        <f t="shared" si="630"/>
        <v>25.166666666666668</v>
      </c>
      <c r="AC792" s="574">
        <f t="shared" si="630"/>
        <v>25.166666666666668</v>
      </c>
      <c r="AD792" s="574">
        <f t="shared" si="630"/>
        <v>25.166666666666668</v>
      </c>
      <c r="AE792" s="574">
        <f t="shared" si="630"/>
        <v>25.166666666666668</v>
      </c>
      <c r="AF792" s="574">
        <f t="shared" si="630"/>
        <v>25.166666666666668</v>
      </c>
      <c r="AH792" s="538"/>
      <c r="AK792" s="531"/>
      <c r="AM792" s="594"/>
      <c r="AN792" s="535"/>
      <c r="AP792" s="540"/>
      <c r="AQ792" s="540"/>
    </row>
    <row r="793" spans="1:43" s="513" customFormat="1" ht="16.5" hidden="1" customHeight="1" outlineLevel="2">
      <c r="A793" s="584"/>
      <c r="B793" s="572" t="s">
        <v>969</v>
      </c>
      <c r="C793" s="574">
        <f>0.9*7.33</f>
        <v>6.5970000000000004</v>
      </c>
      <c r="D793" s="574">
        <f>C793</f>
        <v>6.5970000000000004</v>
      </c>
      <c r="E793" s="574">
        <f t="shared" si="629"/>
        <v>6.5970000000000004</v>
      </c>
      <c r="F793" s="574">
        <f t="shared" si="629"/>
        <v>6.5970000000000004</v>
      </c>
      <c r="G793" s="574">
        <f t="shared" si="629"/>
        <v>6.5970000000000004</v>
      </c>
      <c r="H793" s="574">
        <f t="shared" si="629"/>
        <v>6.5970000000000004</v>
      </c>
      <c r="I793" s="574">
        <f t="shared" si="629"/>
        <v>6.5970000000000004</v>
      </c>
      <c r="J793" s="574">
        <f t="shared" si="629"/>
        <v>6.5970000000000004</v>
      </c>
      <c r="K793" s="574">
        <f t="shared" si="629"/>
        <v>6.5970000000000004</v>
      </c>
      <c r="L793" s="574">
        <f t="shared" si="629"/>
        <v>6.5970000000000004</v>
      </c>
      <c r="M793" s="574">
        <f t="shared" si="629"/>
        <v>6.5970000000000004</v>
      </c>
      <c r="N793" s="574">
        <f t="shared" si="629"/>
        <v>6.5970000000000004</v>
      </c>
      <c r="O793" s="574">
        <f t="shared" si="629"/>
        <v>6.5970000000000004</v>
      </c>
      <c r="P793" s="574">
        <f t="shared" si="629"/>
        <v>6.5970000000000004</v>
      </c>
      <c r="Q793" s="574">
        <f t="shared" si="629"/>
        <v>6.5970000000000004</v>
      </c>
      <c r="R793" s="574">
        <f t="shared" si="629"/>
        <v>6.5970000000000004</v>
      </c>
      <c r="S793" s="574">
        <f t="shared" si="629"/>
        <v>6.5970000000000004</v>
      </c>
      <c r="T793" s="574">
        <f t="shared" si="629"/>
        <v>6.5970000000000004</v>
      </c>
      <c r="U793" s="574">
        <f t="shared" si="630"/>
        <v>6.5970000000000004</v>
      </c>
      <c r="V793" s="574">
        <f t="shared" si="630"/>
        <v>6.5970000000000004</v>
      </c>
      <c r="W793" s="574">
        <f t="shared" si="630"/>
        <v>6.5970000000000004</v>
      </c>
      <c r="X793" s="574">
        <f t="shared" si="630"/>
        <v>6.5970000000000004</v>
      </c>
      <c r="Y793" s="574">
        <f t="shared" si="630"/>
        <v>6.5970000000000004</v>
      </c>
      <c r="Z793" s="574">
        <f t="shared" si="630"/>
        <v>6.5970000000000004</v>
      </c>
      <c r="AA793" s="574">
        <f t="shared" si="630"/>
        <v>6.5970000000000004</v>
      </c>
      <c r="AB793" s="574">
        <f t="shared" si="630"/>
        <v>6.5970000000000004</v>
      </c>
      <c r="AC793" s="574">
        <f t="shared" si="630"/>
        <v>6.5970000000000004</v>
      </c>
      <c r="AD793" s="574">
        <f t="shared" si="630"/>
        <v>6.5970000000000004</v>
      </c>
      <c r="AE793" s="574">
        <f t="shared" si="630"/>
        <v>6.5970000000000004</v>
      </c>
      <c r="AF793" s="574">
        <f t="shared" si="630"/>
        <v>6.5970000000000004</v>
      </c>
      <c r="AH793" s="538"/>
      <c r="AK793" s="531"/>
      <c r="AM793" s="594"/>
      <c r="AN793" s="535"/>
      <c r="AP793" s="540"/>
      <c r="AQ793" s="540"/>
    </row>
    <row r="794" spans="1:43" s="513" customFormat="1" ht="16.5" hidden="1" customHeight="1" outlineLevel="2">
      <c r="A794" s="584"/>
      <c r="B794" s="572" t="s">
        <v>888</v>
      </c>
      <c r="C794" s="574">
        <f>Insumos!$E$40</f>
        <v>6.88</v>
      </c>
      <c r="D794" s="574">
        <f>C794</f>
        <v>6.88</v>
      </c>
      <c r="E794" s="574">
        <f t="shared" si="629"/>
        <v>6.88</v>
      </c>
      <c r="F794" s="574">
        <f t="shared" si="629"/>
        <v>6.88</v>
      </c>
      <c r="G794" s="574">
        <f t="shared" si="629"/>
        <v>6.88</v>
      </c>
      <c r="H794" s="574">
        <f t="shared" si="629"/>
        <v>6.88</v>
      </c>
      <c r="I794" s="574">
        <f t="shared" si="629"/>
        <v>6.88</v>
      </c>
      <c r="J794" s="574">
        <f t="shared" si="629"/>
        <v>6.88</v>
      </c>
      <c r="K794" s="574">
        <f t="shared" si="629"/>
        <v>6.88</v>
      </c>
      <c r="L794" s="574">
        <f t="shared" si="629"/>
        <v>6.88</v>
      </c>
      <c r="M794" s="574">
        <f t="shared" si="629"/>
        <v>6.88</v>
      </c>
      <c r="N794" s="574">
        <f t="shared" si="629"/>
        <v>6.88</v>
      </c>
      <c r="O794" s="574">
        <f t="shared" si="629"/>
        <v>6.88</v>
      </c>
      <c r="P794" s="574">
        <f t="shared" si="629"/>
        <v>6.88</v>
      </c>
      <c r="Q794" s="574">
        <f t="shared" si="629"/>
        <v>6.88</v>
      </c>
      <c r="R794" s="574">
        <f t="shared" si="629"/>
        <v>6.88</v>
      </c>
      <c r="S794" s="574">
        <f t="shared" si="629"/>
        <v>6.88</v>
      </c>
      <c r="T794" s="574">
        <f t="shared" si="629"/>
        <v>6.88</v>
      </c>
      <c r="U794" s="574">
        <f t="shared" si="630"/>
        <v>6.88</v>
      </c>
      <c r="V794" s="574">
        <f t="shared" si="630"/>
        <v>6.88</v>
      </c>
      <c r="W794" s="574">
        <f t="shared" si="630"/>
        <v>6.88</v>
      </c>
      <c r="X794" s="574">
        <f t="shared" si="630"/>
        <v>6.88</v>
      </c>
      <c r="Y794" s="574">
        <f t="shared" si="630"/>
        <v>6.88</v>
      </c>
      <c r="Z794" s="574">
        <f t="shared" si="630"/>
        <v>6.88</v>
      </c>
      <c r="AA794" s="574">
        <f t="shared" si="630"/>
        <v>6.88</v>
      </c>
      <c r="AB794" s="574">
        <f t="shared" si="630"/>
        <v>6.88</v>
      </c>
      <c r="AC794" s="574">
        <f t="shared" si="630"/>
        <v>6.88</v>
      </c>
      <c r="AD794" s="574">
        <f t="shared" si="630"/>
        <v>6.88</v>
      </c>
      <c r="AE794" s="574">
        <f t="shared" si="630"/>
        <v>6.88</v>
      </c>
      <c r="AF794" s="574">
        <f t="shared" si="630"/>
        <v>6.88</v>
      </c>
      <c r="AH794" s="538"/>
      <c r="AK794" s="531"/>
      <c r="AM794" s="594"/>
      <c r="AN794" s="535"/>
      <c r="AP794" s="540"/>
      <c r="AQ794" s="540"/>
    </row>
    <row r="795" spans="1:43" s="546" customFormat="1" ht="16.5" hidden="1" customHeight="1" outlineLevel="2">
      <c r="A795" s="584"/>
      <c r="B795" s="580" t="str">
        <f>B757</f>
        <v>Van Minibus 20+1</v>
      </c>
      <c r="C795" s="581">
        <f>C796*(C797/C798)*C799</f>
        <v>1476.7710937499999</v>
      </c>
      <c r="D795" s="581">
        <f>D796*(D797/D798)*D799</f>
        <v>1476.7710937499999</v>
      </c>
      <c r="E795" s="581">
        <f t="shared" ref="E795:AF795" si="631">E796*(E797/E798)*E799</f>
        <v>1476.7710937499999</v>
      </c>
      <c r="F795" s="581">
        <f t="shared" si="631"/>
        <v>1476.7710937499999</v>
      </c>
      <c r="G795" s="581">
        <f t="shared" si="631"/>
        <v>1476.7710937499999</v>
      </c>
      <c r="H795" s="581">
        <f t="shared" si="631"/>
        <v>1476.7710937499999</v>
      </c>
      <c r="I795" s="581">
        <f t="shared" si="631"/>
        <v>1476.7710937499999</v>
      </c>
      <c r="J795" s="581">
        <f t="shared" si="631"/>
        <v>1476.7710937499999</v>
      </c>
      <c r="K795" s="581">
        <f t="shared" si="631"/>
        <v>1476.7710937499999</v>
      </c>
      <c r="L795" s="581">
        <f t="shared" si="631"/>
        <v>1476.7710937499999</v>
      </c>
      <c r="M795" s="581">
        <f t="shared" si="631"/>
        <v>1476.7710937499999</v>
      </c>
      <c r="N795" s="581">
        <f t="shared" si="631"/>
        <v>1476.7710937499999</v>
      </c>
      <c r="O795" s="581">
        <f t="shared" si="631"/>
        <v>1476.7710937499999</v>
      </c>
      <c r="P795" s="581">
        <f t="shared" si="631"/>
        <v>1476.7710937499999</v>
      </c>
      <c r="Q795" s="581">
        <f t="shared" si="631"/>
        <v>1476.7710937499999</v>
      </c>
      <c r="R795" s="581">
        <f t="shared" si="631"/>
        <v>1476.7710937499999</v>
      </c>
      <c r="S795" s="581">
        <f t="shared" si="631"/>
        <v>1476.7710937499999</v>
      </c>
      <c r="T795" s="581">
        <f t="shared" si="631"/>
        <v>1476.7710937499999</v>
      </c>
      <c r="U795" s="581">
        <f t="shared" si="631"/>
        <v>1476.7710937499999</v>
      </c>
      <c r="V795" s="581">
        <f t="shared" si="631"/>
        <v>1476.7710937499999</v>
      </c>
      <c r="W795" s="581">
        <f t="shared" si="631"/>
        <v>1476.7710937499999</v>
      </c>
      <c r="X795" s="581">
        <f t="shared" si="631"/>
        <v>1476.7710937499999</v>
      </c>
      <c r="Y795" s="581">
        <f t="shared" si="631"/>
        <v>1476.7710937499999</v>
      </c>
      <c r="Z795" s="581">
        <f t="shared" si="631"/>
        <v>1476.7710937499999</v>
      </c>
      <c r="AA795" s="581">
        <f t="shared" si="631"/>
        <v>1476.7710937499999</v>
      </c>
      <c r="AB795" s="581">
        <f t="shared" si="631"/>
        <v>1476.7710937499999</v>
      </c>
      <c r="AC795" s="581">
        <f t="shared" si="631"/>
        <v>1476.7710937499999</v>
      </c>
      <c r="AD795" s="581">
        <f t="shared" si="631"/>
        <v>1476.7710937499999</v>
      </c>
      <c r="AE795" s="581">
        <f t="shared" si="631"/>
        <v>1476.7710937499999</v>
      </c>
      <c r="AF795" s="581">
        <f t="shared" si="631"/>
        <v>1476.7710937499999</v>
      </c>
      <c r="AH795" s="571"/>
      <c r="AK795" s="531"/>
      <c r="AM795" s="594"/>
      <c r="AN795" s="535"/>
      <c r="AP795" s="549"/>
      <c r="AQ795" s="549"/>
    </row>
    <row r="796" spans="1:43" s="513" customFormat="1" ht="16.5" hidden="1" customHeight="1" outlineLevel="2">
      <c r="A796" s="584"/>
      <c r="B796" s="572" t="s">
        <v>805</v>
      </c>
      <c r="C796" s="716">
        <f t="shared" ref="C796:AF796" si="632">C757</f>
        <v>1</v>
      </c>
      <c r="D796" s="716">
        <f t="shared" si="632"/>
        <v>1</v>
      </c>
      <c r="E796" s="716">
        <f t="shared" si="632"/>
        <v>1</v>
      </c>
      <c r="F796" s="716">
        <f t="shared" si="632"/>
        <v>1</v>
      </c>
      <c r="G796" s="716">
        <f t="shared" si="632"/>
        <v>1</v>
      </c>
      <c r="H796" s="716">
        <f t="shared" si="632"/>
        <v>1</v>
      </c>
      <c r="I796" s="716">
        <f t="shared" si="632"/>
        <v>1</v>
      </c>
      <c r="J796" s="716">
        <f t="shared" si="632"/>
        <v>1</v>
      </c>
      <c r="K796" s="716">
        <f t="shared" si="632"/>
        <v>1</v>
      </c>
      <c r="L796" s="716">
        <f t="shared" si="632"/>
        <v>1</v>
      </c>
      <c r="M796" s="716">
        <f t="shared" si="632"/>
        <v>1</v>
      </c>
      <c r="N796" s="716">
        <f t="shared" si="632"/>
        <v>1</v>
      </c>
      <c r="O796" s="716">
        <f t="shared" si="632"/>
        <v>1</v>
      </c>
      <c r="P796" s="716">
        <f t="shared" si="632"/>
        <v>1</v>
      </c>
      <c r="Q796" s="716">
        <f t="shared" si="632"/>
        <v>1</v>
      </c>
      <c r="R796" s="716">
        <f t="shared" si="632"/>
        <v>1</v>
      </c>
      <c r="S796" s="716">
        <f t="shared" si="632"/>
        <v>1</v>
      </c>
      <c r="T796" s="716">
        <f t="shared" si="632"/>
        <v>1</v>
      </c>
      <c r="U796" s="716">
        <f t="shared" si="632"/>
        <v>1</v>
      </c>
      <c r="V796" s="716">
        <f t="shared" si="632"/>
        <v>1</v>
      </c>
      <c r="W796" s="716">
        <f t="shared" si="632"/>
        <v>1</v>
      </c>
      <c r="X796" s="716">
        <f t="shared" si="632"/>
        <v>1</v>
      </c>
      <c r="Y796" s="716">
        <f t="shared" si="632"/>
        <v>1</v>
      </c>
      <c r="Z796" s="716">
        <f t="shared" si="632"/>
        <v>1</v>
      </c>
      <c r="AA796" s="716">
        <f t="shared" si="632"/>
        <v>1</v>
      </c>
      <c r="AB796" s="716">
        <f t="shared" si="632"/>
        <v>1</v>
      </c>
      <c r="AC796" s="716">
        <f t="shared" si="632"/>
        <v>1</v>
      </c>
      <c r="AD796" s="716">
        <f t="shared" si="632"/>
        <v>1</v>
      </c>
      <c r="AE796" s="716">
        <f t="shared" si="632"/>
        <v>1</v>
      </c>
      <c r="AF796" s="716">
        <f t="shared" si="632"/>
        <v>1</v>
      </c>
      <c r="AH796" s="538"/>
      <c r="AK796" s="719"/>
      <c r="AM796" s="594"/>
      <c r="AN796" s="535"/>
      <c r="AP796" s="540"/>
      <c r="AQ796" s="540"/>
    </row>
    <row r="797" spans="1:43" s="586" customFormat="1" ht="16.5" hidden="1" customHeight="1" outlineLevel="2">
      <c r="A797" s="584"/>
      <c r="B797" s="585" t="s">
        <v>895</v>
      </c>
      <c r="C797" s="632">
        <f t="shared" ref="C797:AF797" si="633">C782</f>
        <v>503.40000000000003</v>
      </c>
      <c r="D797" s="632">
        <f t="shared" si="633"/>
        <v>503.40000000000003</v>
      </c>
      <c r="E797" s="632">
        <f t="shared" si="633"/>
        <v>503.40000000000003</v>
      </c>
      <c r="F797" s="632">
        <f t="shared" si="633"/>
        <v>503.40000000000003</v>
      </c>
      <c r="G797" s="632">
        <f t="shared" si="633"/>
        <v>503.40000000000003</v>
      </c>
      <c r="H797" s="632">
        <f t="shared" si="633"/>
        <v>503.40000000000003</v>
      </c>
      <c r="I797" s="632">
        <f t="shared" si="633"/>
        <v>503.40000000000003</v>
      </c>
      <c r="J797" s="632">
        <f t="shared" si="633"/>
        <v>503.40000000000003</v>
      </c>
      <c r="K797" s="632">
        <f t="shared" si="633"/>
        <v>503.40000000000003</v>
      </c>
      <c r="L797" s="632">
        <f t="shared" si="633"/>
        <v>503.40000000000003</v>
      </c>
      <c r="M797" s="632">
        <f t="shared" si="633"/>
        <v>503.40000000000003</v>
      </c>
      <c r="N797" s="632">
        <f t="shared" si="633"/>
        <v>503.40000000000003</v>
      </c>
      <c r="O797" s="632">
        <f t="shared" si="633"/>
        <v>503.40000000000003</v>
      </c>
      <c r="P797" s="632">
        <f t="shared" si="633"/>
        <v>503.40000000000003</v>
      </c>
      <c r="Q797" s="632">
        <f t="shared" si="633"/>
        <v>503.40000000000003</v>
      </c>
      <c r="R797" s="632">
        <f t="shared" si="633"/>
        <v>503.40000000000003</v>
      </c>
      <c r="S797" s="632">
        <f t="shared" si="633"/>
        <v>503.40000000000003</v>
      </c>
      <c r="T797" s="632">
        <f t="shared" si="633"/>
        <v>503.40000000000003</v>
      </c>
      <c r="U797" s="632">
        <f t="shared" si="633"/>
        <v>503.40000000000003</v>
      </c>
      <c r="V797" s="632">
        <f t="shared" si="633"/>
        <v>503.40000000000003</v>
      </c>
      <c r="W797" s="632">
        <f t="shared" si="633"/>
        <v>503.40000000000003</v>
      </c>
      <c r="X797" s="632">
        <f t="shared" si="633"/>
        <v>503.40000000000003</v>
      </c>
      <c r="Y797" s="632">
        <f t="shared" si="633"/>
        <v>503.40000000000003</v>
      </c>
      <c r="Z797" s="632">
        <f t="shared" si="633"/>
        <v>503.40000000000003</v>
      </c>
      <c r="AA797" s="632">
        <f t="shared" si="633"/>
        <v>503.40000000000003</v>
      </c>
      <c r="AB797" s="632">
        <f t="shared" si="633"/>
        <v>503.40000000000003</v>
      </c>
      <c r="AC797" s="632">
        <f t="shared" si="633"/>
        <v>503.40000000000003</v>
      </c>
      <c r="AD797" s="632">
        <f t="shared" si="633"/>
        <v>503.40000000000003</v>
      </c>
      <c r="AE797" s="632">
        <f t="shared" si="633"/>
        <v>503.40000000000003</v>
      </c>
      <c r="AF797" s="632">
        <f t="shared" si="633"/>
        <v>503.40000000000003</v>
      </c>
      <c r="AH797" s="587"/>
      <c r="AK797" s="588"/>
      <c r="AM797" s="624"/>
      <c r="AN797" s="590"/>
      <c r="AP797" s="591"/>
      <c r="AQ797" s="591"/>
    </row>
    <row r="798" spans="1:43" s="586" customFormat="1" ht="16.5" hidden="1" customHeight="1" outlineLevel="2">
      <c r="A798" s="584"/>
      <c r="B798" s="585" t="s">
        <v>896</v>
      </c>
      <c r="C798" s="632">
        <v>2.56</v>
      </c>
      <c r="D798" s="632">
        <f>C798</f>
        <v>2.56</v>
      </c>
      <c r="E798" s="632">
        <f t="shared" ref="E798:T799" si="634">D798</f>
        <v>2.56</v>
      </c>
      <c r="F798" s="632">
        <f t="shared" si="634"/>
        <v>2.56</v>
      </c>
      <c r="G798" s="632">
        <f t="shared" si="634"/>
        <v>2.56</v>
      </c>
      <c r="H798" s="632">
        <f t="shared" si="634"/>
        <v>2.56</v>
      </c>
      <c r="I798" s="632">
        <f t="shared" si="634"/>
        <v>2.56</v>
      </c>
      <c r="J798" s="632">
        <f t="shared" si="634"/>
        <v>2.56</v>
      </c>
      <c r="K798" s="632">
        <f t="shared" si="634"/>
        <v>2.56</v>
      </c>
      <c r="L798" s="632">
        <f t="shared" si="634"/>
        <v>2.56</v>
      </c>
      <c r="M798" s="632">
        <f t="shared" si="634"/>
        <v>2.56</v>
      </c>
      <c r="N798" s="632">
        <f t="shared" si="634"/>
        <v>2.56</v>
      </c>
      <c r="O798" s="632">
        <f t="shared" si="634"/>
        <v>2.56</v>
      </c>
      <c r="P798" s="632">
        <f t="shared" si="634"/>
        <v>2.56</v>
      </c>
      <c r="Q798" s="632">
        <f t="shared" si="634"/>
        <v>2.56</v>
      </c>
      <c r="R798" s="632">
        <f t="shared" si="634"/>
        <v>2.56</v>
      </c>
      <c r="S798" s="632">
        <f t="shared" si="634"/>
        <v>2.56</v>
      </c>
      <c r="T798" s="632">
        <f t="shared" si="634"/>
        <v>2.56</v>
      </c>
      <c r="U798" s="632">
        <f t="shared" ref="U798:AF799" si="635">T798</f>
        <v>2.56</v>
      </c>
      <c r="V798" s="632">
        <f t="shared" si="635"/>
        <v>2.56</v>
      </c>
      <c r="W798" s="632">
        <f t="shared" si="635"/>
        <v>2.56</v>
      </c>
      <c r="X798" s="632">
        <f t="shared" si="635"/>
        <v>2.56</v>
      </c>
      <c r="Y798" s="632">
        <f t="shared" si="635"/>
        <v>2.56</v>
      </c>
      <c r="Z798" s="632">
        <f t="shared" si="635"/>
        <v>2.56</v>
      </c>
      <c r="AA798" s="632">
        <f t="shared" si="635"/>
        <v>2.56</v>
      </c>
      <c r="AB798" s="632">
        <f t="shared" si="635"/>
        <v>2.56</v>
      </c>
      <c r="AC798" s="632">
        <f t="shared" si="635"/>
        <v>2.56</v>
      </c>
      <c r="AD798" s="632">
        <f t="shared" si="635"/>
        <v>2.56</v>
      </c>
      <c r="AE798" s="632">
        <f t="shared" si="635"/>
        <v>2.56</v>
      </c>
      <c r="AF798" s="632">
        <f t="shared" si="635"/>
        <v>2.56</v>
      </c>
      <c r="AH798" s="587"/>
      <c r="AK798" s="588"/>
      <c r="AM798" s="624"/>
      <c r="AN798" s="590"/>
      <c r="AP798" s="591"/>
      <c r="AQ798" s="591"/>
    </row>
    <row r="799" spans="1:43" s="586" customFormat="1" ht="16.5" hidden="1" customHeight="1" outlineLevel="2">
      <c r="A799" s="584"/>
      <c r="B799" s="585" t="s">
        <v>888</v>
      </c>
      <c r="C799" s="574">
        <f>Insumos!$E$37</f>
        <v>7.51</v>
      </c>
      <c r="D799" s="632">
        <f>C799</f>
        <v>7.51</v>
      </c>
      <c r="E799" s="632">
        <f t="shared" si="634"/>
        <v>7.51</v>
      </c>
      <c r="F799" s="632">
        <f t="shared" si="634"/>
        <v>7.51</v>
      </c>
      <c r="G799" s="632">
        <f t="shared" si="634"/>
        <v>7.51</v>
      </c>
      <c r="H799" s="632">
        <f t="shared" si="634"/>
        <v>7.51</v>
      </c>
      <c r="I799" s="632">
        <f t="shared" si="634"/>
        <v>7.51</v>
      </c>
      <c r="J799" s="632">
        <f t="shared" si="634"/>
        <v>7.51</v>
      </c>
      <c r="K799" s="632">
        <f t="shared" si="634"/>
        <v>7.51</v>
      </c>
      <c r="L799" s="632">
        <f t="shared" si="634"/>
        <v>7.51</v>
      </c>
      <c r="M799" s="632">
        <f t="shared" si="634"/>
        <v>7.51</v>
      </c>
      <c r="N799" s="632">
        <f t="shared" si="634"/>
        <v>7.51</v>
      </c>
      <c r="O799" s="632">
        <f t="shared" si="634"/>
        <v>7.51</v>
      </c>
      <c r="P799" s="632">
        <f t="shared" si="634"/>
        <v>7.51</v>
      </c>
      <c r="Q799" s="632">
        <f t="shared" si="634"/>
        <v>7.51</v>
      </c>
      <c r="R799" s="632">
        <f t="shared" si="634"/>
        <v>7.51</v>
      </c>
      <c r="S799" s="632">
        <f t="shared" si="634"/>
        <v>7.51</v>
      </c>
      <c r="T799" s="632">
        <f t="shared" si="634"/>
        <v>7.51</v>
      </c>
      <c r="U799" s="632">
        <f t="shared" si="635"/>
        <v>7.51</v>
      </c>
      <c r="V799" s="632">
        <f t="shared" si="635"/>
        <v>7.51</v>
      </c>
      <c r="W799" s="632">
        <f t="shared" si="635"/>
        <v>7.51</v>
      </c>
      <c r="X799" s="632">
        <f t="shared" si="635"/>
        <v>7.51</v>
      </c>
      <c r="Y799" s="632">
        <f t="shared" si="635"/>
        <v>7.51</v>
      </c>
      <c r="Z799" s="632">
        <f t="shared" si="635"/>
        <v>7.51</v>
      </c>
      <c r="AA799" s="632">
        <f t="shared" si="635"/>
        <v>7.51</v>
      </c>
      <c r="AB799" s="632">
        <f t="shared" si="635"/>
        <v>7.51</v>
      </c>
      <c r="AC799" s="632">
        <f t="shared" si="635"/>
        <v>7.51</v>
      </c>
      <c r="AD799" s="632">
        <f t="shared" si="635"/>
        <v>7.51</v>
      </c>
      <c r="AE799" s="632">
        <f t="shared" si="635"/>
        <v>7.51</v>
      </c>
      <c r="AF799" s="632">
        <f t="shared" si="635"/>
        <v>7.51</v>
      </c>
      <c r="AH799" s="587"/>
      <c r="AK799" s="588"/>
      <c r="AM799" s="624"/>
      <c r="AN799" s="590"/>
      <c r="AP799" s="591"/>
      <c r="AQ799" s="591"/>
    </row>
    <row r="800" spans="1:43" s="634" customFormat="1" ht="16.5" hidden="1" customHeight="1" outlineLevel="2">
      <c r="A800" s="584"/>
      <c r="B800" s="608" t="s">
        <v>970</v>
      </c>
      <c r="C800" s="583">
        <f>C801*(C802/C803)*C804</f>
        <v>135.48969072164948</v>
      </c>
      <c r="D800" s="583">
        <f>D801*(D802/D803)*D804</f>
        <v>135.48969072164948</v>
      </c>
      <c r="E800" s="583">
        <f t="shared" ref="E800:AF800" si="636">E801*(E802/E803)*E804</f>
        <v>135.48969072164948</v>
      </c>
      <c r="F800" s="583">
        <f t="shared" si="636"/>
        <v>135.48969072164948</v>
      </c>
      <c r="G800" s="583">
        <f t="shared" si="636"/>
        <v>135.48969072164948</v>
      </c>
      <c r="H800" s="583">
        <f t="shared" si="636"/>
        <v>135.48969072164948</v>
      </c>
      <c r="I800" s="583">
        <f t="shared" si="636"/>
        <v>135.48969072164948</v>
      </c>
      <c r="J800" s="583">
        <f t="shared" si="636"/>
        <v>135.48969072164948</v>
      </c>
      <c r="K800" s="583">
        <f t="shared" si="636"/>
        <v>135.48969072164948</v>
      </c>
      <c r="L800" s="583">
        <f t="shared" si="636"/>
        <v>135.48969072164948</v>
      </c>
      <c r="M800" s="583">
        <f t="shared" si="636"/>
        <v>135.48969072164948</v>
      </c>
      <c r="N800" s="583">
        <f t="shared" si="636"/>
        <v>135.48969072164948</v>
      </c>
      <c r="O800" s="583">
        <f t="shared" si="636"/>
        <v>135.48969072164948</v>
      </c>
      <c r="P800" s="583">
        <f t="shared" si="636"/>
        <v>135.48969072164948</v>
      </c>
      <c r="Q800" s="583">
        <f t="shared" si="636"/>
        <v>135.48969072164948</v>
      </c>
      <c r="R800" s="583">
        <f t="shared" si="636"/>
        <v>135.48969072164948</v>
      </c>
      <c r="S800" s="583">
        <f t="shared" si="636"/>
        <v>135.48969072164948</v>
      </c>
      <c r="T800" s="583">
        <f t="shared" si="636"/>
        <v>135.48969072164948</v>
      </c>
      <c r="U800" s="583">
        <f t="shared" si="636"/>
        <v>135.48969072164948</v>
      </c>
      <c r="V800" s="583">
        <f t="shared" si="636"/>
        <v>135.48969072164948</v>
      </c>
      <c r="W800" s="583">
        <f t="shared" si="636"/>
        <v>135.48969072164948</v>
      </c>
      <c r="X800" s="583">
        <f t="shared" si="636"/>
        <v>135.48969072164948</v>
      </c>
      <c r="Y800" s="583">
        <f t="shared" si="636"/>
        <v>135.48969072164948</v>
      </c>
      <c r="Z800" s="583">
        <f t="shared" si="636"/>
        <v>135.48969072164948</v>
      </c>
      <c r="AA800" s="583">
        <f t="shared" si="636"/>
        <v>135.48969072164948</v>
      </c>
      <c r="AB800" s="583">
        <f t="shared" si="636"/>
        <v>135.48969072164948</v>
      </c>
      <c r="AC800" s="583">
        <f t="shared" si="636"/>
        <v>135.48969072164948</v>
      </c>
      <c r="AD800" s="583">
        <f t="shared" si="636"/>
        <v>135.48969072164948</v>
      </c>
      <c r="AE800" s="583">
        <f t="shared" si="636"/>
        <v>135.48969072164948</v>
      </c>
      <c r="AF800" s="583">
        <f t="shared" si="636"/>
        <v>135.48969072164948</v>
      </c>
      <c r="AH800" s="635"/>
      <c r="AK800" s="588"/>
      <c r="AM800" s="624"/>
      <c r="AN800" s="590"/>
      <c r="AP800" s="636"/>
      <c r="AQ800" s="636"/>
    </row>
    <row r="801" spans="1:43" s="513" customFormat="1" ht="16.5" hidden="1" customHeight="1" outlineLevel="2">
      <c r="A801" s="584"/>
      <c r="B801" s="572" t="s">
        <v>805</v>
      </c>
      <c r="C801" s="716">
        <f t="shared" ref="C801:AF801" si="637">C773</f>
        <v>1</v>
      </c>
      <c r="D801" s="716">
        <f t="shared" si="637"/>
        <v>1</v>
      </c>
      <c r="E801" s="716">
        <f t="shared" si="637"/>
        <v>1</v>
      </c>
      <c r="F801" s="716">
        <f t="shared" si="637"/>
        <v>1</v>
      </c>
      <c r="G801" s="716">
        <f t="shared" si="637"/>
        <v>1</v>
      </c>
      <c r="H801" s="716">
        <f t="shared" si="637"/>
        <v>1</v>
      </c>
      <c r="I801" s="716">
        <f t="shared" si="637"/>
        <v>1</v>
      </c>
      <c r="J801" s="716">
        <f t="shared" si="637"/>
        <v>1</v>
      </c>
      <c r="K801" s="716">
        <f t="shared" si="637"/>
        <v>1</v>
      </c>
      <c r="L801" s="716">
        <f t="shared" si="637"/>
        <v>1</v>
      </c>
      <c r="M801" s="716">
        <f t="shared" si="637"/>
        <v>1</v>
      </c>
      <c r="N801" s="716">
        <f t="shared" si="637"/>
        <v>1</v>
      </c>
      <c r="O801" s="716">
        <f t="shared" si="637"/>
        <v>1</v>
      </c>
      <c r="P801" s="716">
        <f t="shared" si="637"/>
        <v>1</v>
      </c>
      <c r="Q801" s="716">
        <f t="shared" si="637"/>
        <v>1</v>
      </c>
      <c r="R801" s="716">
        <f t="shared" si="637"/>
        <v>1</v>
      </c>
      <c r="S801" s="716">
        <f t="shared" si="637"/>
        <v>1</v>
      </c>
      <c r="T801" s="716">
        <f t="shared" si="637"/>
        <v>1</v>
      </c>
      <c r="U801" s="716">
        <f t="shared" si="637"/>
        <v>1</v>
      </c>
      <c r="V801" s="716">
        <f t="shared" si="637"/>
        <v>1</v>
      </c>
      <c r="W801" s="716">
        <f t="shared" si="637"/>
        <v>1</v>
      </c>
      <c r="X801" s="716">
        <f t="shared" si="637"/>
        <v>1</v>
      </c>
      <c r="Y801" s="716">
        <f t="shared" si="637"/>
        <v>1</v>
      </c>
      <c r="Z801" s="716">
        <f t="shared" si="637"/>
        <v>1</v>
      </c>
      <c r="AA801" s="716">
        <f t="shared" si="637"/>
        <v>1</v>
      </c>
      <c r="AB801" s="716">
        <f t="shared" si="637"/>
        <v>1</v>
      </c>
      <c r="AC801" s="716">
        <f t="shared" si="637"/>
        <v>1</v>
      </c>
      <c r="AD801" s="716">
        <f t="shared" si="637"/>
        <v>1</v>
      </c>
      <c r="AE801" s="716">
        <f t="shared" si="637"/>
        <v>1</v>
      </c>
      <c r="AF801" s="716">
        <f t="shared" si="637"/>
        <v>1</v>
      </c>
      <c r="AH801" s="538"/>
      <c r="AK801" s="719"/>
      <c r="AM801" s="594"/>
      <c r="AN801" s="535"/>
      <c r="AP801" s="540"/>
      <c r="AQ801" s="540"/>
    </row>
    <row r="802" spans="1:43" s="586" customFormat="1" ht="16.5" hidden="1" customHeight="1" outlineLevel="2">
      <c r="A802" s="584"/>
      <c r="B802" s="585" t="s">
        <v>895</v>
      </c>
      <c r="C802" s="632">
        <f>35*5</f>
        <v>175</v>
      </c>
      <c r="D802" s="632">
        <f>C802</f>
        <v>175</v>
      </c>
      <c r="E802" s="632">
        <f t="shared" ref="E802:AF802" si="638">D802</f>
        <v>175</v>
      </c>
      <c r="F802" s="632">
        <f t="shared" si="638"/>
        <v>175</v>
      </c>
      <c r="G802" s="632">
        <f t="shared" si="638"/>
        <v>175</v>
      </c>
      <c r="H802" s="632">
        <f t="shared" si="638"/>
        <v>175</v>
      </c>
      <c r="I802" s="632">
        <f t="shared" si="638"/>
        <v>175</v>
      </c>
      <c r="J802" s="632">
        <f t="shared" si="638"/>
        <v>175</v>
      </c>
      <c r="K802" s="632">
        <f t="shared" si="638"/>
        <v>175</v>
      </c>
      <c r="L802" s="632">
        <f t="shared" si="638"/>
        <v>175</v>
      </c>
      <c r="M802" s="632">
        <f t="shared" si="638"/>
        <v>175</v>
      </c>
      <c r="N802" s="632">
        <f t="shared" si="638"/>
        <v>175</v>
      </c>
      <c r="O802" s="632">
        <f t="shared" si="638"/>
        <v>175</v>
      </c>
      <c r="P802" s="632">
        <f t="shared" si="638"/>
        <v>175</v>
      </c>
      <c r="Q802" s="632">
        <f t="shared" si="638"/>
        <v>175</v>
      </c>
      <c r="R802" s="632">
        <f t="shared" si="638"/>
        <v>175</v>
      </c>
      <c r="S802" s="632">
        <f t="shared" si="638"/>
        <v>175</v>
      </c>
      <c r="T802" s="632">
        <f t="shared" si="638"/>
        <v>175</v>
      </c>
      <c r="U802" s="632">
        <f t="shared" si="638"/>
        <v>175</v>
      </c>
      <c r="V802" s="632">
        <f t="shared" si="638"/>
        <v>175</v>
      </c>
      <c r="W802" s="632">
        <f t="shared" si="638"/>
        <v>175</v>
      </c>
      <c r="X802" s="632">
        <f t="shared" si="638"/>
        <v>175</v>
      </c>
      <c r="Y802" s="632">
        <f t="shared" si="638"/>
        <v>175</v>
      </c>
      <c r="Z802" s="632">
        <f t="shared" si="638"/>
        <v>175</v>
      </c>
      <c r="AA802" s="632">
        <f t="shared" si="638"/>
        <v>175</v>
      </c>
      <c r="AB802" s="632">
        <f t="shared" si="638"/>
        <v>175</v>
      </c>
      <c r="AC802" s="632">
        <f t="shared" si="638"/>
        <v>175</v>
      </c>
      <c r="AD802" s="632">
        <f t="shared" si="638"/>
        <v>175</v>
      </c>
      <c r="AE802" s="632">
        <f t="shared" si="638"/>
        <v>175</v>
      </c>
      <c r="AF802" s="632">
        <f t="shared" si="638"/>
        <v>175</v>
      </c>
      <c r="AH802" s="587"/>
      <c r="AK802" s="588"/>
      <c r="AM802" s="624"/>
      <c r="AN802" s="590"/>
      <c r="AP802" s="591"/>
      <c r="AQ802" s="591"/>
    </row>
    <row r="803" spans="1:43" s="586" customFormat="1" ht="16.5" hidden="1" customHeight="1" outlineLevel="2">
      <c r="A803" s="584"/>
      <c r="B803" s="585" t="s">
        <v>896</v>
      </c>
      <c r="C803" s="632">
        <v>9.6999999999999993</v>
      </c>
      <c r="D803" s="632">
        <f>C803</f>
        <v>9.6999999999999993</v>
      </c>
      <c r="E803" s="632">
        <f t="shared" ref="E803:T804" si="639">D803</f>
        <v>9.6999999999999993</v>
      </c>
      <c r="F803" s="632">
        <f t="shared" si="639"/>
        <v>9.6999999999999993</v>
      </c>
      <c r="G803" s="632">
        <f t="shared" si="639"/>
        <v>9.6999999999999993</v>
      </c>
      <c r="H803" s="632">
        <f t="shared" si="639"/>
        <v>9.6999999999999993</v>
      </c>
      <c r="I803" s="632">
        <f t="shared" si="639"/>
        <v>9.6999999999999993</v>
      </c>
      <c r="J803" s="632">
        <f t="shared" si="639"/>
        <v>9.6999999999999993</v>
      </c>
      <c r="K803" s="632">
        <f t="shared" si="639"/>
        <v>9.6999999999999993</v>
      </c>
      <c r="L803" s="632">
        <f t="shared" si="639"/>
        <v>9.6999999999999993</v>
      </c>
      <c r="M803" s="632">
        <f t="shared" si="639"/>
        <v>9.6999999999999993</v>
      </c>
      <c r="N803" s="632">
        <f t="shared" si="639"/>
        <v>9.6999999999999993</v>
      </c>
      <c r="O803" s="632">
        <f t="shared" si="639"/>
        <v>9.6999999999999993</v>
      </c>
      <c r="P803" s="632">
        <f t="shared" si="639"/>
        <v>9.6999999999999993</v>
      </c>
      <c r="Q803" s="632">
        <f t="shared" si="639"/>
        <v>9.6999999999999993</v>
      </c>
      <c r="R803" s="632">
        <f t="shared" si="639"/>
        <v>9.6999999999999993</v>
      </c>
      <c r="S803" s="632">
        <f t="shared" si="639"/>
        <v>9.6999999999999993</v>
      </c>
      <c r="T803" s="632">
        <f t="shared" si="639"/>
        <v>9.6999999999999993</v>
      </c>
      <c r="U803" s="632">
        <f t="shared" ref="U803:AF804" si="640">T803</f>
        <v>9.6999999999999993</v>
      </c>
      <c r="V803" s="632">
        <f t="shared" si="640"/>
        <v>9.6999999999999993</v>
      </c>
      <c r="W803" s="632">
        <f t="shared" si="640"/>
        <v>9.6999999999999993</v>
      </c>
      <c r="X803" s="632">
        <f t="shared" si="640"/>
        <v>9.6999999999999993</v>
      </c>
      <c r="Y803" s="632">
        <f t="shared" si="640"/>
        <v>9.6999999999999993</v>
      </c>
      <c r="Z803" s="632">
        <f t="shared" si="640"/>
        <v>9.6999999999999993</v>
      </c>
      <c r="AA803" s="632">
        <f t="shared" si="640"/>
        <v>9.6999999999999993</v>
      </c>
      <c r="AB803" s="632">
        <f t="shared" si="640"/>
        <v>9.6999999999999993</v>
      </c>
      <c r="AC803" s="632">
        <f t="shared" si="640"/>
        <v>9.6999999999999993</v>
      </c>
      <c r="AD803" s="632">
        <f t="shared" si="640"/>
        <v>9.6999999999999993</v>
      </c>
      <c r="AE803" s="632">
        <f t="shared" si="640"/>
        <v>9.6999999999999993</v>
      </c>
      <c r="AF803" s="632">
        <f t="shared" si="640"/>
        <v>9.6999999999999993</v>
      </c>
      <c r="AH803" s="587"/>
      <c r="AK803" s="588"/>
      <c r="AM803" s="624"/>
      <c r="AN803" s="590"/>
      <c r="AP803" s="591"/>
      <c r="AQ803" s="591"/>
    </row>
    <row r="804" spans="1:43" s="586" customFormat="1" ht="16.5" hidden="1" customHeight="1" outlineLevel="2">
      <c r="A804" s="584"/>
      <c r="B804" s="585" t="s">
        <v>888</v>
      </c>
      <c r="C804" s="574">
        <f>Insumos!$E$37</f>
        <v>7.51</v>
      </c>
      <c r="D804" s="632">
        <f>C804</f>
        <v>7.51</v>
      </c>
      <c r="E804" s="632">
        <f t="shared" si="639"/>
        <v>7.51</v>
      </c>
      <c r="F804" s="632">
        <f t="shared" si="639"/>
        <v>7.51</v>
      </c>
      <c r="G804" s="632">
        <f t="shared" si="639"/>
        <v>7.51</v>
      </c>
      <c r="H804" s="632">
        <f t="shared" si="639"/>
        <v>7.51</v>
      </c>
      <c r="I804" s="632">
        <f t="shared" si="639"/>
        <v>7.51</v>
      </c>
      <c r="J804" s="632">
        <f t="shared" si="639"/>
        <v>7.51</v>
      </c>
      <c r="K804" s="632">
        <f t="shared" si="639"/>
        <v>7.51</v>
      </c>
      <c r="L804" s="632">
        <f t="shared" si="639"/>
        <v>7.51</v>
      </c>
      <c r="M804" s="632">
        <f t="shared" si="639"/>
        <v>7.51</v>
      </c>
      <c r="N804" s="632">
        <f t="shared" si="639"/>
        <v>7.51</v>
      </c>
      <c r="O804" s="632">
        <f t="shared" si="639"/>
        <v>7.51</v>
      </c>
      <c r="P804" s="632">
        <f t="shared" si="639"/>
        <v>7.51</v>
      </c>
      <c r="Q804" s="632">
        <f t="shared" si="639"/>
        <v>7.51</v>
      </c>
      <c r="R804" s="632">
        <f t="shared" si="639"/>
        <v>7.51</v>
      </c>
      <c r="S804" s="632">
        <f t="shared" si="639"/>
        <v>7.51</v>
      </c>
      <c r="T804" s="632">
        <f t="shared" si="639"/>
        <v>7.51</v>
      </c>
      <c r="U804" s="632">
        <f t="shared" si="640"/>
        <v>7.51</v>
      </c>
      <c r="V804" s="632">
        <f t="shared" si="640"/>
        <v>7.51</v>
      </c>
      <c r="W804" s="632">
        <f t="shared" si="640"/>
        <v>7.51</v>
      </c>
      <c r="X804" s="632">
        <f t="shared" si="640"/>
        <v>7.51</v>
      </c>
      <c r="Y804" s="632">
        <f t="shared" si="640"/>
        <v>7.51</v>
      </c>
      <c r="Z804" s="632">
        <f t="shared" si="640"/>
        <v>7.51</v>
      </c>
      <c r="AA804" s="632">
        <f t="shared" si="640"/>
        <v>7.51</v>
      </c>
      <c r="AB804" s="632">
        <f t="shared" si="640"/>
        <v>7.51</v>
      </c>
      <c r="AC804" s="632">
        <f t="shared" si="640"/>
        <v>7.51</v>
      </c>
      <c r="AD804" s="632">
        <f t="shared" si="640"/>
        <v>7.51</v>
      </c>
      <c r="AE804" s="632">
        <f t="shared" si="640"/>
        <v>7.51</v>
      </c>
      <c r="AF804" s="632">
        <f t="shared" si="640"/>
        <v>7.51</v>
      </c>
      <c r="AH804" s="587"/>
      <c r="AK804" s="588"/>
      <c r="AM804" s="624"/>
      <c r="AN804" s="590"/>
      <c r="AP804" s="591"/>
      <c r="AQ804" s="591"/>
    </row>
    <row r="805" spans="1:43" s="634" customFormat="1" ht="16.5" hidden="1" customHeight="1" outlineLevel="2">
      <c r="A805" s="584"/>
      <c r="B805" s="580" t="s">
        <v>829</v>
      </c>
      <c r="C805" s="583">
        <f>C806*C807*C808*C809</f>
        <v>1522.9980799999998</v>
      </c>
      <c r="D805" s="583">
        <f t="shared" ref="D805:AF805" si="641">D806*D807*D808*D809</f>
        <v>1522.9980799999998</v>
      </c>
      <c r="E805" s="583">
        <f t="shared" si="641"/>
        <v>1522.9980799999998</v>
      </c>
      <c r="F805" s="583">
        <f t="shared" si="641"/>
        <v>1522.9980799999998</v>
      </c>
      <c r="G805" s="583">
        <f t="shared" si="641"/>
        <v>1522.9980799999998</v>
      </c>
      <c r="H805" s="583">
        <f t="shared" si="641"/>
        <v>1522.9980799999998</v>
      </c>
      <c r="I805" s="583">
        <f t="shared" si="641"/>
        <v>1522.9980799999998</v>
      </c>
      <c r="J805" s="583">
        <f t="shared" si="641"/>
        <v>1522.9980799999998</v>
      </c>
      <c r="K805" s="583">
        <f t="shared" si="641"/>
        <v>1522.9980799999998</v>
      </c>
      <c r="L805" s="583">
        <f t="shared" si="641"/>
        <v>1522.9980799999998</v>
      </c>
      <c r="M805" s="583">
        <f t="shared" si="641"/>
        <v>1522.9980799999998</v>
      </c>
      <c r="N805" s="583">
        <f t="shared" si="641"/>
        <v>1522.9980799999998</v>
      </c>
      <c r="O805" s="583">
        <f t="shared" si="641"/>
        <v>1522.9980799999998</v>
      </c>
      <c r="P805" s="583">
        <f t="shared" si="641"/>
        <v>1522.9980799999998</v>
      </c>
      <c r="Q805" s="583">
        <f t="shared" si="641"/>
        <v>1522.9980799999998</v>
      </c>
      <c r="R805" s="583">
        <f t="shared" si="641"/>
        <v>1522.9980799999998</v>
      </c>
      <c r="S805" s="583">
        <f t="shared" si="641"/>
        <v>1522.9980799999998</v>
      </c>
      <c r="T805" s="583">
        <f t="shared" si="641"/>
        <v>1522.9980799999998</v>
      </c>
      <c r="U805" s="583">
        <f t="shared" si="641"/>
        <v>1522.9980799999998</v>
      </c>
      <c r="V805" s="583">
        <f t="shared" si="641"/>
        <v>1522.9980799999998</v>
      </c>
      <c r="W805" s="583">
        <f t="shared" si="641"/>
        <v>1522.9980799999998</v>
      </c>
      <c r="X805" s="583">
        <f t="shared" si="641"/>
        <v>1522.9980799999998</v>
      </c>
      <c r="Y805" s="583">
        <f t="shared" si="641"/>
        <v>1522.9980799999998</v>
      </c>
      <c r="Z805" s="583">
        <f t="shared" si="641"/>
        <v>1522.9980799999998</v>
      </c>
      <c r="AA805" s="583">
        <f t="shared" si="641"/>
        <v>1522.9980799999998</v>
      </c>
      <c r="AB805" s="583">
        <f t="shared" si="641"/>
        <v>1522.9980799999998</v>
      </c>
      <c r="AC805" s="583">
        <f t="shared" si="641"/>
        <v>1522.9980799999998</v>
      </c>
      <c r="AD805" s="583">
        <f t="shared" si="641"/>
        <v>1522.9980799999998</v>
      </c>
      <c r="AE805" s="583">
        <f t="shared" si="641"/>
        <v>1522.9980799999998</v>
      </c>
      <c r="AF805" s="583">
        <f t="shared" si="641"/>
        <v>1522.9980799999998</v>
      </c>
      <c r="AH805" s="635"/>
      <c r="AK805" s="588"/>
      <c r="AM805" s="624"/>
      <c r="AN805" s="590"/>
      <c r="AP805" s="636"/>
      <c r="AQ805" s="636"/>
    </row>
    <row r="806" spans="1:43" s="513" customFormat="1" ht="16.5" hidden="1" customHeight="1" outlineLevel="2">
      <c r="A806" s="584"/>
      <c r="B806" s="572" t="s">
        <v>805</v>
      </c>
      <c r="C806" s="716">
        <f t="shared" ref="C806:AF806" si="642">C759</f>
        <v>1</v>
      </c>
      <c r="D806" s="716">
        <f t="shared" si="642"/>
        <v>1</v>
      </c>
      <c r="E806" s="716">
        <f t="shared" si="642"/>
        <v>1</v>
      </c>
      <c r="F806" s="716">
        <f t="shared" si="642"/>
        <v>1</v>
      </c>
      <c r="G806" s="716">
        <f t="shared" si="642"/>
        <v>1</v>
      </c>
      <c r="H806" s="716">
        <f t="shared" si="642"/>
        <v>1</v>
      </c>
      <c r="I806" s="716">
        <f t="shared" si="642"/>
        <v>1</v>
      </c>
      <c r="J806" s="716">
        <f t="shared" si="642"/>
        <v>1</v>
      </c>
      <c r="K806" s="716">
        <f t="shared" si="642"/>
        <v>1</v>
      </c>
      <c r="L806" s="716">
        <f t="shared" si="642"/>
        <v>1</v>
      </c>
      <c r="M806" s="716">
        <f t="shared" si="642"/>
        <v>1</v>
      </c>
      <c r="N806" s="716">
        <f t="shared" si="642"/>
        <v>1</v>
      </c>
      <c r="O806" s="716">
        <f t="shared" si="642"/>
        <v>1</v>
      </c>
      <c r="P806" s="716">
        <f t="shared" si="642"/>
        <v>1</v>
      </c>
      <c r="Q806" s="716">
        <f t="shared" si="642"/>
        <v>1</v>
      </c>
      <c r="R806" s="716">
        <f t="shared" si="642"/>
        <v>1</v>
      </c>
      <c r="S806" s="716">
        <f t="shared" si="642"/>
        <v>1</v>
      </c>
      <c r="T806" s="716">
        <f t="shared" si="642"/>
        <v>1</v>
      </c>
      <c r="U806" s="716">
        <f t="shared" si="642"/>
        <v>1</v>
      </c>
      <c r="V806" s="716">
        <f t="shared" si="642"/>
        <v>1</v>
      </c>
      <c r="W806" s="716">
        <f t="shared" si="642"/>
        <v>1</v>
      </c>
      <c r="X806" s="716">
        <f t="shared" si="642"/>
        <v>1</v>
      </c>
      <c r="Y806" s="716">
        <f t="shared" si="642"/>
        <v>1</v>
      </c>
      <c r="Z806" s="716">
        <f t="shared" si="642"/>
        <v>1</v>
      </c>
      <c r="AA806" s="716">
        <f t="shared" si="642"/>
        <v>1</v>
      </c>
      <c r="AB806" s="716">
        <f t="shared" si="642"/>
        <v>1</v>
      </c>
      <c r="AC806" s="716">
        <f t="shared" si="642"/>
        <v>1</v>
      </c>
      <c r="AD806" s="716">
        <f t="shared" si="642"/>
        <v>1</v>
      </c>
      <c r="AE806" s="716">
        <f t="shared" si="642"/>
        <v>1</v>
      </c>
      <c r="AF806" s="716">
        <f t="shared" si="642"/>
        <v>1</v>
      </c>
      <c r="AH806" s="538"/>
      <c r="AK806" s="719"/>
      <c r="AM806" s="594"/>
      <c r="AN806" s="535"/>
      <c r="AP806" s="540"/>
      <c r="AQ806" s="540"/>
    </row>
    <row r="807" spans="1:43" s="586" customFormat="1" ht="16.5" hidden="1" customHeight="1" outlineLevel="2">
      <c r="A807" s="584"/>
      <c r="B807" s="585" t="s">
        <v>968</v>
      </c>
      <c r="C807" s="632">
        <f>302/12</f>
        <v>25.166666666666668</v>
      </c>
      <c r="D807" s="632">
        <f>C807</f>
        <v>25.166666666666668</v>
      </c>
      <c r="E807" s="632">
        <f t="shared" ref="E807:T809" si="643">D807</f>
        <v>25.166666666666668</v>
      </c>
      <c r="F807" s="632">
        <f t="shared" si="643"/>
        <v>25.166666666666668</v>
      </c>
      <c r="G807" s="632">
        <f t="shared" si="643"/>
        <v>25.166666666666668</v>
      </c>
      <c r="H807" s="632">
        <f t="shared" si="643"/>
        <v>25.166666666666668</v>
      </c>
      <c r="I807" s="632">
        <f t="shared" si="643"/>
        <v>25.166666666666668</v>
      </c>
      <c r="J807" s="632">
        <f t="shared" si="643"/>
        <v>25.166666666666668</v>
      </c>
      <c r="K807" s="632">
        <f t="shared" si="643"/>
        <v>25.166666666666668</v>
      </c>
      <c r="L807" s="632">
        <f t="shared" si="643"/>
        <v>25.166666666666668</v>
      </c>
      <c r="M807" s="632">
        <f t="shared" si="643"/>
        <v>25.166666666666668</v>
      </c>
      <c r="N807" s="632">
        <f t="shared" si="643"/>
        <v>25.166666666666668</v>
      </c>
      <c r="O807" s="632">
        <f t="shared" si="643"/>
        <v>25.166666666666668</v>
      </c>
      <c r="P807" s="632">
        <f t="shared" si="643"/>
        <v>25.166666666666668</v>
      </c>
      <c r="Q807" s="632">
        <f t="shared" si="643"/>
        <v>25.166666666666668</v>
      </c>
      <c r="R807" s="632">
        <f t="shared" si="643"/>
        <v>25.166666666666668</v>
      </c>
      <c r="S807" s="632">
        <f t="shared" si="643"/>
        <v>25.166666666666668</v>
      </c>
      <c r="T807" s="632">
        <f t="shared" si="643"/>
        <v>25.166666666666668</v>
      </c>
      <c r="U807" s="632">
        <f t="shared" ref="U807:AF809" si="644">T807</f>
        <v>25.166666666666668</v>
      </c>
      <c r="V807" s="632">
        <f t="shared" si="644"/>
        <v>25.166666666666668</v>
      </c>
      <c r="W807" s="632">
        <f t="shared" si="644"/>
        <v>25.166666666666668</v>
      </c>
      <c r="X807" s="632">
        <f t="shared" si="644"/>
        <v>25.166666666666668</v>
      </c>
      <c r="Y807" s="632">
        <f t="shared" si="644"/>
        <v>25.166666666666668</v>
      </c>
      <c r="Z807" s="632">
        <f t="shared" si="644"/>
        <v>25.166666666666668</v>
      </c>
      <c r="AA807" s="632">
        <f t="shared" si="644"/>
        <v>25.166666666666668</v>
      </c>
      <c r="AB807" s="632">
        <f t="shared" si="644"/>
        <v>25.166666666666668</v>
      </c>
      <c r="AC807" s="632">
        <f t="shared" si="644"/>
        <v>25.166666666666668</v>
      </c>
      <c r="AD807" s="632">
        <f t="shared" si="644"/>
        <v>25.166666666666668</v>
      </c>
      <c r="AE807" s="632">
        <f t="shared" si="644"/>
        <v>25.166666666666668</v>
      </c>
      <c r="AF807" s="632">
        <f t="shared" si="644"/>
        <v>25.166666666666668</v>
      </c>
      <c r="AH807" s="587"/>
      <c r="AK807" s="588"/>
      <c r="AM807" s="624"/>
      <c r="AN807" s="590"/>
      <c r="AP807" s="591"/>
      <c r="AQ807" s="591"/>
    </row>
    <row r="808" spans="1:43" s="513" customFormat="1" ht="16.5" hidden="1" customHeight="1" outlineLevel="2">
      <c r="A808" s="584"/>
      <c r="B808" s="572" t="s">
        <v>969</v>
      </c>
      <c r="C808" s="574">
        <f>1.2*7.33</f>
        <v>8.7959999999999994</v>
      </c>
      <c r="D808" s="574">
        <f>C808</f>
        <v>8.7959999999999994</v>
      </c>
      <c r="E808" s="574">
        <f t="shared" si="643"/>
        <v>8.7959999999999994</v>
      </c>
      <c r="F808" s="574">
        <f t="shared" si="643"/>
        <v>8.7959999999999994</v>
      </c>
      <c r="G808" s="574">
        <f t="shared" si="643"/>
        <v>8.7959999999999994</v>
      </c>
      <c r="H808" s="574">
        <f t="shared" si="643"/>
        <v>8.7959999999999994</v>
      </c>
      <c r="I808" s="574">
        <f t="shared" si="643"/>
        <v>8.7959999999999994</v>
      </c>
      <c r="J808" s="574">
        <f t="shared" si="643"/>
        <v>8.7959999999999994</v>
      </c>
      <c r="K808" s="574">
        <f t="shared" si="643"/>
        <v>8.7959999999999994</v>
      </c>
      <c r="L808" s="574">
        <f t="shared" si="643"/>
        <v>8.7959999999999994</v>
      </c>
      <c r="M808" s="574">
        <f t="shared" si="643"/>
        <v>8.7959999999999994</v>
      </c>
      <c r="N808" s="574">
        <f t="shared" si="643"/>
        <v>8.7959999999999994</v>
      </c>
      <c r="O808" s="574">
        <f t="shared" si="643"/>
        <v>8.7959999999999994</v>
      </c>
      <c r="P808" s="574">
        <f t="shared" si="643"/>
        <v>8.7959999999999994</v>
      </c>
      <c r="Q808" s="574">
        <f t="shared" si="643"/>
        <v>8.7959999999999994</v>
      </c>
      <c r="R808" s="574">
        <f t="shared" si="643"/>
        <v>8.7959999999999994</v>
      </c>
      <c r="S808" s="574">
        <f t="shared" si="643"/>
        <v>8.7959999999999994</v>
      </c>
      <c r="T808" s="574">
        <f t="shared" si="643"/>
        <v>8.7959999999999994</v>
      </c>
      <c r="U808" s="574">
        <f t="shared" si="644"/>
        <v>8.7959999999999994</v>
      </c>
      <c r="V808" s="574">
        <f t="shared" si="644"/>
        <v>8.7959999999999994</v>
      </c>
      <c r="W808" s="574">
        <f t="shared" si="644"/>
        <v>8.7959999999999994</v>
      </c>
      <c r="X808" s="574">
        <f t="shared" si="644"/>
        <v>8.7959999999999994</v>
      </c>
      <c r="Y808" s="574">
        <f t="shared" si="644"/>
        <v>8.7959999999999994</v>
      </c>
      <c r="Z808" s="574">
        <f t="shared" si="644"/>
        <v>8.7959999999999994</v>
      </c>
      <c r="AA808" s="574">
        <f t="shared" si="644"/>
        <v>8.7959999999999994</v>
      </c>
      <c r="AB808" s="574">
        <f t="shared" si="644"/>
        <v>8.7959999999999994</v>
      </c>
      <c r="AC808" s="574">
        <f t="shared" si="644"/>
        <v>8.7959999999999994</v>
      </c>
      <c r="AD808" s="574">
        <f t="shared" si="644"/>
        <v>8.7959999999999994</v>
      </c>
      <c r="AE808" s="574">
        <f t="shared" si="644"/>
        <v>8.7959999999999994</v>
      </c>
      <c r="AF808" s="574">
        <f t="shared" si="644"/>
        <v>8.7959999999999994</v>
      </c>
      <c r="AH808" s="538"/>
      <c r="AK808" s="531"/>
      <c r="AM808" s="594"/>
      <c r="AN808" s="535"/>
      <c r="AP808" s="540"/>
      <c r="AQ808" s="540"/>
    </row>
    <row r="809" spans="1:43" s="513" customFormat="1" ht="16.5" hidden="1" customHeight="1" outlineLevel="2">
      <c r="A809" s="584"/>
      <c r="B809" s="572" t="s">
        <v>888</v>
      </c>
      <c r="C809" s="574">
        <f>Insumos!$E$40</f>
        <v>6.88</v>
      </c>
      <c r="D809" s="574">
        <f>C809</f>
        <v>6.88</v>
      </c>
      <c r="E809" s="574">
        <f t="shared" si="643"/>
        <v>6.88</v>
      </c>
      <c r="F809" s="574">
        <f t="shared" si="643"/>
        <v>6.88</v>
      </c>
      <c r="G809" s="574">
        <f t="shared" si="643"/>
        <v>6.88</v>
      </c>
      <c r="H809" s="574">
        <f t="shared" si="643"/>
        <v>6.88</v>
      </c>
      <c r="I809" s="574">
        <f t="shared" si="643"/>
        <v>6.88</v>
      </c>
      <c r="J809" s="574">
        <f t="shared" si="643"/>
        <v>6.88</v>
      </c>
      <c r="K809" s="574">
        <f t="shared" si="643"/>
        <v>6.88</v>
      </c>
      <c r="L809" s="574">
        <f t="shared" si="643"/>
        <v>6.88</v>
      </c>
      <c r="M809" s="574">
        <f t="shared" si="643"/>
        <v>6.88</v>
      </c>
      <c r="N809" s="574">
        <f t="shared" si="643"/>
        <v>6.88</v>
      </c>
      <c r="O809" s="574">
        <f t="shared" si="643"/>
        <v>6.88</v>
      </c>
      <c r="P809" s="574">
        <f t="shared" si="643"/>
        <v>6.88</v>
      </c>
      <c r="Q809" s="574">
        <f t="shared" si="643"/>
        <v>6.88</v>
      </c>
      <c r="R809" s="574">
        <f t="shared" si="643"/>
        <v>6.88</v>
      </c>
      <c r="S809" s="574">
        <f t="shared" si="643"/>
        <v>6.88</v>
      </c>
      <c r="T809" s="574">
        <f t="shared" si="643"/>
        <v>6.88</v>
      </c>
      <c r="U809" s="574">
        <f t="shared" si="644"/>
        <v>6.88</v>
      </c>
      <c r="V809" s="574">
        <f t="shared" si="644"/>
        <v>6.88</v>
      </c>
      <c r="W809" s="574">
        <f t="shared" si="644"/>
        <v>6.88</v>
      </c>
      <c r="X809" s="574">
        <f t="shared" si="644"/>
        <v>6.88</v>
      </c>
      <c r="Y809" s="574">
        <f t="shared" si="644"/>
        <v>6.88</v>
      </c>
      <c r="Z809" s="574">
        <f t="shared" si="644"/>
        <v>6.88</v>
      </c>
      <c r="AA809" s="574">
        <f t="shared" si="644"/>
        <v>6.88</v>
      </c>
      <c r="AB809" s="574">
        <f t="shared" si="644"/>
        <v>6.88</v>
      </c>
      <c r="AC809" s="574">
        <f t="shared" si="644"/>
        <v>6.88</v>
      </c>
      <c r="AD809" s="574">
        <f t="shared" si="644"/>
        <v>6.88</v>
      </c>
      <c r="AE809" s="574">
        <f t="shared" si="644"/>
        <v>6.88</v>
      </c>
      <c r="AF809" s="574">
        <f t="shared" si="644"/>
        <v>6.88</v>
      </c>
      <c r="AH809" s="538"/>
      <c r="AK809" s="531"/>
      <c r="AM809" s="594"/>
      <c r="AN809" s="535"/>
      <c r="AP809" s="540"/>
      <c r="AQ809" s="540"/>
    </row>
    <row r="810" spans="1:43" s="513" customFormat="1" ht="3" hidden="1" customHeight="1" outlineLevel="2">
      <c r="A810" s="584"/>
      <c r="B810" s="572"/>
      <c r="C810" s="574"/>
      <c r="D810" s="574"/>
      <c r="E810" s="574"/>
      <c r="F810" s="574"/>
      <c r="G810" s="574"/>
      <c r="H810" s="574"/>
      <c r="I810" s="574"/>
      <c r="J810" s="574"/>
      <c r="K810" s="574"/>
      <c r="L810" s="574"/>
      <c r="M810" s="574"/>
      <c r="N810" s="574"/>
      <c r="O810" s="574"/>
      <c r="P810" s="574"/>
      <c r="Q810" s="574"/>
      <c r="R810" s="574"/>
      <c r="S810" s="574"/>
      <c r="T810" s="574"/>
      <c r="U810" s="574"/>
      <c r="V810" s="574"/>
      <c r="W810" s="574"/>
      <c r="X810" s="574"/>
      <c r="Y810" s="574"/>
      <c r="Z810" s="574"/>
      <c r="AA810" s="574"/>
      <c r="AB810" s="574"/>
      <c r="AC810" s="574"/>
      <c r="AD810" s="574"/>
      <c r="AE810" s="574"/>
      <c r="AF810" s="574"/>
      <c r="AH810" s="538"/>
      <c r="AK810" s="531"/>
      <c r="AM810" s="594"/>
      <c r="AN810" s="535"/>
      <c r="AP810" s="540"/>
      <c r="AQ810" s="540"/>
    </row>
    <row r="811" spans="1:43" s="564" customFormat="1" ht="16.5" hidden="1" customHeight="1" outlineLevel="1" collapsed="1">
      <c r="A811" s="584"/>
      <c r="B811" s="576" t="s">
        <v>897</v>
      </c>
      <c r="C811" s="577">
        <f>SUM(C812,C816,C820)*12/10^3</f>
        <v>3.1572623999999996</v>
      </c>
      <c r="D811" s="577">
        <f t="shared" ref="D811:AF811" si="645">SUM(D812,D816,D820)*12/10^3</f>
        <v>3.1572623999999996</v>
      </c>
      <c r="E811" s="577">
        <f t="shared" si="645"/>
        <v>3.1572623999999996</v>
      </c>
      <c r="F811" s="577">
        <f t="shared" si="645"/>
        <v>3.1572623999999996</v>
      </c>
      <c r="G811" s="577">
        <f t="shared" si="645"/>
        <v>3.1572623999999996</v>
      </c>
      <c r="H811" s="577">
        <f t="shared" si="645"/>
        <v>3.1572623999999996</v>
      </c>
      <c r="I811" s="577">
        <f t="shared" si="645"/>
        <v>3.1572623999999996</v>
      </c>
      <c r="J811" s="577">
        <f t="shared" si="645"/>
        <v>3.1572623999999996</v>
      </c>
      <c r="K811" s="577">
        <f t="shared" si="645"/>
        <v>3.1572623999999996</v>
      </c>
      <c r="L811" s="577">
        <f t="shared" si="645"/>
        <v>3.1572623999999996</v>
      </c>
      <c r="M811" s="577">
        <f t="shared" si="645"/>
        <v>3.1572623999999996</v>
      </c>
      <c r="N811" s="577">
        <f t="shared" si="645"/>
        <v>3.1572623999999996</v>
      </c>
      <c r="O811" s="577">
        <f t="shared" si="645"/>
        <v>3.1572623999999996</v>
      </c>
      <c r="P811" s="577">
        <f t="shared" si="645"/>
        <v>3.1572623999999996</v>
      </c>
      <c r="Q811" s="577">
        <f t="shared" si="645"/>
        <v>3.1572623999999996</v>
      </c>
      <c r="R811" s="577">
        <f t="shared" si="645"/>
        <v>3.1572623999999996</v>
      </c>
      <c r="S811" s="577">
        <f t="shared" si="645"/>
        <v>3.1572623999999996</v>
      </c>
      <c r="T811" s="577">
        <f t="shared" si="645"/>
        <v>3.1572623999999996</v>
      </c>
      <c r="U811" s="577">
        <f t="shared" si="645"/>
        <v>3.1572623999999996</v>
      </c>
      <c r="V811" s="577">
        <f t="shared" si="645"/>
        <v>3.1572623999999996</v>
      </c>
      <c r="W811" s="577">
        <f t="shared" si="645"/>
        <v>3.1572623999999996</v>
      </c>
      <c r="X811" s="577">
        <f t="shared" si="645"/>
        <v>3.1572623999999996</v>
      </c>
      <c r="Y811" s="577">
        <f t="shared" si="645"/>
        <v>3.1572623999999996</v>
      </c>
      <c r="Z811" s="577">
        <f t="shared" si="645"/>
        <v>3.1572623999999996</v>
      </c>
      <c r="AA811" s="577">
        <f t="shared" si="645"/>
        <v>3.1572623999999996</v>
      </c>
      <c r="AB811" s="577">
        <f t="shared" si="645"/>
        <v>3.1572623999999996</v>
      </c>
      <c r="AC811" s="577">
        <f t="shared" si="645"/>
        <v>3.1572623999999996</v>
      </c>
      <c r="AD811" s="577">
        <f t="shared" si="645"/>
        <v>3.1572623999999996</v>
      </c>
      <c r="AE811" s="577">
        <f t="shared" si="645"/>
        <v>3.1572623999999996</v>
      </c>
      <c r="AF811" s="577">
        <f t="shared" si="645"/>
        <v>3.1572623999999996</v>
      </c>
      <c r="AH811" s="578">
        <f>SUM(C811:AF811)</f>
        <v>94.717871999999943</v>
      </c>
      <c r="AK811" s="531"/>
      <c r="AM811" s="594"/>
      <c r="AN811" s="535"/>
      <c r="AP811" s="568"/>
      <c r="AQ811" s="568"/>
    </row>
    <row r="812" spans="1:43" s="546" customFormat="1" ht="15" hidden="1" customHeight="1" outlineLevel="2">
      <c r="A812" s="584"/>
      <c r="B812" s="569" t="s">
        <v>828</v>
      </c>
      <c r="C812" s="581">
        <f>C813*C814*C815</f>
        <v>104.10000000000001</v>
      </c>
      <c r="D812" s="581">
        <f t="shared" ref="D812:AF812" si="646">D813*D814*D815</f>
        <v>104.10000000000001</v>
      </c>
      <c r="E812" s="581">
        <f t="shared" si="646"/>
        <v>104.10000000000001</v>
      </c>
      <c r="F812" s="581">
        <f t="shared" si="646"/>
        <v>104.10000000000001</v>
      </c>
      <c r="G812" s="581">
        <f t="shared" si="646"/>
        <v>104.10000000000001</v>
      </c>
      <c r="H812" s="581">
        <f t="shared" si="646"/>
        <v>104.10000000000001</v>
      </c>
      <c r="I812" s="581">
        <f t="shared" si="646"/>
        <v>104.10000000000001</v>
      </c>
      <c r="J812" s="581">
        <f t="shared" si="646"/>
        <v>104.10000000000001</v>
      </c>
      <c r="K812" s="581">
        <f t="shared" si="646"/>
        <v>104.10000000000001</v>
      </c>
      <c r="L812" s="581">
        <f t="shared" si="646"/>
        <v>104.10000000000001</v>
      </c>
      <c r="M812" s="581">
        <f t="shared" si="646"/>
        <v>104.10000000000001</v>
      </c>
      <c r="N812" s="581">
        <f t="shared" si="646"/>
        <v>104.10000000000001</v>
      </c>
      <c r="O812" s="581">
        <f t="shared" si="646"/>
        <v>104.10000000000001</v>
      </c>
      <c r="P812" s="581">
        <f t="shared" si="646"/>
        <v>104.10000000000001</v>
      </c>
      <c r="Q812" s="581">
        <f t="shared" si="646"/>
        <v>104.10000000000001</v>
      </c>
      <c r="R812" s="581">
        <f t="shared" si="646"/>
        <v>104.10000000000001</v>
      </c>
      <c r="S812" s="581">
        <f t="shared" si="646"/>
        <v>104.10000000000001</v>
      </c>
      <c r="T812" s="581">
        <f t="shared" si="646"/>
        <v>104.10000000000001</v>
      </c>
      <c r="U812" s="581">
        <f t="shared" si="646"/>
        <v>104.10000000000001</v>
      </c>
      <c r="V812" s="581">
        <f t="shared" si="646"/>
        <v>104.10000000000001</v>
      </c>
      <c r="W812" s="581">
        <f t="shared" si="646"/>
        <v>104.10000000000001</v>
      </c>
      <c r="X812" s="581">
        <f t="shared" si="646"/>
        <v>104.10000000000001</v>
      </c>
      <c r="Y812" s="581">
        <f t="shared" si="646"/>
        <v>104.10000000000001</v>
      </c>
      <c r="Z812" s="581">
        <f t="shared" si="646"/>
        <v>104.10000000000001</v>
      </c>
      <c r="AA812" s="581">
        <f t="shared" si="646"/>
        <v>104.10000000000001</v>
      </c>
      <c r="AB812" s="581">
        <f t="shared" si="646"/>
        <v>104.10000000000001</v>
      </c>
      <c r="AC812" s="581">
        <f t="shared" si="646"/>
        <v>104.10000000000001</v>
      </c>
      <c r="AD812" s="581">
        <f t="shared" si="646"/>
        <v>104.10000000000001</v>
      </c>
      <c r="AE812" s="581">
        <f t="shared" si="646"/>
        <v>104.10000000000001</v>
      </c>
      <c r="AF812" s="581">
        <f t="shared" si="646"/>
        <v>104.10000000000001</v>
      </c>
      <c r="AH812" s="571"/>
      <c r="AK812" s="531"/>
      <c r="AM812" s="594"/>
      <c r="AN812" s="535"/>
      <c r="AP812" s="549"/>
      <c r="AQ812" s="549"/>
    </row>
    <row r="813" spans="1:43" s="513" customFormat="1" ht="16.5" hidden="1" customHeight="1" outlineLevel="2">
      <c r="A813" s="584"/>
      <c r="B813" s="572" t="s">
        <v>805</v>
      </c>
      <c r="C813" s="716">
        <f>C779</f>
        <v>3</v>
      </c>
      <c r="D813" s="716">
        <f>C813</f>
        <v>3</v>
      </c>
      <c r="E813" s="716">
        <f t="shared" ref="E813:T815" si="647">D813</f>
        <v>3</v>
      </c>
      <c r="F813" s="716">
        <f t="shared" si="647"/>
        <v>3</v>
      </c>
      <c r="G813" s="716">
        <f t="shared" si="647"/>
        <v>3</v>
      </c>
      <c r="H813" s="716">
        <f t="shared" si="647"/>
        <v>3</v>
      </c>
      <c r="I813" s="716">
        <f t="shared" si="647"/>
        <v>3</v>
      </c>
      <c r="J813" s="716">
        <f t="shared" si="647"/>
        <v>3</v>
      </c>
      <c r="K813" s="716">
        <f t="shared" si="647"/>
        <v>3</v>
      </c>
      <c r="L813" s="716">
        <f t="shared" si="647"/>
        <v>3</v>
      </c>
      <c r="M813" s="716">
        <f t="shared" si="647"/>
        <v>3</v>
      </c>
      <c r="N813" s="716">
        <f t="shared" si="647"/>
        <v>3</v>
      </c>
      <c r="O813" s="716">
        <f t="shared" si="647"/>
        <v>3</v>
      </c>
      <c r="P813" s="716">
        <f t="shared" si="647"/>
        <v>3</v>
      </c>
      <c r="Q813" s="716">
        <f t="shared" si="647"/>
        <v>3</v>
      </c>
      <c r="R813" s="716">
        <f t="shared" si="647"/>
        <v>3</v>
      </c>
      <c r="S813" s="716">
        <f t="shared" si="647"/>
        <v>3</v>
      </c>
      <c r="T813" s="716">
        <f t="shared" si="647"/>
        <v>3</v>
      </c>
      <c r="U813" s="716">
        <f t="shared" ref="U813:AF815" si="648">T813</f>
        <v>3</v>
      </c>
      <c r="V813" s="716">
        <f t="shared" si="648"/>
        <v>3</v>
      </c>
      <c r="W813" s="716">
        <f t="shared" si="648"/>
        <v>3</v>
      </c>
      <c r="X813" s="716">
        <f t="shared" si="648"/>
        <v>3</v>
      </c>
      <c r="Y813" s="716">
        <f t="shared" si="648"/>
        <v>3</v>
      </c>
      <c r="Z813" s="716">
        <f t="shared" si="648"/>
        <v>3</v>
      </c>
      <c r="AA813" s="716">
        <f t="shared" si="648"/>
        <v>3</v>
      </c>
      <c r="AB813" s="716">
        <f t="shared" si="648"/>
        <v>3</v>
      </c>
      <c r="AC813" s="716">
        <f t="shared" si="648"/>
        <v>3</v>
      </c>
      <c r="AD813" s="716">
        <f t="shared" si="648"/>
        <v>3</v>
      </c>
      <c r="AE813" s="716">
        <f t="shared" si="648"/>
        <v>3</v>
      </c>
      <c r="AF813" s="716">
        <f t="shared" si="648"/>
        <v>3</v>
      </c>
      <c r="AH813" s="538"/>
      <c r="AK813" s="719"/>
      <c r="AM813" s="594"/>
      <c r="AN813" s="535"/>
      <c r="AP813" s="540"/>
      <c r="AQ813" s="540"/>
    </row>
    <row r="814" spans="1:43" s="513" customFormat="1" ht="16.5" hidden="1" customHeight="1" outlineLevel="2">
      <c r="A814" s="584"/>
      <c r="B814" s="596" t="s">
        <v>971</v>
      </c>
      <c r="C814" s="574">
        <v>1</v>
      </c>
      <c r="D814" s="574">
        <f>C814</f>
        <v>1</v>
      </c>
      <c r="E814" s="574">
        <f t="shared" si="647"/>
        <v>1</v>
      </c>
      <c r="F814" s="574">
        <f t="shared" si="647"/>
        <v>1</v>
      </c>
      <c r="G814" s="574">
        <f t="shared" si="647"/>
        <v>1</v>
      </c>
      <c r="H814" s="574">
        <f t="shared" si="647"/>
        <v>1</v>
      </c>
      <c r="I814" s="574">
        <f t="shared" si="647"/>
        <v>1</v>
      </c>
      <c r="J814" s="574">
        <f t="shared" si="647"/>
        <v>1</v>
      </c>
      <c r="K814" s="574">
        <f t="shared" si="647"/>
        <v>1</v>
      </c>
      <c r="L814" s="574">
        <f t="shared" si="647"/>
        <v>1</v>
      </c>
      <c r="M814" s="574">
        <f t="shared" si="647"/>
        <v>1</v>
      </c>
      <c r="N814" s="574">
        <f t="shared" si="647"/>
        <v>1</v>
      </c>
      <c r="O814" s="574">
        <f t="shared" si="647"/>
        <v>1</v>
      </c>
      <c r="P814" s="574">
        <f t="shared" si="647"/>
        <v>1</v>
      </c>
      <c r="Q814" s="574">
        <f t="shared" si="647"/>
        <v>1</v>
      </c>
      <c r="R814" s="574">
        <f t="shared" si="647"/>
        <v>1</v>
      </c>
      <c r="S814" s="574">
        <f t="shared" si="647"/>
        <v>1</v>
      </c>
      <c r="T814" s="574">
        <f t="shared" si="647"/>
        <v>1</v>
      </c>
      <c r="U814" s="574">
        <f t="shared" si="648"/>
        <v>1</v>
      </c>
      <c r="V814" s="574">
        <f t="shared" si="648"/>
        <v>1</v>
      </c>
      <c r="W814" s="574">
        <f t="shared" si="648"/>
        <v>1</v>
      </c>
      <c r="X814" s="574">
        <f t="shared" si="648"/>
        <v>1</v>
      </c>
      <c r="Y814" s="574">
        <f t="shared" si="648"/>
        <v>1</v>
      </c>
      <c r="Z814" s="574">
        <f t="shared" si="648"/>
        <v>1</v>
      </c>
      <c r="AA814" s="574">
        <f t="shared" si="648"/>
        <v>1</v>
      </c>
      <c r="AB814" s="574">
        <f t="shared" si="648"/>
        <v>1</v>
      </c>
      <c r="AC814" s="574">
        <f t="shared" si="648"/>
        <v>1</v>
      </c>
      <c r="AD814" s="574">
        <f t="shared" si="648"/>
        <v>1</v>
      </c>
      <c r="AE814" s="574">
        <f t="shared" si="648"/>
        <v>1</v>
      </c>
      <c r="AF814" s="574">
        <f t="shared" si="648"/>
        <v>1</v>
      </c>
      <c r="AH814" s="538"/>
      <c r="AK814" s="531"/>
      <c r="AM814" s="594"/>
      <c r="AN814" s="535"/>
      <c r="AP814" s="540"/>
      <c r="AQ814" s="540"/>
    </row>
    <row r="815" spans="1:43" s="513" customFormat="1" ht="16.5" hidden="1" customHeight="1" outlineLevel="2">
      <c r="A815" s="584"/>
      <c r="B815" s="596" t="s">
        <v>972</v>
      </c>
      <c r="C815" s="574">
        <v>34.700000000000003</v>
      </c>
      <c r="D815" s="574">
        <f>C815</f>
        <v>34.700000000000003</v>
      </c>
      <c r="E815" s="574">
        <f t="shared" si="647"/>
        <v>34.700000000000003</v>
      </c>
      <c r="F815" s="574">
        <f t="shared" si="647"/>
        <v>34.700000000000003</v>
      </c>
      <c r="G815" s="574">
        <f t="shared" si="647"/>
        <v>34.700000000000003</v>
      </c>
      <c r="H815" s="574">
        <f t="shared" si="647"/>
        <v>34.700000000000003</v>
      </c>
      <c r="I815" s="574">
        <f t="shared" si="647"/>
        <v>34.700000000000003</v>
      </c>
      <c r="J815" s="574">
        <f t="shared" si="647"/>
        <v>34.700000000000003</v>
      </c>
      <c r="K815" s="574">
        <f t="shared" si="647"/>
        <v>34.700000000000003</v>
      </c>
      <c r="L815" s="574">
        <f t="shared" si="647"/>
        <v>34.700000000000003</v>
      </c>
      <c r="M815" s="574">
        <f t="shared" si="647"/>
        <v>34.700000000000003</v>
      </c>
      <c r="N815" s="574">
        <f t="shared" si="647"/>
        <v>34.700000000000003</v>
      </c>
      <c r="O815" s="574">
        <f t="shared" si="647"/>
        <v>34.700000000000003</v>
      </c>
      <c r="P815" s="574">
        <f t="shared" si="647"/>
        <v>34.700000000000003</v>
      </c>
      <c r="Q815" s="574">
        <f t="shared" si="647"/>
        <v>34.700000000000003</v>
      </c>
      <c r="R815" s="574">
        <f t="shared" si="647"/>
        <v>34.700000000000003</v>
      </c>
      <c r="S815" s="574">
        <f t="shared" si="647"/>
        <v>34.700000000000003</v>
      </c>
      <c r="T815" s="574">
        <f t="shared" si="647"/>
        <v>34.700000000000003</v>
      </c>
      <c r="U815" s="574">
        <f t="shared" si="648"/>
        <v>34.700000000000003</v>
      </c>
      <c r="V815" s="574">
        <f t="shared" si="648"/>
        <v>34.700000000000003</v>
      </c>
      <c r="W815" s="574">
        <f t="shared" si="648"/>
        <v>34.700000000000003</v>
      </c>
      <c r="X815" s="574">
        <f t="shared" si="648"/>
        <v>34.700000000000003</v>
      </c>
      <c r="Y815" s="574">
        <f t="shared" si="648"/>
        <v>34.700000000000003</v>
      </c>
      <c r="Z815" s="574">
        <f t="shared" si="648"/>
        <v>34.700000000000003</v>
      </c>
      <c r="AA815" s="574">
        <f t="shared" si="648"/>
        <v>34.700000000000003</v>
      </c>
      <c r="AB815" s="574">
        <f t="shared" si="648"/>
        <v>34.700000000000003</v>
      </c>
      <c r="AC815" s="574">
        <f t="shared" si="648"/>
        <v>34.700000000000003</v>
      </c>
      <c r="AD815" s="574">
        <f t="shared" si="648"/>
        <v>34.700000000000003</v>
      </c>
      <c r="AE815" s="574">
        <f t="shared" si="648"/>
        <v>34.700000000000003</v>
      </c>
      <c r="AF815" s="574">
        <f t="shared" si="648"/>
        <v>34.700000000000003</v>
      </c>
      <c r="AH815" s="538"/>
      <c r="AK815" s="531"/>
      <c r="AM815" s="594"/>
      <c r="AN815" s="535"/>
      <c r="AP815" s="540"/>
      <c r="AQ815" s="540"/>
    </row>
    <row r="816" spans="1:43" s="546" customFormat="1" ht="16.5" hidden="1" customHeight="1" outlineLevel="2">
      <c r="A816" s="584"/>
      <c r="B816" s="580" t="str">
        <f>B757</f>
        <v>Van Minibus 20+1</v>
      </c>
      <c r="C816" s="581">
        <f>C817*C818*C819</f>
        <v>89.605199999999996</v>
      </c>
      <c r="D816" s="574">
        <f t="shared" ref="D816:AF816" si="649">D817*D818*D819</f>
        <v>89.605199999999996</v>
      </c>
      <c r="E816" s="574">
        <f t="shared" si="649"/>
        <v>89.605199999999996</v>
      </c>
      <c r="F816" s="574">
        <f t="shared" si="649"/>
        <v>89.605199999999996</v>
      </c>
      <c r="G816" s="574">
        <f t="shared" si="649"/>
        <v>89.605199999999996</v>
      </c>
      <c r="H816" s="574">
        <f t="shared" si="649"/>
        <v>89.605199999999996</v>
      </c>
      <c r="I816" s="574">
        <f t="shared" si="649"/>
        <v>89.605199999999996</v>
      </c>
      <c r="J816" s="574">
        <f t="shared" si="649"/>
        <v>89.605199999999996</v>
      </c>
      <c r="K816" s="574">
        <f t="shared" si="649"/>
        <v>89.605199999999996</v>
      </c>
      <c r="L816" s="574">
        <f t="shared" si="649"/>
        <v>89.605199999999996</v>
      </c>
      <c r="M816" s="574">
        <f t="shared" si="649"/>
        <v>89.605199999999996</v>
      </c>
      <c r="N816" s="574">
        <f t="shared" si="649"/>
        <v>89.605199999999996</v>
      </c>
      <c r="O816" s="574">
        <f t="shared" si="649"/>
        <v>89.605199999999996</v>
      </c>
      <c r="P816" s="574">
        <f t="shared" si="649"/>
        <v>89.605199999999996</v>
      </c>
      <c r="Q816" s="574">
        <f t="shared" si="649"/>
        <v>89.605199999999996</v>
      </c>
      <c r="R816" s="574">
        <f t="shared" si="649"/>
        <v>89.605199999999996</v>
      </c>
      <c r="S816" s="574">
        <f t="shared" si="649"/>
        <v>89.605199999999996</v>
      </c>
      <c r="T816" s="574">
        <f t="shared" si="649"/>
        <v>89.605199999999996</v>
      </c>
      <c r="U816" s="574">
        <f t="shared" si="649"/>
        <v>89.605199999999996</v>
      </c>
      <c r="V816" s="574">
        <f t="shared" si="649"/>
        <v>89.605199999999996</v>
      </c>
      <c r="W816" s="574">
        <f t="shared" si="649"/>
        <v>89.605199999999996</v>
      </c>
      <c r="X816" s="574">
        <f t="shared" si="649"/>
        <v>89.605199999999996</v>
      </c>
      <c r="Y816" s="574">
        <f t="shared" si="649"/>
        <v>89.605199999999996</v>
      </c>
      <c r="Z816" s="574">
        <f t="shared" si="649"/>
        <v>89.605199999999996</v>
      </c>
      <c r="AA816" s="574">
        <f t="shared" si="649"/>
        <v>89.605199999999996</v>
      </c>
      <c r="AB816" s="574">
        <f t="shared" si="649"/>
        <v>89.605199999999996</v>
      </c>
      <c r="AC816" s="574">
        <f t="shared" si="649"/>
        <v>89.605199999999996</v>
      </c>
      <c r="AD816" s="574">
        <f t="shared" si="649"/>
        <v>89.605199999999996</v>
      </c>
      <c r="AE816" s="574">
        <f t="shared" si="649"/>
        <v>89.605199999999996</v>
      </c>
      <c r="AF816" s="574">
        <f t="shared" si="649"/>
        <v>89.605199999999996</v>
      </c>
      <c r="AH816" s="571"/>
      <c r="AK816" s="531"/>
      <c r="AM816" s="594"/>
      <c r="AN816" s="535"/>
      <c r="AP816" s="549"/>
      <c r="AQ816" s="549"/>
    </row>
    <row r="817" spans="1:43" s="513" customFormat="1" ht="16.5" hidden="1" customHeight="1" outlineLevel="2">
      <c r="A817" s="584"/>
      <c r="B817" s="572" t="s">
        <v>805</v>
      </c>
      <c r="C817" s="716">
        <f t="shared" ref="C817:AF817" si="650">C757</f>
        <v>1</v>
      </c>
      <c r="D817" s="716">
        <f t="shared" si="650"/>
        <v>1</v>
      </c>
      <c r="E817" s="716">
        <f t="shared" si="650"/>
        <v>1</v>
      </c>
      <c r="F817" s="716">
        <f t="shared" si="650"/>
        <v>1</v>
      </c>
      <c r="G817" s="716">
        <f t="shared" si="650"/>
        <v>1</v>
      </c>
      <c r="H817" s="716">
        <f t="shared" si="650"/>
        <v>1</v>
      </c>
      <c r="I817" s="716">
        <f t="shared" si="650"/>
        <v>1</v>
      </c>
      <c r="J817" s="716">
        <f t="shared" si="650"/>
        <v>1</v>
      </c>
      <c r="K817" s="716">
        <f t="shared" si="650"/>
        <v>1</v>
      </c>
      <c r="L817" s="716">
        <f t="shared" si="650"/>
        <v>1</v>
      </c>
      <c r="M817" s="716">
        <f t="shared" si="650"/>
        <v>1</v>
      </c>
      <c r="N817" s="716">
        <f t="shared" si="650"/>
        <v>1</v>
      </c>
      <c r="O817" s="716">
        <f t="shared" si="650"/>
        <v>1</v>
      </c>
      <c r="P817" s="716">
        <f t="shared" si="650"/>
        <v>1</v>
      </c>
      <c r="Q817" s="716">
        <f t="shared" si="650"/>
        <v>1</v>
      </c>
      <c r="R817" s="716">
        <f t="shared" si="650"/>
        <v>1</v>
      </c>
      <c r="S817" s="716">
        <f t="shared" si="650"/>
        <v>1</v>
      </c>
      <c r="T817" s="716">
        <f t="shared" si="650"/>
        <v>1</v>
      </c>
      <c r="U817" s="716">
        <f t="shared" si="650"/>
        <v>1</v>
      </c>
      <c r="V817" s="716">
        <f t="shared" si="650"/>
        <v>1</v>
      </c>
      <c r="W817" s="716">
        <f t="shared" si="650"/>
        <v>1</v>
      </c>
      <c r="X817" s="716">
        <f t="shared" si="650"/>
        <v>1</v>
      </c>
      <c r="Y817" s="716">
        <f t="shared" si="650"/>
        <v>1</v>
      </c>
      <c r="Z817" s="716">
        <f t="shared" si="650"/>
        <v>1</v>
      </c>
      <c r="AA817" s="716">
        <f t="shared" si="650"/>
        <v>1</v>
      </c>
      <c r="AB817" s="716">
        <f t="shared" si="650"/>
        <v>1</v>
      </c>
      <c r="AC817" s="716">
        <f t="shared" si="650"/>
        <v>1</v>
      </c>
      <c r="AD817" s="716">
        <f t="shared" si="650"/>
        <v>1</v>
      </c>
      <c r="AE817" s="716">
        <f t="shared" si="650"/>
        <v>1</v>
      </c>
      <c r="AF817" s="716">
        <f t="shared" si="650"/>
        <v>1</v>
      </c>
      <c r="AH817" s="538"/>
      <c r="AK817" s="719"/>
      <c r="AM817" s="594"/>
      <c r="AN817" s="535"/>
      <c r="AP817" s="540"/>
      <c r="AQ817" s="540"/>
    </row>
    <row r="818" spans="1:43" s="513" customFormat="1" ht="16.5" hidden="1" customHeight="1" outlineLevel="2">
      <c r="A818" s="584"/>
      <c r="B818" s="596" t="s">
        <v>895</v>
      </c>
      <c r="C818" s="574">
        <f t="shared" ref="C818:AF818" si="651">C782</f>
        <v>503.40000000000003</v>
      </c>
      <c r="D818" s="574">
        <f t="shared" si="651"/>
        <v>503.40000000000003</v>
      </c>
      <c r="E818" s="574">
        <f t="shared" si="651"/>
        <v>503.40000000000003</v>
      </c>
      <c r="F818" s="574">
        <f t="shared" si="651"/>
        <v>503.40000000000003</v>
      </c>
      <c r="G818" s="574">
        <f t="shared" si="651"/>
        <v>503.40000000000003</v>
      </c>
      <c r="H818" s="574">
        <f t="shared" si="651"/>
        <v>503.40000000000003</v>
      </c>
      <c r="I818" s="574">
        <f t="shared" si="651"/>
        <v>503.40000000000003</v>
      </c>
      <c r="J818" s="574">
        <f t="shared" si="651"/>
        <v>503.40000000000003</v>
      </c>
      <c r="K818" s="574">
        <f t="shared" si="651"/>
        <v>503.40000000000003</v>
      </c>
      <c r="L818" s="574">
        <f t="shared" si="651"/>
        <v>503.40000000000003</v>
      </c>
      <c r="M818" s="574">
        <f t="shared" si="651"/>
        <v>503.40000000000003</v>
      </c>
      <c r="N818" s="574">
        <f t="shared" si="651"/>
        <v>503.40000000000003</v>
      </c>
      <c r="O818" s="574">
        <f t="shared" si="651"/>
        <v>503.40000000000003</v>
      </c>
      <c r="P818" s="574">
        <f t="shared" si="651"/>
        <v>503.40000000000003</v>
      </c>
      <c r="Q818" s="574">
        <f t="shared" si="651"/>
        <v>503.40000000000003</v>
      </c>
      <c r="R818" s="574">
        <f t="shared" si="651"/>
        <v>503.40000000000003</v>
      </c>
      <c r="S818" s="574">
        <f t="shared" si="651"/>
        <v>503.40000000000003</v>
      </c>
      <c r="T818" s="574">
        <f t="shared" si="651"/>
        <v>503.40000000000003</v>
      </c>
      <c r="U818" s="574">
        <f t="shared" si="651"/>
        <v>503.40000000000003</v>
      </c>
      <c r="V818" s="574">
        <f t="shared" si="651"/>
        <v>503.40000000000003</v>
      </c>
      <c r="W818" s="574">
        <f t="shared" si="651"/>
        <v>503.40000000000003</v>
      </c>
      <c r="X818" s="574">
        <f t="shared" si="651"/>
        <v>503.40000000000003</v>
      </c>
      <c r="Y818" s="574">
        <f t="shared" si="651"/>
        <v>503.40000000000003</v>
      </c>
      <c r="Z818" s="574">
        <f t="shared" si="651"/>
        <v>503.40000000000003</v>
      </c>
      <c r="AA818" s="574">
        <f t="shared" si="651"/>
        <v>503.40000000000003</v>
      </c>
      <c r="AB818" s="574">
        <f t="shared" si="651"/>
        <v>503.40000000000003</v>
      </c>
      <c r="AC818" s="574">
        <f t="shared" si="651"/>
        <v>503.40000000000003</v>
      </c>
      <c r="AD818" s="574">
        <f t="shared" si="651"/>
        <v>503.40000000000003</v>
      </c>
      <c r="AE818" s="574">
        <f t="shared" si="651"/>
        <v>503.40000000000003</v>
      </c>
      <c r="AF818" s="574">
        <f t="shared" si="651"/>
        <v>503.40000000000003</v>
      </c>
      <c r="AH818" s="538"/>
      <c r="AK818" s="531"/>
      <c r="AM818" s="594"/>
      <c r="AN818" s="535"/>
      <c r="AP818" s="540"/>
      <c r="AQ818" s="540"/>
    </row>
    <row r="819" spans="1:43" s="513" customFormat="1" ht="16.5" hidden="1" customHeight="1" outlineLevel="2">
      <c r="A819" s="584"/>
      <c r="B819" s="596" t="s">
        <v>898</v>
      </c>
      <c r="C819" s="597">
        <v>0.17799999999999999</v>
      </c>
      <c r="D819" s="597">
        <f>C819</f>
        <v>0.17799999999999999</v>
      </c>
      <c r="E819" s="597">
        <f t="shared" ref="E819:AF819" si="652">D819</f>
        <v>0.17799999999999999</v>
      </c>
      <c r="F819" s="597">
        <f t="shared" si="652"/>
        <v>0.17799999999999999</v>
      </c>
      <c r="G819" s="597">
        <f t="shared" si="652"/>
        <v>0.17799999999999999</v>
      </c>
      <c r="H819" s="597">
        <f t="shared" si="652"/>
        <v>0.17799999999999999</v>
      </c>
      <c r="I819" s="597">
        <f t="shared" si="652"/>
        <v>0.17799999999999999</v>
      </c>
      <c r="J819" s="597">
        <f t="shared" si="652"/>
        <v>0.17799999999999999</v>
      </c>
      <c r="K819" s="597">
        <f t="shared" si="652"/>
        <v>0.17799999999999999</v>
      </c>
      <c r="L819" s="597">
        <f t="shared" si="652"/>
        <v>0.17799999999999999</v>
      </c>
      <c r="M819" s="597">
        <f t="shared" si="652"/>
        <v>0.17799999999999999</v>
      </c>
      <c r="N819" s="597">
        <f t="shared" si="652"/>
        <v>0.17799999999999999</v>
      </c>
      <c r="O819" s="597">
        <f t="shared" si="652"/>
        <v>0.17799999999999999</v>
      </c>
      <c r="P819" s="597">
        <f t="shared" si="652"/>
        <v>0.17799999999999999</v>
      </c>
      <c r="Q819" s="597">
        <f t="shared" si="652"/>
        <v>0.17799999999999999</v>
      </c>
      <c r="R819" s="597">
        <f t="shared" si="652"/>
        <v>0.17799999999999999</v>
      </c>
      <c r="S819" s="597">
        <f t="shared" si="652"/>
        <v>0.17799999999999999</v>
      </c>
      <c r="T819" s="597">
        <f t="shared" si="652"/>
        <v>0.17799999999999999</v>
      </c>
      <c r="U819" s="597">
        <f t="shared" si="652"/>
        <v>0.17799999999999999</v>
      </c>
      <c r="V819" s="597">
        <f t="shared" si="652"/>
        <v>0.17799999999999999</v>
      </c>
      <c r="W819" s="597">
        <f t="shared" si="652"/>
        <v>0.17799999999999999</v>
      </c>
      <c r="X819" s="597">
        <f t="shared" si="652"/>
        <v>0.17799999999999999</v>
      </c>
      <c r="Y819" s="597">
        <f t="shared" si="652"/>
        <v>0.17799999999999999</v>
      </c>
      <c r="Z819" s="597">
        <f t="shared" si="652"/>
        <v>0.17799999999999999</v>
      </c>
      <c r="AA819" s="597">
        <f t="shared" si="652"/>
        <v>0.17799999999999999</v>
      </c>
      <c r="AB819" s="597">
        <f t="shared" si="652"/>
        <v>0.17799999999999999</v>
      </c>
      <c r="AC819" s="597">
        <f t="shared" si="652"/>
        <v>0.17799999999999999</v>
      </c>
      <c r="AD819" s="597">
        <f t="shared" si="652"/>
        <v>0.17799999999999999</v>
      </c>
      <c r="AE819" s="597">
        <f t="shared" si="652"/>
        <v>0.17799999999999999</v>
      </c>
      <c r="AF819" s="597">
        <f t="shared" si="652"/>
        <v>0.17799999999999999</v>
      </c>
      <c r="AH819" s="538"/>
      <c r="AK819" s="531"/>
      <c r="AM819" s="594"/>
      <c r="AN819" s="535"/>
      <c r="AP819" s="540"/>
      <c r="AQ819" s="540"/>
    </row>
    <row r="820" spans="1:43" s="546" customFormat="1" ht="15" hidden="1" customHeight="1" outlineLevel="2">
      <c r="A820" s="584"/>
      <c r="B820" s="569" t="s">
        <v>829</v>
      </c>
      <c r="C820" s="581">
        <f>C821*C822*C823</f>
        <v>69.400000000000006</v>
      </c>
      <c r="D820" s="581">
        <f t="shared" ref="D820:AF820" si="653">D821*D822*D823</f>
        <v>69.400000000000006</v>
      </c>
      <c r="E820" s="581">
        <f t="shared" si="653"/>
        <v>69.400000000000006</v>
      </c>
      <c r="F820" s="581">
        <f t="shared" si="653"/>
        <v>69.400000000000006</v>
      </c>
      <c r="G820" s="581">
        <f t="shared" si="653"/>
        <v>69.400000000000006</v>
      </c>
      <c r="H820" s="581">
        <f t="shared" si="653"/>
        <v>69.400000000000006</v>
      </c>
      <c r="I820" s="581">
        <f t="shared" si="653"/>
        <v>69.400000000000006</v>
      </c>
      <c r="J820" s="581">
        <f t="shared" si="653"/>
        <v>69.400000000000006</v>
      </c>
      <c r="K820" s="581">
        <f t="shared" si="653"/>
        <v>69.400000000000006</v>
      </c>
      <c r="L820" s="581">
        <f t="shared" si="653"/>
        <v>69.400000000000006</v>
      </c>
      <c r="M820" s="581">
        <f t="shared" si="653"/>
        <v>69.400000000000006</v>
      </c>
      <c r="N820" s="581">
        <f t="shared" si="653"/>
        <v>69.400000000000006</v>
      </c>
      <c r="O820" s="581">
        <f t="shared" si="653"/>
        <v>69.400000000000006</v>
      </c>
      <c r="P820" s="581">
        <f t="shared" si="653"/>
        <v>69.400000000000006</v>
      </c>
      <c r="Q820" s="581">
        <f t="shared" si="653"/>
        <v>69.400000000000006</v>
      </c>
      <c r="R820" s="581">
        <f t="shared" si="653"/>
        <v>69.400000000000006</v>
      </c>
      <c r="S820" s="581">
        <f t="shared" si="653"/>
        <v>69.400000000000006</v>
      </c>
      <c r="T820" s="581">
        <f t="shared" si="653"/>
        <v>69.400000000000006</v>
      </c>
      <c r="U820" s="581">
        <f t="shared" si="653"/>
        <v>69.400000000000006</v>
      </c>
      <c r="V820" s="581">
        <f t="shared" si="653"/>
        <v>69.400000000000006</v>
      </c>
      <c r="W820" s="581">
        <f t="shared" si="653"/>
        <v>69.400000000000006</v>
      </c>
      <c r="X820" s="581">
        <f t="shared" si="653"/>
        <v>69.400000000000006</v>
      </c>
      <c r="Y820" s="581">
        <f t="shared" si="653"/>
        <v>69.400000000000006</v>
      </c>
      <c r="Z820" s="581">
        <f t="shared" si="653"/>
        <v>69.400000000000006</v>
      </c>
      <c r="AA820" s="581">
        <f t="shared" si="653"/>
        <v>69.400000000000006</v>
      </c>
      <c r="AB820" s="581">
        <f t="shared" si="653"/>
        <v>69.400000000000006</v>
      </c>
      <c r="AC820" s="581">
        <f t="shared" si="653"/>
        <v>69.400000000000006</v>
      </c>
      <c r="AD820" s="581">
        <f t="shared" si="653"/>
        <v>69.400000000000006</v>
      </c>
      <c r="AE820" s="581">
        <f t="shared" si="653"/>
        <v>69.400000000000006</v>
      </c>
      <c r="AF820" s="581">
        <f t="shared" si="653"/>
        <v>69.400000000000006</v>
      </c>
      <c r="AH820" s="571"/>
      <c r="AK820" s="531"/>
      <c r="AM820" s="594"/>
      <c r="AN820" s="535"/>
      <c r="AP820" s="549"/>
      <c r="AQ820" s="549"/>
    </row>
    <row r="821" spans="1:43" s="513" customFormat="1" ht="16.5" hidden="1" customHeight="1" outlineLevel="2">
      <c r="A821" s="584"/>
      <c r="B821" s="572" t="s">
        <v>805</v>
      </c>
      <c r="C821" s="716">
        <f>C787</f>
        <v>2</v>
      </c>
      <c r="D821" s="716">
        <f>C821</f>
        <v>2</v>
      </c>
      <c r="E821" s="716">
        <f t="shared" ref="E821:T823" si="654">D821</f>
        <v>2</v>
      </c>
      <c r="F821" s="716">
        <f t="shared" si="654"/>
        <v>2</v>
      </c>
      <c r="G821" s="716">
        <f t="shared" si="654"/>
        <v>2</v>
      </c>
      <c r="H821" s="716">
        <f t="shared" si="654"/>
        <v>2</v>
      </c>
      <c r="I821" s="716">
        <f t="shared" si="654"/>
        <v>2</v>
      </c>
      <c r="J821" s="716">
        <f t="shared" si="654"/>
        <v>2</v>
      </c>
      <c r="K821" s="716">
        <f t="shared" si="654"/>
        <v>2</v>
      </c>
      <c r="L821" s="716">
        <f t="shared" si="654"/>
        <v>2</v>
      </c>
      <c r="M821" s="716">
        <f t="shared" si="654"/>
        <v>2</v>
      </c>
      <c r="N821" s="716">
        <f t="shared" si="654"/>
        <v>2</v>
      </c>
      <c r="O821" s="716">
        <f t="shared" si="654"/>
        <v>2</v>
      </c>
      <c r="P821" s="716">
        <f t="shared" si="654"/>
        <v>2</v>
      </c>
      <c r="Q821" s="716">
        <f t="shared" si="654"/>
        <v>2</v>
      </c>
      <c r="R821" s="716">
        <f t="shared" si="654"/>
        <v>2</v>
      </c>
      <c r="S821" s="716">
        <f t="shared" si="654"/>
        <v>2</v>
      </c>
      <c r="T821" s="716">
        <f t="shared" si="654"/>
        <v>2</v>
      </c>
      <c r="U821" s="716">
        <f t="shared" ref="U821:AF823" si="655">T821</f>
        <v>2</v>
      </c>
      <c r="V821" s="716">
        <f t="shared" si="655"/>
        <v>2</v>
      </c>
      <c r="W821" s="716">
        <f t="shared" si="655"/>
        <v>2</v>
      </c>
      <c r="X821" s="716">
        <f t="shared" si="655"/>
        <v>2</v>
      </c>
      <c r="Y821" s="716">
        <f t="shared" si="655"/>
        <v>2</v>
      </c>
      <c r="Z821" s="716">
        <f t="shared" si="655"/>
        <v>2</v>
      </c>
      <c r="AA821" s="716">
        <f t="shared" si="655"/>
        <v>2</v>
      </c>
      <c r="AB821" s="716">
        <f t="shared" si="655"/>
        <v>2</v>
      </c>
      <c r="AC821" s="716">
        <f t="shared" si="655"/>
        <v>2</v>
      </c>
      <c r="AD821" s="716">
        <f t="shared" si="655"/>
        <v>2</v>
      </c>
      <c r="AE821" s="716">
        <f t="shared" si="655"/>
        <v>2</v>
      </c>
      <c r="AF821" s="716">
        <f t="shared" si="655"/>
        <v>2</v>
      </c>
      <c r="AH821" s="538"/>
      <c r="AK821" s="719"/>
      <c r="AM821" s="594"/>
      <c r="AN821" s="535"/>
      <c r="AP821" s="540"/>
      <c r="AQ821" s="540"/>
    </row>
    <row r="822" spans="1:43" s="513" customFormat="1" ht="16.5" hidden="1" customHeight="1" outlineLevel="2">
      <c r="A822" s="584"/>
      <c r="B822" s="596" t="s">
        <v>971</v>
      </c>
      <c r="C822" s="574">
        <v>1</v>
      </c>
      <c r="D822" s="574">
        <f>C822</f>
        <v>1</v>
      </c>
      <c r="E822" s="574">
        <f t="shared" si="654"/>
        <v>1</v>
      </c>
      <c r="F822" s="574">
        <f t="shared" si="654"/>
        <v>1</v>
      </c>
      <c r="G822" s="574">
        <f t="shared" si="654"/>
        <v>1</v>
      </c>
      <c r="H822" s="574">
        <f t="shared" si="654"/>
        <v>1</v>
      </c>
      <c r="I822" s="574">
        <f t="shared" si="654"/>
        <v>1</v>
      </c>
      <c r="J822" s="574">
        <f t="shared" si="654"/>
        <v>1</v>
      </c>
      <c r="K822" s="574">
        <f t="shared" si="654"/>
        <v>1</v>
      </c>
      <c r="L822" s="574">
        <f t="shared" si="654"/>
        <v>1</v>
      </c>
      <c r="M822" s="574">
        <f t="shared" si="654"/>
        <v>1</v>
      </c>
      <c r="N822" s="574">
        <f t="shared" si="654"/>
        <v>1</v>
      </c>
      <c r="O822" s="574">
        <f t="shared" si="654"/>
        <v>1</v>
      </c>
      <c r="P822" s="574">
        <f t="shared" si="654"/>
        <v>1</v>
      </c>
      <c r="Q822" s="574">
        <f t="shared" si="654"/>
        <v>1</v>
      </c>
      <c r="R822" s="574">
        <f t="shared" si="654"/>
        <v>1</v>
      </c>
      <c r="S822" s="574">
        <f t="shared" si="654"/>
        <v>1</v>
      </c>
      <c r="T822" s="574">
        <f t="shared" si="654"/>
        <v>1</v>
      </c>
      <c r="U822" s="574">
        <f t="shared" si="655"/>
        <v>1</v>
      </c>
      <c r="V822" s="574">
        <f t="shared" si="655"/>
        <v>1</v>
      </c>
      <c r="W822" s="574">
        <f t="shared" si="655"/>
        <v>1</v>
      </c>
      <c r="X822" s="574">
        <f t="shared" si="655"/>
        <v>1</v>
      </c>
      <c r="Y822" s="574">
        <f t="shared" si="655"/>
        <v>1</v>
      </c>
      <c r="Z822" s="574">
        <f t="shared" si="655"/>
        <v>1</v>
      </c>
      <c r="AA822" s="574">
        <f t="shared" si="655"/>
        <v>1</v>
      </c>
      <c r="AB822" s="574">
        <f t="shared" si="655"/>
        <v>1</v>
      </c>
      <c r="AC822" s="574">
        <f t="shared" si="655"/>
        <v>1</v>
      </c>
      <c r="AD822" s="574">
        <f t="shared" si="655"/>
        <v>1</v>
      </c>
      <c r="AE822" s="574">
        <f t="shared" si="655"/>
        <v>1</v>
      </c>
      <c r="AF822" s="574">
        <f t="shared" si="655"/>
        <v>1</v>
      </c>
      <c r="AH822" s="538"/>
      <c r="AK822" s="531"/>
      <c r="AM822" s="594"/>
      <c r="AN822" s="535"/>
      <c r="AP822" s="540"/>
      <c r="AQ822" s="540"/>
    </row>
    <row r="823" spans="1:43" s="513" customFormat="1" ht="16.5" hidden="1" customHeight="1" outlineLevel="2">
      <c r="A823" s="584"/>
      <c r="B823" s="596" t="s">
        <v>972</v>
      </c>
      <c r="C823" s="574">
        <v>34.700000000000003</v>
      </c>
      <c r="D823" s="574">
        <f>C823</f>
        <v>34.700000000000003</v>
      </c>
      <c r="E823" s="574">
        <f t="shared" si="654"/>
        <v>34.700000000000003</v>
      </c>
      <c r="F823" s="574">
        <f t="shared" si="654"/>
        <v>34.700000000000003</v>
      </c>
      <c r="G823" s="574">
        <f t="shared" si="654"/>
        <v>34.700000000000003</v>
      </c>
      <c r="H823" s="574">
        <f t="shared" si="654"/>
        <v>34.700000000000003</v>
      </c>
      <c r="I823" s="574">
        <f t="shared" si="654"/>
        <v>34.700000000000003</v>
      </c>
      <c r="J823" s="574">
        <f t="shared" si="654"/>
        <v>34.700000000000003</v>
      </c>
      <c r="K823" s="574">
        <f t="shared" si="654"/>
        <v>34.700000000000003</v>
      </c>
      <c r="L823" s="574">
        <f t="shared" si="654"/>
        <v>34.700000000000003</v>
      </c>
      <c r="M823" s="574">
        <f t="shared" si="654"/>
        <v>34.700000000000003</v>
      </c>
      <c r="N823" s="574">
        <f t="shared" si="654"/>
        <v>34.700000000000003</v>
      </c>
      <c r="O823" s="574">
        <f t="shared" si="654"/>
        <v>34.700000000000003</v>
      </c>
      <c r="P823" s="574">
        <f t="shared" si="654"/>
        <v>34.700000000000003</v>
      </c>
      <c r="Q823" s="574">
        <f t="shared" si="654"/>
        <v>34.700000000000003</v>
      </c>
      <c r="R823" s="574">
        <f t="shared" si="654"/>
        <v>34.700000000000003</v>
      </c>
      <c r="S823" s="574">
        <f t="shared" si="654"/>
        <v>34.700000000000003</v>
      </c>
      <c r="T823" s="574">
        <f t="shared" si="654"/>
        <v>34.700000000000003</v>
      </c>
      <c r="U823" s="574">
        <f t="shared" si="655"/>
        <v>34.700000000000003</v>
      </c>
      <c r="V823" s="574">
        <f t="shared" si="655"/>
        <v>34.700000000000003</v>
      </c>
      <c r="W823" s="574">
        <f t="shared" si="655"/>
        <v>34.700000000000003</v>
      </c>
      <c r="X823" s="574">
        <f t="shared" si="655"/>
        <v>34.700000000000003</v>
      </c>
      <c r="Y823" s="574">
        <f t="shared" si="655"/>
        <v>34.700000000000003</v>
      </c>
      <c r="Z823" s="574">
        <f t="shared" si="655"/>
        <v>34.700000000000003</v>
      </c>
      <c r="AA823" s="574">
        <f t="shared" si="655"/>
        <v>34.700000000000003</v>
      </c>
      <c r="AB823" s="574">
        <f t="shared" si="655"/>
        <v>34.700000000000003</v>
      </c>
      <c r="AC823" s="574">
        <f t="shared" si="655"/>
        <v>34.700000000000003</v>
      </c>
      <c r="AD823" s="574">
        <f t="shared" si="655"/>
        <v>34.700000000000003</v>
      </c>
      <c r="AE823" s="574">
        <f t="shared" si="655"/>
        <v>34.700000000000003</v>
      </c>
      <c r="AF823" s="574">
        <f t="shared" si="655"/>
        <v>34.700000000000003</v>
      </c>
      <c r="AH823" s="538"/>
      <c r="AK823" s="531"/>
      <c r="AM823" s="594"/>
      <c r="AN823" s="535"/>
      <c r="AP823" s="540"/>
      <c r="AQ823" s="540"/>
    </row>
    <row r="824" spans="1:43" s="513" customFormat="1" ht="3" hidden="1" customHeight="1" outlineLevel="2">
      <c r="A824" s="584"/>
      <c r="B824" s="596"/>
      <c r="C824" s="598"/>
      <c r="D824" s="598"/>
      <c r="E824" s="598"/>
      <c r="F824" s="598"/>
      <c r="G824" s="598"/>
      <c r="H824" s="598"/>
      <c r="I824" s="598"/>
      <c r="J824" s="598"/>
      <c r="K824" s="598"/>
      <c r="L824" s="598"/>
      <c r="M824" s="598"/>
      <c r="N824" s="598"/>
      <c r="O824" s="598"/>
      <c r="P824" s="598"/>
      <c r="Q824" s="598"/>
      <c r="R824" s="598"/>
      <c r="S824" s="598"/>
      <c r="T824" s="598"/>
      <c r="U824" s="598"/>
      <c r="V824" s="598"/>
      <c r="W824" s="598"/>
      <c r="X824" s="598"/>
      <c r="Y824" s="598"/>
      <c r="Z824" s="598"/>
      <c r="AA824" s="598"/>
      <c r="AB824" s="598"/>
      <c r="AC824" s="598"/>
      <c r="AD824" s="598"/>
      <c r="AE824" s="598"/>
      <c r="AF824" s="598"/>
      <c r="AH824" s="538"/>
      <c r="AK824" s="531"/>
      <c r="AM824" s="594"/>
      <c r="AN824" s="535"/>
      <c r="AP824" s="540"/>
      <c r="AQ824" s="540"/>
    </row>
    <row r="825" spans="1:43" s="564" customFormat="1" ht="16.5" hidden="1" customHeight="1" outlineLevel="1" collapsed="1">
      <c r="A825" s="584"/>
      <c r="B825" s="576" t="s">
        <v>899</v>
      </c>
      <c r="C825" s="577">
        <f>SUM(C826)*12/10^3</f>
        <v>1.2400252200000002</v>
      </c>
      <c r="D825" s="577">
        <f t="shared" ref="D825:AF825" si="656">SUM(D826)*12/10^3</f>
        <v>1.2400252200000002</v>
      </c>
      <c r="E825" s="577">
        <f t="shared" si="656"/>
        <v>1.2400252200000002</v>
      </c>
      <c r="F825" s="577">
        <f t="shared" si="656"/>
        <v>1.2400252200000002</v>
      </c>
      <c r="G825" s="577">
        <f t="shared" si="656"/>
        <v>1.2400252200000002</v>
      </c>
      <c r="H825" s="577">
        <f t="shared" si="656"/>
        <v>1.2400252200000002</v>
      </c>
      <c r="I825" s="577">
        <f t="shared" si="656"/>
        <v>1.2400252200000002</v>
      </c>
      <c r="J825" s="577">
        <f t="shared" si="656"/>
        <v>1.2400252200000002</v>
      </c>
      <c r="K825" s="577">
        <f t="shared" si="656"/>
        <v>1.2400252200000002</v>
      </c>
      <c r="L825" s="577">
        <f t="shared" si="656"/>
        <v>1.2400252200000002</v>
      </c>
      <c r="M825" s="577">
        <f t="shared" si="656"/>
        <v>1.2400252200000002</v>
      </c>
      <c r="N825" s="577">
        <f t="shared" si="656"/>
        <v>1.2400252200000002</v>
      </c>
      <c r="O825" s="577">
        <f t="shared" si="656"/>
        <v>1.2400252200000002</v>
      </c>
      <c r="P825" s="577">
        <f t="shared" si="656"/>
        <v>1.2400252200000002</v>
      </c>
      <c r="Q825" s="577">
        <f t="shared" si="656"/>
        <v>1.2400252200000002</v>
      </c>
      <c r="R825" s="577">
        <f t="shared" si="656"/>
        <v>1.2400252200000002</v>
      </c>
      <c r="S825" s="577">
        <f t="shared" si="656"/>
        <v>1.2400252200000002</v>
      </c>
      <c r="T825" s="577">
        <f t="shared" si="656"/>
        <v>1.2400252200000002</v>
      </c>
      <c r="U825" s="577">
        <f t="shared" si="656"/>
        <v>1.2400252200000002</v>
      </c>
      <c r="V825" s="577">
        <f t="shared" si="656"/>
        <v>1.2400252200000002</v>
      </c>
      <c r="W825" s="577">
        <f t="shared" si="656"/>
        <v>1.2400252200000002</v>
      </c>
      <c r="X825" s="577">
        <f t="shared" si="656"/>
        <v>1.2400252200000002</v>
      </c>
      <c r="Y825" s="577">
        <f t="shared" si="656"/>
        <v>1.2400252200000002</v>
      </c>
      <c r="Z825" s="577">
        <f t="shared" si="656"/>
        <v>1.2400252200000002</v>
      </c>
      <c r="AA825" s="577">
        <f t="shared" si="656"/>
        <v>1.2400252200000002</v>
      </c>
      <c r="AB825" s="577">
        <f t="shared" si="656"/>
        <v>1.2400252200000002</v>
      </c>
      <c r="AC825" s="577">
        <f t="shared" si="656"/>
        <v>1.2400252200000002</v>
      </c>
      <c r="AD825" s="577">
        <f t="shared" si="656"/>
        <v>1.2400252200000002</v>
      </c>
      <c r="AE825" s="577">
        <f t="shared" si="656"/>
        <v>1.2400252200000002</v>
      </c>
      <c r="AF825" s="577">
        <f t="shared" si="656"/>
        <v>1.2400252200000002</v>
      </c>
      <c r="AH825" s="578">
        <f>SUM(C825:AF825)</f>
        <v>37.200756599999998</v>
      </c>
      <c r="AK825" s="531"/>
      <c r="AM825" s="594"/>
      <c r="AN825" s="535"/>
      <c r="AP825" s="568"/>
      <c r="AQ825" s="568"/>
    </row>
    <row r="826" spans="1:43" s="546" customFormat="1" ht="16.5" hidden="1" customHeight="1" outlineLevel="2">
      <c r="A826" s="584"/>
      <c r="B826" s="671" t="str">
        <f>B757</f>
        <v>Van Minibus 20+1</v>
      </c>
      <c r="C826" s="581">
        <f>C828*C829*C827</f>
        <v>103.33543500000002</v>
      </c>
      <c r="D826" s="581">
        <f t="shared" ref="D826:AF826" si="657">D828*D829*D827</f>
        <v>103.33543500000002</v>
      </c>
      <c r="E826" s="581">
        <f t="shared" si="657"/>
        <v>103.33543500000002</v>
      </c>
      <c r="F826" s="581">
        <f t="shared" si="657"/>
        <v>103.33543500000002</v>
      </c>
      <c r="G826" s="581">
        <f t="shared" si="657"/>
        <v>103.33543500000002</v>
      </c>
      <c r="H826" s="581">
        <f t="shared" si="657"/>
        <v>103.33543500000002</v>
      </c>
      <c r="I826" s="581">
        <f t="shared" si="657"/>
        <v>103.33543500000002</v>
      </c>
      <c r="J826" s="581">
        <f t="shared" si="657"/>
        <v>103.33543500000002</v>
      </c>
      <c r="K826" s="581">
        <f t="shared" si="657"/>
        <v>103.33543500000002</v>
      </c>
      <c r="L826" s="581">
        <f t="shared" si="657"/>
        <v>103.33543500000002</v>
      </c>
      <c r="M826" s="581">
        <f t="shared" si="657"/>
        <v>103.33543500000002</v>
      </c>
      <c r="N826" s="581">
        <f t="shared" si="657"/>
        <v>103.33543500000002</v>
      </c>
      <c r="O826" s="581">
        <f t="shared" si="657"/>
        <v>103.33543500000002</v>
      </c>
      <c r="P826" s="581">
        <f t="shared" si="657"/>
        <v>103.33543500000002</v>
      </c>
      <c r="Q826" s="581">
        <f t="shared" si="657"/>
        <v>103.33543500000002</v>
      </c>
      <c r="R826" s="581">
        <f t="shared" si="657"/>
        <v>103.33543500000002</v>
      </c>
      <c r="S826" s="581">
        <f t="shared" si="657"/>
        <v>103.33543500000002</v>
      </c>
      <c r="T826" s="581">
        <f t="shared" si="657"/>
        <v>103.33543500000002</v>
      </c>
      <c r="U826" s="581">
        <f t="shared" si="657"/>
        <v>103.33543500000002</v>
      </c>
      <c r="V826" s="581">
        <f t="shared" si="657"/>
        <v>103.33543500000002</v>
      </c>
      <c r="W826" s="581">
        <f t="shared" si="657"/>
        <v>103.33543500000002</v>
      </c>
      <c r="X826" s="581">
        <f t="shared" si="657"/>
        <v>103.33543500000002</v>
      </c>
      <c r="Y826" s="581">
        <f t="shared" si="657"/>
        <v>103.33543500000002</v>
      </c>
      <c r="Z826" s="581">
        <f t="shared" si="657"/>
        <v>103.33543500000002</v>
      </c>
      <c r="AA826" s="581">
        <f t="shared" si="657"/>
        <v>103.33543500000002</v>
      </c>
      <c r="AB826" s="581">
        <f t="shared" si="657"/>
        <v>103.33543500000002</v>
      </c>
      <c r="AC826" s="581">
        <f t="shared" si="657"/>
        <v>103.33543500000002</v>
      </c>
      <c r="AD826" s="581">
        <f t="shared" si="657"/>
        <v>103.33543500000002</v>
      </c>
      <c r="AE826" s="581">
        <f t="shared" si="657"/>
        <v>103.33543500000002</v>
      </c>
      <c r="AF826" s="581">
        <f t="shared" si="657"/>
        <v>103.33543500000002</v>
      </c>
      <c r="AH826" s="571"/>
      <c r="AK826" s="531"/>
      <c r="AM826" s="594"/>
      <c r="AN826" s="535"/>
      <c r="AP826" s="549"/>
      <c r="AQ826" s="549"/>
    </row>
    <row r="827" spans="1:43" s="513" customFormat="1" ht="16.5" hidden="1" customHeight="1" outlineLevel="2">
      <c r="A827" s="584"/>
      <c r="B827" s="572" t="s">
        <v>805</v>
      </c>
      <c r="C827" s="716">
        <f t="shared" ref="C827:AF827" si="658">C757</f>
        <v>1</v>
      </c>
      <c r="D827" s="716">
        <f t="shared" si="658"/>
        <v>1</v>
      </c>
      <c r="E827" s="716">
        <f t="shared" si="658"/>
        <v>1</v>
      </c>
      <c r="F827" s="716">
        <f t="shared" si="658"/>
        <v>1</v>
      </c>
      <c r="G827" s="716">
        <f t="shared" si="658"/>
        <v>1</v>
      </c>
      <c r="H827" s="716">
        <f t="shared" si="658"/>
        <v>1</v>
      </c>
      <c r="I827" s="716">
        <f t="shared" si="658"/>
        <v>1</v>
      </c>
      <c r="J827" s="716">
        <f t="shared" si="658"/>
        <v>1</v>
      </c>
      <c r="K827" s="716">
        <f t="shared" si="658"/>
        <v>1</v>
      </c>
      <c r="L827" s="716">
        <f t="shared" si="658"/>
        <v>1</v>
      </c>
      <c r="M827" s="716">
        <f t="shared" si="658"/>
        <v>1</v>
      </c>
      <c r="N827" s="716">
        <f t="shared" si="658"/>
        <v>1</v>
      </c>
      <c r="O827" s="716">
        <f t="shared" si="658"/>
        <v>1</v>
      </c>
      <c r="P827" s="716">
        <f t="shared" si="658"/>
        <v>1</v>
      </c>
      <c r="Q827" s="716">
        <f t="shared" si="658"/>
        <v>1</v>
      </c>
      <c r="R827" s="716">
        <f t="shared" si="658"/>
        <v>1</v>
      </c>
      <c r="S827" s="716">
        <f t="shared" si="658"/>
        <v>1</v>
      </c>
      <c r="T827" s="716">
        <f t="shared" si="658"/>
        <v>1</v>
      </c>
      <c r="U827" s="716">
        <f t="shared" si="658"/>
        <v>1</v>
      </c>
      <c r="V827" s="716">
        <f t="shared" si="658"/>
        <v>1</v>
      </c>
      <c r="W827" s="716">
        <f t="shared" si="658"/>
        <v>1</v>
      </c>
      <c r="X827" s="716">
        <f t="shared" si="658"/>
        <v>1</v>
      </c>
      <c r="Y827" s="716">
        <f t="shared" si="658"/>
        <v>1</v>
      </c>
      <c r="Z827" s="716">
        <f t="shared" si="658"/>
        <v>1</v>
      </c>
      <c r="AA827" s="716">
        <f t="shared" si="658"/>
        <v>1</v>
      </c>
      <c r="AB827" s="716">
        <f t="shared" si="658"/>
        <v>1</v>
      </c>
      <c r="AC827" s="716">
        <f t="shared" si="658"/>
        <v>1</v>
      </c>
      <c r="AD827" s="716">
        <f t="shared" si="658"/>
        <v>1</v>
      </c>
      <c r="AE827" s="716">
        <f t="shared" si="658"/>
        <v>1</v>
      </c>
      <c r="AF827" s="716">
        <f t="shared" si="658"/>
        <v>1</v>
      </c>
      <c r="AH827" s="538"/>
      <c r="AK827" s="719"/>
      <c r="AM827" s="594"/>
      <c r="AN827" s="535"/>
      <c r="AP827" s="540"/>
      <c r="AQ827" s="540"/>
    </row>
    <row r="828" spans="1:43" s="546" customFormat="1" ht="16.5" hidden="1" customHeight="1" outlineLevel="2">
      <c r="A828" s="584"/>
      <c r="B828" s="585" t="s">
        <v>901</v>
      </c>
      <c r="C828" s="574">
        <f t="shared" ref="C828:AF828" si="659">C782</f>
        <v>503.40000000000003</v>
      </c>
      <c r="D828" s="574">
        <f t="shared" si="659"/>
        <v>503.40000000000003</v>
      </c>
      <c r="E828" s="574">
        <f t="shared" si="659"/>
        <v>503.40000000000003</v>
      </c>
      <c r="F828" s="574">
        <f t="shared" si="659"/>
        <v>503.40000000000003</v>
      </c>
      <c r="G828" s="574">
        <f t="shared" si="659"/>
        <v>503.40000000000003</v>
      </c>
      <c r="H828" s="574">
        <f t="shared" si="659"/>
        <v>503.40000000000003</v>
      </c>
      <c r="I828" s="574">
        <f t="shared" si="659"/>
        <v>503.40000000000003</v>
      </c>
      <c r="J828" s="574">
        <f t="shared" si="659"/>
        <v>503.40000000000003</v>
      </c>
      <c r="K828" s="574">
        <f t="shared" si="659"/>
        <v>503.40000000000003</v>
      </c>
      <c r="L828" s="574">
        <f t="shared" si="659"/>
        <v>503.40000000000003</v>
      </c>
      <c r="M828" s="574">
        <f t="shared" si="659"/>
        <v>503.40000000000003</v>
      </c>
      <c r="N828" s="574">
        <f t="shared" si="659"/>
        <v>503.40000000000003</v>
      </c>
      <c r="O828" s="574">
        <f t="shared" si="659"/>
        <v>503.40000000000003</v>
      </c>
      <c r="P828" s="574">
        <f t="shared" si="659"/>
        <v>503.40000000000003</v>
      </c>
      <c r="Q828" s="574">
        <f t="shared" si="659"/>
        <v>503.40000000000003</v>
      </c>
      <c r="R828" s="574">
        <f t="shared" si="659"/>
        <v>503.40000000000003</v>
      </c>
      <c r="S828" s="574">
        <f t="shared" si="659"/>
        <v>503.40000000000003</v>
      </c>
      <c r="T828" s="574">
        <f t="shared" si="659"/>
        <v>503.40000000000003</v>
      </c>
      <c r="U828" s="574">
        <f t="shared" si="659"/>
        <v>503.40000000000003</v>
      </c>
      <c r="V828" s="574">
        <f t="shared" si="659"/>
        <v>503.40000000000003</v>
      </c>
      <c r="W828" s="574">
        <f t="shared" si="659"/>
        <v>503.40000000000003</v>
      </c>
      <c r="X828" s="574">
        <f t="shared" si="659"/>
        <v>503.40000000000003</v>
      </c>
      <c r="Y828" s="574">
        <f t="shared" si="659"/>
        <v>503.40000000000003</v>
      </c>
      <c r="Z828" s="574">
        <f t="shared" si="659"/>
        <v>503.40000000000003</v>
      </c>
      <c r="AA828" s="574">
        <f t="shared" si="659"/>
        <v>503.40000000000003</v>
      </c>
      <c r="AB828" s="574">
        <f t="shared" si="659"/>
        <v>503.40000000000003</v>
      </c>
      <c r="AC828" s="574">
        <f t="shared" si="659"/>
        <v>503.40000000000003</v>
      </c>
      <c r="AD828" s="574">
        <f t="shared" si="659"/>
        <v>503.40000000000003</v>
      </c>
      <c r="AE828" s="574">
        <f t="shared" si="659"/>
        <v>503.40000000000003</v>
      </c>
      <c r="AF828" s="574">
        <f t="shared" si="659"/>
        <v>503.40000000000003</v>
      </c>
      <c r="AH828" s="571"/>
      <c r="AK828" s="531"/>
      <c r="AM828" s="594"/>
      <c r="AN828" s="535"/>
      <c r="AP828" s="549"/>
      <c r="AQ828" s="549"/>
    </row>
    <row r="829" spans="1:43" s="546" customFormat="1" ht="16.5" hidden="1" customHeight="1" outlineLevel="2">
      <c r="A829" s="584"/>
      <c r="B829" s="585" t="s">
        <v>902</v>
      </c>
      <c r="C829" s="602">
        <f>((C830*C831)+(C832*C833))/C$70</f>
        <v>0.20527500000000001</v>
      </c>
      <c r="D829" s="602">
        <f t="shared" ref="D829:AF829" si="660">((D830*D831)+(D832*D833))/D$70</f>
        <v>0.20527500000000001</v>
      </c>
      <c r="E829" s="602">
        <f t="shared" si="660"/>
        <v>0.20527500000000001</v>
      </c>
      <c r="F829" s="602">
        <f t="shared" si="660"/>
        <v>0.20527500000000001</v>
      </c>
      <c r="G829" s="602">
        <f t="shared" si="660"/>
        <v>0.20527500000000001</v>
      </c>
      <c r="H829" s="602">
        <f t="shared" si="660"/>
        <v>0.20527500000000001</v>
      </c>
      <c r="I829" s="602">
        <f t="shared" si="660"/>
        <v>0.20527500000000001</v>
      </c>
      <c r="J829" s="602">
        <f t="shared" si="660"/>
        <v>0.20527500000000001</v>
      </c>
      <c r="K829" s="602">
        <f t="shared" si="660"/>
        <v>0.20527500000000001</v>
      </c>
      <c r="L829" s="602">
        <f t="shared" si="660"/>
        <v>0.20527500000000001</v>
      </c>
      <c r="M829" s="602">
        <f t="shared" si="660"/>
        <v>0.20527500000000001</v>
      </c>
      <c r="N829" s="602">
        <f t="shared" si="660"/>
        <v>0.20527500000000001</v>
      </c>
      <c r="O829" s="602">
        <f t="shared" si="660"/>
        <v>0.20527500000000001</v>
      </c>
      <c r="P829" s="602">
        <f t="shared" si="660"/>
        <v>0.20527500000000001</v>
      </c>
      <c r="Q829" s="602">
        <f t="shared" si="660"/>
        <v>0.20527500000000001</v>
      </c>
      <c r="R829" s="602">
        <f t="shared" si="660"/>
        <v>0.20527500000000001</v>
      </c>
      <c r="S829" s="602">
        <f t="shared" si="660"/>
        <v>0.20527500000000001</v>
      </c>
      <c r="T829" s="602">
        <f t="shared" si="660"/>
        <v>0.20527500000000001</v>
      </c>
      <c r="U829" s="602">
        <f t="shared" si="660"/>
        <v>0.20527500000000001</v>
      </c>
      <c r="V829" s="602">
        <f t="shared" si="660"/>
        <v>0.20527500000000001</v>
      </c>
      <c r="W829" s="602">
        <f t="shared" si="660"/>
        <v>0.20527500000000001</v>
      </c>
      <c r="X829" s="602">
        <f t="shared" si="660"/>
        <v>0.20527500000000001</v>
      </c>
      <c r="Y829" s="602">
        <f t="shared" si="660"/>
        <v>0.20527500000000001</v>
      </c>
      <c r="Z829" s="602">
        <f t="shared" si="660"/>
        <v>0.20527500000000001</v>
      </c>
      <c r="AA829" s="602">
        <f t="shared" si="660"/>
        <v>0.20527500000000001</v>
      </c>
      <c r="AB829" s="602">
        <f t="shared" si="660"/>
        <v>0.20527500000000001</v>
      </c>
      <c r="AC829" s="602">
        <f t="shared" si="660"/>
        <v>0.20527500000000001</v>
      </c>
      <c r="AD829" s="602">
        <f t="shared" si="660"/>
        <v>0.20527500000000001</v>
      </c>
      <c r="AE829" s="602">
        <f t="shared" si="660"/>
        <v>0.20527500000000001</v>
      </c>
      <c r="AF829" s="602">
        <f t="shared" si="660"/>
        <v>0.20527500000000001</v>
      </c>
      <c r="AH829" s="571"/>
      <c r="AK829" s="531"/>
      <c r="AM829" s="594"/>
      <c r="AN829" s="535"/>
      <c r="AP829" s="549"/>
      <c r="AQ829" s="549"/>
    </row>
    <row r="830" spans="1:43" s="513" customFormat="1" ht="16.5" hidden="1" customHeight="1" outlineLevel="2">
      <c r="A830" s="584"/>
      <c r="B830" s="641" t="s">
        <v>907</v>
      </c>
      <c r="C830" s="366">
        <v>6</v>
      </c>
      <c r="D830" s="366">
        <f>C830</f>
        <v>6</v>
      </c>
      <c r="E830" s="366">
        <f t="shared" ref="E830:T833" si="661">D830</f>
        <v>6</v>
      </c>
      <c r="F830" s="366">
        <f t="shared" si="661"/>
        <v>6</v>
      </c>
      <c r="G830" s="366">
        <f t="shared" si="661"/>
        <v>6</v>
      </c>
      <c r="H830" s="366">
        <f t="shared" si="661"/>
        <v>6</v>
      </c>
      <c r="I830" s="366">
        <f t="shared" si="661"/>
        <v>6</v>
      </c>
      <c r="J830" s="366">
        <f t="shared" si="661"/>
        <v>6</v>
      </c>
      <c r="K830" s="366">
        <f t="shared" si="661"/>
        <v>6</v>
      </c>
      <c r="L830" s="366">
        <f t="shared" si="661"/>
        <v>6</v>
      </c>
      <c r="M830" s="366">
        <f t="shared" si="661"/>
        <v>6</v>
      </c>
      <c r="N830" s="366">
        <f t="shared" si="661"/>
        <v>6</v>
      </c>
      <c r="O830" s="366">
        <f t="shared" si="661"/>
        <v>6</v>
      </c>
      <c r="P830" s="366">
        <f t="shared" si="661"/>
        <v>6</v>
      </c>
      <c r="Q830" s="366">
        <f t="shared" si="661"/>
        <v>6</v>
      </c>
      <c r="R830" s="366">
        <f t="shared" si="661"/>
        <v>6</v>
      </c>
      <c r="S830" s="366">
        <f t="shared" si="661"/>
        <v>6</v>
      </c>
      <c r="T830" s="366">
        <f t="shared" si="661"/>
        <v>6</v>
      </c>
      <c r="U830" s="366">
        <f t="shared" ref="U830:AF833" si="662">T830</f>
        <v>6</v>
      </c>
      <c r="V830" s="366">
        <f t="shared" si="662"/>
        <v>6</v>
      </c>
      <c r="W830" s="366">
        <f t="shared" si="662"/>
        <v>6</v>
      </c>
      <c r="X830" s="366">
        <f t="shared" si="662"/>
        <v>6</v>
      </c>
      <c r="Y830" s="366">
        <f t="shared" si="662"/>
        <v>6</v>
      </c>
      <c r="Z830" s="366">
        <f t="shared" si="662"/>
        <v>6</v>
      </c>
      <c r="AA830" s="366">
        <f t="shared" si="662"/>
        <v>6</v>
      </c>
      <c r="AB830" s="366">
        <f t="shared" si="662"/>
        <v>6</v>
      </c>
      <c r="AC830" s="366">
        <f t="shared" si="662"/>
        <v>6</v>
      </c>
      <c r="AD830" s="366">
        <f t="shared" si="662"/>
        <v>6</v>
      </c>
      <c r="AE830" s="366">
        <f t="shared" si="662"/>
        <v>6</v>
      </c>
      <c r="AF830" s="366">
        <f t="shared" si="662"/>
        <v>6</v>
      </c>
      <c r="AH830" s="538"/>
      <c r="AK830" s="531"/>
      <c r="AM830" s="594"/>
      <c r="AN830" s="535"/>
      <c r="AP830" s="540"/>
      <c r="AQ830" s="540"/>
    </row>
    <row r="831" spans="1:43" s="513" customFormat="1" ht="16.5" hidden="1" customHeight="1" outlineLevel="2">
      <c r="A831" s="584"/>
      <c r="B831" s="641" t="s">
        <v>904</v>
      </c>
      <c r="C831" s="639">
        <f>Insumos!$E$48</f>
        <v>1649</v>
      </c>
      <c r="D831" s="639">
        <f>C831</f>
        <v>1649</v>
      </c>
      <c r="E831" s="639">
        <f t="shared" si="661"/>
        <v>1649</v>
      </c>
      <c r="F831" s="639">
        <f t="shared" si="661"/>
        <v>1649</v>
      </c>
      <c r="G831" s="639">
        <f t="shared" si="661"/>
        <v>1649</v>
      </c>
      <c r="H831" s="639">
        <f t="shared" si="661"/>
        <v>1649</v>
      </c>
      <c r="I831" s="639">
        <f t="shared" si="661"/>
        <v>1649</v>
      </c>
      <c r="J831" s="639">
        <f t="shared" si="661"/>
        <v>1649</v>
      </c>
      <c r="K831" s="639">
        <f t="shared" si="661"/>
        <v>1649</v>
      </c>
      <c r="L831" s="639">
        <f t="shared" si="661"/>
        <v>1649</v>
      </c>
      <c r="M831" s="639">
        <f t="shared" si="661"/>
        <v>1649</v>
      </c>
      <c r="N831" s="639">
        <f t="shared" si="661"/>
        <v>1649</v>
      </c>
      <c r="O831" s="639">
        <f t="shared" si="661"/>
        <v>1649</v>
      </c>
      <c r="P831" s="639">
        <f t="shared" si="661"/>
        <v>1649</v>
      </c>
      <c r="Q831" s="639">
        <f t="shared" si="661"/>
        <v>1649</v>
      </c>
      <c r="R831" s="639">
        <f t="shared" si="661"/>
        <v>1649</v>
      </c>
      <c r="S831" s="639">
        <f t="shared" si="661"/>
        <v>1649</v>
      </c>
      <c r="T831" s="639">
        <f t="shared" si="661"/>
        <v>1649</v>
      </c>
      <c r="U831" s="639">
        <f t="shared" si="662"/>
        <v>1649</v>
      </c>
      <c r="V831" s="639">
        <f t="shared" si="662"/>
        <v>1649</v>
      </c>
      <c r="W831" s="639">
        <f t="shared" si="662"/>
        <v>1649</v>
      </c>
      <c r="X831" s="639">
        <f t="shared" si="662"/>
        <v>1649</v>
      </c>
      <c r="Y831" s="639">
        <f t="shared" si="662"/>
        <v>1649</v>
      </c>
      <c r="Z831" s="639">
        <f t="shared" si="662"/>
        <v>1649</v>
      </c>
      <c r="AA831" s="639">
        <f t="shared" si="662"/>
        <v>1649</v>
      </c>
      <c r="AB831" s="639">
        <f t="shared" si="662"/>
        <v>1649</v>
      </c>
      <c r="AC831" s="639">
        <f t="shared" si="662"/>
        <v>1649</v>
      </c>
      <c r="AD831" s="639">
        <f t="shared" si="662"/>
        <v>1649</v>
      </c>
      <c r="AE831" s="639">
        <f t="shared" si="662"/>
        <v>1649</v>
      </c>
      <c r="AF831" s="639">
        <f t="shared" si="662"/>
        <v>1649</v>
      </c>
      <c r="AH831" s="538"/>
      <c r="AK831" s="531"/>
      <c r="AM831" s="594"/>
      <c r="AN831" s="535"/>
      <c r="AP831" s="540"/>
      <c r="AQ831" s="540"/>
    </row>
    <row r="832" spans="1:43" s="513" customFormat="1" ht="16.5" hidden="1" customHeight="1" outlineLevel="2">
      <c r="A832" s="584"/>
      <c r="B832" s="641" t="s">
        <v>908</v>
      </c>
      <c r="C832" s="366">
        <f>C830*2</f>
        <v>12</v>
      </c>
      <c r="D832" s="366">
        <f>C832</f>
        <v>12</v>
      </c>
      <c r="E832" s="366">
        <f t="shared" si="661"/>
        <v>12</v>
      </c>
      <c r="F832" s="366">
        <f t="shared" si="661"/>
        <v>12</v>
      </c>
      <c r="G832" s="366">
        <f t="shared" si="661"/>
        <v>12</v>
      </c>
      <c r="H832" s="366">
        <f t="shared" si="661"/>
        <v>12</v>
      </c>
      <c r="I832" s="366">
        <f t="shared" si="661"/>
        <v>12</v>
      </c>
      <c r="J832" s="366">
        <f t="shared" si="661"/>
        <v>12</v>
      </c>
      <c r="K832" s="366">
        <f t="shared" si="661"/>
        <v>12</v>
      </c>
      <c r="L832" s="366">
        <f t="shared" si="661"/>
        <v>12</v>
      </c>
      <c r="M832" s="366">
        <f t="shared" si="661"/>
        <v>12</v>
      </c>
      <c r="N832" s="366">
        <f t="shared" si="661"/>
        <v>12</v>
      </c>
      <c r="O832" s="366">
        <f t="shared" si="661"/>
        <v>12</v>
      </c>
      <c r="P832" s="366">
        <f t="shared" si="661"/>
        <v>12</v>
      </c>
      <c r="Q832" s="366">
        <f t="shared" si="661"/>
        <v>12</v>
      </c>
      <c r="R832" s="366">
        <f t="shared" si="661"/>
        <v>12</v>
      </c>
      <c r="S832" s="366">
        <f t="shared" si="661"/>
        <v>12</v>
      </c>
      <c r="T832" s="366">
        <f t="shared" si="661"/>
        <v>12</v>
      </c>
      <c r="U832" s="366">
        <f t="shared" si="662"/>
        <v>12</v>
      </c>
      <c r="V832" s="366">
        <f t="shared" si="662"/>
        <v>12</v>
      </c>
      <c r="W832" s="366">
        <f t="shared" si="662"/>
        <v>12</v>
      </c>
      <c r="X832" s="366">
        <f t="shared" si="662"/>
        <v>12</v>
      </c>
      <c r="Y832" s="366">
        <f t="shared" si="662"/>
        <v>12</v>
      </c>
      <c r="Z832" s="366">
        <f t="shared" si="662"/>
        <v>12</v>
      </c>
      <c r="AA832" s="366">
        <f t="shared" si="662"/>
        <v>12</v>
      </c>
      <c r="AB832" s="366">
        <f t="shared" si="662"/>
        <v>12</v>
      </c>
      <c r="AC832" s="366">
        <f t="shared" si="662"/>
        <v>12</v>
      </c>
      <c r="AD832" s="366">
        <f t="shared" si="662"/>
        <v>12</v>
      </c>
      <c r="AE832" s="366">
        <f t="shared" si="662"/>
        <v>12</v>
      </c>
      <c r="AF832" s="366">
        <f t="shared" si="662"/>
        <v>12</v>
      </c>
      <c r="AH832" s="538"/>
      <c r="AK832" s="531"/>
      <c r="AM832" s="594"/>
      <c r="AN832" s="535"/>
      <c r="AP832" s="540"/>
      <c r="AQ832" s="540"/>
    </row>
    <row r="833" spans="1:43" s="513" customFormat="1" ht="16.5" hidden="1" customHeight="1" outlineLevel="2">
      <c r="A833" s="584"/>
      <c r="B833" s="596" t="s">
        <v>906</v>
      </c>
      <c r="C833" s="366">
        <f>Insumos!$E$47</f>
        <v>544</v>
      </c>
      <c r="D833" s="366">
        <f>C833</f>
        <v>544</v>
      </c>
      <c r="E833" s="366">
        <f t="shared" si="661"/>
        <v>544</v>
      </c>
      <c r="F833" s="366">
        <f t="shared" si="661"/>
        <v>544</v>
      </c>
      <c r="G833" s="366">
        <f t="shared" si="661"/>
        <v>544</v>
      </c>
      <c r="H833" s="366">
        <f t="shared" si="661"/>
        <v>544</v>
      </c>
      <c r="I833" s="366">
        <f t="shared" si="661"/>
        <v>544</v>
      </c>
      <c r="J833" s="366">
        <f t="shared" si="661"/>
        <v>544</v>
      </c>
      <c r="K833" s="366">
        <f t="shared" si="661"/>
        <v>544</v>
      </c>
      <c r="L833" s="366">
        <f t="shared" si="661"/>
        <v>544</v>
      </c>
      <c r="M833" s="366">
        <f t="shared" si="661"/>
        <v>544</v>
      </c>
      <c r="N833" s="366">
        <f t="shared" si="661"/>
        <v>544</v>
      </c>
      <c r="O833" s="366">
        <f t="shared" si="661"/>
        <v>544</v>
      </c>
      <c r="P833" s="366">
        <f t="shared" si="661"/>
        <v>544</v>
      </c>
      <c r="Q833" s="366">
        <f t="shared" si="661"/>
        <v>544</v>
      </c>
      <c r="R833" s="366">
        <f t="shared" si="661"/>
        <v>544</v>
      </c>
      <c r="S833" s="366">
        <f t="shared" si="661"/>
        <v>544</v>
      </c>
      <c r="T833" s="366">
        <f t="shared" si="661"/>
        <v>544</v>
      </c>
      <c r="U833" s="366">
        <f t="shared" si="662"/>
        <v>544</v>
      </c>
      <c r="V833" s="366">
        <f t="shared" si="662"/>
        <v>544</v>
      </c>
      <c r="W833" s="366">
        <f t="shared" si="662"/>
        <v>544</v>
      </c>
      <c r="X833" s="366">
        <f t="shared" si="662"/>
        <v>544</v>
      </c>
      <c r="Y833" s="366">
        <f t="shared" si="662"/>
        <v>544</v>
      </c>
      <c r="Z833" s="366">
        <f t="shared" si="662"/>
        <v>544</v>
      </c>
      <c r="AA833" s="366">
        <f t="shared" si="662"/>
        <v>544</v>
      </c>
      <c r="AB833" s="366">
        <f t="shared" si="662"/>
        <v>544</v>
      </c>
      <c r="AC833" s="366">
        <f t="shared" si="662"/>
        <v>544</v>
      </c>
      <c r="AD833" s="366">
        <f t="shared" si="662"/>
        <v>544</v>
      </c>
      <c r="AE833" s="366">
        <f t="shared" si="662"/>
        <v>544</v>
      </c>
      <c r="AF833" s="366">
        <f t="shared" si="662"/>
        <v>544</v>
      </c>
      <c r="AH833" s="538"/>
      <c r="AK833" s="531"/>
      <c r="AM833" s="594"/>
      <c r="AN833" s="535"/>
      <c r="AP833" s="540"/>
      <c r="AQ833" s="540"/>
    </row>
    <row r="834" spans="1:43" s="513" customFormat="1" ht="3" hidden="1" customHeight="1" outlineLevel="2">
      <c r="A834" s="584"/>
      <c r="B834" s="596"/>
      <c r="C834" s="598"/>
      <c r="D834" s="598"/>
      <c r="E834" s="598"/>
      <c r="F834" s="598"/>
      <c r="G834" s="598"/>
      <c r="H834" s="598"/>
      <c r="I834" s="598"/>
      <c r="J834" s="598"/>
      <c r="K834" s="598"/>
      <c r="L834" s="598"/>
      <c r="M834" s="598"/>
      <c r="N834" s="598"/>
      <c r="O834" s="598"/>
      <c r="P834" s="598"/>
      <c r="Q834" s="598"/>
      <c r="R834" s="598"/>
      <c r="S834" s="598"/>
      <c r="T834" s="598"/>
      <c r="U834" s="598"/>
      <c r="V834" s="598"/>
      <c r="W834" s="598"/>
      <c r="X834" s="598"/>
      <c r="Y834" s="598"/>
      <c r="Z834" s="598"/>
      <c r="AA834" s="598"/>
      <c r="AB834" s="598"/>
      <c r="AC834" s="598"/>
      <c r="AD834" s="598"/>
      <c r="AE834" s="598"/>
      <c r="AF834" s="598"/>
      <c r="AH834" s="538"/>
      <c r="AK834" s="531"/>
      <c r="AM834" s="594"/>
      <c r="AN834" s="535"/>
      <c r="AP834" s="540"/>
      <c r="AQ834" s="540"/>
    </row>
    <row r="835" spans="1:43" s="564" customFormat="1" ht="16.5" hidden="1" customHeight="1" outlineLevel="1" collapsed="1">
      <c r="A835" s="584"/>
      <c r="B835" s="576" t="s">
        <v>909</v>
      </c>
      <c r="C835" s="577">
        <f>C836*12/10^3</f>
        <v>15.48</v>
      </c>
      <c r="D835" s="577">
        <f t="shared" ref="D835:AF835" si="663">D836*12/10^3</f>
        <v>15.48</v>
      </c>
      <c r="E835" s="577">
        <f t="shared" si="663"/>
        <v>15.48</v>
      </c>
      <c r="F835" s="577">
        <f t="shared" si="663"/>
        <v>15.48</v>
      </c>
      <c r="G835" s="577">
        <f t="shared" si="663"/>
        <v>15.48</v>
      </c>
      <c r="H835" s="577">
        <f t="shared" si="663"/>
        <v>15.48</v>
      </c>
      <c r="I835" s="577">
        <f t="shared" si="663"/>
        <v>15.48</v>
      </c>
      <c r="J835" s="577">
        <f t="shared" si="663"/>
        <v>15.48</v>
      </c>
      <c r="K835" s="577">
        <f t="shared" si="663"/>
        <v>15.48</v>
      </c>
      <c r="L835" s="577">
        <f t="shared" si="663"/>
        <v>15.48</v>
      </c>
      <c r="M835" s="577">
        <f t="shared" si="663"/>
        <v>15.48</v>
      </c>
      <c r="N835" s="577">
        <f t="shared" si="663"/>
        <v>15.48</v>
      </c>
      <c r="O835" s="577">
        <f t="shared" si="663"/>
        <v>15.48</v>
      </c>
      <c r="P835" s="577">
        <f t="shared" si="663"/>
        <v>15.48</v>
      </c>
      <c r="Q835" s="577">
        <f t="shared" si="663"/>
        <v>15.48</v>
      </c>
      <c r="R835" s="577">
        <f t="shared" si="663"/>
        <v>15.48</v>
      </c>
      <c r="S835" s="577">
        <f t="shared" si="663"/>
        <v>15.48</v>
      </c>
      <c r="T835" s="577">
        <f t="shared" si="663"/>
        <v>15.48</v>
      </c>
      <c r="U835" s="577">
        <f t="shared" si="663"/>
        <v>15.48</v>
      </c>
      <c r="V835" s="577">
        <f t="shared" si="663"/>
        <v>15.48</v>
      </c>
      <c r="W835" s="577">
        <f t="shared" si="663"/>
        <v>15.48</v>
      </c>
      <c r="X835" s="577">
        <f t="shared" si="663"/>
        <v>15.48</v>
      </c>
      <c r="Y835" s="577">
        <f t="shared" si="663"/>
        <v>15.48</v>
      </c>
      <c r="Z835" s="577">
        <f t="shared" si="663"/>
        <v>15.48</v>
      </c>
      <c r="AA835" s="577">
        <f t="shared" si="663"/>
        <v>15.48</v>
      </c>
      <c r="AB835" s="577">
        <f t="shared" si="663"/>
        <v>15.48</v>
      </c>
      <c r="AC835" s="577">
        <f t="shared" si="663"/>
        <v>15.48</v>
      </c>
      <c r="AD835" s="577">
        <f t="shared" si="663"/>
        <v>15.48</v>
      </c>
      <c r="AE835" s="577">
        <f t="shared" si="663"/>
        <v>15.48</v>
      </c>
      <c r="AF835" s="577">
        <f t="shared" si="663"/>
        <v>15.48</v>
      </c>
      <c r="AH835" s="578">
        <f>SUM(C835:AF835)</f>
        <v>464.4000000000002</v>
      </c>
      <c r="AK835" s="531"/>
      <c r="AM835" s="594"/>
      <c r="AN835" s="535"/>
      <c r="AP835" s="568"/>
      <c r="AQ835" s="568"/>
    </row>
    <row r="836" spans="1:43" s="546" customFormat="1" ht="16.5" hidden="1" customHeight="1" outlineLevel="2">
      <c r="A836" s="584"/>
      <c r="B836" s="603" t="s">
        <v>910</v>
      </c>
      <c r="C836" s="581">
        <f>(C837*C838)</f>
        <v>1290</v>
      </c>
      <c r="D836" s="581">
        <f t="shared" ref="D836:AF836" si="664">(D837*D838)</f>
        <v>1290</v>
      </c>
      <c r="E836" s="581">
        <f t="shared" si="664"/>
        <v>1290</v>
      </c>
      <c r="F836" s="581">
        <f t="shared" si="664"/>
        <v>1290</v>
      </c>
      <c r="G836" s="581">
        <f t="shared" si="664"/>
        <v>1290</v>
      </c>
      <c r="H836" s="581">
        <f t="shared" si="664"/>
        <v>1290</v>
      </c>
      <c r="I836" s="581">
        <f t="shared" si="664"/>
        <v>1290</v>
      </c>
      <c r="J836" s="581">
        <f t="shared" si="664"/>
        <v>1290</v>
      </c>
      <c r="K836" s="581">
        <f t="shared" si="664"/>
        <v>1290</v>
      </c>
      <c r="L836" s="581">
        <f t="shared" si="664"/>
        <v>1290</v>
      </c>
      <c r="M836" s="581">
        <f t="shared" si="664"/>
        <v>1290</v>
      </c>
      <c r="N836" s="581">
        <f t="shared" si="664"/>
        <v>1290</v>
      </c>
      <c r="O836" s="581">
        <f t="shared" si="664"/>
        <v>1290</v>
      </c>
      <c r="P836" s="581">
        <f t="shared" si="664"/>
        <v>1290</v>
      </c>
      <c r="Q836" s="581">
        <f t="shared" si="664"/>
        <v>1290</v>
      </c>
      <c r="R836" s="581">
        <f t="shared" si="664"/>
        <v>1290</v>
      </c>
      <c r="S836" s="581">
        <f t="shared" si="664"/>
        <v>1290</v>
      </c>
      <c r="T836" s="581">
        <f t="shared" si="664"/>
        <v>1290</v>
      </c>
      <c r="U836" s="581">
        <f t="shared" si="664"/>
        <v>1290</v>
      </c>
      <c r="V836" s="581">
        <f t="shared" si="664"/>
        <v>1290</v>
      </c>
      <c r="W836" s="581">
        <f t="shared" si="664"/>
        <v>1290</v>
      </c>
      <c r="X836" s="581">
        <f t="shared" si="664"/>
        <v>1290</v>
      </c>
      <c r="Y836" s="581">
        <f t="shared" si="664"/>
        <v>1290</v>
      </c>
      <c r="Z836" s="581">
        <f t="shared" si="664"/>
        <v>1290</v>
      </c>
      <c r="AA836" s="581">
        <f t="shared" si="664"/>
        <v>1290</v>
      </c>
      <c r="AB836" s="581">
        <f t="shared" si="664"/>
        <v>1290</v>
      </c>
      <c r="AC836" s="581">
        <f t="shared" si="664"/>
        <v>1290</v>
      </c>
      <c r="AD836" s="581">
        <f t="shared" si="664"/>
        <v>1290</v>
      </c>
      <c r="AE836" s="581">
        <f t="shared" si="664"/>
        <v>1290</v>
      </c>
      <c r="AF836" s="581">
        <f t="shared" si="664"/>
        <v>1290</v>
      </c>
      <c r="AH836" s="571"/>
      <c r="AK836" s="531"/>
      <c r="AM836" s="594"/>
      <c r="AN836" s="535"/>
      <c r="AP836" s="549"/>
      <c r="AQ836" s="549"/>
    </row>
    <row r="837" spans="1:43" s="513" customFormat="1" ht="16.5" hidden="1" customHeight="1" outlineLevel="2">
      <c r="A837" s="584"/>
      <c r="B837" s="604" t="s">
        <v>949</v>
      </c>
      <c r="C837" s="643">
        <f t="shared" ref="C837:AF837" si="665">C757</f>
        <v>1</v>
      </c>
      <c r="D837" s="643">
        <f t="shared" si="665"/>
        <v>1</v>
      </c>
      <c r="E837" s="643">
        <f t="shared" si="665"/>
        <v>1</v>
      </c>
      <c r="F837" s="643">
        <f t="shared" si="665"/>
        <v>1</v>
      </c>
      <c r="G837" s="643">
        <f t="shared" si="665"/>
        <v>1</v>
      </c>
      <c r="H837" s="643">
        <f t="shared" si="665"/>
        <v>1</v>
      </c>
      <c r="I837" s="643">
        <f t="shared" si="665"/>
        <v>1</v>
      </c>
      <c r="J837" s="643">
        <f t="shared" si="665"/>
        <v>1</v>
      </c>
      <c r="K837" s="643">
        <f t="shared" si="665"/>
        <v>1</v>
      </c>
      <c r="L837" s="643">
        <f t="shared" si="665"/>
        <v>1</v>
      </c>
      <c r="M837" s="643">
        <f t="shared" si="665"/>
        <v>1</v>
      </c>
      <c r="N837" s="643">
        <f t="shared" si="665"/>
        <v>1</v>
      </c>
      <c r="O837" s="643">
        <f t="shared" si="665"/>
        <v>1</v>
      </c>
      <c r="P837" s="643">
        <f t="shared" si="665"/>
        <v>1</v>
      </c>
      <c r="Q837" s="643">
        <f t="shared" si="665"/>
        <v>1</v>
      </c>
      <c r="R837" s="643">
        <f t="shared" si="665"/>
        <v>1</v>
      </c>
      <c r="S837" s="643">
        <f t="shared" si="665"/>
        <v>1</v>
      </c>
      <c r="T837" s="643">
        <f t="shared" si="665"/>
        <v>1</v>
      </c>
      <c r="U837" s="643">
        <f t="shared" si="665"/>
        <v>1</v>
      </c>
      <c r="V837" s="643">
        <f t="shared" si="665"/>
        <v>1</v>
      </c>
      <c r="W837" s="643">
        <f t="shared" si="665"/>
        <v>1</v>
      </c>
      <c r="X837" s="643">
        <f t="shared" si="665"/>
        <v>1</v>
      </c>
      <c r="Y837" s="643">
        <f t="shared" si="665"/>
        <v>1</v>
      </c>
      <c r="Z837" s="643">
        <f t="shared" si="665"/>
        <v>1</v>
      </c>
      <c r="AA837" s="643">
        <f t="shared" si="665"/>
        <v>1</v>
      </c>
      <c r="AB837" s="643">
        <f t="shared" si="665"/>
        <v>1</v>
      </c>
      <c r="AC837" s="643">
        <f t="shared" si="665"/>
        <v>1</v>
      </c>
      <c r="AD837" s="643">
        <f t="shared" si="665"/>
        <v>1</v>
      </c>
      <c r="AE837" s="643">
        <f t="shared" si="665"/>
        <v>1</v>
      </c>
      <c r="AF837" s="643">
        <f t="shared" si="665"/>
        <v>1</v>
      </c>
      <c r="AH837" s="538"/>
      <c r="AK837" s="531"/>
      <c r="AM837" s="594"/>
      <c r="AN837" s="535"/>
      <c r="AP837" s="540"/>
      <c r="AQ837" s="540"/>
    </row>
    <row r="838" spans="1:43" s="513" customFormat="1" ht="16.5" hidden="1" customHeight="1" outlineLevel="2">
      <c r="A838" s="584"/>
      <c r="B838" s="604" t="s">
        <v>912</v>
      </c>
      <c r="C838" s="605">
        <f>Insumos!$E$44*4.3</f>
        <v>1290</v>
      </c>
      <c r="D838" s="605">
        <f>C838</f>
        <v>1290</v>
      </c>
      <c r="E838" s="605">
        <f t="shared" ref="E838:AF838" si="666">D838</f>
        <v>1290</v>
      </c>
      <c r="F838" s="605">
        <f t="shared" si="666"/>
        <v>1290</v>
      </c>
      <c r="G838" s="605">
        <f t="shared" si="666"/>
        <v>1290</v>
      </c>
      <c r="H838" s="605">
        <f t="shared" si="666"/>
        <v>1290</v>
      </c>
      <c r="I838" s="605">
        <f t="shared" si="666"/>
        <v>1290</v>
      </c>
      <c r="J838" s="605">
        <f t="shared" si="666"/>
        <v>1290</v>
      </c>
      <c r="K838" s="605">
        <f t="shared" si="666"/>
        <v>1290</v>
      </c>
      <c r="L838" s="605">
        <f t="shared" si="666"/>
        <v>1290</v>
      </c>
      <c r="M838" s="605">
        <f t="shared" si="666"/>
        <v>1290</v>
      </c>
      <c r="N838" s="605">
        <f t="shared" si="666"/>
        <v>1290</v>
      </c>
      <c r="O838" s="605">
        <f t="shared" si="666"/>
        <v>1290</v>
      </c>
      <c r="P838" s="605">
        <f t="shared" si="666"/>
        <v>1290</v>
      </c>
      <c r="Q838" s="605">
        <f t="shared" si="666"/>
        <v>1290</v>
      </c>
      <c r="R838" s="605">
        <f t="shared" si="666"/>
        <v>1290</v>
      </c>
      <c r="S838" s="605">
        <f t="shared" si="666"/>
        <v>1290</v>
      </c>
      <c r="T838" s="605">
        <f t="shared" si="666"/>
        <v>1290</v>
      </c>
      <c r="U838" s="605">
        <f t="shared" si="666"/>
        <v>1290</v>
      </c>
      <c r="V838" s="605">
        <f t="shared" si="666"/>
        <v>1290</v>
      </c>
      <c r="W838" s="605">
        <f t="shared" si="666"/>
        <v>1290</v>
      </c>
      <c r="X838" s="605">
        <f t="shared" si="666"/>
        <v>1290</v>
      </c>
      <c r="Y838" s="605">
        <f t="shared" si="666"/>
        <v>1290</v>
      </c>
      <c r="Z838" s="605">
        <f t="shared" si="666"/>
        <v>1290</v>
      </c>
      <c r="AA838" s="605">
        <f t="shared" si="666"/>
        <v>1290</v>
      </c>
      <c r="AB838" s="605">
        <f t="shared" si="666"/>
        <v>1290</v>
      </c>
      <c r="AC838" s="605">
        <f t="shared" si="666"/>
        <v>1290</v>
      </c>
      <c r="AD838" s="605">
        <f t="shared" si="666"/>
        <v>1290</v>
      </c>
      <c r="AE838" s="605">
        <f t="shared" si="666"/>
        <v>1290</v>
      </c>
      <c r="AF838" s="605">
        <f t="shared" si="666"/>
        <v>1290</v>
      </c>
      <c r="AH838" s="538"/>
      <c r="AK838" s="531"/>
      <c r="AM838" s="594"/>
      <c r="AN838" s="535"/>
      <c r="AP838" s="540"/>
      <c r="AQ838" s="540"/>
    </row>
    <row r="839" spans="1:43" s="513" customFormat="1" ht="3" hidden="1" customHeight="1" outlineLevel="2">
      <c r="A839" s="584"/>
      <c r="B839" s="606"/>
      <c r="C839" s="575"/>
      <c r="D839" s="575"/>
      <c r="E839" s="575"/>
      <c r="F839" s="575"/>
      <c r="G839" s="575"/>
      <c r="H839" s="575"/>
      <c r="I839" s="575"/>
      <c r="J839" s="575"/>
      <c r="K839" s="575"/>
      <c r="L839" s="575"/>
      <c r="M839" s="575"/>
      <c r="N839" s="575"/>
      <c r="O839" s="575"/>
      <c r="P839" s="575"/>
      <c r="Q839" s="575"/>
      <c r="R839" s="575"/>
      <c r="S839" s="575"/>
      <c r="T839" s="575"/>
      <c r="U839" s="575"/>
      <c r="V839" s="575"/>
      <c r="W839" s="575"/>
      <c r="X839" s="575"/>
      <c r="Y839" s="575"/>
      <c r="Z839" s="575"/>
      <c r="AA839" s="575"/>
      <c r="AB839" s="575"/>
      <c r="AC839" s="575"/>
      <c r="AD839" s="575"/>
      <c r="AE839" s="575"/>
      <c r="AF839" s="575"/>
      <c r="AH839" s="538"/>
      <c r="AK839" s="531"/>
      <c r="AM839" s="594"/>
      <c r="AN839" s="535"/>
      <c r="AP839" s="540"/>
      <c r="AQ839" s="540"/>
    </row>
    <row r="840" spans="1:43" s="564" customFormat="1" ht="16.5" hidden="1" customHeight="1" outlineLevel="1" collapsed="1">
      <c r="A840" s="584"/>
      <c r="B840" s="576" t="s">
        <v>915</v>
      </c>
      <c r="C840" s="577">
        <f>SUM(C841)*12/10^3</f>
        <v>14.145870000000002</v>
      </c>
      <c r="D840" s="577">
        <f t="shared" ref="D840:AF840" si="667">SUM(D841)*12/10^3</f>
        <v>14.145870000000002</v>
      </c>
      <c r="E840" s="577">
        <f t="shared" si="667"/>
        <v>14.145870000000002</v>
      </c>
      <c r="F840" s="577">
        <f t="shared" si="667"/>
        <v>14.145870000000002</v>
      </c>
      <c r="G840" s="577">
        <f t="shared" si="667"/>
        <v>14.145870000000002</v>
      </c>
      <c r="H840" s="577">
        <f t="shared" si="667"/>
        <v>14.145870000000002</v>
      </c>
      <c r="I840" s="577">
        <f t="shared" si="667"/>
        <v>14.145870000000002</v>
      </c>
      <c r="J840" s="577">
        <f t="shared" si="667"/>
        <v>14.145870000000002</v>
      </c>
      <c r="K840" s="577">
        <f t="shared" si="667"/>
        <v>14.145870000000002</v>
      </c>
      <c r="L840" s="577">
        <f t="shared" si="667"/>
        <v>14.145870000000002</v>
      </c>
      <c r="M840" s="577">
        <f t="shared" si="667"/>
        <v>14.145870000000002</v>
      </c>
      <c r="N840" s="577">
        <f t="shared" si="667"/>
        <v>14.145870000000002</v>
      </c>
      <c r="O840" s="577">
        <f t="shared" si="667"/>
        <v>14.145870000000002</v>
      </c>
      <c r="P840" s="577">
        <f t="shared" si="667"/>
        <v>14.145870000000002</v>
      </c>
      <c r="Q840" s="577">
        <f t="shared" si="667"/>
        <v>14.145870000000002</v>
      </c>
      <c r="R840" s="577">
        <f t="shared" si="667"/>
        <v>14.145870000000002</v>
      </c>
      <c r="S840" s="577">
        <f t="shared" si="667"/>
        <v>14.145870000000002</v>
      </c>
      <c r="T840" s="577">
        <f t="shared" si="667"/>
        <v>14.145870000000002</v>
      </c>
      <c r="U840" s="577">
        <f t="shared" si="667"/>
        <v>14.145870000000002</v>
      </c>
      <c r="V840" s="577">
        <f t="shared" si="667"/>
        <v>14.145870000000002</v>
      </c>
      <c r="W840" s="577">
        <f t="shared" si="667"/>
        <v>14.145870000000002</v>
      </c>
      <c r="X840" s="577">
        <f t="shared" si="667"/>
        <v>14.145870000000002</v>
      </c>
      <c r="Y840" s="577">
        <f t="shared" si="667"/>
        <v>14.145870000000002</v>
      </c>
      <c r="Z840" s="577">
        <f t="shared" si="667"/>
        <v>14.145870000000002</v>
      </c>
      <c r="AA840" s="577">
        <f t="shared" si="667"/>
        <v>14.145870000000002</v>
      </c>
      <c r="AB840" s="577">
        <f t="shared" si="667"/>
        <v>14.145870000000002</v>
      </c>
      <c r="AC840" s="577">
        <f t="shared" si="667"/>
        <v>14.145870000000002</v>
      </c>
      <c r="AD840" s="577">
        <f t="shared" si="667"/>
        <v>14.145870000000002</v>
      </c>
      <c r="AE840" s="577">
        <f t="shared" si="667"/>
        <v>14.145870000000002</v>
      </c>
      <c r="AF840" s="577">
        <f t="shared" si="667"/>
        <v>14.145870000000002</v>
      </c>
      <c r="AH840" s="578">
        <f>SUM(C840:AF840)</f>
        <v>424.37610000000006</v>
      </c>
      <c r="AJ840" s="579"/>
      <c r="AK840" s="531"/>
      <c r="AM840" s="594"/>
      <c r="AN840" s="535"/>
      <c r="AP840" s="568"/>
      <c r="AQ840" s="568"/>
    </row>
    <row r="841" spans="1:43" s="546" customFormat="1" ht="16.5" hidden="1" customHeight="1" outlineLevel="2">
      <c r="A841" s="584"/>
      <c r="B841" s="569" t="str">
        <f>B757</f>
        <v>Van Minibus 20+1</v>
      </c>
      <c r="C841" s="583">
        <f>((C842*C846)*(C844+C845)/12)+((C843*C842)/12)</f>
        <v>1178.8225000000002</v>
      </c>
      <c r="D841" s="583">
        <f t="shared" ref="D841:AF841" si="668">((D842*D846)*(D844+D845)/12)+((D843*D842)/12)</f>
        <v>1178.8225000000002</v>
      </c>
      <c r="E841" s="581">
        <f t="shared" si="668"/>
        <v>1178.8225000000002</v>
      </c>
      <c r="F841" s="581">
        <f t="shared" si="668"/>
        <v>1178.8225000000002</v>
      </c>
      <c r="G841" s="581">
        <f t="shared" si="668"/>
        <v>1178.8225000000002</v>
      </c>
      <c r="H841" s="581">
        <f t="shared" si="668"/>
        <v>1178.8225000000002</v>
      </c>
      <c r="I841" s="581">
        <f t="shared" si="668"/>
        <v>1178.8225000000002</v>
      </c>
      <c r="J841" s="581">
        <f t="shared" si="668"/>
        <v>1178.8225000000002</v>
      </c>
      <c r="K841" s="581">
        <f t="shared" si="668"/>
        <v>1178.8225000000002</v>
      </c>
      <c r="L841" s="581">
        <f t="shared" si="668"/>
        <v>1178.8225000000002</v>
      </c>
      <c r="M841" s="581">
        <f t="shared" si="668"/>
        <v>1178.8225000000002</v>
      </c>
      <c r="N841" s="581">
        <f t="shared" si="668"/>
        <v>1178.8225000000002</v>
      </c>
      <c r="O841" s="581">
        <f t="shared" si="668"/>
        <v>1178.8225000000002</v>
      </c>
      <c r="P841" s="581">
        <f t="shared" si="668"/>
        <v>1178.8225000000002</v>
      </c>
      <c r="Q841" s="581">
        <f t="shared" si="668"/>
        <v>1178.8225000000002</v>
      </c>
      <c r="R841" s="581">
        <f t="shared" si="668"/>
        <v>1178.8225000000002</v>
      </c>
      <c r="S841" s="581">
        <f t="shared" si="668"/>
        <v>1178.8225000000002</v>
      </c>
      <c r="T841" s="581">
        <f t="shared" si="668"/>
        <v>1178.8225000000002</v>
      </c>
      <c r="U841" s="581">
        <f t="shared" si="668"/>
        <v>1178.8225000000002</v>
      </c>
      <c r="V841" s="581">
        <f t="shared" si="668"/>
        <v>1178.8225000000002</v>
      </c>
      <c r="W841" s="581">
        <f t="shared" si="668"/>
        <v>1178.8225000000002</v>
      </c>
      <c r="X841" s="581">
        <f t="shared" si="668"/>
        <v>1178.8225000000002</v>
      </c>
      <c r="Y841" s="581">
        <f t="shared" si="668"/>
        <v>1178.8225000000002</v>
      </c>
      <c r="Z841" s="581">
        <f t="shared" si="668"/>
        <v>1178.8225000000002</v>
      </c>
      <c r="AA841" s="581">
        <f t="shared" si="668"/>
        <v>1178.8225000000002</v>
      </c>
      <c r="AB841" s="581">
        <f t="shared" si="668"/>
        <v>1178.8225000000002</v>
      </c>
      <c r="AC841" s="581">
        <f t="shared" si="668"/>
        <v>1178.8225000000002</v>
      </c>
      <c r="AD841" s="581">
        <f t="shared" si="668"/>
        <v>1178.8225000000002</v>
      </c>
      <c r="AE841" s="581">
        <f t="shared" si="668"/>
        <v>1178.8225000000002</v>
      </c>
      <c r="AF841" s="581">
        <f t="shared" si="668"/>
        <v>1178.8225000000002</v>
      </c>
      <c r="AH841" s="571"/>
      <c r="AK841" s="531"/>
      <c r="AM841" s="594"/>
      <c r="AN841" s="535"/>
      <c r="AP841" s="549"/>
      <c r="AQ841" s="549"/>
    </row>
    <row r="842" spans="1:43" s="513" customFormat="1" ht="16.5" hidden="1" customHeight="1" outlineLevel="2">
      <c r="A842" s="584"/>
      <c r="B842" s="572" t="s">
        <v>805</v>
      </c>
      <c r="C842" s="643">
        <f>C757</f>
        <v>1</v>
      </c>
      <c r="D842" s="643">
        <f>C842</f>
        <v>1</v>
      </c>
      <c r="E842" s="643">
        <f t="shared" ref="E842:T846" si="669">D842</f>
        <v>1</v>
      </c>
      <c r="F842" s="643">
        <f t="shared" si="669"/>
        <v>1</v>
      </c>
      <c r="G842" s="643">
        <f t="shared" si="669"/>
        <v>1</v>
      </c>
      <c r="H842" s="643">
        <f t="shared" si="669"/>
        <v>1</v>
      </c>
      <c r="I842" s="643">
        <f t="shared" si="669"/>
        <v>1</v>
      </c>
      <c r="J842" s="643">
        <f t="shared" si="669"/>
        <v>1</v>
      </c>
      <c r="K842" s="643">
        <f t="shared" si="669"/>
        <v>1</v>
      </c>
      <c r="L842" s="643">
        <f t="shared" si="669"/>
        <v>1</v>
      </c>
      <c r="M842" s="643">
        <f t="shared" si="669"/>
        <v>1</v>
      </c>
      <c r="N842" s="643">
        <f t="shared" si="669"/>
        <v>1</v>
      </c>
      <c r="O842" s="643">
        <f t="shared" si="669"/>
        <v>1</v>
      </c>
      <c r="P842" s="643">
        <f t="shared" si="669"/>
        <v>1</v>
      </c>
      <c r="Q842" s="643">
        <f t="shared" si="669"/>
        <v>1</v>
      </c>
      <c r="R842" s="643">
        <f t="shared" si="669"/>
        <v>1</v>
      </c>
      <c r="S842" s="643">
        <f t="shared" si="669"/>
        <v>1</v>
      </c>
      <c r="T842" s="643">
        <f t="shared" si="669"/>
        <v>1</v>
      </c>
      <c r="U842" s="643">
        <f t="shared" ref="U842:AF846" si="670">T842</f>
        <v>1</v>
      </c>
      <c r="V842" s="643">
        <f t="shared" si="670"/>
        <v>1</v>
      </c>
      <c r="W842" s="643">
        <f t="shared" si="670"/>
        <v>1</v>
      </c>
      <c r="X842" s="643">
        <f t="shared" si="670"/>
        <v>1</v>
      </c>
      <c r="Y842" s="643">
        <f t="shared" si="670"/>
        <v>1</v>
      </c>
      <c r="Z842" s="643">
        <f t="shared" si="670"/>
        <v>1</v>
      </c>
      <c r="AA842" s="643">
        <f t="shared" si="670"/>
        <v>1</v>
      </c>
      <c r="AB842" s="643">
        <f t="shared" si="670"/>
        <v>1</v>
      </c>
      <c r="AC842" s="643">
        <f t="shared" si="670"/>
        <v>1</v>
      </c>
      <c r="AD842" s="643">
        <f t="shared" si="670"/>
        <v>1</v>
      </c>
      <c r="AE842" s="643">
        <f t="shared" si="670"/>
        <v>1</v>
      </c>
      <c r="AF842" s="643">
        <f t="shared" si="670"/>
        <v>1</v>
      </c>
      <c r="AH842" s="538"/>
      <c r="AK842" s="531"/>
      <c r="AM842" s="594"/>
      <c r="AN842" s="535"/>
      <c r="AP842" s="540"/>
      <c r="AQ842" s="540"/>
    </row>
    <row r="843" spans="1:43" s="513" customFormat="1" ht="16.5" hidden="1" customHeight="1" outlineLevel="2">
      <c r="A843" s="584"/>
      <c r="B843" s="572" t="s">
        <v>916</v>
      </c>
      <c r="C843" s="644">
        <f>Insumos!$E$46</f>
        <v>149.37</v>
      </c>
      <c r="D843" s="644">
        <f>C843</f>
        <v>149.37</v>
      </c>
      <c r="E843" s="605">
        <f t="shared" si="669"/>
        <v>149.37</v>
      </c>
      <c r="F843" s="605">
        <f t="shared" si="669"/>
        <v>149.37</v>
      </c>
      <c r="G843" s="605">
        <f t="shared" si="669"/>
        <v>149.37</v>
      </c>
      <c r="H843" s="605">
        <f t="shared" si="669"/>
        <v>149.37</v>
      </c>
      <c r="I843" s="605">
        <f t="shared" si="669"/>
        <v>149.37</v>
      </c>
      <c r="J843" s="605">
        <f t="shared" si="669"/>
        <v>149.37</v>
      </c>
      <c r="K843" s="605">
        <f t="shared" si="669"/>
        <v>149.37</v>
      </c>
      <c r="L843" s="605">
        <f t="shared" si="669"/>
        <v>149.37</v>
      </c>
      <c r="M843" s="605">
        <f t="shared" si="669"/>
        <v>149.37</v>
      </c>
      <c r="N843" s="605">
        <f t="shared" si="669"/>
        <v>149.37</v>
      </c>
      <c r="O843" s="605">
        <f t="shared" si="669"/>
        <v>149.37</v>
      </c>
      <c r="P843" s="605">
        <f t="shared" si="669"/>
        <v>149.37</v>
      </c>
      <c r="Q843" s="605">
        <f t="shared" si="669"/>
        <v>149.37</v>
      </c>
      <c r="R843" s="605">
        <f t="shared" si="669"/>
        <v>149.37</v>
      </c>
      <c r="S843" s="605">
        <f t="shared" si="669"/>
        <v>149.37</v>
      </c>
      <c r="T843" s="605">
        <f t="shared" si="669"/>
        <v>149.37</v>
      </c>
      <c r="U843" s="605">
        <f t="shared" si="670"/>
        <v>149.37</v>
      </c>
      <c r="V843" s="605">
        <f t="shared" si="670"/>
        <v>149.37</v>
      </c>
      <c r="W843" s="605">
        <f t="shared" si="670"/>
        <v>149.37</v>
      </c>
      <c r="X843" s="605">
        <f t="shared" si="670"/>
        <v>149.37</v>
      </c>
      <c r="Y843" s="605">
        <f t="shared" si="670"/>
        <v>149.37</v>
      </c>
      <c r="Z843" s="605">
        <f t="shared" si="670"/>
        <v>149.37</v>
      </c>
      <c r="AA843" s="605">
        <f t="shared" si="670"/>
        <v>149.37</v>
      </c>
      <c r="AB843" s="605">
        <f t="shared" si="670"/>
        <v>149.37</v>
      </c>
      <c r="AC843" s="605">
        <f t="shared" si="670"/>
        <v>149.37</v>
      </c>
      <c r="AD843" s="605">
        <f t="shared" si="670"/>
        <v>149.37</v>
      </c>
      <c r="AE843" s="605">
        <f t="shared" si="670"/>
        <v>149.37</v>
      </c>
      <c r="AF843" s="605">
        <f t="shared" si="670"/>
        <v>149.37</v>
      </c>
      <c r="AH843" s="538"/>
      <c r="AK843" s="531"/>
      <c r="AM843" s="594"/>
      <c r="AN843" s="535"/>
      <c r="AP843" s="540"/>
      <c r="AQ843" s="540"/>
    </row>
    <row r="844" spans="1:43" s="513" customFormat="1" ht="16.5" hidden="1" customHeight="1" outlineLevel="2">
      <c r="A844" s="584"/>
      <c r="B844" s="572" t="s">
        <v>917</v>
      </c>
      <c r="C844" s="645">
        <v>0.01</v>
      </c>
      <c r="D844" s="645">
        <f>C844</f>
        <v>0.01</v>
      </c>
      <c r="E844" s="186">
        <f t="shared" si="669"/>
        <v>0.01</v>
      </c>
      <c r="F844" s="186">
        <f t="shared" si="669"/>
        <v>0.01</v>
      </c>
      <c r="G844" s="186">
        <f t="shared" si="669"/>
        <v>0.01</v>
      </c>
      <c r="H844" s="186">
        <f t="shared" si="669"/>
        <v>0.01</v>
      </c>
      <c r="I844" s="186">
        <f t="shared" si="669"/>
        <v>0.01</v>
      </c>
      <c r="J844" s="186">
        <f t="shared" si="669"/>
        <v>0.01</v>
      </c>
      <c r="K844" s="186">
        <f t="shared" si="669"/>
        <v>0.01</v>
      </c>
      <c r="L844" s="186">
        <f t="shared" si="669"/>
        <v>0.01</v>
      </c>
      <c r="M844" s="186">
        <f t="shared" si="669"/>
        <v>0.01</v>
      </c>
      <c r="N844" s="186">
        <f t="shared" si="669"/>
        <v>0.01</v>
      </c>
      <c r="O844" s="186">
        <f t="shared" si="669"/>
        <v>0.01</v>
      </c>
      <c r="P844" s="186">
        <f t="shared" si="669"/>
        <v>0.01</v>
      </c>
      <c r="Q844" s="186">
        <f t="shared" si="669"/>
        <v>0.01</v>
      </c>
      <c r="R844" s="186">
        <f t="shared" si="669"/>
        <v>0.01</v>
      </c>
      <c r="S844" s="186">
        <f t="shared" si="669"/>
        <v>0.01</v>
      </c>
      <c r="T844" s="186">
        <f t="shared" si="669"/>
        <v>0.01</v>
      </c>
      <c r="U844" s="186">
        <f t="shared" si="670"/>
        <v>0.01</v>
      </c>
      <c r="V844" s="186">
        <f t="shared" si="670"/>
        <v>0.01</v>
      </c>
      <c r="W844" s="186">
        <f t="shared" si="670"/>
        <v>0.01</v>
      </c>
      <c r="X844" s="186">
        <f t="shared" si="670"/>
        <v>0.01</v>
      </c>
      <c r="Y844" s="186">
        <f t="shared" si="670"/>
        <v>0.01</v>
      </c>
      <c r="Z844" s="186">
        <f t="shared" si="670"/>
        <v>0.01</v>
      </c>
      <c r="AA844" s="186">
        <f t="shared" si="670"/>
        <v>0.01</v>
      </c>
      <c r="AB844" s="186">
        <f t="shared" si="670"/>
        <v>0.01</v>
      </c>
      <c r="AC844" s="186">
        <f t="shared" si="670"/>
        <v>0.01</v>
      </c>
      <c r="AD844" s="186">
        <f t="shared" si="670"/>
        <v>0.01</v>
      </c>
      <c r="AE844" s="186">
        <f t="shared" si="670"/>
        <v>0.01</v>
      </c>
      <c r="AF844" s="186">
        <f t="shared" si="670"/>
        <v>0.01</v>
      </c>
      <c r="AH844" s="538"/>
      <c r="AK844" s="531"/>
      <c r="AM844" s="594"/>
      <c r="AN844" s="535"/>
      <c r="AP844" s="540"/>
      <c r="AQ844" s="540"/>
    </row>
    <row r="845" spans="1:43" s="513" customFormat="1" ht="16.5" hidden="1" customHeight="1" outlineLevel="2">
      <c r="A845" s="584"/>
      <c r="B845" s="572" t="s">
        <v>918</v>
      </c>
      <c r="C845" s="645">
        <v>2.5000000000000001E-2</v>
      </c>
      <c r="D845" s="645">
        <f>C845</f>
        <v>2.5000000000000001E-2</v>
      </c>
      <c r="E845" s="186">
        <f t="shared" si="669"/>
        <v>2.5000000000000001E-2</v>
      </c>
      <c r="F845" s="186">
        <f t="shared" si="669"/>
        <v>2.5000000000000001E-2</v>
      </c>
      <c r="G845" s="186">
        <f t="shared" si="669"/>
        <v>2.5000000000000001E-2</v>
      </c>
      <c r="H845" s="186">
        <f t="shared" si="669"/>
        <v>2.5000000000000001E-2</v>
      </c>
      <c r="I845" s="186">
        <f t="shared" si="669"/>
        <v>2.5000000000000001E-2</v>
      </c>
      <c r="J845" s="186">
        <f t="shared" si="669"/>
        <v>2.5000000000000001E-2</v>
      </c>
      <c r="K845" s="186">
        <f t="shared" si="669"/>
        <v>2.5000000000000001E-2</v>
      </c>
      <c r="L845" s="186">
        <f t="shared" si="669"/>
        <v>2.5000000000000001E-2</v>
      </c>
      <c r="M845" s="186">
        <f t="shared" si="669"/>
        <v>2.5000000000000001E-2</v>
      </c>
      <c r="N845" s="186">
        <f t="shared" si="669"/>
        <v>2.5000000000000001E-2</v>
      </c>
      <c r="O845" s="186">
        <f t="shared" si="669"/>
        <v>2.5000000000000001E-2</v>
      </c>
      <c r="P845" s="186">
        <f t="shared" si="669"/>
        <v>2.5000000000000001E-2</v>
      </c>
      <c r="Q845" s="186">
        <f t="shared" si="669"/>
        <v>2.5000000000000001E-2</v>
      </c>
      <c r="R845" s="186">
        <f t="shared" si="669"/>
        <v>2.5000000000000001E-2</v>
      </c>
      <c r="S845" s="186">
        <f t="shared" si="669"/>
        <v>2.5000000000000001E-2</v>
      </c>
      <c r="T845" s="186">
        <f t="shared" si="669"/>
        <v>2.5000000000000001E-2</v>
      </c>
      <c r="U845" s="186">
        <f t="shared" si="670"/>
        <v>2.5000000000000001E-2</v>
      </c>
      <c r="V845" s="186">
        <f t="shared" si="670"/>
        <v>2.5000000000000001E-2</v>
      </c>
      <c r="W845" s="186">
        <f t="shared" si="670"/>
        <v>2.5000000000000001E-2</v>
      </c>
      <c r="X845" s="186">
        <f t="shared" si="670"/>
        <v>2.5000000000000001E-2</v>
      </c>
      <c r="Y845" s="186">
        <f t="shared" si="670"/>
        <v>2.5000000000000001E-2</v>
      </c>
      <c r="Z845" s="186">
        <f t="shared" si="670"/>
        <v>2.5000000000000001E-2</v>
      </c>
      <c r="AA845" s="186">
        <f t="shared" si="670"/>
        <v>2.5000000000000001E-2</v>
      </c>
      <c r="AB845" s="186">
        <f t="shared" si="670"/>
        <v>2.5000000000000001E-2</v>
      </c>
      <c r="AC845" s="186">
        <f t="shared" si="670"/>
        <v>2.5000000000000001E-2</v>
      </c>
      <c r="AD845" s="186">
        <f t="shared" si="670"/>
        <v>2.5000000000000001E-2</v>
      </c>
      <c r="AE845" s="186">
        <f t="shared" si="670"/>
        <v>2.5000000000000001E-2</v>
      </c>
      <c r="AF845" s="186">
        <f t="shared" si="670"/>
        <v>2.5000000000000001E-2</v>
      </c>
      <c r="AH845" s="538"/>
      <c r="AK845" s="531"/>
      <c r="AM845" s="594"/>
      <c r="AN845" s="535"/>
      <c r="AP845" s="540"/>
      <c r="AQ845" s="540"/>
    </row>
    <row r="846" spans="1:43" s="513" customFormat="1" ht="16.5" hidden="1" customHeight="1" outlineLevel="2">
      <c r="A846" s="584"/>
      <c r="B846" s="572" t="s">
        <v>919</v>
      </c>
      <c r="C846" s="644">
        <f>CAPEX!$C$80</f>
        <v>399900</v>
      </c>
      <c r="D846" s="644">
        <f>C846</f>
        <v>399900</v>
      </c>
      <c r="E846" s="605">
        <f t="shared" si="669"/>
        <v>399900</v>
      </c>
      <c r="F846" s="605">
        <f t="shared" si="669"/>
        <v>399900</v>
      </c>
      <c r="G846" s="605">
        <f t="shared" si="669"/>
        <v>399900</v>
      </c>
      <c r="H846" s="605">
        <f t="shared" si="669"/>
        <v>399900</v>
      </c>
      <c r="I846" s="605">
        <f t="shared" si="669"/>
        <v>399900</v>
      </c>
      <c r="J846" s="605">
        <f t="shared" si="669"/>
        <v>399900</v>
      </c>
      <c r="K846" s="605">
        <f t="shared" si="669"/>
        <v>399900</v>
      </c>
      <c r="L846" s="605">
        <f t="shared" si="669"/>
        <v>399900</v>
      </c>
      <c r="M846" s="605">
        <f t="shared" si="669"/>
        <v>399900</v>
      </c>
      <c r="N846" s="605">
        <f t="shared" si="669"/>
        <v>399900</v>
      </c>
      <c r="O846" s="605">
        <f t="shared" si="669"/>
        <v>399900</v>
      </c>
      <c r="P846" s="605">
        <f t="shared" si="669"/>
        <v>399900</v>
      </c>
      <c r="Q846" s="605">
        <f t="shared" si="669"/>
        <v>399900</v>
      </c>
      <c r="R846" s="605">
        <f t="shared" si="669"/>
        <v>399900</v>
      </c>
      <c r="S846" s="605">
        <f t="shared" si="669"/>
        <v>399900</v>
      </c>
      <c r="T846" s="605">
        <f t="shared" si="669"/>
        <v>399900</v>
      </c>
      <c r="U846" s="605">
        <f t="shared" si="670"/>
        <v>399900</v>
      </c>
      <c r="V846" s="605">
        <f t="shared" si="670"/>
        <v>399900</v>
      </c>
      <c r="W846" s="605">
        <f t="shared" si="670"/>
        <v>399900</v>
      </c>
      <c r="X846" s="605">
        <f t="shared" si="670"/>
        <v>399900</v>
      </c>
      <c r="Y846" s="605">
        <f t="shared" si="670"/>
        <v>399900</v>
      </c>
      <c r="Z846" s="605">
        <f t="shared" si="670"/>
        <v>399900</v>
      </c>
      <c r="AA846" s="605">
        <f t="shared" si="670"/>
        <v>399900</v>
      </c>
      <c r="AB846" s="605">
        <f t="shared" si="670"/>
        <v>399900</v>
      </c>
      <c r="AC846" s="605">
        <f t="shared" si="670"/>
        <v>399900</v>
      </c>
      <c r="AD846" s="605">
        <f t="shared" si="670"/>
        <v>399900</v>
      </c>
      <c r="AE846" s="605">
        <f t="shared" si="670"/>
        <v>399900</v>
      </c>
      <c r="AF846" s="605">
        <f t="shared" si="670"/>
        <v>399900</v>
      </c>
      <c r="AH846" s="538"/>
      <c r="AK846" s="531"/>
      <c r="AM846" s="594"/>
      <c r="AN846" s="535"/>
      <c r="AP846" s="540"/>
      <c r="AQ846" s="540"/>
    </row>
    <row r="847" spans="1:43" s="513" customFormat="1" ht="3" hidden="1" customHeight="1" outlineLevel="2">
      <c r="A847" s="584"/>
      <c r="B847" s="572"/>
      <c r="C847" s="607"/>
      <c r="D847" s="607"/>
      <c r="E847" s="607"/>
      <c r="F847" s="607"/>
      <c r="G847" s="607"/>
      <c r="H847" s="607"/>
      <c r="I847" s="607"/>
      <c r="J847" s="607"/>
      <c r="K847" s="607"/>
      <c r="L847" s="607"/>
      <c r="M847" s="607"/>
      <c r="N847" s="607"/>
      <c r="O847" s="607"/>
      <c r="P847" s="607"/>
      <c r="Q847" s="607"/>
      <c r="R847" s="607"/>
      <c r="S847" s="607"/>
      <c r="T847" s="607"/>
      <c r="U847" s="607"/>
      <c r="V847" s="607"/>
      <c r="W847" s="607"/>
      <c r="X847" s="607"/>
      <c r="Y847" s="607"/>
      <c r="Z847" s="607"/>
      <c r="AA847" s="607"/>
      <c r="AB847" s="607"/>
      <c r="AC847" s="607"/>
      <c r="AD847" s="607"/>
      <c r="AE847" s="607"/>
      <c r="AF847" s="607"/>
      <c r="AH847" s="538"/>
      <c r="AK847" s="531"/>
      <c r="AM847" s="594"/>
      <c r="AN847" s="535"/>
      <c r="AP847" s="540"/>
      <c r="AQ847" s="540"/>
    </row>
    <row r="848" spans="1:43" s="564" customFormat="1" ht="16.5" hidden="1" customHeight="1" outlineLevel="1" collapsed="1">
      <c r="A848" s="584"/>
      <c r="B848" s="576" t="s">
        <v>950</v>
      </c>
      <c r="C848" s="577">
        <f>C849*C850*12/10^3</f>
        <v>13.26864</v>
      </c>
      <c r="D848" s="577">
        <f t="shared" ref="D848:AF848" si="671">D849*D850*12/10^3</f>
        <v>13.26864</v>
      </c>
      <c r="E848" s="577">
        <f t="shared" si="671"/>
        <v>13.26864</v>
      </c>
      <c r="F848" s="577">
        <f t="shared" si="671"/>
        <v>13.26864</v>
      </c>
      <c r="G848" s="577">
        <f t="shared" si="671"/>
        <v>13.26864</v>
      </c>
      <c r="H848" s="577">
        <f t="shared" si="671"/>
        <v>13.26864</v>
      </c>
      <c r="I848" s="577">
        <f t="shared" si="671"/>
        <v>13.26864</v>
      </c>
      <c r="J848" s="577">
        <f t="shared" si="671"/>
        <v>13.26864</v>
      </c>
      <c r="K848" s="577">
        <f t="shared" si="671"/>
        <v>13.26864</v>
      </c>
      <c r="L848" s="577">
        <f t="shared" si="671"/>
        <v>13.26864</v>
      </c>
      <c r="M848" s="577">
        <f t="shared" si="671"/>
        <v>13.26864</v>
      </c>
      <c r="N848" s="577">
        <f t="shared" si="671"/>
        <v>13.26864</v>
      </c>
      <c r="O848" s="577">
        <f t="shared" si="671"/>
        <v>13.26864</v>
      </c>
      <c r="P848" s="577">
        <f t="shared" si="671"/>
        <v>13.26864</v>
      </c>
      <c r="Q848" s="577">
        <f t="shared" si="671"/>
        <v>13.26864</v>
      </c>
      <c r="R848" s="577">
        <f t="shared" si="671"/>
        <v>13.26864</v>
      </c>
      <c r="S848" s="577">
        <f t="shared" si="671"/>
        <v>13.26864</v>
      </c>
      <c r="T848" s="577">
        <f t="shared" si="671"/>
        <v>13.26864</v>
      </c>
      <c r="U848" s="577">
        <f t="shared" si="671"/>
        <v>13.26864</v>
      </c>
      <c r="V848" s="577">
        <f t="shared" si="671"/>
        <v>13.26864</v>
      </c>
      <c r="W848" s="577">
        <f t="shared" si="671"/>
        <v>13.26864</v>
      </c>
      <c r="X848" s="577">
        <f t="shared" si="671"/>
        <v>13.26864</v>
      </c>
      <c r="Y848" s="577">
        <f t="shared" si="671"/>
        <v>13.26864</v>
      </c>
      <c r="Z848" s="577">
        <f t="shared" si="671"/>
        <v>13.26864</v>
      </c>
      <c r="AA848" s="577">
        <f t="shared" si="671"/>
        <v>13.26864</v>
      </c>
      <c r="AB848" s="577">
        <f t="shared" si="671"/>
        <v>13.26864</v>
      </c>
      <c r="AC848" s="577">
        <f t="shared" si="671"/>
        <v>13.26864</v>
      </c>
      <c r="AD848" s="577">
        <f t="shared" si="671"/>
        <v>13.26864</v>
      </c>
      <c r="AE848" s="577">
        <f t="shared" si="671"/>
        <v>13.26864</v>
      </c>
      <c r="AF848" s="577">
        <f t="shared" si="671"/>
        <v>13.26864</v>
      </c>
      <c r="AH848" s="578">
        <f>SUM(C848:AF848)</f>
        <v>398.05920000000009</v>
      </c>
      <c r="AJ848" s="579"/>
      <c r="AK848" s="531"/>
      <c r="AM848" s="594"/>
      <c r="AN848" s="535"/>
      <c r="AP848" s="568"/>
      <c r="AQ848" s="568"/>
    </row>
    <row r="849" spans="1:43" s="513" customFormat="1" ht="16.5" hidden="1" customHeight="1" outlineLevel="2">
      <c r="A849" s="584"/>
      <c r="B849" s="551" t="s">
        <v>921</v>
      </c>
      <c r="C849" s="643">
        <f>SUM(C757,C753,C754,C755)</f>
        <v>4</v>
      </c>
      <c r="D849" s="643">
        <f t="shared" ref="D849:AF849" si="672">SUM(D757,D753,D754,D755)</f>
        <v>4</v>
      </c>
      <c r="E849" s="643">
        <f t="shared" si="672"/>
        <v>4</v>
      </c>
      <c r="F849" s="643">
        <f t="shared" si="672"/>
        <v>4</v>
      </c>
      <c r="G849" s="643">
        <f t="shared" si="672"/>
        <v>4</v>
      </c>
      <c r="H849" s="643">
        <f t="shared" si="672"/>
        <v>4</v>
      </c>
      <c r="I849" s="643">
        <f t="shared" si="672"/>
        <v>4</v>
      </c>
      <c r="J849" s="643">
        <f t="shared" si="672"/>
        <v>4</v>
      </c>
      <c r="K849" s="643">
        <f t="shared" si="672"/>
        <v>4</v>
      </c>
      <c r="L849" s="643">
        <f t="shared" si="672"/>
        <v>4</v>
      </c>
      <c r="M849" s="643">
        <f t="shared" si="672"/>
        <v>4</v>
      </c>
      <c r="N849" s="643">
        <f t="shared" si="672"/>
        <v>4</v>
      </c>
      <c r="O849" s="643">
        <f t="shared" si="672"/>
        <v>4</v>
      </c>
      <c r="P849" s="643">
        <f t="shared" si="672"/>
        <v>4</v>
      </c>
      <c r="Q849" s="643">
        <f t="shared" si="672"/>
        <v>4</v>
      </c>
      <c r="R849" s="643">
        <f t="shared" si="672"/>
        <v>4</v>
      </c>
      <c r="S849" s="643">
        <f t="shared" si="672"/>
        <v>4</v>
      </c>
      <c r="T849" s="643">
        <f t="shared" si="672"/>
        <v>4</v>
      </c>
      <c r="U849" s="643">
        <f t="shared" si="672"/>
        <v>4</v>
      </c>
      <c r="V849" s="643">
        <f t="shared" si="672"/>
        <v>4</v>
      </c>
      <c r="W849" s="643">
        <f t="shared" si="672"/>
        <v>4</v>
      </c>
      <c r="X849" s="643">
        <f t="shared" si="672"/>
        <v>4</v>
      </c>
      <c r="Y849" s="643">
        <f t="shared" si="672"/>
        <v>4</v>
      </c>
      <c r="Z849" s="643">
        <f t="shared" si="672"/>
        <v>4</v>
      </c>
      <c r="AA849" s="643">
        <f t="shared" si="672"/>
        <v>4</v>
      </c>
      <c r="AB849" s="643">
        <f t="shared" si="672"/>
        <v>4</v>
      </c>
      <c r="AC849" s="643">
        <f t="shared" si="672"/>
        <v>4</v>
      </c>
      <c r="AD849" s="643">
        <f t="shared" si="672"/>
        <v>4</v>
      </c>
      <c r="AE849" s="643">
        <f t="shared" si="672"/>
        <v>4</v>
      </c>
      <c r="AF849" s="643">
        <f t="shared" si="672"/>
        <v>4</v>
      </c>
      <c r="AH849" s="538"/>
      <c r="AK849" s="531"/>
      <c r="AM849" s="594"/>
      <c r="AN849" s="535"/>
      <c r="AP849" s="540"/>
      <c r="AQ849" s="540"/>
    </row>
    <row r="850" spans="1:43" s="513" customFormat="1" ht="16.5" hidden="1" customHeight="1" outlineLevel="2">
      <c r="A850" s="584"/>
      <c r="B850" s="551" t="s">
        <v>888</v>
      </c>
      <c r="C850" s="605">
        <f>Insumos!$E$53</f>
        <v>276.43</v>
      </c>
      <c r="D850" s="605">
        <f>C850</f>
        <v>276.43</v>
      </c>
      <c r="E850" s="605">
        <f t="shared" ref="E850:AF850" si="673">D850</f>
        <v>276.43</v>
      </c>
      <c r="F850" s="605">
        <f t="shared" si="673"/>
        <v>276.43</v>
      </c>
      <c r="G850" s="605">
        <f t="shared" si="673"/>
        <v>276.43</v>
      </c>
      <c r="H850" s="605">
        <f t="shared" si="673"/>
        <v>276.43</v>
      </c>
      <c r="I850" s="605">
        <f t="shared" si="673"/>
        <v>276.43</v>
      </c>
      <c r="J850" s="605">
        <f t="shared" si="673"/>
        <v>276.43</v>
      </c>
      <c r="K850" s="605">
        <f t="shared" si="673"/>
        <v>276.43</v>
      </c>
      <c r="L850" s="605">
        <f t="shared" si="673"/>
        <v>276.43</v>
      </c>
      <c r="M850" s="605">
        <f t="shared" si="673"/>
        <v>276.43</v>
      </c>
      <c r="N850" s="605">
        <f t="shared" si="673"/>
        <v>276.43</v>
      </c>
      <c r="O850" s="605">
        <f t="shared" si="673"/>
        <v>276.43</v>
      </c>
      <c r="P850" s="605">
        <f t="shared" si="673"/>
        <v>276.43</v>
      </c>
      <c r="Q850" s="605">
        <f t="shared" si="673"/>
        <v>276.43</v>
      </c>
      <c r="R850" s="605">
        <f t="shared" si="673"/>
        <v>276.43</v>
      </c>
      <c r="S850" s="605">
        <f t="shared" si="673"/>
        <v>276.43</v>
      </c>
      <c r="T850" s="605">
        <f t="shared" si="673"/>
        <v>276.43</v>
      </c>
      <c r="U850" s="605">
        <f t="shared" si="673"/>
        <v>276.43</v>
      </c>
      <c r="V850" s="605">
        <f t="shared" si="673"/>
        <v>276.43</v>
      </c>
      <c r="W850" s="605">
        <f t="shared" si="673"/>
        <v>276.43</v>
      </c>
      <c r="X850" s="605">
        <f t="shared" si="673"/>
        <v>276.43</v>
      </c>
      <c r="Y850" s="605">
        <f t="shared" si="673"/>
        <v>276.43</v>
      </c>
      <c r="Z850" s="605">
        <f t="shared" si="673"/>
        <v>276.43</v>
      </c>
      <c r="AA850" s="605">
        <f t="shared" si="673"/>
        <v>276.43</v>
      </c>
      <c r="AB850" s="605">
        <f t="shared" si="673"/>
        <v>276.43</v>
      </c>
      <c r="AC850" s="605">
        <f t="shared" si="673"/>
        <v>276.43</v>
      </c>
      <c r="AD850" s="605">
        <f t="shared" si="673"/>
        <v>276.43</v>
      </c>
      <c r="AE850" s="605">
        <f t="shared" si="673"/>
        <v>276.43</v>
      </c>
      <c r="AF850" s="605">
        <f t="shared" si="673"/>
        <v>276.43</v>
      </c>
      <c r="AH850" s="538"/>
      <c r="AK850" s="531"/>
      <c r="AM850" s="594"/>
      <c r="AN850" s="535"/>
      <c r="AP850" s="540"/>
      <c r="AQ850" s="540"/>
    </row>
    <row r="851" spans="1:43" ht="3" hidden="1" customHeight="1" outlineLevel="2">
      <c r="A851" s="584"/>
      <c r="B851" s="609"/>
      <c r="C851" s="611"/>
      <c r="D851" s="611"/>
      <c r="E851" s="610"/>
      <c r="F851" s="610"/>
      <c r="G851" s="610"/>
      <c r="H851" s="610"/>
      <c r="I851" s="610"/>
      <c r="J851" s="610"/>
      <c r="K851" s="610"/>
      <c r="L851" s="610"/>
      <c r="M851" s="610"/>
      <c r="N851" s="610"/>
      <c r="O851" s="610"/>
      <c r="P851" s="610"/>
      <c r="Q851" s="610"/>
      <c r="R851" s="610"/>
      <c r="S851" s="610"/>
      <c r="T851" s="610"/>
      <c r="U851" s="610"/>
      <c r="V851" s="610"/>
      <c r="W851" s="610"/>
      <c r="X851" s="610"/>
      <c r="Y851" s="610"/>
      <c r="Z851" s="610"/>
      <c r="AA851" s="610"/>
      <c r="AB851" s="610"/>
      <c r="AC851" s="610"/>
      <c r="AD851" s="610"/>
      <c r="AE851" s="610"/>
      <c r="AF851" s="610"/>
      <c r="AH851" s="593"/>
      <c r="AK851" s="531"/>
      <c r="AM851" s="594"/>
      <c r="AN851" s="535"/>
      <c r="AP851" s="535"/>
      <c r="AQ851" s="535"/>
    </row>
    <row r="852" spans="1:43" s="564" customFormat="1" ht="16.5" hidden="1" customHeight="1" outlineLevel="1" collapsed="1">
      <c r="A852" s="584"/>
      <c r="B852" s="576" t="s">
        <v>922</v>
      </c>
      <c r="C852" s="577">
        <f>SUM(C853,C856,C859,C862,C865,C868,C871,C874,C877)*12/10^3</f>
        <v>10.316260000000002</v>
      </c>
      <c r="D852" s="577">
        <f>SUM(D853,D856,D859,D862,D865,D868,D871,D874,D877)*12/10^3</f>
        <v>10.316260000000002</v>
      </c>
      <c r="E852" s="577">
        <f t="shared" ref="E852:V852" si="674">SUM(E853,E856,E859,E862,E865,E868,E871,E874,E877)*12/10^3</f>
        <v>10.316260000000002</v>
      </c>
      <c r="F852" s="577">
        <f t="shared" si="674"/>
        <v>10.316260000000002</v>
      </c>
      <c r="G852" s="577">
        <f t="shared" si="674"/>
        <v>10.316260000000002</v>
      </c>
      <c r="H852" s="577">
        <f t="shared" si="674"/>
        <v>10.316260000000002</v>
      </c>
      <c r="I852" s="577">
        <f t="shared" si="674"/>
        <v>10.316260000000002</v>
      </c>
      <c r="J852" s="577">
        <f t="shared" si="674"/>
        <v>10.316260000000002</v>
      </c>
      <c r="K852" s="577">
        <f t="shared" si="674"/>
        <v>10.316260000000002</v>
      </c>
      <c r="L852" s="577">
        <f t="shared" si="674"/>
        <v>10.316260000000002</v>
      </c>
      <c r="M852" s="577">
        <f t="shared" si="674"/>
        <v>10.316260000000002</v>
      </c>
      <c r="N852" s="577">
        <f t="shared" si="674"/>
        <v>10.316260000000002</v>
      </c>
      <c r="O852" s="577">
        <f t="shared" si="674"/>
        <v>10.316260000000002</v>
      </c>
      <c r="P852" s="577">
        <f t="shared" si="674"/>
        <v>10.316260000000002</v>
      </c>
      <c r="Q852" s="577">
        <f t="shared" si="674"/>
        <v>10.316260000000002</v>
      </c>
      <c r="R852" s="577">
        <f t="shared" si="674"/>
        <v>10.316260000000002</v>
      </c>
      <c r="S852" s="577">
        <f t="shared" si="674"/>
        <v>10.316260000000002</v>
      </c>
      <c r="T852" s="577">
        <f t="shared" si="674"/>
        <v>10.316260000000002</v>
      </c>
      <c r="U852" s="577">
        <f t="shared" si="674"/>
        <v>10.316260000000002</v>
      </c>
      <c r="V852" s="577">
        <f t="shared" si="674"/>
        <v>10.316260000000002</v>
      </c>
      <c r="W852" s="577">
        <f>SUM(W853,W856,W859,W862,W865,W868,W871,W874,W877)*12/10^3</f>
        <v>10.316260000000002</v>
      </c>
      <c r="X852" s="577">
        <f t="shared" ref="X852:AF852" si="675">SUM(X853,X856,X859,X862,X865,X868,X871,X874,X877)*12/10^3</f>
        <v>10.316260000000002</v>
      </c>
      <c r="Y852" s="577">
        <f t="shared" si="675"/>
        <v>10.316260000000002</v>
      </c>
      <c r="Z852" s="577">
        <f t="shared" si="675"/>
        <v>10.316260000000002</v>
      </c>
      <c r="AA852" s="577">
        <f t="shared" si="675"/>
        <v>10.316260000000002</v>
      </c>
      <c r="AB852" s="577">
        <f t="shared" si="675"/>
        <v>10.316260000000002</v>
      </c>
      <c r="AC852" s="577">
        <f t="shared" si="675"/>
        <v>10.316260000000002</v>
      </c>
      <c r="AD852" s="577">
        <f t="shared" si="675"/>
        <v>10.316260000000002</v>
      </c>
      <c r="AE852" s="577">
        <f t="shared" si="675"/>
        <v>10.316260000000002</v>
      </c>
      <c r="AF852" s="577">
        <f t="shared" si="675"/>
        <v>10.316260000000002</v>
      </c>
      <c r="AH852" s="578">
        <f>SUM(C852:AF852)</f>
        <v>309.48780000000005</v>
      </c>
      <c r="AJ852" s="579"/>
      <c r="AK852" s="531"/>
      <c r="AM852" s="594"/>
      <c r="AN852" s="535"/>
      <c r="AP852" s="568"/>
      <c r="AQ852" s="568"/>
    </row>
    <row r="853" spans="1:43" s="546" customFormat="1" ht="16.5" hidden="1" customHeight="1" outlineLevel="2">
      <c r="A853" s="584"/>
      <c r="B853" s="569" t="s">
        <v>925</v>
      </c>
      <c r="C853" s="581">
        <f>C854*C855</f>
        <v>117.8</v>
      </c>
      <c r="D853" s="581">
        <f t="shared" ref="D853:AF853" si="676">D854*D855</f>
        <v>117.8</v>
      </c>
      <c r="E853" s="581">
        <f t="shared" si="676"/>
        <v>117.8</v>
      </c>
      <c r="F853" s="581">
        <f t="shared" si="676"/>
        <v>117.8</v>
      </c>
      <c r="G853" s="581">
        <f t="shared" si="676"/>
        <v>117.8</v>
      </c>
      <c r="H853" s="581">
        <f t="shared" si="676"/>
        <v>117.8</v>
      </c>
      <c r="I853" s="581">
        <f t="shared" si="676"/>
        <v>117.8</v>
      </c>
      <c r="J853" s="581">
        <f t="shared" si="676"/>
        <v>117.8</v>
      </c>
      <c r="K853" s="581">
        <f t="shared" si="676"/>
        <v>117.8</v>
      </c>
      <c r="L853" s="581">
        <f t="shared" si="676"/>
        <v>117.8</v>
      </c>
      <c r="M853" s="581">
        <f t="shared" si="676"/>
        <v>117.8</v>
      </c>
      <c r="N853" s="581">
        <f t="shared" si="676"/>
        <v>117.8</v>
      </c>
      <c r="O853" s="581">
        <f t="shared" si="676"/>
        <v>117.8</v>
      </c>
      <c r="P853" s="581">
        <f t="shared" si="676"/>
        <v>117.8</v>
      </c>
      <c r="Q853" s="581">
        <f t="shared" si="676"/>
        <v>117.8</v>
      </c>
      <c r="R853" s="581">
        <f t="shared" si="676"/>
        <v>117.8</v>
      </c>
      <c r="S853" s="581">
        <f t="shared" si="676"/>
        <v>117.8</v>
      </c>
      <c r="T853" s="581">
        <f t="shared" si="676"/>
        <v>117.8</v>
      </c>
      <c r="U853" s="581">
        <f t="shared" si="676"/>
        <v>117.8</v>
      </c>
      <c r="V853" s="581">
        <f t="shared" si="676"/>
        <v>117.8</v>
      </c>
      <c r="W853" s="581">
        <f t="shared" si="676"/>
        <v>117.8</v>
      </c>
      <c r="X853" s="581">
        <f t="shared" si="676"/>
        <v>117.8</v>
      </c>
      <c r="Y853" s="581">
        <f t="shared" si="676"/>
        <v>117.8</v>
      </c>
      <c r="Z853" s="581">
        <f t="shared" si="676"/>
        <v>117.8</v>
      </c>
      <c r="AA853" s="581">
        <f t="shared" si="676"/>
        <v>117.8</v>
      </c>
      <c r="AB853" s="581">
        <f t="shared" si="676"/>
        <v>117.8</v>
      </c>
      <c r="AC853" s="581">
        <f t="shared" si="676"/>
        <v>117.8</v>
      </c>
      <c r="AD853" s="581">
        <f t="shared" si="676"/>
        <v>117.8</v>
      </c>
      <c r="AE853" s="581">
        <f t="shared" si="676"/>
        <v>117.8</v>
      </c>
      <c r="AF853" s="581">
        <f t="shared" si="676"/>
        <v>117.8</v>
      </c>
      <c r="AH853" s="571"/>
      <c r="AK853" s="531"/>
      <c r="AM853" s="594"/>
      <c r="AN853" s="535"/>
      <c r="AP853" s="549"/>
      <c r="AQ853" s="549"/>
    </row>
    <row r="854" spans="1:43" s="513" customFormat="1" ht="16.5" hidden="1" customHeight="1" outlineLevel="2">
      <c r="A854" s="584"/>
      <c r="B854" s="551" t="s">
        <v>805</v>
      </c>
      <c r="C854" s="643">
        <f>24/12</f>
        <v>2</v>
      </c>
      <c r="D854" s="643">
        <f t="shared" ref="D854:T855" si="677">C854</f>
        <v>2</v>
      </c>
      <c r="E854" s="643">
        <f t="shared" si="677"/>
        <v>2</v>
      </c>
      <c r="F854" s="643">
        <f t="shared" si="677"/>
        <v>2</v>
      </c>
      <c r="G854" s="643">
        <f t="shared" si="677"/>
        <v>2</v>
      </c>
      <c r="H854" s="643">
        <f t="shared" si="677"/>
        <v>2</v>
      </c>
      <c r="I854" s="643">
        <f t="shared" si="677"/>
        <v>2</v>
      </c>
      <c r="J854" s="643">
        <f t="shared" si="677"/>
        <v>2</v>
      </c>
      <c r="K854" s="643">
        <f t="shared" si="677"/>
        <v>2</v>
      </c>
      <c r="L854" s="643">
        <f t="shared" si="677"/>
        <v>2</v>
      </c>
      <c r="M854" s="643">
        <f t="shared" si="677"/>
        <v>2</v>
      </c>
      <c r="N854" s="643">
        <f t="shared" si="677"/>
        <v>2</v>
      </c>
      <c r="O854" s="643">
        <f t="shared" si="677"/>
        <v>2</v>
      </c>
      <c r="P854" s="643">
        <f t="shared" si="677"/>
        <v>2</v>
      </c>
      <c r="Q854" s="643">
        <f t="shared" si="677"/>
        <v>2</v>
      </c>
      <c r="R854" s="643">
        <f t="shared" si="677"/>
        <v>2</v>
      </c>
      <c r="S854" s="643">
        <f t="shared" si="677"/>
        <v>2</v>
      </c>
      <c r="T854" s="643">
        <f t="shared" si="677"/>
        <v>2</v>
      </c>
      <c r="U854" s="643">
        <f t="shared" ref="U854:AF855" si="678">T854</f>
        <v>2</v>
      </c>
      <c r="V854" s="643">
        <f t="shared" si="678"/>
        <v>2</v>
      </c>
      <c r="W854" s="643">
        <f>V854</f>
        <v>2</v>
      </c>
      <c r="X854" s="643">
        <f t="shared" si="678"/>
        <v>2</v>
      </c>
      <c r="Y854" s="643">
        <f t="shared" si="678"/>
        <v>2</v>
      </c>
      <c r="Z854" s="643">
        <f t="shared" si="678"/>
        <v>2</v>
      </c>
      <c r="AA854" s="643">
        <f t="shared" si="678"/>
        <v>2</v>
      </c>
      <c r="AB854" s="643">
        <f t="shared" si="678"/>
        <v>2</v>
      </c>
      <c r="AC854" s="643">
        <f t="shared" si="678"/>
        <v>2</v>
      </c>
      <c r="AD854" s="643">
        <f t="shared" si="678"/>
        <v>2</v>
      </c>
      <c r="AE854" s="643">
        <f t="shared" si="678"/>
        <v>2</v>
      </c>
      <c r="AF854" s="643">
        <f t="shared" si="678"/>
        <v>2</v>
      </c>
      <c r="AH854" s="538"/>
      <c r="AK854" s="531"/>
      <c r="AM854" s="594"/>
      <c r="AN854" s="535"/>
      <c r="AP854" s="540"/>
      <c r="AQ854" s="540"/>
    </row>
    <row r="855" spans="1:43" s="513" customFormat="1" ht="16.5" hidden="1" customHeight="1" outlineLevel="2">
      <c r="A855" s="584"/>
      <c r="B855" s="572" t="s">
        <v>924</v>
      </c>
      <c r="C855" s="592">
        <f>Insumos!$E$63</f>
        <v>58.9</v>
      </c>
      <c r="D855" s="592">
        <f>C855</f>
        <v>58.9</v>
      </c>
      <c r="E855" s="605">
        <f t="shared" si="677"/>
        <v>58.9</v>
      </c>
      <c r="F855" s="605">
        <f t="shared" si="677"/>
        <v>58.9</v>
      </c>
      <c r="G855" s="605">
        <f t="shared" si="677"/>
        <v>58.9</v>
      </c>
      <c r="H855" s="605">
        <f t="shared" si="677"/>
        <v>58.9</v>
      </c>
      <c r="I855" s="605">
        <f t="shared" si="677"/>
        <v>58.9</v>
      </c>
      <c r="J855" s="605">
        <f t="shared" si="677"/>
        <v>58.9</v>
      </c>
      <c r="K855" s="605">
        <f t="shared" si="677"/>
        <v>58.9</v>
      </c>
      <c r="L855" s="605">
        <f t="shared" si="677"/>
        <v>58.9</v>
      </c>
      <c r="M855" s="605">
        <f t="shared" si="677"/>
        <v>58.9</v>
      </c>
      <c r="N855" s="605">
        <f t="shared" si="677"/>
        <v>58.9</v>
      </c>
      <c r="O855" s="605">
        <f t="shared" si="677"/>
        <v>58.9</v>
      </c>
      <c r="P855" s="605">
        <f t="shared" si="677"/>
        <v>58.9</v>
      </c>
      <c r="Q855" s="605">
        <f t="shared" si="677"/>
        <v>58.9</v>
      </c>
      <c r="R855" s="605">
        <f t="shared" si="677"/>
        <v>58.9</v>
      </c>
      <c r="S855" s="605">
        <f t="shared" si="677"/>
        <v>58.9</v>
      </c>
      <c r="T855" s="605">
        <f t="shared" si="677"/>
        <v>58.9</v>
      </c>
      <c r="U855" s="605">
        <f t="shared" si="678"/>
        <v>58.9</v>
      </c>
      <c r="V855" s="605">
        <f t="shared" si="678"/>
        <v>58.9</v>
      </c>
      <c r="W855" s="605">
        <f t="shared" si="678"/>
        <v>58.9</v>
      </c>
      <c r="X855" s="605">
        <f t="shared" si="678"/>
        <v>58.9</v>
      </c>
      <c r="Y855" s="605">
        <f t="shared" si="678"/>
        <v>58.9</v>
      </c>
      <c r="Z855" s="605">
        <f t="shared" si="678"/>
        <v>58.9</v>
      </c>
      <c r="AA855" s="605">
        <f t="shared" si="678"/>
        <v>58.9</v>
      </c>
      <c r="AB855" s="605">
        <f t="shared" si="678"/>
        <v>58.9</v>
      </c>
      <c r="AC855" s="605">
        <f t="shared" si="678"/>
        <v>58.9</v>
      </c>
      <c r="AD855" s="605">
        <f t="shared" si="678"/>
        <v>58.9</v>
      </c>
      <c r="AE855" s="605">
        <f t="shared" si="678"/>
        <v>58.9</v>
      </c>
      <c r="AF855" s="605">
        <f t="shared" si="678"/>
        <v>58.9</v>
      </c>
      <c r="AH855" s="538"/>
      <c r="AK855" s="531"/>
      <c r="AM855" s="594"/>
      <c r="AN855" s="535"/>
      <c r="AP855" s="540"/>
      <c r="AQ855" s="540"/>
    </row>
    <row r="856" spans="1:43" s="546" customFormat="1" ht="16.5" hidden="1" customHeight="1" outlineLevel="2">
      <c r="A856" s="584"/>
      <c r="B856" s="569" t="s">
        <v>973</v>
      </c>
      <c r="C856" s="581">
        <f>C857*C858</f>
        <v>120</v>
      </c>
      <c r="D856" s="581">
        <f t="shared" ref="D856:AF856" si="679">D857*D858</f>
        <v>120</v>
      </c>
      <c r="E856" s="581">
        <f t="shared" si="679"/>
        <v>120</v>
      </c>
      <c r="F856" s="581">
        <f t="shared" si="679"/>
        <v>120</v>
      </c>
      <c r="G856" s="581">
        <f t="shared" si="679"/>
        <v>120</v>
      </c>
      <c r="H856" s="581">
        <f t="shared" si="679"/>
        <v>120</v>
      </c>
      <c r="I856" s="581">
        <f t="shared" si="679"/>
        <v>120</v>
      </c>
      <c r="J856" s="581">
        <f t="shared" si="679"/>
        <v>120</v>
      </c>
      <c r="K856" s="581">
        <f t="shared" si="679"/>
        <v>120</v>
      </c>
      <c r="L856" s="581">
        <f t="shared" si="679"/>
        <v>120</v>
      </c>
      <c r="M856" s="581">
        <f t="shared" si="679"/>
        <v>120</v>
      </c>
      <c r="N856" s="581">
        <f t="shared" si="679"/>
        <v>120</v>
      </c>
      <c r="O856" s="581">
        <f t="shared" si="679"/>
        <v>120</v>
      </c>
      <c r="P856" s="581">
        <f t="shared" si="679"/>
        <v>120</v>
      </c>
      <c r="Q856" s="581">
        <f t="shared" si="679"/>
        <v>120</v>
      </c>
      <c r="R856" s="581">
        <f t="shared" si="679"/>
        <v>120</v>
      </c>
      <c r="S856" s="581">
        <f t="shared" si="679"/>
        <v>120</v>
      </c>
      <c r="T856" s="581">
        <f t="shared" si="679"/>
        <v>120</v>
      </c>
      <c r="U856" s="581">
        <f t="shared" si="679"/>
        <v>120</v>
      </c>
      <c r="V856" s="581">
        <f t="shared" si="679"/>
        <v>120</v>
      </c>
      <c r="W856" s="581">
        <f t="shared" si="679"/>
        <v>120</v>
      </c>
      <c r="X856" s="581">
        <f t="shared" si="679"/>
        <v>120</v>
      </c>
      <c r="Y856" s="581">
        <f t="shared" si="679"/>
        <v>120</v>
      </c>
      <c r="Z856" s="581">
        <f t="shared" si="679"/>
        <v>120</v>
      </c>
      <c r="AA856" s="581">
        <f t="shared" si="679"/>
        <v>120</v>
      </c>
      <c r="AB856" s="581">
        <f t="shared" si="679"/>
        <v>120</v>
      </c>
      <c r="AC856" s="581">
        <f t="shared" si="679"/>
        <v>120</v>
      </c>
      <c r="AD856" s="581">
        <f t="shared" si="679"/>
        <v>120</v>
      </c>
      <c r="AE856" s="581">
        <f t="shared" si="679"/>
        <v>120</v>
      </c>
      <c r="AF856" s="581">
        <f t="shared" si="679"/>
        <v>120</v>
      </c>
      <c r="AH856" s="571"/>
      <c r="AK856" s="531"/>
      <c r="AM856" s="594"/>
      <c r="AN856" s="535"/>
      <c r="AP856" s="549"/>
      <c r="AQ856" s="549"/>
    </row>
    <row r="857" spans="1:43" s="513" customFormat="1" ht="16.5" hidden="1" customHeight="1" outlineLevel="2">
      <c r="A857" s="584"/>
      <c r="B857" s="551" t="s">
        <v>805</v>
      </c>
      <c r="C857" s="643">
        <f>24/12</f>
        <v>2</v>
      </c>
      <c r="D857" s="643">
        <f t="shared" ref="D857:T858" si="680">C857</f>
        <v>2</v>
      </c>
      <c r="E857" s="643">
        <f t="shared" si="680"/>
        <v>2</v>
      </c>
      <c r="F857" s="643">
        <f t="shared" si="680"/>
        <v>2</v>
      </c>
      <c r="G857" s="643">
        <f t="shared" si="680"/>
        <v>2</v>
      </c>
      <c r="H857" s="643">
        <f t="shared" si="680"/>
        <v>2</v>
      </c>
      <c r="I857" s="643">
        <f t="shared" si="680"/>
        <v>2</v>
      </c>
      <c r="J857" s="643">
        <f t="shared" si="680"/>
        <v>2</v>
      </c>
      <c r="K857" s="643">
        <f t="shared" si="680"/>
        <v>2</v>
      </c>
      <c r="L857" s="643">
        <f t="shared" si="680"/>
        <v>2</v>
      </c>
      <c r="M857" s="643">
        <f t="shared" si="680"/>
        <v>2</v>
      </c>
      <c r="N857" s="643">
        <f t="shared" si="680"/>
        <v>2</v>
      </c>
      <c r="O857" s="643">
        <f t="shared" si="680"/>
        <v>2</v>
      </c>
      <c r="P857" s="643">
        <f t="shared" si="680"/>
        <v>2</v>
      </c>
      <c r="Q857" s="643">
        <f t="shared" si="680"/>
        <v>2</v>
      </c>
      <c r="R857" s="643">
        <f t="shared" si="680"/>
        <v>2</v>
      </c>
      <c r="S857" s="643">
        <f t="shared" si="680"/>
        <v>2</v>
      </c>
      <c r="T857" s="643">
        <f t="shared" si="680"/>
        <v>2</v>
      </c>
      <c r="U857" s="643">
        <f t="shared" ref="U857:W858" si="681">T857</f>
        <v>2</v>
      </c>
      <c r="V857" s="643">
        <f t="shared" si="681"/>
        <v>2</v>
      </c>
      <c r="W857" s="643">
        <f>V857</f>
        <v>2</v>
      </c>
      <c r="X857" s="643">
        <f t="shared" ref="X857:AF858" si="682">W857</f>
        <v>2</v>
      </c>
      <c r="Y857" s="643">
        <f t="shared" si="682"/>
        <v>2</v>
      </c>
      <c r="Z857" s="643">
        <f t="shared" si="682"/>
        <v>2</v>
      </c>
      <c r="AA857" s="643">
        <f t="shared" si="682"/>
        <v>2</v>
      </c>
      <c r="AB857" s="643">
        <f t="shared" si="682"/>
        <v>2</v>
      </c>
      <c r="AC857" s="643">
        <f t="shared" si="682"/>
        <v>2</v>
      </c>
      <c r="AD857" s="643">
        <f t="shared" si="682"/>
        <v>2</v>
      </c>
      <c r="AE857" s="643">
        <f t="shared" si="682"/>
        <v>2</v>
      </c>
      <c r="AF857" s="643">
        <f t="shared" si="682"/>
        <v>2</v>
      </c>
      <c r="AH857" s="538"/>
      <c r="AK857" s="531"/>
      <c r="AM857" s="594"/>
      <c r="AN857" s="535"/>
      <c r="AP857" s="540"/>
      <c r="AQ857" s="540"/>
    </row>
    <row r="858" spans="1:43" s="513" customFormat="1" ht="16.5" hidden="1" customHeight="1" outlineLevel="2">
      <c r="A858" s="584"/>
      <c r="B858" s="572" t="s">
        <v>924</v>
      </c>
      <c r="C858" s="592">
        <f>Insumos!$E$65</f>
        <v>60</v>
      </c>
      <c r="D858" s="605">
        <f t="shared" si="680"/>
        <v>60</v>
      </c>
      <c r="E858" s="605">
        <f t="shared" si="680"/>
        <v>60</v>
      </c>
      <c r="F858" s="605">
        <f t="shared" si="680"/>
        <v>60</v>
      </c>
      <c r="G858" s="605">
        <f t="shared" si="680"/>
        <v>60</v>
      </c>
      <c r="H858" s="605">
        <f t="shared" si="680"/>
        <v>60</v>
      </c>
      <c r="I858" s="605">
        <f t="shared" si="680"/>
        <v>60</v>
      </c>
      <c r="J858" s="605">
        <f t="shared" si="680"/>
        <v>60</v>
      </c>
      <c r="K858" s="605">
        <f t="shared" si="680"/>
        <v>60</v>
      </c>
      <c r="L858" s="605">
        <f t="shared" si="680"/>
        <v>60</v>
      </c>
      <c r="M858" s="605">
        <f t="shared" si="680"/>
        <v>60</v>
      </c>
      <c r="N858" s="605">
        <f t="shared" si="680"/>
        <v>60</v>
      </c>
      <c r="O858" s="605">
        <f t="shared" si="680"/>
        <v>60</v>
      </c>
      <c r="P858" s="605">
        <f t="shared" si="680"/>
        <v>60</v>
      </c>
      <c r="Q858" s="605">
        <f t="shared" si="680"/>
        <v>60</v>
      </c>
      <c r="R858" s="605">
        <f t="shared" si="680"/>
        <v>60</v>
      </c>
      <c r="S858" s="605">
        <f t="shared" si="680"/>
        <v>60</v>
      </c>
      <c r="T858" s="605">
        <f t="shared" si="680"/>
        <v>60</v>
      </c>
      <c r="U858" s="605">
        <f t="shared" si="681"/>
        <v>60</v>
      </c>
      <c r="V858" s="605">
        <f t="shared" si="681"/>
        <v>60</v>
      </c>
      <c r="W858" s="605">
        <f t="shared" si="681"/>
        <v>60</v>
      </c>
      <c r="X858" s="605">
        <f t="shared" si="682"/>
        <v>60</v>
      </c>
      <c r="Y858" s="605">
        <f t="shared" si="682"/>
        <v>60</v>
      </c>
      <c r="Z858" s="605">
        <f t="shared" si="682"/>
        <v>60</v>
      </c>
      <c r="AA858" s="605">
        <f t="shared" si="682"/>
        <v>60</v>
      </c>
      <c r="AB858" s="605">
        <f t="shared" si="682"/>
        <v>60</v>
      </c>
      <c r="AC858" s="605">
        <f t="shared" si="682"/>
        <v>60</v>
      </c>
      <c r="AD858" s="605">
        <f t="shared" si="682"/>
        <v>60</v>
      </c>
      <c r="AE858" s="605">
        <f t="shared" si="682"/>
        <v>60</v>
      </c>
      <c r="AF858" s="605">
        <f t="shared" si="682"/>
        <v>60</v>
      </c>
      <c r="AH858" s="538"/>
      <c r="AK858" s="531"/>
      <c r="AM858" s="594"/>
      <c r="AN858" s="535"/>
      <c r="AP858" s="540"/>
      <c r="AQ858" s="540"/>
    </row>
    <row r="859" spans="1:43" s="546" customFormat="1" ht="16.5" hidden="1" customHeight="1" outlineLevel="2">
      <c r="A859" s="584"/>
      <c r="B859" s="569" t="s">
        <v>974</v>
      </c>
      <c r="C859" s="581">
        <f>C860*C861</f>
        <v>124.8</v>
      </c>
      <c r="D859" s="581">
        <f t="shared" ref="D859:AF859" si="683">D860*D861</f>
        <v>124.8</v>
      </c>
      <c r="E859" s="581">
        <f t="shared" si="683"/>
        <v>124.8</v>
      </c>
      <c r="F859" s="581">
        <f t="shared" si="683"/>
        <v>124.8</v>
      </c>
      <c r="G859" s="581">
        <f t="shared" si="683"/>
        <v>124.8</v>
      </c>
      <c r="H859" s="581">
        <f t="shared" si="683"/>
        <v>124.8</v>
      </c>
      <c r="I859" s="581">
        <f t="shared" si="683"/>
        <v>124.8</v>
      </c>
      <c r="J859" s="581">
        <f t="shared" si="683"/>
        <v>124.8</v>
      </c>
      <c r="K859" s="581">
        <f t="shared" si="683"/>
        <v>124.8</v>
      </c>
      <c r="L859" s="581">
        <f t="shared" si="683"/>
        <v>124.8</v>
      </c>
      <c r="M859" s="581">
        <f t="shared" si="683"/>
        <v>124.8</v>
      </c>
      <c r="N859" s="581">
        <f t="shared" si="683"/>
        <v>124.8</v>
      </c>
      <c r="O859" s="581">
        <f t="shared" si="683"/>
        <v>124.8</v>
      </c>
      <c r="P859" s="581">
        <f t="shared" si="683"/>
        <v>124.8</v>
      </c>
      <c r="Q859" s="581">
        <f t="shared" si="683"/>
        <v>124.8</v>
      </c>
      <c r="R859" s="581">
        <f t="shared" si="683"/>
        <v>124.8</v>
      </c>
      <c r="S859" s="581">
        <f t="shared" si="683"/>
        <v>124.8</v>
      </c>
      <c r="T859" s="581">
        <f t="shared" si="683"/>
        <v>124.8</v>
      </c>
      <c r="U859" s="581">
        <f t="shared" si="683"/>
        <v>124.8</v>
      </c>
      <c r="V859" s="581">
        <f t="shared" si="683"/>
        <v>124.8</v>
      </c>
      <c r="W859" s="581">
        <f t="shared" si="683"/>
        <v>124.8</v>
      </c>
      <c r="X859" s="581">
        <f t="shared" si="683"/>
        <v>124.8</v>
      </c>
      <c r="Y859" s="581">
        <f t="shared" si="683"/>
        <v>124.8</v>
      </c>
      <c r="Z859" s="581">
        <f t="shared" si="683"/>
        <v>124.8</v>
      </c>
      <c r="AA859" s="581">
        <f t="shared" si="683"/>
        <v>124.8</v>
      </c>
      <c r="AB859" s="581">
        <f t="shared" si="683"/>
        <v>124.8</v>
      </c>
      <c r="AC859" s="581">
        <f t="shared" si="683"/>
        <v>124.8</v>
      </c>
      <c r="AD859" s="581">
        <f t="shared" si="683"/>
        <v>124.8</v>
      </c>
      <c r="AE859" s="581">
        <f t="shared" si="683"/>
        <v>124.8</v>
      </c>
      <c r="AF859" s="581">
        <f t="shared" si="683"/>
        <v>124.8</v>
      </c>
      <c r="AH859" s="571"/>
      <c r="AK859" s="531"/>
      <c r="AM859" s="594"/>
      <c r="AN859" s="535"/>
      <c r="AP859" s="549"/>
      <c r="AQ859" s="549"/>
    </row>
    <row r="860" spans="1:43" s="513" customFormat="1" ht="16.5" hidden="1" customHeight="1" outlineLevel="2">
      <c r="A860" s="584"/>
      <c r="B860" s="551" t="s">
        <v>805</v>
      </c>
      <c r="C860" s="643">
        <f>24/12</f>
        <v>2</v>
      </c>
      <c r="D860" s="643">
        <f t="shared" ref="D860:T861" si="684">C860</f>
        <v>2</v>
      </c>
      <c r="E860" s="643">
        <f t="shared" si="684"/>
        <v>2</v>
      </c>
      <c r="F860" s="643">
        <f t="shared" si="684"/>
        <v>2</v>
      </c>
      <c r="G860" s="643">
        <f t="shared" si="684"/>
        <v>2</v>
      </c>
      <c r="H860" s="643">
        <f t="shared" si="684"/>
        <v>2</v>
      </c>
      <c r="I860" s="643">
        <f t="shared" si="684"/>
        <v>2</v>
      </c>
      <c r="J860" s="643">
        <f t="shared" si="684"/>
        <v>2</v>
      </c>
      <c r="K860" s="643">
        <f t="shared" si="684"/>
        <v>2</v>
      </c>
      <c r="L860" s="643">
        <f t="shared" si="684"/>
        <v>2</v>
      </c>
      <c r="M860" s="643">
        <f t="shared" si="684"/>
        <v>2</v>
      </c>
      <c r="N860" s="643">
        <f t="shared" si="684"/>
        <v>2</v>
      </c>
      <c r="O860" s="643">
        <f t="shared" si="684"/>
        <v>2</v>
      </c>
      <c r="P860" s="643">
        <f t="shared" si="684"/>
        <v>2</v>
      </c>
      <c r="Q860" s="643">
        <f t="shared" si="684"/>
        <v>2</v>
      </c>
      <c r="R860" s="643">
        <f t="shared" si="684"/>
        <v>2</v>
      </c>
      <c r="S860" s="643">
        <f t="shared" si="684"/>
        <v>2</v>
      </c>
      <c r="T860" s="643">
        <f t="shared" si="684"/>
        <v>2</v>
      </c>
      <c r="U860" s="643">
        <f t="shared" ref="U860:W861" si="685">T860</f>
        <v>2</v>
      </c>
      <c r="V860" s="643">
        <f t="shared" si="685"/>
        <v>2</v>
      </c>
      <c r="W860" s="643">
        <f>V860</f>
        <v>2</v>
      </c>
      <c r="X860" s="643">
        <f t="shared" ref="X860:AF861" si="686">W860</f>
        <v>2</v>
      </c>
      <c r="Y860" s="643">
        <f t="shared" si="686"/>
        <v>2</v>
      </c>
      <c r="Z860" s="643">
        <f t="shared" si="686"/>
        <v>2</v>
      </c>
      <c r="AA860" s="643">
        <f t="shared" si="686"/>
        <v>2</v>
      </c>
      <c r="AB860" s="643">
        <f t="shared" si="686"/>
        <v>2</v>
      </c>
      <c r="AC860" s="643">
        <f t="shared" si="686"/>
        <v>2</v>
      </c>
      <c r="AD860" s="643">
        <f t="shared" si="686"/>
        <v>2</v>
      </c>
      <c r="AE860" s="643">
        <f t="shared" si="686"/>
        <v>2</v>
      </c>
      <c r="AF860" s="643">
        <f t="shared" si="686"/>
        <v>2</v>
      </c>
      <c r="AH860" s="538"/>
      <c r="AK860" s="531"/>
      <c r="AM860" s="594"/>
      <c r="AN860" s="535"/>
      <c r="AP860" s="540"/>
      <c r="AQ860" s="540"/>
    </row>
    <row r="861" spans="1:43" s="513" customFormat="1" ht="16.5" hidden="1" customHeight="1" outlineLevel="2">
      <c r="A861" s="584"/>
      <c r="B861" s="572" t="s">
        <v>924</v>
      </c>
      <c r="C861" s="592">
        <f>Insumos!$E$61</f>
        <v>62.4</v>
      </c>
      <c r="D861" s="605">
        <f t="shared" si="684"/>
        <v>62.4</v>
      </c>
      <c r="E861" s="605">
        <f t="shared" si="684"/>
        <v>62.4</v>
      </c>
      <c r="F861" s="605">
        <f t="shared" si="684"/>
        <v>62.4</v>
      </c>
      <c r="G861" s="605">
        <f t="shared" si="684"/>
        <v>62.4</v>
      </c>
      <c r="H861" s="605">
        <f t="shared" si="684"/>
        <v>62.4</v>
      </c>
      <c r="I861" s="605">
        <f t="shared" si="684"/>
        <v>62.4</v>
      </c>
      <c r="J861" s="605">
        <f t="shared" si="684"/>
        <v>62.4</v>
      </c>
      <c r="K861" s="605">
        <f t="shared" si="684"/>
        <v>62.4</v>
      </c>
      <c r="L861" s="605">
        <f t="shared" si="684"/>
        <v>62.4</v>
      </c>
      <c r="M861" s="605">
        <f t="shared" si="684"/>
        <v>62.4</v>
      </c>
      <c r="N861" s="605">
        <f t="shared" si="684"/>
        <v>62.4</v>
      </c>
      <c r="O861" s="605">
        <f t="shared" si="684"/>
        <v>62.4</v>
      </c>
      <c r="P861" s="605">
        <f t="shared" si="684"/>
        <v>62.4</v>
      </c>
      <c r="Q861" s="605">
        <f t="shared" si="684"/>
        <v>62.4</v>
      </c>
      <c r="R861" s="605">
        <f t="shared" si="684"/>
        <v>62.4</v>
      </c>
      <c r="S861" s="605">
        <f t="shared" si="684"/>
        <v>62.4</v>
      </c>
      <c r="T861" s="605">
        <f t="shared" si="684"/>
        <v>62.4</v>
      </c>
      <c r="U861" s="605">
        <f t="shared" si="685"/>
        <v>62.4</v>
      </c>
      <c r="V861" s="605">
        <f t="shared" si="685"/>
        <v>62.4</v>
      </c>
      <c r="W861" s="605">
        <f t="shared" si="685"/>
        <v>62.4</v>
      </c>
      <c r="X861" s="605">
        <f t="shared" si="686"/>
        <v>62.4</v>
      </c>
      <c r="Y861" s="605">
        <f t="shared" si="686"/>
        <v>62.4</v>
      </c>
      <c r="Z861" s="605">
        <f t="shared" si="686"/>
        <v>62.4</v>
      </c>
      <c r="AA861" s="605">
        <f t="shared" si="686"/>
        <v>62.4</v>
      </c>
      <c r="AB861" s="605">
        <f t="shared" si="686"/>
        <v>62.4</v>
      </c>
      <c r="AC861" s="605">
        <f t="shared" si="686"/>
        <v>62.4</v>
      </c>
      <c r="AD861" s="605">
        <f t="shared" si="686"/>
        <v>62.4</v>
      </c>
      <c r="AE861" s="605">
        <f t="shared" si="686"/>
        <v>62.4</v>
      </c>
      <c r="AF861" s="605">
        <f t="shared" si="686"/>
        <v>62.4</v>
      </c>
      <c r="AH861" s="538"/>
      <c r="AK861" s="531"/>
      <c r="AM861" s="594"/>
      <c r="AN861" s="535"/>
      <c r="AP861" s="540"/>
      <c r="AQ861" s="540"/>
    </row>
    <row r="862" spans="1:43" s="546" customFormat="1" ht="16.5" hidden="1" customHeight="1" outlineLevel="2">
      <c r="A862" s="584"/>
      <c r="B862" s="569" t="s">
        <v>975</v>
      </c>
      <c r="C862" s="581">
        <f>C863*C864</f>
        <v>26</v>
      </c>
      <c r="D862" s="581">
        <f t="shared" ref="D862:AF862" si="687">D863*D864</f>
        <v>26</v>
      </c>
      <c r="E862" s="581">
        <f t="shared" si="687"/>
        <v>26</v>
      </c>
      <c r="F862" s="581">
        <f t="shared" si="687"/>
        <v>26</v>
      </c>
      <c r="G862" s="581">
        <f t="shared" si="687"/>
        <v>26</v>
      </c>
      <c r="H862" s="581">
        <f t="shared" si="687"/>
        <v>26</v>
      </c>
      <c r="I862" s="581">
        <f t="shared" si="687"/>
        <v>26</v>
      </c>
      <c r="J862" s="581">
        <f t="shared" si="687"/>
        <v>26</v>
      </c>
      <c r="K862" s="581">
        <f t="shared" si="687"/>
        <v>26</v>
      </c>
      <c r="L862" s="581">
        <f t="shared" si="687"/>
        <v>26</v>
      </c>
      <c r="M862" s="581">
        <f t="shared" si="687"/>
        <v>26</v>
      </c>
      <c r="N862" s="581">
        <f t="shared" si="687"/>
        <v>26</v>
      </c>
      <c r="O862" s="581">
        <f t="shared" si="687"/>
        <v>26</v>
      </c>
      <c r="P862" s="581">
        <f t="shared" si="687"/>
        <v>26</v>
      </c>
      <c r="Q862" s="581">
        <f t="shared" si="687"/>
        <v>26</v>
      </c>
      <c r="R862" s="581">
        <f t="shared" si="687"/>
        <v>26</v>
      </c>
      <c r="S862" s="581">
        <f t="shared" si="687"/>
        <v>26</v>
      </c>
      <c r="T862" s="581">
        <f t="shared" si="687"/>
        <v>26</v>
      </c>
      <c r="U862" s="581">
        <f t="shared" si="687"/>
        <v>26</v>
      </c>
      <c r="V862" s="581">
        <f t="shared" si="687"/>
        <v>26</v>
      </c>
      <c r="W862" s="581">
        <f t="shared" si="687"/>
        <v>26</v>
      </c>
      <c r="X862" s="581">
        <f t="shared" si="687"/>
        <v>26</v>
      </c>
      <c r="Y862" s="581">
        <f t="shared" si="687"/>
        <v>26</v>
      </c>
      <c r="Z862" s="581">
        <f t="shared" si="687"/>
        <v>26</v>
      </c>
      <c r="AA862" s="581">
        <f t="shared" si="687"/>
        <v>26</v>
      </c>
      <c r="AB862" s="581">
        <f t="shared" si="687"/>
        <v>26</v>
      </c>
      <c r="AC862" s="581">
        <f t="shared" si="687"/>
        <v>26</v>
      </c>
      <c r="AD862" s="581">
        <f t="shared" si="687"/>
        <v>26</v>
      </c>
      <c r="AE862" s="581">
        <f t="shared" si="687"/>
        <v>26</v>
      </c>
      <c r="AF862" s="581">
        <f t="shared" si="687"/>
        <v>26</v>
      </c>
      <c r="AH862" s="571"/>
      <c r="AK862" s="531"/>
      <c r="AM862" s="594"/>
      <c r="AN862" s="535"/>
      <c r="AP862" s="549"/>
      <c r="AQ862" s="549"/>
    </row>
    <row r="863" spans="1:43" s="513" customFormat="1" ht="16.5" hidden="1" customHeight="1" outlineLevel="2">
      <c r="A863" s="584"/>
      <c r="B863" s="551" t="s">
        <v>805</v>
      </c>
      <c r="C863" s="643">
        <v>2</v>
      </c>
      <c r="D863" s="643">
        <f t="shared" ref="D863:T864" si="688">C863</f>
        <v>2</v>
      </c>
      <c r="E863" s="643">
        <f t="shared" si="688"/>
        <v>2</v>
      </c>
      <c r="F863" s="643">
        <f t="shared" si="688"/>
        <v>2</v>
      </c>
      <c r="G863" s="643">
        <f t="shared" si="688"/>
        <v>2</v>
      </c>
      <c r="H863" s="643">
        <f t="shared" si="688"/>
        <v>2</v>
      </c>
      <c r="I863" s="643">
        <f t="shared" si="688"/>
        <v>2</v>
      </c>
      <c r="J863" s="643">
        <f t="shared" si="688"/>
        <v>2</v>
      </c>
      <c r="K863" s="643">
        <f t="shared" si="688"/>
        <v>2</v>
      </c>
      <c r="L863" s="643">
        <f t="shared" si="688"/>
        <v>2</v>
      </c>
      <c r="M863" s="643">
        <f t="shared" si="688"/>
        <v>2</v>
      </c>
      <c r="N863" s="643">
        <f t="shared" si="688"/>
        <v>2</v>
      </c>
      <c r="O863" s="643">
        <f t="shared" si="688"/>
        <v>2</v>
      </c>
      <c r="P863" s="643">
        <f t="shared" si="688"/>
        <v>2</v>
      </c>
      <c r="Q863" s="643">
        <f t="shared" si="688"/>
        <v>2</v>
      </c>
      <c r="R863" s="643">
        <f t="shared" si="688"/>
        <v>2</v>
      </c>
      <c r="S863" s="643">
        <f t="shared" si="688"/>
        <v>2</v>
      </c>
      <c r="T863" s="643">
        <f t="shared" si="688"/>
        <v>2</v>
      </c>
      <c r="U863" s="643">
        <f t="shared" ref="U863:W864" si="689">T863</f>
        <v>2</v>
      </c>
      <c r="V863" s="643">
        <f t="shared" si="689"/>
        <v>2</v>
      </c>
      <c r="W863" s="643">
        <f>V863</f>
        <v>2</v>
      </c>
      <c r="X863" s="643">
        <f t="shared" ref="X863:AF864" si="690">W863</f>
        <v>2</v>
      </c>
      <c r="Y863" s="643">
        <f t="shared" si="690"/>
        <v>2</v>
      </c>
      <c r="Z863" s="643">
        <f t="shared" si="690"/>
        <v>2</v>
      </c>
      <c r="AA863" s="643">
        <f t="shared" si="690"/>
        <v>2</v>
      </c>
      <c r="AB863" s="643">
        <f t="shared" si="690"/>
        <v>2</v>
      </c>
      <c r="AC863" s="643">
        <f t="shared" si="690"/>
        <v>2</v>
      </c>
      <c r="AD863" s="643">
        <f t="shared" si="690"/>
        <v>2</v>
      </c>
      <c r="AE863" s="643">
        <f t="shared" si="690"/>
        <v>2</v>
      </c>
      <c r="AF863" s="643">
        <f t="shared" si="690"/>
        <v>2</v>
      </c>
      <c r="AH863" s="538"/>
      <c r="AK863" s="531"/>
      <c r="AM863" s="594"/>
      <c r="AN863" s="535"/>
      <c r="AP863" s="540"/>
      <c r="AQ863" s="540"/>
    </row>
    <row r="864" spans="1:43" s="513" customFormat="1" ht="16.5" hidden="1" customHeight="1" outlineLevel="2">
      <c r="A864" s="584"/>
      <c r="B864" s="572" t="s">
        <v>924</v>
      </c>
      <c r="C864" s="592">
        <f>Insumos!$E$56</f>
        <v>13</v>
      </c>
      <c r="D864" s="605">
        <f t="shared" si="688"/>
        <v>13</v>
      </c>
      <c r="E864" s="605">
        <f t="shared" si="688"/>
        <v>13</v>
      </c>
      <c r="F864" s="605">
        <f t="shared" si="688"/>
        <v>13</v>
      </c>
      <c r="G864" s="605">
        <f t="shared" si="688"/>
        <v>13</v>
      </c>
      <c r="H864" s="605">
        <f t="shared" si="688"/>
        <v>13</v>
      </c>
      <c r="I864" s="605">
        <f t="shared" si="688"/>
        <v>13</v>
      </c>
      <c r="J864" s="605">
        <f t="shared" si="688"/>
        <v>13</v>
      </c>
      <c r="K864" s="605">
        <f t="shared" si="688"/>
        <v>13</v>
      </c>
      <c r="L864" s="605">
        <f t="shared" si="688"/>
        <v>13</v>
      </c>
      <c r="M864" s="605">
        <f t="shared" si="688"/>
        <v>13</v>
      </c>
      <c r="N864" s="605">
        <f t="shared" si="688"/>
        <v>13</v>
      </c>
      <c r="O864" s="605">
        <f t="shared" si="688"/>
        <v>13</v>
      </c>
      <c r="P864" s="605">
        <f t="shared" si="688"/>
        <v>13</v>
      </c>
      <c r="Q864" s="605">
        <f t="shared" si="688"/>
        <v>13</v>
      </c>
      <c r="R864" s="605">
        <f t="shared" si="688"/>
        <v>13</v>
      </c>
      <c r="S864" s="605">
        <f t="shared" si="688"/>
        <v>13</v>
      </c>
      <c r="T864" s="605">
        <f t="shared" si="688"/>
        <v>13</v>
      </c>
      <c r="U864" s="605">
        <f t="shared" si="689"/>
        <v>13</v>
      </c>
      <c r="V864" s="605">
        <f t="shared" si="689"/>
        <v>13</v>
      </c>
      <c r="W864" s="605">
        <f t="shared" si="689"/>
        <v>13</v>
      </c>
      <c r="X864" s="605">
        <f t="shared" si="690"/>
        <v>13</v>
      </c>
      <c r="Y864" s="605">
        <f t="shared" si="690"/>
        <v>13</v>
      </c>
      <c r="Z864" s="605">
        <f t="shared" si="690"/>
        <v>13</v>
      </c>
      <c r="AA864" s="605">
        <f t="shared" si="690"/>
        <v>13</v>
      </c>
      <c r="AB864" s="605">
        <f t="shared" si="690"/>
        <v>13</v>
      </c>
      <c r="AC864" s="605">
        <f t="shared" si="690"/>
        <v>13</v>
      </c>
      <c r="AD864" s="605">
        <f t="shared" si="690"/>
        <v>13</v>
      </c>
      <c r="AE864" s="605">
        <f t="shared" si="690"/>
        <v>13</v>
      </c>
      <c r="AF864" s="605">
        <f t="shared" si="690"/>
        <v>13</v>
      </c>
      <c r="AH864" s="538"/>
      <c r="AK864" s="531"/>
      <c r="AM864" s="594"/>
      <c r="AN864" s="535"/>
      <c r="AP864" s="540"/>
      <c r="AQ864" s="540"/>
    </row>
    <row r="865" spans="1:43" s="546" customFormat="1" ht="16.5" hidden="1" customHeight="1" outlineLevel="2">
      <c r="A865" s="584"/>
      <c r="B865" s="569" t="s">
        <v>976</v>
      </c>
      <c r="C865" s="581">
        <f>C866*C867</f>
        <v>193.48500000000001</v>
      </c>
      <c r="D865" s="581">
        <f t="shared" ref="D865:AF865" si="691">D866*D867</f>
        <v>193.48500000000001</v>
      </c>
      <c r="E865" s="581">
        <f t="shared" si="691"/>
        <v>193.48500000000001</v>
      </c>
      <c r="F865" s="581">
        <f t="shared" si="691"/>
        <v>193.48500000000001</v>
      </c>
      <c r="G865" s="581">
        <f t="shared" si="691"/>
        <v>193.48500000000001</v>
      </c>
      <c r="H865" s="581">
        <f t="shared" si="691"/>
        <v>193.48500000000001</v>
      </c>
      <c r="I865" s="581">
        <f t="shared" si="691"/>
        <v>193.48500000000001</v>
      </c>
      <c r="J865" s="581">
        <f t="shared" si="691"/>
        <v>193.48500000000001</v>
      </c>
      <c r="K865" s="581">
        <f t="shared" si="691"/>
        <v>193.48500000000001</v>
      </c>
      <c r="L865" s="581">
        <f t="shared" si="691"/>
        <v>193.48500000000001</v>
      </c>
      <c r="M865" s="581">
        <f t="shared" si="691"/>
        <v>193.48500000000001</v>
      </c>
      <c r="N865" s="581">
        <f t="shared" si="691"/>
        <v>193.48500000000001</v>
      </c>
      <c r="O865" s="581">
        <f t="shared" si="691"/>
        <v>193.48500000000001</v>
      </c>
      <c r="P865" s="581">
        <f t="shared" si="691"/>
        <v>193.48500000000001</v>
      </c>
      <c r="Q865" s="581">
        <f t="shared" si="691"/>
        <v>193.48500000000001</v>
      </c>
      <c r="R865" s="581">
        <f t="shared" si="691"/>
        <v>193.48500000000001</v>
      </c>
      <c r="S865" s="581">
        <f t="shared" si="691"/>
        <v>193.48500000000001</v>
      </c>
      <c r="T865" s="581">
        <f t="shared" si="691"/>
        <v>193.48500000000001</v>
      </c>
      <c r="U865" s="581">
        <f t="shared" si="691"/>
        <v>193.48500000000001</v>
      </c>
      <c r="V865" s="581">
        <f t="shared" si="691"/>
        <v>193.48500000000001</v>
      </c>
      <c r="W865" s="581">
        <f t="shared" si="691"/>
        <v>193.48500000000001</v>
      </c>
      <c r="X865" s="581">
        <f t="shared" si="691"/>
        <v>193.48500000000001</v>
      </c>
      <c r="Y865" s="581">
        <f t="shared" si="691"/>
        <v>193.48500000000001</v>
      </c>
      <c r="Z865" s="581">
        <f t="shared" si="691"/>
        <v>193.48500000000001</v>
      </c>
      <c r="AA865" s="581">
        <f t="shared" si="691"/>
        <v>193.48500000000001</v>
      </c>
      <c r="AB865" s="581">
        <f t="shared" si="691"/>
        <v>193.48500000000001</v>
      </c>
      <c r="AC865" s="581">
        <f t="shared" si="691"/>
        <v>193.48500000000001</v>
      </c>
      <c r="AD865" s="581">
        <f t="shared" si="691"/>
        <v>193.48500000000001</v>
      </c>
      <c r="AE865" s="581">
        <f t="shared" si="691"/>
        <v>193.48500000000001</v>
      </c>
      <c r="AF865" s="581">
        <f t="shared" si="691"/>
        <v>193.48500000000001</v>
      </c>
      <c r="AH865" s="571"/>
      <c r="AK865" s="531"/>
      <c r="AM865" s="594"/>
      <c r="AN865" s="535"/>
      <c r="AP865" s="549"/>
      <c r="AQ865" s="549"/>
    </row>
    <row r="866" spans="1:43" s="513" customFormat="1" ht="16.5" hidden="1" customHeight="1" outlineLevel="2">
      <c r="A866" s="584"/>
      <c r="B866" s="551" t="s">
        <v>805</v>
      </c>
      <c r="C866" s="643">
        <f>2/12</f>
        <v>0.16666666666666666</v>
      </c>
      <c r="D866" s="643">
        <f t="shared" ref="D866:T867" si="692">C866</f>
        <v>0.16666666666666666</v>
      </c>
      <c r="E866" s="643">
        <f t="shared" si="692"/>
        <v>0.16666666666666666</v>
      </c>
      <c r="F866" s="643">
        <f t="shared" si="692"/>
        <v>0.16666666666666666</v>
      </c>
      <c r="G866" s="643">
        <f t="shared" si="692"/>
        <v>0.16666666666666666</v>
      </c>
      <c r="H866" s="643">
        <f t="shared" si="692"/>
        <v>0.16666666666666666</v>
      </c>
      <c r="I866" s="643">
        <f t="shared" si="692"/>
        <v>0.16666666666666666</v>
      </c>
      <c r="J866" s="643">
        <f t="shared" si="692"/>
        <v>0.16666666666666666</v>
      </c>
      <c r="K866" s="643">
        <f t="shared" si="692"/>
        <v>0.16666666666666666</v>
      </c>
      <c r="L866" s="643">
        <f t="shared" si="692"/>
        <v>0.16666666666666666</v>
      </c>
      <c r="M866" s="643">
        <f t="shared" si="692"/>
        <v>0.16666666666666666</v>
      </c>
      <c r="N866" s="643">
        <f t="shared" si="692"/>
        <v>0.16666666666666666</v>
      </c>
      <c r="O866" s="643">
        <f t="shared" si="692"/>
        <v>0.16666666666666666</v>
      </c>
      <c r="P866" s="643">
        <f t="shared" si="692"/>
        <v>0.16666666666666666</v>
      </c>
      <c r="Q866" s="643">
        <f t="shared" si="692"/>
        <v>0.16666666666666666</v>
      </c>
      <c r="R866" s="643">
        <f t="shared" si="692"/>
        <v>0.16666666666666666</v>
      </c>
      <c r="S866" s="643">
        <f t="shared" si="692"/>
        <v>0.16666666666666666</v>
      </c>
      <c r="T866" s="643">
        <f t="shared" si="692"/>
        <v>0.16666666666666666</v>
      </c>
      <c r="U866" s="643">
        <f t="shared" ref="U866:W867" si="693">T866</f>
        <v>0.16666666666666666</v>
      </c>
      <c r="V866" s="643">
        <f t="shared" si="693"/>
        <v>0.16666666666666666</v>
      </c>
      <c r="W866" s="643">
        <f>V866</f>
        <v>0.16666666666666666</v>
      </c>
      <c r="X866" s="643">
        <f t="shared" ref="X866:AF867" si="694">W866</f>
        <v>0.16666666666666666</v>
      </c>
      <c r="Y866" s="643">
        <f t="shared" si="694"/>
        <v>0.16666666666666666</v>
      </c>
      <c r="Z866" s="643">
        <f t="shared" si="694"/>
        <v>0.16666666666666666</v>
      </c>
      <c r="AA866" s="643">
        <f t="shared" si="694"/>
        <v>0.16666666666666666</v>
      </c>
      <c r="AB866" s="643">
        <f t="shared" si="694"/>
        <v>0.16666666666666666</v>
      </c>
      <c r="AC866" s="643">
        <f t="shared" si="694"/>
        <v>0.16666666666666666</v>
      </c>
      <c r="AD866" s="643">
        <f t="shared" si="694"/>
        <v>0.16666666666666666</v>
      </c>
      <c r="AE866" s="643">
        <f t="shared" si="694"/>
        <v>0.16666666666666666</v>
      </c>
      <c r="AF866" s="643">
        <f t="shared" si="694"/>
        <v>0.16666666666666666</v>
      </c>
      <c r="AH866" s="538"/>
      <c r="AK866" s="531"/>
      <c r="AM866" s="594"/>
      <c r="AN866" s="535"/>
      <c r="AP866" s="540"/>
      <c r="AQ866" s="540"/>
    </row>
    <row r="867" spans="1:43" s="513" customFormat="1" ht="16.5" hidden="1" customHeight="1" outlineLevel="2">
      <c r="A867" s="584"/>
      <c r="B867" s="572" t="s">
        <v>924</v>
      </c>
      <c r="C867" s="592">
        <f>Insumos!$E$58</f>
        <v>1160.9100000000001</v>
      </c>
      <c r="D867" s="592">
        <f>C867</f>
        <v>1160.9100000000001</v>
      </c>
      <c r="E867" s="605">
        <f>D867</f>
        <v>1160.9100000000001</v>
      </c>
      <c r="F867" s="605">
        <f t="shared" si="692"/>
        <v>1160.9100000000001</v>
      </c>
      <c r="G867" s="605">
        <f t="shared" si="692"/>
        <v>1160.9100000000001</v>
      </c>
      <c r="H867" s="605">
        <f t="shared" si="692"/>
        <v>1160.9100000000001</v>
      </c>
      <c r="I867" s="605">
        <f t="shared" si="692"/>
        <v>1160.9100000000001</v>
      </c>
      <c r="J867" s="605">
        <f t="shared" si="692"/>
        <v>1160.9100000000001</v>
      </c>
      <c r="K867" s="605">
        <f t="shared" si="692"/>
        <v>1160.9100000000001</v>
      </c>
      <c r="L867" s="605">
        <f t="shared" si="692"/>
        <v>1160.9100000000001</v>
      </c>
      <c r="M867" s="605">
        <f t="shared" si="692"/>
        <v>1160.9100000000001</v>
      </c>
      <c r="N867" s="605">
        <f t="shared" si="692"/>
        <v>1160.9100000000001</v>
      </c>
      <c r="O867" s="605">
        <f t="shared" si="692"/>
        <v>1160.9100000000001</v>
      </c>
      <c r="P867" s="605">
        <f t="shared" si="692"/>
        <v>1160.9100000000001</v>
      </c>
      <c r="Q867" s="605">
        <f t="shared" si="692"/>
        <v>1160.9100000000001</v>
      </c>
      <c r="R867" s="605">
        <f t="shared" si="692"/>
        <v>1160.9100000000001</v>
      </c>
      <c r="S867" s="605">
        <f t="shared" si="692"/>
        <v>1160.9100000000001</v>
      </c>
      <c r="T867" s="605">
        <f t="shared" si="692"/>
        <v>1160.9100000000001</v>
      </c>
      <c r="U867" s="605">
        <f t="shared" si="693"/>
        <v>1160.9100000000001</v>
      </c>
      <c r="V867" s="605">
        <f t="shared" si="693"/>
        <v>1160.9100000000001</v>
      </c>
      <c r="W867" s="605">
        <f t="shared" si="693"/>
        <v>1160.9100000000001</v>
      </c>
      <c r="X867" s="605">
        <f t="shared" si="694"/>
        <v>1160.9100000000001</v>
      </c>
      <c r="Y867" s="605">
        <f t="shared" si="694"/>
        <v>1160.9100000000001</v>
      </c>
      <c r="Z867" s="605">
        <f t="shared" si="694"/>
        <v>1160.9100000000001</v>
      </c>
      <c r="AA867" s="605">
        <f t="shared" si="694"/>
        <v>1160.9100000000001</v>
      </c>
      <c r="AB867" s="605">
        <f t="shared" si="694"/>
        <v>1160.9100000000001</v>
      </c>
      <c r="AC867" s="605">
        <f t="shared" si="694"/>
        <v>1160.9100000000001</v>
      </c>
      <c r="AD867" s="605">
        <f t="shared" si="694"/>
        <v>1160.9100000000001</v>
      </c>
      <c r="AE867" s="605">
        <f t="shared" si="694"/>
        <v>1160.9100000000001</v>
      </c>
      <c r="AF867" s="605">
        <f t="shared" si="694"/>
        <v>1160.9100000000001</v>
      </c>
      <c r="AH867" s="538"/>
      <c r="AK867" s="531"/>
      <c r="AM867" s="594"/>
      <c r="AN867" s="535"/>
      <c r="AP867" s="540"/>
      <c r="AQ867" s="540"/>
    </row>
    <row r="868" spans="1:43" s="546" customFormat="1" ht="16.5" hidden="1" customHeight="1" outlineLevel="2">
      <c r="A868" s="584"/>
      <c r="B868" s="569" t="s">
        <v>977</v>
      </c>
      <c r="C868" s="581">
        <f>C869*C870</f>
        <v>141.93333333333334</v>
      </c>
      <c r="D868" s="581">
        <f>D869*D870</f>
        <v>141.93333333333334</v>
      </c>
      <c r="E868" s="581">
        <f t="shared" ref="E868:AF868" si="695">E869*E870</f>
        <v>141.93333333333334</v>
      </c>
      <c r="F868" s="581">
        <f t="shared" si="695"/>
        <v>141.93333333333334</v>
      </c>
      <c r="G868" s="581">
        <f t="shared" si="695"/>
        <v>141.93333333333334</v>
      </c>
      <c r="H868" s="581">
        <f t="shared" si="695"/>
        <v>141.93333333333334</v>
      </c>
      <c r="I868" s="581">
        <f t="shared" si="695"/>
        <v>141.93333333333334</v>
      </c>
      <c r="J868" s="581">
        <f t="shared" si="695"/>
        <v>141.93333333333334</v>
      </c>
      <c r="K868" s="581">
        <f t="shared" si="695"/>
        <v>141.93333333333334</v>
      </c>
      <c r="L868" s="581">
        <f t="shared" si="695"/>
        <v>141.93333333333334</v>
      </c>
      <c r="M868" s="581">
        <f t="shared" si="695"/>
        <v>141.93333333333334</v>
      </c>
      <c r="N868" s="581">
        <f t="shared" si="695"/>
        <v>141.93333333333334</v>
      </c>
      <c r="O868" s="581">
        <f t="shared" si="695"/>
        <v>141.93333333333334</v>
      </c>
      <c r="P868" s="581">
        <f t="shared" si="695"/>
        <v>141.93333333333334</v>
      </c>
      <c r="Q868" s="581">
        <f t="shared" si="695"/>
        <v>141.93333333333334</v>
      </c>
      <c r="R868" s="581">
        <f t="shared" si="695"/>
        <v>141.93333333333334</v>
      </c>
      <c r="S868" s="581">
        <f t="shared" si="695"/>
        <v>141.93333333333334</v>
      </c>
      <c r="T868" s="581">
        <f t="shared" si="695"/>
        <v>141.93333333333334</v>
      </c>
      <c r="U868" s="581">
        <f t="shared" si="695"/>
        <v>141.93333333333334</v>
      </c>
      <c r="V868" s="581">
        <f t="shared" si="695"/>
        <v>141.93333333333334</v>
      </c>
      <c r="W868" s="581">
        <f t="shared" si="695"/>
        <v>141.93333333333334</v>
      </c>
      <c r="X868" s="581">
        <f t="shared" si="695"/>
        <v>141.93333333333334</v>
      </c>
      <c r="Y868" s="581">
        <f t="shared" si="695"/>
        <v>141.93333333333334</v>
      </c>
      <c r="Z868" s="581">
        <f t="shared" si="695"/>
        <v>141.93333333333334</v>
      </c>
      <c r="AA868" s="581">
        <f t="shared" si="695"/>
        <v>141.93333333333334</v>
      </c>
      <c r="AB868" s="581">
        <f t="shared" si="695"/>
        <v>141.93333333333334</v>
      </c>
      <c r="AC868" s="581">
        <f t="shared" si="695"/>
        <v>141.93333333333334</v>
      </c>
      <c r="AD868" s="581">
        <f t="shared" si="695"/>
        <v>141.93333333333334</v>
      </c>
      <c r="AE868" s="581">
        <f t="shared" si="695"/>
        <v>141.93333333333334</v>
      </c>
      <c r="AF868" s="581">
        <f t="shared" si="695"/>
        <v>141.93333333333334</v>
      </c>
      <c r="AH868" s="571"/>
      <c r="AK868" s="531"/>
      <c r="AM868" s="594"/>
      <c r="AN868" s="535"/>
      <c r="AP868" s="549"/>
      <c r="AQ868" s="549"/>
    </row>
    <row r="869" spans="1:43" s="513" customFormat="1" ht="16.5" hidden="1" customHeight="1" outlineLevel="2">
      <c r="A869" s="584"/>
      <c r="B869" s="551" t="s">
        <v>805</v>
      </c>
      <c r="C869" s="643">
        <f>8/12</f>
        <v>0.66666666666666663</v>
      </c>
      <c r="D869" s="643">
        <f t="shared" ref="D869:T870" si="696">C869</f>
        <v>0.66666666666666663</v>
      </c>
      <c r="E869" s="643">
        <f t="shared" si="696"/>
        <v>0.66666666666666663</v>
      </c>
      <c r="F869" s="643">
        <f t="shared" si="696"/>
        <v>0.66666666666666663</v>
      </c>
      <c r="G869" s="643">
        <f t="shared" si="696"/>
        <v>0.66666666666666663</v>
      </c>
      <c r="H869" s="643">
        <f t="shared" si="696"/>
        <v>0.66666666666666663</v>
      </c>
      <c r="I869" s="643">
        <f t="shared" si="696"/>
        <v>0.66666666666666663</v>
      </c>
      <c r="J869" s="643">
        <f t="shared" si="696"/>
        <v>0.66666666666666663</v>
      </c>
      <c r="K869" s="643">
        <f t="shared" si="696"/>
        <v>0.66666666666666663</v>
      </c>
      <c r="L869" s="643">
        <f t="shared" si="696"/>
        <v>0.66666666666666663</v>
      </c>
      <c r="M869" s="643">
        <f t="shared" si="696"/>
        <v>0.66666666666666663</v>
      </c>
      <c r="N869" s="643">
        <f t="shared" si="696"/>
        <v>0.66666666666666663</v>
      </c>
      <c r="O869" s="643">
        <f t="shared" si="696"/>
        <v>0.66666666666666663</v>
      </c>
      <c r="P869" s="643">
        <f t="shared" si="696"/>
        <v>0.66666666666666663</v>
      </c>
      <c r="Q869" s="643">
        <f t="shared" si="696"/>
        <v>0.66666666666666663</v>
      </c>
      <c r="R869" s="643">
        <f t="shared" si="696"/>
        <v>0.66666666666666663</v>
      </c>
      <c r="S869" s="643">
        <f t="shared" si="696"/>
        <v>0.66666666666666663</v>
      </c>
      <c r="T869" s="643">
        <f t="shared" si="696"/>
        <v>0.66666666666666663</v>
      </c>
      <c r="U869" s="643">
        <f t="shared" ref="U869:W870" si="697">T869</f>
        <v>0.66666666666666663</v>
      </c>
      <c r="V869" s="643">
        <f t="shared" si="697"/>
        <v>0.66666666666666663</v>
      </c>
      <c r="W869" s="643">
        <f>V869</f>
        <v>0.66666666666666663</v>
      </c>
      <c r="X869" s="643">
        <f t="shared" ref="X869:AF870" si="698">W869</f>
        <v>0.66666666666666663</v>
      </c>
      <c r="Y869" s="643">
        <f t="shared" si="698"/>
        <v>0.66666666666666663</v>
      </c>
      <c r="Z869" s="643">
        <f t="shared" si="698"/>
        <v>0.66666666666666663</v>
      </c>
      <c r="AA869" s="643">
        <f t="shared" si="698"/>
        <v>0.66666666666666663</v>
      </c>
      <c r="AB869" s="643">
        <f t="shared" si="698"/>
        <v>0.66666666666666663</v>
      </c>
      <c r="AC869" s="643">
        <f t="shared" si="698"/>
        <v>0.66666666666666663</v>
      </c>
      <c r="AD869" s="643">
        <f t="shared" si="698"/>
        <v>0.66666666666666663</v>
      </c>
      <c r="AE869" s="643">
        <f t="shared" si="698"/>
        <v>0.66666666666666663</v>
      </c>
      <c r="AF869" s="643">
        <f t="shared" si="698"/>
        <v>0.66666666666666663</v>
      </c>
      <c r="AH869" s="538"/>
      <c r="AK869" s="531"/>
      <c r="AM869" s="594"/>
      <c r="AN869" s="535"/>
      <c r="AP869" s="540"/>
      <c r="AQ869" s="540"/>
    </row>
    <row r="870" spans="1:43" s="513" customFormat="1" ht="16.5" hidden="1" customHeight="1" outlineLevel="2">
      <c r="A870" s="584"/>
      <c r="B870" s="572" t="s">
        <v>924</v>
      </c>
      <c r="C870" s="592">
        <f>Insumos!$E$57</f>
        <v>212.9</v>
      </c>
      <c r="D870" s="605">
        <f t="shared" si="696"/>
        <v>212.9</v>
      </c>
      <c r="E870" s="605">
        <f t="shared" si="696"/>
        <v>212.9</v>
      </c>
      <c r="F870" s="605">
        <f t="shared" si="696"/>
        <v>212.9</v>
      </c>
      <c r="G870" s="605">
        <f t="shared" si="696"/>
        <v>212.9</v>
      </c>
      <c r="H870" s="605">
        <f t="shared" si="696"/>
        <v>212.9</v>
      </c>
      <c r="I870" s="605">
        <f t="shared" si="696"/>
        <v>212.9</v>
      </c>
      <c r="J870" s="605">
        <f t="shared" si="696"/>
        <v>212.9</v>
      </c>
      <c r="K870" s="605">
        <f t="shared" si="696"/>
        <v>212.9</v>
      </c>
      <c r="L870" s="605">
        <f t="shared" si="696"/>
        <v>212.9</v>
      </c>
      <c r="M870" s="605">
        <f t="shared" si="696"/>
        <v>212.9</v>
      </c>
      <c r="N870" s="605">
        <f t="shared" si="696"/>
        <v>212.9</v>
      </c>
      <c r="O870" s="605">
        <f t="shared" si="696"/>
        <v>212.9</v>
      </c>
      <c r="P870" s="605">
        <f t="shared" si="696"/>
        <v>212.9</v>
      </c>
      <c r="Q870" s="605">
        <f t="shared" si="696"/>
        <v>212.9</v>
      </c>
      <c r="R870" s="605">
        <f t="shared" si="696"/>
        <v>212.9</v>
      </c>
      <c r="S870" s="605">
        <f t="shared" si="696"/>
        <v>212.9</v>
      </c>
      <c r="T870" s="605">
        <f t="shared" si="696"/>
        <v>212.9</v>
      </c>
      <c r="U870" s="605">
        <f t="shared" si="697"/>
        <v>212.9</v>
      </c>
      <c r="V870" s="605">
        <f t="shared" si="697"/>
        <v>212.9</v>
      </c>
      <c r="W870" s="605">
        <f t="shared" si="697"/>
        <v>212.9</v>
      </c>
      <c r="X870" s="605">
        <f t="shared" si="698"/>
        <v>212.9</v>
      </c>
      <c r="Y870" s="605">
        <f t="shared" si="698"/>
        <v>212.9</v>
      </c>
      <c r="Z870" s="605">
        <f t="shared" si="698"/>
        <v>212.9</v>
      </c>
      <c r="AA870" s="605">
        <f t="shared" si="698"/>
        <v>212.9</v>
      </c>
      <c r="AB870" s="605">
        <f t="shared" si="698"/>
        <v>212.9</v>
      </c>
      <c r="AC870" s="605">
        <f t="shared" si="698"/>
        <v>212.9</v>
      </c>
      <c r="AD870" s="605">
        <f t="shared" si="698"/>
        <v>212.9</v>
      </c>
      <c r="AE870" s="605">
        <f t="shared" si="698"/>
        <v>212.9</v>
      </c>
      <c r="AF870" s="605">
        <f t="shared" si="698"/>
        <v>212.9</v>
      </c>
      <c r="AH870" s="538"/>
      <c r="AK870" s="531"/>
      <c r="AM870" s="594"/>
      <c r="AN870" s="535"/>
      <c r="AP870" s="540"/>
      <c r="AQ870" s="540"/>
    </row>
    <row r="871" spans="1:43" s="546" customFormat="1" ht="16.5" hidden="1" customHeight="1" outlineLevel="2">
      <c r="A871" s="584"/>
      <c r="B871" s="569" t="s">
        <v>978</v>
      </c>
      <c r="C871" s="581">
        <f>C872*C873</f>
        <v>46</v>
      </c>
      <c r="D871" s="581">
        <f t="shared" ref="D871:AF871" si="699">D872*D873</f>
        <v>46</v>
      </c>
      <c r="E871" s="581">
        <f t="shared" si="699"/>
        <v>46</v>
      </c>
      <c r="F871" s="581">
        <f t="shared" si="699"/>
        <v>46</v>
      </c>
      <c r="G871" s="581">
        <f t="shared" si="699"/>
        <v>46</v>
      </c>
      <c r="H871" s="581">
        <f t="shared" si="699"/>
        <v>46</v>
      </c>
      <c r="I871" s="581">
        <f t="shared" si="699"/>
        <v>46</v>
      </c>
      <c r="J871" s="581">
        <f t="shared" si="699"/>
        <v>46</v>
      </c>
      <c r="K871" s="581">
        <f t="shared" si="699"/>
        <v>46</v>
      </c>
      <c r="L871" s="581">
        <f t="shared" si="699"/>
        <v>46</v>
      </c>
      <c r="M871" s="581">
        <f t="shared" si="699"/>
        <v>46</v>
      </c>
      <c r="N871" s="581">
        <f t="shared" si="699"/>
        <v>46</v>
      </c>
      <c r="O871" s="581">
        <f t="shared" si="699"/>
        <v>46</v>
      </c>
      <c r="P871" s="581">
        <f t="shared" si="699"/>
        <v>46</v>
      </c>
      <c r="Q871" s="581">
        <f t="shared" si="699"/>
        <v>46</v>
      </c>
      <c r="R871" s="581">
        <f t="shared" si="699"/>
        <v>46</v>
      </c>
      <c r="S871" s="581">
        <f t="shared" si="699"/>
        <v>46</v>
      </c>
      <c r="T871" s="581">
        <f t="shared" si="699"/>
        <v>46</v>
      </c>
      <c r="U871" s="581">
        <f t="shared" si="699"/>
        <v>46</v>
      </c>
      <c r="V871" s="581">
        <f t="shared" si="699"/>
        <v>46</v>
      </c>
      <c r="W871" s="581">
        <f t="shared" si="699"/>
        <v>46</v>
      </c>
      <c r="X871" s="581">
        <f t="shared" si="699"/>
        <v>46</v>
      </c>
      <c r="Y871" s="581">
        <f t="shared" si="699"/>
        <v>46</v>
      </c>
      <c r="Z871" s="581">
        <f t="shared" si="699"/>
        <v>46</v>
      </c>
      <c r="AA871" s="581">
        <f t="shared" si="699"/>
        <v>46</v>
      </c>
      <c r="AB871" s="581">
        <f t="shared" si="699"/>
        <v>46</v>
      </c>
      <c r="AC871" s="581">
        <f t="shared" si="699"/>
        <v>46</v>
      </c>
      <c r="AD871" s="581">
        <f t="shared" si="699"/>
        <v>46</v>
      </c>
      <c r="AE871" s="581">
        <f t="shared" si="699"/>
        <v>46</v>
      </c>
      <c r="AF871" s="581">
        <f t="shared" si="699"/>
        <v>46</v>
      </c>
      <c r="AH871" s="571"/>
      <c r="AK871" s="531"/>
      <c r="AM871" s="594"/>
      <c r="AN871" s="535"/>
      <c r="AP871" s="549"/>
      <c r="AQ871" s="549"/>
    </row>
    <row r="872" spans="1:43" s="513" customFormat="1" ht="16.5" hidden="1" customHeight="1" outlineLevel="2">
      <c r="A872" s="584"/>
      <c r="B872" s="551" t="s">
        <v>805</v>
      </c>
      <c r="C872" s="643">
        <v>2</v>
      </c>
      <c r="D872" s="643">
        <v>2</v>
      </c>
      <c r="E872" s="643">
        <v>2</v>
      </c>
      <c r="F872" s="643">
        <v>2</v>
      </c>
      <c r="G872" s="643">
        <v>2</v>
      </c>
      <c r="H872" s="643">
        <v>2</v>
      </c>
      <c r="I872" s="643">
        <v>2</v>
      </c>
      <c r="J872" s="643">
        <v>2</v>
      </c>
      <c r="K872" s="643">
        <v>2</v>
      </c>
      <c r="L872" s="643">
        <v>2</v>
      </c>
      <c r="M872" s="643">
        <v>2</v>
      </c>
      <c r="N872" s="643">
        <v>2</v>
      </c>
      <c r="O872" s="643">
        <v>2</v>
      </c>
      <c r="P872" s="643">
        <v>2</v>
      </c>
      <c r="Q872" s="643">
        <v>2</v>
      </c>
      <c r="R872" s="643">
        <v>2</v>
      </c>
      <c r="S872" s="643">
        <v>2</v>
      </c>
      <c r="T872" s="643">
        <v>2</v>
      </c>
      <c r="U872" s="643">
        <v>2</v>
      </c>
      <c r="V872" s="643">
        <v>2</v>
      </c>
      <c r="W872" s="643">
        <v>2</v>
      </c>
      <c r="X872" s="643">
        <v>2</v>
      </c>
      <c r="Y872" s="643">
        <v>2</v>
      </c>
      <c r="Z872" s="643">
        <v>2</v>
      </c>
      <c r="AA872" s="643">
        <v>2</v>
      </c>
      <c r="AB872" s="643">
        <v>2</v>
      </c>
      <c r="AC872" s="643">
        <v>2</v>
      </c>
      <c r="AD872" s="643">
        <v>2</v>
      </c>
      <c r="AE872" s="643">
        <v>2</v>
      </c>
      <c r="AF872" s="643">
        <v>2</v>
      </c>
      <c r="AH872" s="538"/>
      <c r="AK872" s="531"/>
      <c r="AM872" s="594"/>
      <c r="AN872" s="535"/>
      <c r="AP872" s="540"/>
      <c r="AQ872" s="540"/>
    </row>
    <row r="873" spans="1:43" s="513" customFormat="1" ht="16.5" hidden="1" customHeight="1" outlineLevel="2">
      <c r="A873" s="584"/>
      <c r="B873" s="572" t="s">
        <v>924</v>
      </c>
      <c r="C873" s="592">
        <f>Insumos!$E$68</f>
        <v>23</v>
      </c>
      <c r="D873" s="605">
        <f t="shared" ref="D873:T873" si="700">C873</f>
        <v>23</v>
      </c>
      <c r="E873" s="605">
        <f t="shared" si="700"/>
        <v>23</v>
      </c>
      <c r="F873" s="605">
        <f t="shared" si="700"/>
        <v>23</v>
      </c>
      <c r="G873" s="605">
        <f t="shared" si="700"/>
        <v>23</v>
      </c>
      <c r="H873" s="605">
        <f t="shared" si="700"/>
        <v>23</v>
      </c>
      <c r="I873" s="605">
        <f t="shared" si="700"/>
        <v>23</v>
      </c>
      <c r="J873" s="605">
        <f t="shared" si="700"/>
        <v>23</v>
      </c>
      <c r="K873" s="605">
        <f t="shared" si="700"/>
        <v>23</v>
      </c>
      <c r="L873" s="605">
        <f t="shared" si="700"/>
        <v>23</v>
      </c>
      <c r="M873" s="605">
        <f t="shared" si="700"/>
        <v>23</v>
      </c>
      <c r="N873" s="605">
        <f t="shared" si="700"/>
        <v>23</v>
      </c>
      <c r="O873" s="605">
        <f t="shared" si="700"/>
        <v>23</v>
      </c>
      <c r="P873" s="605">
        <f t="shared" si="700"/>
        <v>23</v>
      </c>
      <c r="Q873" s="605">
        <f t="shared" si="700"/>
        <v>23</v>
      </c>
      <c r="R873" s="605">
        <f t="shared" si="700"/>
        <v>23</v>
      </c>
      <c r="S873" s="605">
        <f t="shared" si="700"/>
        <v>23</v>
      </c>
      <c r="T873" s="605">
        <f t="shared" si="700"/>
        <v>23</v>
      </c>
      <c r="U873" s="605">
        <f t="shared" ref="U873:W873" si="701">T873</f>
        <v>23</v>
      </c>
      <c r="V873" s="605">
        <f t="shared" si="701"/>
        <v>23</v>
      </c>
      <c r="W873" s="605">
        <f t="shared" si="701"/>
        <v>23</v>
      </c>
      <c r="X873" s="605">
        <f t="shared" ref="X873:AF876" si="702">W873</f>
        <v>23</v>
      </c>
      <c r="Y873" s="605">
        <f t="shared" si="702"/>
        <v>23</v>
      </c>
      <c r="Z873" s="605">
        <f t="shared" si="702"/>
        <v>23</v>
      </c>
      <c r="AA873" s="605">
        <f t="shared" si="702"/>
        <v>23</v>
      </c>
      <c r="AB873" s="605">
        <f t="shared" si="702"/>
        <v>23</v>
      </c>
      <c r="AC873" s="605">
        <f t="shared" si="702"/>
        <v>23</v>
      </c>
      <c r="AD873" s="605">
        <f t="shared" si="702"/>
        <v>23</v>
      </c>
      <c r="AE873" s="605">
        <f t="shared" si="702"/>
        <v>23</v>
      </c>
      <c r="AF873" s="605">
        <f t="shared" si="702"/>
        <v>23</v>
      </c>
      <c r="AH873" s="538"/>
      <c r="AK873" s="531"/>
      <c r="AM873" s="594"/>
      <c r="AN873" s="535"/>
      <c r="AP873" s="540"/>
      <c r="AQ873" s="540"/>
    </row>
    <row r="874" spans="1:43" s="546" customFormat="1" ht="16.5" hidden="1" customHeight="1" outlineLevel="2">
      <c r="A874" s="584"/>
      <c r="B874" s="569" t="s">
        <v>979</v>
      </c>
      <c r="C874" s="581">
        <f>C875*C876</f>
        <v>67.08</v>
      </c>
      <c r="D874" s="581">
        <f>D875*D876</f>
        <v>67.08</v>
      </c>
      <c r="E874" s="581">
        <f t="shared" ref="E874:AF874" si="703">E875*E876</f>
        <v>67.08</v>
      </c>
      <c r="F874" s="581">
        <f t="shared" si="703"/>
        <v>67.08</v>
      </c>
      <c r="G874" s="581">
        <f t="shared" si="703"/>
        <v>67.08</v>
      </c>
      <c r="H874" s="581">
        <f t="shared" si="703"/>
        <v>67.08</v>
      </c>
      <c r="I874" s="581">
        <f t="shared" si="703"/>
        <v>67.08</v>
      </c>
      <c r="J874" s="581">
        <f t="shared" si="703"/>
        <v>67.08</v>
      </c>
      <c r="K874" s="581">
        <f t="shared" si="703"/>
        <v>67.08</v>
      </c>
      <c r="L874" s="581">
        <f t="shared" si="703"/>
        <v>67.08</v>
      </c>
      <c r="M874" s="581">
        <f t="shared" si="703"/>
        <v>67.08</v>
      </c>
      <c r="N874" s="581">
        <f t="shared" si="703"/>
        <v>67.08</v>
      </c>
      <c r="O874" s="581">
        <f t="shared" si="703"/>
        <v>67.08</v>
      </c>
      <c r="P874" s="581">
        <f t="shared" si="703"/>
        <v>67.08</v>
      </c>
      <c r="Q874" s="581">
        <f t="shared" si="703"/>
        <v>67.08</v>
      </c>
      <c r="R874" s="581">
        <f t="shared" si="703"/>
        <v>67.08</v>
      </c>
      <c r="S874" s="581">
        <f t="shared" si="703"/>
        <v>67.08</v>
      </c>
      <c r="T874" s="581">
        <f t="shared" si="703"/>
        <v>67.08</v>
      </c>
      <c r="U874" s="581">
        <f t="shared" si="703"/>
        <v>67.08</v>
      </c>
      <c r="V874" s="581">
        <f t="shared" si="703"/>
        <v>67.08</v>
      </c>
      <c r="W874" s="581">
        <f t="shared" si="703"/>
        <v>67.08</v>
      </c>
      <c r="X874" s="581">
        <f t="shared" si="703"/>
        <v>67.08</v>
      </c>
      <c r="Y874" s="581">
        <f t="shared" si="703"/>
        <v>67.08</v>
      </c>
      <c r="Z874" s="581">
        <f t="shared" si="703"/>
        <v>67.08</v>
      </c>
      <c r="AA874" s="581">
        <f t="shared" si="703"/>
        <v>67.08</v>
      </c>
      <c r="AB874" s="581">
        <f t="shared" si="703"/>
        <v>67.08</v>
      </c>
      <c r="AC874" s="581">
        <f t="shared" si="703"/>
        <v>67.08</v>
      </c>
      <c r="AD874" s="581">
        <f t="shared" si="703"/>
        <v>67.08</v>
      </c>
      <c r="AE874" s="581">
        <f t="shared" si="703"/>
        <v>67.08</v>
      </c>
      <c r="AF874" s="581">
        <f t="shared" si="703"/>
        <v>67.08</v>
      </c>
      <c r="AH874" s="571"/>
      <c r="AK874" s="531"/>
      <c r="AM874" s="594"/>
      <c r="AN874" s="535"/>
      <c r="AP874" s="549"/>
      <c r="AQ874" s="549"/>
    </row>
    <row r="875" spans="1:43" s="513" customFormat="1" ht="16.5" hidden="1" customHeight="1" outlineLevel="2">
      <c r="A875" s="584"/>
      <c r="B875" s="551" t="s">
        <v>805</v>
      </c>
      <c r="C875" s="643">
        <f>1*6*26</f>
        <v>156</v>
      </c>
      <c r="D875" s="643">
        <f t="shared" ref="D875:T876" si="704">C875</f>
        <v>156</v>
      </c>
      <c r="E875" s="643">
        <f t="shared" si="704"/>
        <v>156</v>
      </c>
      <c r="F875" s="643">
        <f t="shared" si="704"/>
        <v>156</v>
      </c>
      <c r="G875" s="643">
        <f t="shared" si="704"/>
        <v>156</v>
      </c>
      <c r="H875" s="643">
        <f t="shared" si="704"/>
        <v>156</v>
      </c>
      <c r="I875" s="643">
        <f t="shared" si="704"/>
        <v>156</v>
      </c>
      <c r="J875" s="643">
        <f t="shared" si="704"/>
        <v>156</v>
      </c>
      <c r="K875" s="643">
        <f t="shared" si="704"/>
        <v>156</v>
      </c>
      <c r="L875" s="643">
        <f t="shared" si="704"/>
        <v>156</v>
      </c>
      <c r="M875" s="643">
        <f t="shared" si="704"/>
        <v>156</v>
      </c>
      <c r="N875" s="643">
        <f t="shared" si="704"/>
        <v>156</v>
      </c>
      <c r="O875" s="643">
        <f t="shared" si="704"/>
        <v>156</v>
      </c>
      <c r="P875" s="643">
        <f t="shared" si="704"/>
        <v>156</v>
      </c>
      <c r="Q875" s="643">
        <f t="shared" si="704"/>
        <v>156</v>
      </c>
      <c r="R875" s="643">
        <f t="shared" si="704"/>
        <v>156</v>
      </c>
      <c r="S875" s="643">
        <f t="shared" si="704"/>
        <v>156</v>
      </c>
      <c r="T875" s="643">
        <f t="shared" si="704"/>
        <v>156</v>
      </c>
      <c r="U875" s="643">
        <f t="shared" ref="U875:W876" si="705">T875</f>
        <v>156</v>
      </c>
      <c r="V875" s="643">
        <f t="shared" si="705"/>
        <v>156</v>
      </c>
      <c r="W875" s="643">
        <f>V875</f>
        <v>156</v>
      </c>
      <c r="X875" s="643">
        <f t="shared" si="702"/>
        <v>156</v>
      </c>
      <c r="Y875" s="643">
        <f t="shared" si="702"/>
        <v>156</v>
      </c>
      <c r="Z875" s="643">
        <f t="shared" si="702"/>
        <v>156</v>
      </c>
      <c r="AA875" s="643">
        <f t="shared" si="702"/>
        <v>156</v>
      </c>
      <c r="AB875" s="643">
        <f t="shared" si="702"/>
        <v>156</v>
      </c>
      <c r="AC875" s="643">
        <f t="shared" si="702"/>
        <v>156</v>
      </c>
      <c r="AD875" s="643">
        <f t="shared" si="702"/>
        <v>156</v>
      </c>
      <c r="AE875" s="643">
        <f t="shared" si="702"/>
        <v>156</v>
      </c>
      <c r="AF875" s="643">
        <f t="shared" si="702"/>
        <v>156</v>
      </c>
      <c r="AH875" s="538"/>
      <c r="AK875" s="531"/>
      <c r="AM875" s="594"/>
      <c r="AN875" s="535"/>
      <c r="AP875" s="540"/>
      <c r="AQ875" s="540"/>
    </row>
    <row r="876" spans="1:43" s="513" customFormat="1" ht="16.5" hidden="1" customHeight="1" outlineLevel="2">
      <c r="A876" s="584"/>
      <c r="B876" s="572" t="s">
        <v>924</v>
      </c>
      <c r="C876" s="638">
        <f>Insumos!$E$66</f>
        <v>0.43</v>
      </c>
      <c r="D876" s="612">
        <f t="shared" si="704"/>
        <v>0.43</v>
      </c>
      <c r="E876" s="612">
        <f t="shared" si="704"/>
        <v>0.43</v>
      </c>
      <c r="F876" s="612">
        <f t="shared" si="704"/>
        <v>0.43</v>
      </c>
      <c r="G876" s="612">
        <f t="shared" si="704"/>
        <v>0.43</v>
      </c>
      <c r="H876" s="612">
        <f t="shared" si="704"/>
        <v>0.43</v>
      </c>
      <c r="I876" s="612">
        <f t="shared" si="704"/>
        <v>0.43</v>
      </c>
      <c r="J876" s="612">
        <f t="shared" si="704"/>
        <v>0.43</v>
      </c>
      <c r="K876" s="612">
        <f t="shared" si="704"/>
        <v>0.43</v>
      </c>
      <c r="L876" s="612">
        <f t="shared" si="704"/>
        <v>0.43</v>
      </c>
      <c r="M876" s="612">
        <f t="shared" si="704"/>
        <v>0.43</v>
      </c>
      <c r="N876" s="612">
        <f t="shared" si="704"/>
        <v>0.43</v>
      </c>
      <c r="O876" s="612">
        <f t="shared" si="704"/>
        <v>0.43</v>
      </c>
      <c r="P876" s="612">
        <f t="shared" si="704"/>
        <v>0.43</v>
      </c>
      <c r="Q876" s="612">
        <f t="shared" si="704"/>
        <v>0.43</v>
      </c>
      <c r="R876" s="612">
        <f t="shared" si="704"/>
        <v>0.43</v>
      </c>
      <c r="S876" s="612">
        <f t="shared" si="704"/>
        <v>0.43</v>
      </c>
      <c r="T876" s="612">
        <f t="shared" si="704"/>
        <v>0.43</v>
      </c>
      <c r="U876" s="612">
        <f t="shared" si="705"/>
        <v>0.43</v>
      </c>
      <c r="V876" s="612">
        <f t="shared" si="705"/>
        <v>0.43</v>
      </c>
      <c r="W876" s="612">
        <f t="shared" si="705"/>
        <v>0.43</v>
      </c>
      <c r="X876" s="612">
        <f t="shared" si="702"/>
        <v>0.43</v>
      </c>
      <c r="Y876" s="612">
        <f t="shared" si="702"/>
        <v>0.43</v>
      </c>
      <c r="Z876" s="612">
        <f t="shared" si="702"/>
        <v>0.43</v>
      </c>
      <c r="AA876" s="612">
        <f t="shared" si="702"/>
        <v>0.43</v>
      </c>
      <c r="AB876" s="612">
        <f t="shared" si="702"/>
        <v>0.43</v>
      </c>
      <c r="AC876" s="612">
        <f t="shared" si="702"/>
        <v>0.43</v>
      </c>
      <c r="AD876" s="612">
        <f t="shared" si="702"/>
        <v>0.43</v>
      </c>
      <c r="AE876" s="612">
        <f t="shared" si="702"/>
        <v>0.43</v>
      </c>
      <c r="AF876" s="612">
        <f t="shared" si="702"/>
        <v>0.43</v>
      </c>
      <c r="AH876" s="538"/>
      <c r="AK876" s="531"/>
      <c r="AM876" s="594"/>
      <c r="AN876" s="535"/>
      <c r="AP876" s="540"/>
      <c r="AQ876" s="540"/>
    </row>
    <row r="877" spans="1:43" s="546" customFormat="1" ht="16.5" hidden="1" customHeight="1" outlineLevel="2">
      <c r="A877" s="584"/>
      <c r="B877" s="569" t="s">
        <v>958</v>
      </c>
      <c r="C877" s="581">
        <f>C878*C879</f>
        <v>22.59</v>
      </c>
      <c r="D877" s="581">
        <f>D878*D879</f>
        <v>22.59</v>
      </c>
      <c r="E877" s="581">
        <f t="shared" ref="E877:AF877" si="706">E878*E879</f>
        <v>22.59</v>
      </c>
      <c r="F877" s="581">
        <f t="shared" si="706"/>
        <v>22.59</v>
      </c>
      <c r="G877" s="581">
        <f t="shared" si="706"/>
        <v>22.59</v>
      </c>
      <c r="H877" s="581">
        <f t="shared" si="706"/>
        <v>22.59</v>
      </c>
      <c r="I877" s="581">
        <f t="shared" si="706"/>
        <v>22.59</v>
      </c>
      <c r="J877" s="581">
        <f t="shared" si="706"/>
        <v>22.59</v>
      </c>
      <c r="K877" s="581">
        <f t="shared" si="706"/>
        <v>22.59</v>
      </c>
      <c r="L877" s="581">
        <f t="shared" si="706"/>
        <v>22.59</v>
      </c>
      <c r="M877" s="581">
        <f t="shared" si="706"/>
        <v>22.59</v>
      </c>
      <c r="N877" s="581">
        <f t="shared" si="706"/>
        <v>22.59</v>
      </c>
      <c r="O877" s="581">
        <f t="shared" si="706"/>
        <v>22.59</v>
      </c>
      <c r="P877" s="581">
        <f t="shared" si="706"/>
        <v>22.59</v>
      </c>
      <c r="Q877" s="581">
        <f t="shared" si="706"/>
        <v>22.59</v>
      </c>
      <c r="R877" s="581">
        <f t="shared" si="706"/>
        <v>22.59</v>
      </c>
      <c r="S877" s="581">
        <f t="shared" si="706"/>
        <v>22.59</v>
      </c>
      <c r="T877" s="581">
        <f t="shared" si="706"/>
        <v>22.59</v>
      </c>
      <c r="U877" s="581">
        <f t="shared" si="706"/>
        <v>22.59</v>
      </c>
      <c r="V877" s="581">
        <f t="shared" si="706"/>
        <v>22.59</v>
      </c>
      <c r="W877" s="581">
        <f t="shared" si="706"/>
        <v>22.59</v>
      </c>
      <c r="X877" s="581">
        <f t="shared" si="706"/>
        <v>22.59</v>
      </c>
      <c r="Y877" s="581">
        <f t="shared" si="706"/>
        <v>22.59</v>
      </c>
      <c r="Z877" s="581">
        <f t="shared" si="706"/>
        <v>22.59</v>
      </c>
      <c r="AA877" s="581">
        <f t="shared" si="706"/>
        <v>22.59</v>
      </c>
      <c r="AB877" s="581">
        <f t="shared" si="706"/>
        <v>22.59</v>
      </c>
      <c r="AC877" s="581">
        <f t="shared" si="706"/>
        <v>22.59</v>
      </c>
      <c r="AD877" s="581">
        <f t="shared" si="706"/>
        <v>22.59</v>
      </c>
      <c r="AE877" s="581">
        <f t="shared" si="706"/>
        <v>22.59</v>
      </c>
      <c r="AF877" s="581">
        <f t="shared" si="706"/>
        <v>22.59</v>
      </c>
      <c r="AH877" s="571"/>
      <c r="AK877" s="531"/>
      <c r="AM877" s="594"/>
      <c r="AN877" s="535"/>
      <c r="AP877" s="549"/>
      <c r="AQ877" s="549"/>
    </row>
    <row r="878" spans="1:43" s="513" customFormat="1" ht="16.5" hidden="1" customHeight="1" outlineLevel="2">
      <c r="A878" s="584"/>
      <c r="B878" s="551" t="s">
        <v>805</v>
      </c>
      <c r="C878" s="643">
        <v>1</v>
      </c>
      <c r="D878" s="643">
        <v>1</v>
      </c>
      <c r="E878" s="643">
        <v>1</v>
      </c>
      <c r="F878" s="643">
        <v>1</v>
      </c>
      <c r="G878" s="643">
        <v>1</v>
      </c>
      <c r="H878" s="643">
        <v>1</v>
      </c>
      <c r="I878" s="643">
        <v>1</v>
      </c>
      <c r="J878" s="643">
        <v>1</v>
      </c>
      <c r="K878" s="643">
        <v>1</v>
      </c>
      <c r="L878" s="643">
        <v>1</v>
      </c>
      <c r="M878" s="643">
        <v>1</v>
      </c>
      <c r="N878" s="643">
        <v>1</v>
      </c>
      <c r="O878" s="643">
        <v>1</v>
      </c>
      <c r="P878" s="643">
        <v>1</v>
      </c>
      <c r="Q878" s="643">
        <v>1</v>
      </c>
      <c r="R878" s="643">
        <v>1</v>
      </c>
      <c r="S878" s="643">
        <v>1</v>
      </c>
      <c r="T878" s="643">
        <v>1</v>
      </c>
      <c r="U878" s="643">
        <v>1</v>
      </c>
      <c r="V878" s="643">
        <v>1</v>
      </c>
      <c r="W878" s="643">
        <v>1</v>
      </c>
      <c r="X878" s="643">
        <v>1</v>
      </c>
      <c r="Y878" s="643">
        <v>1</v>
      </c>
      <c r="Z878" s="643">
        <v>1</v>
      </c>
      <c r="AA878" s="643">
        <v>1</v>
      </c>
      <c r="AB878" s="643">
        <v>1</v>
      </c>
      <c r="AC878" s="643">
        <v>1</v>
      </c>
      <c r="AD878" s="643">
        <v>1</v>
      </c>
      <c r="AE878" s="643">
        <v>1</v>
      </c>
      <c r="AF878" s="643">
        <v>1</v>
      </c>
      <c r="AH878" s="538"/>
      <c r="AK878" s="531"/>
      <c r="AM878" s="594"/>
      <c r="AN878" s="535"/>
      <c r="AP878" s="540"/>
      <c r="AQ878" s="540"/>
    </row>
    <row r="879" spans="1:43" s="513" customFormat="1" ht="16.5" hidden="1" customHeight="1" outlineLevel="2">
      <c r="A879" s="584"/>
      <c r="B879" s="572" t="s">
        <v>924</v>
      </c>
      <c r="C879" s="592">
        <f>Insumos!$E$59</f>
        <v>22.59</v>
      </c>
      <c r="D879" s="605">
        <f t="shared" ref="D879:AF879" si="707">C879</f>
        <v>22.59</v>
      </c>
      <c r="E879" s="605">
        <f t="shared" si="707"/>
        <v>22.59</v>
      </c>
      <c r="F879" s="605">
        <f t="shared" si="707"/>
        <v>22.59</v>
      </c>
      <c r="G879" s="605">
        <f t="shared" si="707"/>
        <v>22.59</v>
      </c>
      <c r="H879" s="605">
        <f t="shared" si="707"/>
        <v>22.59</v>
      </c>
      <c r="I879" s="605">
        <f t="shared" si="707"/>
        <v>22.59</v>
      </c>
      <c r="J879" s="605">
        <f t="shared" si="707"/>
        <v>22.59</v>
      </c>
      <c r="K879" s="605">
        <f t="shared" si="707"/>
        <v>22.59</v>
      </c>
      <c r="L879" s="605">
        <f t="shared" si="707"/>
        <v>22.59</v>
      </c>
      <c r="M879" s="605">
        <f t="shared" si="707"/>
        <v>22.59</v>
      </c>
      <c r="N879" s="605">
        <f t="shared" si="707"/>
        <v>22.59</v>
      </c>
      <c r="O879" s="605">
        <f t="shared" si="707"/>
        <v>22.59</v>
      </c>
      <c r="P879" s="605">
        <f t="shared" si="707"/>
        <v>22.59</v>
      </c>
      <c r="Q879" s="605">
        <f t="shared" si="707"/>
        <v>22.59</v>
      </c>
      <c r="R879" s="605">
        <f t="shared" si="707"/>
        <v>22.59</v>
      </c>
      <c r="S879" s="605">
        <f t="shared" si="707"/>
        <v>22.59</v>
      </c>
      <c r="T879" s="605">
        <f t="shared" si="707"/>
        <v>22.59</v>
      </c>
      <c r="U879" s="605">
        <f t="shared" si="707"/>
        <v>22.59</v>
      </c>
      <c r="V879" s="605">
        <f t="shared" si="707"/>
        <v>22.59</v>
      </c>
      <c r="W879" s="605">
        <f t="shared" si="707"/>
        <v>22.59</v>
      </c>
      <c r="X879" s="605">
        <f t="shared" si="707"/>
        <v>22.59</v>
      </c>
      <c r="Y879" s="605">
        <f t="shared" si="707"/>
        <v>22.59</v>
      </c>
      <c r="Z879" s="605">
        <f t="shared" si="707"/>
        <v>22.59</v>
      </c>
      <c r="AA879" s="605">
        <f t="shared" si="707"/>
        <v>22.59</v>
      </c>
      <c r="AB879" s="605">
        <f t="shared" si="707"/>
        <v>22.59</v>
      </c>
      <c r="AC879" s="605">
        <f t="shared" si="707"/>
        <v>22.59</v>
      </c>
      <c r="AD879" s="605">
        <f t="shared" si="707"/>
        <v>22.59</v>
      </c>
      <c r="AE879" s="605">
        <f t="shared" si="707"/>
        <v>22.59</v>
      </c>
      <c r="AF879" s="605">
        <f t="shared" si="707"/>
        <v>22.59</v>
      </c>
      <c r="AH879" s="538"/>
      <c r="AK879" s="531"/>
      <c r="AM879" s="594"/>
      <c r="AN879" s="535"/>
      <c r="AP879" s="540"/>
      <c r="AQ879" s="540"/>
    </row>
    <row r="880" spans="1:43" ht="3" hidden="1" customHeight="1" outlineLevel="2">
      <c r="A880" s="584"/>
      <c r="B880" s="609"/>
      <c r="C880" s="611"/>
      <c r="D880" s="611"/>
      <c r="E880" s="610"/>
      <c r="F880" s="610"/>
      <c r="G880" s="610"/>
      <c r="H880" s="610"/>
      <c r="I880" s="610"/>
      <c r="J880" s="610"/>
      <c r="K880" s="610"/>
      <c r="L880" s="610"/>
      <c r="M880" s="610"/>
      <c r="N880" s="610"/>
      <c r="O880" s="610"/>
      <c r="P880" s="610"/>
      <c r="Q880" s="610"/>
      <c r="R880" s="610"/>
      <c r="S880" s="610"/>
      <c r="T880" s="610"/>
      <c r="U880" s="610"/>
      <c r="V880" s="610"/>
      <c r="W880" s="610"/>
      <c r="X880" s="610"/>
      <c r="Y880" s="610"/>
      <c r="Z880" s="610"/>
      <c r="AA880" s="610"/>
      <c r="AB880" s="610"/>
      <c r="AC880" s="610"/>
      <c r="AD880" s="610"/>
      <c r="AE880" s="610"/>
      <c r="AF880" s="610"/>
      <c r="AH880" s="593"/>
      <c r="AK880" s="531"/>
      <c r="AM880" s="594"/>
      <c r="AN880" s="535"/>
      <c r="AP880" s="535"/>
      <c r="AQ880" s="535"/>
    </row>
    <row r="881" spans="1:43" s="564" customFormat="1" ht="16.5" hidden="1" customHeight="1" outlineLevel="1" collapsed="1">
      <c r="A881" s="584"/>
      <c r="B881" s="576" t="s">
        <v>926</v>
      </c>
      <c r="C881" s="577">
        <f>SUM(C882,C889)*12/10^3</f>
        <v>487.8</v>
      </c>
      <c r="D881" s="577">
        <f t="shared" ref="D881:AF881" si="708">SUM(D882,D889)*12/10^3</f>
        <v>487.8</v>
      </c>
      <c r="E881" s="577">
        <f t="shared" si="708"/>
        <v>487.8</v>
      </c>
      <c r="F881" s="577">
        <f t="shared" si="708"/>
        <v>487.8</v>
      </c>
      <c r="G881" s="577">
        <f t="shared" si="708"/>
        <v>487.8</v>
      </c>
      <c r="H881" s="577">
        <f t="shared" si="708"/>
        <v>487.8</v>
      </c>
      <c r="I881" s="577">
        <f t="shared" si="708"/>
        <v>487.8</v>
      </c>
      <c r="J881" s="577">
        <f t="shared" si="708"/>
        <v>487.8</v>
      </c>
      <c r="K881" s="577">
        <f t="shared" si="708"/>
        <v>487.8</v>
      </c>
      <c r="L881" s="577">
        <f t="shared" si="708"/>
        <v>487.8</v>
      </c>
      <c r="M881" s="577">
        <f t="shared" si="708"/>
        <v>487.8</v>
      </c>
      <c r="N881" s="577">
        <f t="shared" si="708"/>
        <v>487.8</v>
      </c>
      <c r="O881" s="577">
        <f t="shared" si="708"/>
        <v>487.8</v>
      </c>
      <c r="P881" s="577">
        <f t="shared" si="708"/>
        <v>487.8</v>
      </c>
      <c r="Q881" s="577">
        <f t="shared" si="708"/>
        <v>487.8</v>
      </c>
      <c r="R881" s="577">
        <f t="shared" si="708"/>
        <v>487.8</v>
      </c>
      <c r="S881" s="577">
        <f t="shared" si="708"/>
        <v>487.8</v>
      </c>
      <c r="T881" s="577">
        <f t="shared" si="708"/>
        <v>487.8</v>
      </c>
      <c r="U881" s="577">
        <f t="shared" si="708"/>
        <v>487.8</v>
      </c>
      <c r="V881" s="577">
        <f t="shared" si="708"/>
        <v>487.8</v>
      </c>
      <c r="W881" s="577">
        <f t="shared" si="708"/>
        <v>487.8</v>
      </c>
      <c r="X881" s="577">
        <f t="shared" si="708"/>
        <v>487.8</v>
      </c>
      <c r="Y881" s="577">
        <f t="shared" si="708"/>
        <v>487.8</v>
      </c>
      <c r="Z881" s="577">
        <f t="shared" si="708"/>
        <v>487.8</v>
      </c>
      <c r="AA881" s="577">
        <f t="shared" si="708"/>
        <v>487.8</v>
      </c>
      <c r="AB881" s="577">
        <f t="shared" si="708"/>
        <v>487.8</v>
      </c>
      <c r="AC881" s="577">
        <f t="shared" si="708"/>
        <v>487.8</v>
      </c>
      <c r="AD881" s="577">
        <f t="shared" si="708"/>
        <v>487.8</v>
      </c>
      <c r="AE881" s="577">
        <f t="shared" si="708"/>
        <v>487.8</v>
      </c>
      <c r="AF881" s="577">
        <f t="shared" si="708"/>
        <v>487.8</v>
      </c>
      <c r="AH881" s="578">
        <f>SUM(C881:AF881)</f>
        <v>14633.999999999993</v>
      </c>
      <c r="AJ881" s="579"/>
      <c r="AK881" s="531"/>
      <c r="AM881" s="594"/>
      <c r="AN881" s="535"/>
      <c r="AP881" s="568"/>
      <c r="AQ881" s="568"/>
    </row>
    <row r="882" spans="1:43" s="546" customFormat="1" ht="16.5" hidden="1" customHeight="1" outlineLevel="2">
      <c r="A882" s="584"/>
      <c r="B882" s="569" t="s">
        <v>927</v>
      </c>
      <c r="C882" s="581">
        <f>C883*(C884+C886+C887+C888)</f>
        <v>3294</v>
      </c>
      <c r="D882" s="581">
        <f t="shared" ref="D882:AF882" si="709">D883*(D884+D886+D887+D888)</f>
        <v>3294</v>
      </c>
      <c r="E882" s="581">
        <f t="shared" si="709"/>
        <v>3294</v>
      </c>
      <c r="F882" s="581">
        <f t="shared" si="709"/>
        <v>3294</v>
      </c>
      <c r="G882" s="581">
        <f t="shared" si="709"/>
        <v>3294</v>
      </c>
      <c r="H882" s="581">
        <f t="shared" si="709"/>
        <v>3294</v>
      </c>
      <c r="I882" s="581">
        <f t="shared" si="709"/>
        <v>3294</v>
      </c>
      <c r="J882" s="581">
        <f t="shared" si="709"/>
        <v>3294</v>
      </c>
      <c r="K882" s="581">
        <f t="shared" si="709"/>
        <v>3294</v>
      </c>
      <c r="L882" s="581">
        <f t="shared" si="709"/>
        <v>3294</v>
      </c>
      <c r="M882" s="581">
        <f t="shared" si="709"/>
        <v>3294</v>
      </c>
      <c r="N882" s="581">
        <f t="shared" si="709"/>
        <v>3294</v>
      </c>
      <c r="O882" s="581">
        <f t="shared" si="709"/>
        <v>3294</v>
      </c>
      <c r="P882" s="581">
        <f t="shared" si="709"/>
        <v>3294</v>
      </c>
      <c r="Q882" s="581">
        <f t="shared" si="709"/>
        <v>3294</v>
      </c>
      <c r="R882" s="581">
        <f t="shared" si="709"/>
        <v>3294</v>
      </c>
      <c r="S882" s="581">
        <f t="shared" si="709"/>
        <v>3294</v>
      </c>
      <c r="T882" s="581">
        <f t="shared" si="709"/>
        <v>3294</v>
      </c>
      <c r="U882" s="581">
        <f t="shared" si="709"/>
        <v>3294</v>
      </c>
      <c r="V882" s="581">
        <f t="shared" si="709"/>
        <v>3294</v>
      </c>
      <c r="W882" s="581">
        <f t="shared" si="709"/>
        <v>3294</v>
      </c>
      <c r="X882" s="581">
        <f t="shared" si="709"/>
        <v>3294</v>
      </c>
      <c r="Y882" s="581">
        <f t="shared" si="709"/>
        <v>3294</v>
      </c>
      <c r="Z882" s="581">
        <f t="shared" si="709"/>
        <v>3294</v>
      </c>
      <c r="AA882" s="581">
        <f t="shared" si="709"/>
        <v>3294</v>
      </c>
      <c r="AB882" s="581">
        <f t="shared" si="709"/>
        <v>3294</v>
      </c>
      <c r="AC882" s="581">
        <f t="shared" si="709"/>
        <v>3294</v>
      </c>
      <c r="AD882" s="581">
        <f t="shared" si="709"/>
        <v>3294</v>
      </c>
      <c r="AE882" s="581">
        <f t="shared" si="709"/>
        <v>3294</v>
      </c>
      <c r="AF882" s="581">
        <f t="shared" si="709"/>
        <v>3294</v>
      </c>
      <c r="AH882" s="571"/>
      <c r="AK882" s="531"/>
      <c r="AM882" s="594"/>
      <c r="AN882" s="535"/>
      <c r="AP882" s="549"/>
      <c r="AQ882" s="549"/>
    </row>
    <row r="883" spans="1:43" s="513" customFormat="1" ht="16.5" hidden="1" customHeight="1" outlineLevel="2">
      <c r="A883" s="584"/>
      <c r="B883" s="572" t="s">
        <v>805</v>
      </c>
      <c r="C883" s="573">
        <v>1</v>
      </c>
      <c r="D883" s="573">
        <f t="shared" ref="D883:D888" si="710">C883</f>
        <v>1</v>
      </c>
      <c r="E883" s="573">
        <f t="shared" ref="E883:AF883" si="711">D883</f>
        <v>1</v>
      </c>
      <c r="F883" s="573">
        <f t="shared" si="711"/>
        <v>1</v>
      </c>
      <c r="G883" s="573">
        <f t="shared" si="711"/>
        <v>1</v>
      </c>
      <c r="H883" s="573">
        <f t="shared" si="711"/>
        <v>1</v>
      </c>
      <c r="I883" s="573">
        <f t="shared" si="711"/>
        <v>1</v>
      </c>
      <c r="J883" s="573">
        <f t="shared" si="711"/>
        <v>1</v>
      </c>
      <c r="K883" s="573">
        <f t="shared" si="711"/>
        <v>1</v>
      </c>
      <c r="L883" s="573">
        <f t="shared" si="711"/>
        <v>1</v>
      </c>
      <c r="M883" s="573">
        <f t="shared" si="711"/>
        <v>1</v>
      </c>
      <c r="N883" s="573">
        <f t="shared" si="711"/>
        <v>1</v>
      </c>
      <c r="O883" s="573">
        <f t="shared" si="711"/>
        <v>1</v>
      </c>
      <c r="P883" s="573">
        <f t="shared" si="711"/>
        <v>1</v>
      </c>
      <c r="Q883" s="573">
        <f t="shared" si="711"/>
        <v>1</v>
      </c>
      <c r="R883" s="573">
        <f t="shared" si="711"/>
        <v>1</v>
      </c>
      <c r="S883" s="573">
        <f t="shared" si="711"/>
        <v>1</v>
      </c>
      <c r="T883" s="573">
        <f t="shared" si="711"/>
        <v>1</v>
      </c>
      <c r="U883" s="573">
        <f t="shared" si="711"/>
        <v>1</v>
      </c>
      <c r="V883" s="573">
        <f t="shared" si="711"/>
        <v>1</v>
      </c>
      <c r="W883" s="573">
        <f t="shared" si="711"/>
        <v>1</v>
      </c>
      <c r="X883" s="573">
        <f t="shared" si="711"/>
        <v>1</v>
      </c>
      <c r="Y883" s="573">
        <f t="shared" si="711"/>
        <v>1</v>
      </c>
      <c r="Z883" s="573">
        <f t="shared" si="711"/>
        <v>1</v>
      </c>
      <c r="AA883" s="573">
        <f t="shared" si="711"/>
        <v>1</v>
      </c>
      <c r="AB883" s="573">
        <f t="shared" si="711"/>
        <v>1</v>
      </c>
      <c r="AC883" s="573">
        <f t="shared" si="711"/>
        <v>1</v>
      </c>
      <c r="AD883" s="573">
        <f t="shared" si="711"/>
        <v>1</v>
      </c>
      <c r="AE883" s="573">
        <f t="shared" si="711"/>
        <v>1</v>
      </c>
      <c r="AF883" s="573">
        <f t="shared" si="711"/>
        <v>1</v>
      </c>
      <c r="AH883" s="538"/>
      <c r="AK883" s="719"/>
      <c r="AM883" s="594"/>
      <c r="AN883" s="535"/>
      <c r="AP883" s="540"/>
      <c r="AQ883" s="540"/>
    </row>
    <row r="884" spans="1:43" s="513" customFormat="1" ht="16.5" hidden="1" customHeight="1" outlineLevel="2">
      <c r="A884" s="584"/>
      <c r="B884" s="572" t="s">
        <v>928</v>
      </c>
      <c r="C884" s="574">
        <f>'Sal._benef.'!$D$22</f>
        <v>2969.8</v>
      </c>
      <c r="D884" s="574">
        <f t="shared" si="710"/>
        <v>2969.8</v>
      </c>
      <c r="E884" s="574">
        <f t="shared" ref="E884:T888" si="712">D884</f>
        <v>2969.8</v>
      </c>
      <c r="F884" s="574">
        <f t="shared" si="712"/>
        <v>2969.8</v>
      </c>
      <c r="G884" s="574">
        <f t="shared" si="712"/>
        <v>2969.8</v>
      </c>
      <c r="H884" s="574">
        <f t="shared" si="712"/>
        <v>2969.8</v>
      </c>
      <c r="I884" s="574">
        <f t="shared" si="712"/>
        <v>2969.8</v>
      </c>
      <c r="J884" s="574">
        <f t="shared" si="712"/>
        <v>2969.8</v>
      </c>
      <c r="K884" s="574">
        <f t="shared" si="712"/>
        <v>2969.8</v>
      </c>
      <c r="L884" s="574">
        <f t="shared" si="712"/>
        <v>2969.8</v>
      </c>
      <c r="M884" s="574">
        <f t="shared" si="712"/>
        <v>2969.8</v>
      </c>
      <c r="N884" s="574">
        <f t="shared" si="712"/>
        <v>2969.8</v>
      </c>
      <c r="O884" s="574">
        <f t="shared" si="712"/>
        <v>2969.8</v>
      </c>
      <c r="P884" s="574">
        <f t="shared" si="712"/>
        <v>2969.8</v>
      </c>
      <c r="Q884" s="574">
        <f t="shared" si="712"/>
        <v>2969.8</v>
      </c>
      <c r="R884" s="574">
        <f t="shared" si="712"/>
        <v>2969.8</v>
      </c>
      <c r="S884" s="574">
        <f t="shared" si="712"/>
        <v>2969.8</v>
      </c>
      <c r="T884" s="574">
        <f t="shared" si="712"/>
        <v>2969.8</v>
      </c>
      <c r="U884" s="574">
        <f t="shared" ref="U884:AF888" si="713">T884</f>
        <v>2969.8</v>
      </c>
      <c r="V884" s="574">
        <f t="shared" si="713"/>
        <v>2969.8</v>
      </c>
      <c r="W884" s="574">
        <f t="shared" si="713"/>
        <v>2969.8</v>
      </c>
      <c r="X884" s="574">
        <f t="shared" si="713"/>
        <v>2969.8</v>
      </c>
      <c r="Y884" s="574">
        <f t="shared" si="713"/>
        <v>2969.8</v>
      </c>
      <c r="Z884" s="574">
        <f t="shared" si="713"/>
        <v>2969.8</v>
      </c>
      <c r="AA884" s="574">
        <f t="shared" si="713"/>
        <v>2969.8</v>
      </c>
      <c r="AB884" s="574">
        <f t="shared" si="713"/>
        <v>2969.8</v>
      </c>
      <c r="AC884" s="574">
        <f t="shared" si="713"/>
        <v>2969.8</v>
      </c>
      <c r="AD884" s="574">
        <f t="shared" si="713"/>
        <v>2969.8</v>
      </c>
      <c r="AE884" s="574">
        <f t="shared" si="713"/>
        <v>2969.8</v>
      </c>
      <c r="AF884" s="574">
        <f t="shared" si="713"/>
        <v>2969.8</v>
      </c>
      <c r="AH884" s="538"/>
      <c r="AK884" s="531"/>
      <c r="AM884" s="594"/>
      <c r="AN884" s="535"/>
      <c r="AP884" s="540"/>
      <c r="AQ884" s="540"/>
    </row>
    <row r="885" spans="1:43" s="513" customFormat="1" ht="16.5" hidden="1" customHeight="1" outlineLevel="2">
      <c r="A885" s="584"/>
      <c r="B885" s="572" t="s">
        <v>929</v>
      </c>
      <c r="C885" s="574">
        <f>'Sal._benef.'!$F$10</f>
        <v>1621</v>
      </c>
      <c r="D885" s="574">
        <f t="shared" si="710"/>
        <v>1621</v>
      </c>
      <c r="E885" s="574">
        <f t="shared" si="712"/>
        <v>1621</v>
      </c>
      <c r="F885" s="574">
        <f t="shared" si="712"/>
        <v>1621</v>
      </c>
      <c r="G885" s="574">
        <f t="shared" si="712"/>
        <v>1621</v>
      </c>
      <c r="H885" s="574">
        <f t="shared" si="712"/>
        <v>1621</v>
      </c>
      <c r="I885" s="574">
        <f t="shared" si="712"/>
        <v>1621</v>
      </c>
      <c r="J885" s="574">
        <f t="shared" si="712"/>
        <v>1621</v>
      </c>
      <c r="K885" s="574">
        <f t="shared" si="712"/>
        <v>1621</v>
      </c>
      <c r="L885" s="574">
        <f t="shared" si="712"/>
        <v>1621</v>
      </c>
      <c r="M885" s="574">
        <f t="shared" si="712"/>
        <v>1621</v>
      </c>
      <c r="N885" s="574">
        <f t="shared" si="712"/>
        <v>1621</v>
      </c>
      <c r="O885" s="574">
        <f t="shared" si="712"/>
        <v>1621</v>
      </c>
      <c r="P885" s="574">
        <f t="shared" si="712"/>
        <v>1621</v>
      </c>
      <c r="Q885" s="574">
        <f t="shared" si="712"/>
        <v>1621</v>
      </c>
      <c r="R885" s="574">
        <f t="shared" si="712"/>
        <v>1621</v>
      </c>
      <c r="S885" s="574">
        <f t="shared" si="712"/>
        <v>1621</v>
      </c>
      <c r="T885" s="574">
        <f t="shared" si="712"/>
        <v>1621</v>
      </c>
      <c r="U885" s="574">
        <f t="shared" si="713"/>
        <v>1621</v>
      </c>
      <c r="V885" s="574">
        <f t="shared" si="713"/>
        <v>1621</v>
      </c>
      <c r="W885" s="574">
        <f t="shared" si="713"/>
        <v>1621</v>
      </c>
      <c r="X885" s="574">
        <f t="shared" si="713"/>
        <v>1621</v>
      </c>
      <c r="Y885" s="574">
        <f t="shared" si="713"/>
        <v>1621</v>
      </c>
      <c r="Z885" s="574">
        <f t="shared" si="713"/>
        <v>1621</v>
      </c>
      <c r="AA885" s="574">
        <f t="shared" si="713"/>
        <v>1621</v>
      </c>
      <c r="AB885" s="574">
        <f t="shared" si="713"/>
        <v>1621</v>
      </c>
      <c r="AC885" s="574">
        <f t="shared" si="713"/>
        <v>1621</v>
      </c>
      <c r="AD885" s="574">
        <f t="shared" si="713"/>
        <v>1621</v>
      </c>
      <c r="AE885" s="574">
        <f t="shared" si="713"/>
        <v>1621</v>
      </c>
      <c r="AF885" s="574">
        <f t="shared" si="713"/>
        <v>1621</v>
      </c>
      <c r="AH885" s="538"/>
      <c r="AK885" s="531"/>
      <c r="AM885" s="594"/>
      <c r="AN885" s="535"/>
      <c r="AP885" s="540"/>
      <c r="AQ885" s="540"/>
    </row>
    <row r="886" spans="1:43" s="513" customFormat="1" ht="16.5" hidden="1" customHeight="1" outlineLevel="2">
      <c r="A886" s="584"/>
      <c r="B886" s="585" t="s">
        <v>1487</v>
      </c>
      <c r="C886" s="574">
        <f>'Sal._benef.'!$F$22*'Sal._benef.'!$F$10</f>
        <v>324.20000000000005</v>
      </c>
      <c r="D886" s="574">
        <f t="shared" si="710"/>
        <v>324.20000000000005</v>
      </c>
      <c r="E886" s="574">
        <f t="shared" si="712"/>
        <v>324.20000000000005</v>
      </c>
      <c r="F886" s="574">
        <f t="shared" si="712"/>
        <v>324.20000000000005</v>
      </c>
      <c r="G886" s="574">
        <f t="shared" si="712"/>
        <v>324.20000000000005</v>
      </c>
      <c r="H886" s="574">
        <f t="shared" si="712"/>
        <v>324.20000000000005</v>
      </c>
      <c r="I886" s="574">
        <f t="shared" si="712"/>
        <v>324.20000000000005</v>
      </c>
      <c r="J886" s="574">
        <f t="shared" si="712"/>
        <v>324.20000000000005</v>
      </c>
      <c r="K886" s="574">
        <f t="shared" si="712"/>
        <v>324.20000000000005</v>
      </c>
      <c r="L886" s="574">
        <f t="shared" si="712"/>
        <v>324.20000000000005</v>
      </c>
      <c r="M886" s="574">
        <f t="shared" si="712"/>
        <v>324.20000000000005</v>
      </c>
      <c r="N886" s="574">
        <f t="shared" si="712"/>
        <v>324.20000000000005</v>
      </c>
      <c r="O886" s="574">
        <f t="shared" si="712"/>
        <v>324.20000000000005</v>
      </c>
      <c r="P886" s="574">
        <f t="shared" si="712"/>
        <v>324.20000000000005</v>
      </c>
      <c r="Q886" s="574">
        <f t="shared" si="712"/>
        <v>324.20000000000005</v>
      </c>
      <c r="R886" s="574">
        <f t="shared" si="712"/>
        <v>324.20000000000005</v>
      </c>
      <c r="S886" s="574">
        <f t="shared" si="712"/>
        <v>324.20000000000005</v>
      </c>
      <c r="T886" s="574">
        <f t="shared" si="712"/>
        <v>324.20000000000005</v>
      </c>
      <c r="U886" s="574">
        <f t="shared" si="713"/>
        <v>324.20000000000005</v>
      </c>
      <c r="V886" s="574">
        <f t="shared" si="713"/>
        <v>324.20000000000005</v>
      </c>
      <c r="W886" s="574">
        <f t="shared" si="713"/>
        <v>324.20000000000005</v>
      </c>
      <c r="X886" s="574">
        <f t="shared" si="713"/>
        <v>324.20000000000005</v>
      </c>
      <c r="Y886" s="574">
        <f t="shared" si="713"/>
        <v>324.20000000000005</v>
      </c>
      <c r="Z886" s="574">
        <f t="shared" si="713"/>
        <v>324.20000000000005</v>
      </c>
      <c r="AA886" s="574">
        <f t="shared" si="713"/>
        <v>324.20000000000005</v>
      </c>
      <c r="AB886" s="574">
        <f t="shared" si="713"/>
        <v>324.20000000000005</v>
      </c>
      <c r="AC886" s="574">
        <f t="shared" si="713"/>
        <v>324.20000000000005</v>
      </c>
      <c r="AD886" s="574">
        <f t="shared" si="713"/>
        <v>324.20000000000005</v>
      </c>
      <c r="AE886" s="574">
        <f t="shared" si="713"/>
        <v>324.20000000000005</v>
      </c>
      <c r="AF886" s="574">
        <f t="shared" si="713"/>
        <v>324.20000000000005</v>
      </c>
      <c r="AH886" s="538"/>
      <c r="AK886" s="531"/>
      <c r="AM886" s="594"/>
      <c r="AN886" s="535"/>
      <c r="AP886" s="540"/>
      <c r="AQ886" s="540"/>
    </row>
    <row r="887" spans="1:43" s="513" customFormat="1" ht="16.5" hidden="1" customHeight="1" outlineLevel="2">
      <c r="A887" s="584"/>
      <c r="B887" s="585" t="s">
        <v>1486</v>
      </c>
      <c r="C887" s="574">
        <v>0</v>
      </c>
      <c r="D887" s="574">
        <f t="shared" si="710"/>
        <v>0</v>
      </c>
      <c r="E887" s="574">
        <f t="shared" si="712"/>
        <v>0</v>
      </c>
      <c r="F887" s="574">
        <f t="shared" si="712"/>
        <v>0</v>
      </c>
      <c r="G887" s="574">
        <f t="shared" si="712"/>
        <v>0</v>
      </c>
      <c r="H887" s="574">
        <f t="shared" si="712"/>
        <v>0</v>
      </c>
      <c r="I887" s="574">
        <f t="shared" si="712"/>
        <v>0</v>
      </c>
      <c r="J887" s="574">
        <f t="shared" si="712"/>
        <v>0</v>
      </c>
      <c r="K887" s="574">
        <f t="shared" si="712"/>
        <v>0</v>
      </c>
      <c r="L887" s="574">
        <f t="shared" si="712"/>
        <v>0</v>
      </c>
      <c r="M887" s="574">
        <f t="shared" si="712"/>
        <v>0</v>
      </c>
      <c r="N887" s="574">
        <f t="shared" si="712"/>
        <v>0</v>
      </c>
      <c r="O887" s="574">
        <f t="shared" si="712"/>
        <v>0</v>
      </c>
      <c r="P887" s="574">
        <f t="shared" si="712"/>
        <v>0</v>
      </c>
      <c r="Q887" s="574">
        <f t="shared" si="712"/>
        <v>0</v>
      </c>
      <c r="R887" s="574">
        <f t="shared" si="712"/>
        <v>0</v>
      </c>
      <c r="S887" s="574">
        <f t="shared" si="712"/>
        <v>0</v>
      </c>
      <c r="T887" s="574">
        <f t="shared" si="712"/>
        <v>0</v>
      </c>
      <c r="U887" s="574">
        <f t="shared" si="713"/>
        <v>0</v>
      </c>
      <c r="V887" s="574">
        <f t="shared" si="713"/>
        <v>0</v>
      </c>
      <c r="W887" s="574">
        <f t="shared" si="713"/>
        <v>0</v>
      </c>
      <c r="X887" s="574">
        <f t="shared" si="713"/>
        <v>0</v>
      </c>
      <c r="Y887" s="574">
        <f t="shared" si="713"/>
        <v>0</v>
      </c>
      <c r="Z887" s="574">
        <f t="shared" si="713"/>
        <v>0</v>
      </c>
      <c r="AA887" s="574">
        <f t="shared" si="713"/>
        <v>0</v>
      </c>
      <c r="AB887" s="574">
        <f t="shared" si="713"/>
        <v>0</v>
      </c>
      <c r="AC887" s="574">
        <f t="shared" si="713"/>
        <v>0</v>
      </c>
      <c r="AD887" s="574">
        <f t="shared" si="713"/>
        <v>0</v>
      </c>
      <c r="AE887" s="574">
        <f t="shared" si="713"/>
        <v>0</v>
      </c>
      <c r="AF887" s="574">
        <f t="shared" si="713"/>
        <v>0</v>
      </c>
      <c r="AH887" s="538"/>
      <c r="AK887" s="531"/>
      <c r="AM887" s="594"/>
      <c r="AN887" s="535"/>
      <c r="AP887" s="540"/>
      <c r="AQ887" s="540"/>
    </row>
    <row r="888" spans="1:43" s="513" customFormat="1" ht="16.5" hidden="1" customHeight="1" outlineLevel="2">
      <c r="A888" s="584"/>
      <c r="B888" s="572" t="s">
        <v>1367</v>
      </c>
      <c r="C888" s="574">
        <v>0</v>
      </c>
      <c r="D888" s="574">
        <f t="shared" si="710"/>
        <v>0</v>
      </c>
      <c r="E888" s="574">
        <f t="shared" si="712"/>
        <v>0</v>
      </c>
      <c r="F888" s="574">
        <f t="shared" si="712"/>
        <v>0</v>
      </c>
      <c r="G888" s="574">
        <f t="shared" si="712"/>
        <v>0</v>
      </c>
      <c r="H888" s="574">
        <f t="shared" si="712"/>
        <v>0</v>
      </c>
      <c r="I888" s="574">
        <f t="shared" si="712"/>
        <v>0</v>
      </c>
      <c r="J888" s="574">
        <f t="shared" si="712"/>
        <v>0</v>
      </c>
      <c r="K888" s="574">
        <f t="shared" si="712"/>
        <v>0</v>
      </c>
      <c r="L888" s="574">
        <f t="shared" si="712"/>
        <v>0</v>
      </c>
      <c r="M888" s="574">
        <f t="shared" si="712"/>
        <v>0</v>
      </c>
      <c r="N888" s="574">
        <f t="shared" si="712"/>
        <v>0</v>
      </c>
      <c r="O888" s="574">
        <f t="shared" si="712"/>
        <v>0</v>
      </c>
      <c r="P888" s="574">
        <f t="shared" si="712"/>
        <v>0</v>
      </c>
      <c r="Q888" s="574">
        <f t="shared" si="712"/>
        <v>0</v>
      </c>
      <c r="R888" s="574">
        <f t="shared" si="712"/>
        <v>0</v>
      </c>
      <c r="S888" s="574">
        <f t="shared" si="712"/>
        <v>0</v>
      </c>
      <c r="T888" s="574">
        <f t="shared" si="712"/>
        <v>0</v>
      </c>
      <c r="U888" s="574">
        <f t="shared" si="713"/>
        <v>0</v>
      </c>
      <c r="V888" s="574">
        <f t="shared" si="713"/>
        <v>0</v>
      </c>
      <c r="W888" s="574">
        <f t="shared" si="713"/>
        <v>0</v>
      </c>
      <c r="X888" s="574">
        <f t="shared" si="713"/>
        <v>0</v>
      </c>
      <c r="Y888" s="574">
        <f t="shared" si="713"/>
        <v>0</v>
      </c>
      <c r="Z888" s="574">
        <f t="shared" si="713"/>
        <v>0</v>
      </c>
      <c r="AA888" s="574">
        <f t="shared" si="713"/>
        <v>0</v>
      </c>
      <c r="AB888" s="574">
        <f t="shared" si="713"/>
        <v>0</v>
      </c>
      <c r="AC888" s="574">
        <f t="shared" si="713"/>
        <v>0</v>
      </c>
      <c r="AD888" s="574">
        <f t="shared" si="713"/>
        <v>0</v>
      </c>
      <c r="AE888" s="574">
        <f t="shared" si="713"/>
        <v>0</v>
      </c>
      <c r="AF888" s="574">
        <f t="shared" si="713"/>
        <v>0</v>
      </c>
      <c r="AH888" s="538"/>
      <c r="AK888" s="531"/>
      <c r="AM888" s="594"/>
      <c r="AN888" s="535"/>
      <c r="AP888" s="540"/>
      <c r="AQ888" s="540"/>
    </row>
    <row r="889" spans="1:43" s="546" customFormat="1" ht="16.5" hidden="1" customHeight="1" outlineLevel="2">
      <c r="A889" s="584"/>
      <c r="B889" s="569" t="s">
        <v>959</v>
      </c>
      <c r="C889" s="581">
        <f>C890*(C891+C893+C894+C895)</f>
        <v>37356</v>
      </c>
      <c r="D889" s="581">
        <f>D890*(D891+D893+D894+D895)</f>
        <v>37356</v>
      </c>
      <c r="E889" s="581">
        <f t="shared" ref="E889:AF889" si="714">E890*(E891+E893+E894+E895)</f>
        <v>37356</v>
      </c>
      <c r="F889" s="581">
        <f t="shared" si="714"/>
        <v>37356</v>
      </c>
      <c r="G889" s="581">
        <f t="shared" si="714"/>
        <v>37356</v>
      </c>
      <c r="H889" s="581">
        <f t="shared" si="714"/>
        <v>37356</v>
      </c>
      <c r="I889" s="581">
        <f t="shared" si="714"/>
        <v>37356</v>
      </c>
      <c r="J889" s="581">
        <f t="shared" si="714"/>
        <v>37356</v>
      </c>
      <c r="K889" s="581">
        <f t="shared" si="714"/>
        <v>37356</v>
      </c>
      <c r="L889" s="581">
        <f t="shared" si="714"/>
        <v>37356</v>
      </c>
      <c r="M889" s="581">
        <f t="shared" si="714"/>
        <v>37356</v>
      </c>
      <c r="N889" s="581">
        <f t="shared" si="714"/>
        <v>37356</v>
      </c>
      <c r="O889" s="581">
        <f t="shared" si="714"/>
        <v>37356</v>
      </c>
      <c r="P889" s="581">
        <f t="shared" si="714"/>
        <v>37356</v>
      </c>
      <c r="Q889" s="581">
        <f t="shared" si="714"/>
        <v>37356</v>
      </c>
      <c r="R889" s="581">
        <f t="shared" si="714"/>
        <v>37356</v>
      </c>
      <c r="S889" s="581">
        <f t="shared" si="714"/>
        <v>37356</v>
      </c>
      <c r="T889" s="581">
        <f t="shared" si="714"/>
        <v>37356</v>
      </c>
      <c r="U889" s="581">
        <f t="shared" si="714"/>
        <v>37356</v>
      </c>
      <c r="V889" s="581">
        <f t="shared" si="714"/>
        <v>37356</v>
      </c>
      <c r="W889" s="581">
        <f t="shared" si="714"/>
        <v>37356</v>
      </c>
      <c r="X889" s="581">
        <f t="shared" si="714"/>
        <v>37356</v>
      </c>
      <c r="Y889" s="581">
        <f t="shared" si="714"/>
        <v>37356</v>
      </c>
      <c r="Z889" s="581">
        <f t="shared" si="714"/>
        <v>37356</v>
      </c>
      <c r="AA889" s="581">
        <f t="shared" si="714"/>
        <v>37356</v>
      </c>
      <c r="AB889" s="581">
        <f t="shared" si="714"/>
        <v>37356</v>
      </c>
      <c r="AC889" s="581">
        <f t="shared" si="714"/>
        <v>37356</v>
      </c>
      <c r="AD889" s="581">
        <f t="shared" si="714"/>
        <v>37356</v>
      </c>
      <c r="AE889" s="581">
        <f t="shared" si="714"/>
        <v>37356</v>
      </c>
      <c r="AF889" s="581">
        <f t="shared" si="714"/>
        <v>37356</v>
      </c>
      <c r="AH889" s="571"/>
      <c r="AK889" s="531"/>
      <c r="AM889" s="594"/>
      <c r="AN889" s="535"/>
      <c r="AP889" s="549"/>
      <c r="AQ889" s="549"/>
    </row>
    <row r="890" spans="1:43" s="513" customFormat="1" ht="16.5" hidden="1" customHeight="1" outlineLevel="2">
      <c r="A890" s="584"/>
      <c r="B890" s="572" t="s">
        <v>805</v>
      </c>
      <c r="C890" s="573">
        <v>15</v>
      </c>
      <c r="D890" s="573">
        <v>15</v>
      </c>
      <c r="E890" s="573">
        <v>15</v>
      </c>
      <c r="F890" s="573">
        <v>15</v>
      </c>
      <c r="G890" s="573">
        <v>15</v>
      </c>
      <c r="H890" s="573">
        <v>15</v>
      </c>
      <c r="I890" s="573">
        <v>15</v>
      </c>
      <c r="J890" s="573">
        <v>15</v>
      </c>
      <c r="K890" s="573">
        <v>15</v>
      </c>
      <c r="L890" s="573">
        <v>15</v>
      </c>
      <c r="M890" s="573">
        <v>15</v>
      </c>
      <c r="N890" s="573">
        <v>15</v>
      </c>
      <c r="O890" s="573">
        <v>15</v>
      </c>
      <c r="P890" s="573">
        <v>15</v>
      </c>
      <c r="Q890" s="573">
        <v>15</v>
      </c>
      <c r="R890" s="573">
        <v>15</v>
      </c>
      <c r="S890" s="573">
        <v>15</v>
      </c>
      <c r="T890" s="573">
        <v>15</v>
      </c>
      <c r="U890" s="573">
        <v>15</v>
      </c>
      <c r="V890" s="573">
        <v>15</v>
      </c>
      <c r="W890" s="573">
        <v>15</v>
      </c>
      <c r="X890" s="573">
        <v>15</v>
      </c>
      <c r="Y890" s="573">
        <v>15</v>
      </c>
      <c r="Z890" s="573">
        <v>15</v>
      </c>
      <c r="AA890" s="573">
        <v>15</v>
      </c>
      <c r="AB890" s="573">
        <v>15</v>
      </c>
      <c r="AC890" s="573">
        <v>15</v>
      </c>
      <c r="AD890" s="573">
        <v>15</v>
      </c>
      <c r="AE890" s="573">
        <v>15</v>
      </c>
      <c r="AF890" s="573">
        <v>15</v>
      </c>
      <c r="AH890" s="538"/>
      <c r="AK890" s="531"/>
      <c r="AM890" s="594"/>
      <c r="AN890" s="535"/>
      <c r="AP890" s="540"/>
      <c r="AQ890" s="540"/>
    </row>
    <row r="891" spans="1:43" s="513" customFormat="1" ht="16.5" hidden="1" customHeight="1" outlineLevel="2">
      <c r="A891" s="584"/>
      <c r="B891" s="572" t="s">
        <v>928</v>
      </c>
      <c r="C891" s="574">
        <f>'Sal._benef.'!$D$27</f>
        <v>1842</v>
      </c>
      <c r="D891" s="574">
        <f>C891</f>
        <v>1842</v>
      </c>
      <c r="E891" s="574">
        <f t="shared" ref="E891:T895" si="715">D891</f>
        <v>1842</v>
      </c>
      <c r="F891" s="574">
        <f t="shared" si="715"/>
        <v>1842</v>
      </c>
      <c r="G891" s="574">
        <f t="shared" si="715"/>
        <v>1842</v>
      </c>
      <c r="H891" s="574">
        <f t="shared" si="715"/>
        <v>1842</v>
      </c>
      <c r="I891" s="574">
        <f t="shared" si="715"/>
        <v>1842</v>
      </c>
      <c r="J891" s="574">
        <f t="shared" si="715"/>
        <v>1842</v>
      </c>
      <c r="K891" s="574">
        <f t="shared" si="715"/>
        <v>1842</v>
      </c>
      <c r="L891" s="574">
        <f t="shared" si="715"/>
        <v>1842</v>
      </c>
      <c r="M891" s="574">
        <f t="shared" si="715"/>
        <v>1842</v>
      </c>
      <c r="N891" s="574">
        <f t="shared" si="715"/>
        <v>1842</v>
      </c>
      <c r="O891" s="574">
        <f t="shared" si="715"/>
        <v>1842</v>
      </c>
      <c r="P891" s="574">
        <f t="shared" si="715"/>
        <v>1842</v>
      </c>
      <c r="Q891" s="574">
        <f t="shared" si="715"/>
        <v>1842</v>
      </c>
      <c r="R891" s="574">
        <f t="shared" si="715"/>
        <v>1842</v>
      </c>
      <c r="S891" s="574">
        <f t="shared" si="715"/>
        <v>1842</v>
      </c>
      <c r="T891" s="574">
        <f t="shared" si="715"/>
        <v>1842</v>
      </c>
      <c r="U891" s="574">
        <f t="shared" ref="U891:AF895" si="716">T891</f>
        <v>1842</v>
      </c>
      <c r="V891" s="574">
        <f t="shared" si="716"/>
        <v>1842</v>
      </c>
      <c r="W891" s="574">
        <f t="shared" si="716"/>
        <v>1842</v>
      </c>
      <c r="X891" s="574">
        <f t="shared" si="716"/>
        <v>1842</v>
      </c>
      <c r="Y891" s="574">
        <f t="shared" si="716"/>
        <v>1842</v>
      </c>
      <c r="Z891" s="574">
        <f t="shared" si="716"/>
        <v>1842</v>
      </c>
      <c r="AA891" s="574">
        <f t="shared" si="716"/>
        <v>1842</v>
      </c>
      <c r="AB891" s="574">
        <f t="shared" si="716"/>
        <v>1842</v>
      </c>
      <c r="AC891" s="574">
        <f t="shared" si="716"/>
        <v>1842</v>
      </c>
      <c r="AD891" s="574">
        <f t="shared" si="716"/>
        <v>1842</v>
      </c>
      <c r="AE891" s="574">
        <f t="shared" si="716"/>
        <v>1842</v>
      </c>
      <c r="AF891" s="574">
        <f t="shared" si="716"/>
        <v>1842</v>
      </c>
      <c r="AH891" s="538"/>
      <c r="AK891" s="531"/>
      <c r="AM891" s="594"/>
      <c r="AN891" s="535"/>
      <c r="AP891" s="540"/>
      <c r="AQ891" s="540"/>
    </row>
    <row r="892" spans="1:43" s="513" customFormat="1" ht="16.5" hidden="1" customHeight="1" outlineLevel="2">
      <c r="A892" s="584"/>
      <c r="B892" s="572" t="s">
        <v>929</v>
      </c>
      <c r="C892" s="574">
        <f>'Sal._benef.'!$F$10</f>
        <v>1621</v>
      </c>
      <c r="D892" s="574">
        <f>C892</f>
        <v>1621</v>
      </c>
      <c r="E892" s="574">
        <f t="shared" si="715"/>
        <v>1621</v>
      </c>
      <c r="F892" s="574">
        <f t="shared" si="715"/>
        <v>1621</v>
      </c>
      <c r="G892" s="574">
        <f t="shared" si="715"/>
        <v>1621</v>
      </c>
      <c r="H892" s="574">
        <f t="shared" si="715"/>
        <v>1621</v>
      </c>
      <c r="I892" s="574">
        <f t="shared" si="715"/>
        <v>1621</v>
      </c>
      <c r="J892" s="574">
        <f t="shared" si="715"/>
        <v>1621</v>
      </c>
      <c r="K892" s="574">
        <f t="shared" si="715"/>
        <v>1621</v>
      </c>
      <c r="L892" s="574">
        <f t="shared" si="715"/>
        <v>1621</v>
      </c>
      <c r="M892" s="574">
        <f t="shared" si="715"/>
        <v>1621</v>
      </c>
      <c r="N892" s="574">
        <f t="shared" si="715"/>
        <v>1621</v>
      </c>
      <c r="O892" s="574">
        <f t="shared" si="715"/>
        <v>1621</v>
      </c>
      <c r="P892" s="574">
        <f t="shared" si="715"/>
        <v>1621</v>
      </c>
      <c r="Q892" s="574">
        <f t="shared" si="715"/>
        <v>1621</v>
      </c>
      <c r="R892" s="574">
        <f t="shared" si="715"/>
        <v>1621</v>
      </c>
      <c r="S892" s="574">
        <f t="shared" si="715"/>
        <v>1621</v>
      </c>
      <c r="T892" s="574">
        <f t="shared" si="715"/>
        <v>1621</v>
      </c>
      <c r="U892" s="574">
        <f t="shared" si="716"/>
        <v>1621</v>
      </c>
      <c r="V892" s="574">
        <f t="shared" si="716"/>
        <v>1621</v>
      </c>
      <c r="W892" s="574">
        <f t="shared" si="716"/>
        <v>1621</v>
      </c>
      <c r="X892" s="574">
        <f t="shared" si="716"/>
        <v>1621</v>
      </c>
      <c r="Y892" s="574">
        <f t="shared" si="716"/>
        <v>1621</v>
      </c>
      <c r="Z892" s="574">
        <f t="shared" si="716"/>
        <v>1621</v>
      </c>
      <c r="AA892" s="574">
        <f t="shared" si="716"/>
        <v>1621</v>
      </c>
      <c r="AB892" s="574">
        <f t="shared" si="716"/>
        <v>1621</v>
      </c>
      <c r="AC892" s="574">
        <f t="shared" si="716"/>
        <v>1621</v>
      </c>
      <c r="AD892" s="574">
        <f t="shared" si="716"/>
        <v>1621</v>
      </c>
      <c r="AE892" s="574">
        <f t="shared" si="716"/>
        <v>1621</v>
      </c>
      <c r="AF892" s="574">
        <f t="shared" si="716"/>
        <v>1621</v>
      </c>
      <c r="AH892" s="538"/>
      <c r="AK892" s="531"/>
      <c r="AM892" s="594"/>
      <c r="AN892" s="535"/>
      <c r="AP892" s="540"/>
      <c r="AQ892" s="540"/>
    </row>
    <row r="893" spans="1:43" s="513" customFormat="1" ht="16.5" hidden="1" customHeight="1" outlineLevel="2">
      <c r="A893" s="584"/>
      <c r="B893" s="585" t="s">
        <v>1487</v>
      </c>
      <c r="C893" s="574">
        <f>'Sal._benef.'!$F$27*'Sal._benef.'!$F$10</f>
        <v>648.40000000000009</v>
      </c>
      <c r="D893" s="574">
        <f>C893</f>
        <v>648.40000000000009</v>
      </c>
      <c r="E893" s="574">
        <f t="shared" si="715"/>
        <v>648.40000000000009</v>
      </c>
      <c r="F893" s="574">
        <f t="shared" si="715"/>
        <v>648.40000000000009</v>
      </c>
      <c r="G893" s="574">
        <f t="shared" si="715"/>
        <v>648.40000000000009</v>
      </c>
      <c r="H893" s="574">
        <f t="shared" si="715"/>
        <v>648.40000000000009</v>
      </c>
      <c r="I893" s="574">
        <f t="shared" si="715"/>
        <v>648.40000000000009</v>
      </c>
      <c r="J893" s="574">
        <f t="shared" si="715"/>
        <v>648.40000000000009</v>
      </c>
      <c r="K893" s="574">
        <f t="shared" si="715"/>
        <v>648.40000000000009</v>
      </c>
      <c r="L893" s="574">
        <f t="shared" si="715"/>
        <v>648.40000000000009</v>
      </c>
      <c r="M893" s="574">
        <f t="shared" si="715"/>
        <v>648.40000000000009</v>
      </c>
      <c r="N893" s="574">
        <f t="shared" si="715"/>
        <v>648.40000000000009</v>
      </c>
      <c r="O893" s="574">
        <f t="shared" si="715"/>
        <v>648.40000000000009</v>
      </c>
      <c r="P893" s="574">
        <f t="shared" si="715"/>
        <v>648.40000000000009</v>
      </c>
      <c r="Q893" s="574">
        <f t="shared" si="715"/>
        <v>648.40000000000009</v>
      </c>
      <c r="R893" s="574">
        <f t="shared" si="715"/>
        <v>648.40000000000009</v>
      </c>
      <c r="S893" s="574">
        <f t="shared" si="715"/>
        <v>648.40000000000009</v>
      </c>
      <c r="T893" s="574">
        <f t="shared" si="715"/>
        <v>648.40000000000009</v>
      </c>
      <c r="U893" s="574">
        <f t="shared" si="716"/>
        <v>648.40000000000009</v>
      </c>
      <c r="V893" s="574">
        <f t="shared" si="716"/>
        <v>648.40000000000009</v>
      </c>
      <c r="W893" s="574">
        <f t="shared" si="716"/>
        <v>648.40000000000009</v>
      </c>
      <c r="X893" s="574">
        <f t="shared" si="716"/>
        <v>648.40000000000009</v>
      </c>
      <c r="Y893" s="574">
        <f t="shared" si="716"/>
        <v>648.40000000000009</v>
      </c>
      <c r="Z893" s="574">
        <f t="shared" si="716"/>
        <v>648.40000000000009</v>
      </c>
      <c r="AA893" s="574">
        <f t="shared" si="716"/>
        <v>648.40000000000009</v>
      </c>
      <c r="AB893" s="574">
        <f t="shared" si="716"/>
        <v>648.40000000000009</v>
      </c>
      <c r="AC893" s="574">
        <f t="shared" si="716"/>
        <v>648.40000000000009</v>
      </c>
      <c r="AD893" s="574">
        <f t="shared" si="716"/>
        <v>648.40000000000009</v>
      </c>
      <c r="AE893" s="574">
        <f t="shared" si="716"/>
        <v>648.40000000000009</v>
      </c>
      <c r="AF893" s="574">
        <f t="shared" si="716"/>
        <v>648.40000000000009</v>
      </c>
      <c r="AH893" s="538"/>
      <c r="AK893" s="531"/>
      <c r="AM893" s="594"/>
      <c r="AN893" s="535"/>
      <c r="AP893" s="540"/>
      <c r="AQ893" s="540"/>
    </row>
    <row r="894" spans="1:43" s="513" customFormat="1" ht="16.5" hidden="1" customHeight="1" outlineLevel="2">
      <c r="A894" s="584"/>
      <c r="B894" s="585" t="s">
        <v>1486</v>
      </c>
      <c r="C894" s="574">
        <v>0</v>
      </c>
      <c r="D894" s="574">
        <f>C894</f>
        <v>0</v>
      </c>
      <c r="E894" s="574">
        <f t="shared" si="715"/>
        <v>0</v>
      </c>
      <c r="F894" s="574">
        <f t="shared" si="715"/>
        <v>0</v>
      </c>
      <c r="G894" s="574">
        <f t="shared" si="715"/>
        <v>0</v>
      </c>
      <c r="H894" s="574">
        <f t="shared" si="715"/>
        <v>0</v>
      </c>
      <c r="I894" s="574">
        <f t="shared" si="715"/>
        <v>0</v>
      </c>
      <c r="J894" s="574">
        <f t="shared" si="715"/>
        <v>0</v>
      </c>
      <c r="K894" s="574">
        <f t="shared" si="715"/>
        <v>0</v>
      </c>
      <c r="L894" s="574">
        <f t="shared" si="715"/>
        <v>0</v>
      </c>
      <c r="M894" s="574">
        <f t="shared" si="715"/>
        <v>0</v>
      </c>
      <c r="N894" s="574">
        <f t="shared" si="715"/>
        <v>0</v>
      </c>
      <c r="O894" s="574">
        <f t="shared" si="715"/>
        <v>0</v>
      </c>
      <c r="P894" s="574">
        <f t="shared" si="715"/>
        <v>0</v>
      </c>
      <c r="Q894" s="574">
        <f t="shared" si="715"/>
        <v>0</v>
      </c>
      <c r="R894" s="574">
        <f t="shared" si="715"/>
        <v>0</v>
      </c>
      <c r="S894" s="574">
        <f t="shared" si="715"/>
        <v>0</v>
      </c>
      <c r="T894" s="574">
        <f t="shared" si="715"/>
        <v>0</v>
      </c>
      <c r="U894" s="574">
        <f t="shared" si="716"/>
        <v>0</v>
      </c>
      <c r="V894" s="574">
        <f t="shared" si="716"/>
        <v>0</v>
      </c>
      <c r="W894" s="574">
        <f t="shared" si="716"/>
        <v>0</v>
      </c>
      <c r="X894" s="574">
        <f t="shared" si="716"/>
        <v>0</v>
      </c>
      <c r="Y894" s="574">
        <f t="shared" si="716"/>
        <v>0</v>
      </c>
      <c r="Z894" s="574">
        <f t="shared" si="716"/>
        <v>0</v>
      </c>
      <c r="AA894" s="574">
        <f t="shared" si="716"/>
        <v>0</v>
      </c>
      <c r="AB894" s="574">
        <f t="shared" si="716"/>
        <v>0</v>
      </c>
      <c r="AC894" s="574">
        <f t="shared" si="716"/>
        <v>0</v>
      </c>
      <c r="AD894" s="574">
        <f t="shared" si="716"/>
        <v>0</v>
      </c>
      <c r="AE894" s="574">
        <f t="shared" si="716"/>
        <v>0</v>
      </c>
      <c r="AF894" s="574">
        <f t="shared" si="716"/>
        <v>0</v>
      </c>
      <c r="AH894" s="538"/>
      <c r="AK894" s="531"/>
      <c r="AM894" s="594"/>
      <c r="AN894" s="535"/>
      <c r="AP894" s="540"/>
      <c r="AQ894" s="540"/>
    </row>
    <row r="895" spans="1:43" s="513" customFormat="1" ht="16.5" hidden="1" customHeight="1" outlineLevel="2">
      <c r="A895" s="584"/>
      <c r="B895" s="572" t="s">
        <v>1367</v>
      </c>
      <c r="C895" s="574">
        <v>0</v>
      </c>
      <c r="D895" s="574">
        <f>C895</f>
        <v>0</v>
      </c>
      <c r="E895" s="574">
        <f t="shared" si="715"/>
        <v>0</v>
      </c>
      <c r="F895" s="574">
        <f t="shared" si="715"/>
        <v>0</v>
      </c>
      <c r="G895" s="574">
        <f t="shared" si="715"/>
        <v>0</v>
      </c>
      <c r="H895" s="574">
        <f t="shared" si="715"/>
        <v>0</v>
      </c>
      <c r="I895" s="574">
        <f t="shared" si="715"/>
        <v>0</v>
      </c>
      <c r="J895" s="574">
        <f t="shared" si="715"/>
        <v>0</v>
      </c>
      <c r="K895" s="574">
        <f t="shared" si="715"/>
        <v>0</v>
      </c>
      <c r="L895" s="574">
        <f t="shared" si="715"/>
        <v>0</v>
      </c>
      <c r="M895" s="574">
        <f t="shared" si="715"/>
        <v>0</v>
      </c>
      <c r="N895" s="574">
        <f t="shared" si="715"/>
        <v>0</v>
      </c>
      <c r="O895" s="574">
        <f t="shared" si="715"/>
        <v>0</v>
      </c>
      <c r="P895" s="574">
        <f t="shared" si="715"/>
        <v>0</v>
      </c>
      <c r="Q895" s="574">
        <f t="shared" si="715"/>
        <v>0</v>
      </c>
      <c r="R895" s="574">
        <f t="shared" si="715"/>
        <v>0</v>
      </c>
      <c r="S895" s="574">
        <f t="shared" si="715"/>
        <v>0</v>
      </c>
      <c r="T895" s="574">
        <f t="shared" si="715"/>
        <v>0</v>
      </c>
      <c r="U895" s="574">
        <f t="shared" si="716"/>
        <v>0</v>
      </c>
      <c r="V895" s="574">
        <f t="shared" si="716"/>
        <v>0</v>
      </c>
      <c r="W895" s="574">
        <f t="shared" si="716"/>
        <v>0</v>
      </c>
      <c r="X895" s="574">
        <f t="shared" si="716"/>
        <v>0</v>
      </c>
      <c r="Y895" s="574">
        <f t="shared" si="716"/>
        <v>0</v>
      </c>
      <c r="Z895" s="574">
        <f t="shared" si="716"/>
        <v>0</v>
      </c>
      <c r="AA895" s="574">
        <f t="shared" si="716"/>
        <v>0</v>
      </c>
      <c r="AB895" s="574">
        <f t="shared" si="716"/>
        <v>0</v>
      </c>
      <c r="AC895" s="574">
        <f t="shared" si="716"/>
        <v>0</v>
      </c>
      <c r="AD895" s="574">
        <f t="shared" si="716"/>
        <v>0</v>
      </c>
      <c r="AE895" s="574">
        <f t="shared" si="716"/>
        <v>0</v>
      </c>
      <c r="AF895" s="574">
        <f t="shared" si="716"/>
        <v>0</v>
      </c>
      <c r="AH895" s="538"/>
      <c r="AK895" s="531"/>
      <c r="AM895" s="594"/>
      <c r="AN895" s="535"/>
      <c r="AP895" s="540"/>
      <c r="AQ895" s="540"/>
    </row>
    <row r="896" spans="1:43" ht="3" hidden="1" customHeight="1" outlineLevel="2">
      <c r="A896" s="584"/>
      <c r="B896" s="609"/>
      <c r="C896" s="611"/>
      <c r="D896" s="611"/>
      <c r="E896" s="610"/>
      <c r="F896" s="610"/>
      <c r="G896" s="610"/>
      <c r="H896" s="610"/>
      <c r="I896" s="610"/>
      <c r="J896" s="610"/>
      <c r="K896" s="610"/>
      <c r="L896" s="610"/>
      <c r="M896" s="610"/>
      <c r="N896" s="610"/>
      <c r="O896" s="610"/>
      <c r="P896" s="610"/>
      <c r="Q896" s="610"/>
      <c r="R896" s="610"/>
      <c r="S896" s="610"/>
      <c r="T896" s="610"/>
      <c r="U896" s="610"/>
      <c r="V896" s="610"/>
      <c r="W896" s="610"/>
      <c r="X896" s="610"/>
      <c r="Y896" s="610"/>
      <c r="Z896" s="610"/>
      <c r="AA896" s="610"/>
      <c r="AB896" s="610"/>
      <c r="AC896" s="610"/>
      <c r="AD896" s="610"/>
      <c r="AE896" s="610"/>
      <c r="AF896" s="610"/>
      <c r="AH896" s="593"/>
      <c r="AK896" s="531"/>
      <c r="AM896" s="594"/>
      <c r="AN896" s="535"/>
      <c r="AP896" s="535"/>
      <c r="AQ896" s="535"/>
    </row>
    <row r="897" spans="1:43" s="564" customFormat="1" ht="16.5" hidden="1" customHeight="1" outlineLevel="1" collapsed="1">
      <c r="A897" s="584"/>
      <c r="B897" s="576" t="s">
        <v>936</v>
      </c>
      <c r="C897" s="577">
        <f>C898</f>
        <v>346.48434000000003</v>
      </c>
      <c r="D897" s="577">
        <f t="shared" ref="D897:AF897" si="717">D898</f>
        <v>346.48434000000003</v>
      </c>
      <c r="E897" s="577">
        <f t="shared" si="717"/>
        <v>346.48434000000003</v>
      </c>
      <c r="F897" s="577">
        <f t="shared" si="717"/>
        <v>346.48434000000003</v>
      </c>
      <c r="G897" s="577">
        <f t="shared" si="717"/>
        <v>346.48434000000003</v>
      </c>
      <c r="H897" s="577">
        <f t="shared" si="717"/>
        <v>346.48434000000003</v>
      </c>
      <c r="I897" s="577">
        <f t="shared" si="717"/>
        <v>346.48434000000003</v>
      </c>
      <c r="J897" s="577">
        <f t="shared" si="717"/>
        <v>346.48434000000003</v>
      </c>
      <c r="K897" s="577">
        <f t="shared" si="717"/>
        <v>346.48434000000003</v>
      </c>
      <c r="L897" s="577">
        <f t="shared" si="717"/>
        <v>346.48434000000003</v>
      </c>
      <c r="M897" s="577">
        <f t="shared" si="717"/>
        <v>346.48434000000003</v>
      </c>
      <c r="N897" s="577">
        <f t="shared" si="717"/>
        <v>346.48434000000003</v>
      </c>
      <c r="O897" s="577">
        <f t="shared" si="717"/>
        <v>346.48434000000003</v>
      </c>
      <c r="P897" s="577">
        <f t="shared" si="717"/>
        <v>346.48434000000003</v>
      </c>
      <c r="Q897" s="577">
        <f t="shared" si="717"/>
        <v>346.48434000000003</v>
      </c>
      <c r="R897" s="577">
        <f t="shared" si="717"/>
        <v>346.48434000000003</v>
      </c>
      <c r="S897" s="577">
        <f t="shared" si="717"/>
        <v>346.48434000000003</v>
      </c>
      <c r="T897" s="577">
        <f t="shared" si="717"/>
        <v>346.48434000000003</v>
      </c>
      <c r="U897" s="577">
        <f t="shared" si="717"/>
        <v>346.48434000000003</v>
      </c>
      <c r="V897" s="577">
        <f t="shared" si="717"/>
        <v>346.48434000000003</v>
      </c>
      <c r="W897" s="577">
        <f t="shared" si="717"/>
        <v>346.48434000000003</v>
      </c>
      <c r="X897" s="577">
        <f t="shared" si="717"/>
        <v>346.48434000000003</v>
      </c>
      <c r="Y897" s="577">
        <f t="shared" si="717"/>
        <v>346.48434000000003</v>
      </c>
      <c r="Z897" s="577">
        <f t="shared" si="717"/>
        <v>346.48434000000003</v>
      </c>
      <c r="AA897" s="577">
        <f t="shared" si="717"/>
        <v>346.48434000000003</v>
      </c>
      <c r="AB897" s="577">
        <f t="shared" si="717"/>
        <v>346.48434000000003</v>
      </c>
      <c r="AC897" s="577">
        <f t="shared" si="717"/>
        <v>346.48434000000003</v>
      </c>
      <c r="AD897" s="577">
        <f t="shared" si="717"/>
        <v>346.48434000000003</v>
      </c>
      <c r="AE897" s="577">
        <f t="shared" si="717"/>
        <v>346.48434000000003</v>
      </c>
      <c r="AF897" s="577">
        <f t="shared" si="717"/>
        <v>346.48434000000003</v>
      </c>
      <c r="AH897" s="578">
        <f>SUM(C897:AF897)</f>
        <v>10394.530200000007</v>
      </c>
      <c r="AJ897" s="579"/>
      <c r="AK897" s="531"/>
      <c r="AM897" s="594"/>
      <c r="AN897" s="535"/>
      <c r="AP897" s="568"/>
      <c r="AQ897" s="568"/>
    </row>
    <row r="898" spans="1:43" s="546" customFormat="1" ht="16.5" hidden="1" customHeight="1" outlineLevel="2">
      <c r="A898" s="584"/>
      <c r="B898" s="569" t="s">
        <v>937</v>
      </c>
      <c r="C898" s="570">
        <f t="shared" ref="C898:AF898" si="718">C881*C899</f>
        <v>346.48434000000003</v>
      </c>
      <c r="D898" s="570">
        <f t="shared" si="718"/>
        <v>346.48434000000003</v>
      </c>
      <c r="E898" s="570">
        <f t="shared" si="718"/>
        <v>346.48434000000003</v>
      </c>
      <c r="F898" s="570">
        <f t="shared" si="718"/>
        <v>346.48434000000003</v>
      </c>
      <c r="G898" s="570">
        <f t="shared" si="718"/>
        <v>346.48434000000003</v>
      </c>
      <c r="H898" s="570">
        <f t="shared" si="718"/>
        <v>346.48434000000003</v>
      </c>
      <c r="I898" s="570">
        <f t="shared" si="718"/>
        <v>346.48434000000003</v>
      </c>
      <c r="J898" s="570">
        <f t="shared" si="718"/>
        <v>346.48434000000003</v>
      </c>
      <c r="K898" s="570">
        <f t="shared" si="718"/>
        <v>346.48434000000003</v>
      </c>
      <c r="L898" s="570">
        <f t="shared" si="718"/>
        <v>346.48434000000003</v>
      </c>
      <c r="M898" s="570">
        <f t="shared" si="718"/>
        <v>346.48434000000003</v>
      </c>
      <c r="N898" s="570">
        <f t="shared" si="718"/>
        <v>346.48434000000003</v>
      </c>
      <c r="O898" s="570">
        <f t="shared" si="718"/>
        <v>346.48434000000003</v>
      </c>
      <c r="P898" s="570">
        <f t="shared" si="718"/>
        <v>346.48434000000003</v>
      </c>
      <c r="Q898" s="570">
        <f t="shared" si="718"/>
        <v>346.48434000000003</v>
      </c>
      <c r="R898" s="570">
        <f t="shared" si="718"/>
        <v>346.48434000000003</v>
      </c>
      <c r="S898" s="570">
        <f t="shared" si="718"/>
        <v>346.48434000000003</v>
      </c>
      <c r="T898" s="570">
        <f t="shared" si="718"/>
        <v>346.48434000000003</v>
      </c>
      <c r="U898" s="570">
        <f t="shared" si="718"/>
        <v>346.48434000000003</v>
      </c>
      <c r="V898" s="570">
        <f t="shared" si="718"/>
        <v>346.48434000000003</v>
      </c>
      <c r="W898" s="570">
        <f t="shared" si="718"/>
        <v>346.48434000000003</v>
      </c>
      <c r="X898" s="570">
        <f t="shared" si="718"/>
        <v>346.48434000000003</v>
      </c>
      <c r="Y898" s="570">
        <f t="shared" si="718"/>
        <v>346.48434000000003</v>
      </c>
      <c r="Z898" s="570">
        <f t="shared" si="718"/>
        <v>346.48434000000003</v>
      </c>
      <c r="AA898" s="570">
        <f t="shared" si="718"/>
        <v>346.48434000000003</v>
      </c>
      <c r="AB898" s="570">
        <f t="shared" si="718"/>
        <v>346.48434000000003</v>
      </c>
      <c r="AC898" s="570">
        <f t="shared" si="718"/>
        <v>346.48434000000003</v>
      </c>
      <c r="AD898" s="570">
        <f t="shared" si="718"/>
        <v>346.48434000000003</v>
      </c>
      <c r="AE898" s="570">
        <f t="shared" si="718"/>
        <v>346.48434000000003</v>
      </c>
      <c r="AF898" s="570">
        <f t="shared" si="718"/>
        <v>346.48434000000003</v>
      </c>
      <c r="AH898" s="571"/>
      <c r="AK898" s="531"/>
      <c r="AM898" s="594"/>
      <c r="AN898" s="535"/>
      <c r="AP898" s="549"/>
      <c r="AQ898" s="549"/>
    </row>
    <row r="899" spans="1:43" s="513" customFormat="1" ht="16.5" hidden="1" customHeight="1" outlineLevel="2">
      <c r="A899" s="584"/>
      <c r="B899" s="572" t="s">
        <v>938</v>
      </c>
      <c r="C899" s="378">
        <f>'Sal._benef.'!$F$11</f>
        <v>0.71030000000000004</v>
      </c>
      <c r="D899" s="378">
        <f>C899</f>
        <v>0.71030000000000004</v>
      </c>
      <c r="E899" s="378">
        <f t="shared" ref="E899:AF899" si="719">D899</f>
        <v>0.71030000000000004</v>
      </c>
      <c r="F899" s="378">
        <f t="shared" si="719"/>
        <v>0.71030000000000004</v>
      </c>
      <c r="G899" s="378">
        <f t="shared" si="719"/>
        <v>0.71030000000000004</v>
      </c>
      <c r="H899" s="378">
        <f t="shared" si="719"/>
        <v>0.71030000000000004</v>
      </c>
      <c r="I899" s="378">
        <f t="shared" si="719"/>
        <v>0.71030000000000004</v>
      </c>
      <c r="J899" s="378">
        <f t="shared" si="719"/>
        <v>0.71030000000000004</v>
      </c>
      <c r="K899" s="378">
        <f t="shared" si="719"/>
        <v>0.71030000000000004</v>
      </c>
      <c r="L899" s="378">
        <f t="shared" si="719"/>
        <v>0.71030000000000004</v>
      </c>
      <c r="M899" s="378">
        <f t="shared" si="719"/>
        <v>0.71030000000000004</v>
      </c>
      <c r="N899" s="378">
        <f t="shared" si="719"/>
        <v>0.71030000000000004</v>
      </c>
      <c r="O899" s="378">
        <f t="shared" si="719"/>
        <v>0.71030000000000004</v>
      </c>
      <c r="P899" s="378">
        <f t="shared" si="719"/>
        <v>0.71030000000000004</v>
      </c>
      <c r="Q899" s="378">
        <f t="shared" si="719"/>
        <v>0.71030000000000004</v>
      </c>
      <c r="R899" s="378">
        <f t="shared" si="719"/>
        <v>0.71030000000000004</v>
      </c>
      <c r="S899" s="378">
        <f t="shared" si="719"/>
        <v>0.71030000000000004</v>
      </c>
      <c r="T899" s="378">
        <f t="shared" si="719"/>
        <v>0.71030000000000004</v>
      </c>
      <c r="U899" s="378">
        <f t="shared" si="719"/>
        <v>0.71030000000000004</v>
      </c>
      <c r="V899" s="378">
        <f t="shared" si="719"/>
        <v>0.71030000000000004</v>
      </c>
      <c r="W899" s="378">
        <f t="shared" si="719"/>
        <v>0.71030000000000004</v>
      </c>
      <c r="X899" s="378">
        <f t="shared" si="719"/>
        <v>0.71030000000000004</v>
      </c>
      <c r="Y899" s="378">
        <f t="shared" si="719"/>
        <v>0.71030000000000004</v>
      </c>
      <c r="Z899" s="378">
        <f t="shared" si="719"/>
        <v>0.71030000000000004</v>
      </c>
      <c r="AA899" s="378">
        <f t="shared" si="719"/>
        <v>0.71030000000000004</v>
      </c>
      <c r="AB899" s="378">
        <f t="shared" si="719"/>
        <v>0.71030000000000004</v>
      </c>
      <c r="AC899" s="378">
        <f t="shared" si="719"/>
        <v>0.71030000000000004</v>
      </c>
      <c r="AD899" s="378">
        <f t="shared" si="719"/>
        <v>0.71030000000000004</v>
      </c>
      <c r="AE899" s="378">
        <f t="shared" si="719"/>
        <v>0.71030000000000004</v>
      </c>
      <c r="AF899" s="378">
        <f t="shared" si="719"/>
        <v>0.71030000000000004</v>
      </c>
      <c r="AH899" s="538"/>
      <c r="AK899" s="531"/>
      <c r="AM899" s="594"/>
      <c r="AN899" s="535"/>
      <c r="AP899" s="540"/>
      <c r="AQ899" s="540"/>
    </row>
    <row r="900" spans="1:43" ht="3" hidden="1" customHeight="1" outlineLevel="2">
      <c r="A900" s="584"/>
      <c r="B900" s="609"/>
      <c r="C900" s="611"/>
      <c r="D900" s="611"/>
      <c r="E900" s="610"/>
      <c r="F900" s="610"/>
      <c r="G900" s="610"/>
      <c r="H900" s="610"/>
      <c r="I900" s="610"/>
      <c r="J900" s="610"/>
      <c r="K900" s="610"/>
      <c r="L900" s="610"/>
      <c r="M900" s="610"/>
      <c r="N900" s="610"/>
      <c r="O900" s="610"/>
      <c r="P900" s="610"/>
      <c r="Q900" s="610"/>
      <c r="R900" s="610"/>
      <c r="S900" s="610"/>
      <c r="T900" s="610"/>
      <c r="U900" s="610"/>
      <c r="V900" s="610"/>
      <c r="W900" s="610"/>
      <c r="X900" s="610"/>
      <c r="Y900" s="610"/>
      <c r="Z900" s="610"/>
      <c r="AA900" s="610"/>
      <c r="AB900" s="610"/>
      <c r="AC900" s="610"/>
      <c r="AD900" s="610"/>
      <c r="AE900" s="610"/>
      <c r="AF900" s="610"/>
      <c r="AH900" s="593"/>
      <c r="AK900" s="531"/>
      <c r="AM900" s="594"/>
      <c r="AN900" s="535"/>
      <c r="AP900" s="535"/>
      <c r="AQ900" s="535"/>
    </row>
    <row r="901" spans="1:43" s="564" customFormat="1" ht="16.5" hidden="1" customHeight="1" outlineLevel="1" collapsed="1">
      <c r="A901" s="584"/>
      <c r="B901" s="576" t="s">
        <v>939</v>
      </c>
      <c r="C901" s="577">
        <f>SUM(C902,C908)*12/10^3</f>
        <v>123.66576000000001</v>
      </c>
      <c r="D901" s="577">
        <f t="shared" ref="D901:AF901" si="720">SUM(D902,D908)*12/10^3</f>
        <v>123.66576000000001</v>
      </c>
      <c r="E901" s="577">
        <f t="shared" si="720"/>
        <v>123.66576000000001</v>
      </c>
      <c r="F901" s="577">
        <f t="shared" si="720"/>
        <v>123.66576000000001</v>
      </c>
      <c r="G901" s="577">
        <f t="shared" si="720"/>
        <v>123.66576000000001</v>
      </c>
      <c r="H901" s="577">
        <f t="shared" si="720"/>
        <v>123.66576000000001</v>
      </c>
      <c r="I901" s="577">
        <f t="shared" si="720"/>
        <v>123.66576000000001</v>
      </c>
      <c r="J901" s="577">
        <f t="shared" si="720"/>
        <v>123.66576000000001</v>
      </c>
      <c r="K901" s="577">
        <f t="shared" si="720"/>
        <v>123.66576000000001</v>
      </c>
      <c r="L901" s="577">
        <f t="shared" si="720"/>
        <v>123.66576000000001</v>
      </c>
      <c r="M901" s="577">
        <f t="shared" si="720"/>
        <v>123.66576000000001</v>
      </c>
      <c r="N901" s="577">
        <f t="shared" si="720"/>
        <v>123.66576000000001</v>
      </c>
      <c r="O901" s="577">
        <f t="shared" si="720"/>
        <v>123.66576000000001</v>
      </c>
      <c r="P901" s="577">
        <f t="shared" si="720"/>
        <v>123.66576000000001</v>
      </c>
      <c r="Q901" s="577">
        <f t="shared" si="720"/>
        <v>123.66576000000001</v>
      </c>
      <c r="R901" s="577">
        <f t="shared" si="720"/>
        <v>123.66576000000001</v>
      </c>
      <c r="S901" s="577">
        <f t="shared" si="720"/>
        <v>123.66576000000001</v>
      </c>
      <c r="T901" s="577">
        <f t="shared" si="720"/>
        <v>123.66576000000001</v>
      </c>
      <c r="U901" s="577">
        <f t="shared" si="720"/>
        <v>123.66576000000001</v>
      </c>
      <c r="V901" s="577">
        <f t="shared" si="720"/>
        <v>123.66576000000001</v>
      </c>
      <c r="W901" s="577">
        <f t="shared" si="720"/>
        <v>123.66576000000001</v>
      </c>
      <c r="X901" s="577">
        <f t="shared" si="720"/>
        <v>123.66576000000001</v>
      </c>
      <c r="Y901" s="577">
        <f t="shared" si="720"/>
        <v>123.66576000000001</v>
      </c>
      <c r="Z901" s="577">
        <f t="shared" si="720"/>
        <v>123.66576000000001</v>
      </c>
      <c r="AA901" s="577">
        <f t="shared" si="720"/>
        <v>123.66576000000001</v>
      </c>
      <c r="AB901" s="577">
        <f t="shared" si="720"/>
        <v>123.66576000000001</v>
      </c>
      <c r="AC901" s="577">
        <f t="shared" si="720"/>
        <v>123.66576000000001</v>
      </c>
      <c r="AD901" s="577">
        <f t="shared" si="720"/>
        <v>123.66576000000001</v>
      </c>
      <c r="AE901" s="577">
        <f t="shared" si="720"/>
        <v>123.66576000000001</v>
      </c>
      <c r="AF901" s="577">
        <f t="shared" si="720"/>
        <v>123.66576000000001</v>
      </c>
      <c r="AH901" s="578">
        <f>SUM(C901:AF901)</f>
        <v>3709.9727999999986</v>
      </c>
      <c r="AJ901" s="579"/>
      <c r="AK901" s="531"/>
      <c r="AM901" s="594"/>
      <c r="AN901" s="535"/>
      <c r="AP901" s="568"/>
      <c r="AQ901" s="568"/>
    </row>
    <row r="902" spans="1:43" s="546" customFormat="1" ht="16.5" hidden="1" customHeight="1" outlineLevel="2">
      <c r="A902" s="584"/>
      <c r="B902" s="613" t="s">
        <v>927</v>
      </c>
      <c r="C902" s="570">
        <f>C903*(C904+C905+C906+C907)</f>
        <v>604.82999999999993</v>
      </c>
      <c r="D902" s="570">
        <f t="shared" ref="D902:AF902" si="721">D903*(D904+D905+D906+D907)</f>
        <v>604.82999999999993</v>
      </c>
      <c r="E902" s="570">
        <f t="shared" si="721"/>
        <v>604.82999999999993</v>
      </c>
      <c r="F902" s="570">
        <f t="shared" si="721"/>
        <v>604.82999999999993</v>
      </c>
      <c r="G902" s="570">
        <f t="shared" si="721"/>
        <v>604.82999999999993</v>
      </c>
      <c r="H902" s="570">
        <f t="shared" si="721"/>
        <v>604.82999999999993</v>
      </c>
      <c r="I902" s="570">
        <f t="shared" si="721"/>
        <v>604.82999999999993</v>
      </c>
      <c r="J902" s="570">
        <f t="shared" si="721"/>
        <v>604.82999999999993</v>
      </c>
      <c r="K902" s="570">
        <f t="shared" si="721"/>
        <v>604.82999999999993</v>
      </c>
      <c r="L902" s="570">
        <f t="shared" si="721"/>
        <v>604.82999999999993</v>
      </c>
      <c r="M902" s="570">
        <f t="shared" si="721"/>
        <v>604.82999999999993</v>
      </c>
      <c r="N902" s="570">
        <f t="shared" si="721"/>
        <v>604.82999999999993</v>
      </c>
      <c r="O902" s="570">
        <f t="shared" si="721"/>
        <v>604.82999999999993</v>
      </c>
      <c r="P902" s="570">
        <f t="shared" si="721"/>
        <v>604.82999999999993</v>
      </c>
      <c r="Q902" s="570">
        <f t="shared" si="721"/>
        <v>604.82999999999993</v>
      </c>
      <c r="R902" s="570">
        <f t="shared" si="721"/>
        <v>604.82999999999993</v>
      </c>
      <c r="S902" s="570">
        <f t="shared" si="721"/>
        <v>604.82999999999993</v>
      </c>
      <c r="T902" s="570">
        <f t="shared" si="721"/>
        <v>604.82999999999993</v>
      </c>
      <c r="U902" s="570">
        <f t="shared" si="721"/>
        <v>604.82999999999993</v>
      </c>
      <c r="V902" s="570">
        <f t="shared" si="721"/>
        <v>604.82999999999993</v>
      </c>
      <c r="W902" s="570">
        <f t="shared" si="721"/>
        <v>604.82999999999993</v>
      </c>
      <c r="X902" s="570">
        <f t="shared" si="721"/>
        <v>604.82999999999993</v>
      </c>
      <c r="Y902" s="570">
        <f t="shared" si="721"/>
        <v>604.82999999999993</v>
      </c>
      <c r="Z902" s="570">
        <f t="shared" si="721"/>
        <v>604.82999999999993</v>
      </c>
      <c r="AA902" s="570">
        <f t="shared" si="721"/>
        <v>604.82999999999993</v>
      </c>
      <c r="AB902" s="570">
        <f t="shared" si="721"/>
        <v>604.82999999999993</v>
      </c>
      <c r="AC902" s="570">
        <f t="shared" si="721"/>
        <v>604.82999999999993</v>
      </c>
      <c r="AD902" s="570">
        <f t="shared" si="721"/>
        <v>604.82999999999993</v>
      </c>
      <c r="AE902" s="570">
        <f t="shared" si="721"/>
        <v>604.82999999999993</v>
      </c>
      <c r="AF902" s="570">
        <f t="shared" si="721"/>
        <v>604.82999999999993</v>
      </c>
      <c r="AH902" s="571"/>
      <c r="AK902" s="531"/>
      <c r="AM902" s="594"/>
      <c r="AN902" s="535"/>
      <c r="AP902" s="549"/>
      <c r="AQ902" s="549"/>
    </row>
    <row r="903" spans="1:43" s="513" customFormat="1" ht="16.5" hidden="1" customHeight="1" outlineLevel="2">
      <c r="A903" s="584"/>
      <c r="B903" s="572" t="s">
        <v>805</v>
      </c>
      <c r="C903" s="573">
        <f t="shared" ref="C903:AF903" si="722">C883</f>
        <v>1</v>
      </c>
      <c r="D903" s="573">
        <f t="shared" si="722"/>
        <v>1</v>
      </c>
      <c r="E903" s="573">
        <f t="shared" si="722"/>
        <v>1</v>
      </c>
      <c r="F903" s="573">
        <f t="shared" si="722"/>
        <v>1</v>
      </c>
      <c r="G903" s="573">
        <f t="shared" si="722"/>
        <v>1</v>
      </c>
      <c r="H903" s="573">
        <f t="shared" si="722"/>
        <v>1</v>
      </c>
      <c r="I903" s="573">
        <f t="shared" si="722"/>
        <v>1</v>
      </c>
      <c r="J903" s="573">
        <f t="shared" si="722"/>
        <v>1</v>
      </c>
      <c r="K903" s="573">
        <f t="shared" si="722"/>
        <v>1</v>
      </c>
      <c r="L903" s="573">
        <f t="shared" si="722"/>
        <v>1</v>
      </c>
      <c r="M903" s="573">
        <f t="shared" si="722"/>
        <v>1</v>
      </c>
      <c r="N903" s="573">
        <f t="shared" si="722"/>
        <v>1</v>
      </c>
      <c r="O903" s="573">
        <f t="shared" si="722"/>
        <v>1</v>
      </c>
      <c r="P903" s="573">
        <f t="shared" si="722"/>
        <v>1</v>
      </c>
      <c r="Q903" s="573">
        <f t="shared" si="722"/>
        <v>1</v>
      </c>
      <c r="R903" s="573">
        <f t="shared" si="722"/>
        <v>1</v>
      </c>
      <c r="S903" s="573">
        <f t="shared" si="722"/>
        <v>1</v>
      </c>
      <c r="T903" s="573">
        <f t="shared" si="722"/>
        <v>1</v>
      </c>
      <c r="U903" s="573">
        <f t="shared" si="722"/>
        <v>1</v>
      </c>
      <c r="V903" s="573">
        <f t="shared" si="722"/>
        <v>1</v>
      </c>
      <c r="W903" s="573">
        <f t="shared" si="722"/>
        <v>1</v>
      </c>
      <c r="X903" s="573">
        <f t="shared" si="722"/>
        <v>1</v>
      </c>
      <c r="Y903" s="573">
        <f t="shared" si="722"/>
        <v>1</v>
      </c>
      <c r="Z903" s="573">
        <f t="shared" si="722"/>
        <v>1</v>
      </c>
      <c r="AA903" s="573">
        <f t="shared" si="722"/>
        <v>1</v>
      </c>
      <c r="AB903" s="573">
        <f t="shared" si="722"/>
        <v>1</v>
      </c>
      <c r="AC903" s="573">
        <f t="shared" si="722"/>
        <v>1</v>
      </c>
      <c r="AD903" s="573">
        <f t="shared" si="722"/>
        <v>1</v>
      </c>
      <c r="AE903" s="573">
        <f t="shared" si="722"/>
        <v>1</v>
      </c>
      <c r="AF903" s="573">
        <f t="shared" si="722"/>
        <v>1</v>
      </c>
      <c r="AH903" s="538"/>
      <c r="AK903" s="719"/>
      <c r="AM903" s="594"/>
      <c r="AN903" s="535"/>
      <c r="AP903" s="540"/>
      <c r="AQ903" s="540"/>
    </row>
    <row r="904" spans="1:43" s="513" customFormat="1" ht="16.5" hidden="1" customHeight="1" outlineLevel="2">
      <c r="A904" s="584"/>
      <c r="B904" s="572" t="s">
        <v>940</v>
      </c>
      <c r="C904" s="592">
        <f>'Sal._benef.'!$I$24</f>
        <v>500</v>
      </c>
      <c r="D904" s="592">
        <f>C904</f>
        <v>500</v>
      </c>
      <c r="E904" s="592">
        <f t="shared" ref="E904:T907" si="723">D904</f>
        <v>500</v>
      </c>
      <c r="F904" s="592">
        <f t="shared" si="723"/>
        <v>500</v>
      </c>
      <c r="G904" s="592">
        <f t="shared" si="723"/>
        <v>500</v>
      </c>
      <c r="H904" s="592">
        <f t="shared" si="723"/>
        <v>500</v>
      </c>
      <c r="I904" s="592">
        <f t="shared" si="723"/>
        <v>500</v>
      </c>
      <c r="J904" s="592">
        <f t="shared" si="723"/>
        <v>500</v>
      </c>
      <c r="K904" s="592">
        <f t="shared" si="723"/>
        <v>500</v>
      </c>
      <c r="L904" s="592">
        <f t="shared" si="723"/>
        <v>500</v>
      </c>
      <c r="M904" s="592">
        <f t="shared" si="723"/>
        <v>500</v>
      </c>
      <c r="N904" s="592">
        <f t="shared" si="723"/>
        <v>500</v>
      </c>
      <c r="O904" s="592">
        <f t="shared" si="723"/>
        <v>500</v>
      </c>
      <c r="P904" s="592">
        <f t="shared" si="723"/>
        <v>500</v>
      </c>
      <c r="Q904" s="592">
        <f t="shared" si="723"/>
        <v>500</v>
      </c>
      <c r="R904" s="592">
        <f t="shared" si="723"/>
        <v>500</v>
      </c>
      <c r="S904" s="592">
        <f t="shared" si="723"/>
        <v>500</v>
      </c>
      <c r="T904" s="592">
        <f t="shared" si="723"/>
        <v>500</v>
      </c>
      <c r="U904" s="592">
        <f t="shared" ref="U904:AF907" si="724">T904</f>
        <v>500</v>
      </c>
      <c r="V904" s="592">
        <f t="shared" si="724"/>
        <v>500</v>
      </c>
      <c r="W904" s="592">
        <f t="shared" si="724"/>
        <v>500</v>
      </c>
      <c r="X904" s="592">
        <f t="shared" si="724"/>
        <v>500</v>
      </c>
      <c r="Y904" s="592">
        <f t="shared" si="724"/>
        <v>500</v>
      </c>
      <c r="Z904" s="592">
        <f t="shared" si="724"/>
        <v>500</v>
      </c>
      <c r="AA904" s="592">
        <f t="shared" si="724"/>
        <v>500</v>
      </c>
      <c r="AB904" s="592">
        <f t="shared" si="724"/>
        <v>500</v>
      </c>
      <c r="AC904" s="592">
        <f t="shared" si="724"/>
        <v>500</v>
      </c>
      <c r="AD904" s="592">
        <f t="shared" si="724"/>
        <v>500</v>
      </c>
      <c r="AE904" s="592">
        <f t="shared" si="724"/>
        <v>500</v>
      </c>
      <c r="AF904" s="592">
        <f t="shared" si="724"/>
        <v>500</v>
      </c>
      <c r="AH904" s="538"/>
      <c r="AK904" s="531"/>
      <c r="AM904" s="594"/>
      <c r="AN904" s="535"/>
      <c r="AP904" s="540"/>
      <c r="AQ904" s="540"/>
    </row>
    <row r="905" spans="1:43" s="513" customFormat="1" ht="16.5" hidden="1" customHeight="1" outlineLevel="2">
      <c r="A905" s="584"/>
      <c r="B905" s="572" t="s">
        <v>941</v>
      </c>
      <c r="C905" s="592">
        <f>'Sal._benef.'!$K$24</f>
        <v>5.53</v>
      </c>
      <c r="D905" s="592">
        <f>C905</f>
        <v>5.53</v>
      </c>
      <c r="E905" s="592">
        <f t="shared" si="723"/>
        <v>5.53</v>
      </c>
      <c r="F905" s="592">
        <f t="shared" si="723"/>
        <v>5.53</v>
      </c>
      <c r="G905" s="592">
        <f t="shared" si="723"/>
        <v>5.53</v>
      </c>
      <c r="H905" s="592">
        <f t="shared" si="723"/>
        <v>5.53</v>
      </c>
      <c r="I905" s="592">
        <f t="shared" si="723"/>
        <v>5.53</v>
      </c>
      <c r="J905" s="592">
        <f t="shared" si="723"/>
        <v>5.53</v>
      </c>
      <c r="K905" s="592">
        <f t="shared" si="723"/>
        <v>5.53</v>
      </c>
      <c r="L905" s="592">
        <f t="shared" si="723"/>
        <v>5.53</v>
      </c>
      <c r="M905" s="592">
        <f t="shared" si="723"/>
        <v>5.53</v>
      </c>
      <c r="N905" s="592">
        <f t="shared" si="723"/>
        <v>5.53</v>
      </c>
      <c r="O905" s="592">
        <f t="shared" si="723"/>
        <v>5.53</v>
      </c>
      <c r="P905" s="592">
        <f t="shared" si="723"/>
        <v>5.53</v>
      </c>
      <c r="Q905" s="592">
        <f t="shared" si="723"/>
        <v>5.53</v>
      </c>
      <c r="R905" s="592">
        <f t="shared" si="723"/>
        <v>5.53</v>
      </c>
      <c r="S905" s="592">
        <f t="shared" si="723"/>
        <v>5.53</v>
      </c>
      <c r="T905" s="592">
        <f t="shared" si="723"/>
        <v>5.53</v>
      </c>
      <c r="U905" s="592">
        <f t="shared" si="724"/>
        <v>5.53</v>
      </c>
      <c r="V905" s="592">
        <f t="shared" si="724"/>
        <v>5.53</v>
      </c>
      <c r="W905" s="592">
        <f t="shared" si="724"/>
        <v>5.53</v>
      </c>
      <c r="X905" s="592">
        <f t="shared" si="724"/>
        <v>5.53</v>
      </c>
      <c r="Y905" s="592">
        <f t="shared" si="724"/>
        <v>5.53</v>
      </c>
      <c r="Z905" s="592">
        <f t="shared" si="724"/>
        <v>5.53</v>
      </c>
      <c r="AA905" s="592">
        <f t="shared" si="724"/>
        <v>5.53</v>
      </c>
      <c r="AB905" s="592">
        <f t="shared" si="724"/>
        <v>5.53</v>
      </c>
      <c r="AC905" s="592">
        <f t="shared" si="724"/>
        <v>5.53</v>
      </c>
      <c r="AD905" s="592">
        <f t="shared" si="724"/>
        <v>5.53</v>
      </c>
      <c r="AE905" s="592">
        <f t="shared" si="724"/>
        <v>5.53</v>
      </c>
      <c r="AF905" s="592">
        <f t="shared" si="724"/>
        <v>5.53</v>
      </c>
      <c r="AH905" s="538"/>
      <c r="AK905" s="531"/>
      <c r="AM905" s="594"/>
      <c r="AN905" s="535"/>
      <c r="AP905" s="540"/>
      <c r="AQ905" s="540"/>
    </row>
    <row r="906" spans="1:43" s="513" customFormat="1" ht="16.5" hidden="1" customHeight="1" outlineLevel="2">
      <c r="A906" s="584"/>
      <c r="B906" s="572" t="s">
        <v>942</v>
      </c>
      <c r="C906" s="592">
        <f>'Sal._benef.'!$J$24</f>
        <v>99.300000000000011</v>
      </c>
      <c r="D906" s="592">
        <f>C906</f>
        <v>99.300000000000011</v>
      </c>
      <c r="E906" s="592">
        <f t="shared" si="723"/>
        <v>99.300000000000011</v>
      </c>
      <c r="F906" s="592">
        <f t="shared" si="723"/>
        <v>99.300000000000011</v>
      </c>
      <c r="G906" s="592">
        <f t="shared" si="723"/>
        <v>99.300000000000011</v>
      </c>
      <c r="H906" s="592">
        <f t="shared" si="723"/>
        <v>99.300000000000011</v>
      </c>
      <c r="I906" s="592">
        <f t="shared" si="723"/>
        <v>99.300000000000011</v>
      </c>
      <c r="J906" s="592">
        <f t="shared" si="723"/>
        <v>99.300000000000011</v>
      </c>
      <c r="K906" s="592">
        <f t="shared" si="723"/>
        <v>99.300000000000011</v>
      </c>
      <c r="L906" s="592">
        <f t="shared" si="723"/>
        <v>99.300000000000011</v>
      </c>
      <c r="M906" s="592">
        <f t="shared" si="723"/>
        <v>99.300000000000011</v>
      </c>
      <c r="N906" s="592">
        <f t="shared" si="723"/>
        <v>99.300000000000011</v>
      </c>
      <c r="O906" s="592">
        <f t="shared" si="723"/>
        <v>99.300000000000011</v>
      </c>
      <c r="P906" s="592">
        <f t="shared" si="723"/>
        <v>99.300000000000011</v>
      </c>
      <c r="Q906" s="592">
        <f t="shared" si="723"/>
        <v>99.300000000000011</v>
      </c>
      <c r="R906" s="592">
        <f t="shared" si="723"/>
        <v>99.300000000000011</v>
      </c>
      <c r="S906" s="592">
        <f t="shared" si="723"/>
        <v>99.300000000000011</v>
      </c>
      <c r="T906" s="592">
        <f t="shared" si="723"/>
        <v>99.300000000000011</v>
      </c>
      <c r="U906" s="592">
        <f t="shared" si="724"/>
        <v>99.300000000000011</v>
      </c>
      <c r="V906" s="592">
        <f t="shared" si="724"/>
        <v>99.300000000000011</v>
      </c>
      <c r="W906" s="592">
        <f t="shared" si="724"/>
        <v>99.300000000000011</v>
      </c>
      <c r="X906" s="592">
        <f t="shared" si="724"/>
        <v>99.300000000000011</v>
      </c>
      <c r="Y906" s="592">
        <f t="shared" si="724"/>
        <v>99.300000000000011</v>
      </c>
      <c r="Z906" s="592">
        <f t="shared" si="724"/>
        <v>99.300000000000011</v>
      </c>
      <c r="AA906" s="592">
        <f t="shared" si="724"/>
        <v>99.300000000000011</v>
      </c>
      <c r="AB906" s="592">
        <f t="shared" si="724"/>
        <v>99.300000000000011</v>
      </c>
      <c r="AC906" s="592">
        <f t="shared" si="724"/>
        <v>99.300000000000011</v>
      </c>
      <c r="AD906" s="592">
        <f t="shared" si="724"/>
        <v>99.300000000000011</v>
      </c>
      <c r="AE906" s="592">
        <f t="shared" si="724"/>
        <v>99.300000000000011</v>
      </c>
      <c r="AF906" s="592">
        <f t="shared" si="724"/>
        <v>99.300000000000011</v>
      </c>
      <c r="AH906" s="538"/>
      <c r="AK906" s="531"/>
      <c r="AM906" s="594"/>
      <c r="AN906" s="535"/>
      <c r="AP906" s="540"/>
      <c r="AQ906" s="540"/>
    </row>
    <row r="907" spans="1:43" s="513" customFormat="1" ht="16.5" hidden="1" customHeight="1" outlineLevel="2">
      <c r="A907" s="584"/>
      <c r="B907" s="572" t="s">
        <v>862</v>
      </c>
      <c r="C907" s="592">
        <v>0</v>
      </c>
      <c r="D907" s="592">
        <f t="shared" ref="D907" si="725">C907</f>
        <v>0</v>
      </c>
      <c r="E907" s="592">
        <f t="shared" si="723"/>
        <v>0</v>
      </c>
      <c r="F907" s="592">
        <f t="shared" si="723"/>
        <v>0</v>
      </c>
      <c r="G907" s="592">
        <f t="shared" si="723"/>
        <v>0</v>
      </c>
      <c r="H907" s="592">
        <f t="shared" si="723"/>
        <v>0</v>
      </c>
      <c r="I907" s="592">
        <f t="shared" si="723"/>
        <v>0</v>
      </c>
      <c r="J907" s="592">
        <f t="shared" si="723"/>
        <v>0</v>
      </c>
      <c r="K907" s="592">
        <f t="shared" si="723"/>
        <v>0</v>
      </c>
      <c r="L907" s="592">
        <f t="shared" si="723"/>
        <v>0</v>
      </c>
      <c r="M907" s="592">
        <f t="shared" si="723"/>
        <v>0</v>
      </c>
      <c r="N907" s="592">
        <f t="shared" si="723"/>
        <v>0</v>
      </c>
      <c r="O907" s="592">
        <f t="shared" si="723"/>
        <v>0</v>
      </c>
      <c r="P907" s="592">
        <f t="shared" si="723"/>
        <v>0</v>
      </c>
      <c r="Q907" s="592">
        <f t="shared" si="723"/>
        <v>0</v>
      </c>
      <c r="R907" s="592">
        <f t="shared" si="723"/>
        <v>0</v>
      </c>
      <c r="S907" s="592">
        <f t="shared" si="723"/>
        <v>0</v>
      </c>
      <c r="T907" s="592">
        <f t="shared" si="723"/>
        <v>0</v>
      </c>
      <c r="U907" s="592">
        <f t="shared" si="724"/>
        <v>0</v>
      </c>
      <c r="V907" s="592">
        <f t="shared" si="724"/>
        <v>0</v>
      </c>
      <c r="W907" s="592">
        <f t="shared" si="724"/>
        <v>0</v>
      </c>
      <c r="X907" s="592">
        <f t="shared" si="724"/>
        <v>0</v>
      </c>
      <c r="Y907" s="592">
        <f t="shared" si="724"/>
        <v>0</v>
      </c>
      <c r="Z907" s="592">
        <f t="shared" si="724"/>
        <v>0</v>
      </c>
      <c r="AA907" s="592">
        <f t="shared" si="724"/>
        <v>0</v>
      </c>
      <c r="AB907" s="592">
        <f t="shared" si="724"/>
        <v>0</v>
      </c>
      <c r="AC907" s="592">
        <f t="shared" si="724"/>
        <v>0</v>
      </c>
      <c r="AD907" s="592">
        <f t="shared" si="724"/>
        <v>0</v>
      </c>
      <c r="AE907" s="592">
        <f t="shared" si="724"/>
        <v>0</v>
      </c>
      <c r="AF907" s="592">
        <f t="shared" si="724"/>
        <v>0</v>
      </c>
      <c r="AH907" s="538"/>
      <c r="AK907" s="531"/>
      <c r="AM907" s="594"/>
      <c r="AN907" s="535"/>
      <c r="AP907" s="540"/>
      <c r="AQ907" s="540"/>
    </row>
    <row r="908" spans="1:43" s="546" customFormat="1" ht="16.5" hidden="1" customHeight="1" outlineLevel="2">
      <c r="A908" s="584"/>
      <c r="B908" s="613" t="s">
        <v>959</v>
      </c>
      <c r="C908" s="570">
        <f>C909*(C910+C911+C912+C913)</f>
        <v>9700.6500000000015</v>
      </c>
      <c r="D908" s="570">
        <f t="shared" ref="D908:AF908" si="726">D909*(D910+D911+D912+D913)</f>
        <v>9700.6500000000015</v>
      </c>
      <c r="E908" s="570">
        <f t="shared" si="726"/>
        <v>9700.6500000000015</v>
      </c>
      <c r="F908" s="570">
        <f t="shared" si="726"/>
        <v>9700.6500000000015</v>
      </c>
      <c r="G908" s="570">
        <f t="shared" si="726"/>
        <v>9700.6500000000015</v>
      </c>
      <c r="H908" s="570">
        <f t="shared" si="726"/>
        <v>9700.6500000000015</v>
      </c>
      <c r="I908" s="570">
        <f t="shared" si="726"/>
        <v>9700.6500000000015</v>
      </c>
      <c r="J908" s="570">
        <f t="shared" si="726"/>
        <v>9700.6500000000015</v>
      </c>
      <c r="K908" s="570">
        <f t="shared" si="726"/>
        <v>9700.6500000000015</v>
      </c>
      <c r="L908" s="570">
        <f t="shared" si="726"/>
        <v>9700.6500000000015</v>
      </c>
      <c r="M908" s="570">
        <f t="shared" si="726"/>
        <v>9700.6500000000015</v>
      </c>
      <c r="N908" s="570">
        <f t="shared" si="726"/>
        <v>9700.6500000000015</v>
      </c>
      <c r="O908" s="570">
        <f t="shared" si="726"/>
        <v>9700.6500000000015</v>
      </c>
      <c r="P908" s="570">
        <f t="shared" si="726"/>
        <v>9700.6500000000015</v>
      </c>
      <c r="Q908" s="570">
        <f t="shared" si="726"/>
        <v>9700.6500000000015</v>
      </c>
      <c r="R908" s="570">
        <f t="shared" si="726"/>
        <v>9700.6500000000015</v>
      </c>
      <c r="S908" s="570">
        <f t="shared" si="726"/>
        <v>9700.6500000000015</v>
      </c>
      <c r="T908" s="570">
        <f t="shared" si="726"/>
        <v>9700.6500000000015</v>
      </c>
      <c r="U908" s="570">
        <f t="shared" si="726"/>
        <v>9700.6500000000015</v>
      </c>
      <c r="V908" s="570">
        <f t="shared" si="726"/>
        <v>9700.6500000000015</v>
      </c>
      <c r="W908" s="570">
        <f t="shared" si="726"/>
        <v>9700.6500000000015</v>
      </c>
      <c r="X908" s="570">
        <f t="shared" si="726"/>
        <v>9700.6500000000015</v>
      </c>
      <c r="Y908" s="570">
        <f t="shared" si="726"/>
        <v>9700.6500000000015</v>
      </c>
      <c r="Z908" s="570">
        <f t="shared" si="726"/>
        <v>9700.6500000000015</v>
      </c>
      <c r="AA908" s="570">
        <f t="shared" si="726"/>
        <v>9700.6500000000015</v>
      </c>
      <c r="AB908" s="570">
        <f t="shared" si="726"/>
        <v>9700.6500000000015</v>
      </c>
      <c r="AC908" s="570">
        <f t="shared" si="726"/>
        <v>9700.6500000000015</v>
      </c>
      <c r="AD908" s="570">
        <f t="shared" si="726"/>
        <v>9700.6500000000015</v>
      </c>
      <c r="AE908" s="570">
        <f t="shared" si="726"/>
        <v>9700.6500000000015</v>
      </c>
      <c r="AF908" s="570">
        <f t="shared" si="726"/>
        <v>9700.6500000000015</v>
      </c>
      <c r="AH908" s="571"/>
      <c r="AK908" s="531"/>
      <c r="AM908" s="594"/>
      <c r="AN908" s="535"/>
      <c r="AP908" s="549"/>
      <c r="AQ908" s="549"/>
    </row>
    <row r="909" spans="1:43" s="513" customFormat="1" ht="16.5" hidden="1" customHeight="1" outlineLevel="2">
      <c r="A909" s="584"/>
      <c r="B909" s="572" t="s">
        <v>805</v>
      </c>
      <c r="C909" s="573">
        <f t="shared" ref="C909:AF909" si="727">C890</f>
        <v>15</v>
      </c>
      <c r="D909" s="573">
        <f t="shared" si="727"/>
        <v>15</v>
      </c>
      <c r="E909" s="573">
        <f t="shared" si="727"/>
        <v>15</v>
      </c>
      <c r="F909" s="573">
        <f t="shared" si="727"/>
        <v>15</v>
      </c>
      <c r="G909" s="573">
        <f t="shared" si="727"/>
        <v>15</v>
      </c>
      <c r="H909" s="573">
        <f t="shared" si="727"/>
        <v>15</v>
      </c>
      <c r="I909" s="573">
        <f t="shared" si="727"/>
        <v>15</v>
      </c>
      <c r="J909" s="573">
        <f t="shared" si="727"/>
        <v>15</v>
      </c>
      <c r="K909" s="573">
        <f t="shared" si="727"/>
        <v>15</v>
      </c>
      <c r="L909" s="573">
        <f t="shared" si="727"/>
        <v>15</v>
      </c>
      <c r="M909" s="573">
        <f t="shared" si="727"/>
        <v>15</v>
      </c>
      <c r="N909" s="573">
        <f t="shared" si="727"/>
        <v>15</v>
      </c>
      <c r="O909" s="573">
        <f t="shared" si="727"/>
        <v>15</v>
      </c>
      <c r="P909" s="573">
        <f t="shared" si="727"/>
        <v>15</v>
      </c>
      <c r="Q909" s="573">
        <f t="shared" si="727"/>
        <v>15</v>
      </c>
      <c r="R909" s="573">
        <f t="shared" si="727"/>
        <v>15</v>
      </c>
      <c r="S909" s="573">
        <f t="shared" si="727"/>
        <v>15</v>
      </c>
      <c r="T909" s="573">
        <f t="shared" si="727"/>
        <v>15</v>
      </c>
      <c r="U909" s="573">
        <f t="shared" si="727"/>
        <v>15</v>
      </c>
      <c r="V909" s="573">
        <f t="shared" si="727"/>
        <v>15</v>
      </c>
      <c r="W909" s="573">
        <f t="shared" si="727"/>
        <v>15</v>
      </c>
      <c r="X909" s="573">
        <f t="shared" si="727"/>
        <v>15</v>
      </c>
      <c r="Y909" s="573">
        <f t="shared" si="727"/>
        <v>15</v>
      </c>
      <c r="Z909" s="573">
        <f t="shared" si="727"/>
        <v>15</v>
      </c>
      <c r="AA909" s="573">
        <f t="shared" si="727"/>
        <v>15</v>
      </c>
      <c r="AB909" s="573">
        <f t="shared" si="727"/>
        <v>15</v>
      </c>
      <c r="AC909" s="573">
        <f t="shared" si="727"/>
        <v>15</v>
      </c>
      <c r="AD909" s="573">
        <f t="shared" si="727"/>
        <v>15</v>
      </c>
      <c r="AE909" s="573">
        <f t="shared" si="727"/>
        <v>15</v>
      </c>
      <c r="AF909" s="573">
        <f t="shared" si="727"/>
        <v>15</v>
      </c>
      <c r="AH909" s="538"/>
      <c r="AK909" s="719"/>
      <c r="AM909" s="594"/>
      <c r="AN909" s="535"/>
      <c r="AP909" s="540"/>
      <c r="AQ909" s="540"/>
    </row>
    <row r="910" spans="1:43" s="513" customFormat="1" ht="16.5" hidden="1" customHeight="1" outlineLevel="2">
      <c r="A910" s="584"/>
      <c r="B910" s="572" t="s">
        <v>940</v>
      </c>
      <c r="C910" s="592">
        <f>'Sal._benef.'!$I$27</f>
        <v>500</v>
      </c>
      <c r="D910" s="592">
        <f>C910</f>
        <v>500</v>
      </c>
      <c r="E910" s="592">
        <f t="shared" ref="E910:T913" si="728">D910</f>
        <v>500</v>
      </c>
      <c r="F910" s="592">
        <f t="shared" si="728"/>
        <v>500</v>
      </c>
      <c r="G910" s="592">
        <f t="shared" si="728"/>
        <v>500</v>
      </c>
      <c r="H910" s="592">
        <f t="shared" si="728"/>
        <v>500</v>
      </c>
      <c r="I910" s="592">
        <f t="shared" si="728"/>
        <v>500</v>
      </c>
      <c r="J910" s="592">
        <f t="shared" si="728"/>
        <v>500</v>
      </c>
      <c r="K910" s="592">
        <f t="shared" si="728"/>
        <v>500</v>
      </c>
      <c r="L910" s="592">
        <f t="shared" si="728"/>
        <v>500</v>
      </c>
      <c r="M910" s="592">
        <f t="shared" si="728"/>
        <v>500</v>
      </c>
      <c r="N910" s="592">
        <f t="shared" si="728"/>
        <v>500</v>
      </c>
      <c r="O910" s="592">
        <f t="shared" si="728"/>
        <v>500</v>
      </c>
      <c r="P910" s="592">
        <f t="shared" si="728"/>
        <v>500</v>
      </c>
      <c r="Q910" s="592">
        <f t="shared" si="728"/>
        <v>500</v>
      </c>
      <c r="R910" s="592">
        <f t="shared" si="728"/>
        <v>500</v>
      </c>
      <c r="S910" s="592">
        <f t="shared" si="728"/>
        <v>500</v>
      </c>
      <c r="T910" s="592">
        <f t="shared" si="728"/>
        <v>500</v>
      </c>
      <c r="U910" s="592">
        <f t="shared" ref="U910:AF913" si="729">T910</f>
        <v>500</v>
      </c>
      <c r="V910" s="592">
        <f t="shared" si="729"/>
        <v>500</v>
      </c>
      <c r="W910" s="592">
        <f t="shared" si="729"/>
        <v>500</v>
      </c>
      <c r="X910" s="592">
        <f t="shared" si="729"/>
        <v>500</v>
      </c>
      <c r="Y910" s="592">
        <f t="shared" si="729"/>
        <v>500</v>
      </c>
      <c r="Z910" s="592">
        <f t="shared" si="729"/>
        <v>500</v>
      </c>
      <c r="AA910" s="592">
        <f t="shared" si="729"/>
        <v>500</v>
      </c>
      <c r="AB910" s="592">
        <f t="shared" si="729"/>
        <v>500</v>
      </c>
      <c r="AC910" s="592">
        <f t="shared" si="729"/>
        <v>500</v>
      </c>
      <c r="AD910" s="592">
        <f t="shared" si="729"/>
        <v>500</v>
      </c>
      <c r="AE910" s="592">
        <f t="shared" si="729"/>
        <v>500</v>
      </c>
      <c r="AF910" s="592">
        <f t="shared" si="729"/>
        <v>500</v>
      </c>
      <c r="AH910" s="538"/>
      <c r="AK910" s="531"/>
      <c r="AM910" s="594"/>
      <c r="AN910" s="535"/>
      <c r="AP910" s="540"/>
      <c r="AQ910" s="540"/>
    </row>
    <row r="911" spans="1:43" s="513" customFormat="1" ht="16.5" hidden="1" customHeight="1" outlineLevel="2">
      <c r="A911" s="584"/>
      <c r="B911" s="572" t="s">
        <v>941</v>
      </c>
      <c r="C911" s="592">
        <f>'Sal._benef.'!$K$27</f>
        <v>5.53</v>
      </c>
      <c r="D911" s="592">
        <f>C911</f>
        <v>5.53</v>
      </c>
      <c r="E911" s="592">
        <f t="shared" si="728"/>
        <v>5.53</v>
      </c>
      <c r="F911" s="592">
        <f t="shared" si="728"/>
        <v>5.53</v>
      </c>
      <c r="G911" s="592">
        <f t="shared" si="728"/>
        <v>5.53</v>
      </c>
      <c r="H911" s="592">
        <f t="shared" si="728"/>
        <v>5.53</v>
      </c>
      <c r="I911" s="592">
        <f t="shared" si="728"/>
        <v>5.53</v>
      </c>
      <c r="J911" s="592">
        <f t="shared" si="728"/>
        <v>5.53</v>
      </c>
      <c r="K911" s="592">
        <f t="shared" si="728"/>
        <v>5.53</v>
      </c>
      <c r="L911" s="592">
        <f t="shared" si="728"/>
        <v>5.53</v>
      </c>
      <c r="M911" s="592">
        <f t="shared" si="728"/>
        <v>5.53</v>
      </c>
      <c r="N911" s="592">
        <f t="shared" si="728"/>
        <v>5.53</v>
      </c>
      <c r="O911" s="592">
        <f t="shared" si="728"/>
        <v>5.53</v>
      </c>
      <c r="P911" s="592">
        <f t="shared" si="728"/>
        <v>5.53</v>
      </c>
      <c r="Q911" s="592">
        <f t="shared" si="728"/>
        <v>5.53</v>
      </c>
      <c r="R911" s="592">
        <f t="shared" si="728"/>
        <v>5.53</v>
      </c>
      <c r="S911" s="592">
        <f t="shared" si="728"/>
        <v>5.53</v>
      </c>
      <c r="T911" s="592">
        <f t="shared" si="728"/>
        <v>5.53</v>
      </c>
      <c r="U911" s="592">
        <f t="shared" si="729"/>
        <v>5.53</v>
      </c>
      <c r="V911" s="592">
        <f t="shared" si="729"/>
        <v>5.53</v>
      </c>
      <c r="W911" s="592">
        <f t="shared" si="729"/>
        <v>5.53</v>
      </c>
      <c r="X911" s="592">
        <f t="shared" si="729"/>
        <v>5.53</v>
      </c>
      <c r="Y911" s="592">
        <f t="shared" si="729"/>
        <v>5.53</v>
      </c>
      <c r="Z911" s="592">
        <f t="shared" si="729"/>
        <v>5.53</v>
      </c>
      <c r="AA911" s="592">
        <f t="shared" si="729"/>
        <v>5.53</v>
      </c>
      <c r="AB911" s="592">
        <f t="shared" si="729"/>
        <v>5.53</v>
      </c>
      <c r="AC911" s="592">
        <f t="shared" si="729"/>
        <v>5.53</v>
      </c>
      <c r="AD911" s="592">
        <f t="shared" si="729"/>
        <v>5.53</v>
      </c>
      <c r="AE911" s="592">
        <f t="shared" si="729"/>
        <v>5.53</v>
      </c>
      <c r="AF911" s="592">
        <f t="shared" si="729"/>
        <v>5.53</v>
      </c>
      <c r="AH911" s="538"/>
      <c r="AK911" s="531"/>
      <c r="AM911" s="594"/>
      <c r="AN911" s="535"/>
      <c r="AP911" s="540"/>
      <c r="AQ911" s="540"/>
    </row>
    <row r="912" spans="1:43" s="513" customFormat="1" ht="16.5" hidden="1" customHeight="1" outlineLevel="2">
      <c r="A912" s="584"/>
      <c r="B912" s="572" t="s">
        <v>942</v>
      </c>
      <c r="C912" s="592">
        <f>'Sal._benef.'!$J$27</f>
        <v>141.18</v>
      </c>
      <c r="D912" s="592">
        <f>C912</f>
        <v>141.18</v>
      </c>
      <c r="E912" s="592">
        <f t="shared" si="728"/>
        <v>141.18</v>
      </c>
      <c r="F912" s="592">
        <f t="shared" si="728"/>
        <v>141.18</v>
      </c>
      <c r="G912" s="592">
        <f t="shared" si="728"/>
        <v>141.18</v>
      </c>
      <c r="H912" s="592">
        <f t="shared" si="728"/>
        <v>141.18</v>
      </c>
      <c r="I912" s="592">
        <f t="shared" si="728"/>
        <v>141.18</v>
      </c>
      <c r="J912" s="592">
        <f t="shared" si="728"/>
        <v>141.18</v>
      </c>
      <c r="K912" s="592">
        <f t="shared" si="728"/>
        <v>141.18</v>
      </c>
      <c r="L912" s="592">
        <f t="shared" si="728"/>
        <v>141.18</v>
      </c>
      <c r="M912" s="592">
        <f t="shared" si="728"/>
        <v>141.18</v>
      </c>
      <c r="N912" s="592">
        <f t="shared" si="728"/>
        <v>141.18</v>
      </c>
      <c r="O912" s="592">
        <f t="shared" si="728"/>
        <v>141.18</v>
      </c>
      <c r="P912" s="592">
        <f t="shared" si="728"/>
        <v>141.18</v>
      </c>
      <c r="Q912" s="592">
        <f t="shared" si="728"/>
        <v>141.18</v>
      </c>
      <c r="R912" s="592">
        <f t="shared" si="728"/>
        <v>141.18</v>
      </c>
      <c r="S912" s="592">
        <f t="shared" si="728"/>
        <v>141.18</v>
      </c>
      <c r="T912" s="592">
        <f t="shared" si="728"/>
        <v>141.18</v>
      </c>
      <c r="U912" s="592">
        <f t="shared" si="729"/>
        <v>141.18</v>
      </c>
      <c r="V912" s="592">
        <f t="shared" si="729"/>
        <v>141.18</v>
      </c>
      <c r="W912" s="592">
        <f t="shared" si="729"/>
        <v>141.18</v>
      </c>
      <c r="X912" s="592">
        <f t="shared" si="729"/>
        <v>141.18</v>
      </c>
      <c r="Y912" s="592">
        <f t="shared" si="729"/>
        <v>141.18</v>
      </c>
      <c r="Z912" s="592">
        <f t="shared" si="729"/>
        <v>141.18</v>
      </c>
      <c r="AA912" s="592">
        <f t="shared" si="729"/>
        <v>141.18</v>
      </c>
      <c r="AB912" s="592">
        <f t="shared" si="729"/>
        <v>141.18</v>
      </c>
      <c r="AC912" s="592">
        <f t="shared" si="729"/>
        <v>141.18</v>
      </c>
      <c r="AD912" s="592">
        <f t="shared" si="729"/>
        <v>141.18</v>
      </c>
      <c r="AE912" s="592">
        <f t="shared" si="729"/>
        <v>141.18</v>
      </c>
      <c r="AF912" s="592">
        <f t="shared" si="729"/>
        <v>141.18</v>
      </c>
      <c r="AH912" s="538"/>
      <c r="AK912" s="531"/>
      <c r="AM912" s="594"/>
      <c r="AN912" s="535"/>
      <c r="AP912" s="540"/>
      <c r="AQ912" s="540"/>
    </row>
    <row r="913" spans="1:43" s="513" customFormat="1" ht="16.5" hidden="1" customHeight="1" outlineLevel="2">
      <c r="A913" s="584"/>
      <c r="B913" s="572" t="s">
        <v>862</v>
      </c>
      <c r="C913" s="592">
        <v>0</v>
      </c>
      <c r="D913" s="592">
        <f t="shared" ref="D913" si="730">C913</f>
        <v>0</v>
      </c>
      <c r="E913" s="592">
        <f t="shared" si="728"/>
        <v>0</v>
      </c>
      <c r="F913" s="592">
        <f t="shared" si="728"/>
        <v>0</v>
      </c>
      <c r="G913" s="592">
        <f t="shared" si="728"/>
        <v>0</v>
      </c>
      <c r="H913" s="592">
        <f t="shared" si="728"/>
        <v>0</v>
      </c>
      <c r="I913" s="592">
        <f t="shared" si="728"/>
        <v>0</v>
      </c>
      <c r="J913" s="592">
        <f t="shared" si="728"/>
        <v>0</v>
      </c>
      <c r="K913" s="592">
        <f t="shared" si="728"/>
        <v>0</v>
      </c>
      <c r="L913" s="592">
        <f t="shared" si="728"/>
        <v>0</v>
      </c>
      <c r="M913" s="592">
        <f t="shared" si="728"/>
        <v>0</v>
      </c>
      <c r="N913" s="592">
        <f t="shared" si="728"/>
        <v>0</v>
      </c>
      <c r="O913" s="592">
        <f t="shared" si="728"/>
        <v>0</v>
      </c>
      <c r="P913" s="592">
        <f t="shared" si="728"/>
        <v>0</v>
      </c>
      <c r="Q913" s="592">
        <f t="shared" si="728"/>
        <v>0</v>
      </c>
      <c r="R913" s="592">
        <f t="shared" si="728"/>
        <v>0</v>
      </c>
      <c r="S913" s="592">
        <f t="shared" si="728"/>
        <v>0</v>
      </c>
      <c r="T913" s="592">
        <f t="shared" si="728"/>
        <v>0</v>
      </c>
      <c r="U913" s="592">
        <f t="shared" si="729"/>
        <v>0</v>
      </c>
      <c r="V913" s="592">
        <f t="shared" si="729"/>
        <v>0</v>
      </c>
      <c r="W913" s="592">
        <f t="shared" si="729"/>
        <v>0</v>
      </c>
      <c r="X913" s="592">
        <f t="shared" si="729"/>
        <v>0</v>
      </c>
      <c r="Y913" s="592">
        <f t="shared" si="729"/>
        <v>0</v>
      </c>
      <c r="Z913" s="592">
        <f t="shared" si="729"/>
        <v>0</v>
      </c>
      <c r="AA913" s="592">
        <f t="shared" si="729"/>
        <v>0</v>
      </c>
      <c r="AB913" s="592">
        <f t="shared" si="729"/>
        <v>0</v>
      </c>
      <c r="AC913" s="592">
        <f t="shared" si="729"/>
        <v>0</v>
      </c>
      <c r="AD913" s="592">
        <f t="shared" si="729"/>
        <v>0</v>
      </c>
      <c r="AE913" s="592">
        <f t="shared" si="729"/>
        <v>0</v>
      </c>
      <c r="AF913" s="592">
        <f t="shared" si="729"/>
        <v>0</v>
      </c>
      <c r="AH913" s="538"/>
      <c r="AK913" s="531"/>
      <c r="AM913" s="594"/>
      <c r="AN913" s="535"/>
      <c r="AP913" s="540"/>
      <c r="AQ913" s="540"/>
    </row>
    <row r="914" spans="1:43" ht="3" hidden="1" customHeight="1" outlineLevel="2">
      <c r="A914" s="584"/>
      <c r="B914" s="609"/>
      <c r="C914" s="611"/>
      <c r="D914" s="611"/>
      <c r="E914" s="610"/>
      <c r="F914" s="610"/>
      <c r="G914" s="610"/>
      <c r="H914" s="610"/>
      <c r="I914" s="610"/>
      <c r="J914" s="610"/>
      <c r="K914" s="610"/>
      <c r="L914" s="610"/>
      <c r="M914" s="610"/>
      <c r="N914" s="610"/>
      <c r="O914" s="610"/>
      <c r="P914" s="610"/>
      <c r="Q914" s="610"/>
      <c r="R914" s="610"/>
      <c r="S914" s="610"/>
      <c r="T914" s="610"/>
      <c r="U914" s="610"/>
      <c r="V914" s="610"/>
      <c r="W914" s="610"/>
      <c r="X914" s="610"/>
      <c r="Y914" s="610"/>
      <c r="Z914" s="610"/>
      <c r="AA914" s="610"/>
      <c r="AB914" s="610"/>
      <c r="AC914" s="610"/>
      <c r="AD914" s="610"/>
      <c r="AE914" s="610"/>
      <c r="AF914" s="610"/>
      <c r="AH914" s="593"/>
      <c r="AK914" s="531"/>
      <c r="AM914" s="594"/>
      <c r="AN914" s="535"/>
      <c r="AP914" s="535"/>
      <c r="AQ914" s="535"/>
    </row>
    <row r="915" spans="1:43" s="564" customFormat="1" ht="16.5" hidden="1" customHeight="1" outlineLevel="1" collapsed="1">
      <c r="A915" s="584"/>
      <c r="B915" s="576" t="s">
        <v>943</v>
      </c>
      <c r="C915" s="577">
        <f>SUM(C916,C919,C922,C925)/10^3</f>
        <v>72.26352</v>
      </c>
      <c r="D915" s="577">
        <f t="shared" ref="D915:AF915" si="731">SUM(D916,D919,D922,D925)/10^3</f>
        <v>72.26352</v>
      </c>
      <c r="E915" s="577">
        <f t="shared" si="731"/>
        <v>72.26352</v>
      </c>
      <c r="F915" s="577">
        <f t="shared" si="731"/>
        <v>72.26352</v>
      </c>
      <c r="G915" s="577">
        <f t="shared" si="731"/>
        <v>72.26352</v>
      </c>
      <c r="H915" s="577">
        <f t="shared" si="731"/>
        <v>72.26352</v>
      </c>
      <c r="I915" s="577">
        <f t="shared" si="731"/>
        <v>72.26352</v>
      </c>
      <c r="J915" s="577">
        <f t="shared" si="731"/>
        <v>72.26352</v>
      </c>
      <c r="K915" s="577">
        <f t="shared" si="731"/>
        <v>72.26352</v>
      </c>
      <c r="L915" s="577">
        <f t="shared" si="731"/>
        <v>72.26352</v>
      </c>
      <c r="M915" s="577">
        <f t="shared" si="731"/>
        <v>72.26352</v>
      </c>
      <c r="N915" s="577">
        <f t="shared" si="731"/>
        <v>72.26352</v>
      </c>
      <c r="O915" s="577">
        <f t="shared" si="731"/>
        <v>72.26352</v>
      </c>
      <c r="P915" s="577">
        <f t="shared" si="731"/>
        <v>72.26352</v>
      </c>
      <c r="Q915" s="577">
        <f t="shared" si="731"/>
        <v>72.26352</v>
      </c>
      <c r="R915" s="577">
        <f t="shared" si="731"/>
        <v>72.26352</v>
      </c>
      <c r="S915" s="577">
        <f t="shared" si="731"/>
        <v>72.26352</v>
      </c>
      <c r="T915" s="577">
        <f t="shared" si="731"/>
        <v>72.26352</v>
      </c>
      <c r="U915" s="577">
        <f t="shared" si="731"/>
        <v>72.26352</v>
      </c>
      <c r="V915" s="577">
        <f t="shared" si="731"/>
        <v>72.26352</v>
      </c>
      <c r="W915" s="577">
        <f t="shared" si="731"/>
        <v>72.26352</v>
      </c>
      <c r="X915" s="577">
        <f t="shared" si="731"/>
        <v>72.26352</v>
      </c>
      <c r="Y915" s="577">
        <f t="shared" si="731"/>
        <v>72.26352</v>
      </c>
      <c r="Z915" s="577">
        <f t="shared" si="731"/>
        <v>72.26352</v>
      </c>
      <c r="AA915" s="577">
        <f t="shared" si="731"/>
        <v>72.26352</v>
      </c>
      <c r="AB915" s="577">
        <f t="shared" si="731"/>
        <v>72.26352</v>
      </c>
      <c r="AC915" s="577">
        <f t="shared" si="731"/>
        <v>72.26352</v>
      </c>
      <c r="AD915" s="577">
        <f t="shared" si="731"/>
        <v>72.26352</v>
      </c>
      <c r="AE915" s="577">
        <f t="shared" si="731"/>
        <v>72.26352</v>
      </c>
      <c r="AF915" s="577">
        <f t="shared" si="731"/>
        <v>72.26352</v>
      </c>
      <c r="AH915" s="578">
        <f>SUM(C915:AF915)</f>
        <v>2167.9055999999996</v>
      </c>
      <c r="AJ915" s="579"/>
      <c r="AK915" s="531"/>
      <c r="AM915" s="594"/>
      <c r="AN915" s="535"/>
      <c r="AP915" s="568"/>
      <c r="AQ915" s="568"/>
    </row>
    <row r="916" spans="1:43" s="546" customFormat="1" ht="16.5" hidden="1" customHeight="1" outlineLevel="2">
      <c r="A916" s="584"/>
      <c r="B916" s="613" t="s">
        <v>927</v>
      </c>
      <c r="C916" s="570">
        <f>C917*C918</f>
        <v>2477.7600000000002</v>
      </c>
      <c r="D916" s="570">
        <f t="shared" ref="D916:AF916" si="732">D917*D918</f>
        <v>2477.7600000000002</v>
      </c>
      <c r="E916" s="570">
        <f t="shared" si="732"/>
        <v>2477.7600000000002</v>
      </c>
      <c r="F916" s="570">
        <f t="shared" si="732"/>
        <v>2477.7600000000002</v>
      </c>
      <c r="G916" s="570">
        <f t="shared" si="732"/>
        <v>2477.7600000000002</v>
      </c>
      <c r="H916" s="570">
        <f t="shared" si="732"/>
        <v>2477.7600000000002</v>
      </c>
      <c r="I916" s="570">
        <f t="shared" si="732"/>
        <v>2477.7600000000002</v>
      </c>
      <c r="J916" s="570">
        <f t="shared" si="732"/>
        <v>2477.7600000000002</v>
      </c>
      <c r="K916" s="570">
        <f t="shared" si="732"/>
        <v>2477.7600000000002</v>
      </c>
      <c r="L916" s="570">
        <f t="shared" si="732"/>
        <v>2477.7600000000002</v>
      </c>
      <c r="M916" s="570">
        <f t="shared" si="732"/>
        <v>2477.7600000000002</v>
      </c>
      <c r="N916" s="570">
        <f t="shared" si="732"/>
        <v>2477.7600000000002</v>
      </c>
      <c r="O916" s="570">
        <f t="shared" si="732"/>
        <v>2477.7600000000002</v>
      </c>
      <c r="P916" s="570">
        <f t="shared" si="732"/>
        <v>2477.7600000000002</v>
      </c>
      <c r="Q916" s="570">
        <f t="shared" si="732"/>
        <v>2477.7600000000002</v>
      </c>
      <c r="R916" s="570">
        <f t="shared" si="732"/>
        <v>2477.7600000000002</v>
      </c>
      <c r="S916" s="570">
        <f t="shared" si="732"/>
        <v>2477.7600000000002</v>
      </c>
      <c r="T916" s="570">
        <f t="shared" si="732"/>
        <v>2477.7600000000002</v>
      </c>
      <c r="U916" s="570">
        <f t="shared" si="732"/>
        <v>2477.7600000000002</v>
      </c>
      <c r="V916" s="570">
        <f t="shared" si="732"/>
        <v>2477.7600000000002</v>
      </c>
      <c r="W916" s="570">
        <f t="shared" si="732"/>
        <v>2477.7600000000002</v>
      </c>
      <c r="X916" s="570">
        <f t="shared" si="732"/>
        <v>2477.7600000000002</v>
      </c>
      <c r="Y916" s="570">
        <f t="shared" si="732"/>
        <v>2477.7600000000002</v>
      </c>
      <c r="Z916" s="570">
        <f t="shared" si="732"/>
        <v>2477.7600000000002</v>
      </c>
      <c r="AA916" s="570">
        <f t="shared" si="732"/>
        <v>2477.7600000000002</v>
      </c>
      <c r="AB916" s="570">
        <f t="shared" si="732"/>
        <v>2477.7600000000002</v>
      </c>
      <c r="AC916" s="570">
        <f t="shared" si="732"/>
        <v>2477.7600000000002</v>
      </c>
      <c r="AD916" s="570">
        <f t="shared" si="732"/>
        <v>2477.7600000000002</v>
      </c>
      <c r="AE916" s="570">
        <f t="shared" si="732"/>
        <v>2477.7600000000002</v>
      </c>
      <c r="AF916" s="570">
        <f t="shared" si="732"/>
        <v>2477.7600000000002</v>
      </c>
      <c r="AH916" s="571"/>
      <c r="AK916" s="531"/>
      <c r="AM916" s="594"/>
      <c r="AN916" s="535"/>
      <c r="AP916" s="549"/>
      <c r="AQ916" s="549"/>
    </row>
    <row r="917" spans="1:43" s="513" customFormat="1" ht="16.5" hidden="1" customHeight="1" outlineLevel="2">
      <c r="A917" s="584"/>
      <c r="B917" s="572" t="s">
        <v>805</v>
      </c>
      <c r="C917" s="573">
        <f t="shared" ref="C917:AF917" si="733">C883</f>
        <v>1</v>
      </c>
      <c r="D917" s="573">
        <f t="shared" si="733"/>
        <v>1</v>
      </c>
      <c r="E917" s="573">
        <f t="shared" si="733"/>
        <v>1</v>
      </c>
      <c r="F917" s="573">
        <f t="shared" si="733"/>
        <v>1</v>
      </c>
      <c r="G917" s="573">
        <f t="shared" si="733"/>
        <v>1</v>
      </c>
      <c r="H917" s="573">
        <f t="shared" si="733"/>
        <v>1</v>
      </c>
      <c r="I917" s="573">
        <f t="shared" si="733"/>
        <v>1</v>
      </c>
      <c r="J917" s="573">
        <f t="shared" si="733"/>
        <v>1</v>
      </c>
      <c r="K917" s="573">
        <f t="shared" si="733"/>
        <v>1</v>
      </c>
      <c r="L917" s="573">
        <f t="shared" si="733"/>
        <v>1</v>
      </c>
      <c r="M917" s="573">
        <f t="shared" si="733"/>
        <v>1</v>
      </c>
      <c r="N917" s="573">
        <f t="shared" si="733"/>
        <v>1</v>
      </c>
      <c r="O917" s="573">
        <f t="shared" si="733"/>
        <v>1</v>
      </c>
      <c r="P917" s="573">
        <f t="shared" si="733"/>
        <v>1</v>
      </c>
      <c r="Q917" s="573">
        <f t="shared" si="733"/>
        <v>1</v>
      </c>
      <c r="R917" s="573">
        <f t="shared" si="733"/>
        <v>1</v>
      </c>
      <c r="S917" s="573">
        <f t="shared" si="733"/>
        <v>1</v>
      </c>
      <c r="T917" s="573">
        <f t="shared" si="733"/>
        <v>1</v>
      </c>
      <c r="U917" s="573">
        <f t="shared" si="733"/>
        <v>1</v>
      </c>
      <c r="V917" s="573">
        <f t="shared" si="733"/>
        <v>1</v>
      </c>
      <c r="W917" s="573">
        <f t="shared" si="733"/>
        <v>1</v>
      </c>
      <c r="X917" s="573">
        <f t="shared" si="733"/>
        <v>1</v>
      </c>
      <c r="Y917" s="573">
        <f t="shared" si="733"/>
        <v>1</v>
      </c>
      <c r="Z917" s="573">
        <f t="shared" si="733"/>
        <v>1</v>
      </c>
      <c r="AA917" s="573">
        <f t="shared" si="733"/>
        <v>1</v>
      </c>
      <c r="AB917" s="573">
        <f t="shared" si="733"/>
        <v>1</v>
      </c>
      <c r="AC917" s="573">
        <f t="shared" si="733"/>
        <v>1</v>
      </c>
      <c r="AD917" s="573">
        <f t="shared" si="733"/>
        <v>1</v>
      </c>
      <c r="AE917" s="573">
        <f t="shared" si="733"/>
        <v>1</v>
      </c>
      <c r="AF917" s="573">
        <f t="shared" si="733"/>
        <v>1</v>
      </c>
      <c r="AH917" s="538"/>
      <c r="AK917" s="719"/>
      <c r="AM917" s="594"/>
      <c r="AN917" s="535"/>
      <c r="AP917" s="540"/>
      <c r="AQ917" s="540"/>
    </row>
    <row r="918" spans="1:43" s="513" customFormat="1" ht="16.5" hidden="1" customHeight="1" outlineLevel="2">
      <c r="A918" s="584"/>
      <c r="B918" s="572" t="s">
        <v>888</v>
      </c>
      <c r="C918" s="592">
        <f>EPIs_unif.!$D$18+EPIs_unif.!$D$44</f>
        <v>2477.7600000000002</v>
      </c>
      <c r="D918" s="592">
        <f>C918</f>
        <v>2477.7600000000002</v>
      </c>
      <c r="E918" s="592">
        <f t="shared" ref="E918:AF918" si="734">D918</f>
        <v>2477.7600000000002</v>
      </c>
      <c r="F918" s="592">
        <f t="shared" si="734"/>
        <v>2477.7600000000002</v>
      </c>
      <c r="G918" s="592">
        <f t="shared" si="734"/>
        <v>2477.7600000000002</v>
      </c>
      <c r="H918" s="592">
        <f t="shared" si="734"/>
        <v>2477.7600000000002</v>
      </c>
      <c r="I918" s="592">
        <f t="shared" si="734"/>
        <v>2477.7600000000002</v>
      </c>
      <c r="J918" s="592">
        <f t="shared" si="734"/>
        <v>2477.7600000000002</v>
      </c>
      <c r="K918" s="592">
        <f t="shared" si="734"/>
        <v>2477.7600000000002</v>
      </c>
      <c r="L918" s="592">
        <f t="shared" si="734"/>
        <v>2477.7600000000002</v>
      </c>
      <c r="M918" s="592">
        <f t="shared" si="734"/>
        <v>2477.7600000000002</v>
      </c>
      <c r="N918" s="592">
        <f t="shared" si="734"/>
        <v>2477.7600000000002</v>
      </c>
      <c r="O918" s="592">
        <f t="shared" si="734"/>
        <v>2477.7600000000002</v>
      </c>
      <c r="P918" s="592">
        <f t="shared" si="734"/>
        <v>2477.7600000000002</v>
      </c>
      <c r="Q918" s="592">
        <f t="shared" si="734"/>
        <v>2477.7600000000002</v>
      </c>
      <c r="R918" s="592">
        <f t="shared" si="734"/>
        <v>2477.7600000000002</v>
      </c>
      <c r="S918" s="592">
        <f t="shared" si="734"/>
        <v>2477.7600000000002</v>
      </c>
      <c r="T918" s="592">
        <f t="shared" si="734"/>
        <v>2477.7600000000002</v>
      </c>
      <c r="U918" s="592">
        <f t="shared" si="734"/>
        <v>2477.7600000000002</v>
      </c>
      <c r="V918" s="592">
        <f t="shared" si="734"/>
        <v>2477.7600000000002</v>
      </c>
      <c r="W918" s="592">
        <f t="shared" si="734"/>
        <v>2477.7600000000002</v>
      </c>
      <c r="X918" s="592">
        <f t="shared" si="734"/>
        <v>2477.7600000000002</v>
      </c>
      <c r="Y918" s="592">
        <f t="shared" si="734"/>
        <v>2477.7600000000002</v>
      </c>
      <c r="Z918" s="592">
        <f t="shared" si="734"/>
        <v>2477.7600000000002</v>
      </c>
      <c r="AA918" s="592">
        <f t="shared" si="734"/>
        <v>2477.7600000000002</v>
      </c>
      <c r="AB918" s="592">
        <f t="shared" si="734"/>
        <v>2477.7600000000002</v>
      </c>
      <c r="AC918" s="592">
        <f t="shared" si="734"/>
        <v>2477.7600000000002</v>
      </c>
      <c r="AD918" s="592">
        <f t="shared" si="734"/>
        <v>2477.7600000000002</v>
      </c>
      <c r="AE918" s="592">
        <f t="shared" si="734"/>
        <v>2477.7600000000002</v>
      </c>
      <c r="AF918" s="592">
        <f t="shared" si="734"/>
        <v>2477.7600000000002</v>
      </c>
      <c r="AH918" s="538"/>
      <c r="AK918" s="531"/>
      <c r="AM918" s="594"/>
      <c r="AN918" s="535"/>
      <c r="AP918" s="540"/>
      <c r="AQ918" s="540"/>
    </row>
    <row r="919" spans="1:43" s="546" customFormat="1" ht="16.5" hidden="1" customHeight="1" outlineLevel="2">
      <c r="A919" s="584"/>
      <c r="B919" s="613" t="s">
        <v>959</v>
      </c>
      <c r="C919" s="570">
        <f>C920*C921</f>
        <v>36820.959999999999</v>
      </c>
      <c r="D919" s="570">
        <f t="shared" ref="D919:AF919" si="735">D920*D921</f>
        <v>36820.959999999999</v>
      </c>
      <c r="E919" s="570">
        <f t="shared" si="735"/>
        <v>36820.959999999999</v>
      </c>
      <c r="F919" s="570">
        <f t="shared" si="735"/>
        <v>36820.959999999999</v>
      </c>
      <c r="G919" s="570">
        <f t="shared" si="735"/>
        <v>36820.959999999999</v>
      </c>
      <c r="H919" s="570">
        <f t="shared" si="735"/>
        <v>36820.959999999999</v>
      </c>
      <c r="I919" s="570">
        <f t="shared" si="735"/>
        <v>36820.959999999999</v>
      </c>
      <c r="J919" s="570">
        <f t="shared" si="735"/>
        <v>36820.959999999999</v>
      </c>
      <c r="K919" s="570">
        <f t="shared" si="735"/>
        <v>36820.959999999999</v>
      </c>
      <c r="L919" s="570">
        <f t="shared" si="735"/>
        <v>36820.959999999999</v>
      </c>
      <c r="M919" s="570">
        <f t="shared" si="735"/>
        <v>36820.959999999999</v>
      </c>
      <c r="N919" s="570">
        <f t="shared" si="735"/>
        <v>36820.959999999999</v>
      </c>
      <c r="O919" s="570">
        <f t="shared" si="735"/>
        <v>36820.959999999999</v>
      </c>
      <c r="P919" s="570">
        <f t="shared" si="735"/>
        <v>36820.959999999999</v>
      </c>
      <c r="Q919" s="570">
        <f t="shared" si="735"/>
        <v>36820.959999999999</v>
      </c>
      <c r="R919" s="570">
        <f t="shared" si="735"/>
        <v>36820.959999999999</v>
      </c>
      <c r="S919" s="570">
        <f t="shared" si="735"/>
        <v>36820.959999999999</v>
      </c>
      <c r="T919" s="570">
        <f t="shared" si="735"/>
        <v>36820.959999999999</v>
      </c>
      <c r="U919" s="570">
        <f t="shared" si="735"/>
        <v>36820.959999999999</v>
      </c>
      <c r="V919" s="570">
        <f t="shared" si="735"/>
        <v>36820.959999999999</v>
      </c>
      <c r="W919" s="570">
        <f t="shared" si="735"/>
        <v>36820.959999999999</v>
      </c>
      <c r="X919" s="570">
        <f t="shared" si="735"/>
        <v>36820.959999999999</v>
      </c>
      <c r="Y919" s="570">
        <f t="shared" si="735"/>
        <v>36820.959999999999</v>
      </c>
      <c r="Z919" s="570">
        <f t="shared" si="735"/>
        <v>36820.959999999999</v>
      </c>
      <c r="AA919" s="570">
        <f t="shared" si="735"/>
        <v>36820.959999999999</v>
      </c>
      <c r="AB919" s="570">
        <f t="shared" si="735"/>
        <v>36820.959999999999</v>
      </c>
      <c r="AC919" s="570">
        <f t="shared" si="735"/>
        <v>36820.959999999999</v>
      </c>
      <c r="AD919" s="570">
        <f t="shared" si="735"/>
        <v>36820.959999999999</v>
      </c>
      <c r="AE919" s="570">
        <f t="shared" si="735"/>
        <v>36820.959999999999</v>
      </c>
      <c r="AF919" s="570">
        <f t="shared" si="735"/>
        <v>36820.959999999999</v>
      </c>
      <c r="AH919" s="571"/>
      <c r="AK919" s="531"/>
      <c r="AM919" s="594"/>
      <c r="AN919" s="535"/>
      <c r="AP919" s="549"/>
      <c r="AQ919" s="549"/>
    </row>
    <row r="920" spans="1:43" s="513" customFormat="1" ht="16.5" hidden="1" customHeight="1" outlineLevel="2">
      <c r="A920" s="584"/>
      <c r="B920" s="572" t="s">
        <v>805</v>
      </c>
      <c r="C920" s="573">
        <f>C890-C926-C923</f>
        <v>11</v>
      </c>
      <c r="D920" s="573">
        <f t="shared" ref="D920:AF920" si="736">D890-D926-D923</f>
        <v>11</v>
      </c>
      <c r="E920" s="573">
        <f t="shared" si="736"/>
        <v>11</v>
      </c>
      <c r="F920" s="573">
        <f t="shared" si="736"/>
        <v>11</v>
      </c>
      <c r="G920" s="573">
        <f t="shared" si="736"/>
        <v>11</v>
      </c>
      <c r="H920" s="573">
        <f t="shared" si="736"/>
        <v>11</v>
      </c>
      <c r="I920" s="573">
        <f t="shared" si="736"/>
        <v>11</v>
      </c>
      <c r="J920" s="573">
        <f t="shared" si="736"/>
        <v>11</v>
      </c>
      <c r="K920" s="573">
        <f t="shared" si="736"/>
        <v>11</v>
      </c>
      <c r="L920" s="573">
        <f t="shared" si="736"/>
        <v>11</v>
      </c>
      <c r="M920" s="573">
        <f t="shared" si="736"/>
        <v>11</v>
      </c>
      <c r="N920" s="573">
        <f t="shared" si="736"/>
        <v>11</v>
      </c>
      <c r="O920" s="573">
        <f t="shared" si="736"/>
        <v>11</v>
      </c>
      <c r="P920" s="573">
        <f t="shared" si="736"/>
        <v>11</v>
      </c>
      <c r="Q920" s="573">
        <f t="shared" si="736"/>
        <v>11</v>
      </c>
      <c r="R920" s="573">
        <f t="shared" si="736"/>
        <v>11</v>
      </c>
      <c r="S920" s="573">
        <f t="shared" si="736"/>
        <v>11</v>
      </c>
      <c r="T920" s="573">
        <f t="shared" si="736"/>
        <v>11</v>
      </c>
      <c r="U920" s="573">
        <f t="shared" si="736"/>
        <v>11</v>
      </c>
      <c r="V920" s="573">
        <f t="shared" si="736"/>
        <v>11</v>
      </c>
      <c r="W920" s="573">
        <f t="shared" si="736"/>
        <v>11</v>
      </c>
      <c r="X920" s="573">
        <f t="shared" si="736"/>
        <v>11</v>
      </c>
      <c r="Y920" s="573">
        <f t="shared" si="736"/>
        <v>11</v>
      </c>
      <c r="Z920" s="573">
        <f t="shared" si="736"/>
        <v>11</v>
      </c>
      <c r="AA920" s="573">
        <f t="shared" si="736"/>
        <v>11</v>
      </c>
      <c r="AB920" s="573">
        <f t="shared" si="736"/>
        <v>11</v>
      </c>
      <c r="AC920" s="573">
        <f t="shared" si="736"/>
        <v>11</v>
      </c>
      <c r="AD920" s="573">
        <f t="shared" si="736"/>
        <v>11</v>
      </c>
      <c r="AE920" s="573">
        <f t="shared" si="736"/>
        <v>11</v>
      </c>
      <c r="AF920" s="573">
        <f t="shared" si="736"/>
        <v>11</v>
      </c>
      <c r="AH920" s="538"/>
      <c r="AK920" s="719"/>
      <c r="AM920" s="594"/>
      <c r="AN920" s="535"/>
      <c r="AP920" s="540"/>
      <c r="AQ920" s="540"/>
    </row>
    <row r="921" spans="1:43" s="513" customFormat="1" ht="16.5" hidden="1" customHeight="1" outlineLevel="2">
      <c r="A921" s="584"/>
      <c r="B921" s="572" t="s">
        <v>888</v>
      </c>
      <c r="C921" s="592">
        <f>EPIs_unif.!$D$22+EPIs_unif.!$D$48</f>
        <v>3347.3599999999997</v>
      </c>
      <c r="D921" s="592">
        <f>C921</f>
        <v>3347.3599999999997</v>
      </c>
      <c r="E921" s="592">
        <f t="shared" ref="E921:AF921" si="737">D921</f>
        <v>3347.3599999999997</v>
      </c>
      <c r="F921" s="592">
        <f t="shared" si="737"/>
        <v>3347.3599999999997</v>
      </c>
      <c r="G921" s="592">
        <f t="shared" si="737"/>
        <v>3347.3599999999997</v>
      </c>
      <c r="H921" s="592">
        <f t="shared" si="737"/>
        <v>3347.3599999999997</v>
      </c>
      <c r="I921" s="592">
        <f t="shared" si="737"/>
        <v>3347.3599999999997</v>
      </c>
      <c r="J921" s="592">
        <f t="shared" si="737"/>
        <v>3347.3599999999997</v>
      </c>
      <c r="K921" s="592">
        <f t="shared" si="737"/>
        <v>3347.3599999999997</v>
      </c>
      <c r="L921" s="592">
        <f t="shared" si="737"/>
        <v>3347.3599999999997</v>
      </c>
      <c r="M921" s="592">
        <f t="shared" si="737"/>
        <v>3347.3599999999997</v>
      </c>
      <c r="N921" s="592">
        <f t="shared" si="737"/>
        <v>3347.3599999999997</v>
      </c>
      <c r="O921" s="592">
        <f t="shared" si="737"/>
        <v>3347.3599999999997</v>
      </c>
      <c r="P921" s="592">
        <f t="shared" si="737"/>
        <v>3347.3599999999997</v>
      </c>
      <c r="Q921" s="592">
        <f t="shared" si="737"/>
        <v>3347.3599999999997</v>
      </c>
      <c r="R921" s="592">
        <f t="shared" si="737"/>
        <v>3347.3599999999997</v>
      </c>
      <c r="S921" s="592">
        <f t="shared" si="737"/>
        <v>3347.3599999999997</v>
      </c>
      <c r="T921" s="592">
        <f t="shared" si="737"/>
        <v>3347.3599999999997</v>
      </c>
      <c r="U921" s="592">
        <f t="shared" si="737"/>
        <v>3347.3599999999997</v>
      </c>
      <c r="V921" s="592">
        <f t="shared" si="737"/>
        <v>3347.3599999999997</v>
      </c>
      <c r="W921" s="592">
        <f t="shared" si="737"/>
        <v>3347.3599999999997</v>
      </c>
      <c r="X921" s="592">
        <f t="shared" si="737"/>
        <v>3347.3599999999997</v>
      </c>
      <c r="Y921" s="592">
        <f t="shared" si="737"/>
        <v>3347.3599999999997</v>
      </c>
      <c r="Z921" s="592">
        <f t="shared" si="737"/>
        <v>3347.3599999999997</v>
      </c>
      <c r="AA921" s="592">
        <f t="shared" si="737"/>
        <v>3347.3599999999997</v>
      </c>
      <c r="AB921" s="592">
        <f t="shared" si="737"/>
        <v>3347.3599999999997</v>
      </c>
      <c r="AC921" s="592">
        <f t="shared" si="737"/>
        <v>3347.3599999999997</v>
      </c>
      <c r="AD921" s="592">
        <f t="shared" si="737"/>
        <v>3347.3599999999997</v>
      </c>
      <c r="AE921" s="592">
        <f t="shared" si="737"/>
        <v>3347.3599999999997</v>
      </c>
      <c r="AF921" s="592">
        <f t="shared" si="737"/>
        <v>3347.3599999999997</v>
      </c>
      <c r="AH921" s="538"/>
      <c r="AK921" s="531"/>
      <c r="AM921" s="594"/>
      <c r="AN921" s="535"/>
      <c r="AP921" s="540"/>
      <c r="AQ921" s="540"/>
    </row>
    <row r="922" spans="1:43" s="546" customFormat="1" ht="16.5" hidden="1" customHeight="1" outlineLevel="2">
      <c r="A922" s="584"/>
      <c r="B922" s="613" t="s">
        <v>980</v>
      </c>
      <c r="C922" s="570">
        <f>C923*C924</f>
        <v>8311.4800000000014</v>
      </c>
      <c r="D922" s="570">
        <f t="shared" ref="D922:AF922" si="738">D923*D924</f>
        <v>8311.4800000000014</v>
      </c>
      <c r="E922" s="570">
        <f t="shared" si="738"/>
        <v>8311.4800000000014</v>
      </c>
      <c r="F922" s="570">
        <f t="shared" si="738"/>
        <v>8311.4800000000014</v>
      </c>
      <c r="G922" s="570">
        <f t="shared" si="738"/>
        <v>8311.4800000000014</v>
      </c>
      <c r="H922" s="570">
        <f t="shared" si="738"/>
        <v>8311.4800000000014</v>
      </c>
      <c r="I922" s="570">
        <f t="shared" si="738"/>
        <v>8311.4800000000014</v>
      </c>
      <c r="J922" s="570">
        <f t="shared" si="738"/>
        <v>8311.4800000000014</v>
      </c>
      <c r="K922" s="570">
        <f t="shared" si="738"/>
        <v>8311.4800000000014</v>
      </c>
      <c r="L922" s="570">
        <f t="shared" si="738"/>
        <v>8311.4800000000014</v>
      </c>
      <c r="M922" s="570">
        <f t="shared" si="738"/>
        <v>8311.4800000000014</v>
      </c>
      <c r="N922" s="570">
        <f t="shared" si="738"/>
        <v>8311.4800000000014</v>
      </c>
      <c r="O922" s="570">
        <f t="shared" si="738"/>
        <v>8311.4800000000014</v>
      </c>
      <c r="P922" s="570">
        <f t="shared" si="738"/>
        <v>8311.4800000000014</v>
      </c>
      <c r="Q922" s="570">
        <f t="shared" si="738"/>
        <v>8311.4800000000014</v>
      </c>
      <c r="R922" s="570">
        <f t="shared" si="738"/>
        <v>8311.4800000000014</v>
      </c>
      <c r="S922" s="570">
        <f t="shared" si="738"/>
        <v>8311.4800000000014</v>
      </c>
      <c r="T922" s="570">
        <f t="shared" si="738"/>
        <v>8311.4800000000014</v>
      </c>
      <c r="U922" s="570">
        <f t="shared" si="738"/>
        <v>8311.4800000000014</v>
      </c>
      <c r="V922" s="570">
        <f t="shared" si="738"/>
        <v>8311.4800000000014</v>
      </c>
      <c r="W922" s="570">
        <f t="shared" si="738"/>
        <v>8311.4800000000014</v>
      </c>
      <c r="X922" s="570">
        <f t="shared" si="738"/>
        <v>8311.4800000000014</v>
      </c>
      <c r="Y922" s="570">
        <f t="shared" si="738"/>
        <v>8311.4800000000014</v>
      </c>
      <c r="Z922" s="570">
        <f t="shared" si="738"/>
        <v>8311.4800000000014</v>
      </c>
      <c r="AA922" s="570">
        <f t="shared" si="738"/>
        <v>8311.4800000000014</v>
      </c>
      <c r="AB922" s="570">
        <f t="shared" si="738"/>
        <v>8311.4800000000014</v>
      </c>
      <c r="AC922" s="570">
        <f t="shared" si="738"/>
        <v>8311.4800000000014</v>
      </c>
      <c r="AD922" s="570">
        <f t="shared" si="738"/>
        <v>8311.4800000000014</v>
      </c>
      <c r="AE922" s="570">
        <f t="shared" si="738"/>
        <v>8311.4800000000014</v>
      </c>
      <c r="AF922" s="570">
        <f t="shared" si="738"/>
        <v>8311.4800000000014</v>
      </c>
      <c r="AH922" s="571"/>
      <c r="AK922" s="531"/>
      <c r="AM922" s="594"/>
      <c r="AN922" s="535"/>
      <c r="AP922" s="549"/>
      <c r="AQ922" s="549"/>
    </row>
    <row r="923" spans="1:43" s="513" customFormat="1" ht="16.5" hidden="1" customHeight="1" outlineLevel="2">
      <c r="A923" s="584"/>
      <c r="B923" s="572" t="s">
        <v>805</v>
      </c>
      <c r="C923" s="573">
        <v>2</v>
      </c>
      <c r="D923" s="573">
        <f>C923</f>
        <v>2</v>
      </c>
      <c r="E923" s="573">
        <f t="shared" ref="E923:AF923" si="739">D923</f>
        <v>2</v>
      </c>
      <c r="F923" s="573">
        <f t="shared" si="739"/>
        <v>2</v>
      </c>
      <c r="G923" s="573">
        <f t="shared" si="739"/>
        <v>2</v>
      </c>
      <c r="H923" s="573">
        <f t="shared" si="739"/>
        <v>2</v>
      </c>
      <c r="I923" s="573">
        <f t="shared" si="739"/>
        <v>2</v>
      </c>
      <c r="J923" s="573">
        <f t="shared" si="739"/>
        <v>2</v>
      </c>
      <c r="K923" s="573">
        <f t="shared" si="739"/>
        <v>2</v>
      </c>
      <c r="L923" s="573">
        <f t="shared" si="739"/>
        <v>2</v>
      </c>
      <c r="M923" s="573">
        <f t="shared" si="739"/>
        <v>2</v>
      </c>
      <c r="N923" s="573">
        <f t="shared" si="739"/>
        <v>2</v>
      </c>
      <c r="O923" s="573">
        <f t="shared" si="739"/>
        <v>2</v>
      </c>
      <c r="P923" s="573">
        <f t="shared" si="739"/>
        <v>2</v>
      </c>
      <c r="Q923" s="573">
        <f t="shared" si="739"/>
        <v>2</v>
      </c>
      <c r="R923" s="573">
        <f t="shared" si="739"/>
        <v>2</v>
      </c>
      <c r="S923" s="573">
        <f t="shared" si="739"/>
        <v>2</v>
      </c>
      <c r="T923" s="573">
        <f t="shared" si="739"/>
        <v>2</v>
      </c>
      <c r="U923" s="573">
        <f t="shared" si="739"/>
        <v>2</v>
      </c>
      <c r="V923" s="573">
        <f t="shared" si="739"/>
        <v>2</v>
      </c>
      <c r="W923" s="573">
        <f t="shared" si="739"/>
        <v>2</v>
      </c>
      <c r="X923" s="573">
        <f t="shared" si="739"/>
        <v>2</v>
      </c>
      <c r="Y923" s="573">
        <f t="shared" si="739"/>
        <v>2</v>
      </c>
      <c r="Z923" s="573">
        <f t="shared" si="739"/>
        <v>2</v>
      </c>
      <c r="AA923" s="573">
        <f t="shared" si="739"/>
        <v>2</v>
      </c>
      <c r="AB923" s="573">
        <f t="shared" si="739"/>
        <v>2</v>
      </c>
      <c r="AC923" s="573">
        <f t="shared" si="739"/>
        <v>2</v>
      </c>
      <c r="AD923" s="573">
        <f t="shared" si="739"/>
        <v>2</v>
      </c>
      <c r="AE923" s="573">
        <f t="shared" si="739"/>
        <v>2</v>
      </c>
      <c r="AF923" s="573">
        <f t="shared" si="739"/>
        <v>2</v>
      </c>
      <c r="AH923" s="538"/>
      <c r="AK923" s="719"/>
      <c r="AM923" s="594"/>
      <c r="AN923" s="535"/>
      <c r="AP923" s="540"/>
      <c r="AQ923" s="540"/>
    </row>
    <row r="924" spans="1:43" s="513" customFormat="1" ht="16.5" hidden="1" customHeight="1" outlineLevel="2">
      <c r="A924" s="584"/>
      <c r="B924" s="572" t="s">
        <v>888</v>
      </c>
      <c r="C924" s="592">
        <f>EPIs_unif.!$D$24+EPIs_unif.!$D$50</f>
        <v>4155.7400000000007</v>
      </c>
      <c r="D924" s="592">
        <f>C924</f>
        <v>4155.7400000000007</v>
      </c>
      <c r="E924" s="592">
        <f t="shared" ref="E924" si="740">D924</f>
        <v>4155.7400000000007</v>
      </c>
      <c r="F924" s="592">
        <f t="shared" ref="F924" si="741">E924</f>
        <v>4155.7400000000007</v>
      </c>
      <c r="G924" s="592">
        <f t="shared" ref="G924" si="742">F924</f>
        <v>4155.7400000000007</v>
      </c>
      <c r="H924" s="592">
        <f t="shared" ref="H924" si="743">G924</f>
        <v>4155.7400000000007</v>
      </c>
      <c r="I924" s="592">
        <f t="shared" ref="I924" si="744">H924</f>
        <v>4155.7400000000007</v>
      </c>
      <c r="J924" s="592">
        <f t="shared" ref="J924" si="745">I924</f>
        <v>4155.7400000000007</v>
      </c>
      <c r="K924" s="592">
        <f t="shared" ref="K924" si="746">J924</f>
        <v>4155.7400000000007</v>
      </c>
      <c r="L924" s="592">
        <f t="shared" ref="L924" si="747">K924</f>
        <v>4155.7400000000007</v>
      </c>
      <c r="M924" s="592">
        <f t="shared" ref="M924" si="748">L924</f>
        <v>4155.7400000000007</v>
      </c>
      <c r="N924" s="592">
        <f t="shared" ref="N924" si="749">M924</f>
        <v>4155.7400000000007</v>
      </c>
      <c r="O924" s="592">
        <f t="shared" ref="O924" si="750">N924</f>
        <v>4155.7400000000007</v>
      </c>
      <c r="P924" s="592">
        <f t="shared" ref="P924" si="751">O924</f>
        <v>4155.7400000000007</v>
      </c>
      <c r="Q924" s="592">
        <f t="shared" ref="Q924" si="752">P924</f>
        <v>4155.7400000000007</v>
      </c>
      <c r="R924" s="592">
        <f t="shared" ref="R924" si="753">Q924</f>
        <v>4155.7400000000007</v>
      </c>
      <c r="S924" s="592">
        <f t="shared" ref="S924" si="754">R924</f>
        <v>4155.7400000000007</v>
      </c>
      <c r="T924" s="592">
        <f t="shared" ref="T924" si="755">S924</f>
        <v>4155.7400000000007</v>
      </c>
      <c r="U924" s="592">
        <f t="shared" ref="U924" si="756">T924</f>
        <v>4155.7400000000007</v>
      </c>
      <c r="V924" s="592">
        <f t="shared" ref="V924" si="757">U924</f>
        <v>4155.7400000000007</v>
      </c>
      <c r="W924" s="592">
        <f t="shared" ref="W924" si="758">V924</f>
        <v>4155.7400000000007</v>
      </c>
      <c r="X924" s="592">
        <f t="shared" ref="X924" si="759">W924</f>
        <v>4155.7400000000007</v>
      </c>
      <c r="Y924" s="592">
        <f t="shared" ref="Y924" si="760">X924</f>
        <v>4155.7400000000007</v>
      </c>
      <c r="Z924" s="592">
        <f t="shared" ref="Z924" si="761">Y924</f>
        <v>4155.7400000000007</v>
      </c>
      <c r="AA924" s="592">
        <f t="shared" ref="AA924" si="762">Z924</f>
        <v>4155.7400000000007</v>
      </c>
      <c r="AB924" s="592">
        <f t="shared" ref="AB924" si="763">AA924</f>
        <v>4155.7400000000007</v>
      </c>
      <c r="AC924" s="592">
        <f t="shared" ref="AC924" si="764">AB924</f>
        <v>4155.7400000000007</v>
      </c>
      <c r="AD924" s="592">
        <f t="shared" ref="AD924" si="765">AC924</f>
        <v>4155.7400000000007</v>
      </c>
      <c r="AE924" s="592">
        <f t="shared" ref="AE924" si="766">AD924</f>
        <v>4155.7400000000007</v>
      </c>
      <c r="AF924" s="592">
        <f t="shared" ref="AF924" si="767">AE924</f>
        <v>4155.7400000000007</v>
      </c>
      <c r="AH924" s="538"/>
      <c r="AK924" s="531"/>
      <c r="AM924" s="594"/>
      <c r="AN924" s="535"/>
      <c r="AP924" s="540"/>
      <c r="AQ924" s="540"/>
    </row>
    <row r="925" spans="1:43" s="546" customFormat="1" ht="16.5" hidden="1" customHeight="1" outlineLevel="2">
      <c r="A925" s="584"/>
      <c r="B925" s="613" t="s">
        <v>981</v>
      </c>
      <c r="C925" s="570">
        <f>C926*C927</f>
        <v>24653.32</v>
      </c>
      <c r="D925" s="570">
        <f t="shared" ref="D925:AF925" si="768">D926*D927</f>
        <v>24653.32</v>
      </c>
      <c r="E925" s="570">
        <f t="shared" si="768"/>
        <v>24653.32</v>
      </c>
      <c r="F925" s="570">
        <f t="shared" si="768"/>
        <v>24653.32</v>
      </c>
      <c r="G925" s="570">
        <f t="shared" si="768"/>
        <v>24653.32</v>
      </c>
      <c r="H925" s="570">
        <f t="shared" si="768"/>
        <v>24653.32</v>
      </c>
      <c r="I925" s="570">
        <f t="shared" si="768"/>
        <v>24653.32</v>
      </c>
      <c r="J925" s="570">
        <f t="shared" si="768"/>
        <v>24653.32</v>
      </c>
      <c r="K925" s="570">
        <f t="shared" si="768"/>
        <v>24653.32</v>
      </c>
      <c r="L925" s="570">
        <f t="shared" si="768"/>
        <v>24653.32</v>
      </c>
      <c r="M925" s="570">
        <f t="shared" si="768"/>
        <v>24653.32</v>
      </c>
      <c r="N925" s="570">
        <f t="shared" si="768"/>
        <v>24653.32</v>
      </c>
      <c r="O925" s="570">
        <f t="shared" si="768"/>
        <v>24653.32</v>
      </c>
      <c r="P925" s="570">
        <f t="shared" si="768"/>
        <v>24653.32</v>
      </c>
      <c r="Q925" s="570">
        <f t="shared" si="768"/>
        <v>24653.32</v>
      </c>
      <c r="R925" s="570">
        <f t="shared" si="768"/>
        <v>24653.32</v>
      </c>
      <c r="S925" s="570">
        <f t="shared" si="768"/>
        <v>24653.32</v>
      </c>
      <c r="T925" s="570">
        <f t="shared" si="768"/>
        <v>24653.32</v>
      </c>
      <c r="U925" s="570">
        <f t="shared" si="768"/>
        <v>24653.32</v>
      </c>
      <c r="V925" s="570">
        <f t="shared" si="768"/>
        <v>24653.32</v>
      </c>
      <c r="W925" s="570">
        <f t="shared" si="768"/>
        <v>24653.32</v>
      </c>
      <c r="X925" s="570">
        <f t="shared" si="768"/>
        <v>24653.32</v>
      </c>
      <c r="Y925" s="570">
        <f t="shared" si="768"/>
        <v>24653.32</v>
      </c>
      <c r="Z925" s="570">
        <f t="shared" si="768"/>
        <v>24653.32</v>
      </c>
      <c r="AA925" s="570">
        <f t="shared" si="768"/>
        <v>24653.32</v>
      </c>
      <c r="AB925" s="570">
        <f t="shared" si="768"/>
        <v>24653.32</v>
      </c>
      <c r="AC925" s="570">
        <f t="shared" si="768"/>
        <v>24653.32</v>
      </c>
      <c r="AD925" s="570">
        <f t="shared" si="768"/>
        <v>24653.32</v>
      </c>
      <c r="AE925" s="570">
        <f t="shared" si="768"/>
        <v>24653.32</v>
      </c>
      <c r="AF925" s="570">
        <f t="shared" si="768"/>
        <v>24653.32</v>
      </c>
      <c r="AH925" s="571"/>
      <c r="AK925" s="531"/>
      <c r="AM925" s="594"/>
      <c r="AN925" s="535"/>
      <c r="AP925" s="549"/>
      <c r="AQ925" s="549"/>
    </row>
    <row r="926" spans="1:43" s="513" customFormat="1" ht="16.5" hidden="1" customHeight="1" outlineLevel="2">
      <c r="A926" s="584"/>
      <c r="B926" s="572" t="s">
        <v>805</v>
      </c>
      <c r="C926" s="573">
        <v>2</v>
      </c>
      <c r="D926" s="573">
        <v>2</v>
      </c>
      <c r="E926" s="573">
        <v>2</v>
      </c>
      <c r="F926" s="573">
        <v>2</v>
      </c>
      <c r="G926" s="573">
        <v>2</v>
      </c>
      <c r="H926" s="573">
        <v>2</v>
      </c>
      <c r="I926" s="573">
        <v>2</v>
      </c>
      <c r="J926" s="573">
        <v>2</v>
      </c>
      <c r="K926" s="573">
        <v>2</v>
      </c>
      <c r="L926" s="573">
        <v>2</v>
      </c>
      <c r="M926" s="573">
        <v>2</v>
      </c>
      <c r="N926" s="573">
        <v>2</v>
      </c>
      <c r="O926" s="573">
        <v>2</v>
      </c>
      <c r="P926" s="573">
        <v>2</v>
      </c>
      <c r="Q926" s="573">
        <v>2</v>
      </c>
      <c r="R926" s="573">
        <v>2</v>
      </c>
      <c r="S926" s="573">
        <v>2</v>
      </c>
      <c r="T926" s="573">
        <v>2</v>
      </c>
      <c r="U926" s="573">
        <v>2</v>
      </c>
      <c r="V926" s="573">
        <v>2</v>
      </c>
      <c r="W926" s="573">
        <v>2</v>
      </c>
      <c r="X926" s="573">
        <v>2</v>
      </c>
      <c r="Y926" s="573">
        <v>2</v>
      </c>
      <c r="Z926" s="573">
        <v>2</v>
      </c>
      <c r="AA926" s="573">
        <v>2</v>
      </c>
      <c r="AB926" s="573">
        <v>2</v>
      </c>
      <c r="AC926" s="573">
        <v>2</v>
      </c>
      <c r="AD926" s="573">
        <v>2</v>
      </c>
      <c r="AE926" s="573">
        <v>2</v>
      </c>
      <c r="AF926" s="573">
        <v>2</v>
      </c>
      <c r="AH926" s="538"/>
      <c r="AK926" s="719"/>
      <c r="AM926" s="594"/>
      <c r="AN926" s="535"/>
      <c r="AP926" s="540"/>
      <c r="AQ926" s="540"/>
    </row>
    <row r="927" spans="1:43" s="513" customFormat="1" ht="16.5" hidden="1" customHeight="1" outlineLevel="2">
      <c r="A927" s="584"/>
      <c r="B927" s="572" t="s">
        <v>888</v>
      </c>
      <c r="C927" s="592">
        <f>EPIs_unif.!$D$23+EPIs_unif.!$D$49</f>
        <v>12326.66</v>
      </c>
      <c r="D927" s="592">
        <f>C927</f>
        <v>12326.66</v>
      </c>
      <c r="E927" s="592">
        <f t="shared" ref="E927:AF927" si="769">D927</f>
        <v>12326.66</v>
      </c>
      <c r="F927" s="592">
        <f t="shared" si="769"/>
        <v>12326.66</v>
      </c>
      <c r="G927" s="592">
        <f t="shared" si="769"/>
        <v>12326.66</v>
      </c>
      <c r="H927" s="592">
        <f t="shared" si="769"/>
        <v>12326.66</v>
      </c>
      <c r="I927" s="592">
        <f t="shared" si="769"/>
        <v>12326.66</v>
      </c>
      <c r="J927" s="592">
        <f t="shared" si="769"/>
        <v>12326.66</v>
      </c>
      <c r="K927" s="592">
        <f t="shared" si="769"/>
        <v>12326.66</v>
      </c>
      <c r="L927" s="592">
        <f t="shared" si="769"/>
        <v>12326.66</v>
      </c>
      <c r="M927" s="592">
        <f t="shared" si="769"/>
        <v>12326.66</v>
      </c>
      <c r="N927" s="592">
        <f t="shared" si="769"/>
        <v>12326.66</v>
      </c>
      <c r="O927" s="592">
        <f t="shared" si="769"/>
        <v>12326.66</v>
      </c>
      <c r="P927" s="592">
        <f t="shared" si="769"/>
        <v>12326.66</v>
      </c>
      <c r="Q927" s="592">
        <f t="shared" si="769"/>
        <v>12326.66</v>
      </c>
      <c r="R927" s="592">
        <f t="shared" si="769"/>
        <v>12326.66</v>
      </c>
      <c r="S927" s="592">
        <f t="shared" si="769"/>
        <v>12326.66</v>
      </c>
      <c r="T927" s="592">
        <f t="shared" si="769"/>
        <v>12326.66</v>
      </c>
      <c r="U927" s="592">
        <f t="shared" si="769"/>
        <v>12326.66</v>
      </c>
      <c r="V927" s="592">
        <f t="shared" si="769"/>
        <v>12326.66</v>
      </c>
      <c r="W927" s="592">
        <f t="shared" si="769"/>
        <v>12326.66</v>
      </c>
      <c r="X927" s="592">
        <f t="shared" si="769"/>
        <v>12326.66</v>
      </c>
      <c r="Y927" s="592">
        <f t="shared" si="769"/>
        <v>12326.66</v>
      </c>
      <c r="Z927" s="592">
        <f t="shared" si="769"/>
        <v>12326.66</v>
      </c>
      <c r="AA927" s="592">
        <f t="shared" si="769"/>
        <v>12326.66</v>
      </c>
      <c r="AB927" s="592">
        <f t="shared" si="769"/>
        <v>12326.66</v>
      </c>
      <c r="AC927" s="592">
        <f t="shared" si="769"/>
        <v>12326.66</v>
      </c>
      <c r="AD927" s="592">
        <f t="shared" si="769"/>
        <v>12326.66</v>
      </c>
      <c r="AE927" s="592">
        <f t="shared" si="769"/>
        <v>12326.66</v>
      </c>
      <c r="AF927" s="592">
        <f t="shared" si="769"/>
        <v>12326.66</v>
      </c>
      <c r="AH927" s="538"/>
      <c r="AK927" s="531"/>
      <c r="AM927" s="594"/>
      <c r="AN927" s="535"/>
      <c r="AP927" s="540"/>
      <c r="AQ927" s="540"/>
    </row>
    <row r="928" spans="1:43" s="513" customFormat="1" ht="3" hidden="1" customHeight="1" outlineLevel="2">
      <c r="A928" s="584"/>
      <c r="B928" s="572"/>
      <c r="C928" s="592"/>
      <c r="D928" s="592"/>
      <c r="E928" s="592"/>
      <c r="F928" s="592"/>
      <c r="G928" s="592"/>
      <c r="H928" s="592"/>
      <c r="I928" s="592"/>
      <c r="J928" s="592"/>
      <c r="K928" s="592"/>
      <c r="L928" s="592"/>
      <c r="M928" s="592"/>
      <c r="N928" s="592"/>
      <c r="O928" s="592"/>
      <c r="P928" s="592"/>
      <c r="Q928" s="592"/>
      <c r="R928" s="592"/>
      <c r="S928" s="592"/>
      <c r="T928" s="592"/>
      <c r="U928" s="592"/>
      <c r="V928" s="592"/>
      <c r="W928" s="592"/>
      <c r="X928" s="592"/>
      <c r="Y928" s="592"/>
      <c r="Z928" s="592"/>
      <c r="AA928" s="592"/>
      <c r="AB928" s="592"/>
      <c r="AC928" s="592"/>
      <c r="AD928" s="592"/>
      <c r="AE928" s="592"/>
      <c r="AF928" s="592"/>
      <c r="AH928" s="538"/>
      <c r="AK928" s="531"/>
      <c r="AM928" s="594"/>
      <c r="AN928" s="535"/>
      <c r="AP928" s="540"/>
      <c r="AQ928" s="540"/>
    </row>
    <row r="929" spans="1:43" ht="16.5" customHeight="1">
      <c r="A929" s="584"/>
      <c r="B929" s="749" t="s">
        <v>830</v>
      </c>
      <c r="C929" s="710">
        <f t="shared" ref="C929:AF929" si="770">SUM(C938,C943,C956,C978,C992,C1002,C1007,C1015,C1019,C1039,C1055,C1059,C1073)*C3</f>
        <v>1404.7369616736601</v>
      </c>
      <c r="D929" s="710">
        <f t="shared" si="770"/>
        <v>1404.7369616736601</v>
      </c>
      <c r="E929" s="710">
        <f t="shared" si="770"/>
        <v>1404.7369616736601</v>
      </c>
      <c r="F929" s="710">
        <f t="shared" si="770"/>
        <v>1404.7369616736601</v>
      </c>
      <c r="G929" s="710">
        <f t="shared" si="770"/>
        <v>1404.7369616736601</v>
      </c>
      <c r="H929" s="710">
        <f t="shared" si="770"/>
        <v>1404.7369616736601</v>
      </c>
      <c r="I929" s="710">
        <f t="shared" si="770"/>
        <v>1404.7369616736601</v>
      </c>
      <c r="J929" s="710">
        <f t="shared" si="770"/>
        <v>1404.7369616736601</v>
      </c>
      <c r="K929" s="710">
        <f t="shared" si="770"/>
        <v>1404.7369616736601</v>
      </c>
      <c r="L929" s="710">
        <f t="shared" si="770"/>
        <v>1404.7369616736601</v>
      </c>
      <c r="M929" s="710">
        <f t="shared" si="770"/>
        <v>1404.7369616736601</v>
      </c>
      <c r="N929" s="710">
        <f t="shared" si="770"/>
        <v>1404.7369616736601</v>
      </c>
      <c r="O929" s="710">
        <f t="shared" si="770"/>
        <v>1404.7369616736601</v>
      </c>
      <c r="P929" s="710">
        <f t="shared" si="770"/>
        <v>1404.7369616736601</v>
      </c>
      <c r="Q929" s="710">
        <f t="shared" si="770"/>
        <v>1404.7369616736601</v>
      </c>
      <c r="R929" s="710">
        <f t="shared" si="770"/>
        <v>1404.7369616736601</v>
      </c>
      <c r="S929" s="710">
        <f t="shared" si="770"/>
        <v>1404.7369616736601</v>
      </c>
      <c r="T929" s="710">
        <f t="shared" si="770"/>
        <v>1404.7369616736601</v>
      </c>
      <c r="U929" s="710">
        <f t="shared" si="770"/>
        <v>1404.7369616736601</v>
      </c>
      <c r="V929" s="710">
        <f t="shared" si="770"/>
        <v>1404.7369616736601</v>
      </c>
      <c r="W929" s="710">
        <f t="shared" si="770"/>
        <v>1404.7369616736601</v>
      </c>
      <c r="X929" s="710">
        <f t="shared" si="770"/>
        <v>1404.7369616736601</v>
      </c>
      <c r="Y929" s="710">
        <f t="shared" si="770"/>
        <v>1404.7369616736601</v>
      </c>
      <c r="Z929" s="710">
        <f t="shared" si="770"/>
        <v>1404.7369616736601</v>
      </c>
      <c r="AA929" s="710">
        <f t="shared" si="770"/>
        <v>1404.7369616736601</v>
      </c>
      <c r="AB929" s="710">
        <f t="shared" si="770"/>
        <v>1404.7369616736601</v>
      </c>
      <c r="AC929" s="710">
        <f t="shared" si="770"/>
        <v>1404.7369616736601</v>
      </c>
      <c r="AD929" s="710">
        <f t="shared" si="770"/>
        <v>1404.7369616736601</v>
      </c>
      <c r="AE929" s="710">
        <f t="shared" si="770"/>
        <v>1404.7369616736601</v>
      </c>
      <c r="AF929" s="710">
        <f t="shared" si="770"/>
        <v>1404.7369616736601</v>
      </c>
      <c r="AG929" s="750"/>
      <c r="AH929" s="751">
        <f>SUM(C929:AF929)</f>
        <v>42142.108850209821</v>
      </c>
      <c r="AK929" s="531"/>
      <c r="AM929" s="533"/>
      <c r="AN929" s="535"/>
      <c r="AP929" s="535"/>
      <c r="AQ929" s="534"/>
    </row>
    <row r="930" spans="1:43" s="513" customFormat="1" ht="3" customHeight="1">
      <c r="A930" s="584"/>
      <c r="B930" s="541"/>
      <c r="C930" s="542"/>
      <c r="D930" s="542"/>
      <c r="E930" s="537"/>
      <c r="F930" s="537"/>
      <c r="G930" s="537"/>
      <c r="H930" s="537"/>
      <c r="I930" s="537"/>
      <c r="J930" s="537"/>
      <c r="K930" s="537"/>
      <c r="L930" s="537"/>
      <c r="M930" s="537"/>
      <c r="N930" s="537"/>
      <c r="O930" s="537"/>
      <c r="P930" s="537"/>
      <c r="Q930" s="537"/>
      <c r="R930" s="537"/>
      <c r="S930" s="537"/>
      <c r="T930" s="537"/>
      <c r="U930" s="537"/>
      <c r="V930" s="537"/>
      <c r="W930" s="537"/>
      <c r="X930" s="537"/>
      <c r="Y930" s="537"/>
      <c r="Z930" s="537"/>
      <c r="AA930" s="537"/>
      <c r="AB930" s="537"/>
      <c r="AC930" s="537"/>
      <c r="AD930" s="537"/>
      <c r="AE930" s="537"/>
      <c r="AF930" s="537"/>
      <c r="AH930" s="538"/>
      <c r="AK930" s="531"/>
      <c r="AM930" s="594"/>
      <c r="AN930" s="535"/>
      <c r="AP930" s="540"/>
      <c r="AQ930" s="540"/>
    </row>
    <row r="931" spans="1:43" s="546" customFormat="1" ht="16.5" customHeight="1" collapsed="1">
      <c r="A931" s="584"/>
      <c r="B931" s="544" t="s">
        <v>880</v>
      </c>
      <c r="C931" s="545"/>
      <c r="D931" s="545"/>
      <c r="E931" s="545"/>
      <c r="F931" s="545"/>
      <c r="G931" s="545"/>
      <c r="H931" s="545"/>
      <c r="I931" s="545"/>
      <c r="J931" s="545"/>
      <c r="K931" s="545"/>
      <c r="L931" s="545"/>
      <c r="M931" s="545"/>
      <c r="N931" s="545"/>
      <c r="O931" s="545"/>
      <c r="P931" s="545"/>
      <c r="Q931" s="545"/>
      <c r="R931" s="545"/>
      <c r="S931" s="545"/>
      <c r="T931" s="545"/>
      <c r="U931" s="545"/>
      <c r="V931" s="545"/>
      <c r="W931" s="545"/>
      <c r="X931" s="545"/>
      <c r="Y931" s="545"/>
      <c r="Z931" s="545"/>
      <c r="AA931" s="545"/>
      <c r="AB931" s="545"/>
      <c r="AC931" s="545"/>
      <c r="AD931" s="545"/>
      <c r="AE931" s="545"/>
      <c r="AF931" s="545"/>
      <c r="AH931" s="571"/>
      <c r="AK931" s="531"/>
      <c r="AM931" s="594"/>
      <c r="AN931" s="535"/>
      <c r="AP931" s="549"/>
      <c r="AQ931" s="549"/>
    </row>
    <row r="932" spans="1:43" s="513" customFormat="1" ht="16.5" hidden="1" customHeight="1" outlineLevel="2">
      <c r="A932" s="584"/>
      <c r="B932" s="551" t="s">
        <v>828</v>
      </c>
      <c r="C932" s="553">
        <v>12</v>
      </c>
      <c r="D932" s="553">
        <v>12</v>
      </c>
      <c r="E932" s="553">
        <v>12</v>
      </c>
      <c r="F932" s="553">
        <v>12</v>
      </c>
      <c r="G932" s="553">
        <v>12</v>
      </c>
      <c r="H932" s="553">
        <v>12</v>
      </c>
      <c r="I932" s="553">
        <v>12</v>
      </c>
      <c r="J932" s="553">
        <v>12</v>
      </c>
      <c r="K932" s="553">
        <v>12</v>
      </c>
      <c r="L932" s="553">
        <v>12</v>
      </c>
      <c r="M932" s="553">
        <v>12</v>
      </c>
      <c r="N932" s="553">
        <v>12</v>
      </c>
      <c r="O932" s="553">
        <v>12</v>
      </c>
      <c r="P932" s="553">
        <v>12</v>
      </c>
      <c r="Q932" s="553">
        <v>12</v>
      </c>
      <c r="R932" s="553">
        <v>12</v>
      </c>
      <c r="S932" s="553">
        <v>12</v>
      </c>
      <c r="T932" s="553">
        <v>12</v>
      </c>
      <c r="U932" s="553">
        <v>12</v>
      </c>
      <c r="V932" s="553">
        <v>12</v>
      </c>
      <c r="W932" s="553">
        <v>12</v>
      </c>
      <c r="X932" s="553">
        <v>12</v>
      </c>
      <c r="Y932" s="553">
        <v>12</v>
      </c>
      <c r="Z932" s="553">
        <v>12</v>
      </c>
      <c r="AA932" s="553">
        <v>12</v>
      </c>
      <c r="AB932" s="553">
        <v>12</v>
      </c>
      <c r="AC932" s="553">
        <v>12</v>
      </c>
      <c r="AD932" s="553">
        <v>12</v>
      </c>
      <c r="AE932" s="553">
        <v>12</v>
      </c>
      <c r="AF932" s="553">
        <v>12</v>
      </c>
      <c r="AH932" s="538"/>
      <c r="AK932" s="531"/>
      <c r="AM932" s="594"/>
      <c r="AN932" s="535"/>
      <c r="AP932" s="540"/>
      <c r="AQ932" s="540"/>
    </row>
    <row r="933" spans="1:43" s="513" customFormat="1" ht="16.5" hidden="1" customHeight="1" outlineLevel="2">
      <c r="A933" s="584"/>
      <c r="B933" s="608" t="s">
        <v>826</v>
      </c>
      <c r="C933" s="553">
        <v>1</v>
      </c>
      <c r="D933" s="553">
        <v>1</v>
      </c>
      <c r="E933" s="553">
        <f t="shared" ref="E933:AF934" si="771">D933</f>
        <v>1</v>
      </c>
      <c r="F933" s="553">
        <f t="shared" si="771"/>
        <v>1</v>
      </c>
      <c r="G933" s="553">
        <f t="shared" si="771"/>
        <v>1</v>
      </c>
      <c r="H933" s="553">
        <f t="shared" si="771"/>
        <v>1</v>
      </c>
      <c r="I933" s="553">
        <f t="shared" si="771"/>
        <v>1</v>
      </c>
      <c r="J933" s="553">
        <f t="shared" si="771"/>
        <v>1</v>
      </c>
      <c r="K933" s="553">
        <f t="shared" si="771"/>
        <v>1</v>
      </c>
      <c r="L933" s="553">
        <f t="shared" si="771"/>
        <v>1</v>
      </c>
      <c r="M933" s="553">
        <f t="shared" si="771"/>
        <v>1</v>
      </c>
      <c r="N933" s="553">
        <f t="shared" si="771"/>
        <v>1</v>
      </c>
      <c r="O933" s="553">
        <f t="shared" si="771"/>
        <v>1</v>
      </c>
      <c r="P933" s="553">
        <f t="shared" si="771"/>
        <v>1</v>
      </c>
      <c r="Q933" s="553">
        <f t="shared" si="771"/>
        <v>1</v>
      </c>
      <c r="R933" s="553">
        <f t="shared" si="771"/>
        <v>1</v>
      </c>
      <c r="S933" s="553">
        <f t="shared" si="771"/>
        <v>1</v>
      </c>
      <c r="T933" s="553">
        <f t="shared" si="771"/>
        <v>1</v>
      </c>
      <c r="U933" s="553">
        <f t="shared" si="771"/>
        <v>1</v>
      </c>
      <c r="V933" s="553">
        <f t="shared" si="771"/>
        <v>1</v>
      </c>
      <c r="W933" s="553">
        <f t="shared" si="771"/>
        <v>1</v>
      </c>
      <c r="X933" s="553">
        <f t="shared" si="771"/>
        <v>1</v>
      </c>
      <c r="Y933" s="553">
        <f t="shared" si="771"/>
        <v>1</v>
      </c>
      <c r="Z933" s="553">
        <f t="shared" si="771"/>
        <v>1</v>
      </c>
      <c r="AA933" s="553">
        <f t="shared" si="771"/>
        <v>1</v>
      </c>
      <c r="AB933" s="553">
        <f t="shared" si="771"/>
        <v>1</v>
      </c>
      <c r="AC933" s="553">
        <f t="shared" si="771"/>
        <v>1</v>
      </c>
      <c r="AD933" s="553">
        <f t="shared" si="771"/>
        <v>1</v>
      </c>
      <c r="AE933" s="553">
        <f t="shared" si="771"/>
        <v>1</v>
      </c>
      <c r="AF933" s="553">
        <f t="shared" si="771"/>
        <v>1</v>
      </c>
      <c r="AH933" s="538"/>
      <c r="AK933" s="531"/>
      <c r="AM933" s="594"/>
      <c r="AN933" s="535"/>
      <c r="AP933" s="540"/>
      <c r="AQ933" s="540"/>
    </row>
    <row r="934" spans="1:43" s="513" customFormat="1" ht="16.5" hidden="1" customHeight="1" outlineLevel="2">
      <c r="A934" s="584"/>
      <c r="B934" s="551" t="s">
        <v>965</v>
      </c>
      <c r="C934" s="553">
        <v>1</v>
      </c>
      <c r="D934" s="553">
        <f>C934</f>
        <v>1</v>
      </c>
      <c r="E934" s="553">
        <f t="shared" si="771"/>
        <v>1</v>
      </c>
      <c r="F934" s="553">
        <f t="shared" si="771"/>
        <v>1</v>
      </c>
      <c r="G934" s="553">
        <f t="shared" si="771"/>
        <v>1</v>
      </c>
      <c r="H934" s="553">
        <f t="shared" si="771"/>
        <v>1</v>
      </c>
      <c r="I934" s="553">
        <f t="shared" si="771"/>
        <v>1</v>
      </c>
      <c r="J934" s="553">
        <f t="shared" si="771"/>
        <v>1</v>
      </c>
      <c r="K934" s="553">
        <f t="shared" si="771"/>
        <v>1</v>
      </c>
      <c r="L934" s="553">
        <f t="shared" si="771"/>
        <v>1</v>
      </c>
      <c r="M934" s="553">
        <f t="shared" si="771"/>
        <v>1</v>
      </c>
      <c r="N934" s="553">
        <f t="shared" si="771"/>
        <v>1</v>
      </c>
      <c r="O934" s="553">
        <f t="shared" si="771"/>
        <v>1</v>
      </c>
      <c r="P934" s="553">
        <f t="shared" si="771"/>
        <v>1</v>
      </c>
      <c r="Q934" s="553">
        <f t="shared" si="771"/>
        <v>1</v>
      </c>
      <c r="R934" s="553">
        <f t="shared" si="771"/>
        <v>1</v>
      </c>
      <c r="S934" s="553">
        <f t="shared" si="771"/>
        <v>1</v>
      </c>
      <c r="T934" s="553">
        <f t="shared" si="771"/>
        <v>1</v>
      </c>
      <c r="U934" s="553">
        <f t="shared" si="771"/>
        <v>1</v>
      </c>
      <c r="V934" s="553">
        <f t="shared" si="771"/>
        <v>1</v>
      </c>
      <c r="W934" s="553">
        <f t="shared" si="771"/>
        <v>1</v>
      </c>
      <c r="X934" s="553">
        <f t="shared" si="771"/>
        <v>1</v>
      </c>
      <c r="Y934" s="553">
        <f t="shared" si="771"/>
        <v>1</v>
      </c>
      <c r="Z934" s="553">
        <f t="shared" si="771"/>
        <v>1</v>
      </c>
      <c r="AA934" s="553">
        <f t="shared" si="771"/>
        <v>1</v>
      </c>
      <c r="AB934" s="553">
        <f t="shared" si="771"/>
        <v>1</v>
      </c>
      <c r="AC934" s="553">
        <f t="shared" si="771"/>
        <v>1</v>
      </c>
      <c r="AD934" s="553">
        <f t="shared" si="771"/>
        <v>1</v>
      </c>
      <c r="AE934" s="553">
        <f t="shared" si="771"/>
        <v>1</v>
      </c>
      <c r="AF934" s="553">
        <f t="shared" si="771"/>
        <v>1</v>
      </c>
      <c r="AH934" s="538"/>
      <c r="AK934" s="531"/>
      <c r="AM934" s="594"/>
      <c r="AN934" s="535"/>
      <c r="AP934" s="540"/>
      <c r="AQ934" s="540"/>
    </row>
    <row r="935" spans="1:43" s="513" customFormat="1" ht="16.5" hidden="1" customHeight="1" outlineLevel="2">
      <c r="A935" s="584"/>
      <c r="B935" s="551" t="s">
        <v>829</v>
      </c>
      <c r="C935" s="553">
        <v>2</v>
      </c>
      <c r="D935" s="553">
        <v>2</v>
      </c>
      <c r="E935" s="553">
        <v>2</v>
      </c>
      <c r="F935" s="553">
        <v>2</v>
      </c>
      <c r="G935" s="553">
        <v>2</v>
      </c>
      <c r="H935" s="553">
        <v>2</v>
      </c>
      <c r="I935" s="553">
        <v>2</v>
      </c>
      <c r="J935" s="553">
        <v>2</v>
      </c>
      <c r="K935" s="553">
        <v>2</v>
      </c>
      <c r="L935" s="553">
        <v>2</v>
      </c>
      <c r="M935" s="553">
        <v>2</v>
      </c>
      <c r="N935" s="553">
        <v>2</v>
      </c>
      <c r="O935" s="553">
        <v>2</v>
      </c>
      <c r="P935" s="553">
        <v>2</v>
      </c>
      <c r="Q935" s="553">
        <v>2</v>
      </c>
      <c r="R935" s="553">
        <v>2</v>
      </c>
      <c r="S935" s="553">
        <v>2</v>
      </c>
      <c r="T935" s="553">
        <v>2</v>
      </c>
      <c r="U935" s="553">
        <v>2</v>
      </c>
      <c r="V935" s="553">
        <v>2</v>
      </c>
      <c r="W935" s="553">
        <v>2</v>
      </c>
      <c r="X935" s="553">
        <v>2</v>
      </c>
      <c r="Y935" s="553">
        <v>2</v>
      </c>
      <c r="Z935" s="553">
        <v>2</v>
      </c>
      <c r="AA935" s="553">
        <v>2</v>
      </c>
      <c r="AB935" s="553">
        <v>2</v>
      </c>
      <c r="AC935" s="553">
        <v>2</v>
      </c>
      <c r="AD935" s="553">
        <v>2</v>
      </c>
      <c r="AE935" s="553">
        <v>2</v>
      </c>
      <c r="AF935" s="553">
        <v>2</v>
      </c>
      <c r="AH935" s="538"/>
      <c r="AK935" s="531"/>
      <c r="AM935" s="594"/>
      <c r="AN935" s="535"/>
      <c r="AP935" s="540"/>
      <c r="AQ935" s="540"/>
    </row>
    <row r="936" spans="1:43" s="620" customFormat="1" ht="16.5" customHeight="1" collapsed="1">
      <c r="A936" s="584"/>
      <c r="B936" s="618" t="s">
        <v>886</v>
      </c>
      <c r="C936" s="545">
        <f>SUM(C1041,C1048)</f>
        <v>16</v>
      </c>
      <c r="D936" s="545">
        <f t="shared" ref="D936:AF936" si="772">SUM(D1041,D1048)</f>
        <v>16</v>
      </c>
      <c r="E936" s="545">
        <f t="shared" si="772"/>
        <v>16</v>
      </c>
      <c r="F936" s="545">
        <f t="shared" si="772"/>
        <v>16</v>
      </c>
      <c r="G936" s="545">
        <f t="shared" si="772"/>
        <v>16</v>
      </c>
      <c r="H936" s="545">
        <f t="shared" si="772"/>
        <v>16</v>
      </c>
      <c r="I936" s="545">
        <f t="shared" si="772"/>
        <v>16</v>
      </c>
      <c r="J936" s="545">
        <f t="shared" si="772"/>
        <v>16</v>
      </c>
      <c r="K936" s="545">
        <f t="shared" si="772"/>
        <v>16</v>
      </c>
      <c r="L936" s="545">
        <f t="shared" si="772"/>
        <v>16</v>
      </c>
      <c r="M936" s="545">
        <f t="shared" si="772"/>
        <v>16</v>
      </c>
      <c r="N936" s="545">
        <f t="shared" si="772"/>
        <v>16</v>
      </c>
      <c r="O936" s="545">
        <f t="shared" si="772"/>
        <v>16</v>
      </c>
      <c r="P936" s="545">
        <f t="shared" si="772"/>
        <v>16</v>
      </c>
      <c r="Q936" s="545">
        <f t="shared" si="772"/>
        <v>16</v>
      </c>
      <c r="R936" s="545">
        <f t="shared" si="772"/>
        <v>16</v>
      </c>
      <c r="S936" s="545">
        <f t="shared" si="772"/>
        <v>16</v>
      </c>
      <c r="T936" s="545">
        <f t="shared" si="772"/>
        <v>16</v>
      </c>
      <c r="U936" s="545">
        <f t="shared" si="772"/>
        <v>16</v>
      </c>
      <c r="V936" s="545">
        <f t="shared" si="772"/>
        <v>16</v>
      </c>
      <c r="W936" s="545">
        <f t="shared" si="772"/>
        <v>16</v>
      </c>
      <c r="X936" s="545">
        <f t="shared" si="772"/>
        <v>16</v>
      </c>
      <c r="Y936" s="545">
        <f t="shared" si="772"/>
        <v>16</v>
      </c>
      <c r="Z936" s="545">
        <f t="shared" si="772"/>
        <v>16</v>
      </c>
      <c r="AA936" s="545">
        <f t="shared" si="772"/>
        <v>16</v>
      </c>
      <c r="AB936" s="545">
        <f t="shared" si="772"/>
        <v>16</v>
      </c>
      <c r="AC936" s="545">
        <f t="shared" si="772"/>
        <v>16</v>
      </c>
      <c r="AD936" s="545">
        <f t="shared" si="772"/>
        <v>16</v>
      </c>
      <c r="AE936" s="545">
        <f t="shared" si="772"/>
        <v>16</v>
      </c>
      <c r="AF936" s="545">
        <f t="shared" si="772"/>
        <v>16</v>
      </c>
      <c r="AG936" s="546"/>
      <c r="AH936" s="619"/>
      <c r="AI936" s="546"/>
      <c r="AJ936" s="546"/>
      <c r="AK936" s="531"/>
      <c r="AL936" s="546"/>
      <c r="AM936" s="548"/>
      <c r="AN936" s="540"/>
      <c r="AO936" s="546"/>
      <c r="AP936" s="549"/>
      <c r="AQ936" s="549"/>
    </row>
    <row r="937" spans="1:43" s="513" customFormat="1" ht="3" hidden="1" customHeight="1" outlineLevel="2">
      <c r="A937" s="584"/>
      <c r="B937" s="551"/>
      <c r="C937" s="555"/>
      <c r="D937" s="555"/>
      <c r="E937" s="555"/>
      <c r="F937" s="555"/>
      <c r="G937" s="555"/>
      <c r="H937" s="555"/>
      <c r="I937" s="555"/>
      <c r="J937" s="555"/>
      <c r="K937" s="555"/>
      <c r="L937" s="555"/>
      <c r="M937" s="555"/>
      <c r="N937" s="555"/>
      <c r="O937" s="555"/>
      <c r="P937" s="555"/>
      <c r="Q937" s="555"/>
      <c r="R937" s="555"/>
      <c r="S937" s="555"/>
      <c r="T937" s="555"/>
      <c r="U937" s="555"/>
      <c r="V937" s="555"/>
      <c r="W937" s="555"/>
      <c r="X937" s="555"/>
      <c r="Y937" s="555"/>
      <c r="Z937" s="555"/>
      <c r="AA937" s="555"/>
      <c r="AB937" s="555"/>
      <c r="AC937" s="555"/>
      <c r="AD937" s="555"/>
      <c r="AE937" s="555"/>
      <c r="AF937" s="555"/>
      <c r="AH937" s="538"/>
      <c r="AK937" s="531"/>
      <c r="AM937" s="539"/>
      <c r="AN937" s="540"/>
      <c r="AP937" s="540"/>
      <c r="AQ937" s="540"/>
    </row>
    <row r="938" spans="1:43" s="564" customFormat="1" ht="16.5" hidden="1" customHeight="1" outlineLevel="1" collapsed="1">
      <c r="A938" s="584"/>
      <c r="B938" s="576" t="s">
        <v>887</v>
      </c>
      <c r="C938" s="577">
        <f>SUM(C939)*12/10^3</f>
        <v>48.41462808</v>
      </c>
      <c r="D938" s="577">
        <f t="shared" ref="D938:AF938" si="773">SUM(D939)*12/10^3</f>
        <v>48.41462808</v>
      </c>
      <c r="E938" s="577">
        <f t="shared" si="773"/>
        <v>48.41462808</v>
      </c>
      <c r="F938" s="577">
        <f t="shared" si="773"/>
        <v>48.41462808</v>
      </c>
      <c r="G938" s="577">
        <f t="shared" si="773"/>
        <v>48.41462808</v>
      </c>
      <c r="H938" s="577">
        <f t="shared" si="773"/>
        <v>48.41462808</v>
      </c>
      <c r="I938" s="577">
        <f t="shared" si="773"/>
        <v>48.41462808</v>
      </c>
      <c r="J938" s="577">
        <f t="shared" si="773"/>
        <v>48.41462808</v>
      </c>
      <c r="K938" s="577">
        <f t="shared" si="773"/>
        <v>48.41462808</v>
      </c>
      <c r="L938" s="577">
        <f t="shared" si="773"/>
        <v>48.41462808</v>
      </c>
      <c r="M938" s="577">
        <f t="shared" si="773"/>
        <v>48.41462808</v>
      </c>
      <c r="N938" s="577">
        <f t="shared" si="773"/>
        <v>48.41462808</v>
      </c>
      <c r="O938" s="577">
        <f t="shared" si="773"/>
        <v>48.41462808</v>
      </c>
      <c r="P938" s="577">
        <f t="shared" si="773"/>
        <v>48.41462808</v>
      </c>
      <c r="Q938" s="577">
        <f t="shared" si="773"/>
        <v>48.41462808</v>
      </c>
      <c r="R938" s="577">
        <f t="shared" si="773"/>
        <v>48.41462808</v>
      </c>
      <c r="S938" s="577">
        <f t="shared" si="773"/>
        <v>48.41462808</v>
      </c>
      <c r="T938" s="577">
        <f t="shared" si="773"/>
        <v>48.41462808</v>
      </c>
      <c r="U938" s="577">
        <f t="shared" si="773"/>
        <v>48.41462808</v>
      </c>
      <c r="V938" s="577">
        <f t="shared" si="773"/>
        <v>48.41462808</v>
      </c>
      <c r="W938" s="577">
        <f t="shared" si="773"/>
        <v>48.41462808</v>
      </c>
      <c r="X938" s="577">
        <f t="shared" si="773"/>
        <v>48.41462808</v>
      </c>
      <c r="Y938" s="577">
        <f t="shared" si="773"/>
        <v>48.41462808</v>
      </c>
      <c r="Z938" s="577">
        <f t="shared" si="773"/>
        <v>48.41462808</v>
      </c>
      <c r="AA938" s="577">
        <f t="shared" si="773"/>
        <v>48.41462808</v>
      </c>
      <c r="AB938" s="577">
        <f t="shared" si="773"/>
        <v>48.41462808</v>
      </c>
      <c r="AC938" s="577">
        <f t="shared" si="773"/>
        <v>48.41462808</v>
      </c>
      <c r="AD938" s="577">
        <f t="shared" si="773"/>
        <v>48.41462808</v>
      </c>
      <c r="AE938" s="577">
        <f t="shared" si="773"/>
        <v>48.41462808</v>
      </c>
      <c r="AF938" s="577">
        <f t="shared" si="773"/>
        <v>48.41462808</v>
      </c>
      <c r="AH938" s="578">
        <f>SUM(C938:AF938)</f>
        <v>1452.438842400001</v>
      </c>
      <c r="AJ938" s="566"/>
      <c r="AK938" s="531"/>
      <c r="AM938" s="594"/>
      <c r="AN938" s="535"/>
      <c r="AP938" s="568"/>
      <c r="AQ938" s="568"/>
    </row>
    <row r="939" spans="1:43" s="546" customFormat="1" ht="16.5" hidden="1" customHeight="1" outlineLevel="2">
      <c r="A939" s="584"/>
      <c r="B939" s="551" t="s">
        <v>965</v>
      </c>
      <c r="C939" s="570">
        <f>C940*C941</f>
        <v>4034.5523400000002</v>
      </c>
      <c r="D939" s="570">
        <f t="shared" ref="D939:AF939" si="774">D940*D941</f>
        <v>4034.5523400000002</v>
      </c>
      <c r="E939" s="570">
        <f t="shared" si="774"/>
        <v>4034.5523400000002</v>
      </c>
      <c r="F939" s="570">
        <f t="shared" si="774"/>
        <v>4034.5523400000002</v>
      </c>
      <c r="G939" s="570">
        <f t="shared" si="774"/>
        <v>4034.5523400000002</v>
      </c>
      <c r="H939" s="570">
        <f t="shared" si="774"/>
        <v>4034.5523400000002</v>
      </c>
      <c r="I939" s="570">
        <f t="shared" si="774"/>
        <v>4034.5523400000002</v>
      </c>
      <c r="J939" s="570">
        <f t="shared" si="774"/>
        <v>4034.5523400000002</v>
      </c>
      <c r="K939" s="570">
        <f t="shared" si="774"/>
        <v>4034.5523400000002</v>
      </c>
      <c r="L939" s="570">
        <f t="shared" si="774"/>
        <v>4034.5523400000002</v>
      </c>
      <c r="M939" s="570">
        <f t="shared" si="774"/>
        <v>4034.5523400000002</v>
      </c>
      <c r="N939" s="570">
        <f t="shared" si="774"/>
        <v>4034.5523400000002</v>
      </c>
      <c r="O939" s="570">
        <f t="shared" si="774"/>
        <v>4034.5523400000002</v>
      </c>
      <c r="P939" s="570">
        <f t="shared" si="774"/>
        <v>4034.5523400000002</v>
      </c>
      <c r="Q939" s="570">
        <f t="shared" si="774"/>
        <v>4034.5523400000002</v>
      </c>
      <c r="R939" s="570">
        <f t="shared" si="774"/>
        <v>4034.5523400000002</v>
      </c>
      <c r="S939" s="570">
        <f t="shared" si="774"/>
        <v>4034.5523400000002</v>
      </c>
      <c r="T939" s="570">
        <f t="shared" si="774"/>
        <v>4034.5523400000002</v>
      </c>
      <c r="U939" s="570">
        <f t="shared" si="774"/>
        <v>4034.5523400000002</v>
      </c>
      <c r="V939" s="570">
        <f t="shared" si="774"/>
        <v>4034.5523400000002</v>
      </c>
      <c r="W939" s="570">
        <f t="shared" si="774"/>
        <v>4034.5523400000002</v>
      </c>
      <c r="X939" s="570">
        <f t="shared" si="774"/>
        <v>4034.5523400000002</v>
      </c>
      <c r="Y939" s="570">
        <f t="shared" si="774"/>
        <v>4034.5523400000002</v>
      </c>
      <c r="Z939" s="570">
        <f t="shared" si="774"/>
        <v>4034.5523400000002</v>
      </c>
      <c r="AA939" s="570">
        <f t="shared" si="774"/>
        <v>4034.5523400000002</v>
      </c>
      <c r="AB939" s="570">
        <f t="shared" si="774"/>
        <v>4034.5523400000002</v>
      </c>
      <c r="AC939" s="570">
        <f t="shared" si="774"/>
        <v>4034.5523400000002</v>
      </c>
      <c r="AD939" s="570">
        <f t="shared" si="774"/>
        <v>4034.5523400000002</v>
      </c>
      <c r="AE939" s="570">
        <f t="shared" si="774"/>
        <v>4034.5523400000002</v>
      </c>
      <c r="AF939" s="570">
        <f t="shared" si="774"/>
        <v>4034.5523400000002</v>
      </c>
      <c r="AH939" s="571"/>
      <c r="AK939" s="531"/>
      <c r="AM939" s="594"/>
      <c r="AN939" s="535"/>
      <c r="AP939" s="549"/>
      <c r="AQ939" s="549"/>
    </row>
    <row r="940" spans="1:43" ht="16.5" hidden="1" customHeight="1" outlineLevel="2">
      <c r="A940" s="584"/>
      <c r="B940" s="572" t="s">
        <v>805</v>
      </c>
      <c r="C940" s="592">
        <f>C934</f>
        <v>1</v>
      </c>
      <c r="D940" s="592">
        <f t="shared" ref="D940:AF940" si="775">D934</f>
        <v>1</v>
      </c>
      <c r="E940" s="592">
        <f t="shared" si="775"/>
        <v>1</v>
      </c>
      <c r="F940" s="592">
        <f t="shared" si="775"/>
        <v>1</v>
      </c>
      <c r="G940" s="592">
        <f t="shared" si="775"/>
        <v>1</v>
      </c>
      <c r="H940" s="592">
        <f t="shared" si="775"/>
        <v>1</v>
      </c>
      <c r="I940" s="592">
        <f t="shared" si="775"/>
        <v>1</v>
      </c>
      <c r="J940" s="592">
        <f t="shared" si="775"/>
        <v>1</v>
      </c>
      <c r="K940" s="592">
        <f t="shared" si="775"/>
        <v>1</v>
      </c>
      <c r="L940" s="592">
        <f t="shared" si="775"/>
        <v>1</v>
      </c>
      <c r="M940" s="592">
        <f t="shared" si="775"/>
        <v>1</v>
      </c>
      <c r="N940" s="592">
        <f t="shared" si="775"/>
        <v>1</v>
      </c>
      <c r="O940" s="592">
        <f t="shared" si="775"/>
        <v>1</v>
      </c>
      <c r="P940" s="592">
        <f t="shared" si="775"/>
        <v>1</v>
      </c>
      <c r="Q940" s="592">
        <f t="shared" si="775"/>
        <v>1</v>
      </c>
      <c r="R940" s="592">
        <f t="shared" si="775"/>
        <v>1</v>
      </c>
      <c r="S940" s="592">
        <f t="shared" si="775"/>
        <v>1</v>
      </c>
      <c r="T940" s="592">
        <f t="shared" si="775"/>
        <v>1</v>
      </c>
      <c r="U940" s="592">
        <f t="shared" si="775"/>
        <v>1</v>
      </c>
      <c r="V940" s="592">
        <f t="shared" si="775"/>
        <v>1</v>
      </c>
      <c r="W940" s="592">
        <f t="shared" si="775"/>
        <v>1</v>
      </c>
      <c r="X940" s="592">
        <f t="shared" si="775"/>
        <v>1</v>
      </c>
      <c r="Y940" s="592">
        <f t="shared" si="775"/>
        <v>1</v>
      </c>
      <c r="Z940" s="592">
        <f t="shared" si="775"/>
        <v>1</v>
      </c>
      <c r="AA940" s="592">
        <f t="shared" si="775"/>
        <v>1</v>
      </c>
      <c r="AB940" s="592">
        <f t="shared" si="775"/>
        <v>1</v>
      </c>
      <c r="AC940" s="592">
        <f t="shared" si="775"/>
        <v>1</v>
      </c>
      <c r="AD940" s="592">
        <f t="shared" si="775"/>
        <v>1</v>
      </c>
      <c r="AE940" s="592">
        <f t="shared" si="775"/>
        <v>1</v>
      </c>
      <c r="AF940" s="592">
        <f t="shared" si="775"/>
        <v>1</v>
      </c>
      <c r="AH940" s="593"/>
      <c r="AK940" s="531"/>
      <c r="AM940" s="594"/>
      <c r="AN940" s="535"/>
      <c r="AP940" s="535"/>
      <c r="AQ940" s="535"/>
    </row>
    <row r="941" spans="1:43" ht="16.5" hidden="1" customHeight="1" outlineLevel="2">
      <c r="A941" s="584"/>
      <c r="B941" s="572" t="s">
        <v>888</v>
      </c>
      <c r="C941" s="574">
        <f>Insumos!$E$171</f>
        <v>4034.5523400000002</v>
      </c>
      <c r="D941" s="574">
        <f>C941</f>
        <v>4034.5523400000002</v>
      </c>
      <c r="E941" s="574">
        <f t="shared" ref="E941:T941" si="776">D941</f>
        <v>4034.5523400000002</v>
      </c>
      <c r="F941" s="574">
        <f t="shared" si="776"/>
        <v>4034.5523400000002</v>
      </c>
      <c r="G941" s="574">
        <f t="shared" si="776"/>
        <v>4034.5523400000002</v>
      </c>
      <c r="H941" s="574">
        <f t="shared" si="776"/>
        <v>4034.5523400000002</v>
      </c>
      <c r="I941" s="574">
        <f t="shared" si="776"/>
        <v>4034.5523400000002</v>
      </c>
      <c r="J941" s="574">
        <f t="shared" si="776"/>
        <v>4034.5523400000002</v>
      </c>
      <c r="K941" s="574">
        <f t="shared" si="776"/>
        <v>4034.5523400000002</v>
      </c>
      <c r="L941" s="574">
        <f t="shared" si="776"/>
        <v>4034.5523400000002</v>
      </c>
      <c r="M941" s="574">
        <f t="shared" si="776"/>
        <v>4034.5523400000002</v>
      </c>
      <c r="N941" s="574">
        <f t="shared" si="776"/>
        <v>4034.5523400000002</v>
      </c>
      <c r="O941" s="574">
        <f t="shared" si="776"/>
        <v>4034.5523400000002</v>
      </c>
      <c r="P941" s="574">
        <f t="shared" si="776"/>
        <v>4034.5523400000002</v>
      </c>
      <c r="Q941" s="574">
        <f t="shared" si="776"/>
        <v>4034.5523400000002</v>
      </c>
      <c r="R941" s="574">
        <f t="shared" si="776"/>
        <v>4034.5523400000002</v>
      </c>
      <c r="S941" s="574">
        <f t="shared" si="776"/>
        <v>4034.5523400000002</v>
      </c>
      <c r="T941" s="574">
        <f t="shared" si="776"/>
        <v>4034.5523400000002</v>
      </c>
      <c r="U941" s="574">
        <f t="shared" ref="U941:AA941" si="777">T941</f>
        <v>4034.5523400000002</v>
      </c>
      <c r="V941" s="574">
        <f t="shared" si="777"/>
        <v>4034.5523400000002</v>
      </c>
      <c r="W941" s="574">
        <f t="shared" si="777"/>
        <v>4034.5523400000002</v>
      </c>
      <c r="X941" s="574">
        <f t="shared" si="777"/>
        <v>4034.5523400000002</v>
      </c>
      <c r="Y941" s="574">
        <f t="shared" si="777"/>
        <v>4034.5523400000002</v>
      </c>
      <c r="Z941" s="574">
        <f t="shared" si="777"/>
        <v>4034.5523400000002</v>
      </c>
      <c r="AA941" s="574">
        <f t="shared" si="777"/>
        <v>4034.5523400000002</v>
      </c>
      <c r="AB941" s="574">
        <f t="shared" ref="AB941:AF941" si="778">AA941</f>
        <v>4034.5523400000002</v>
      </c>
      <c r="AC941" s="574">
        <f t="shared" si="778"/>
        <v>4034.5523400000002</v>
      </c>
      <c r="AD941" s="574">
        <f t="shared" si="778"/>
        <v>4034.5523400000002</v>
      </c>
      <c r="AE941" s="574">
        <f t="shared" si="778"/>
        <v>4034.5523400000002</v>
      </c>
      <c r="AF941" s="574">
        <f t="shared" si="778"/>
        <v>4034.5523400000002</v>
      </c>
      <c r="AH941" s="593"/>
      <c r="AK941" s="531"/>
      <c r="AM941" s="594"/>
      <c r="AN941" s="535"/>
      <c r="AP941" s="535"/>
      <c r="AQ941" s="535"/>
    </row>
    <row r="942" spans="1:43" s="513" customFormat="1" ht="3" hidden="1" customHeight="1" outlineLevel="2">
      <c r="A942" s="584"/>
      <c r="B942" s="572"/>
      <c r="C942" s="575"/>
      <c r="D942" s="575"/>
      <c r="E942" s="575"/>
      <c r="F942" s="575"/>
      <c r="G942" s="575"/>
      <c r="H942" s="575"/>
      <c r="I942" s="575"/>
      <c r="J942" s="575"/>
      <c r="K942" s="575"/>
      <c r="L942" s="575"/>
      <c r="M942" s="575"/>
      <c r="N942" s="575"/>
      <c r="O942" s="575"/>
      <c r="P942" s="575"/>
      <c r="Q942" s="575"/>
      <c r="R942" s="575"/>
      <c r="S942" s="575"/>
      <c r="T942" s="575"/>
      <c r="U942" s="575"/>
      <c r="V942" s="575"/>
      <c r="W942" s="575"/>
      <c r="X942" s="575"/>
      <c r="Y942" s="575"/>
      <c r="Z942" s="575"/>
      <c r="AA942" s="575"/>
      <c r="AB942" s="575"/>
      <c r="AC942" s="575"/>
      <c r="AD942" s="575"/>
      <c r="AE942" s="575"/>
      <c r="AF942" s="575"/>
      <c r="AH942" s="538"/>
      <c r="AK942" s="531"/>
      <c r="AM942" s="594"/>
      <c r="AN942" s="535"/>
      <c r="AP942" s="540"/>
      <c r="AQ942" s="540"/>
    </row>
    <row r="943" spans="1:43" s="564" customFormat="1" ht="16.5" hidden="1" customHeight="1" outlineLevel="1" collapsed="1">
      <c r="A943" s="584"/>
      <c r="B943" s="576" t="s">
        <v>890</v>
      </c>
      <c r="C943" s="577">
        <f>SUM(C944,C948,C952)*12/10^3</f>
        <v>66.686700000000016</v>
      </c>
      <c r="D943" s="577">
        <f t="shared" ref="D943:AF943" si="779">SUM(D944,D948,D952)*12/10^3</f>
        <v>66.686700000000016</v>
      </c>
      <c r="E943" s="577">
        <f t="shared" si="779"/>
        <v>66.686700000000016</v>
      </c>
      <c r="F943" s="577">
        <f t="shared" si="779"/>
        <v>66.686700000000016</v>
      </c>
      <c r="G943" s="577">
        <f t="shared" si="779"/>
        <v>66.686700000000016</v>
      </c>
      <c r="H943" s="577">
        <f t="shared" si="779"/>
        <v>66.686700000000016</v>
      </c>
      <c r="I943" s="577">
        <f t="shared" si="779"/>
        <v>66.686700000000016</v>
      </c>
      <c r="J943" s="577">
        <f t="shared" si="779"/>
        <v>66.686700000000016</v>
      </c>
      <c r="K943" s="577">
        <f t="shared" si="779"/>
        <v>66.686700000000016</v>
      </c>
      <c r="L943" s="577">
        <f t="shared" si="779"/>
        <v>66.686700000000016</v>
      </c>
      <c r="M943" s="577">
        <f t="shared" si="779"/>
        <v>66.686700000000016</v>
      </c>
      <c r="N943" s="577">
        <f t="shared" si="779"/>
        <v>66.686700000000016</v>
      </c>
      <c r="O943" s="577">
        <f t="shared" si="779"/>
        <v>66.686700000000016</v>
      </c>
      <c r="P943" s="577">
        <f t="shared" si="779"/>
        <v>66.686700000000016</v>
      </c>
      <c r="Q943" s="577">
        <f t="shared" si="779"/>
        <v>66.686700000000016</v>
      </c>
      <c r="R943" s="577">
        <f t="shared" si="779"/>
        <v>66.686700000000016</v>
      </c>
      <c r="S943" s="577">
        <f t="shared" si="779"/>
        <v>66.686700000000016</v>
      </c>
      <c r="T943" s="577">
        <f t="shared" si="779"/>
        <v>66.686700000000016</v>
      </c>
      <c r="U943" s="577">
        <f t="shared" si="779"/>
        <v>66.686700000000016</v>
      </c>
      <c r="V943" s="577">
        <f t="shared" si="779"/>
        <v>66.686700000000016</v>
      </c>
      <c r="W943" s="577">
        <f t="shared" si="779"/>
        <v>66.686700000000016</v>
      </c>
      <c r="X943" s="577">
        <f t="shared" si="779"/>
        <v>66.686700000000016</v>
      </c>
      <c r="Y943" s="577">
        <f t="shared" si="779"/>
        <v>66.686700000000016</v>
      </c>
      <c r="Z943" s="577">
        <f t="shared" si="779"/>
        <v>66.686700000000016</v>
      </c>
      <c r="AA943" s="577">
        <f t="shared" si="779"/>
        <v>66.686700000000016</v>
      </c>
      <c r="AB943" s="577">
        <f t="shared" si="779"/>
        <v>66.686700000000016</v>
      </c>
      <c r="AC943" s="577">
        <f t="shared" si="779"/>
        <v>66.686700000000016</v>
      </c>
      <c r="AD943" s="577">
        <f t="shared" si="779"/>
        <v>66.686700000000016</v>
      </c>
      <c r="AE943" s="577">
        <f t="shared" si="779"/>
        <v>66.686700000000016</v>
      </c>
      <c r="AF943" s="577">
        <f t="shared" si="779"/>
        <v>66.686700000000016</v>
      </c>
      <c r="AH943" s="578">
        <f>SUM(C943:AF943)</f>
        <v>2000.6009999999997</v>
      </c>
      <c r="AJ943" s="579"/>
      <c r="AK943" s="531"/>
      <c r="AM943" s="594"/>
      <c r="AN943" s="535"/>
      <c r="AP943" s="568"/>
      <c r="AQ943" s="568"/>
    </row>
    <row r="944" spans="1:43" s="546" customFormat="1" ht="16.5" hidden="1" customHeight="1" outlineLevel="2">
      <c r="A944" s="584"/>
      <c r="B944" s="569" t="s">
        <v>828</v>
      </c>
      <c r="C944" s="581">
        <f>C946*C947</f>
        <v>523.5</v>
      </c>
      <c r="D944" s="581">
        <f t="shared" ref="D944:AG944" si="780">D946*D947</f>
        <v>523.5</v>
      </c>
      <c r="E944" s="581">
        <f t="shared" si="780"/>
        <v>523.5</v>
      </c>
      <c r="F944" s="581">
        <f t="shared" si="780"/>
        <v>523.5</v>
      </c>
      <c r="G944" s="581">
        <f t="shared" si="780"/>
        <v>523.5</v>
      </c>
      <c r="H944" s="581">
        <f t="shared" si="780"/>
        <v>523.5</v>
      </c>
      <c r="I944" s="581">
        <f t="shared" si="780"/>
        <v>523.5</v>
      </c>
      <c r="J944" s="581">
        <f t="shared" si="780"/>
        <v>523.5</v>
      </c>
      <c r="K944" s="581">
        <f t="shared" si="780"/>
        <v>523.5</v>
      </c>
      <c r="L944" s="581">
        <f t="shared" si="780"/>
        <v>523.5</v>
      </c>
      <c r="M944" s="581">
        <f t="shared" si="780"/>
        <v>523.5</v>
      </c>
      <c r="N944" s="581">
        <f t="shared" si="780"/>
        <v>523.5</v>
      </c>
      <c r="O944" s="581">
        <f t="shared" si="780"/>
        <v>523.5</v>
      </c>
      <c r="P944" s="581">
        <f t="shared" si="780"/>
        <v>523.5</v>
      </c>
      <c r="Q944" s="581">
        <f t="shared" si="780"/>
        <v>523.5</v>
      </c>
      <c r="R944" s="581">
        <f t="shared" si="780"/>
        <v>523.5</v>
      </c>
      <c r="S944" s="581">
        <f t="shared" si="780"/>
        <v>523.5</v>
      </c>
      <c r="T944" s="581">
        <f t="shared" si="780"/>
        <v>523.5</v>
      </c>
      <c r="U944" s="581">
        <f t="shared" si="780"/>
        <v>523.5</v>
      </c>
      <c r="V944" s="581">
        <f t="shared" si="780"/>
        <v>523.5</v>
      </c>
      <c r="W944" s="581">
        <f t="shared" si="780"/>
        <v>523.5</v>
      </c>
      <c r="X944" s="581">
        <f t="shared" si="780"/>
        <v>523.5</v>
      </c>
      <c r="Y944" s="581">
        <f t="shared" si="780"/>
        <v>523.5</v>
      </c>
      <c r="Z944" s="581">
        <f t="shared" si="780"/>
        <v>523.5</v>
      </c>
      <c r="AA944" s="581">
        <f t="shared" si="780"/>
        <v>523.5</v>
      </c>
      <c r="AB944" s="581">
        <f t="shared" si="780"/>
        <v>523.5</v>
      </c>
      <c r="AC944" s="581">
        <f t="shared" si="780"/>
        <v>523.5</v>
      </c>
      <c r="AD944" s="581">
        <f t="shared" si="780"/>
        <v>523.5</v>
      </c>
      <c r="AE944" s="581">
        <f t="shared" si="780"/>
        <v>523.5</v>
      </c>
      <c r="AF944" s="581">
        <f t="shared" si="780"/>
        <v>523.5</v>
      </c>
      <c r="AG944" s="581">
        <f t="shared" si="780"/>
        <v>0</v>
      </c>
      <c r="AH944" s="571"/>
      <c r="AK944" s="531"/>
      <c r="AM944" s="594"/>
      <c r="AN944" s="535"/>
      <c r="AP944" s="549"/>
      <c r="AQ944" s="549"/>
    </row>
    <row r="945" spans="1:43" s="513" customFormat="1" ht="16.5" hidden="1" customHeight="1" outlineLevel="2">
      <c r="A945" s="584"/>
      <c r="B945" s="572" t="s">
        <v>967</v>
      </c>
      <c r="C945" s="592">
        <f>7.33*25.92</f>
        <v>189.99360000000001</v>
      </c>
      <c r="D945" s="592">
        <f>C945</f>
        <v>189.99360000000001</v>
      </c>
      <c r="E945" s="592">
        <f t="shared" ref="E945:AF945" si="781">D945</f>
        <v>189.99360000000001</v>
      </c>
      <c r="F945" s="592">
        <f t="shared" si="781"/>
        <v>189.99360000000001</v>
      </c>
      <c r="G945" s="592">
        <f t="shared" si="781"/>
        <v>189.99360000000001</v>
      </c>
      <c r="H945" s="592">
        <f t="shared" si="781"/>
        <v>189.99360000000001</v>
      </c>
      <c r="I945" s="592">
        <f t="shared" si="781"/>
        <v>189.99360000000001</v>
      </c>
      <c r="J945" s="592">
        <f t="shared" si="781"/>
        <v>189.99360000000001</v>
      </c>
      <c r="K945" s="592">
        <f t="shared" si="781"/>
        <v>189.99360000000001</v>
      </c>
      <c r="L945" s="592">
        <f t="shared" si="781"/>
        <v>189.99360000000001</v>
      </c>
      <c r="M945" s="592">
        <f t="shared" si="781"/>
        <v>189.99360000000001</v>
      </c>
      <c r="N945" s="592">
        <f t="shared" si="781"/>
        <v>189.99360000000001</v>
      </c>
      <c r="O945" s="592">
        <f t="shared" si="781"/>
        <v>189.99360000000001</v>
      </c>
      <c r="P945" s="592">
        <f t="shared" si="781"/>
        <v>189.99360000000001</v>
      </c>
      <c r="Q945" s="592">
        <f t="shared" si="781"/>
        <v>189.99360000000001</v>
      </c>
      <c r="R945" s="592">
        <f t="shared" si="781"/>
        <v>189.99360000000001</v>
      </c>
      <c r="S945" s="592">
        <f t="shared" si="781"/>
        <v>189.99360000000001</v>
      </c>
      <c r="T945" s="592">
        <f t="shared" si="781"/>
        <v>189.99360000000001</v>
      </c>
      <c r="U945" s="592">
        <f t="shared" si="781"/>
        <v>189.99360000000001</v>
      </c>
      <c r="V945" s="592">
        <f t="shared" si="781"/>
        <v>189.99360000000001</v>
      </c>
      <c r="W945" s="592">
        <f t="shared" si="781"/>
        <v>189.99360000000001</v>
      </c>
      <c r="X945" s="592">
        <f t="shared" si="781"/>
        <v>189.99360000000001</v>
      </c>
      <c r="Y945" s="592">
        <f t="shared" si="781"/>
        <v>189.99360000000001</v>
      </c>
      <c r="Z945" s="592">
        <f t="shared" si="781"/>
        <v>189.99360000000001</v>
      </c>
      <c r="AA945" s="592">
        <f t="shared" si="781"/>
        <v>189.99360000000001</v>
      </c>
      <c r="AB945" s="592">
        <f t="shared" si="781"/>
        <v>189.99360000000001</v>
      </c>
      <c r="AC945" s="592">
        <f t="shared" si="781"/>
        <v>189.99360000000001</v>
      </c>
      <c r="AD945" s="592">
        <f t="shared" si="781"/>
        <v>189.99360000000001</v>
      </c>
      <c r="AE945" s="592">
        <f t="shared" si="781"/>
        <v>189.99360000000001</v>
      </c>
      <c r="AF945" s="592">
        <f t="shared" si="781"/>
        <v>189.99360000000001</v>
      </c>
      <c r="AH945" s="538"/>
      <c r="AK945" s="719"/>
      <c r="AM945" s="539"/>
      <c r="AN945" s="540"/>
      <c r="AP945" s="540"/>
      <c r="AQ945" s="540"/>
    </row>
    <row r="946" spans="1:43" s="513" customFormat="1" ht="16.5" hidden="1" customHeight="1" outlineLevel="2">
      <c r="A946" s="584"/>
      <c r="B946" s="572" t="s">
        <v>805</v>
      </c>
      <c r="C946" s="573">
        <f t="shared" ref="C946:AF946" si="782">C932</f>
        <v>12</v>
      </c>
      <c r="D946" s="573">
        <f t="shared" si="782"/>
        <v>12</v>
      </c>
      <c r="E946" s="573">
        <f t="shared" si="782"/>
        <v>12</v>
      </c>
      <c r="F946" s="573">
        <f t="shared" si="782"/>
        <v>12</v>
      </c>
      <c r="G946" s="573">
        <f t="shared" si="782"/>
        <v>12</v>
      </c>
      <c r="H946" s="573">
        <f t="shared" si="782"/>
        <v>12</v>
      </c>
      <c r="I946" s="573">
        <f t="shared" si="782"/>
        <v>12</v>
      </c>
      <c r="J946" s="573">
        <f t="shared" si="782"/>
        <v>12</v>
      </c>
      <c r="K946" s="573">
        <f t="shared" si="782"/>
        <v>12</v>
      </c>
      <c r="L946" s="573">
        <f t="shared" si="782"/>
        <v>12</v>
      </c>
      <c r="M946" s="573">
        <f t="shared" si="782"/>
        <v>12</v>
      </c>
      <c r="N946" s="573">
        <f t="shared" si="782"/>
        <v>12</v>
      </c>
      <c r="O946" s="573">
        <f t="shared" si="782"/>
        <v>12</v>
      </c>
      <c r="P946" s="573">
        <f t="shared" si="782"/>
        <v>12</v>
      </c>
      <c r="Q946" s="573">
        <f t="shared" si="782"/>
        <v>12</v>
      </c>
      <c r="R946" s="573">
        <f t="shared" si="782"/>
        <v>12</v>
      </c>
      <c r="S946" s="573">
        <f t="shared" si="782"/>
        <v>12</v>
      </c>
      <c r="T946" s="573">
        <f t="shared" si="782"/>
        <v>12</v>
      </c>
      <c r="U946" s="573">
        <f t="shared" si="782"/>
        <v>12</v>
      </c>
      <c r="V946" s="573">
        <f t="shared" si="782"/>
        <v>12</v>
      </c>
      <c r="W946" s="573">
        <f t="shared" si="782"/>
        <v>12</v>
      </c>
      <c r="X946" s="573">
        <f t="shared" si="782"/>
        <v>12</v>
      </c>
      <c r="Y946" s="573">
        <f t="shared" si="782"/>
        <v>12</v>
      </c>
      <c r="Z946" s="573">
        <f t="shared" si="782"/>
        <v>12</v>
      </c>
      <c r="AA946" s="573">
        <f t="shared" si="782"/>
        <v>12</v>
      </c>
      <c r="AB946" s="573">
        <f t="shared" si="782"/>
        <v>12</v>
      </c>
      <c r="AC946" s="573">
        <f t="shared" si="782"/>
        <v>12</v>
      </c>
      <c r="AD946" s="573">
        <f t="shared" si="782"/>
        <v>12</v>
      </c>
      <c r="AE946" s="573">
        <f t="shared" si="782"/>
        <v>12</v>
      </c>
      <c r="AF946" s="573">
        <f t="shared" si="782"/>
        <v>12</v>
      </c>
      <c r="AH946" s="538"/>
      <c r="AK946" s="719"/>
      <c r="AM946" s="594"/>
      <c r="AN946" s="535"/>
      <c r="AP946" s="540"/>
      <c r="AQ946" s="540"/>
    </row>
    <row r="947" spans="1:43" s="586" customFormat="1" ht="16.5" hidden="1" customHeight="1" outlineLevel="2">
      <c r="A947" s="584"/>
      <c r="B947" s="585" t="s">
        <v>888</v>
      </c>
      <c r="C947" s="632">
        <f>CAPEX!$C$103*(0.83%+0.42%)</f>
        <v>43.625</v>
      </c>
      <c r="D947" s="632">
        <f>C947</f>
        <v>43.625</v>
      </c>
      <c r="E947" s="632">
        <f t="shared" ref="E947:AF947" si="783">D947</f>
        <v>43.625</v>
      </c>
      <c r="F947" s="632">
        <f t="shared" si="783"/>
        <v>43.625</v>
      </c>
      <c r="G947" s="632">
        <f t="shared" si="783"/>
        <v>43.625</v>
      </c>
      <c r="H947" s="632">
        <f t="shared" si="783"/>
        <v>43.625</v>
      </c>
      <c r="I947" s="632">
        <f t="shared" si="783"/>
        <v>43.625</v>
      </c>
      <c r="J947" s="632">
        <f t="shared" si="783"/>
        <v>43.625</v>
      </c>
      <c r="K947" s="632">
        <f t="shared" si="783"/>
        <v>43.625</v>
      </c>
      <c r="L947" s="632">
        <f t="shared" si="783"/>
        <v>43.625</v>
      </c>
      <c r="M947" s="632">
        <f t="shared" si="783"/>
        <v>43.625</v>
      </c>
      <c r="N947" s="632">
        <f t="shared" si="783"/>
        <v>43.625</v>
      </c>
      <c r="O947" s="632">
        <f t="shared" si="783"/>
        <v>43.625</v>
      </c>
      <c r="P947" s="632">
        <f t="shared" si="783"/>
        <v>43.625</v>
      </c>
      <c r="Q947" s="632">
        <f t="shared" si="783"/>
        <v>43.625</v>
      </c>
      <c r="R947" s="632">
        <f t="shared" si="783"/>
        <v>43.625</v>
      </c>
      <c r="S947" s="632">
        <f t="shared" si="783"/>
        <v>43.625</v>
      </c>
      <c r="T947" s="632">
        <f t="shared" si="783"/>
        <v>43.625</v>
      </c>
      <c r="U947" s="632">
        <f t="shared" si="783"/>
        <v>43.625</v>
      </c>
      <c r="V947" s="632">
        <f t="shared" si="783"/>
        <v>43.625</v>
      </c>
      <c r="W947" s="632">
        <f t="shared" si="783"/>
        <v>43.625</v>
      </c>
      <c r="X947" s="632">
        <f t="shared" si="783"/>
        <v>43.625</v>
      </c>
      <c r="Y947" s="632">
        <f t="shared" si="783"/>
        <v>43.625</v>
      </c>
      <c r="Z947" s="632">
        <f t="shared" si="783"/>
        <v>43.625</v>
      </c>
      <c r="AA947" s="632">
        <f t="shared" si="783"/>
        <v>43.625</v>
      </c>
      <c r="AB947" s="632">
        <f t="shared" si="783"/>
        <v>43.625</v>
      </c>
      <c r="AC947" s="632">
        <f t="shared" si="783"/>
        <v>43.625</v>
      </c>
      <c r="AD947" s="632">
        <f t="shared" si="783"/>
        <v>43.625</v>
      </c>
      <c r="AE947" s="632">
        <f t="shared" si="783"/>
        <v>43.625</v>
      </c>
      <c r="AF947" s="632">
        <f t="shared" si="783"/>
        <v>43.625</v>
      </c>
      <c r="AH947" s="587"/>
      <c r="AK947" s="588"/>
      <c r="AM947" s="624"/>
      <c r="AN947" s="590"/>
      <c r="AP947" s="591"/>
      <c r="AQ947" s="591"/>
    </row>
    <row r="948" spans="1:43" s="634" customFormat="1" ht="16.5" hidden="1" customHeight="1" outlineLevel="2">
      <c r="A948" s="584"/>
      <c r="B948" s="580" t="str">
        <f>B933</f>
        <v>Van Minibus</v>
      </c>
      <c r="C948" s="583">
        <f>C950*C951</f>
        <v>4998.75</v>
      </c>
      <c r="D948" s="583">
        <f>D950*D951</f>
        <v>4998.75</v>
      </c>
      <c r="E948" s="583">
        <f t="shared" ref="E948:AF948" si="784">E950*E951</f>
        <v>4998.75</v>
      </c>
      <c r="F948" s="583">
        <f t="shared" si="784"/>
        <v>4998.75</v>
      </c>
      <c r="G948" s="583">
        <f t="shared" si="784"/>
        <v>4998.75</v>
      </c>
      <c r="H948" s="583">
        <f t="shared" si="784"/>
        <v>4998.75</v>
      </c>
      <c r="I948" s="583">
        <f t="shared" si="784"/>
        <v>4998.75</v>
      </c>
      <c r="J948" s="583">
        <f t="shared" si="784"/>
        <v>4998.75</v>
      </c>
      <c r="K948" s="583">
        <f t="shared" si="784"/>
        <v>4998.75</v>
      </c>
      <c r="L948" s="583">
        <f t="shared" si="784"/>
        <v>4998.75</v>
      </c>
      <c r="M948" s="583">
        <f t="shared" si="784"/>
        <v>4998.75</v>
      </c>
      <c r="N948" s="583">
        <f t="shared" si="784"/>
        <v>4998.75</v>
      </c>
      <c r="O948" s="583">
        <f t="shared" si="784"/>
        <v>4998.75</v>
      </c>
      <c r="P948" s="583">
        <f t="shared" si="784"/>
        <v>4998.75</v>
      </c>
      <c r="Q948" s="583">
        <f t="shared" si="784"/>
        <v>4998.75</v>
      </c>
      <c r="R948" s="583">
        <f t="shared" si="784"/>
        <v>4998.75</v>
      </c>
      <c r="S948" s="583">
        <f t="shared" si="784"/>
        <v>4998.75</v>
      </c>
      <c r="T948" s="583">
        <f t="shared" si="784"/>
        <v>4998.75</v>
      </c>
      <c r="U948" s="583">
        <f t="shared" si="784"/>
        <v>4998.75</v>
      </c>
      <c r="V948" s="583">
        <f t="shared" si="784"/>
        <v>4998.75</v>
      </c>
      <c r="W948" s="583">
        <f t="shared" si="784"/>
        <v>4998.75</v>
      </c>
      <c r="X948" s="583">
        <f t="shared" si="784"/>
        <v>4998.75</v>
      </c>
      <c r="Y948" s="583">
        <f t="shared" si="784"/>
        <v>4998.75</v>
      </c>
      <c r="Z948" s="583">
        <f t="shared" si="784"/>
        <v>4998.75</v>
      </c>
      <c r="AA948" s="583">
        <f t="shared" si="784"/>
        <v>4998.75</v>
      </c>
      <c r="AB948" s="583">
        <f t="shared" si="784"/>
        <v>4998.75</v>
      </c>
      <c r="AC948" s="583">
        <f t="shared" si="784"/>
        <v>4998.75</v>
      </c>
      <c r="AD948" s="583">
        <f t="shared" si="784"/>
        <v>4998.75</v>
      </c>
      <c r="AE948" s="583">
        <f t="shared" si="784"/>
        <v>4998.75</v>
      </c>
      <c r="AF948" s="583">
        <f t="shared" si="784"/>
        <v>4998.75</v>
      </c>
      <c r="AH948" s="635"/>
      <c r="AK948" s="588"/>
      <c r="AM948" s="624"/>
      <c r="AN948" s="590"/>
      <c r="AP948" s="636"/>
      <c r="AQ948" s="636"/>
    </row>
    <row r="949" spans="1:43" s="586" customFormat="1" ht="16.5" hidden="1" customHeight="1" outlineLevel="2">
      <c r="A949" s="584"/>
      <c r="B949" s="585" t="s">
        <v>891</v>
      </c>
      <c r="C949" s="632">
        <f>20*1*25.17</f>
        <v>503.40000000000003</v>
      </c>
      <c r="D949" s="632">
        <f>C949</f>
        <v>503.40000000000003</v>
      </c>
      <c r="E949" s="632">
        <f t="shared" ref="E949:AF949" si="785">D949</f>
        <v>503.40000000000003</v>
      </c>
      <c r="F949" s="632">
        <f t="shared" si="785"/>
        <v>503.40000000000003</v>
      </c>
      <c r="G949" s="632">
        <f t="shared" si="785"/>
        <v>503.40000000000003</v>
      </c>
      <c r="H949" s="632">
        <f t="shared" si="785"/>
        <v>503.40000000000003</v>
      </c>
      <c r="I949" s="632">
        <f t="shared" si="785"/>
        <v>503.40000000000003</v>
      </c>
      <c r="J949" s="632">
        <f t="shared" si="785"/>
        <v>503.40000000000003</v>
      </c>
      <c r="K949" s="632">
        <f t="shared" si="785"/>
        <v>503.40000000000003</v>
      </c>
      <c r="L949" s="632">
        <f t="shared" si="785"/>
        <v>503.40000000000003</v>
      </c>
      <c r="M949" s="632">
        <f t="shared" si="785"/>
        <v>503.40000000000003</v>
      </c>
      <c r="N949" s="632">
        <f t="shared" si="785"/>
        <v>503.40000000000003</v>
      </c>
      <c r="O949" s="632">
        <f t="shared" si="785"/>
        <v>503.40000000000003</v>
      </c>
      <c r="P949" s="632">
        <f t="shared" si="785"/>
        <v>503.40000000000003</v>
      </c>
      <c r="Q949" s="632">
        <f t="shared" si="785"/>
        <v>503.40000000000003</v>
      </c>
      <c r="R949" s="632">
        <f t="shared" si="785"/>
        <v>503.40000000000003</v>
      </c>
      <c r="S949" s="632">
        <f t="shared" si="785"/>
        <v>503.40000000000003</v>
      </c>
      <c r="T949" s="632">
        <f t="shared" si="785"/>
        <v>503.40000000000003</v>
      </c>
      <c r="U949" s="632">
        <f t="shared" si="785"/>
        <v>503.40000000000003</v>
      </c>
      <c r="V949" s="632">
        <f t="shared" si="785"/>
        <v>503.40000000000003</v>
      </c>
      <c r="W949" s="632">
        <f t="shared" si="785"/>
        <v>503.40000000000003</v>
      </c>
      <c r="X949" s="632">
        <f t="shared" si="785"/>
        <v>503.40000000000003</v>
      </c>
      <c r="Y949" s="632">
        <f t="shared" si="785"/>
        <v>503.40000000000003</v>
      </c>
      <c r="Z949" s="632">
        <f t="shared" si="785"/>
        <v>503.40000000000003</v>
      </c>
      <c r="AA949" s="632">
        <f t="shared" si="785"/>
        <v>503.40000000000003</v>
      </c>
      <c r="AB949" s="632">
        <f t="shared" si="785"/>
        <v>503.40000000000003</v>
      </c>
      <c r="AC949" s="632">
        <f t="shared" si="785"/>
        <v>503.40000000000003</v>
      </c>
      <c r="AD949" s="632">
        <f t="shared" si="785"/>
        <v>503.40000000000003</v>
      </c>
      <c r="AE949" s="632">
        <f t="shared" si="785"/>
        <v>503.40000000000003</v>
      </c>
      <c r="AF949" s="632">
        <f t="shared" si="785"/>
        <v>503.40000000000003</v>
      </c>
      <c r="AH949" s="587"/>
      <c r="AK949" s="588"/>
      <c r="AM949" s="624"/>
      <c r="AN949" s="590"/>
      <c r="AP949" s="591"/>
      <c r="AQ949" s="591"/>
    </row>
    <row r="950" spans="1:43" s="513" customFormat="1" ht="16.5" hidden="1" customHeight="1" outlineLevel="2">
      <c r="A950" s="584"/>
      <c r="B950" s="572" t="s">
        <v>805</v>
      </c>
      <c r="C950" s="573">
        <f t="shared" ref="C950:AF950" si="786">C933</f>
        <v>1</v>
      </c>
      <c r="D950" s="573">
        <f t="shared" si="786"/>
        <v>1</v>
      </c>
      <c r="E950" s="573">
        <f t="shared" si="786"/>
        <v>1</v>
      </c>
      <c r="F950" s="573">
        <f t="shared" si="786"/>
        <v>1</v>
      </c>
      <c r="G950" s="573">
        <f t="shared" si="786"/>
        <v>1</v>
      </c>
      <c r="H950" s="573">
        <f t="shared" si="786"/>
        <v>1</v>
      </c>
      <c r="I950" s="573">
        <f t="shared" si="786"/>
        <v>1</v>
      </c>
      <c r="J950" s="573">
        <f t="shared" si="786"/>
        <v>1</v>
      </c>
      <c r="K950" s="573">
        <f t="shared" si="786"/>
        <v>1</v>
      </c>
      <c r="L950" s="573">
        <f t="shared" si="786"/>
        <v>1</v>
      </c>
      <c r="M950" s="573">
        <f t="shared" si="786"/>
        <v>1</v>
      </c>
      <c r="N950" s="573">
        <f t="shared" si="786"/>
        <v>1</v>
      </c>
      <c r="O950" s="573">
        <f t="shared" si="786"/>
        <v>1</v>
      </c>
      <c r="P950" s="573">
        <f t="shared" si="786"/>
        <v>1</v>
      </c>
      <c r="Q950" s="573">
        <f t="shared" si="786"/>
        <v>1</v>
      </c>
      <c r="R950" s="573">
        <f t="shared" si="786"/>
        <v>1</v>
      </c>
      <c r="S950" s="573">
        <f t="shared" si="786"/>
        <v>1</v>
      </c>
      <c r="T950" s="573">
        <f t="shared" si="786"/>
        <v>1</v>
      </c>
      <c r="U950" s="573">
        <f t="shared" si="786"/>
        <v>1</v>
      </c>
      <c r="V950" s="573">
        <f t="shared" si="786"/>
        <v>1</v>
      </c>
      <c r="W950" s="573">
        <f t="shared" si="786"/>
        <v>1</v>
      </c>
      <c r="X950" s="573">
        <f t="shared" si="786"/>
        <v>1</v>
      </c>
      <c r="Y950" s="573">
        <f t="shared" si="786"/>
        <v>1</v>
      </c>
      <c r="Z950" s="573">
        <f t="shared" si="786"/>
        <v>1</v>
      </c>
      <c r="AA950" s="573">
        <f t="shared" si="786"/>
        <v>1</v>
      </c>
      <c r="AB950" s="573">
        <f t="shared" si="786"/>
        <v>1</v>
      </c>
      <c r="AC950" s="573">
        <f t="shared" si="786"/>
        <v>1</v>
      </c>
      <c r="AD950" s="573">
        <f t="shared" si="786"/>
        <v>1</v>
      </c>
      <c r="AE950" s="573">
        <f t="shared" si="786"/>
        <v>1</v>
      </c>
      <c r="AF950" s="573">
        <f t="shared" si="786"/>
        <v>1</v>
      </c>
      <c r="AH950" s="538"/>
      <c r="AK950" s="719"/>
      <c r="AM950" s="594"/>
      <c r="AN950" s="535"/>
      <c r="AP950" s="540"/>
      <c r="AQ950" s="540"/>
    </row>
    <row r="951" spans="1:43" s="586" customFormat="1" ht="16.5" hidden="1" customHeight="1" outlineLevel="2">
      <c r="A951" s="584"/>
      <c r="B951" s="585" t="s">
        <v>888</v>
      </c>
      <c r="C951" s="632">
        <f>CAPEX!$C$96*(0.83%+0.42%)</f>
        <v>4998.75</v>
      </c>
      <c r="D951" s="632">
        <f>C951</f>
        <v>4998.75</v>
      </c>
      <c r="E951" s="632">
        <f t="shared" ref="E951:AF951" si="787">D951</f>
        <v>4998.75</v>
      </c>
      <c r="F951" s="632">
        <f t="shared" si="787"/>
        <v>4998.75</v>
      </c>
      <c r="G951" s="632">
        <f t="shared" si="787"/>
        <v>4998.75</v>
      </c>
      <c r="H951" s="632">
        <f t="shared" si="787"/>
        <v>4998.75</v>
      </c>
      <c r="I951" s="632">
        <f t="shared" si="787"/>
        <v>4998.75</v>
      </c>
      <c r="J951" s="632">
        <f t="shared" si="787"/>
        <v>4998.75</v>
      </c>
      <c r="K951" s="632">
        <f t="shared" si="787"/>
        <v>4998.75</v>
      </c>
      <c r="L951" s="632">
        <f t="shared" si="787"/>
        <v>4998.75</v>
      </c>
      <c r="M951" s="632">
        <f t="shared" si="787"/>
        <v>4998.75</v>
      </c>
      <c r="N951" s="632">
        <f t="shared" si="787"/>
        <v>4998.75</v>
      </c>
      <c r="O951" s="632">
        <f t="shared" si="787"/>
        <v>4998.75</v>
      </c>
      <c r="P951" s="632">
        <f t="shared" si="787"/>
        <v>4998.75</v>
      </c>
      <c r="Q951" s="632">
        <f t="shared" si="787"/>
        <v>4998.75</v>
      </c>
      <c r="R951" s="632">
        <f t="shared" si="787"/>
        <v>4998.75</v>
      </c>
      <c r="S951" s="632">
        <f t="shared" si="787"/>
        <v>4998.75</v>
      </c>
      <c r="T951" s="632">
        <f t="shared" si="787"/>
        <v>4998.75</v>
      </c>
      <c r="U951" s="632">
        <f t="shared" si="787"/>
        <v>4998.75</v>
      </c>
      <c r="V951" s="632">
        <f t="shared" si="787"/>
        <v>4998.75</v>
      </c>
      <c r="W951" s="632">
        <f t="shared" si="787"/>
        <v>4998.75</v>
      </c>
      <c r="X951" s="632">
        <f t="shared" si="787"/>
        <v>4998.75</v>
      </c>
      <c r="Y951" s="632">
        <f t="shared" si="787"/>
        <v>4998.75</v>
      </c>
      <c r="Z951" s="632">
        <f t="shared" si="787"/>
        <v>4998.75</v>
      </c>
      <c r="AA951" s="632">
        <f t="shared" si="787"/>
        <v>4998.75</v>
      </c>
      <c r="AB951" s="632">
        <f t="shared" si="787"/>
        <v>4998.75</v>
      </c>
      <c r="AC951" s="632">
        <f t="shared" si="787"/>
        <v>4998.75</v>
      </c>
      <c r="AD951" s="632">
        <f t="shared" si="787"/>
        <v>4998.75</v>
      </c>
      <c r="AE951" s="632">
        <f t="shared" si="787"/>
        <v>4998.75</v>
      </c>
      <c r="AF951" s="632">
        <f t="shared" si="787"/>
        <v>4998.75</v>
      </c>
      <c r="AH951" s="587"/>
      <c r="AK951" s="588"/>
      <c r="AM951" s="624"/>
      <c r="AN951" s="590"/>
      <c r="AP951" s="591"/>
      <c r="AQ951" s="591"/>
    </row>
    <row r="952" spans="1:43" s="634" customFormat="1" ht="16.5" hidden="1" customHeight="1" outlineLevel="2">
      <c r="A952" s="584"/>
      <c r="B952" s="580" t="s">
        <v>829</v>
      </c>
      <c r="C952" s="583">
        <f>C954*C955</f>
        <v>34.975000000000001</v>
      </c>
      <c r="D952" s="583">
        <f t="shared" ref="D952:AF952" si="788">D954*D955</f>
        <v>34.975000000000001</v>
      </c>
      <c r="E952" s="583">
        <f t="shared" si="788"/>
        <v>34.975000000000001</v>
      </c>
      <c r="F952" s="583">
        <f t="shared" si="788"/>
        <v>34.975000000000001</v>
      </c>
      <c r="G952" s="583">
        <f t="shared" si="788"/>
        <v>34.975000000000001</v>
      </c>
      <c r="H952" s="583">
        <f t="shared" si="788"/>
        <v>34.975000000000001</v>
      </c>
      <c r="I952" s="583">
        <f t="shared" si="788"/>
        <v>34.975000000000001</v>
      </c>
      <c r="J952" s="583">
        <f t="shared" si="788"/>
        <v>34.975000000000001</v>
      </c>
      <c r="K952" s="583">
        <f t="shared" si="788"/>
        <v>34.975000000000001</v>
      </c>
      <c r="L952" s="583">
        <f t="shared" si="788"/>
        <v>34.975000000000001</v>
      </c>
      <c r="M952" s="583">
        <f t="shared" si="788"/>
        <v>34.975000000000001</v>
      </c>
      <c r="N952" s="583">
        <f t="shared" si="788"/>
        <v>34.975000000000001</v>
      </c>
      <c r="O952" s="583">
        <f t="shared" si="788"/>
        <v>34.975000000000001</v>
      </c>
      <c r="P952" s="583">
        <f t="shared" si="788"/>
        <v>34.975000000000001</v>
      </c>
      <c r="Q952" s="583">
        <f t="shared" si="788"/>
        <v>34.975000000000001</v>
      </c>
      <c r="R952" s="583">
        <f t="shared" si="788"/>
        <v>34.975000000000001</v>
      </c>
      <c r="S952" s="583">
        <f t="shared" si="788"/>
        <v>34.975000000000001</v>
      </c>
      <c r="T952" s="583">
        <f t="shared" si="788"/>
        <v>34.975000000000001</v>
      </c>
      <c r="U952" s="583">
        <f t="shared" si="788"/>
        <v>34.975000000000001</v>
      </c>
      <c r="V952" s="583">
        <f t="shared" si="788"/>
        <v>34.975000000000001</v>
      </c>
      <c r="W952" s="583">
        <f t="shared" si="788"/>
        <v>34.975000000000001</v>
      </c>
      <c r="X952" s="583">
        <f t="shared" si="788"/>
        <v>34.975000000000001</v>
      </c>
      <c r="Y952" s="583">
        <f t="shared" si="788"/>
        <v>34.975000000000001</v>
      </c>
      <c r="Z952" s="583">
        <f t="shared" si="788"/>
        <v>34.975000000000001</v>
      </c>
      <c r="AA952" s="583">
        <f t="shared" si="788"/>
        <v>34.975000000000001</v>
      </c>
      <c r="AB952" s="583">
        <f t="shared" si="788"/>
        <v>34.975000000000001</v>
      </c>
      <c r="AC952" s="583">
        <f t="shared" si="788"/>
        <v>34.975000000000001</v>
      </c>
      <c r="AD952" s="583">
        <f t="shared" si="788"/>
        <v>34.975000000000001</v>
      </c>
      <c r="AE952" s="583">
        <f t="shared" si="788"/>
        <v>34.975000000000001</v>
      </c>
      <c r="AF952" s="583">
        <f t="shared" si="788"/>
        <v>34.975000000000001</v>
      </c>
      <c r="AH952" s="635"/>
      <c r="AK952" s="588"/>
      <c r="AM952" s="624"/>
      <c r="AN952" s="590"/>
      <c r="AP952" s="636"/>
      <c r="AQ952" s="636"/>
    </row>
    <row r="953" spans="1:43" s="513" customFormat="1" ht="16.5" hidden="1" customHeight="1" outlineLevel="2">
      <c r="A953" s="584"/>
      <c r="B953" s="572" t="s">
        <v>967</v>
      </c>
      <c r="C953" s="574">
        <f>C945</f>
        <v>189.99360000000001</v>
      </c>
      <c r="D953" s="574">
        <f>C953</f>
        <v>189.99360000000001</v>
      </c>
      <c r="E953" s="574">
        <f t="shared" ref="E953:T955" si="789">D953</f>
        <v>189.99360000000001</v>
      </c>
      <c r="F953" s="574">
        <f t="shared" si="789"/>
        <v>189.99360000000001</v>
      </c>
      <c r="G953" s="574">
        <f t="shared" si="789"/>
        <v>189.99360000000001</v>
      </c>
      <c r="H953" s="574">
        <f t="shared" si="789"/>
        <v>189.99360000000001</v>
      </c>
      <c r="I953" s="574">
        <f t="shared" si="789"/>
        <v>189.99360000000001</v>
      </c>
      <c r="J953" s="574">
        <f t="shared" si="789"/>
        <v>189.99360000000001</v>
      </c>
      <c r="K953" s="574">
        <f t="shared" si="789"/>
        <v>189.99360000000001</v>
      </c>
      <c r="L953" s="574">
        <f t="shared" si="789"/>
        <v>189.99360000000001</v>
      </c>
      <c r="M953" s="574">
        <f t="shared" si="789"/>
        <v>189.99360000000001</v>
      </c>
      <c r="N953" s="574">
        <f t="shared" si="789"/>
        <v>189.99360000000001</v>
      </c>
      <c r="O953" s="574">
        <f t="shared" si="789"/>
        <v>189.99360000000001</v>
      </c>
      <c r="P953" s="574">
        <f t="shared" si="789"/>
        <v>189.99360000000001</v>
      </c>
      <c r="Q953" s="574">
        <f t="shared" si="789"/>
        <v>189.99360000000001</v>
      </c>
      <c r="R953" s="574">
        <f t="shared" si="789"/>
        <v>189.99360000000001</v>
      </c>
      <c r="S953" s="574">
        <f t="shared" si="789"/>
        <v>189.99360000000001</v>
      </c>
      <c r="T953" s="574">
        <f t="shared" si="789"/>
        <v>189.99360000000001</v>
      </c>
      <c r="U953" s="574">
        <f t="shared" ref="U953:AF955" si="790">T953</f>
        <v>189.99360000000001</v>
      </c>
      <c r="V953" s="574">
        <f t="shared" si="790"/>
        <v>189.99360000000001</v>
      </c>
      <c r="W953" s="574">
        <f t="shared" si="790"/>
        <v>189.99360000000001</v>
      </c>
      <c r="X953" s="574">
        <f t="shared" si="790"/>
        <v>189.99360000000001</v>
      </c>
      <c r="Y953" s="574">
        <f t="shared" si="790"/>
        <v>189.99360000000001</v>
      </c>
      <c r="Z953" s="574">
        <f t="shared" si="790"/>
        <v>189.99360000000001</v>
      </c>
      <c r="AA953" s="574">
        <f t="shared" si="790"/>
        <v>189.99360000000001</v>
      </c>
      <c r="AB953" s="574">
        <f t="shared" si="790"/>
        <v>189.99360000000001</v>
      </c>
      <c r="AC953" s="574">
        <f t="shared" si="790"/>
        <v>189.99360000000001</v>
      </c>
      <c r="AD953" s="574">
        <f t="shared" si="790"/>
        <v>189.99360000000001</v>
      </c>
      <c r="AE953" s="574">
        <f t="shared" si="790"/>
        <v>189.99360000000001</v>
      </c>
      <c r="AF953" s="574">
        <f t="shared" si="790"/>
        <v>189.99360000000001</v>
      </c>
      <c r="AH953" s="538"/>
      <c r="AK953" s="531"/>
      <c r="AM953" s="594"/>
      <c r="AN953" s="535"/>
      <c r="AP953" s="540"/>
      <c r="AQ953" s="540"/>
    </row>
    <row r="954" spans="1:43" s="513" customFormat="1" ht="16.5" hidden="1" customHeight="1" outlineLevel="2">
      <c r="A954" s="584"/>
      <c r="B954" s="572" t="s">
        <v>805</v>
      </c>
      <c r="C954" s="573">
        <f>C935</f>
        <v>2</v>
      </c>
      <c r="D954" s="573">
        <f>D935</f>
        <v>2</v>
      </c>
      <c r="E954" s="573">
        <f t="shared" si="789"/>
        <v>2</v>
      </c>
      <c r="F954" s="573">
        <f t="shared" si="789"/>
        <v>2</v>
      </c>
      <c r="G954" s="573">
        <f t="shared" si="789"/>
        <v>2</v>
      </c>
      <c r="H954" s="573">
        <f t="shared" si="789"/>
        <v>2</v>
      </c>
      <c r="I954" s="573">
        <f t="shared" si="789"/>
        <v>2</v>
      </c>
      <c r="J954" s="573">
        <f t="shared" si="789"/>
        <v>2</v>
      </c>
      <c r="K954" s="573">
        <f t="shared" si="789"/>
        <v>2</v>
      </c>
      <c r="L954" s="573">
        <f t="shared" si="789"/>
        <v>2</v>
      </c>
      <c r="M954" s="573">
        <f t="shared" si="789"/>
        <v>2</v>
      </c>
      <c r="N954" s="573">
        <f t="shared" si="789"/>
        <v>2</v>
      </c>
      <c r="O954" s="573">
        <f t="shared" si="789"/>
        <v>2</v>
      </c>
      <c r="P954" s="573">
        <f t="shared" si="789"/>
        <v>2</v>
      </c>
      <c r="Q954" s="573">
        <f t="shared" si="789"/>
        <v>2</v>
      </c>
      <c r="R954" s="573">
        <f t="shared" si="789"/>
        <v>2</v>
      </c>
      <c r="S954" s="573">
        <f t="shared" si="789"/>
        <v>2</v>
      </c>
      <c r="T954" s="573">
        <f t="shared" si="789"/>
        <v>2</v>
      </c>
      <c r="U954" s="573">
        <f t="shared" si="790"/>
        <v>2</v>
      </c>
      <c r="V954" s="573">
        <f t="shared" si="790"/>
        <v>2</v>
      </c>
      <c r="W954" s="573">
        <f t="shared" si="790"/>
        <v>2</v>
      </c>
      <c r="X954" s="573">
        <f t="shared" si="790"/>
        <v>2</v>
      </c>
      <c r="Y954" s="573">
        <f t="shared" si="790"/>
        <v>2</v>
      </c>
      <c r="Z954" s="573">
        <f t="shared" si="790"/>
        <v>2</v>
      </c>
      <c r="AA954" s="573">
        <f t="shared" si="790"/>
        <v>2</v>
      </c>
      <c r="AB954" s="573">
        <f t="shared" si="790"/>
        <v>2</v>
      </c>
      <c r="AC954" s="573">
        <f t="shared" si="790"/>
        <v>2</v>
      </c>
      <c r="AD954" s="573">
        <f t="shared" si="790"/>
        <v>2</v>
      </c>
      <c r="AE954" s="573">
        <f t="shared" si="790"/>
        <v>2</v>
      </c>
      <c r="AF954" s="573">
        <f t="shared" si="790"/>
        <v>2</v>
      </c>
      <c r="AH954" s="538"/>
      <c r="AK954" s="719"/>
      <c r="AM954" s="594"/>
      <c r="AN954" s="535"/>
      <c r="AP954" s="540"/>
      <c r="AQ954" s="540"/>
    </row>
    <row r="955" spans="1:43" s="586" customFormat="1" ht="16.5" hidden="1" customHeight="1" outlineLevel="2">
      <c r="A955" s="584"/>
      <c r="B955" s="585" t="s">
        <v>888</v>
      </c>
      <c r="C955" s="632">
        <f>CAPEX!$C$106*(0.83%+0.42%)</f>
        <v>17.487500000000001</v>
      </c>
      <c r="D955" s="632">
        <f>C955</f>
        <v>17.487500000000001</v>
      </c>
      <c r="E955" s="632">
        <f t="shared" si="789"/>
        <v>17.487500000000001</v>
      </c>
      <c r="F955" s="632">
        <f t="shared" si="789"/>
        <v>17.487500000000001</v>
      </c>
      <c r="G955" s="632">
        <f t="shared" si="789"/>
        <v>17.487500000000001</v>
      </c>
      <c r="H955" s="632">
        <f t="shared" si="789"/>
        <v>17.487500000000001</v>
      </c>
      <c r="I955" s="632">
        <f t="shared" si="789"/>
        <v>17.487500000000001</v>
      </c>
      <c r="J955" s="632">
        <f t="shared" si="789"/>
        <v>17.487500000000001</v>
      </c>
      <c r="K955" s="632">
        <f t="shared" si="789"/>
        <v>17.487500000000001</v>
      </c>
      <c r="L955" s="632">
        <f t="shared" si="789"/>
        <v>17.487500000000001</v>
      </c>
      <c r="M955" s="632">
        <f t="shared" si="789"/>
        <v>17.487500000000001</v>
      </c>
      <c r="N955" s="632">
        <f t="shared" si="789"/>
        <v>17.487500000000001</v>
      </c>
      <c r="O955" s="632">
        <f t="shared" si="789"/>
        <v>17.487500000000001</v>
      </c>
      <c r="P955" s="632">
        <f t="shared" si="789"/>
        <v>17.487500000000001</v>
      </c>
      <c r="Q955" s="632">
        <f t="shared" si="789"/>
        <v>17.487500000000001</v>
      </c>
      <c r="R955" s="632">
        <f t="shared" si="789"/>
        <v>17.487500000000001</v>
      </c>
      <c r="S955" s="632">
        <f t="shared" si="789"/>
        <v>17.487500000000001</v>
      </c>
      <c r="T955" s="632">
        <f t="shared" si="789"/>
        <v>17.487500000000001</v>
      </c>
      <c r="U955" s="632">
        <f t="shared" si="790"/>
        <v>17.487500000000001</v>
      </c>
      <c r="V955" s="632">
        <f t="shared" si="790"/>
        <v>17.487500000000001</v>
      </c>
      <c r="W955" s="632">
        <f t="shared" si="790"/>
        <v>17.487500000000001</v>
      </c>
      <c r="X955" s="632">
        <f t="shared" si="790"/>
        <v>17.487500000000001</v>
      </c>
      <c r="Y955" s="632">
        <f t="shared" si="790"/>
        <v>17.487500000000001</v>
      </c>
      <c r="Z955" s="632">
        <f t="shared" si="790"/>
        <v>17.487500000000001</v>
      </c>
      <c r="AA955" s="632">
        <f t="shared" si="790"/>
        <v>17.487500000000001</v>
      </c>
      <c r="AB955" s="632">
        <f t="shared" si="790"/>
        <v>17.487500000000001</v>
      </c>
      <c r="AC955" s="632">
        <f t="shared" si="790"/>
        <v>17.487500000000001</v>
      </c>
      <c r="AD955" s="632">
        <f t="shared" si="790"/>
        <v>17.487500000000001</v>
      </c>
      <c r="AE955" s="632">
        <f t="shared" si="790"/>
        <v>17.487500000000001</v>
      </c>
      <c r="AF955" s="632">
        <f t="shared" si="790"/>
        <v>17.487500000000001</v>
      </c>
      <c r="AH955" s="587"/>
      <c r="AK955" s="588"/>
      <c r="AM955" s="624"/>
      <c r="AN955" s="590"/>
      <c r="AP955" s="591"/>
      <c r="AQ955" s="591"/>
    </row>
    <row r="956" spans="1:43" s="564" customFormat="1" ht="16.5" hidden="1" customHeight="1" outlineLevel="1" collapsed="1">
      <c r="A956" s="584"/>
      <c r="B956" s="576" t="s">
        <v>894</v>
      </c>
      <c r="C956" s="577">
        <f>SUM(C957,C962,C967,C972)*12/10^3</f>
        <v>220.38287597365979</v>
      </c>
      <c r="D956" s="577">
        <f t="shared" ref="D956:AF956" si="791">SUM(D957,D962,D967,D972)*12/10^3</f>
        <v>220.38287597365979</v>
      </c>
      <c r="E956" s="577">
        <f t="shared" si="791"/>
        <v>220.38287597365979</v>
      </c>
      <c r="F956" s="577">
        <f t="shared" si="791"/>
        <v>220.38287597365979</v>
      </c>
      <c r="G956" s="577">
        <f t="shared" si="791"/>
        <v>220.38287597365979</v>
      </c>
      <c r="H956" s="577">
        <f t="shared" si="791"/>
        <v>220.38287597365979</v>
      </c>
      <c r="I956" s="577">
        <f t="shared" si="791"/>
        <v>220.38287597365979</v>
      </c>
      <c r="J956" s="577">
        <f t="shared" si="791"/>
        <v>220.38287597365979</v>
      </c>
      <c r="K956" s="577">
        <f t="shared" si="791"/>
        <v>220.38287597365979</v>
      </c>
      <c r="L956" s="577">
        <f t="shared" si="791"/>
        <v>220.38287597365979</v>
      </c>
      <c r="M956" s="577">
        <f t="shared" si="791"/>
        <v>220.38287597365979</v>
      </c>
      <c r="N956" s="577">
        <f t="shared" si="791"/>
        <v>220.38287597365979</v>
      </c>
      <c r="O956" s="577">
        <f t="shared" si="791"/>
        <v>220.38287597365979</v>
      </c>
      <c r="P956" s="577">
        <f t="shared" si="791"/>
        <v>220.38287597365979</v>
      </c>
      <c r="Q956" s="577">
        <f t="shared" si="791"/>
        <v>220.38287597365979</v>
      </c>
      <c r="R956" s="577">
        <f t="shared" si="791"/>
        <v>220.38287597365979</v>
      </c>
      <c r="S956" s="577">
        <f t="shared" si="791"/>
        <v>220.38287597365979</v>
      </c>
      <c r="T956" s="577">
        <f t="shared" si="791"/>
        <v>220.38287597365979</v>
      </c>
      <c r="U956" s="577">
        <f t="shared" si="791"/>
        <v>220.38287597365979</v>
      </c>
      <c r="V956" s="577">
        <f t="shared" si="791"/>
        <v>220.38287597365979</v>
      </c>
      <c r="W956" s="577">
        <f t="shared" si="791"/>
        <v>220.38287597365979</v>
      </c>
      <c r="X956" s="577">
        <f t="shared" si="791"/>
        <v>220.38287597365979</v>
      </c>
      <c r="Y956" s="577">
        <f t="shared" si="791"/>
        <v>220.38287597365979</v>
      </c>
      <c r="Z956" s="577">
        <f t="shared" si="791"/>
        <v>220.38287597365979</v>
      </c>
      <c r="AA956" s="577">
        <f t="shared" si="791"/>
        <v>220.38287597365979</v>
      </c>
      <c r="AB956" s="577">
        <f t="shared" si="791"/>
        <v>220.38287597365979</v>
      </c>
      <c r="AC956" s="577">
        <f t="shared" si="791"/>
        <v>220.38287597365979</v>
      </c>
      <c r="AD956" s="577">
        <f t="shared" si="791"/>
        <v>220.38287597365979</v>
      </c>
      <c r="AE956" s="577">
        <f t="shared" si="791"/>
        <v>220.38287597365979</v>
      </c>
      <c r="AF956" s="577">
        <f t="shared" si="791"/>
        <v>220.38287597365979</v>
      </c>
      <c r="AH956" s="578">
        <f>SUM(C956:AF956)</f>
        <v>6611.4862792097938</v>
      </c>
      <c r="AJ956" s="579"/>
      <c r="AK956" s="531"/>
      <c r="AM956" s="594"/>
      <c r="AN956" s="535"/>
      <c r="AP956" s="568"/>
      <c r="AQ956" s="568"/>
    </row>
    <row r="957" spans="1:43" s="546" customFormat="1" ht="16.5" hidden="1" customHeight="1" outlineLevel="2">
      <c r="A957" s="584"/>
      <c r="B957" s="569" t="s">
        <v>828</v>
      </c>
      <c r="C957" s="581">
        <f>C958*C959*C960*C961</f>
        <v>13706.98272</v>
      </c>
      <c r="D957" s="581">
        <f t="shared" ref="D957:AF957" si="792">D958*D959*D960*D961</f>
        <v>13706.98272</v>
      </c>
      <c r="E957" s="581">
        <f t="shared" si="792"/>
        <v>13706.98272</v>
      </c>
      <c r="F957" s="581">
        <f t="shared" si="792"/>
        <v>13706.98272</v>
      </c>
      <c r="G957" s="581">
        <f t="shared" si="792"/>
        <v>13706.98272</v>
      </c>
      <c r="H957" s="581">
        <f t="shared" si="792"/>
        <v>13706.98272</v>
      </c>
      <c r="I957" s="581">
        <f t="shared" si="792"/>
        <v>13706.98272</v>
      </c>
      <c r="J957" s="581">
        <f t="shared" si="792"/>
        <v>13706.98272</v>
      </c>
      <c r="K957" s="581">
        <f t="shared" si="792"/>
        <v>13706.98272</v>
      </c>
      <c r="L957" s="581">
        <f t="shared" si="792"/>
        <v>13706.98272</v>
      </c>
      <c r="M957" s="581">
        <f t="shared" si="792"/>
        <v>13706.98272</v>
      </c>
      <c r="N957" s="581">
        <f t="shared" si="792"/>
        <v>13706.98272</v>
      </c>
      <c r="O957" s="581">
        <f t="shared" si="792"/>
        <v>13706.98272</v>
      </c>
      <c r="P957" s="581">
        <f t="shared" si="792"/>
        <v>13706.98272</v>
      </c>
      <c r="Q957" s="581">
        <f t="shared" si="792"/>
        <v>13706.98272</v>
      </c>
      <c r="R957" s="581">
        <f t="shared" si="792"/>
        <v>13706.98272</v>
      </c>
      <c r="S957" s="581">
        <f t="shared" si="792"/>
        <v>13706.98272</v>
      </c>
      <c r="T957" s="581">
        <f t="shared" si="792"/>
        <v>13706.98272</v>
      </c>
      <c r="U957" s="581">
        <f t="shared" si="792"/>
        <v>13706.98272</v>
      </c>
      <c r="V957" s="581">
        <f t="shared" si="792"/>
        <v>13706.98272</v>
      </c>
      <c r="W957" s="581">
        <f t="shared" si="792"/>
        <v>13706.98272</v>
      </c>
      <c r="X957" s="581">
        <f t="shared" si="792"/>
        <v>13706.98272</v>
      </c>
      <c r="Y957" s="581">
        <f t="shared" si="792"/>
        <v>13706.98272</v>
      </c>
      <c r="Z957" s="581">
        <f t="shared" si="792"/>
        <v>13706.98272</v>
      </c>
      <c r="AA957" s="581">
        <f t="shared" si="792"/>
        <v>13706.98272</v>
      </c>
      <c r="AB957" s="581">
        <f t="shared" si="792"/>
        <v>13706.98272</v>
      </c>
      <c r="AC957" s="581">
        <f t="shared" si="792"/>
        <v>13706.98272</v>
      </c>
      <c r="AD957" s="581">
        <f t="shared" si="792"/>
        <v>13706.98272</v>
      </c>
      <c r="AE957" s="581">
        <f t="shared" si="792"/>
        <v>13706.98272</v>
      </c>
      <c r="AF957" s="581">
        <f t="shared" si="792"/>
        <v>13706.98272</v>
      </c>
      <c r="AH957" s="571"/>
      <c r="AK957" s="531"/>
      <c r="AM957" s="594"/>
      <c r="AN957" s="535"/>
      <c r="AP957" s="549"/>
      <c r="AQ957" s="549"/>
    </row>
    <row r="958" spans="1:43" s="513" customFormat="1" ht="16.5" hidden="1" customHeight="1" outlineLevel="2">
      <c r="A958" s="584"/>
      <c r="B958" s="572" t="s">
        <v>805</v>
      </c>
      <c r="C958" s="573">
        <f t="shared" ref="C958:AF958" si="793">C932</f>
        <v>12</v>
      </c>
      <c r="D958" s="573">
        <f t="shared" si="793"/>
        <v>12</v>
      </c>
      <c r="E958" s="573">
        <f t="shared" si="793"/>
        <v>12</v>
      </c>
      <c r="F958" s="573">
        <f t="shared" si="793"/>
        <v>12</v>
      </c>
      <c r="G958" s="573">
        <f t="shared" si="793"/>
        <v>12</v>
      </c>
      <c r="H958" s="573">
        <f t="shared" si="793"/>
        <v>12</v>
      </c>
      <c r="I958" s="573">
        <f t="shared" si="793"/>
        <v>12</v>
      </c>
      <c r="J958" s="573">
        <f t="shared" si="793"/>
        <v>12</v>
      </c>
      <c r="K958" s="573">
        <f t="shared" si="793"/>
        <v>12</v>
      </c>
      <c r="L958" s="573">
        <f t="shared" si="793"/>
        <v>12</v>
      </c>
      <c r="M958" s="573">
        <f t="shared" si="793"/>
        <v>12</v>
      </c>
      <c r="N958" s="573">
        <f t="shared" si="793"/>
        <v>12</v>
      </c>
      <c r="O958" s="573">
        <f t="shared" si="793"/>
        <v>12</v>
      </c>
      <c r="P958" s="573">
        <f t="shared" si="793"/>
        <v>12</v>
      </c>
      <c r="Q958" s="573">
        <f t="shared" si="793"/>
        <v>12</v>
      </c>
      <c r="R958" s="573">
        <f t="shared" si="793"/>
        <v>12</v>
      </c>
      <c r="S958" s="573">
        <f t="shared" si="793"/>
        <v>12</v>
      </c>
      <c r="T958" s="573">
        <f t="shared" si="793"/>
        <v>12</v>
      </c>
      <c r="U958" s="573">
        <f t="shared" si="793"/>
        <v>12</v>
      </c>
      <c r="V958" s="573">
        <f t="shared" si="793"/>
        <v>12</v>
      </c>
      <c r="W958" s="573">
        <f t="shared" si="793"/>
        <v>12</v>
      </c>
      <c r="X958" s="573">
        <f t="shared" si="793"/>
        <v>12</v>
      </c>
      <c r="Y958" s="573">
        <f t="shared" si="793"/>
        <v>12</v>
      </c>
      <c r="Z958" s="573">
        <f t="shared" si="793"/>
        <v>12</v>
      </c>
      <c r="AA958" s="573">
        <f t="shared" si="793"/>
        <v>12</v>
      </c>
      <c r="AB958" s="573">
        <f t="shared" si="793"/>
        <v>12</v>
      </c>
      <c r="AC958" s="573">
        <f t="shared" si="793"/>
        <v>12</v>
      </c>
      <c r="AD958" s="573">
        <f t="shared" si="793"/>
        <v>12</v>
      </c>
      <c r="AE958" s="573">
        <f t="shared" si="793"/>
        <v>12</v>
      </c>
      <c r="AF958" s="573">
        <f t="shared" si="793"/>
        <v>12</v>
      </c>
      <c r="AH958" s="538"/>
      <c r="AK958" s="719"/>
      <c r="AM958" s="594"/>
      <c r="AN958" s="535"/>
      <c r="AP958" s="540"/>
      <c r="AQ958" s="540"/>
    </row>
    <row r="959" spans="1:43" s="513" customFormat="1" ht="16.5" hidden="1" customHeight="1" outlineLevel="2">
      <c r="A959" s="584"/>
      <c r="B959" s="572" t="s">
        <v>968</v>
      </c>
      <c r="C959" s="574">
        <f>302/12</f>
        <v>25.166666666666668</v>
      </c>
      <c r="D959" s="574">
        <f>C959</f>
        <v>25.166666666666668</v>
      </c>
      <c r="E959" s="574">
        <f t="shared" ref="E959:T961" si="794">D959</f>
        <v>25.166666666666668</v>
      </c>
      <c r="F959" s="574">
        <f t="shared" si="794"/>
        <v>25.166666666666668</v>
      </c>
      <c r="G959" s="574">
        <f t="shared" si="794"/>
        <v>25.166666666666668</v>
      </c>
      <c r="H959" s="574">
        <f t="shared" si="794"/>
        <v>25.166666666666668</v>
      </c>
      <c r="I959" s="574">
        <f t="shared" si="794"/>
        <v>25.166666666666668</v>
      </c>
      <c r="J959" s="574">
        <f t="shared" si="794"/>
        <v>25.166666666666668</v>
      </c>
      <c r="K959" s="574">
        <f t="shared" si="794"/>
        <v>25.166666666666668</v>
      </c>
      <c r="L959" s="574">
        <f t="shared" si="794"/>
        <v>25.166666666666668</v>
      </c>
      <c r="M959" s="574">
        <f t="shared" si="794"/>
        <v>25.166666666666668</v>
      </c>
      <c r="N959" s="574">
        <f t="shared" si="794"/>
        <v>25.166666666666668</v>
      </c>
      <c r="O959" s="574">
        <f t="shared" si="794"/>
        <v>25.166666666666668</v>
      </c>
      <c r="P959" s="574">
        <f t="shared" si="794"/>
        <v>25.166666666666668</v>
      </c>
      <c r="Q959" s="574">
        <f t="shared" si="794"/>
        <v>25.166666666666668</v>
      </c>
      <c r="R959" s="574">
        <f t="shared" si="794"/>
        <v>25.166666666666668</v>
      </c>
      <c r="S959" s="574">
        <f t="shared" si="794"/>
        <v>25.166666666666668</v>
      </c>
      <c r="T959" s="574">
        <f t="shared" si="794"/>
        <v>25.166666666666668</v>
      </c>
      <c r="U959" s="574">
        <f t="shared" ref="U959:AF961" si="795">T959</f>
        <v>25.166666666666668</v>
      </c>
      <c r="V959" s="574">
        <f t="shared" si="795"/>
        <v>25.166666666666668</v>
      </c>
      <c r="W959" s="574">
        <f t="shared" si="795"/>
        <v>25.166666666666668</v>
      </c>
      <c r="X959" s="574">
        <f t="shared" si="795"/>
        <v>25.166666666666668</v>
      </c>
      <c r="Y959" s="574">
        <f t="shared" si="795"/>
        <v>25.166666666666668</v>
      </c>
      <c r="Z959" s="574">
        <f t="shared" si="795"/>
        <v>25.166666666666668</v>
      </c>
      <c r="AA959" s="574">
        <f t="shared" si="795"/>
        <v>25.166666666666668</v>
      </c>
      <c r="AB959" s="574">
        <f t="shared" si="795"/>
        <v>25.166666666666668</v>
      </c>
      <c r="AC959" s="574">
        <f t="shared" si="795"/>
        <v>25.166666666666668</v>
      </c>
      <c r="AD959" s="574">
        <f t="shared" si="795"/>
        <v>25.166666666666668</v>
      </c>
      <c r="AE959" s="574">
        <f t="shared" si="795"/>
        <v>25.166666666666668</v>
      </c>
      <c r="AF959" s="574">
        <f t="shared" si="795"/>
        <v>25.166666666666668</v>
      </c>
      <c r="AH959" s="538"/>
      <c r="AK959" s="531"/>
      <c r="AM959" s="594"/>
      <c r="AN959" s="535"/>
      <c r="AP959" s="540"/>
      <c r="AQ959" s="540"/>
    </row>
    <row r="960" spans="1:43" s="513" customFormat="1" ht="16.5" hidden="1" customHeight="1" outlineLevel="2">
      <c r="A960" s="584"/>
      <c r="B960" s="572" t="s">
        <v>969</v>
      </c>
      <c r="C960" s="574">
        <f>0.9*7.33</f>
        <v>6.5970000000000004</v>
      </c>
      <c r="D960" s="574">
        <f>C960</f>
        <v>6.5970000000000004</v>
      </c>
      <c r="E960" s="574">
        <f t="shared" si="794"/>
        <v>6.5970000000000004</v>
      </c>
      <c r="F960" s="574">
        <f t="shared" si="794"/>
        <v>6.5970000000000004</v>
      </c>
      <c r="G960" s="574">
        <f t="shared" si="794"/>
        <v>6.5970000000000004</v>
      </c>
      <c r="H960" s="574">
        <f t="shared" si="794"/>
        <v>6.5970000000000004</v>
      </c>
      <c r="I960" s="574">
        <f t="shared" si="794"/>
        <v>6.5970000000000004</v>
      </c>
      <c r="J960" s="574">
        <f t="shared" si="794"/>
        <v>6.5970000000000004</v>
      </c>
      <c r="K960" s="574">
        <f t="shared" si="794"/>
        <v>6.5970000000000004</v>
      </c>
      <c r="L960" s="574">
        <f t="shared" si="794"/>
        <v>6.5970000000000004</v>
      </c>
      <c r="M960" s="574">
        <f t="shared" si="794"/>
        <v>6.5970000000000004</v>
      </c>
      <c r="N960" s="574">
        <f t="shared" si="794"/>
        <v>6.5970000000000004</v>
      </c>
      <c r="O960" s="574">
        <f t="shared" si="794"/>
        <v>6.5970000000000004</v>
      </c>
      <c r="P960" s="574">
        <f t="shared" si="794"/>
        <v>6.5970000000000004</v>
      </c>
      <c r="Q960" s="574">
        <f t="shared" si="794"/>
        <v>6.5970000000000004</v>
      </c>
      <c r="R960" s="574">
        <f t="shared" si="794"/>
        <v>6.5970000000000004</v>
      </c>
      <c r="S960" s="574">
        <f t="shared" si="794"/>
        <v>6.5970000000000004</v>
      </c>
      <c r="T960" s="574">
        <f t="shared" si="794"/>
        <v>6.5970000000000004</v>
      </c>
      <c r="U960" s="574">
        <f t="shared" si="795"/>
        <v>6.5970000000000004</v>
      </c>
      <c r="V960" s="574">
        <f t="shared" si="795"/>
        <v>6.5970000000000004</v>
      </c>
      <c r="W960" s="574">
        <f t="shared" si="795"/>
        <v>6.5970000000000004</v>
      </c>
      <c r="X960" s="574">
        <f t="shared" si="795"/>
        <v>6.5970000000000004</v>
      </c>
      <c r="Y960" s="574">
        <f t="shared" si="795"/>
        <v>6.5970000000000004</v>
      </c>
      <c r="Z960" s="574">
        <f t="shared" si="795"/>
        <v>6.5970000000000004</v>
      </c>
      <c r="AA960" s="574">
        <f t="shared" si="795"/>
        <v>6.5970000000000004</v>
      </c>
      <c r="AB960" s="574">
        <f t="shared" si="795"/>
        <v>6.5970000000000004</v>
      </c>
      <c r="AC960" s="574">
        <f t="shared" si="795"/>
        <v>6.5970000000000004</v>
      </c>
      <c r="AD960" s="574">
        <f t="shared" si="795"/>
        <v>6.5970000000000004</v>
      </c>
      <c r="AE960" s="574">
        <f t="shared" si="795"/>
        <v>6.5970000000000004</v>
      </c>
      <c r="AF960" s="574">
        <f t="shared" si="795"/>
        <v>6.5970000000000004</v>
      </c>
      <c r="AH960" s="538"/>
      <c r="AK960" s="531"/>
      <c r="AM960" s="594"/>
      <c r="AN960" s="535"/>
      <c r="AP960" s="540"/>
      <c r="AQ960" s="540"/>
    </row>
    <row r="961" spans="1:43" s="513" customFormat="1" ht="16.5" hidden="1" customHeight="1" outlineLevel="2">
      <c r="A961" s="584"/>
      <c r="B961" s="572" t="s">
        <v>888</v>
      </c>
      <c r="C961" s="574">
        <f>Insumos!$E$40</f>
        <v>6.88</v>
      </c>
      <c r="D961" s="574">
        <f>C961</f>
        <v>6.88</v>
      </c>
      <c r="E961" s="574">
        <f t="shared" si="794"/>
        <v>6.88</v>
      </c>
      <c r="F961" s="574">
        <f t="shared" si="794"/>
        <v>6.88</v>
      </c>
      <c r="G961" s="574">
        <f t="shared" si="794"/>
        <v>6.88</v>
      </c>
      <c r="H961" s="574">
        <f t="shared" si="794"/>
        <v>6.88</v>
      </c>
      <c r="I961" s="574">
        <f t="shared" si="794"/>
        <v>6.88</v>
      </c>
      <c r="J961" s="574">
        <f t="shared" si="794"/>
        <v>6.88</v>
      </c>
      <c r="K961" s="574">
        <f t="shared" si="794"/>
        <v>6.88</v>
      </c>
      <c r="L961" s="574">
        <f t="shared" si="794"/>
        <v>6.88</v>
      </c>
      <c r="M961" s="574">
        <f t="shared" si="794"/>
        <v>6.88</v>
      </c>
      <c r="N961" s="574">
        <f t="shared" si="794"/>
        <v>6.88</v>
      </c>
      <c r="O961" s="574">
        <f t="shared" si="794"/>
        <v>6.88</v>
      </c>
      <c r="P961" s="574">
        <f t="shared" si="794"/>
        <v>6.88</v>
      </c>
      <c r="Q961" s="574">
        <f t="shared" si="794"/>
        <v>6.88</v>
      </c>
      <c r="R961" s="574">
        <f t="shared" si="794"/>
        <v>6.88</v>
      </c>
      <c r="S961" s="574">
        <f t="shared" si="794"/>
        <v>6.88</v>
      </c>
      <c r="T961" s="574">
        <f t="shared" si="794"/>
        <v>6.88</v>
      </c>
      <c r="U961" s="574">
        <f t="shared" si="795"/>
        <v>6.88</v>
      </c>
      <c r="V961" s="574">
        <f t="shared" si="795"/>
        <v>6.88</v>
      </c>
      <c r="W961" s="574">
        <f t="shared" si="795"/>
        <v>6.88</v>
      </c>
      <c r="X961" s="574">
        <f t="shared" si="795"/>
        <v>6.88</v>
      </c>
      <c r="Y961" s="574">
        <f t="shared" si="795"/>
        <v>6.88</v>
      </c>
      <c r="Z961" s="574">
        <f t="shared" si="795"/>
        <v>6.88</v>
      </c>
      <c r="AA961" s="574">
        <f t="shared" si="795"/>
        <v>6.88</v>
      </c>
      <c r="AB961" s="574">
        <f t="shared" si="795"/>
        <v>6.88</v>
      </c>
      <c r="AC961" s="574">
        <f t="shared" si="795"/>
        <v>6.88</v>
      </c>
      <c r="AD961" s="574">
        <f t="shared" si="795"/>
        <v>6.88</v>
      </c>
      <c r="AE961" s="574">
        <f t="shared" si="795"/>
        <v>6.88</v>
      </c>
      <c r="AF961" s="574">
        <f t="shared" si="795"/>
        <v>6.88</v>
      </c>
      <c r="AH961" s="538"/>
      <c r="AK961" s="531"/>
      <c r="AM961" s="594"/>
      <c r="AN961" s="535"/>
      <c r="AP961" s="540"/>
      <c r="AQ961" s="540"/>
    </row>
    <row r="962" spans="1:43" s="546" customFormat="1" ht="16.5" hidden="1" customHeight="1" outlineLevel="2">
      <c r="A962" s="584"/>
      <c r="B962" s="580" t="str">
        <f>B933</f>
        <v>Van Minibus</v>
      </c>
      <c r="C962" s="581">
        <f>C963*(C964/C965)*C966</f>
        <v>1476.7710937499999</v>
      </c>
      <c r="D962" s="581">
        <f>D963*(D964/D965)*D966</f>
        <v>1476.7710937499999</v>
      </c>
      <c r="E962" s="581">
        <f t="shared" ref="E962:AF962" si="796">E963*(E964/E965)*E966</f>
        <v>1476.7710937499999</v>
      </c>
      <c r="F962" s="581">
        <f t="shared" si="796"/>
        <v>1476.7710937499999</v>
      </c>
      <c r="G962" s="581">
        <f t="shared" si="796"/>
        <v>1476.7710937499999</v>
      </c>
      <c r="H962" s="581">
        <f t="shared" si="796"/>
        <v>1476.7710937499999</v>
      </c>
      <c r="I962" s="581">
        <f t="shared" si="796"/>
        <v>1476.7710937499999</v>
      </c>
      <c r="J962" s="581">
        <f t="shared" si="796"/>
        <v>1476.7710937499999</v>
      </c>
      <c r="K962" s="581">
        <f t="shared" si="796"/>
        <v>1476.7710937499999</v>
      </c>
      <c r="L962" s="581">
        <f t="shared" si="796"/>
        <v>1476.7710937499999</v>
      </c>
      <c r="M962" s="581">
        <f t="shared" si="796"/>
        <v>1476.7710937499999</v>
      </c>
      <c r="N962" s="581">
        <f t="shared" si="796"/>
        <v>1476.7710937499999</v>
      </c>
      <c r="O962" s="581">
        <f t="shared" si="796"/>
        <v>1476.7710937499999</v>
      </c>
      <c r="P962" s="581">
        <f t="shared" si="796"/>
        <v>1476.7710937499999</v>
      </c>
      <c r="Q962" s="581">
        <f t="shared" si="796"/>
        <v>1476.7710937499999</v>
      </c>
      <c r="R962" s="581">
        <f t="shared" si="796"/>
        <v>1476.7710937499999</v>
      </c>
      <c r="S962" s="581">
        <f t="shared" si="796"/>
        <v>1476.7710937499999</v>
      </c>
      <c r="T962" s="581">
        <f t="shared" si="796"/>
        <v>1476.7710937499999</v>
      </c>
      <c r="U962" s="581">
        <f t="shared" si="796"/>
        <v>1476.7710937499999</v>
      </c>
      <c r="V962" s="581">
        <f t="shared" si="796"/>
        <v>1476.7710937499999</v>
      </c>
      <c r="W962" s="581">
        <f t="shared" si="796"/>
        <v>1476.7710937499999</v>
      </c>
      <c r="X962" s="581">
        <f t="shared" si="796"/>
        <v>1476.7710937499999</v>
      </c>
      <c r="Y962" s="581">
        <f t="shared" si="796"/>
        <v>1476.7710937499999</v>
      </c>
      <c r="Z962" s="581">
        <f t="shared" si="796"/>
        <v>1476.7710937499999</v>
      </c>
      <c r="AA962" s="581">
        <f t="shared" si="796"/>
        <v>1476.7710937499999</v>
      </c>
      <c r="AB962" s="581">
        <f t="shared" si="796"/>
        <v>1476.7710937499999</v>
      </c>
      <c r="AC962" s="581">
        <f t="shared" si="796"/>
        <v>1476.7710937499999</v>
      </c>
      <c r="AD962" s="581">
        <f t="shared" si="796"/>
        <v>1476.7710937499999</v>
      </c>
      <c r="AE962" s="581">
        <f t="shared" si="796"/>
        <v>1476.7710937499999</v>
      </c>
      <c r="AF962" s="581">
        <f t="shared" si="796"/>
        <v>1476.7710937499999</v>
      </c>
      <c r="AH962" s="571"/>
      <c r="AK962" s="531"/>
      <c r="AM962" s="594"/>
      <c r="AN962" s="535"/>
      <c r="AP962" s="549"/>
      <c r="AQ962" s="549"/>
    </row>
    <row r="963" spans="1:43" s="513" customFormat="1" ht="16.5" hidden="1" customHeight="1" outlineLevel="2">
      <c r="A963" s="584"/>
      <c r="B963" s="572" t="s">
        <v>805</v>
      </c>
      <c r="C963" s="573">
        <f t="shared" ref="C963:AF963" si="797">C933</f>
        <v>1</v>
      </c>
      <c r="D963" s="573">
        <f t="shared" si="797"/>
        <v>1</v>
      </c>
      <c r="E963" s="573">
        <f t="shared" si="797"/>
        <v>1</v>
      </c>
      <c r="F963" s="573">
        <f t="shared" si="797"/>
        <v>1</v>
      </c>
      <c r="G963" s="573">
        <f t="shared" si="797"/>
        <v>1</v>
      </c>
      <c r="H963" s="573">
        <f t="shared" si="797"/>
        <v>1</v>
      </c>
      <c r="I963" s="573">
        <f t="shared" si="797"/>
        <v>1</v>
      </c>
      <c r="J963" s="573">
        <f t="shared" si="797"/>
        <v>1</v>
      </c>
      <c r="K963" s="573">
        <f t="shared" si="797"/>
        <v>1</v>
      </c>
      <c r="L963" s="573">
        <f t="shared" si="797"/>
        <v>1</v>
      </c>
      <c r="M963" s="573">
        <f t="shared" si="797"/>
        <v>1</v>
      </c>
      <c r="N963" s="573">
        <f t="shared" si="797"/>
        <v>1</v>
      </c>
      <c r="O963" s="573">
        <f t="shared" si="797"/>
        <v>1</v>
      </c>
      <c r="P963" s="573">
        <f t="shared" si="797"/>
        <v>1</v>
      </c>
      <c r="Q963" s="573">
        <f t="shared" si="797"/>
        <v>1</v>
      </c>
      <c r="R963" s="573">
        <f t="shared" si="797"/>
        <v>1</v>
      </c>
      <c r="S963" s="573">
        <f t="shared" si="797"/>
        <v>1</v>
      </c>
      <c r="T963" s="573">
        <f t="shared" si="797"/>
        <v>1</v>
      </c>
      <c r="U963" s="573">
        <f t="shared" si="797"/>
        <v>1</v>
      </c>
      <c r="V963" s="573">
        <f t="shared" si="797"/>
        <v>1</v>
      </c>
      <c r="W963" s="573">
        <f t="shared" si="797"/>
        <v>1</v>
      </c>
      <c r="X963" s="573">
        <f t="shared" si="797"/>
        <v>1</v>
      </c>
      <c r="Y963" s="573">
        <f t="shared" si="797"/>
        <v>1</v>
      </c>
      <c r="Z963" s="573">
        <f t="shared" si="797"/>
        <v>1</v>
      </c>
      <c r="AA963" s="573">
        <f t="shared" si="797"/>
        <v>1</v>
      </c>
      <c r="AB963" s="573">
        <f t="shared" si="797"/>
        <v>1</v>
      </c>
      <c r="AC963" s="573">
        <f t="shared" si="797"/>
        <v>1</v>
      </c>
      <c r="AD963" s="573">
        <f t="shared" si="797"/>
        <v>1</v>
      </c>
      <c r="AE963" s="573">
        <f t="shared" si="797"/>
        <v>1</v>
      </c>
      <c r="AF963" s="573">
        <f t="shared" si="797"/>
        <v>1</v>
      </c>
      <c r="AH963" s="538"/>
      <c r="AK963" s="719"/>
      <c r="AM963" s="594"/>
      <c r="AN963" s="535"/>
      <c r="AP963" s="540"/>
      <c r="AQ963" s="540"/>
    </row>
    <row r="964" spans="1:43" s="586" customFormat="1" ht="16.5" hidden="1" customHeight="1" outlineLevel="2">
      <c r="A964" s="584"/>
      <c r="B964" s="585" t="s">
        <v>895</v>
      </c>
      <c r="C964" s="632">
        <f t="shared" ref="C964:AF964" si="798">C949</f>
        <v>503.40000000000003</v>
      </c>
      <c r="D964" s="632">
        <f t="shared" si="798"/>
        <v>503.40000000000003</v>
      </c>
      <c r="E964" s="632">
        <f t="shared" si="798"/>
        <v>503.40000000000003</v>
      </c>
      <c r="F964" s="632">
        <f t="shared" si="798"/>
        <v>503.40000000000003</v>
      </c>
      <c r="G964" s="632">
        <f t="shared" si="798"/>
        <v>503.40000000000003</v>
      </c>
      <c r="H964" s="632">
        <f t="shared" si="798"/>
        <v>503.40000000000003</v>
      </c>
      <c r="I964" s="632">
        <f t="shared" si="798"/>
        <v>503.40000000000003</v>
      </c>
      <c r="J964" s="632">
        <f t="shared" si="798"/>
        <v>503.40000000000003</v>
      </c>
      <c r="K964" s="632">
        <f t="shared" si="798"/>
        <v>503.40000000000003</v>
      </c>
      <c r="L964" s="632">
        <f t="shared" si="798"/>
        <v>503.40000000000003</v>
      </c>
      <c r="M964" s="632">
        <f t="shared" si="798"/>
        <v>503.40000000000003</v>
      </c>
      <c r="N964" s="632">
        <f t="shared" si="798"/>
        <v>503.40000000000003</v>
      </c>
      <c r="O964" s="632">
        <f t="shared" si="798"/>
        <v>503.40000000000003</v>
      </c>
      <c r="P964" s="632">
        <f t="shared" si="798"/>
        <v>503.40000000000003</v>
      </c>
      <c r="Q964" s="632">
        <f t="shared" si="798"/>
        <v>503.40000000000003</v>
      </c>
      <c r="R964" s="632">
        <f t="shared" si="798"/>
        <v>503.40000000000003</v>
      </c>
      <c r="S964" s="632">
        <f t="shared" si="798"/>
        <v>503.40000000000003</v>
      </c>
      <c r="T964" s="632">
        <f t="shared" si="798"/>
        <v>503.40000000000003</v>
      </c>
      <c r="U964" s="632">
        <f t="shared" si="798"/>
        <v>503.40000000000003</v>
      </c>
      <c r="V964" s="632">
        <f t="shared" si="798"/>
        <v>503.40000000000003</v>
      </c>
      <c r="W964" s="632">
        <f t="shared" si="798"/>
        <v>503.40000000000003</v>
      </c>
      <c r="X964" s="632">
        <f t="shared" si="798"/>
        <v>503.40000000000003</v>
      </c>
      <c r="Y964" s="632">
        <f t="shared" si="798"/>
        <v>503.40000000000003</v>
      </c>
      <c r="Z964" s="632">
        <f t="shared" si="798"/>
        <v>503.40000000000003</v>
      </c>
      <c r="AA964" s="632">
        <f t="shared" si="798"/>
        <v>503.40000000000003</v>
      </c>
      <c r="AB964" s="632">
        <f t="shared" si="798"/>
        <v>503.40000000000003</v>
      </c>
      <c r="AC964" s="632">
        <f t="shared" si="798"/>
        <v>503.40000000000003</v>
      </c>
      <c r="AD964" s="632">
        <f t="shared" si="798"/>
        <v>503.40000000000003</v>
      </c>
      <c r="AE964" s="632">
        <f t="shared" si="798"/>
        <v>503.40000000000003</v>
      </c>
      <c r="AF964" s="632">
        <f t="shared" si="798"/>
        <v>503.40000000000003</v>
      </c>
      <c r="AH964" s="587"/>
      <c r="AK964" s="588"/>
      <c r="AM964" s="624"/>
      <c r="AN964" s="590"/>
      <c r="AP964" s="591"/>
      <c r="AQ964" s="591"/>
    </row>
    <row r="965" spans="1:43" s="586" customFormat="1" ht="16.5" hidden="1" customHeight="1" outlineLevel="2">
      <c r="A965" s="584"/>
      <c r="B965" s="585" t="s">
        <v>896</v>
      </c>
      <c r="C965" s="632">
        <v>2.56</v>
      </c>
      <c r="D965" s="632">
        <f>C965</f>
        <v>2.56</v>
      </c>
      <c r="E965" s="632">
        <f t="shared" ref="E965:T966" si="799">D965</f>
        <v>2.56</v>
      </c>
      <c r="F965" s="632">
        <f t="shared" si="799"/>
        <v>2.56</v>
      </c>
      <c r="G965" s="632">
        <f t="shared" si="799"/>
        <v>2.56</v>
      </c>
      <c r="H965" s="632">
        <f t="shared" si="799"/>
        <v>2.56</v>
      </c>
      <c r="I965" s="632">
        <f t="shared" si="799"/>
        <v>2.56</v>
      </c>
      <c r="J965" s="632">
        <f t="shared" si="799"/>
        <v>2.56</v>
      </c>
      <c r="K965" s="632">
        <f t="shared" si="799"/>
        <v>2.56</v>
      </c>
      <c r="L965" s="632">
        <f t="shared" si="799"/>
        <v>2.56</v>
      </c>
      <c r="M965" s="632">
        <f t="shared" si="799"/>
        <v>2.56</v>
      </c>
      <c r="N965" s="632">
        <f t="shared" si="799"/>
        <v>2.56</v>
      </c>
      <c r="O965" s="632">
        <f t="shared" si="799"/>
        <v>2.56</v>
      </c>
      <c r="P965" s="632">
        <f t="shared" si="799"/>
        <v>2.56</v>
      </c>
      <c r="Q965" s="632">
        <f t="shared" si="799"/>
        <v>2.56</v>
      </c>
      <c r="R965" s="632">
        <f t="shared" si="799"/>
        <v>2.56</v>
      </c>
      <c r="S965" s="632">
        <f t="shared" si="799"/>
        <v>2.56</v>
      </c>
      <c r="T965" s="632">
        <f t="shared" si="799"/>
        <v>2.56</v>
      </c>
      <c r="U965" s="632">
        <f t="shared" ref="U965:AF966" si="800">T965</f>
        <v>2.56</v>
      </c>
      <c r="V965" s="632">
        <f t="shared" si="800"/>
        <v>2.56</v>
      </c>
      <c r="W965" s="632">
        <f t="shared" si="800"/>
        <v>2.56</v>
      </c>
      <c r="X965" s="632">
        <f t="shared" si="800"/>
        <v>2.56</v>
      </c>
      <c r="Y965" s="632">
        <f t="shared" si="800"/>
        <v>2.56</v>
      </c>
      <c r="Z965" s="632">
        <f t="shared" si="800"/>
        <v>2.56</v>
      </c>
      <c r="AA965" s="632">
        <f t="shared" si="800"/>
        <v>2.56</v>
      </c>
      <c r="AB965" s="632">
        <f t="shared" si="800"/>
        <v>2.56</v>
      </c>
      <c r="AC965" s="632">
        <f t="shared" si="800"/>
        <v>2.56</v>
      </c>
      <c r="AD965" s="632">
        <f t="shared" si="800"/>
        <v>2.56</v>
      </c>
      <c r="AE965" s="632">
        <f t="shared" si="800"/>
        <v>2.56</v>
      </c>
      <c r="AF965" s="632">
        <f t="shared" si="800"/>
        <v>2.56</v>
      </c>
      <c r="AH965" s="587"/>
      <c r="AK965" s="588"/>
      <c r="AM965" s="624"/>
      <c r="AN965" s="590"/>
      <c r="AP965" s="591"/>
      <c r="AQ965" s="591"/>
    </row>
    <row r="966" spans="1:43" s="586" customFormat="1" ht="16.5" hidden="1" customHeight="1" outlineLevel="2">
      <c r="A966" s="584"/>
      <c r="B966" s="585" t="s">
        <v>888</v>
      </c>
      <c r="C966" s="632">
        <f>Insumos!$E$37</f>
        <v>7.51</v>
      </c>
      <c r="D966" s="632">
        <f>C966</f>
        <v>7.51</v>
      </c>
      <c r="E966" s="632">
        <f t="shared" si="799"/>
        <v>7.51</v>
      </c>
      <c r="F966" s="632">
        <f t="shared" si="799"/>
        <v>7.51</v>
      </c>
      <c r="G966" s="632">
        <f t="shared" si="799"/>
        <v>7.51</v>
      </c>
      <c r="H966" s="632">
        <f t="shared" si="799"/>
        <v>7.51</v>
      </c>
      <c r="I966" s="632">
        <f t="shared" si="799"/>
        <v>7.51</v>
      </c>
      <c r="J966" s="632">
        <f t="shared" si="799"/>
        <v>7.51</v>
      </c>
      <c r="K966" s="632">
        <f t="shared" si="799"/>
        <v>7.51</v>
      </c>
      <c r="L966" s="632">
        <f t="shared" si="799"/>
        <v>7.51</v>
      </c>
      <c r="M966" s="632">
        <f t="shared" si="799"/>
        <v>7.51</v>
      </c>
      <c r="N966" s="632">
        <f t="shared" si="799"/>
        <v>7.51</v>
      </c>
      <c r="O966" s="632">
        <f t="shared" si="799"/>
        <v>7.51</v>
      </c>
      <c r="P966" s="632">
        <f t="shared" si="799"/>
        <v>7.51</v>
      </c>
      <c r="Q966" s="632">
        <f t="shared" si="799"/>
        <v>7.51</v>
      </c>
      <c r="R966" s="632">
        <f t="shared" si="799"/>
        <v>7.51</v>
      </c>
      <c r="S966" s="632">
        <f t="shared" si="799"/>
        <v>7.51</v>
      </c>
      <c r="T966" s="632">
        <f t="shared" si="799"/>
        <v>7.51</v>
      </c>
      <c r="U966" s="632">
        <f t="shared" si="800"/>
        <v>7.51</v>
      </c>
      <c r="V966" s="632">
        <f t="shared" si="800"/>
        <v>7.51</v>
      </c>
      <c r="W966" s="632">
        <f t="shared" si="800"/>
        <v>7.51</v>
      </c>
      <c r="X966" s="632">
        <f t="shared" si="800"/>
        <v>7.51</v>
      </c>
      <c r="Y966" s="632">
        <f t="shared" si="800"/>
        <v>7.51</v>
      </c>
      <c r="Z966" s="632">
        <f t="shared" si="800"/>
        <v>7.51</v>
      </c>
      <c r="AA966" s="632">
        <f t="shared" si="800"/>
        <v>7.51</v>
      </c>
      <c r="AB966" s="632">
        <f t="shared" si="800"/>
        <v>7.51</v>
      </c>
      <c r="AC966" s="632">
        <f t="shared" si="800"/>
        <v>7.51</v>
      </c>
      <c r="AD966" s="632">
        <f t="shared" si="800"/>
        <v>7.51</v>
      </c>
      <c r="AE966" s="632">
        <f t="shared" si="800"/>
        <v>7.51</v>
      </c>
      <c r="AF966" s="632">
        <f t="shared" si="800"/>
        <v>7.51</v>
      </c>
      <c r="AH966" s="587"/>
      <c r="AK966" s="588"/>
      <c r="AM966" s="624"/>
      <c r="AN966" s="590"/>
      <c r="AP966" s="591"/>
      <c r="AQ966" s="591"/>
    </row>
    <row r="967" spans="1:43" s="634" customFormat="1" ht="16.5" hidden="1" customHeight="1" outlineLevel="2">
      <c r="A967" s="584"/>
      <c r="B967" s="608" t="s">
        <v>970</v>
      </c>
      <c r="C967" s="583">
        <f>C968*(C969/C970)*C971</f>
        <v>135.48969072164948</v>
      </c>
      <c r="D967" s="583">
        <f>D968*(D969/D970)*D971</f>
        <v>135.48969072164948</v>
      </c>
      <c r="E967" s="583">
        <f t="shared" ref="E967:AF967" si="801">E968*(E969/E970)*E971</f>
        <v>135.48969072164948</v>
      </c>
      <c r="F967" s="583">
        <f t="shared" si="801"/>
        <v>135.48969072164948</v>
      </c>
      <c r="G967" s="583">
        <f t="shared" si="801"/>
        <v>135.48969072164948</v>
      </c>
      <c r="H967" s="583">
        <f t="shared" si="801"/>
        <v>135.48969072164948</v>
      </c>
      <c r="I967" s="583">
        <f t="shared" si="801"/>
        <v>135.48969072164948</v>
      </c>
      <c r="J967" s="583">
        <f t="shared" si="801"/>
        <v>135.48969072164948</v>
      </c>
      <c r="K967" s="583">
        <f t="shared" si="801"/>
        <v>135.48969072164948</v>
      </c>
      <c r="L967" s="583">
        <f t="shared" si="801"/>
        <v>135.48969072164948</v>
      </c>
      <c r="M967" s="583">
        <f t="shared" si="801"/>
        <v>135.48969072164948</v>
      </c>
      <c r="N967" s="583">
        <f t="shared" si="801"/>
        <v>135.48969072164948</v>
      </c>
      <c r="O967" s="583">
        <f t="shared" si="801"/>
        <v>135.48969072164948</v>
      </c>
      <c r="P967" s="583">
        <f t="shared" si="801"/>
        <v>135.48969072164948</v>
      </c>
      <c r="Q967" s="583">
        <f t="shared" si="801"/>
        <v>135.48969072164948</v>
      </c>
      <c r="R967" s="583">
        <f t="shared" si="801"/>
        <v>135.48969072164948</v>
      </c>
      <c r="S967" s="583">
        <f t="shared" si="801"/>
        <v>135.48969072164948</v>
      </c>
      <c r="T967" s="583">
        <f t="shared" si="801"/>
        <v>135.48969072164948</v>
      </c>
      <c r="U967" s="583">
        <f t="shared" si="801"/>
        <v>135.48969072164948</v>
      </c>
      <c r="V967" s="583">
        <f t="shared" si="801"/>
        <v>135.48969072164948</v>
      </c>
      <c r="W967" s="583">
        <f t="shared" si="801"/>
        <v>135.48969072164948</v>
      </c>
      <c r="X967" s="583">
        <f t="shared" si="801"/>
        <v>135.48969072164948</v>
      </c>
      <c r="Y967" s="583">
        <f t="shared" si="801"/>
        <v>135.48969072164948</v>
      </c>
      <c r="Z967" s="583">
        <f t="shared" si="801"/>
        <v>135.48969072164948</v>
      </c>
      <c r="AA967" s="583">
        <f t="shared" si="801"/>
        <v>135.48969072164948</v>
      </c>
      <c r="AB967" s="583">
        <f t="shared" si="801"/>
        <v>135.48969072164948</v>
      </c>
      <c r="AC967" s="583">
        <f t="shared" si="801"/>
        <v>135.48969072164948</v>
      </c>
      <c r="AD967" s="583">
        <f t="shared" si="801"/>
        <v>135.48969072164948</v>
      </c>
      <c r="AE967" s="583">
        <f t="shared" si="801"/>
        <v>135.48969072164948</v>
      </c>
      <c r="AF967" s="583">
        <f t="shared" si="801"/>
        <v>135.48969072164948</v>
      </c>
      <c r="AH967" s="635"/>
      <c r="AK967" s="588"/>
      <c r="AM967" s="624"/>
      <c r="AN967" s="590"/>
      <c r="AP967" s="636"/>
      <c r="AQ967" s="636"/>
    </row>
    <row r="968" spans="1:43" s="513" customFormat="1" ht="16.5" hidden="1" customHeight="1" outlineLevel="2">
      <c r="A968" s="584"/>
      <c r="B968" s="572" t="s">
        <v>805</v>
      </c>
      <c r="C968" s="573">
        <f t="shared" ref="C968:AF968" si="802">C940</f>
        <v>1</v>
      </c>
      <c r="D968" s="573">
        <f t="shared" si="802"/>
        <v>1</v>
      </c>
      <c r="E968" s="573">
        <f t="shared" si="802"/>
        <v>1</v>
      </c>
      <c r="F968" s="573">
        <f t="shared" si="802"/>
        <v>1</v>
      </c>
      <c r="G968" s="573">
        <f t="shared" si="802"/>
        <v>1</v>
      </c>
      <c r="H968" s="573">
        <f t="shared" si="802"/>
        <v>1</v>
      </c>
      <c r="I968" s="573">
        <f t="shared" si="802"/>
        <v>1</v>
      </c>
      <c r="J968" s="573">
        <f t="shared" si="802"/>
        <v>1</v>
      </c>
      <c r="K968" s="573">
        <f t="shared" si="802"/>
        <v>1</v>
      </c>
      <c r="L968" s="573">
        <f t="shared" si="802"/>
        <v>1</v>
      </c>
      <c r="M968" s="573">
        <f t="shared" si="802"/>
        <v>1</v>
      </c>
      <c r="N968" s="573">
        <f t="shared" si="802"/>
        <v>1</v>
      </c>
      <c r="O968" s="573">
        <f t="shared" si="802"/>
        <v>1</v>
      </c>
      <c r="P968" s="573">
        <f t="shared" si="802"/>
        <v>1</v>
      </c>
      <c r="Q968" s="573">
        <f t="shared" si="802"/>
        <v>1</v>
      </c>
      <c r="R968" s="573">
        <f t="shared" si="802"/>
        <v>1</v>
      </c>
      <c r="S968" s="573">
        <f t="shared" si="802"/>
        <v>1</v>
      </c>
      <c r="T968" s="573">
        <f t="shared" si="802"/>
        <v>1</v>
      </c>
      <c r="U968" s="573">
        <f t="shared" si="802"/>
        <v>1</v>
      </c>
      <c r="V968" s="573">
        <f t="shared" si="802"/>
        <v>1</v>
      </c>
      <c r="W968" s="573">
        <f t="shared" si="802"/>
        <v>1</v>
      </c>
      <c r="X968" s="573">
        <f t="shared" si="802"/>
        <v>1</v>
      </c>
      <c r="Y968" s="573">
        <f t="shared" si="802"/>
        <v>1</v>
      </c>
      <c r="Z968" s="573">
        <f t="shared" si="802"/>
        <v>1</v>
      </c>
      <c r="AA968" s="573">
        <f t="shared" si="802"/>
        <v>1</v>
      </c>
      <c r="AB968" s="573">
        <f t="shared" si="802"/>
        <v>1</v>
      </c>
      <c r="AC968" s="573">
        <f t="shared" si="802"/>
        <v>1</v>
      </c>
      <c r="AD968" s="573">
        <f t="shared" si="802"/>
        <v>1</v>
      </c>
      <c r="AE968" s="573">
        <f t="shared" si="802"/>
        <v>1</v>
      </c>
      <c r="AF968" s="573">
        <f t="shared" si="802"/>
        <v>1</v>
      </c>
      <c r="AH968" s="538"/>
      <c r="AK968" s="719"/>
      <c r="AM968" s="594"/>
      <c r="AN968" s="535"/>
      <c r="AP968" s="540"/>
      <c r="AQ968" s="540"/>
    </row>
    <row r="969" spans="1:43" s="586" customFormat="1" ht="16.5" hidden="1" customHeight="1" outlineLevel="2">
      <c r="A969" s="584"/>
      <c r="B969" s="585" t="s">
        <v>895</v>
      </c>
      <c r="C969" s="632">
        <f>C802</f>
        <v>175</v>
      </c>
      <c r="D969" s="632">
        <f>C969</f>
        <v>175</v>
      </c>
      <c r="E969" s="632">
        <f t="shared" ref="E969:AF969" si="803">D969</f>
        <v>175</v>
      </c>
      <c r="F969" s="632">
        <f t="shared" si="803"/>
        <v>175</v>
      </c>
      <c r="G969" s="632">
        <f t="shared" si="803"/>
        <v>175</v>
      </c>
      <c r="H969" s="632">
        <f t="shared" si="803"/>
        <v>175</v>
      </c>
      <c r="I969" s="632">
        <f t="shared" si="803"/>
        <v>175</v>
      </c>
      <c r="J969" s="632">
        <f t="shared" si="803"/>
        <v>175</v>
      </c>
      <c r="K969" s="632">
        <f t="shared" si="803"/>
        <v>175</v>
      </c>
      <c r="L969" s="632">
        <f t="shared" si="803"/>
        <v>175</v>
      </c>
      <c r="M969" s="632">
        <f t="shared" si="803"/>
        <v>175</v>
      </c>
      <c r="N969" s="632">
        <f t="shared" si="803"/>
        <v>175</v>
      </c>
      <c r="O969" s="632">
        <f t="shared" si="803"/>
        <v>175</v>
      </c>
      <c r="P969" s="632">
        <f t="shared" si="803"/>
        <v>175</v>
      </c>
      <c r="Q969" s="632">
        <f t="shared" si="803"/>
        <v>175</v>
      </c>
      <c r="R969" s="632">
        <f t="shared" si="803"/>
        <v>175</v>
      </c>
      <c r="S969" s="632">
        <f t="shared" si="803"/>
        <v>175</v>
      </c>
      <c r="T969" s="632">
        <f t="shared" si="803"/>
        <v>175</v>
      </c>
      <c r="U969" s="632">
        <f t="shared" si="803"/>
        <v>175</v>
      </c>
      <c r="V969" s="632">
        <f t="shared" si="803"/>
        <v>175</v>
      </c>
      <c r="W969" s="632">
        <f t="shared" si="803"/>
        <v>175</v>
      </c>
      <c r="X969" s="632">
        <f t="shared" si="803"/>
        <v>175</v>
      </c>
      <c r="Y969" s="632">
        <f t="shared" si="803"/>
        <v>175</v>
      </c>
      <c r="Z969" s="632">
        <f t="shared" si="803"/>
        <v>175</v>
      </c>
      <c r="AA969" s="632">
        <f t="shared" si="803"/>
        <v>175</v>
      </c>
      <c r="AB969" s="632">
        <f t="shared" si="803"/>
        <v>175</v>
      </c>
      <c r="AC969" s="632">
        <f t="shared" si="803"/>
        <v>175</v>
      </c>
      <c r="AD969" s="632">
        <f t="shared" si="803"/>
        <v>175</v>
      </c>
      <c r="AE969" s="632">
        <f t="shared" si="803"/>
        <v>175</v>
      </c>
      <c r="AF969" s="632">
        <f t="shared" si="803"/>
        <v>175</v>
      </c>
      <c r="AH969" s="587"/>
      <c r="AK969" s="588"/>
      <c r="AM969" s="624"/>
      <c r="AN969" s="590"/>
      <c r="AP969" s="591"/>
      <c r="AQ969" s="591"/>
    </row>
    <row r="970" spans="1:43" s="586" customFormat="1" ht="16.5" hidden="1" customHeight="1" outlineLevel="2">
      <c r="A970" s="584"/>
      <c r="B970" s="585" t="s">
        <v>896</v>
      </c>
      <c r="C970" s="632">
        <v>9.6999999999999993</v>
      </c>
      <c r="D970" s="632">
        <f>C970</f>
        <v>9.6999999999999993</v>
      </c>
      <c r="E970" s="632">
        <f t="shared" ref="E970:T971" si="804">D970</f>
        <v>9.6999999999999993</v>
      </c>
      <c r="F970" s="632">
        <f t="shared" si="804"/>
        <v>9.6999999999999993</v>
      </c>
      <c r="G970" s="632">
        <f t="shared" si="804"/>
        <v>9.6999999999999993</v>
      </c>
      <c r="H970" s="632">
        <f t="shared" si="804"/>
        <v>9.6999999999999993</v>
      </c>
      <c r="I970" s="632">
        <f t="shared" si="804"/>
        <v>9.6999999999999993</v>
      </c>
      <c r="J970" s="632">
        <f t="shared" si="804"/>
        <v>9.6999999999999993</v>
      </c>
      <c r="K970" s="632">
        <f t="shared" si="804"/>
        <v>9.6999999999999993</v>
      </c>
      <c r="L970" s="632">
        <f t="shared" si="804"/>
        <v>9.6999999999999993</v>
      </c>
      <c r="M970" s="632">
        <f t="shared" si="804"/>
        <v>9.6999999999999993</v>
      </c>
      <c r="N970" s="632">
        <f t="shared" si="804"/>
        <v>9.6999999999999993</v>
      </c>
      <c r="O970" s="632">
        <f t="shared" si="804"/>
        <v>9.6999999999999993</v>
      </c>
      <c r="P970" s="632">
        <f t="shared" si="804"/>
        <v>9.6999999999999993</v>
      </c>
      <c r="Q970" s="632">
        <f t="shared" si="804"/>
        <v>9.6999999999999993</v>
      </c>
      <c r="R970" s="632">
        <f t="shared" si="804"/>
        <v>9.6999999999999993</v>
      </c>
      <c r="S970" s="632">
        <f t="shared" si="804"/>
        <v>9.6999999999999993</v>
      </c>
      <c r="T970" s="632">
        <f t="shared" si="804"/>
        <v>9.6999999999999993</v>
      </c>
      <c r="U970" s="632">
        <f t="shared" ref="U970:AF971" si="805">T970</f>
        <v>9.6999999999999993</v>
      </c>
      <c r="V970" s="632">
        <f t="shared" si="805"/>
        <v>9.6999999999999993</v>
      </c>
      <c r="W970" s="632">
        <f t="shared" si="805"/>
        <v>9.6999999999999993</v>
      </c>
      <c r="X970" s="632">
        <f t="shared" si="805"/>
        <v>9.6999999999999993</v>
      </c>
      <c r="Y970" s="632">
        <f t="shared" si="805"/>
        <v>9.6999999999999993</v>
      </c>
      <c r="Z970" s="632">
        <f t="shared" si="805"/>
        <v>9.6999999999999993</v>
      </c>
      <c r="AA970" s="632">
        <f t="shared" si="805"/>
        <v>9.6999999999999993</v>
      </c>
      <c r="AB970" s="632">
        <f t="shared" si="805"/>
        <v>9.6999999999999993</v>
      </c>
      <c r="AC970" s="632">
        <f t="shared" si="805"/>
        <v>9.6999999999999993</v>
      </c>
      <c r="AD970" s="632">
        <f t="shared" si="805"/>
        <v>9.6999999999999993</v>
      </c>
      <c r="AE970" s="632">
        <f t="shared" si="805"/>
        <v>9.6999999999999993</v>
      </c>
      <c r="AF970" s="632">
        <f t="shared" si="805"/>
        <v>9.6999999999999993</v>
      </c>
      <c r="AH970" s="587"/>
      <c r="AK970" s="588"/>
      <c r="AM970" s="624"/>
      <c r="AN970" s="590"/>
      <c r="AP970" s="591"/>
      <c r="AQ970" s="591"/>
    </row>
    <row r="971" spans="1:43" s="586" customFormat="1" ht="16.5" hidden="1" customHeight="1" outlineLevel="2">
      <c r="A971" s="584"/>
      <c r="B971" s="585" t="s">
        <v>888</v>
      </c>
      <c r="C971" s="632">
        <f>Insumos!$E$37</f>
        <v>7.51</v>
      </c>
      <c r="D971" s="632">
        <f>C971</f>
        <v>7.51</v>
      </c>
      <c r="E971" s="632">
        <f t="shared" si="804"/>
        <v>7.51</v>
      </c>
      <c r="F971" s="632">
        <f t="shared" si="804"/>
        <v>7.51</v>
      </c>
      <c r="G971" s="632">
        <f t="shared" si="804"/>
        <v>7.51</v>
      </c>
      <c r="H971" s="632">
        <f t="shared" si="804"/>
        <v>7.51</v>
      </c>
      <c r="I971" s="632">
        <f t="shared" si="804"/>
        <v>7.51</v>
      </c>
      <c r="J971" s="632">
        <f t="shared" si="804"/>
        <v>7.51</v>
      </c>
      <c r="K971" s="632">
        <f t="shared" si="804"/>
        <v>7.51</v>
      </c>
      <c r="L971" s="632">
        <f t="shared" si="804"/>
        <v>7.51</v>
      </c>
      <c r="M971" s="632">
        <f t="shared" si="804"/>
        <v>7.51</v>
      </c>
      <c r="N971" s="632">
        <f t="shared" si="804"/>
        <v>7.51</v>
      </c>
      <c r="O971" s="632">
        <f t="shared" si="804"/>
        <v>7.51</v>
      </c>
      <c r="P971" s="632">
        <f t="shared" si="804"/>
        <v>7.51</v>
      </c>
      <c r="Q971" s="632">
        <f t="shared" si="804"/>
        <v>7.51</v>
      </c>
      <c r="R971" s="632">
        <f t="shared" si="804"/>
        <v>7.51</v>
      </c>
      <c r="S971" s="632">
        <f t="shared" si="804"/>
        <v>7.51</v>
      </c>
      <c r="T971" s="632">
        <f t="shared" si="804"/>
        <v>7.51</v>
      </c>
      <c r="U971" s="632">
        <f t="shared" si="805"/>
        <v>7.51</v>
      </c>
      <c r="V971" s="632">
        <f t="shared" si="805"/>
        <v>7.51</v>
      </c>
      <c r="W971" s="632">
        <f t="shared" si="805"/>
        <v>7.51</v>
      </c>
      <c r="X971" s="632">
        <f t="shared" si="805"/>
        <v>7.51</v>
      </c>
      <c r="Y971" s="632">
        <f t="shared" si="805"/>
        <v>7.51</v>
      </c>
      <c r="Z971" s="632">
        <f t="shared" si="805"/>
        <v>7.51</v>
      </c>
      <c r="AA971" s="632">
        <f t="shared" si="805"/>
        <v>7.51</v>
      </c>
      <c r="AB971" s="632">
        <f t="shared" si="805"/>
        <v>7.51</v>
      </c>
      <c r="AC971" s="632">
        <f t="shared" si="805"/>
        <v>7.51</v>
      </c>
      <c r="AD971" s="632">
        <f t="shared" si="805"/>
        <v>7.51</v>
      </c>
      <c r="AE971" s="632">
        <f t="shared" si="805"/>
        <v>7.51</v>
      </c>
      <c r="AF971" s="632">
        <f t="shared" si="805"/>
        <v>7.51</v>
      </c>
      <c r="AH971" s="587"/>
      <c r="AK971" s="588"/>
      <c r="AM971" s="624"/>
      <c r="AN971" s="590"/>
      <c r="AP971" s="591"/>
      <c r="AQ971" s="591"/>
    </row>
    <row r="972" spans="1:43" s="634" customFormat="1" ht="16.5" hidden="1" customHeight="1" outlineLevel="2">
      <c r="A972" s="584"/>
      <c r="B972" s="580" t="s">
        <v>829</v>
      </c>
      <c r="C972" s="583">
        <f>C973*C974*C975*C976</f>
        <v>3045.9961599999997</v>
      </c>
      <c r="D972" s="583">
        <f t="shared" ref="D972:AF972" si="806">D973*D974*D975*D976</f>
        <v>3045.9961599999997</v>
      </c>
      <c r="E972" s="583">
        <f t="shared" si="806"/>
        <v>3045.9961599999997</v>
      </c>
      <c r="F972" s="583">
        <f t="shared" si="806"/>
        <v>3045.9961599999997</v>
      </c>
      <c r="G972" s="583">
        <f t="shared" si="806"/>
        <v>3045.9961599999997</v>
      </c>
      <c r="H972" s="583">
        <f t="shared" si="806"/>
        <v>3045.9961599999997</v>
      </c>
      <c r="I972" s="583">
        <f t="shared" si="806"/>
        <v>3045.9961599999997</v>
      </c>
      <c r="J972" s="583">
        <f t="shared" si="806"/>
        <v>3045.9961599999997</v>
      </c>
      <c r="K972" s="583">
        <f t="shared" si="806"/>
        <v>3045.9961599999997</v>
      </c>
      <c r="L972" s="583">
        <f t="shared" si="806"/>
        <v>3045.9961599999997</v>
      </c>
      <c r="M972" s="583">
        <f t="shared" si="806"/>
        <v>3045.9961599999997</v>
      </c>
      <c r="N972" s="583">
        <f t="shared" si="806"/>
        <v>3045.9961599999997</v>
      </c>
      <c r="O972" s="583">
        <f t="shared" si="806"/>
        <v>3045.9961599999997</v>
      </c>
      <c r="P972" s="583">
        <f t="shared" si="806"/>
        <v>3045.9961599999997</v>
      </c>
      <c r="Q972" s="583">
        <f t="shared" si="806"/>
        <v>3045.9961599999997</v>
      </c>
      <c r="R972" s="583">
        <f t="shared" si="806"/>
        <v>3045.9961599999997</v>
      </c>
      <c r="S972" s="583">
        <f t="shared" si="806"/>
        <v>3045.9961599999997</v>
      </c>
      <c r="T972" s="583">
        <f t="shared" si="806"/>
        <v>3045.9961599999997</v>
      </c>
      <c r="U972" s="583">
        <f t="shared" si="806"/>
        <v>3045.9961599999997</v>
      </c>
      <c r="V972" s="583">
        <f t="shared" si="806"/>
        <v>3045.9961599999997</v>
      </c>
      <c r="W972" s="583">
        <f t="shared" si="806"/>
        <v>3045.9961599999997</v>
      </c>
      <c r="X972" s="583">
        <f t="shared" si="806"/>
        <v>3045.9961599999997</v>
      </c>
      <c r="Y972" s="583">
        <f t="shared" si="806"/>
        <v>3045.9961599999997</v>
      </c>
      <c r="Z972" s="583">
        <f t="shared" si="806"/>
        <v>3045.9961599999997</v>
      </c>
      <c r="AA972" s="583">
        <f t="shared" si="806"/>
        <v>3045.9961599999997</v>
      </c>
      <c r="AB972" s="583">
        <f t="shared" si="806"/>
        <v>3045.9961599999997</v>
      </c>
      <c r="AC972" s="583">
        <f t="shared" si="806"/>
        <v>3045.9961599999997</v>
      </c>
      <c r="AD972" s="583">
        <f t="shared" si="806"/>
        <v>3045.9961599999997</v>
      </c>
      <c r="AE972" s="583">
        <f t="shared" si="806"/>
        <v>3045.9961599999997</v>
      </c>
      <c r="AF972" s="583">
        <f t="shared" si="806"/>
        <v>3045.9961599999997</v>
      </c>
      <c r="AH972" s="635"/>
      <c r="AK972" s="588"/>
      <c r="AM972" s="624"/>
      <c r="AN972" s="590"/>
      <c r="AP972" s="636"/>
      <c r="AQ972" s="636"/>
    </row>
    <row r="973" spans="1:43" s="513" customFormat="1" ht="16.5" hidden="1" customHeight="1" outlineLevel="2">
      <c r="A973" s="584"/>
      <c r="B973" s="572" t="s">
        <v>805</v>
      </c>
      <c r="C973" s="573">
        <f t="shared" ref="C973:AF973" si="807">C935</f>
        <v>2</v>
      </c>
      <c r="D973" s="573">
        <f t="shared" si="807"/>
        <v>2</v>
      </c>
      <c r="E973" s="573">
        <f t="shared" si="807"/>
        <v>2</v>
      </c>
      <c r="F973" s="573">
        <f t="shared" si="807"/>
        <v>2</v>
      </c>
      <c r="G973" s="573">
        <f t="shared" si="807"/>
        <v>2</v>
      </c>
      <c r="H973" s="573">
        <f t="shared" si="807"/>
        <v>2</v>
      </c>
      <c r="I973" s="573">
        <f t="shared" si="807"/>
        <v>2</v>
      </c>
      <c r="J973" s="573">
        <f t="shared" si="807"/>
        <v>2</v>
      </c>
      <c r="K973" s="573">
        <f t="shared" si="807"/>
        <v>2</v>
      </c>
      <c r="L973" s="573">
        <f t="shared" si="807"/>
        <v>2</v>
      </c>
      <c r="M973" s="573">
        <f t="shared" si="807"/>
        <v>2</v>
      </c>
      <c r="N973" s="573">
        <f t="shared" si="807"/>
        <v>2</v>
      </c>
      <c r="O973" s="573">
        <f t="shared" si="807"/>
        <v>2</v>
      </c>
      <c r="P973" s="573">
        <f t="shared" si="807"/>
        <v>2</v>
      </c>
      <c r="Q973" s="573">
        <f t="shared" si="807"/>
        <v>2</v>
      </c>
      <c r="R973" s="573">
        <f t="shared" si="807"/>
        <v>2</v>
      </c>
      <c r="S973" s="573">
        <f t="shared" si="807"/>
        <v>2</v>
      </c>
      <c r="T973" s="573">
        <f t="shared" si="807"/>
        <v>2</v>
      </c>
      <c r="U973" s="573">
        <f t="shared" si="807"/>
        <v>2</v>
      </c>
      <c r="V973" s="573">
        <f t="shared" si="807"/>
        <v>2</v>
      </c>
      <c r="W973" s="573">
        <f t="shared" si="807"/>
        <v>2</v>
      </c>
      <c r="X973" s="573">
        <f t="shared" si="807"/>
        <v>2</v>
      </c>
      <c r="Y973" s="573">
        <f t="shared" si="807"/>
        <v>2</v>
      </c>
      <c r="Z973" s="573">
        <f t="shared" si="807"/>
        <v>2</v>
      </c>
      <c r="AA973" s="573">
        <f t="shared" si="807"/>
        <v>2</v>
      </c>
      <c r="AB973" s="573">
        <f t="shared" si="807"/>
        <v>2</v>
      </c>
      <c r="AC973" s="573">
        <f t="shared" si="807"/>
        <v>2</v>
      </c>
      <c r="AD973" s="573">
        <f t="shared" si="807"/>
        <v>2</v>
      </c>
      <c r="AE973" s="573">
        <f t="shared" si="807"/>
        <v>2</v>
      </c>
      <c r="AF973" s="573">
        <f t="shared" si="807"/>
        <v>2</v>
      </c>
      <c r="AH973" s="538"/>
      <c r="AK973" s="719"/>
      <c r="AM973" s="594"/>
      <c r="AN973" s="535"/>
      <c r="AP973" s="540"/>
      <c r="AQ973" s="540"/>
    </row>
    <row r="974" spans="1:43" s="586" customFormat="1" ht="16.5" hidden="1" customHeight="1" outlineLevel="2">
      <c r="A974" s="584"/>
      <c r="B974" s="585" t="s">
        <v>968</v>
      </c>
      <c r="C974" s="632">
        <f>302/12</f>
        <v>25.166666666666668</v>
      </c>
      <c r="D974" s="632">
        <f>C974</f>
        <v>25.166666666666668</v>
      </c>
      <c r="E974" s="632">
        <f t="shared" ref="E974:T976" si="808">D974</f>
        <v>25.166666666666668</v>
      </c>
      <c r="F974" s="632">
        <f t="shared" si="808"/>
        <v>25.166666666666668</v>
      </c>
      <c r="G974" s="632">
        <f t="shared" si="808"/>
        <v>25.166666666666668</v>
      </c>
      <c r="H974" s="632">
        <f t="shared" si="808"/>
        <v>25.166666666666668</v>
      </c>
      <c r="I974" s="632">
        <f t="shared" si="808"/>
        <v>25.166666666666668</v>
      </c>
      <c r="J974" s="632">
        <f t="shared" si="808"/>
        <v>25.166666666666668</v>
      </c>
      <c r="K974" s="632">
        <f t="shared" si="808"/>
        <v>25.166666666666668</v>
      </c>
      <c r="L974" s="632">
        <f t="shared" si="808"/>
        <v>25.166666666666668</v>
      </c>
      <c r="M974" s="632">
        <f t="shared" si="808"/>
        <v>25.166666666666668</v>
      </c>
      <c r="N974" s="632">
        <f t="shared" si="808"/>
        <v>25.166666666666668</v>
      </c>
      <c r="O974" s="632">
        <f t="shared" si="808"/>
        <v>25.166666666666668</v>
      </c>
      <c r="P974" s="632">
        <f t="shared" si="808"/>
        <v>25.166666666666668</v>
      </c>
      <c r="Q974" s="632">
        <f t="shared" si="808"/>
        <v>25.166666666666668</v>
      </c>
      <c r="R974" s="632">
        <f t="shared" si="808"/>
        <v>25.166666666666668</v>
      </c>
      <c r="S974" s="632">
        <f t="shared" si="808"/>
        <v>25.166666666666668</v>
      </c>
      <c r="T974" s="632">
        <f t="shared" si="808"/>
        <v>25.166666666666668</v>
      </c>
      <c r="U974" s="632">
        <f t="shared" ref="U974:AF976" si="809">T974</f>
        <v>25.166666666666668</v>
      </c>
      <c r="V974" s="632">
        <f t="shared" si="809"/>
        <v>25.166666666666668</v>
      </c>
      <c r="W974" s="632">
        <f t="shared" si="809"/>
        <v>25.166666666666668</v>
      </c>
      <c r="X974" s="632">
        <f t="shared" si="809"/>
        <v>25.166666666666668</v>
      </c>
      <c r="Y974" s="632">
        <f t="shared" si="809"/>
        <v>25.166666666666668</v>
      </c>
      <c r="Z974" s="632">
        <f t="shared" si="809"/>
        <v>25.166666666666668</v>
      </c>
      <c r="AA974" s="632">
        <f t="shared" si="809"/>
        <v>25.166666666666668</v>
      </c>
      <c r="AB974" s="632">
        <f t="shared" si="809"/>
        <v>25.166666666666668</v>
      </c>
      <c r="AC974" s="632">
        <f t="shared" si="809"/>
        <v>25.166666666666668</v>
      </c>
      <c r="AD974" s="632">
        <f t="shared" si="809"/>
        <v>25.166666666666668</v>
      </c>
      <c r="AE974" s="632">
        <f t="shared" si="809"/>
        <v>25.166666666666668</v>
      </c>
      <c r="AF974" s="632">
        <f t="shared" si="809"/>
        <v>25.166666666666668</v>
      </c>
      <c r="AH974" s="587"/>
      <c r="AK974" s="588"/>
      <c r="AM974" s="624"/>
      <c r="AN974" s="590"/>
      <c r="AP974" s="591"/>
      <c r="AQ974" s="591"/>
    </row>
    <row r="975" spans="1:43" s="586" customFormat="1" ht="16.5" hidden="1" customHeight="1" outlineLevel="2">
      <c r="A975" s="584"/>
      <c r="B975" s="585" t="s">
        <v>969</v>
      </c>
      <c r="C975" s="632">
        <f>1.2*7.33</f>
        <v>8.7959999999999994</v>
      </c>
      <c r="D975" s="632">
        <f>C975</f>
        <v>8.7959999999999994</v>
      </c>
      <c r="E975" s="632">
        <f t="shared" si="808"/>
        <v>8.7959999999999994</v>
      </c>
      <c r="F975" s="632">
        <f t="shared" si="808"/>
        <v>8.7959999999999994</v>
      </c>
      <c r="G975" s="632">
        <f t="shared" si="808"/>
        <v>8.7959999999999994</v>
      </c>
      <c r="H975" s="632">
        <f t="shared" si="808"/>
        <v>8.7959999999999994</v>
      </c>
      <c r="I975" s="632">
        <f t="shared" si="808"/>
        <v>8.7959999999999994</v>
      </c>
      <c r="J975" s="632">
        <f t="shared" si="808"/>
        <v>8.7959999999999994</v>
      </c>
      <c r="K975" s="632">
        <f t="shared" si="808"/>
        <v>8.7959999999999994</v>
      </c>
      <c r="L975" s="632">
        <f t="shared" si="808"/>
        <v>8.7959999999999994</v>
      </c>
      <c r="M975" s="632">
        <f t="shared" si="808"/>
        <v>8.7959999999999994</v>
      </c>
      <c r="N975" s="632">
        <f t="shared" si="808"/>
        <v>8.7959999999999994</v>
      </c>
      <c r="O975" s="632">
        <f t="shared" si="808"/>
        <v>8.7959999999999994</v>
      </c>
      <c r="P975" s="632">
        <f t="shared" si="808"/>
        <v>8.7959999999999994</v>
      </c>
      <c r="Q975" s="632">
        <f t="shared" si="808"/>
        <v>8.7959999999999994</v>
      </c>
      <c r="R975" s="632">
        <f t="shared" si="808"/>
        <v>8.7959999999999994</v>
      </c>
      <c r="S975" s="632">
        <f t="shared" si="808"/>
        <v>8.7959999999999994</v>
      </c>
      <c r="T975" s="632">
        <f t="shared" si="808"/>
        <v>8.7959999999999994</v>
      </c>
      <c r="U975" s="632">
        <f t="shared" si="809"/>
        <v>8.7959999999999994</v>
      </c>
      <c r="V975" s="632">
        <f t="shared" si="809"/>
        <v>8.7959999999999994</v>
      </c>
      <c r="W975" s="632">
        <f t="shared" si="809"/>
        <v>8.7959999999999994</v>
      </c>
      <c r="X975" s="632">
        <f t="shared" si="809"/>
        <v>8.7959999999999994</v>
      </c>
      <c r="Y975" s="632">
        <f t="shared" si="809"/>
        <v>8.7959999999999994</v>
      </c>
      <c r="Z975" s="632">
        <f t="shared" si="809"/>
        <v>8.7959999999999994</v>
      </c>
      <c r="AA975" s="632">
        <f t="shared" si="809"/>
        <v>8.7959999999999994</v>
      </c>
      <c r="AB975" s="632">
        <f t="shared" si="809"/>
        <v>8.7959999999999994</v>
      </c>
      <c r="AC975" s="632">
        <f t="shared" si="809"/>
        <v>8.7959999999999994</v>
      </c>
      <c r="AD975" s="632">
        <f t="shared" si="809"/>
        <v>8.7959999999999994</v>
      </c>
      <c r="AE975" s="632">
        <f t="shared" si="809"/>
        <v>8.7959999999999994</v>
      </c>
      <c r="AF975" s="632">
        <f t="shared" si="809"/>
        <v>8.7959999999999994</v>
      </c>
      <c r="AH975" s="587"/>
      <c r="AK975" s="588"/>
      <c r="AM975" s="624"/>
      <c r="AN975" s="590"/>
      <c r="AP975" s="591"/>
      <c r="AQ975" s="591"/>
    </row>
    <row r="976" spans="1:43" s="513" customFormat="1" ht="16.5" hidden="1" customHeight="1" outlineLevel="2">
      <c r="A976" s="584"/>
      <c r="B976" s="572" t="s">
        <v>888</v>
      </c>
      <c r="C976" s="574">
        <f>Insumos!$E$40</f>
        <v>6.88</v>
      </c>
      <c r="D976" s="574">
        <f>C976</f>
        <v>6.88</v>
      </c>
      <c r="E976" s="574">
        <f t="shared" si="808"/>
        <v>6.88</v>
      </c>
      <c r="F976" s="574">
        <f t="shared" si="808"/>
        <v>6.88</v>
      </c>
      <c r="G976" s="574">
        <f t="shared" si="808"/>
        <v>6.88</v>
      </c>
      <c r="H976" s="574">
        <f t="shared" si="808"/>
        <v>6.88</v>
      </c>
      <c r="I976" s="574">
        <f t="shared" si="808"/>
        <v>6.88</v>
      </c>
      <c r="J976" s="574">
        <f t="shared" si="808"/>
        <v>6.88</v>
      </c>
      <c r="K976" s="574">
        <f t="shared" si="808"/>
        <v>6.88</v>
      </c>
      <c r="L976" s="574">
        <f t="shared" si="808"/>
        <v>6.88</v>
      </c>
      <c r="M976" s="574">
        <f t="shared" si="808"/>
        <v>6.88</v>
      </c>
      <c r="N976" s="574">
        <f t="shared" si="808"/>
        <v>6.88</v>
      </c>
      <c r="O976" s="574">
        <f t="shared" si="808"/>
        <v>6.88</v>
      </c>
      <c r="P976" s="574">
        <f t="shared" si="808"/>
        <v>6.88</v>
      </c>
      <c r="Q976" s="574">
        <f t="shared" si="808"/>
        <v>6.88</v>
      </c>
      <c r="R976" s="574">
        <f t="shared" si="808"/>
        <v>6.88</v>
      </c>
      <c r="S976" s="574">
        <f t="shared" si="808"/>
        <v>6.88</v>
      </c>
      <c r="T976" s="574">
        <f t="shared" si="808"/>
        <v>6.88</v>
      </c>
      <c r="U976" s="574">
        <f t="shared" si="809"/>
        <v>6.88</v>
      </c>
      <c r="V976" s="574">
        <f t="shared" si="809"/>
        <v>6.88</v>
      </c>
      <c r="W976" s="574">
        <f t="shared" si="809"/>
        <v>6.88</v>
      </c>
      <c r="X976" s="574">
        <f t="shared" si="809"/>
        <v>6.88</v>
      </c>
      <c r="Y976" s="574">
        <f t="shared" si="809"/>
        <v>6.88</v>
      </c>
      <c r="Z976" s="574">
        <f t="shared" si="809"/>
        <v>6.88</v>
      </c>
      <c r="AA976" s="574">
        <f t="shared" si="809"/>
        <v>6.88</v>
      </c>
      <c r="AB976" s="574">
        <f t="shared" si="809"/>
        <v>6.88</v>
      </c>
      <c r="AC976" s="574">
        <f t="shared" si="809"/>
        <v>6.88</v>
      </c>
      <c r="AD976" s="574">
        <f t="shared" si="809"/>
        <v>6.88</v>
      </c>
      <c r="AE976" s="574">
        <f t="shared" si="809"/>
        <v>6.88</v>
      </c>
      <c r="AF976" s="574">
        <f t="shared" si="809"/>
        <v>6.88</v>
      </c>
      <c r="AH976" s="538"/>
      <c r="AK976" s="531"/>
      <c r="AM976" s="594"/>
      <c r="AN976" s="535"/>
      <c r="AP976" s="540"/>
      <c r="AQ976" s="540"/>
    </row>
    <row r="977" spans="1:43" s="513" customFormat="1" ht="3" hidden="1" customHeight="1" outlineLevel="2">
      <c r="A977" s="584"/>
      <c r="B977" s="572"/>
      <c r="C977" s="574"/>
      <c r="D977" s="574"/>
      <c r="E977" s="574"/>
      <c r="F977" s="574"/>
      <c r="G977" s="574"/>
      <c r="H977" s="574"/>
      <c r="I977" s="574"/>
      <c r="J977" s="574"/>
      <c r="K977" s="574"/>
      <c r="L977" s="574"/>
      <c r="M977" s="574"/>
      <c r="N977" s="574"/>
      <c r="O977" s="574"/>
      <c r="P977" s="574"/>
      <c r="Q977" s="574"/>
      <c r="R977" s="574"/>
      <c r="S977" s="574"/>
      <c r="T977" s="574"/>
      <c r="U977" s="574"/>
      <c r="V977" s="574"/>
      <c r="W977" s="574"/>
      <c r="X977" s="574"/>
      <c r="Y977" s="574"/>
      <c r="Z977" s="574"/>
      <c r="AA977" s="574"/>
      <c r="AB977" s="574"/>
      <c r="AC977" s="574"/>
      <c r="AD977" s="574"/>
      <c r="AE977" s="574"/>
      <c r="AF977" s="574"/>
      <c r="AH977" s="538"/>
      <c r="AK977" s="531"/>
      <c r="AM977" s="594"/>
      <c r="AN977" s="535"/>
      <c r="AP977" s="540"/>
      <c r="AQ977" s="540"/>
    </row>
    <row r="978" spans="1:43" s="564" customFormat="1" ht="16.5" hidden="1" customHeight="1" outlineLevel="1" collapsed="1">
      <c r="A978" s="584"/>
      <c r="B978" s="576" t="s">
        <v>897</v>
      </c>
      <c r="C978" s="577">
        <f>SUM(C979,C983,C987)*12/10^3</f>
        <v>7.7376624000000005</v>
      </c>
      <c r="D978" s="577">
        <f t="shared" ref="D978:AF978" si="810">SUM(D979,D983,D987)*12/10^3</f>
        <v>7.7376624000000005</v>
      </c>
      <c r="E978" s="577">
        <f t="shared" si="810"/>
        <v>7.7376624000000005</v>
      </c>
      <c r="F978" s="577">
        <f t="shared" si="810"/>
        <v>7.7376624000000005</v>
      </c>
      <c r="G978" s="577">
        <f t="shared" si="810"/>
        <v>7.7376624000000005</v>
      </c>
      <c r="H978" s="577">
        <f t="shared" si="810"/>
        <v>7.7376624000000005</v>
      </c>
      <c r="I978" s="577">
        <f t="shared" si="810"/>
        <v>7.7376624000000005</v>
      </c>
      <c r="J978" s="577">
        <f t="shared" si="810"/>
        <v>7.7376624000000005</v>
      </c>
      <c r="K978" s="577">
        <f t="shared" si="810"/>
        <v>7.7376624000000005</v>
      </c>
      <c r="L978" s="577">
        <f t="shared" si="810"/>
        <v>7.7376624000000005</v>
      </c>
      <c r="M978" s="577">
        <f t="shared" si="810"/>
        <v>7.7376624000000005</v>
      </c>
      <c r="N978" s="577">
        <f t="shared" si="810"/>
        <v>7.7376624000000005</v>
      </c>
      <c r="O978" s="577">
        <f t="shared" si="810"/>
        <v>7.7376624000000005</v>
      </c>
      <c r="P978" s="577">
        <f t="shared" si="810"/>
        <v>7.7376624000000005</v>
      </c>
      <c r="Q978" s="577">
        <f t="shared" si="810"/>
        <v>7.7376624000000005</v>
      </c>
      <c r="R978" s="577">
        <f t="shared" si="810"/>
        <v>7.7376624000000005</v>
      </c>
      <c r="S978" s="577">
        <f t="shared" si="810"/>
        <v>7.7376624000000005</v>
      </c>
      <c r="T978" s="577">
        <f t="shared" si="810"/>
        <v>7.7376624000000005</v>
      </c>
      <c r="U978" s="577">
        <f t="shared" si="810"/>
        <v>7.7376624000000005</v>
      </c>
      <c r="V978" s="577">
        <f t="shared" si="810"/>
        <v>7.7376624000000005</v>
      </c>
      <c r="W978" s="577">
        <f t="shared" si="810"/>
        <v>7.7376624000000005</v>
      </c>
      <c r="X978" s="577">
        <f t="shared" si="810"/>
        <v>7.7376624000000005</v>
      </c>
      <c r="Y978" s="577">
        <f t="shared" si="810"/>
        <v>7.7376624000000005</v>
      </c>
      <c r="Z978" s="577">
        <f t="shared" si="810"/>
        <v>7.7376624000000005</v>
      </c>
      <c r="AA978" s="577">
        <f t="shared" si="810"/>
        <v>7.7376624000000005</v>
      </c>
      <c r="AB978" s="577">
        <f t="shared" si="810"/>
        <v>7.7376624000000005</v>
      </c>
      <c r="AC978" s="577">
        <f t="shared" si="810"/>
        <v>7.7376624000000005</v>
      </c>
      <c r="AD978" s="577">
        <f t="shared" si="810"/>
        <v>7.7376624000000005</v>
      </c>
      <c r="AE978" s="577">
        <f t="shared" si="810"/>
        <v>7.7376624000000005</v>
      </c>
      <c r="AF978" s="577">
        <f t="shared" si="810"/>
        <v>7.7376624000000005</v>
      </c>
      <c r="AH978" s="578">
        <f>SUM(C978:AF978)</f>
        <v>232.12987200000009</v>
      </c>
      <c r="AK978" s="531"/>
      <c r="AM978" s="594"/>
      <c r="AN978" s="535"/>
      <c r="AP978" s="568"/>
      <c r="AQ978" s="568"/>
    </row>
    <row r="979" spans="1:43" s="546" customFormat="1" ht="15" hidden="1" customHeight="1" outlineLevel="2">
      <c r="A979" s="584"/>
      <c r="B979" s="569" t="s">
        <v>828</v>
      </c>
      <c r="C979" s="581">
        <f>C980*C981*C982</f>
        <v>485.80000000000007</v>
      </c>
      <c r="D979" s="581">
        <f t="shared" ref="D979:AF979" si="811">D980*D981*D982</f>
        <v>485.80000000000007</v>
      </c>
      <c r="E979" s="581">
        <f t="shared" si="811"/>
        <v>485.80000000000007</v>
      </c>
      <c r="F979" s="581">
        <f t="shared" si="811"/>
        <v>485.80000000000007</v>
      </c>
      <c r="G979" s="581">
        <f t="shared" si="811"/>
        <v>485.80000000000007</v>
      </c>
      <c r="H979" s="581">
        <f t="shared" si="811"/>
        <v>485.80000000000007</v>
      </c>
      <c r="I979" s="581">
        <f t="shared" si="811"/>
        <v>485.80000000000007</v>
      </c>
      <c r="J979" s="581">
        <f t="shared" si="811"/>
        <v>485.80000000000007</v>
      </c>
      <c r="K979" s="581">
        <f t="shared" si="811"/>
        <v>485.80000000000007</v>
      </c>
      <c r="L979" s="581">
        <f t="shared" si="811"/>
        <v>485.80000000000007</v>
      </c>
      <c r="M979" s="581">
        <f t="shared" si="811"/>
        <v>485.80000000000007</v>
      </c>
      <c r="N979" s="581">
        <f t="shared" si="811"/>
        <v>485.80000000000007</v>
      </c>
      <c r="O979" s="581">
        <f t="shared" si="811"/>
        <v>485.80000000000007</v>
      </c>
      <c r="P979" s="581">
        <f t="shared" si="811"/>
        <v>485.80000000000007</v>
      </c>
      <c r="Q979" s="581">
        <f t="shared" si="811"/>
        <v>485.80000000000007</v>
      </c>
      <c r="R979" s="581">
        <f t="shared" si="811"/>
        <v>485.80000000000007</v>
      </c>
      <c r="S979" s="581">
        <f t="shared" si="811"/>
        <v>485.80000000000007</v>
      </c>
      <c r="T979" s="581">
        <f t="shared" si="811"/>
        <v>485.80000000000007</v>
      </c>
      <c r="U979" s="581">
        <f t="shared" si="811"/>
        <v>485.80000000000007</v>
      </c>
      <c r="V979" s="581">
        <f t="shared" si="811"/>
        <v>485.80000000000007</v>
      </c>
      <c r="W979" s="581">
        <f t="shared" si="811"/>
        <v>485.80000000000007</v>
      </c>
      <c r="X979" s="581">
        <f t="shared" si="811"/>
        <v>485.80000000000007</v>
      </c>
      <c r="Y979" s="581">
        <f t="shared" si="811"/>
        <v>485.80000000000007</v>
      </c>
      <c r="Z979" s="581">
        <f t="shared" si="811"/>
        <v>485.80000000000007</v>
      </c>
      <c r="AA979" s="581">
        <f t="shared" si="811"/>
        <v>485.80000000000007</v>
      </c>
      <c r="AB979" s="581">
        <f t="shared" si="811"/>
        <v>485.80000000000007</v>
      </c>
      <c r="AC979" s="581">
        <f t="shared" si="811"/>
        <v>485.80000000000007</v>
      </c>
      <c r="AD979" s="581">
        <f t="shared" si="811"/>
        <v>485.80000000000007</v>
      </c>
      <c r="AE979" s="581">
        <f t="shared" si="811"/>
        <v>485.80000000000007</v>
      </c>
      <c r="AF979" s="581">
        <f t="shared" si="811"/>
        <v>485.80000000000007</v>
      </c>
      <c r="AH979" s="571"/>
      <c r="AK979" s="531"/>
      <c r="AM979" s="594"/>
      <c r="AN979" s="535"/>
      <c r="AP979" s="549"/>
      <c r="AQ979" s="549"/>
    </row>
    <row r="980" spans="1:43" s="513" customFormat="1" ht="16.5" hidden="1" customHeight="1" outlineLevel="2">
      <c r="A980" s="584"/>
      <c r="B980" s="572" t="s">
        <v>805</v>
      </c>
      <c r="C980" s="573">
        <v>14</v>
      </c>
      <c r="D980" s="573">
        <v>14</v>
      </c>
      <c r="E980" s="573">
        <v>14</v>
      </c>
      <c r="F980" s="573">
        <v>14</v>
      </c>
      <c r="G980" s="573">
        <v>14</v>
      </c>
      <c r="H980" s="573">
        <v>14</v>
      </c>
      <c r="I980" s="573">
        <v>14</v>
      </c>
      <c r="J980" s="573">
        <v>14</v>
      </c>
      <c r="K980" s="573">
        <v>14</v>
      </c>
      <c r="L980" s="573">
        <v>14</v>
      </c>
      <c r="M980" s="573">
        <v>14</v>
      </c>
      <c r="N980" s="573">
        <v>14</v>
      </c>
      <c r="O980" s="573">
        <v>14</v>
      </c>
      <c r="P980" s="573">
        <v>14</v>
      </c>
      <c r="Q980" s="573">
        <v>14</v>
      </c>
      <c r="R980" s="573">
        <v>14</v>
      </c>
      <c r="S980" s="573">
        <v>14</v>
      </c>
      <c r="T980" s="573">
        <v>14</v>
      </c>
      <c r="U980" s="573">
        <v>14</v>
      </c>
      <c r="V980" s="573">
        <v>14</v>
      </c>
      <c r="W980" s="573">
        <v>14</v>
      </c>
      <c r="X980" s="573">
        <v>14</v>
      </c>
      <c r="Y980" s="573">
        <v>14</v>
      </c>
      <c r="Z980" s="573">
        <v>14</v>
      </c>
      <c r="AA980" s="573">
        <v>14</v>
      </c>
      <c r="AB980" s="573">
        <v>14</v>
      </c>
      <c r="AC980" s="573">
        <v>14</v>
      </c>
      <c r="AD980" s="573">
        <v>14</v>
      </c>
      <c r="AE980" s="573">
        <v>14</v>
      </c>
      <c r="AF980" s="573">
        <v>14</v>
      </c>
      <c r="AH980" s="538"/>
      <c r="AK980" s="719"/>
      <c r="AM980" s="594"/>
      <c r="AN980" s="535"/>
      <c r="AP980" s="540"/>
      <c r="AQ980" s="540"/>
    </row>
    <row r="981" spans="1:43" s="513" customFormat="1" ht="16.5" hidden="1" customHeight="1" outlineLevel="2">
      <c r="A981" s="584"/>
      <c r="B981" s="596" t="s">
        <v>971</v>
      </c>
      <c r="C981" s="574">
        <v>1</v>
      </c>
      <c r="D981" s="574">
        <f>C981</f>
        <v>1</v>
      </c>
      <c r="E981" s="574">
        <f t="shared" ref="E981:T982" si="812">D981</f>
        <v>1</v>
      </c>
      <c r="F981" s="574">
        <f t="shared" si="812"/>
        <v>1</v>
      </c>
      <c r="G981" s="574">
        <f t="shared" si="812"/>
        <v>1</v>
      </c>
      <c r="H981" s="574">
        <f t="shared" si="812"/>
        <v>1</v>
      </c>
      <c r="I981" s="574">
        <f t="shared" si="812"/>
        <v>1</v>
      </c>
      <c r="J981" s="574">
        <f t="shared" si="812"/>
        <v>1</v>
      </c>
      <c r="K981" s="574">
        <f t="shared" si="812"/>
        <v>1</v>
      </c>
      <c r="L981" s="574">
        <f t="shared" si="812"/>
        <v>1</v>
      </c>
      <c r="M981" s="574">
        <f t="shared" si="812"/>
        <v>1</v>
      </c>
      <c r="N981" s="574">
        <f t="shared" si="812"/>
        <v>1</v>
      </c>
      <c r="O981" s="574">
        <f t="shared" si="812"/>
        <v>1</v>
      </c>
      <c r="P981" s="574">
        <f t="shared" si="812"/>
        <v>1</v>
      </c>
      <c r="Q981" s="574">
        <f t="shared" si="812"/>
        <v>1</v>
      </c>
      <c r="R981" s="574">
        <f t="shared" si="812"/>
        <v>1</v>
      </c>
      <c r="S981" s="574">
        <f t="shared" si="812"/>
        <v>1</v>
      </c>
      <c r="T981" s="574">
        <f t="shared" si="812"/>
        <v>1</v>
      </c>
      <c r="U981" s="574">
        <f t="shared" ref="U981:AF982" si="813">T981</f>
        <v>1</v>
      </c>
      <c r="V981" s="574">
        <f t="shared" si="813"/>
        <v>1</v>
      </c>
      <c r="W981" s="574">
        <f t="shared" si="813"/>
        <v>1</v>
      </c>
      <c r="X981" s="574">
        <f t="shared" si="813"/>
        <v>1</v>
      </c>
      <c r="Y981" s="574">
        <f t="shared" si="813"/>
        <v>1</v>
      </c>
      <c r="Z981" s="574">
        <f t="shared" si="813"/>
        <v>1</v>
      </c>
      <c r="AA981" s="574">
        <f t="shared" si="813"/>
        <v>1</v>
      </c>
      <c r="AB981" s="574">
        <f t="shared" si="813"/>
        <v>1</v>
      </c>
      <c r="AC981" s="574">
        <f t="shared" si="813"/>
        <v>1</v>
      </c>
      <c r="AD981" s="574">
        <f t="shared" si="813"/>
        <v>1</v>
      </c>
      <c r="AE981" s="574">
        <f t="shared" si="813"/>
        <v>1</v>
      </c>
      <c r="AF981" s="574">
        <f t="shared" si="813"/>
        <v>1</v>
      </c>
      <c r="AH981" s="538"/>
      <c r="AK981" s="531"/>
      <c r="AM981" s="594"/>
      <c r="AN981" s="535"/>
      <c r="AP981" s="540"/>
      <c r="AQ981" s="540"/>
    </row>
    <row r="982" spans="1:43" s="513" customFormat="1" ht="16.5" hidden="1" customHeight="1" outlineLevel="2">
      <c r="A982" s="584"/>
      <c r="B982" s="596" t="s">
        <v>972</v>
      </c>
      <c r="C982" s="574">
        <v>34.700000000000003</v>
      </c>
      <c r="D982" s="574">
        <f>C982</f>
        <v>34.700000000000003</v>
      </c>
      <c r="E982" s="574">
        <f t="shared" si="812"/>
        <v>34.700000000000003</v>
      </c>
      <c r="F982" s="574">
        <f t="shared" si="812"/>
        <v>34.700000000000003</v>
      </c>
      <c r="G982" s="574">
        <f t="shared" si="812"/>
        <v>34.700000000000003</v>
      </c>
      <c r="H982" s="574">
        <f t="shared" si="812"/>
        <v>34.700000000000003</v>
      </c>
      <c r="I982" s="574">
        <f t="shared" si="812"/>
        <v>34.700000000000003</v>
      </c>
      <c r="J982" s="574">
        <f t="shared" si="812"/>
        <v>34.700000000000003</v>
      </c>
      <c r="K982" s="574">
        <f t="shared" si="812"/>
        <v>34.700000000000003</v>
      </c>
      <c r="L982" s="574">
        <f t="shared" si="812"/>
        <v>34.700000000000003</v>
      </c>
      <c r="M982" s="574">
        <f t="shared" si="812"/>
        <v>34.700000000000003</v>
      </c>
      <c r="N982" s="574">
        <f t="shared" si="812"/>
        <v>34.700000000000003</v>
      </c>
      <c r="O982" s="574">
        <f t="shared" si="812"/>
        <v>34.700000000000003</v>
      </c>
      <c r="P982" s="574">
        <f t="shared" si="812"/>
        <v>34.700000000000003</v>
      </c>
      <c r="Q982" s="574">
        <f t="shared" si="812"/>
        <v>34.700000000000003</v>
      </c>
      <c r="R982" s="574">
        <f t="shared" si="812"/>
        <v>34.700000000000003</v>
      </c>
      <c r="S982" s="574">
        <f t="shared" si="812"/>
        <v>34.700000000000003</v>
      </c>
      <c r="T982" s="574">
        <f t="shared" si="812"/>
        <v>34.700000000000003</v>
      </c>
      <c r="U982" s="574">
        <f t="shared" si="813"/>
        <v>34.700000000000003</v>
      </c>
      <c r="V982" s="574">
        <f t="shared" si="813"/>
        <v>34.700000000000003</v>
      </c>
      <c r="W982" s="574">
        <f t="shared" si="813"/>
        <v>34.700000000000003</v>
      </c>
      <c r="X982" s="574">
        <f t="shared" si="813"/>
        <v>34.700000000000003</v>
      </c>
      <c r="Y982" s="574">
        <f t="shared" si="813"/>
        <v>34.700000000000003</v>
      </c>
      <c r="Z982" s="574">
        <f t="shared" si="813"/>
        <v>34.700000000000003</v>
      </c>
      <c r="AA982" s="574">
        <f t="shared" si="813"/>
        <v>34.700000000000003</v>
      </c>
      <c r="AB982" s="574">
        <f t="shared" si="813"/>
        <v>34.700000000000003</v>
      </c>
      <c r="AC982" s="574">
        <f t="shared" si="813"/>
        <v>34.700000000000003</v>
      </c>
      <c r="AD982" s="574">
        <f t="shared" si="813"/>
        <v>34.700000000000003</v>
      </c>
      <c r="AE982" s="574">
        <f t="shared" si="813"/>
        <v>34.700000000000003</v>
      </c>
      <c r="AF982" s="574">
        <f t="shared" si="813"/>
        <v>34.700000000000003</v>
      </c>
      <c r="AH982" s="538"/>
      <c r="AK982" s="531"/>
      <c r="AM982" s="594"/>
      <c r="AN982" s="535"/>
      <c r="AP982" s="540"/>
      <c r="AQ982" s="540"/>
    </row>
    <row r="983" spans="1:43" s="546" customFormat="1" ht="16.5" hidden="1" customHeight="1" outlineLevel="2">
      <c r="A983" s="584"/>
      <c r="B983" s="580" t="str">
        <f>B933</f>
        <v>Van Minibus</v>
      </c>
      <c r="C983" s="581">
        <f>C984*C985*C986</f>
        <v>89.605199999999996</v>
      </c>
      <c r="D983" s="581">
        <f t="shared" ref="D983:AF983" si="814">D984*D985*D986</f>
        <v>89.605199999999996</v>
      </c>
      <c r="E983" s="581">
        <f t="shared" si="814"/>
        <v>89.605199999999996</v>
      </c>
      <c r="F983" s="581">
        <f t="shared" si="814"/>
        <v>89.605199999999996</v>
      </c>
      <c r="G983" s="581">
        <f t="shared" si="814"/>
        <v>89.605199999999996</v>
      </c>
      <c r="H983" s="581">
        <f t="shared" si="814"/>
        <v>89.605199999999996</v>
      </c>
      <c r="I983" s="581">
        <f t="shared" si="814"/>
        <v>89.605199999999996</v>
      </c>
      <c r="J983" s="581">
        <f t="shared" si="814"/>
        <v>89.605199999999996</v>
      </c>
      <c r="K983" s="581">
        <f t="shared" si="814"/>
        <v>89.605199999999996</v>
      </c>
      <c r="L983" s="581">
        <f t="shared" si="814"/>
        <v>89.605199999999996</v>
      </c>
      <c r="M983" s="581">
        <f t="shared" si="814"/>
        <v>89.605199999999996</v>
      </c>
      <c r="N983" s="581">
        <f t="shared" si="814"/>
        <v>89.605199999999996</v>
      </c>
      <c r="O983" s="581">
        <f t="shared" si="814"/>
        <v>89.605199999999996</v>
      </c>
      <c r="P983" s="581">
        <f t="shared" si="814"/>
        <v>89.605199999999996</v>
      </c>
      <c r="Q983" s="581">
        <f t="shared" si="814"/>
        <v>89.605199999999996</v>
      </c>
      <c r="R983" s="581">
        <f t="shared" si="814"/>
        <v>89.605199999999996</v>
      </c>
      <c r="S983" s="581">
        <f t="shared" si="814"/>
        <v>89.605199999999996</v>
      </c>
      <c r="T983" s="581">
        <f t="shared" si="814"/>
        <v>89.605199999999996</v>
      </c>
      <c r="U983" s="581">
        <f t="shared" si="814"/>
        <v>89.605199999999996</v>
      </c>
      <c r="V983" s="581">
        <f t="shared" si="814"/>
        <v>89.605199999999996</v>
      </c>
      <c r="W983" s="581">
        <f t="shared" si="814"/>
        <v>89.605199999999996</v>
      </c>
      <c r="X983" s="581">
        <f t="shared" si="814"/>
        <v>89.605199999999996</v>
      </c>
      <c r="Y983" s="581">
        <f t="shared" si="814"/>
        <v>89.605199999999996</v>
      </c>
      <c r="Z983" s="581">
        <f t="shared" si="814"/>
        <v>89.605199999999996</v>
      </c>
      <c r="AA983" s="581">
        <f t="shared" si="814"/>
        <v>89.605199999999996</v>
      </c>
      <c r="AB983" s="581">
        <f t="shared" si="814"/>
        <v>89.605199999999996</v>
      </c>
      <c r="AC983" s="581">
        <f t="shared" si="814"/>
        <v>89.605199999999996</v>
      </c>
      <c r="AD983" s="581">
        <f t="shared" si="814"/>
        <v>89.605199999999996</v>
      </c>
      <c r="AE983" s="581">
        <f t="shared" si="814"/>
        <v>89.605199999999996</v>
      </c>
      <c r="AF983" s="581">
        <f t="shared" si="814"/>
        <v>89.605199999999996</v>
      </c>
      <c r="AH983" s="571"/>
      <c r="AK983" s="531"/>
      <c r="AM983" s="594"/>
      <c r="AN983" s="535"/>
      <c r="AP983" s="549"/>
      <c r="AQ983" s="549"/>
    </row>
    <row r="984" spans="1:43" s="513" customFormat="1" ht="16.5" hidden="1" customHeight="1" outlineLevel="2">
      <c r="A984" s="584"/>
      <c r="B984" s="572" t="s">
        <v>805</v>
      </c>
      <c r="C984" s="573">
        <f t="shared" ref="C984:AF984" si="815">C933</f>
        <v>1</v>
      </c>
      <c r="D984" s="573">
        <f t="shared" si="815"/>
        <v>1</v>
      </c>
      <c r="E984" s="573">
        <f t="shared" si="815"/>
        <v>1</v>
      </c>
      <c r="F984" s="573">
        <f t="shared" si="815"/>
        <v>1</v>
      </c>
      <c r="G984" s="573">
        <f t="shared" si="815"/>
        <v>1</v>
      </c>
      <c r="H984" s="573">
        <f t="shared" si="815"/>
        <v>1</v>
      </c>
      <c r="I984" s="573">
        <f t="shared" si="815"/>
        <v>1</v>
      </c>
      <c r="J984" s="573">
        <f t="shared" si="815"/>
        <v>1</v>
      </c>
      <c r="K984" s="573">
        <f t="shared" si="815"/>
        <v>1</v>
      </c>
      <c r="L984" s="573">
        <f t="shared" si="815"/>
        <v>1</v>
      </c>
      <c r="M984" s="573">
        <f t="shared" si="815"/>
        <v>1</v>
      </c>
      <c r="N984" s="573">
        <f t="shared" si="815"/>
        <v>1</v>
      </c>
      <c r="O984" s="573">
        <f t="shared" si="815"/>
        <v>1</v>
      </c>
      <c r="P984" s="573">
        <f t="shared" si="815"/>
        <v>1</v>
      </c>
      <c r="Q984" s="573">
        <f t="shared" si="815"/>
        <v>1</v>
      </c>
      <c r="R984" s="573">
        <f t="shared" si="815"/>
        <v>1</v>
      </c>
      <c r="S984" s="573">
        <f t="shared" si="815"/>
        <v>1</v>
      </c>
      <c r="T984" s="573">
        <f t="shared" si="815"/>
        <v>1</v>
      </c>
      <c r="U984" s="573">
        <f t="shared" si="815"/>
        <v>1</v>
      </c>
      <c r="V984" s="573">
        <f t="shared" si="815"/>
        <v>1</v>
      </c>
      <c r="W984" s="573">
        <f t="shared" si="815"/>
        <v>1</v>
      </c>
      <c r="X984" s="573">
        <f t="shared" si="815"/>
        <v>1</v>
      </c>
      <c r="Y984" s="573">
        <f t="shared" si="815"/>
        <v>1</v>
      </c>
      <c r="Z984" s="573">
        <f t="shared" si="815"/>
        <v>1</v>
      </c>
      <c r="AA984" s="573">
        <f t="shared" si="815"/>
        <v>1</v>
      </c>
      <c r="AB984" s="573">
        <f t="shared" si="815"/>
        <v>1</v>
      </c>
      <c r="AC984" s="573">
        <f t="shared" si="815"/>
        <v>1</v>
      </c>
      <c r="AD984" s="573">
        <f t="shared" si="815"/>
        <v>1</v>
      </c>
      <c r="AE984" s="573">
        <f t="shared" si="815"/>
        <v>1</v>
      </c>
      <c r="AF984" s="573">
        <f t="shared" si="815"/>
        <v>1</v>
      </c>
      <c r="AH984" s="538"/>
      <c r="AK984" s="719"/>
      <c r="AM984" s="594"/>
      <c r="AN984" s="535"/>
      <c r="AP984" s="540"/>
      <c r="AQ984" s="540"/>
    </row>
    <row r="985" spans="1:43" s="513" customFormat="1" ht="16.5" hidden="1" customHeight="1" outlineLevel="2">
      <c r="A985" s="584"/>
      <c r="B985" s="596" t="s">
        <v>895</v>
      </c>
      <c r="C985" s="574">
        <f t="shared" ref="C985:AF985" si="816">C949</f>
        <v>503.40000000000003</v>
      </c>
      <c r="D985" s="574">
        <f t="shared" si="816"/>
        <v>503.40000000000003</v>
      </c>
      <c r="E985" s="574">
        <f t="shared" si="816"/>
        <v>503.40000000000003</v>
      </c>
      <c r="F985" s="574">
        <f t="shared" si="816"/>
        <v>503.40000000000003</v>
      </c>
      <c r="G985" s="574">
        <f t="shared" si="816"/>
        <v>503.40000000000003</v>
      </c>
      <c r="H985" s="574">
        <f t="shared" si="816"/>
        <v>503.40000000000003</v>
      </c>
      <c r="I985" s="574">
        <f t="shared" si="816"/>
        <v>503.40000000000003</v>
      </c>
      <c r="J985" s="574">
        <f t="shared" si="816"/>
        <v>503.40000000000003</v>
      </c>
      <c r="K985" s="574">
        <f t="shared" si="816"/>
        <v>503.40000000000003</v>
      </c>
      <c r="L985" s="574">
        <f t="shared" si="816"/>
        <v>503.40000000000003</v>
      </c>
      <c r="M985" s="574">
        <f t="shared" si="816"/>
        <v>503.40000000000003</v>
      </c>
      <c r="N985" s="574">
        <f t="shared" si="816"/>
        <v>503.40000000000003</v>
      </c>
      <c r="O985" s="574">
        <f t="shared" si="816"/>
        <v>503.40000000000003</v>
      </c>
      <c r="P985" s="574">
        <f t="shared" si="816"/>
        <v>503.40000000000003</v>
      </c>
      <c r="Q985" s="574">
        <f t="shared" si="816"/>
        <v>503.40000000000003</v>
      </c>
      <c r="R985" s="574">
        <f t="shared" si="816"/>
        <v>503.40000000000003</v>
      </c>
      <c r="S985" s="574">
        <f t="shared" si="816"/>
        <v>503.40000000000003</v>
      </c>
      <c r="T985" s="574">
        <f t="shared" si="816"/>
        <v>503.40000000000003</v>
      </c>
      <c r="U985" s="574">
        <f t="shared" si="816"/>
        <v>503.40000000000003</v>
      </c>
      <c r="V985" s="574">
        <f t="shared" si="816"/>
        <v>503.40000000000003</v>
      </c>
      <c r="W985" s="574">
        <f t="shared" si="816"/>
        <v>503.40000000000003</v>
      </c>
      <c r="X985" s="574">
        <f t="shared" si="816"/>
        <v>503.40000000000003</v>
      </c>
      <c r="Y985" s="574">
        <f t="shared" si="816"/>
        <v>503.40000000000003</v>
      </c>
      <c r="Z985" s="574">
        <f t="shared" si="816"/>
        <v>503.40000000000003</v>
      </c>
      <c r="AA985" s="574">
        <f t="shared" si="816"/>
        <v>503.40000000000003</v>
      </c>
      <c r="AB985" s="574">
        <f t="shared" si="816"/>
        <v>503.40000000000003</v>
      </c>
      <c r="AC985" s="574">
        <f t="shared" si="816"/>
        <v>503.40000000000003</v>
      </c>
      <c r="AD985" s="574">
        <f t="shared" si="816"/>
        <v>503.40000000000003</v>
      </c>
      <c r="AE985" s="574">
        <f t="shared" si="816"/>
        <v>503.40000000000003</v>
      </c>
      <c r="AF985" s="574">
        <f t="shared" si="816"/>
        <v>503.40000000000003</v>
      </c>
      <c r="AH985" s="538"/>
      <c r="AK985" s="531"/>
      <c r="AM985" s="594"/>
      <c r="AN985" s="535"/>
      <c r="AP985" s="540"/>
      <c r="AQ985" s="540"/>
    </row>
    <row r="986" spans="1:43" s="513" customFormat="1" ht="16.5" hidden="1" customHeight="1" outlineLevel="2">
      <c r="A986" s="584"/>
      <c r="B986" s="596" t="s">
        <v>898</v>
      </c>
      <c r="C986" s="597">
        <v>0.17799999999999999</v>
      </c>
      <c r="D986" s="597">
        <f>C986</f>
        <v>0.17799999999999999</v>
      </c>
      <c r="E986" s="597">
        <f t="shared" ref="E986:AF986" si="817">D986</f>
        <v>0.17799999999999999</v>
      </c>
      <c r="F986" s="597">
        <f t="shared" si="817"/>
        <v>0.17799999999999999</v>
      </c>
      <c r="G986" s="597">
        <f t="shared" si="817"/>
        <v>0.17799999999999999</v>
      </c>
      <c r="H986" s="597">
        <f t="shared" si="817"/>
        <v>0.17799999999999999</v>
      </c>
      <c r="I986" s="597">
        <f t="shared" si="817"/>
        <v>0.17799999999999999</v>
      </c>
      <c r="J986" s="597">
        <f t="shared" si="817"/>
        <v>0.17799999999999999</v>
      </c>
      <c r="K986" s="597">
        <f t="shared" si="817"/>
        <v>0.17799999999999999</v>
      </c>
      <c r="L986" s="597">
        <f t="shared" si="817"/>
        <v>0.17799999999999999</v>
      </c>
      <c r="M986" s="597">
        <f t="shared" si="817"/>
        <v>0.17799999999999999</v>
      </c>
      <c r="N986" s="597">
        <f t="shared" si="817"/>
        <v>0.17799999999999999</v>
      </c>
      <c r="O986" s="597">
        <f t="shared" si="817"/>
        <v>0.17799999999999999</v>
      </c>
      <c r="P986" s="597">
        <f t="shared" si="817"/>
        <v>0.17799999999999999</v>
      </c>
      <c r="Q986" s="597">
        <f t="shared" si="817"/>
        <v>0.17799999999999999</v>
      </c>
      <c r="R986" s="597">
        <f t="shared" si="817"/>
        <v>0.17799999999999999</v>
      </c>
      <c r="S986" s="597">
        <f t="shared" si="817"/>
        <v>0.17799999999999999</v>
      </c>
      <c r="T986" s="597">
        <f t="shared" si="817"/>
        <v>0.17799999999999999</v>
      </c>
      <c r="U986" s="597">
        <f t="shared" si="817"/>
        <v>0.17799999999999999</v>
      </c>
      <c r="V986" s="597">
        <f t="shared" si="817"/>
        <v>0.17799999999999999</v>
      </c>
      <c r="W986" s="597">
        <f t="shared" si="817"/>
        <v>0.17799999999999999</v>
      </c>
      <c r="X986" s="597">
        <f t="shared" si="817"/>
        <v>0.17799999999999999</v>
      </c>
      <c r="Y986" s="597">
        <f t="shared" si="817"/>
        <v>0.17799999999999999</v>
      </c>
      <c r="Z986" s="597">
        <f t="shared" si="817"/>
        <v>0.17799999999999999</v>
      </c>
      <c r="AA986" s="597">
        <f t="shared" si="817"/>
        <v>0.17799999999999999</v>
      </c>
      <c r="AB986" s="597">
        <f t="shared" si="817"/>
        <v>0.17799999999999999</v>
      </c>
      <c r="AC986" s="597">
        <f t="shared" si="817"/>
        <v>0.17799999999999999</v>
      </c>
      <c r="AD986" s="597">
        <f t="shared" si="817"/>
        <v>0.17799999999999999</v>
      </c>
      <c r="AE986" s="597">
        <f t="shared" si="817"/>
        <v>0.17799999999999999</v>
      </c>
      <c r="AF986" s="597">
        <f t="shared" si="817"/>
        <v>0.17799999999999999</v>
      </c>
      <c r="AH986" s="538"/>
      <c r="AK986" s="531"/>
      <c r="AM986" s="594"/>
      <c r="AN986" s="535"/>
      <c r="AP986" s="540"/>
      <c r="AQ986" s="540"/>
    </row>
    <row r="987" spans="1:43" s="546" customFormat="1" ht="15" hidden="1" customHeight="1" outlineLevel="2">
      <c r="A987" s="584"/>
      <c r="B987" s="569" t="s">
        <v>829</v>
      </c>
      <c r="C987" s="581">
        <f>C988*C989*C990</f>
        <v>69.400000000000006</v>
      </c>
      <c r="D987" s="581">
        <f t="shared" ref="D987:AF987" si="818">D988*D989*D990</f>
        <v>69.400000000000006</v>
      </c>
      <c r="E987" s="581">
        <f t="shared" si="818"/>
        <v>69.400000000000006</v>
      </c>
      <c r="F987" s="581">
        <f t="shared" si="818"/>
        <v>69.400000000000006</v>
      </c>
      <c r="G987" s="581">
        <f t="shared" si="818"/>
        <v>69.400000000000006</v>
      </c>
      <c r="H987" s="581">
        <f t="shared" si="818"/>
        <v>69.400000000000006</v>
      </c>
      <c r="I987" s="581">
        <f t="shared" si="818"/>
        <v>69.400000000000006</v>
      </c>
      <c r="J987" s="581">
        <f t="shared" si="818"/>
        <v>69.400000000000006</v>
      </c>
      <c r="K987" s="581">
        <f t="shared" si="818"/>
        <v>69.400000000000006</v>
      </c>
      <c r="L987" s="581">
        <f t="shared" si="818"/>
        <v>69.400000000000006</v>
      </c>
      <c r="M987" s="581">
        <f t="shared" si="818"/>
        <v>69.400000000000006</v>
      </c>
      <c r="N987" s="581">
        <f t="shared" si="818"/>
        <v>69.400000000000006</v>
      </c>
      <c r="O987" s="581">
        <f t="shared" si="818"/>
        <v>69.400000000000006</v>
      </c>
      <c r="P987" s="581">
        <f t="shared" si="818"/>
        <v>69.400000000000006</v>
      </c>
      <c r="Q987" s="581">
        <f t="shared" si="818"/>
        <v>69.400000000000006</v>
      </c>
      <c r="R987" s="581">
        <f t="shared" si="818"/>
        <v>69.400000000000006</v>
      </c>
      <c r="S987" s="581">
        <f t="shared" si="818"/>
        <v>69.400000000000006</v>
      </c>
      <c r="T987" s="581">
        <f t="shared" si="818"/>
        <v>69.400000000000006</v>
      </c>
      <c r="U987" s="581">
        <f t="shared" si="818"/>
        <v>69.400000000000006</v>
      </c>
      <c r="V987" s="581">
        <f t="shared" si="818"/>
        <v>69.400000000000006</v>
      </c>
      <c r="W987" s="581">
        <f t="shared" si="818"/>
        <v>69.400000000000006</v>
      </c>
      <c r="X987" s="581">
        <f t="shared" si="818"/>
        <v>69.400000000000006</v>
      </c>
      <c r="Y987" s="581">
        <f t="shared" si="818"/>
        <v>69.400000000000006</v>
      </c>
      <c r="Z987" s="581">
        <f t="shared" si="818"/>
        <v>69.400000000000006</v>
      </c>
      <c r="AA987" s="581">
        <f t="shared" si="818"/>
        <v>69.400000000000006</v>
      </c>
      <c r="AB987" s="581">
        <f t="shared" si="818"/>
        <v>69.400000000000006</v>
      </c>
      <c r="AC987" s="581">
        <f t="shared" si="818"/>
        <v>69.400000000000006</v>
      </c>
      <c r="AD987" s="581">
        <f t="shared" si="818"/>
        <v>69.400000000000006</v>
      </c>
      <c r="AE987" s="581">
        <f t="shared" si="818"/>
        <v>69.400000000000006</v>
      </c>
      <c r="AF987" s="581">
        <f t="shared" si="818"/>
        <v>69.400000000000006</v>
      </c>
      <c r="AH987" s="571"/>
      <c r="AK987" s="531"/>
      <c r="AM987" s="594"/>
      <c r="AN987" s="535"/>
      <c r="AP987" s="549"/>
      <c r="AQ987" s="549"/>
    </row>
    <row r="988" spans="1:43" s="513" customFormat="1" ht="16.5" hidden="1" customHeight="1" outlineLevel="2">
      <c r="A988" s="584"/>
      <c r="B988" s="572" t="s">
        <v>805</v>
      </c>
      <c r="C988" s="573">
        <f t="shared" ref="C988:AF988" si="819">C935</f>
        <v>2</v>
      </c>
      <c r="D988" s="573">
        <f t="shared" si="819"/>
        <v>2</v>
      </c>
      <c r="E988" s="573">
        <f t="shared" si="819"/>
        <v>2</v>
      </c>
      <c r="F988" s="573">
        <f t="shared" si="819"/>
        <v>2</v>
      </c>
      <c r="G988" s="573">
        <f t="shared" si="819"/>
        <v>2</v>
      </c>
      <c r="H988" s="573">
        <f t="shared" si="819"/>
        <v>2</v>
      </c>
      <c r="I988" s="573">
        <f t="shared" si="819"/>
        <v>2</v>
      </c>
      <c r="J988" s="573">
        <f t="shared" si="819"/>
        <v>2</v>
      </c>
      <c r="K988" s="573">
        <f t="shared" si="819"/>
        <v>2</v>
      </c>
      <c r="L988" s="573">
        <f t="shared" si="819"/>
        <v>2</v>
      </c>
      <c r="M988" s="573">
        <f t="shared" si="819"/>
        <v>2</v>
      </c>
      <c r="N988" s="573">
        <f t="shared" si="819"/>
        <v>2</v>
      </c>
      <c r="O988" s="573">
        <f t="shared" si="819"/>
        <v>2</v>
      </c>
      <c r="P988" s="573">
        <f t="shared" si="819"/>
        <v>2</v>
      </c>
      <c r="Q988" s="573">
        <f t="shared" si="819"/>
        <v>2</v>
      </c>
      <c r="R988" s="573">
        <f t="shared" si="819"/>
        <v>2</v>
      </c>
      <c r="S988" s="573">
        <f t="shared" si="819"/>
        <v>2</v>
      </c>
      <c r="T988" s="573">
        <f t="shared" si="819"/>
        <v>2</v>
      </c>
      <c r="U988" s="573">
        <f t="shared" si="819"/>
        <v>2</v>
      </c>
      <c r="V988" s="573">
        <f t="shared" si="819"/>
        <v>2</v>
      </c>
      <c r="W988" s="573">
        <f t="shared" si="819"/>
        <v>2</v>
      </c>
      <c r="X988" s="573">
        <f t="shared" si="819"/>
        <v>2</v>
      </c>
      <c r="Y988" s="573">
        <f t="shared" si="819"/>
        <v>2</v>
      </c>
      <c r="Z988" s="573">
        <f t="shared" si="819"/>
        <v>2</v>
      </c>
      <c r="AA988" s="573">
        <f t="shared" si="819"/>
        <v>2</v>
      </c>
      <c r="AB988" s="573">
        <f t="shared" si="819"/>
        <v>2</v>
      </c>
      <c r="AC988" s="573">
        <f t="shared" si="819"/>
        <v>2</v>
      </c>
      <c r="AD988" s="573">
        <f t="shared" si="819"/>
        <v>2</v>
      </c>
      <c r="AE988" s="573">
        <f t="shared" si="819"/>
        <v>2</v>
      </c>
      <c r="AF988" s="573">
        <f t="shared" si="819"/>
        <v>2</v>
      </c>
      <c r="AH988" s="538"/>
      <c r="AK988" s="719"/>
      <c r="AM988" s="594"/>
      <c r="AN988" s="535"/>
      <c r="AP988" s="540"/>
      <c r="AQ988" s="540"/>
    </row>
    <row r="989" spans="1:43" s="513" customFormat="1" ht="16.5" hidden="1" customHeight="1" outlineLevel="2">
      <c r="A989" s="584"/>
      <c r="B989" s="596" t="s">
        <v>971</v>
      </c>
      <c r="C989" s="574">
        <v>1</v>
      </c>
      <c r="D989" s="574">
        <f>C989</f>
        <v>1</v>
      </c>
      <c r="E989" s="574">
        <f t="shared" ref="E989:T990" si="820">D989</f>
        <v>1</v>
      </c>
      <c r="F989" s="574">
        <f t="shared" si="820"/>
        <v>1</v>
      </c>
      <c r="G989" s="574">
        <f t="shared" si="820"/>
        <v>1</v>
      </c>
      <c r="H989" s="574">
        <f t="shared" si="820"/>
        <v>1</v>
      </c>
      <c r="I989" s="574">
        <f t="shared" si="820"/>
        <v>1</v>
      </c>
      <c r="J989" s="574">
        <f t="shared" si="820"/>
        <v>1</v>
      </c>
      <c r="K989" s="574">
        <f t="shared" si="820"/>
        <v>1</v>
      </c>
      <c r="L989" s="574">
        <f t="shared" si="820"/>
        <v>1</v>
      </c>
      <c r="M989" s="574">
        <f t="shared" si="820"/>
        <v>1</v>
      </c>
      <c r="N989" s="574">
        <f t="shared" si="820"/>
        <v>1</v>
      </c>
      <c r="O989" s="574">
        <f t="shared" si="820"/>
        <v>1</v>
      </c>
      <c r="P989" s="574">
        <f t="shared" si="820"/>
        <v>1</v>
      </c>
      <c r="Q989" s="574">
        <f t="shared" si="820"/>
        <v>1</v>
      </c>
      <c r="R989" s="574">
        <f t="shared" si="820"/>
        <v>1</v>
      </c>
      <c r="S989" s="574">
        <f t="shared" si="820"/>
        <v>1</v>
      </c>
      <c r="T989" s="574">
        <f t="shared" si="820"/>
        <v>1</v>
      </c>
      <c r="U989" s="574">
        <f t="shared" ref="U989:AF990" si="821">T989</f>
        <v>1</v>
      </c>
      <c r="V989" s="574">
        <f t="shared" si="821"/>
        <v>1</v>
      </c>
      <c r="W989" s="574">
        <f t="shared" si="821"/>
        <v>1</v>
      </c>
      <c r="X989" s="574">
        <f t="shared" si="821"/>
        <v>1</v>
      </c>
      <c r="Y989" s="574">
        <f t="shared" si="821"/>
        <v>1</v>
      </c>
      <c r="Z989" s="574">
        <f t="shared" si="821"/>
        <v>1</v>
      </c>
      <c r="AA989" s="574">
        <f t="shared" si="821"/>
        <v>1</v>
      </c>
      <c r="AB989" s="574">
        <f t="shared" si="821"/>
        <v>1</v>
      </c>
      <c r="AC989" s="574">
        <f t="shared" si="821"/>
        <v>1</v>
      </c>
      <c r="AD989" s="574">
        <f t="shared" si="821"/>
        <v>1</v>
      </c>
      <c r="AE989" s="574">
        <f t="shared" si="821"/>
        <v>1</v>
      </c>
      <c r="AF989" s="574">
        <f t="shared" si="821"/>
        <v>1</v>
      </c>
      <c r="AH989" s="538"/>
      <c r="AK989" s="531"/>
      <c r="AM989" s="594"/>
      <c r="AN989" s="535"/>
      <c r="AP989" s="540"/>
      <c r="AQ989" s="540"/>
    </row>
    <row r="990" spans="1:43" s="513" customFormat="1" ht="16.5" hidden="1" customHeight="1" outlineLevel="2">
      <c r="A990" s="584"/>
      <c r="B990" s="596" t="s">
        <v>972</v>
      </c>
      <c r="C990" s="574">
        <v>34.700000000000003</v>
      </c>
      <c r="D990" s="574">
        <f>C990</f>
        <v>34.700000000000003</v>
      </c>
      <c r="E990" s="574">
        <f t="shared" si="820"/>
        <v>34.700000000000003</v>
      </c>
      <c r="F990" s="574">
        <f t="shared" si="820"/>
        <v>34.700000000000003</v>
      </c>
      <c r="G990" s="574">
        <f t="shared" si="820"/>
        <v>34.700000000000003</v>
      </c>
      <c r="H990" s="574">
        <f t="shared" si="820"/>
        <v>34.700000000000003</v>
      </c>
      <c r="I990" s="574">
        <f t="shared" si="820"/>
        <v>34.700000000000003</v>
      </c>
      <c r="J990" s="574">
        <f t="shared" si="820"/>
        <v>34.700000000000003</v>
      </c>
      <c r="K990" s="574">
        <f t="shared" si="820"/>
        <v>34.700000000000003</v>
      </c>
      <c r="L990" s="574">
        <f t="shared" si="820"/>
        <v>34.700000000000003</v>
      </c>
      <c r="M990" s="574">
        <f t="shared" si="820"/>
        <v>34.700000000000003</v>
      </c>
      <c r="N990" s="574">
        <f t="shared" si="820"/>
        <v>34.700000000000003</v>
      </c>
      <c r="O990" s="574">
        <f t="shared" si="820"/>
        <v>34.700000000000003</v>
      </c>
      <c r="P990" s="574">
        <f t="shared" si="820"/>
        <v>34.700000000000003</v>
      </c>
      <c r="Q990" s="574">
        <f t="shared" si="820"/>
        <v>34.700000000000003</v>
      </c>
      <c r="R990" s="574">
        <f t="shared" si="820"/>
        <v>34.700000000000003</v>
      </c>
      <c r="S990" s="574">
        <f t="shared" si="820"/>
        <v>34.700000000000003</v>
      </c>
      <c r="T990" s="574">
        <f t="shared" si="820"/>
        <v>34.700000000000003</v>
      </c>
      <c r="U990" s="574">
        <f t="shared" si="821"/>
        <v>34.700000000000003</v>
      </c>
      <c r="V990" s="574">
        <f t="shared" si="821"/>
        <v>34.700000000000003</v>
      </c>
      <c r="W990" s="574">
        <f t="shared" si="821"/>
        <v>34.700000000000003</v>
      </c>
      <c r="X990" s="574">
        <f t="shared" si="821"/>
        <v>34.700000000000003</v>
      </c>
      <c r="Y990" s="574">
        <f t="shared" si="821"/>
        <v>34.700000000000003</v>
      </c>
      <c r="Z990" s="574">
        <f t="shared" si="821"/>
        <v>34.700000000000003</v>
      </c>
      <c r="AA990" s="574">
        <f t="shared" si="821"/>
        <v>34.700000000000003</v>
      </c>
      <c r="AB990" s="574">
        <f t="shared" si="821"/>
        <v>34.700000000000003</v>
      </c>
      <c r="AC990" s="574">
        <f t="shared" si="821"/>
        <v>34.700000000000003</v>
      </c>
      <c r="AD990" s="574">
        <f t="shared" si="821"/>
        <v>34.700000000000003</v>
      </c>
      <c r="AE990" s="574">
        <f t="shared" si="821"/>
        <v>34.700000000000003</v>
      </c>
      <c r="AF990" s="574">
        <f t="shared" si="821"/>
        <v>34.700000000000003</v>
      </c>
      <c r="AH990" s="538"/>
      <c r="AK990" s="531"/>
      <c r="AM990" s="594"/>
      <c r="AN990" s="535"/>
      <c r="AP990" s="540"/>
      <c r="AQ990" s="540"/>
    </row>
    <row r="991" spans="1:43" s="513" customFormat="1" ht="3" hidden="1" customHeight="1" outlineLevel="2">
      <c r="A991" s="584"/>
      <c r="B991" s="596"/>
      <c r="C991" s="598"/>
      <c r="D991" s="598"/>
      <c r="E991" s="598"/>
      <c r="F991" s="598"/>
      <c r="G991" s="598"/>
      <c r="H991" s="598"/>
      <c r="I991" s="598"/>
      <c r="J991" s="598"/>
      <c r="K991" s="598"/>
      <c r="L991" s="598"/>
      <c r="M991" s="598"/>
      <c r="N991" s="598"/>
      <c r="O991" s="598"/>
      <c r="P991" s="598"/>
      <c r="Q991" s="598"/>
      <c r="R991" s="598"/>
      <c r="S991" s="598"/>
      <c r="T991" s="598"/>
      <c r="U991" s="598"/>
      <c r="V991" s="598"/>
      <c r="W991" s="598"/>
      <c r="X991" s="598"/>
      <c r="Y991" s="598"/>
      <c r="Z991" s="598"/>
      <c r="AA991" s="598"/>
      <c r="AB991" s="598"/>
      <c r="AC991" s="598"/>
      <c r="AD991" s="598"/>
      <c r="AE991" s="598"/>
      <c r="AF991" s="598"/>
      <c r="AH991" s="538"/>
      <c r="AK991" s="531"/>
      <c r="AM991" s="594"/>
      <c r="AN991" s="535"/>
      <c r="AP991" s="540"/>
      <c r="AQ991" s="540"/>
    </row>
    <row r="992" spans="1:43" s="564" customFormat="1" ht="16.5" hidden="1" customHeight="1" outlineLevel="1" collapsed="1">
      <c r="A992" s="584"/>
      <c r="B992" s="576" t="s">
        <v>899</v>
      </c>
      <c r="C992" s="577">
        <f>SUM(C993)*12/10^3</f>
        <v>1.2400252200000002</v>
      </c>
      <c r="D992" s="577">
        <f t="shared" ref="D992:AF992" si="822">SUM(D993)*12/10^3</f>
        <v>1.2400252200000002</v>
      </c>
      <c r="E992" s="577">
        <f t="shared" si="822"/>
        <v>1.2400252200000002</v>
      </c>
      <c r="F992" s="577">
        <f t="shared" si="822"/>
        <v>1.2400252200000002</v>
      </c>
      <c r="G992" s="577">
        <f t="shared" si="822"/>
        <v>1.2400252200000002</v>
      </c>
      <c r="H992" s="577">
        <f t="shared" si="822"/>
        <v>1.2400252200000002</v>
      </c>
      <c r="I992" s="577">
        <f t="shared" si="822"/>
        <v>1.2400252200000002</v>
      </c>
      <c r="J992" s="577">
        <f t="shared" si="822"/>
        <v>1.2400252200000002</v>
      </c>
      <c r="K992" s="577">
        <f t="shared" si="822"/>
        <v>1.2400252200000002</v>
      </c>
      <c r="L992" s="577">
        <f t="shared" si="822"/>
        <v>1.2400252200000002</v>
      </c>
      <c r="M992" s="577">
        <f t="shared" si="822"/>
        <v>1.2400252200000002</v>
      </c>
      <c r="N992" s="577">
        <f t="shared" si="822"/>
        <v>1.2400252200000002</v>
      </c>
      <c r="O992" s="577">
        <f t="shared" si="822"/>
        <v>1.2400252200000002</v>
      </c>
      <c r="P992" s="577">
        <f t="shared" si="822"/>
        <v>1.2400252200000002</v>
      </c>
      <c r="Q992" s="577">
        <f t="shared" si="822"/>
        <v>1.2400252200000002</v>
      </c>
      <c r="R992" s="577">
        <f t="shared" si="822"/>
        <v>1.2400252200000002</v>
      </c>
      <c r="S992" s="577">
        <f t="shared" si="822"/>
        <v>1.2400252200000002</v>
      </c>
      <c r="T992" s="577">
        <f t="shared" si="822"/>
        <v>1.2400252200000002</v>
      </c>
      <c r="U992" s="577">
        <f t="shared" si="822"/>
        <v>1.2400252200000002</v>
      </c>
      <c r="V992" s="577">
        <f t="shared" si="822"/>
        <v>1.2400252200000002</v>
      </c>
      <c r="W992" s="577">
        <f t="shared" si="822"/>
        <v>1.2400252200000002</v>
      </c>
      <c r="X992" s="577">
        <f t="shared" si="822"/>
        <v>1.2400252200000002</v>
      </c>
      <c r="Y992" s="577">
        <f t="shared" si="822"/>
        <v>1.2400252200000002</v>
      </c>
      <c r="Z992" s="577">
        <f t="shared" si="822"/>
        <v>1.2400252200000002</v>
      </c>
      <c r="AA992" s="577">
        <f t="shared" si="822"/>
        <v>1.2400252200000002</v>
      </c>
      <c r="AB992" s="577">
        <f t="shared" si="822"/>
        <v>1.2400252200000002</v>
      </c>
      <c r="AC992" s="577">
        <f t="shared" si="822"/>
        <v>1.2400252200000002</v>
      </c>
      <c r="AD992" s="577">
        <f t="shared" si="822"/>
        <v>1.2400252200000002</v>
      </c>
      <c r="AE992" s="577">
        <f t="shared" si="822"/>
        <v>1.2400252200000002</v>
      </c>
      <c r="AF992" s="577">
        <f t="shared" si="822"/>
        <v>1.2400252200000002</v>
      </c>
      <c r="AH992" s="578">
        <f>SUM(C992:AF992)</f>
        <v>37.200756599999998</v>
      </c>
      <c r="AK992" s="531"/>
      <c r="AM992" s="594"/>
      <c r="AN992" s="535"/>
      <c r="AP992" s="568"/>
      <c r="AQ992" s="568"/>
    </row>
    <row r="993" spans="1:43" s="546" customFormat="1" ht="16.5" hidden="1" customHeight="1" outlineLevel="2">
      <c r="A993" s="584"/>
      <c r="B993" s="671" t="str">
        <f>B933</f>
        <v>Van Minibus</v>
      </c>
      <c r="C993" s="581">
        <f>C995*C996*C994</f>
        <v>103.33543500000002</v>
      </c>
      <c r="D993" s="581">
        <f t="shared" ref="D993:AF993" si="823">D995*D996*D994</f>
        <v>103.33543500000002</v>
      </c>
      <c r="E993" s="581">
        <f t="shared" si="823"/>
        <v>103.33543500000002</v>
      </c>
      <c r="F993" s="581">
        <f t="shared" si="823"/>
        <v>103.33543500000002</v>
      </c>
      <c r="G993" s="581">
        <f t="shared" si="823"/>
        <v>103.33543500000002</v>
      </c>
      <c r="H993" s="581">
        <f t="shared" si="823"/>
        <v>103.33543500000002</v>
      </c>
      <c r="I993" s="581">
        <f t="shared" si="823"/>
        <v>103.33543500000002</v>
      </c>
      <c r="J993" s="581">
        <f t="shared" si="823"/>
        <v>103.33543500000002</v>
      </c>
      <c r="K993" s="581">
        <f t="shared" si="823"/>
        <v>103.33543500000002</v>
      </c>
      <c r="L993" s="581">
        <f t="shared" si="823"/>
        <v>103.33543500000002</v>
      </c>
      <c r="M993" s="581">
        <f t="shared" si="823"/>
        <v>103.33543500000002</v>
      </c>
      <c r="N993" s="581">
        <f t="shared" si="823"/>
        <v>103.33543500000002</v>
      </c>
      <c r="O993" s="581">
        <f t="shared" si="823"/>
        <v>103.33543500000002</v>
      </c>
      <c r="P993" s="581">
        <f t="shared" si="823"/>
        <v>103.33543500000002</v>
      </c>
      <c r="Q993" s="581">
        <f t="shared" si="823"/>
        <v>103.33543500000002</v>
      </c>
      <c r="R993" s="581">
        <f t="shared" si="823"/>
        <v>103.33543500000002</v>
      </c>
      <c r="S993" s="581">
        <f t="shared" si="823"/>
        <v>103.33543500000002</v>
      </c>
      <c r="T993" s="581">
        <f t="shared" si="823"/>
        <v>103.33543500000002</v>
      </c>
      <c r="U993" s="581">
        <f t="shared" si="823"/>
        <v>103.33543500000002</v>
      </c>
      <c r="V993" s="581">
        <f t="shared" si="823"/>
        <v>103.33543500000002</v>
      </c>
      <c r="W993" s="581">
        <f t="shared" si="823"/>
        <v>103.33543500000002</v>
      </c>
      <c r="X993" s="581">
        <f t="shared" si="823"/>
        <v>103.33543500000002</v>
      </c>
      <c r="Y993" s="581">
        <f t="shared" si="823"/>
        <v>103.33543500000002</v>
      </c>
      <c r="Z993" s="581">
        <f t="shared" si="823"/>
        <v>103.33543500000002</v>
      </c>
      <c r="AA993" s="581">
        <f t="shared" si="823"/>
        <v>103.33543500000002</v>
      </c>
      <c r="AB993" s="581">
        <f t="shared" si="823"/>
        <v>103.33543500000002</v>
      </c>
      <c r="AC993" s="581">
        <f t="shared" si="823"/>
        <v>103.33543500000002</v>
      </c>
      <c r="AD993" s="581">
        <f t="shared" si="823"/>
        <v>103.33543500000002</v>
      </c>
      <c r="AE993" s="581">
        <f t="shared" si="823"/>
        <v>103.33543500000002</v>
      </c>
      <c r="AF993" s="581">
        <f t="shared" si="823"/>
        <v>103.33543500000002</v>
      </c>
      <c r="AH993" s="571"/>
      <c r="AK993" s="531"/>
      <c r="AM993" s="594"/>
      <c r="AN993" s="535"/>
      <c r="AP993" s="549"/>
      <c r="AQ993" s="549"/>
    </row>
    <row r="994" spans="1:43" s="513" customFormat="1" ht="16.5" hidden="1" customHeight="1" outlineLevel="2">
      <c r="A994" s="584"/>
      <c r="B994" s="572" t="s">
        <v>805</v>
      </c>
      <c r="C994" s="716">
        <f t="shared" ref="C994:AF994" si="824">C933</f>
        <v>1</v>
      </c>
      <c r="D994" s="716">
        <f t="shared" si="824"/>
        <v>1</v>
      </c>
      <c r="E994" s="716">
        <f t="shared" si="824"/>
        <v>1</v>
      </c>
      <c r="F994" s="716">
        <f t="shared" si="824"/>
        <v>1</v>
      </c>
      <c r="G994" s="716">
        <f t="shared" si="824"/>
        <v>1</v>
      </c>
      <c r="H994" s="716">
        <f t="shared" si="824"/>
        <v>1</v>
      </c>
      <c r="I994" s="716">
        <f t="shared" si="824"/>
        <v>1</v>
      </c>
      <c r="J994" s="716">
        <f t="shared" si="824"/>
        <v>1</v>
      </c>
      <c r="K994" s="716">
        <f t="shared" si="824"/>
        <v>1</v>
      </c>
      <c r="L994" s="716">
        <f t="shared" si="824"/>
        <v>1</v>
      </c>
      <c r="M994" s="716">
        <f t="shared" si="824"/>
        <v>1</v>
      </c>
      <c r="N994" s="716">
        <f t="shared" si="824"/>
        <v>1</v>
      </c>
      <c r="O994" s="716">
        <f t="shared" si="824"/>
        <v>1</v>
      </c>
      <c r="P994" s="716">
        <f t="shared" si="824"/>
        <v>1</v>
      </c>
      <c r="Q994" s="716">
        <f t="shared" si="824"/>
        <v>1</v>
      </c>
      <c r="R994" s="716">
        <f t="shared" si="824"/>
        <v>1</v>
      </c>
      <c r="S994" s="716">
        <f t="shared" si="824"/>
        <v>1</v>
      </c>
      <c r="T994" s="716">
        <f t="shared" si="824"/>
        <v>1</v>
      </c>
      <c r="U994" s="716">
        <f t="shared" si="824"/>
        <v>1</v>
      </c>
      <c r="V994" s="716">
        <f t="shared" si="824"/>
        <v>1</v>
      </c>
      <c r="W994" s="716">
        <f t="shared" si="824"/>
        <v>1</v>
      </c>
      <c r="X994" s="716">
        <f t="shared" si="824"/>
        <v>1</v>
      </c>
      <c r="Y994" s="716">
        <f t="shared" si="824"/>
        <v>1</v>
      </c>
      <c r="Z994" s="716">
        <f t="shared" si="824"/>
        <v>1</v>
      </c>
      <c r="AA994" s="716">
        <f t="shared" si="824"/>
        <v>1</v>
      </c>
      <c r="AB994" s="716">
        <f t="shared" si="824"/>
        <v>1</v>
      </c>
      <c r="AC994" s="716">
        <f t="shared" si="824"/>
        <v>1</v>
      </c>
      <c r="AD994" s="716">
        <f t="shared" si="824"/>
        <v>1</v>
      </c>
      <c r="AE994" s="716">
        <f t="shared" si="824"/>
        <v>1</v>
      </c>
      <c r="AF994" s="716">
        <f t="shared" si="824"/>
        <v>1</v>
      </c>
      <c r="AH994" s="538"/>
      <c r="AK994" s="719"/>
      <c r="AM994" s="594"/>
      <c r="AN994" s="535"/>
      <c r="AP994" s="540"/>
      <c r="AQ994" s="540"/>
    </row>
    <row r="995" spans="1:43" s="546" customFormat="1" ht="16.5" hidden="1" customHeight="1" outlineLevel="2">
      <c r="A995" s="584"/>
      <c r="B995" s="572" t="s">
        <v>901</v>
      </c>
      <c r="C995" s="574">
        <f t="shared" ref="C995:AF995" si="825">C949</f>
        <v>503.40000000000003</v>
      </c>
      <c r="D995" s="574">
        <f t="shared" si="825"/>
        <v>503.40000000000003</v>
      </c>
      <c r="E995" s="574">
        <f t="shared" si="825"/>
        <v>503.40000000000003</v>
      </c>
      <c r="F995" s="574">
        <f t="shared" si="825"/>
        <v>503.40000000000003</v>
      </c>
      <c r="G995" s="574">
        <f t="shared" si="825"/>
        <v>503.40000000000003</v>
      </c>
      <c r="H995" s="574">
        <f t="shared" si="825"/>
        <v>503.40000000000003</v>
      </c>
      <c r="I995" s="574">
        <f t="shared" si="825"/>
        <v>503.40000000000003</v>
      </c>
      <c r="J995" s="574">
        <f t="shared" si="825"/>
        <v>503.40000000000003</v>
      </c>
      <c r="K995" s="574">
        <f t="shared" si="825"/>
        <v>503.40000000000003</v>
      </c>
      <c r="L995" s="574">
        <f t="shared" si="825"/>
        <v>503.40000000000003</v>
      </c>
      <c r="M995" s="574">
        <f t="shared" si="825"/>
        <v>503.40000000000003</v>
      </c>
      <c r="N995" s="574">
        <f t="shared" si="825"/>
        <v>503.40000000000003</v>
      </c>
      <c r="O995" s="574">
        <f t="shared" si="825"/>
        <v>503.40000000000003</v>
      </c>
      <c r="P995" s="574">
        <f t="shared" si="825"/>
        <v>503.40000000000003</v>
      </c>
      <c r="Q995" s="574">
        <f t="shared" si="825"/>
        <v>503.40000000000003</v>
      </c>
      <c r="R995" s="574">
        <f t="shared" si="825"/>
        <v>503.40000000000003</v>
      </c>
      <c r="S995" s="574">
        <f t="shared" si="825"/>
        <v>503.40000000000003</v>
      </c>
      <c r="T995" s="574">
        <f t="shared" si="825"/>
        <v>503.40000000000003</v>
      </c>
      <c r="U995" s="574">
        <f t="shared" si="825"/>
        <v>503.40000000000003</v>
      </c>
      <c r="V995" s="574">
        <f t="shared" si="825"/>
        <v>503.40000000000003</v>
      </c>
      <c r="W995" s="574">
        <f t="shared" si="825"/>
        <v>503.40000000000003</v>
      </c>
      <c r="X995" s="574">
        <f t="shared" si="825"/>
        <v>503.40000000000003</v>
      </c>
      <c r="Y995" s="574">
        <f t="shared" si="825"/>
        <v>503.40000000000003</v>
      </c>
      <c r="Z995" s="574">
        <f t="shared" si="825"/>
        <v>503.40000000000003</v>
      </c>
      <c r="AA995" s="574">
        <f t="shared" si="825"/>
        <v>503.40000000000003</v>
      </c>
      <c r="AB995" s="574">
        <f t="shared" si="825"/>
        <v>503.40000000000003</v>
      </c>
      <c r="AC995" s="574">
        <f t="shared" si="825"/>
        <v>503.40000000000003</v>
      </c>
      <c r="AD995" s="574">
        <f t="shared" si="825"/>
        <v>503.40000000000003</v>
      </c>
      <c r="AE995" s="574">
        <f t="shared" si="825"/>
        <v>503.40000000000003</v>
      </c>
      <c r="AF995" s="574">
        <f t="shared" si="825"/>
        <v>503.40000000000003</v>
      </c>
      <c r="AH995" s="571"/>
      <c r="AK995" s="531"/>
      <c r="AM995" s="594"/>
      <c r="AN995" s="535"/>
      <c r="AP995" s="549"/>
      <c r="AQ995" s="549"/>
    </row>
    <row r="996" spans="1:43" s="546" customFormat="1" ht="16.5" hidden="1" customHeight="1" outlineLevel="2">
      <c r="A996" s="584"/>
      <c r="B996" s="572" t="s">
        <v>902</v>
      </c>
      <c r="C996" s="602">
        <f>((C997*C998)+(C999*C1000))/C$70</f>
        <v>0.20527500000000001</v>
      </c>
      <c r="D996" s="602">
        <f t="shared" ref="D996:AF996" si="826">((D997*D998)+(D999*D1000))/D$70</f>
        <v>0.20527500000000001</v>
      </c>
      <c r="E996" s="602">
        <f t="shared" si="826"/>
        <v>0.20527500000000001</v>
      </c>
      <c r="F996" s="602">
        <f t="shared" si="826"/>
        <v>0.20527500000000001</v>
      </c>
      <c r="G996" s="602">
        <f t="shared" si="826"/>
        <v>0.20527500000000001</v>
      </c>
      <c r="H996" s="602">
        <f t="shared" si="826"/>
        <v>0.20527500000000001</v>
      </c>
      <c r="I996" s="602">
        <f t="shared" si="826"/>
        <v>0.20527500000000001</v>
      </c>
      <c r="J996" s="602">
        <f t="shared" si="826"/>
        <v>0.20527500000000001</v>
      </c>
      <c r="K996" s="602">
        <f t="shared" si="826"/>
        <v>0.20527500000000001</v>
      </c>
      <c r="L996" s="602">
        <f t="shared" si="826"/>
        <v>0.20527500000000001</v>
      </c>
      <c r="M996" s="602">
        <f t="shared" si="826"/>
        <v>0.20527500000000001</v>
      </c>
      <c r="N996" s="602">
        <f t="shared" si="826"/>
        <v>0.20527500000000001</v>
      </c>
      <c r="O996" s="602">
        <f t="shared" si="826"/>
        <v>0.20527500000000001</v>
      </c>
      <c r="P996" s="602">
        <f t="shared" si="826"/>
        <v>0.20527500000000001</v>
      </c>
      <c r="Q996" s="602">
        <f t="shared" si="826"/>
        <v>0.20527500000000001</v>
      </c>
      <c r="R996" s="602">
        <f t="shared" si="826"/>
        <v>0.20527500000000001</v>
      </c>
      <c r="S996" s="602">
        <f t="shared" si="826"/>
        <v>0.20527500000000001</v>
      </c>
      <c r="T996" s="602">
        <f t="shared" si="826"/>
        <v>0.20527500000000001</v>
      </c>
      <c r="U996" s="602">
        <f t="shared" si="826"/>
        <v>0.20527500000000001</v>
      </c>
      <c r="V996" s="602">
        <f t="shared" si="826"/>
        <v>0.20527500000000001</v>
      </c>
      <c r="W996" s="602">
        <f t="shared" si="826"/>
        <v>0.20527500000000001</v>
      </c>
      <c r="X996" s="602">
        <f t="shared" si="826"/>
        <v>0.20527500000000001</v>
      </c>
      <c r="Y996" s="602">
        <f t="shared" si="826"/>
        <v>0.20527500000000001</v>
      </c>
      <c r="Z996" s="602">
        <f t="shared" si="826"/>
        <v>0.20527500000000001</v>
      </c>
      <c r="AA996" s="602">
        <f t="shared" si="826"/>
        <v>0.20527500000000001</v>
      </c>
      <c r="AB996" s="602">
        <f t="shared" si="826"/>
        <v>0.20527500000000001</v>
      </c>
      <c r="AC996" s="602">
        <f t="shared" si="826"/>
        <v>0.20527500000000001</v>
      </c>
      <c r="AD996" s="602">
        <f t="shared" si="826"/>
        <v>0.20527500000000001</v>
      </c>
      <c r="AE996" s="602">
        <f t="shared" si="826"/>
        <v>0.20527500000000001</v>
      </c>
      <c r="AF996" s="602">
        <f t="shared" si="826"/>
        <v>0.20527500000000001</v>
      </c>
      <c r="AH996" s="571"/>
      <c r="AK996" s="531"/>
      <c r="AM996" s="594"/>
      <c r="AN996" s="535"/>
      <c r="AP996" s="549"/>
      <c r="AQ996" s="549"/>
    </row>
    <row r="997" spans="1:43" s="513" customFormat="1" ht="16.5" hidden="1" customHeight="1" outlineLevel="2">
      <c r="A997" s="584"/>
      <c r="B997" s="596" t="s">
        <v>907</v>
      </c>
      <c r="C997" s="366">
        <v>6</v>
      </c>
      <c r="D997" s="366">
        <f>C997</f>
        <v>6</v>
      </c>
      <c r="E997" s="366">
        <f t="shared" ref="E997:T1000" si="827">D997</f>
        <v>6</v>
      </c>
      <c r="F997" s="366">
        <f t="shared" si="827"/>
        <v>6</v>
      </c>
      <c r="G997" s="366">
        <f t="shared" si="827"/>
        <v>6</v>
      </c>
      <c r="H997" s="366">
        <f t="shared" si="827"/>
        <v>6</v>
      </c>
      <c r="I997" s="366">
        <f t="shared" si="827"/>
        <v>6</v>
      </c>
      <c r="J997" s="366">
        <f t="shared" si="827"/>
        <v>6</v>
      </c>
      <c r="K997" s="366">
        <f t="shared" si="827"/>
        <v>6</v>
      </c>
      <c r="L997" s="366">
        <f t="shared" si="827"/>
        <v>6</v>
      </c>
      <c r="M997" s="366">
        <f t="shared" si="827"/>
        <v>6</v>
      </c>
      <c r="N997" s="366">
        <f t="shared" si="827"/>
        <v>6</v>
      </c>
      <c r="O997" s="366">
        <f t="shared" si="827"/>
        <v>6</v>
      </c>
      <c r="P997" s="366">
        <f t="shared" si="827"/>
        <v>6</v>
      </c>
      <c r="Q997" s="366">
        <f t="shared" si="827"/>
        <v>6</v>
      </c>
      <c r="R997" s="366">
        <f t="shared" si="827"/>
        <v>6</v>
      </c>
      <c r="S997" s="366">
        <f t="shared" si="827"/>
        <v>6</v>
      </c>
      <c r="T997" s="366">
        <f t="shared" si="827"/>
        <v>6</v>
      </c>
      <c r="U997" s="366">
        <f t="shared" ref="U997:AF1000" si="828">T997</f>
        <v>6</v>
      </c>
      <c r="V997" s="366">
        <f t="shared" si="828"/>
        <v>6</v>
      </c>
      <c r="W997" s="366">
        <f t="shared" si="828"/>
        <v>6</v>
      </c>
      <c r="X997" s="366">
        <f t="shared" si="828"/>
        <v>6</v>
      </c>
      <c r="Y997" s="366">
        <f t="shared" si="828"/>
        <v>6</v>
      </c>
      <c r="Z997" s="366">
        <f t="shared" si="828"/>
        <v>6</v>
      </c>
      <c r="AA997" s="366">
        <f t="shared" si="828"/>
        <v>6</v>
      </c>
      <c r="AB997" s="366">
        <f t="shared" si="828"/>
        <v>6</v>
      </c>
      <c r="AC997" s="366">
        <f t="shared" si="828"/>
        <v>6</v>
      </c>
      <c r="AD997" s="366">
        <f t="shared" si="828"/>
        <v>6</v>
      </c>
      <c r="AE997" s="366">
        <f t="shared" si="828"/>
        <v>6</v>
      </c>
      <c r="AF997" s="366">
        <f t="shared" si="828"/>
        <v>6</v>
      </c>
      <c r="AH997" s="538"/>
      <c r="AK997" s="531"/>
      <c r="AM997" s="594"/>
      <c r="AN997" s="535"/>
      <c r="AP997" s="540"/>
      <c r="AQ997" s="540"/>
    </row>
    <row r="998" spans="1:43" s="513" customFormat="1" ht="16.5" hidden="1" customHeight="1" outlineLevel="2">
      <c r="A998" s="584"/>
      <c r="B998" s="596" t="s">
        <v>904</v>
      </c>
      <c r="C998" s="639">
        <f>Insumos!$E$48</f>
        <v>1649</v>
      </c>
      <c r="D998" s="639">
        <f>C998</f>
        <v>1649</v>
      </c>
      <c r="E998" s="639">
        <f t="shared" si="827"/>
        <v>1649</v>
      </c>
      <c r="F998" s="639">
        <f t="shared" si="827"/>
        <v>1649</v>
      </c>
      <c r="G998" s="639">
        <f t="shared" si="827"/>
        <v>1649</v>
      </c>
      <c r="H998" s="639">
        <f t="shared" si="827"/>
        <v>1649</v>
      </c>
      <c r="I998" s="639">
        <f t="shared" si="827"/>
        <v>1649</v>
      </c>
      <c r="J998" s="639">
        <f t="shared" si="827"/>
        <v>1649</v>
      </c>
      <c r="K998" s="639">
        <f t="shared" si="827"/>
        <v>1649</v>
      </c>
      <c r="L998" s="639">
        <f t="shared" si="827"/>
        <v>1649</v>
      </c>
      <c r="M998" s="639">
        <f t="shared" si="827"/>
        <v>1649</v>
      </c>
      <c r="N998" s="639">
        <f t="shared" si="827"/>
        <v>1649</v>
      </c>
      <c r="O998" s="639">
        <f t="shared" si="827"/>
        <v>1649</v>
      </c>
      <c r="P998" s="639">
        <f t="shared" si="827"/>
        <v>1649</v>
      </c>
      <c r="Q998" s="639">
        <f t="shared" si="827"/>
        <v>1649</v>
      </c>
      <c r="R998" s="639">
        <f t="shared" si="827"/>
        <v>1649</v>
      </c>
      <c r="S998" s="639">
        <f t="shared" si="827"/>
        <v>1649</v>
      </c>
      <c r="T998" s="639">
        <f t="shared" si="827"/>
        <v>1649</v>
      </c>
      <c r="U998" s="639">
        <f t="shared" si="828"/>
        <v>1649</v>
      </c>
      <c r="V998" s="639">
        <f t="shared" si="828"/>
        <v>1649</v>
      </c>
      <c r="W998" s="639">
        <f t="shared" si="828"/>
        <v>1649</v>
      </c>
      <c r="X998" s="639">
        <f t="shared" si="828"/>
        <v>1649</v>
      </c>
      <c r="Y998" s="639">
        <f t="shared" si="828"/>
        <v>1649</v>
      </c>
      <c r="Z998" s="639">
        <f t="shared" si="828"/>
        <v>1649</v>
      </c>
      <c r="AA998" s="639">
        <f t="shared" si="828"/>
        <v>1649</v>
      </c>
      <c r="AB998" s="639">
        <f t="shared" si="828"/>
        <v>1649</v>
      </c>
      <c r="AC998" s="639">
        <f t="shared" si="828"/>
        <v>1649</v>
      </c>
      <c r="AD998" s="639">
        <f t="shared" si="828"/>
        <v>1649</v>
      </c>
      <c r="AE998" s="639">
        <f t="shared" si="828"/>
        <v>1649</v>
      </c>
      <c r="AF998" s="639">
        <f t="shared" si="828"/>
        <v>1649</v>
      </c>
      <c r="AH998" s="538"/>
      <c r="AK998" s="531"/>
      <c r="AM998" s="594"/>
      <c r="AN998" s="535"/>
      <c r="AP998" s="540"/>
      <c r="AQ998" s="540"/>
    </row>
    <row r="999" spans="1:43" s="513" customFormat="1" ht="16.5" hidden="1" customHeight="1" outlineLevel="2">
      <c r="A999" s="584"/>
      <c r="B999" s="596" t="s">
        <v>908</v>
      </c>
      <c r="C999" s="366">
        <f>C997*2</f>
        <v>12</v>
      </c>
      <c r="D999" s="366">
        <f>C999</f>
        <v>12</v>
      </c>
      <c r="E999" s="366">
        <f t="shared" si="827"/>
        <v>12</v>
      </c>
      <c r="F999" s="366">
        <f t="shared" si="827"/>
        <v>12</v>
      </c>
      <c r="G999" s="366">
        <f t="shared" si="827"/>
        <v>12</v>
      </c>
      <c r="H999" s="366">
        <f t="shared" si="827"/>
        <v>12</v>
      </c>
      <c r="I999" s="366">
        <f t="shared" si="827"/>
        <v>12</v>
      </c>
      <c r="J999" s="366">
        <f t="shared" si="827"/>
        <v>12</v>
      </c>
      <c r="K999" s="366">
        <f t="shared" si="827"/>
        <v>12</v>
      </c>
      <c r="L999" s="366">
        <f t="shared" si="827"/>
        <v>12</v>
      </c>
      <c r="M999" s="366">
        <f t="shared" si="827"/>
        <v>12</v>
      </c>
      <c r="N999" s="366">
        <f t="shared" si="827"/>
        <v>12</v>
      </c>
      <c r="O999" s="366">
        <f t="shared" si="827"/>
        <v>12</v>
      </c>
      <c r="P999" s="366">
        <f t="shared" si="827"/>
        <v>12</v>
      </c>
      <c r="Q999" s="366">
        <f t="shared" si="827"/>
        <v>12</v>
      </c>
      <c r="R999" s="366">
        <f t="shared" si="827"/>
        <v>12</v>
      </c>
      <c r="S999" s="366">
        <f t="shared" si="827"/>
        <v>12</v>
      </c>
      <c r="T999" s="366">
        <f t="shared" si="827"/>
        <v>12</v>
      </c>
      <c r="U999" s="366">
        <f t="shared" si="828"/>
        <v>12</v>
      </c>
      <c r="V999" s="366">
        <f t="shared" si="828"/>
        <v>12</v>
      </c>
      <c r="W999" s="366">
        <f t="shared" si="828"/>
        <v>12</v>
      </c>
      <c r="X999" s="366">
        <f t="shared" si="828"/>
        <v>12</v>
      </c>
      <c r="Y999" s="366">
        <f t="shared" si="828"/>
        <v>12</v>
      </c>
      <c r="Z999" s="366">
        <f t="shared" si="828"/>
        <v>12</v>
      </c>
      <c r="AA999" s="366">
        <f t="shared" si="828"/>
        <v>12</v>
      </c>
      <c r="AB999" s="366">
        <f t="shared" si="828"/>
        <v>12</v>
      </c>
      <c r="AC999" s="366">
        <f t="shared" si="828"/>
        <v>12</v>
      </c>
      <c r="AD999" s="366">
        <f t="shared" si="828"/>
        <v>12</v>
      </c>
      <c r="AE999" s="366">
        <f t="shared" si="828"/>
        <v>12</v>
      </c>
      <c r="AF999" s="366">
        <f t="shared" si="828"/>
        <v>12</v>
      </c>
      <c r="AH999" s="538"/>
      <c r="AK999" s="531"/>
      <c r="AM999" s="594"/>
      <c r="AN999" s="535"/>
      <c r="AP999" s="540"/>
      <c r="AQ999" s="540"/>
    </row>
    <row r="1000" spans="1:43" s="513" customFormat="1" ht="16.5" hidden="1" customHeight="1" outlineLevel="2">
      <c r="A1000" s="584"/>
      <c r="B1000" s="596" t="s">
        <v>906</v>
      </c>
      <c r="C1000" s="366">
        <f>Insumos!$E$47</f>
        <v>544</v>
      </c>
      <c r="D1000" s="366">
        <f>C1000</f>
        <v>544</v>
      </c>
      <c r="E1000" s="366">
        <f t="shared" si="827"/>
        <v>544</v>
      </c>
      <c r="F1000" s="366">
        <f t="shared" si="827"/>
        <v>544</v>
      </c>
      <c r="G1000" s="366">
        <f t="shared" si="827"/>
        <v>544</v>
      </c>
      <c r="H1000" s="366">
        <f t="shared" si="827"/>
        <v>544</v>
      </c>
      <c r="I1000" s="366">
        <f t="shared" si="827"/>
        <v>544</v>
      </c>
      <c r="J1000" s="366">
        <f t="shared" si="827"/>
        <v>544</v>
      </c>
      <c r="K1000" s="366">
        <f t="shared" si="827"/>
        <v>544</v>
      </c>
      <c r="L1000" s="366">
        <f t="shared" si="827"/>
        <v>544</v>
      </c>
      <c r="M1000" s="366">
        <f t="shared" si="827"/>
        <v>544</v>
      </c>
      <c r="N1000" s="366">
        <f t="shared" si="827"/>
        <v>544</v>
      </c>
      <c r="O1000" s="366">
        <f t="shared" si="827"/>
        <v>544</v>
      </c>
      <c r="P1000" s="366">
        <f t="shared" si="827"/>
        <v>544</v>
      </c>
      <c r="Q1000" s="366">
        <f t="shared" si="827"/>
        <v>544</v>
      </c>
      <c r="R1000" s="366">
        <f t="shared" si="827"/>
        <v>544</v>
      </c>
      <c r="S1000" s="366">
        <f t="shared" si="827"/>
        <v>544</v>
      </c>
      <c r="T1000" s="366">
        <f t="shared" si="827"/>
        <v>544</v>
      </c>
      <c r="U1000" s="366">
        <f t="shared" si="828"/>
        <v>544</v>
      </c>
      <c r="V1000" s="366">
        <f t="shared" si="828"/>
        <v>544</v>
      </c>
      <c r="W1000" s="366">
        <f t="shared" si="828"/>
        <v>544</v>
      </c>
      <c r="X1000" s="366">
        <f t="shared" si="828"/>
        <v>544</v>
      </c>
      <c r="Y1000" s="366">
        <f t="shared" si="828"/>
        <v>544</v>
      </c>
      <c r="Z1000" s="366">
        <f t="shared" si="828"/>
        <v>544</v>
      </c>
      <c r="AA1000" s="366">
        <f t="shared" si="828"/>
        <v>544</v>
      </c>
      <c r="AB1000" s="366">
        <f t="shared" si="828"/>
        <v>544</v>
      </c>
      <c r="AC1000" s="366">
        <f t="shared" si="828"/>
        <v>544</v>
      </c>
      <c r="AD1000" s="366">
        <f t="shared" si="828"/>
        <v>544</v>
      </c>
      <c r="AE1000" s="366">
        <f t="shared" si="828"/>
        <v>544</v>
      </c>
      <c r="AF1000" s="366">
        <f t="shared" si="828"/>
        <v>544</v>
      </c>
      <c r="AH1000" s="538"/>
      <c r="AK1000" s="531"/>
      <c r="AM1000" s="594"/>
      <c r="AN1000" s="535"/>
      <c r="AP1000" s="540"/>
      <c r="AQ1000" s="540"/>
    </row>
    <row r="1001" spans="1:43" s="513" customFormat="1" ht="3" hidden="1" customHeight="1" outlineLevel="2">
      <c r="A1001" s="584"/>
      <c r="B1001" s="596"/>
      <c r="C1001" s="598"/>
      <c r="D1001" s="598"/>
      <c r="E1001" s="598"/>
      <c r="F1001" s="598"/>
      <c r="G1001" s="598"/>
      <c r="H1001" s="598"/>
      <c r="I1001" s="598"/>
      <c r="J1001" s="598"/>
      <c r="K1001" s="598"/>
      <c r="L1001" s="598"/>
      <c r="M1001" s="598"/>
      <c r="N1001" s="598"/>
      <c r="O1001" s="598"/>
      <c r="P1001" s="598"/>
      <c r="Q1001" s="598"/>
      <c r="R1001" s="598"/>
      <c r="S1001" s="598"/>
      <c r="T1001" s="598"/>
      <c r="U1001" s="598"/>
      <c r="V1001" s="598"/>
      <c r="W1001" s="598"/>
      <c r="X1001" s="598"/>
      <c r="Y1001" s="598"/>
      <c r="Z1001" s="598"/>
      <c r="AA1001" s="598"/>
      <c r="AB1001" s="598"/>
      <c r="AC1001" s="598"/>
      <c r="AD1001" s="598"/>
      <c r="AE1001" s="598"/>
      <c r="AF1001" s="598"/>
      <c r="AH1001" s="538"/>
      <c r="AK1001" s="531"/>
      <c r="AM1001" s="594"/>
      <c r="AN1001" s="535"/>
      <c r="AP1001" s="540"/>
      <c r="AQ1001" s="540"/>
    </row>
    <row r="1002" spans="1:43" s="564" customFormat="1" ht="16.5" hidden="1" customHeight="1" outlineLevel="1" collapsed="1">
      <c r="A1002" s="584"/>
      <c r="B1002" s="576" t="s">
        <v>909</v>
      </c>
      <c r="C1002" s="577">
        <f>C1003*12/10^3</f>
        <v>15.48</v>
      </c>
      <c r="D1002" s="577">
        <f t="shared" ref="D1002:AF1002" si="829">D1003*12/10^3</f>
        <v>15.48</v>
      </c>
      <c r="E1002" s="577">
        <f t="shared" si="829"/>
        <v>15.48</v>
      </c>
      <c r="F1002" s="577">
        <f t="shared" si="829"/>
        <v>15.48</v>
      </c>
      <c r="G1002" s="577">
        <f t="shared" si="829"/>
        <v>15.48</v>
      </c>
      <c r="H1002" s="577">
        <f t="shared" si="829"/>
        <v>15.48</v>
      </c>
      <c r="I1002" s="577">
        <f t="shared" si="829"/>
        <v>15.48</v>
      </c>
      <c r="J1002" s="577">
        <f t="shared" si="829"/>
        <v>15.48</v>
      </c>
      <c r="K1002" s="577">
        <f t="shared" si="829"/>
        <v>15.48</v>
      </c>
      <c r="L1002" s="577">
        <f t="shared" si="829"/>
        <v>15.48</v>
      </c>
      <c r="M1002" s="577">
        <f t="shared" si="829"/>
        <v>15.48</v>
      </c>
      <c r="N1002" s="577">
        <f t="shared" si="829"/>
        <v>15.48</v>
      </c>
      <c r="O1002" s="577">
        <f t="shared" si="829"/>
        <v>15.48</v>
      </c>
      <c r="P1002" s="577">
        <f t="shared" si="829"/>
        <v>15.48</v>
      </c>
      <c r="Q1002" s="577">
        <f t="shared" si="829"/>
        <v>15.48</v>
      </c>
      <c r="R1002" s="577">
        <f t="shared" si="829"/>
        <v>15.48</v>
      </c>
      <c r="S1002" s="577">
        <f t="shared" si="829"/>
        <v>15.48</v>
      </c>
      <c r="T1002" s="577">
        <f t="shared" si="829"/>
        <v>15.48</v>
      </c>
      <c r="U1002" s="577">
        <f t="shared" si="829"/>
        <v>15.48</v>
      </c>
      <c r="V1002" s="577">
        <f t="shared" si="829"/>
        <v>15.48</v>
      </c>
      <c r="W1002" s="577">
        <f t="shared" si="829"/>
        <v>15.48</v>
      </c>
      <c r="X1002" s="577">
        <f t="shared" si="829"/>
        <v>15.48</v>
      </c>
      <c r="Y1002" s="577">
        <f t="shared" si="829"/>
        <v>15.48</v>
      </c>
      <c r="Z1002" s="577">
        <f t="shared" si="829"/>
        <v>15.48</v>
      </c>
      <c r="AA1002" s="577">
        <f t="shared" si="829"/>
        <v>15.48</v>
      </c>
      <c r="AB1002" s="577">
        <f t="shared" si="829"/>
        <v>15.48</v>
      </c>
      <c r="AC1002" s="577">
        <f t="shared" si="829"/>
        <v>15.48</v>
      </c>
      <c r="AD1002" s="577">
        <f t="shared" si="829"/>
        <v>15.48</v>
      </c>
      <c r="AE1002" s="577">
        <f t="shared" si="829"/>
        <v>15.48</v>
      </c>
      <c r="AF1002" s="577">
        <f t="shared" si="829"/>
        <v>15.48</v>
      </c>
      <c r="AH1002" s="578">
        <f>SUM(C1002:AF1002)</f>
        <v>464.4000000000002</v>
      </c>
      <c r="AK1002" s="531"/>
      <c r="AM1002" s="594"/>
      <c r="AN1002" s="535"/>
      <c r="AP1002" s="568"/>
      <c r="AQ1002" s="568"/>
    </row>
    <row r="1003" spans="1:43" s="546" customFormat="1" ht="16.5" hidden="1" customHeight="1" outlineLevel="2">
      <c r="A1003" s="584"/>
      <c r="B1003" s="603" t="s">
        <v>910</v>
      </c>
      <c r="C1003" s="581">
        <f>(C1004*C1005)</f>
        <v>1290</v>
      </c>
      <c r="D1003" s="581">
        <f t="shared" ref="D1003:AF1003" si="830">(D1004*D1005)</f>
        <v>1290</v>
      </c>
      <c r="E1003" s="581">
        <f t="shared" si="830"/>
        <v>1290</v>
      </c>
      <c r="F1003" s="581">
        <f t="shared" si="830"/>
        <v>1290</v>
      </c>
      <c r="G1003" s="581">
        <f t="shared" si="830"/>
        <v>1290</v>
      </c>
      <c r="H1003" s="581">
        <f t="shared" si="830"/>
        <v>1290</v>
      </c>
      <c r="I1003" s="581">
        <f t="shared" si="830"/>
        <v>1290</v>
      </c>
      <c r="J1003" s="581">
        <f t="shared" si="830"/>
        <v>1290</v>
      </c>
      <c r="K1003" s="581">
        <f t="shared" si="830"/>
        <v>1290</v>
      </c>
      <c r="L1003" s="581">
        <f t="shared" si="830"/>
        <v>1290</v>
      </c>
      <c r="M1003" s="581">
        <f t="shared" si="830"/>
        <v>1290</v>
      </c>
      <c r="N1003" s="581">
        <f t="shared" si="830"/>
        <v>1290</v>
      </c>
      <c r="O1003" s="581">
        <f t="shared" si="830"/>
        <v>1290</v>
      </c>
      <c r="P1003" s="581">
        <f t="shared" si="830"/>
        <v>1290</v>
      </c>
      <c r="Q1003" s="581">
        <f t="shared" si="830"/>
        <v>1290</v>
      </c>
      <c r="R1003" s="581">
        <f t="shared" si="830"/>
        <v>1290</v>
      </c>
      <c r="S1003" s="581">
        <f t="shared" si="830"/>
        <v>1290</v>
      </c>
      <c r="T1003" s="581">
        <f t="shared" si="830"/>
        <v>1290</v>
      </c>
      <c r="U1003" s="581">
        <f t="shared" si="830"/>
        <v>1290</v>
      </c>
      <c r="V1003" s="581">
        <f t="shared" si="830"/>
        <v>1290</v>
      </c>
      <c r="W1003" s="581">
        <f t="shared" si="830"/>
        <v>1290</v>
      </c>
      <c r="X1003" s="581">
        <f t="shared" si="830"/>
        <v>1290</v>
      </c>
      <c r="Y1003" s="581">
        <f t="shared" si="830"/>
        <v>1290</v>
      </c>
      <c r="Z1003" s="581">
        <f t="shared" si="830"/>
        <v>1290</v>
      </c>
      <c r="AA1003" s="581">
        <f t="shared" si="830"/>
        <v>1290</v>
      </c>
      <c r="AB1003" s="581">
        <f t="shared" si="830"/>
        <v>1290</v>
      </c>
      <c r="AC1003" s="581">
        <f t="shared" si="830"/>
        <v>1290</v>
      </c>
      <c r="AD1003" s="581">
        <f t="shared" si="830"/>
        <v>1290</v>
      </c>
      <c r="AE1003" s="581">
        <f t="shared" si="830"/>
        <v>1290</v>
      </c>
      <c r="AF1003" s="581">
        <f t="shared" si="830"/>
        <v>1290</v>
      </c>
      <c r="AH1003" s="571"/>
      <c r="AK1003" s="531"/>
      <c r="AM1003" s="594"/>
      <c r="AN1003" s="535"/>
      <c r="AP1003" s="549"/>
      <c r="AQ1003" s="549"/>
    </row>
    <row r="1004" spans="1:43" s="513" customFormat="1" ht="16.5" hidden="1" customHeight="1" outlineLevel="2">
      <c r="A1004" s="584"/>
      <c r="B1004" s="604" t="s">
        <v>982</v>
      </c>
      <c r="C1004" s="643">
        <f t="shared" ref="C1004:AF1004" si="831">C933</f>
        <v>1</v>
      </c>
      <c r="D1004" s="643">
        <f t="shared" si="831"/>
        <v>1</v>
      </c>
      <c r="E1004" s="643">
        <f t="shared" si="831"/>
        <v>1</v>
      </c>
      <c r="F1004" s="643">
        <f t="shared" si="831"/>
        <v>1</v>
      </c>
      <c r="G1004" s="643">
        <f t="shared" si="831"/>
        <v>1</v>
      </c>
      <c r="H1004" s="643">
        <f t="shared" si="831"/>
        <v>1</v>
      </c>
      <c r="I1004" s="643">
        <f t="shared" si="831"/>
        <v>1</v>
      </c>
      <c r="J1004" s="643">
        <f t="shared" si="831"/>
        <v>1</v>
      </c>
      <c r="K1004" s="643">
        <f t="shared" si="831"/>
        <v>1</v>
      </c>
      <c r="L1004" s="643">
        <f t="shared" si="831"/>
        <v>1</v>
      </c>
      <c r="M1004" s="643">
        <f t="shared" si="831"/>
        <v>1</v>
      </c>
      <c r="N1004" s="643">
        <f t="shared" si="831"/>
        <v>1</v>
      </c>
      <c r="O1004" s="643">
        <f t="shared" si="831"/>
        <v>1</v>
      </c>
      <c r="P1004" s="643">
        <f t="shared" si="831"/>
        <v>1</v>
      </c>
      <c r="Q1004" s="643">
        <f t="shared" si="831"/>
        <v>1</v>
      </c>
      <c r="R1004" s="643">
        <f t="shared" si="831"/>
        <v>1</v>
      </c>
      <c r="S1004" s="643">
        <f t="shared" si="831"/>
        <v>1</v>
      </c>
      <c r="T1004" s="643">
        <f t="shared" si="831"/>
        <v>1</v>
      </c>
      <c r="U1004" s="643">
        <f t="shared" si="831"/>
        <v>1</v>
      </c>
      <c r="V1004" s="643">
        <f t="shared" si="831"/>
        <v>1</v>
      </c>
      <c r="W1004" s="643">
        <f t="shared" si="831"/>
        <v>1</v>
      </c>
      <c r="X1004" s="643">
        <f t="shared" si="831"/>
        <v>1</v>
      </c>
      <c r="Y1004" s="643">
        <f t="shared" si="831"/>
        <v>1</v>
      </c>
      <c r="Z1004" s="643">
        <f t="shared" si="831"/>
        <v>1</v>
      </c>
      <c r="AA1004" s="643">
        <f t="shared" si="831"/>
        <v>1</v>
      </c>
      <c r="AB1004" s="643">
        <f t="shared" si="831"/>
        <v>1</v>
      </c>
      <c r="AC1004" s="643">
        <f t="shared" si="831"/>
        <v>1</v>
      </c>
      <c r="AD1004" s="643">
        <f t="shared" si="831"/>
        <v>1</v>
      </c>
      <c r="AE1004" s="643">
        <f t="shared" si="831"/>
        <v>1</v>
      </c>
      <c r="AF1004" s="643">
        <f t="shared" si="831"/>
        <v>1</v>
      </c>
      <c r="AH1004" s="538"/>
      <c r="AK1004" s="531"/>
      <c r="AM1004" s="594"/>
      <c r="AN1004" s="535"/>
      <c r="AP1004" s="540"/>
      <c r="AQ1004" s="540"/>
    </row>
    <row r="1005" spans="1:43" s="513" customFormat="1" ht="16.5" hidden="1" customHeight="1" outlineLevel="2">
      <c r="A1005" s="584"/>
      <c r="B1005" s="672" t="s">
        <v>912</v>
      </c>
      <c r="C1005" s="605">
        <f>Insumos!$E$44*4.3</f>
        <v>1290</v>
      </c>
      <c r="D1005" s="605">
        <f>C1005</f>
        <v>1290</v>
      </c>
      <c r="E1005" s="605">
        <f t="shared" ref="E1005:AF1005" si="832">D1005</f>
        <v>1290</v>
      </c>
      <c r="F1005" s="605">
        <f t="shared" si="832"/>
        <v>1290</v>
      </c>
      <c r="G1005" s="605">
        <f t="shared" si="832"/>
        <v>1290</v>
      </c>
      <c r="H1005" s="605">
        <f t="shared" si="832"/>
        <v>1290</v>
      </c>
      <c r="I1005" s="605">
        <f t="shared" si="832"/>
        <v>1290</v>
      </c>
      <c r="J1005" s="605">
        <f t="shared" si="832"/>
        <v>1290</v>
      </c>
      <c r="K1005" s="605">
        <f t="shared" si="832"/>
        <v>1290</v>
      </c>
      <c r="L1005" s="605">
        <f t="shared" si="832"/>
        <v>1290</v>
      </c>
      <c r="M1005" s="605">
        <f t="shared" si="832"/>
        <v>1290</v>
      </c>
      <c r="N1005" s="605">
        <f t="shared" si="832"/>
        <v>1290</v>
      </c>
      <c r="O1005" s="605">
        <f t="shared" si="832"/>
        <v>1290</v>
      </c>
      <c r="P1005" s="605">
        <f t="shared" si="832"/>
        <v>1290</v>
      </c>
      <c r="Q1005" s="605">
        <f t="shared" si="832"/>
        <v>1290</v>
      </c>
      <c r="R1005" s="605">
        <f t="shared" si="832"/>
        <v>1290</v>
      </c>
      <c r="S1005" s="605">
        <f t="shared" si="832"/>
        <v>1290</v>
      </c>
      <c r="T1005" s="605">
        <f t="shared" si="832"/>
        <v>1290</v>
      </c>
      <c r="U1005" s="605">
        <f t="shared" si="832"/>
        <v>1290</v>
      </c>
      <c r="V1005" s="605">
        <f t="shared" si="832"/>
        <v>1290</v>
      </c>
      <c r="W1005" s="605">
        <f t="shared" si="832"/>
        <v>1290</v>
      </c>
      <c r="X1005" s="605">
        <f t="shared" si="832"/>
        <v>1290</v>
      </c>
      <c r="Y1005" s="605">
        <f t="shared" si="832"/>
        <v>1290</v>
      </c>
      <c r="Z1005" s="605">
        <f t="shared" si="832"/>
        <v>1290</v>
      </c>
      <c r="AA1005" s="605">
        <f t="shared" si="832"/>
        <v>1290</v>
      </c>
      <c r="AB1005" s="605">
        <f t="shared" si="832"/>
        <v>1290</v>
      </c>
      <c r="AC1005" s="605">
        <f t="shared" si="832"/>
        <v>1290</v>
      </c>
      <c r="AD1005" s="605">
        <f t="shared" si="832"/>
        <v>1290</v>
      </c>
      <c r="AE1005" s="605">
        <f t="shared" si="832"/>
        <v>1290</v>
      </c>
      <c r="AF1005" s="605">
        <f t="shared" si="832"/>
        <v>1290</v>
      </c>
      <c r="AH1005" s="538"/>
      <c r="AK1005" s="531"/>
      <c r="AM1005" s="594"/>
      <c r="AN1005" s="535"/>
      <c r="AP1005" s="540"/>
      <c r="AQ1005" s="540"/>
    </row>
    <row r="1006" spans="1:43" s="513" customFormat="1" ht="3" hidden="1" customHeight="1" outlineLevel="2">
      <c r="A1006" s="584"/>
      <c r="B1006" s="606"/>
      <c r="C1006" s="575"/>
      <c r="D1006" s="575"/>
      <c r="E1006" s="575"/>
      <c r="F1006" s="575"/>
      <c r="G1006" s="575"/>
      <c r="H1006" s="575"/>
      <c r="I1006" s="575"/>
      <c r="J1006" s="575"/>
      <c r="K1006" s="575"/>
      <c r="L1006" s="575"/>
      <c r="M1006" s="575"/>
      <c r="N1006" s="575"/>
      <c r="O1006" s="575"/>
      <c r="P1006" s="575"/>
      <c r="Q1006" s="575"/>
      <c r="R1006" s="575"/>
      <c r="S1006" s="575"/>
      <c r="T1006" s="575"/>
      <c r="U1006" s="575"/>
      <c r="V1006" s="575"/>
      <c r="W1006" s="575"/>
      <c r="X1006" s="575"/>
      <c r="Y1006" s="575"/>
      <c r="Z1006" s="575"/>
      <c r="AA1006" s="575"/>
      <c r="AB1006" s="575"/>
      <c r="AC1006" s="575"/>
      <c r="AD1006" s="575"/>
      <c r="AE1006" s="575"/>
      <c r="AF1006" s="575"/>
      <c r="AH1006" s="538"/>
      <c r="AK1006" s="531"/>
      <c r="AM1006" s="594"/>
      <c r="AN1006" s="535"/>
      <c r="AP1006" s="540"/>
      <c r="AQ1006" s="540"/>
    </row>
    <row r="1007" spans="1:43" s="564" customFormat="1" ht="16.5" hidden="1" customHeight="1" outlineLevel="1" collapsed="1">
      <c r="A1007" s="584"/>
      <c r="B1007" s="576" t="s">
        <v>915</v>
      </c>
      <c r="C1007" s="577">
        <f>SUM(C1008)*12/10^3</f>
        <v>14.145870000000002</v>
      </c>
      <c r="D1007" s="577">
        <f t="shared" ref="D1007:AF1007" si="833">SUM(D1008)*12/10^3</f>
        <v>14.145870000000002</v>
      </c>
      <c r="E1007" s="577">
        <f t="shared" si="833"/>
        <v>14.145870000000002</v>
      </c>
      <c r="F1007" s="577">
        <f t="shared" si="833"/>
        <v>14.145870000000002</v>
      </c>
      <c r="G1007" s="577">
        <f t="shared" si="833"/>
        <v>14.145870000000002</v>
      </c>
      <c r="H1007" s="577">
        <f t="shared" si="833"/>
        <v>14.145870000000002</v>
      </c>
      <c r="I1007" s="577">
        <f t="shared" si="833"/>
        <v>14.145870000000002</v>
      </c>
      <c r="J1007" s="577">
        <f t="shared" si="833"/>
        <v>14.145870000000002</v>
      </c>
      <c r="K1007" s="577">
        <f t="shared" si="833"/>
        <v>14.145870000000002</v>
      </c>
      <c r="L1007" s="577">
        <f t="shared" si="833"/>
        <v>14.145870000000002</v>
      </c>
      <c r="M1007" s="577">
        <f t="shared" si="833"/>
        <v>14.145870000000002</v>
      </c>
      <c r="N1007" s="577">
        <f t="shared" si="833"/>
        <v>14.145870000000002</v>
      </c>
      <c r="O1007" s="577">
        <f t="shared" si="833"/>
        <v>14.145870000000002</v>
      </c>
      <c r="P1007" s="577">
        <f t="shared" si="833"/>
        <v>14.145870000000002</v>
      </c>
      <c r="Q1007" s="577">
        <f t="shared" si="833"/>
        <v>14.145870000000002</v>
      </c>
      <c r="R1007" s="577">
        <f t="shared" si="833"/>
        <v>14.145870000000002</v>
      </c>
      <c r="S1007" s="577">
        <f t="shared" si="833"/>
        <v>14.145870000000002</v>
      </c>
      <c r="T1007" s="577">
        <f t="shared" si="833"/>
        <v>14.145870000000002</v>
      </c>
      <c r="U1007" s="577">
        <f t="shared" si="833"/>
        <v>14.145870000000002</v>
      </c>
      <c r="V1007" s="577">
        <f t="shared" si="833"/>
        <v>14.145870000000002</v>
      </c>
      <c r="W1007" s="577">
        <f t="shared" si="833"/>
        <v>14.145870000000002</v>
      </c>
      <c r="X1007" s="577">
        <f t="shared" si="833"/>
        <v>14.145870000000002</v>
      </c>
      <c r="Y1007" s="577">
        <f t="shared" si="833"/>
        <v>14.145870000000002</v>
      </c>
      <c r="Z1007" s="577">
        <f t="shared" si="833"/>
        <v>14.145870000000002</v>
      </c>
      <c r="AA1007" s="577">
        <f t="shared" si="833"/>
        <v>14.145870000000002</v>
      </c>
      <c r="AB1007" s="577">
        <f t="shared" si="833"/>
        <v>14.145870000000002</v>
      </c>
      <c r="AC1007" s="577">
        <f t="shared" si="833"/>
        <v>14.145870000000002</v>
      </c>
      <c r="AD1007" s="577">
        <f t="shared" si="833"/>
        <v>14.145870000000002</v>
      </c>
      <c r="AE1007" s="577">
        <f t="shared" si="833"/>
        <v>14.145870000000002</v>
      </c>
      <c r="AF1007" s="577">
        <f t="shared" si="833"/>
        <v>14.145870000000002</v>
      </c>
      <c r="AH1007" s="578">
        <f>SUM(C1007:AF1007)</f>
        <v>424.37610000000006</v>
      </c>
      <c r="AJ1007" s="579"/>
      <c r="AK1007" s="531"/>
      <c r="AM1007" s="594"/>
      <c r="AN1007" s="535"/>
      <c r="AP1007" s="568"/>
      <c r="AQ1007" s="568"/>
    </row>
    <row r="1008" spans="1:43" s="546" customFormat="1" ht="16.5" hidden="1" customHeight="1" outlineLevel="2">
      <c r="A1008" s="584"/>
      <c r="B1008" s="569" t="str">
        <f>B933</f>
        <v>Van Minibus</v>
      </c>
      <c r="C1008" s="583">
        <f>((C1009*C1013)*(C1011+C1012)/12)+((C1010*C1009)/12)</f>
        <v>1178.8225000000002</v>
      </c>
      <c r="D1008" s="583">
        <f t="shared" ref="D1008:AF1008" si="834">((D1009*D1013)*(D1011+D1012)/12)+((D1010*D1009)/12)</f>
        <v>1178.8225000000002</v>
      </c>
      <c r="E1008" s="581">
        <f t="shared" si="834"/>
        <v>1178.8225000000002</v>
      </c>
      <c r="F1008" s="581">
        <f t="shared" si="834"/>
        <v>1178.8225000000002</v>
      </c>
      <c r="G1008" s="581">
        <f t="shared" si="834"/>
        <v>1178.8225000000002</v>
      </c>
      <c r="H1008" s="581">
        <f t="shared" si="834"/>
        <v>1178.8225000000002</v>
      </c>
      <c r="I1008" s="581">
        <f t="shared" si="834"/>
        <v>1178.8225000000002</v>
      </c>
      <c r="J1008" s="581">
        <f t="shared" si="834"/>
        <v>1178.8225000000002</v>
      </c>
      <c r="K1008" s="581">
        <f t="shared" si="834"/>
        <v>1178.8225000000002</v>
      </c>
      <c r="L1008" s="581">
        <f t="shared" si="834"/>
        <v>1178.8225000000002</v>
      </c>
      <c r="M1008" s="581">
        <f t="shared" si="834"/>
        <v>1178.8225000000002</v>
      </c>
      <c r="N1008" s="581">
        <f t="shared" si="834"/>
        <v>1178.8225000000002</v>
      </c>
      <c r="O1008" s="581">
        <f t="shared" si="834"/>
        <v>1178.8225000000002</v>
      </c>
      <c r="P1008" s="581">
        <f t="shared" si="834"/>
        <v>1178.8225000000002</v>
      </c>
      <c r="Q1008" s="581">
        <f t="shared" si="834"/>
        <v>1178.8225000000002</v>
      </c>
      <c r="R1008" s="581">
        <f t="shared" si="834"/>
        <v>1178.8225000000002</v>
      </c>
      <c r="S1008" s="581">
        <f t="shared" si="834"/>
        <v>1178.8225000000002</v>
      </c>
      <c r="T1008" s="581">
        <f t="shared" si="834"/>
        <v>1178.8225000000002</v>
      </c>
      <c r="U1008" s="581">
        <f t="shared" si="834"/>
        <v>1178.8225000000002</v>
      </c>
      <c r="V1008" s="581">
        <f t="shared" si="834"/>
        <v>1178.8225000000002</v>
      </c>
      <c r="W1008" s="581">
        <f t="shared" si="834"/>
        <v>1178.8225000000002</v>
      </c>
      <c r="X1008" s="581">
        <f t="shared" si="834"/>
        <v>1178.8225000000002</v>
      </c>
      <c r="Y1008" s="581">
        <f t="shared" si="834"/>
        <v>1178.8225000000002</v>
      </c>
      <c r="Z1008" s="581">
        <f t="shared" si="834"/>
        <v>1178.8225000000002</v>
      </c>
      <c r="AA1008" s="581">
        <f t="shared" si="834"/>
        <v>1178.8225000000002</v>
      </c>
      <c r="AB1008" s="581">
        <f t="shared" si="834"/>
        <v>1178.8225000000002</v>
      </c>
      <c r="AC1008" s="581">
        <f t="shared" si="834"/>
        <v>1178.8225000000002</v>
      </c>
      <c r="AD1008" s="581">
        <f t="shared" si="834"/>
        <v>1178.8225000000002</v>
      </c>
      <c r="AE1008" s="581">
        <f t="shared" si="834"/>
        <v>1178.8225000000002</v>
      </c>
      <c r="AF1008" s="581">
        <f t="shared" si="834"/>
        <v>1178.8225000000002</v>
      </c>
      <c r="AH1008" s="571"/>
      <c r="AK1008" s="531"/>
      <c r="AM1008" s="594"/>
      <c r="AN1008" s="535"/>
      <c r="AP1008" s="549"/>
      <c r="AQ1008" s="549"/>
    </row>
    <row r="1009" spans="1:43" s="513" customFormat="1" ht="16.5" hidden="1" customHeight="1" outlineLevel="2">
      <c r="A1009" s="584"/>
      <c r="B1009" s="572" t="s">
        <v>805</v>
      </c>
      <c r="C1009" s="643">
        <f>C933</f>
        <v>1</v>
      </c>
      <c r="D1009" s="643">
        <f>C1009</f>
        <v>1</v>
      </c>
      <c r="E1009" s="643">
        <f t="shared" ref="E1009:T1013" si="835">D1009</f>
        <v>1</v>
      </c>
      <c r="F1009" s="643">
        <f t="shared" si="835"/>
        <v>1</v>
      </c>
      <c r="G1009" s="643">
        <f t="shared" si="835"/>
        <v>1</v>
      </c>
      <c r="H1009" s="643">
        <f t="shared" si="835"/>
        <v>1</v>
      </c>
      <c r="I1009" s="643">
        <f t="shared" si="835"/>
        <v>1</v>
      </c>
      <c r="J1009" s="643">
        <f t="shared" si="835"/>
        <v>1</v>
      </c>
      <c r="K1009" s="643">
        <f t="shared" si="835"/>
        <v>1</v>
      </c>
      <c r="L1009" s="643">
        <f t="shared" si="835"/>
        <v>1</v>
      </c>
      <c r="M1009" s="643">
        <f t="shared" si="835"/>
        <v>1</v>
      </c>
      <c r="N1009" s="643">
        <f t="shared" si="835"/>
        <v>1</v>
      </c>
      <c r="O1009" s="643">
        <f t="shared" si="835"/>
        <v>1</v>
      </c>
      <c r="P1009" s="643">
        <f t="shared" si="835"/>
        <v>1</v>
      </c>
      <c r="Q1009" s="643">
        <f t="shared" si="835"/>
        <v>1</v>
      </c>
      <c r="R1009" s="643">
        <f t="shared" si="835"/>
        <v>1</v>
      </c>
      <c r="S1009" s="643">
        <f t="shared" si="835"/>
        <v>1</v>
      </c>
      <c r="T1009" s="643">
        <f t="shared" si="835"/>
        <v>1</v>
      </c>
      <c r="U1009" s="643">
        <f t="shared" ref="U1009:AF1013" si="836">T1009</f>
        <v>1</v>
      </c>
      <c r="V1009" s="643">
        <f t="shared" si="836"/>
        <v>1</v>
      </c>
      <c r="W1009" s="643">
        <f t="shared" si="836"/>
        <v>1</v>
      </c>
      <c r="X1009" s="643">
        <f t="shared" si="836"/>
        <v>1</v>
      </c>
      <c r="Y1009" s="643">
        <f t="shared" si="836"/>
        <v>1</v>
      </c>
      <c r="Z1009" s="643">
        <f t="shared" si="836"/>
        <v>1</v>
      </c>
      <c r="AA1009" s="643">
        <f t="shared" si="836"/>
        <v>1</v>
      </c>
      <c r="AB1009" s="643">
        <f t="shared" si="836"/>
        <v>1</v>
      </c>
      <c r="AC1009" s="643">
        <f t="shared" si="836"/>
        <v>1</v>
      </c>
      <c r="AD1009" s="643">
        <f t="shared" si="836"/>
        <v>1</v>
      </c>
      <c r="AE1009" s="643">
        <f t="shared" si="836"/>
        <v>1</v>
      </c>
      <c r="AF1009" s="643">
        <f t="shared" si="836"/>
        <v>1</v>
      </c>
      <c r="AH1009" s="538"/>
      <c r="AK1009" s="531"/>
      <c r="AM1009" s="594"/>
      <c r="AN1009" s="535"/>
      <c r="AP1009" s="540"/>
      <c r="AQ1009" s="540"/>
    </row>
    <row r="1010" spans="1:43" s="513" customFormat="1" ht="16.5" hidden="1" customHeight="1" outlineLevel="2">
      <c r="A1010" s="584"/>
      <c r="B1010" s="572" t="s">
        <v>916</v>
      </c>
      <c r="C1010" s="644">
        <f>C843</f>
        <v>149.37</v>
      </c>
      <c r="D1010" s="644">
        <f>C1010</f>
        <v>149.37</v>
      </c>
      <c r="E1010" s="605">
        <f t="shared" si="835"/>
        <v>149.37</v>
      </c>
      <c r="F1010" s="605">
        <f t="shared" si="835"/>
        <v>149.37</v>
      </c>
      <c r="G1010" s="605">
        <f t="shared" si="835"/>
        <v>149.37</v>
      </c>
      <c r="H1010" s="605">
        <f t="shared" si="835"/>
        <v>149.37</v>
      </c>
      <c r="I1010" s="605">
        <f t="shared" si="835"/>
        <v>149.37</v>
      </c>
      <c r="J1010" s="605">
        <f t="shared" si="835"/>
        <v>149.37</v>
      </c>
      <c r="K1010" s="605">
        <f t="shared" si="835"/>
        <v>149.37</v>
      </c>
      <c r="L1010" s="605">
        <f t="shared" si="835"/>
        <v>149.37</v>
      </c>
      <c r="M1010" s="605">
        <f t="shared" si="835"/>
        <v>149.37</v>
      </c>
      <c r="N1010" s="605">
        <f t="shared" si="835"/>
        <v>149.37</v>
      </c>
      <c r="O1010" s="605">
        <f t="shared" si="835"/>
        <v>149.37</v>
      </c>
      <c r="P1010" s="605">
        <f t="shared" si="835"/>
        <v>149.37</v>
      </c>
      <c r="Q1010" s="605">
        <f t="shared" si="835"/>
        <v>149.37</v>
      </c>
      <c r="R1010" s="605">
        <f t="shared" si="835"/>
        <v>149.37</v>
      </c>
      <c r="S1010" s="605">
        <f t="shared" si="835"/>
        <v>149.37</v>
      </c>
      <c r="T1010" s="605">
        <f t="shared" si="835"/>
        <v>149.37</v>
      </c>
      <c r="U1010" s="605">
        <f t="shared" si="836"/>
        <v>149.37</v>
      </c>
      <c r="V1010" s="605">
        <f t="shared" si="836"/>
        <v>149.37</v>
      </c>
      <c r="W1010" s="605">
        <f t="shared" si="836"/>
        <v>149.37</v>
      </c>
      <c r="X1010" s="605">
        <f t="shared" si="836"/>
        <v>149.37</v>
      </c>
      <c r="Y1010" s="605">
        <f t="shared" si="836"/>
        <v>149.37</v>
      </c>
      <c r="Z1010" s="605">
        <f t="shared" si="836"/>
        <v>149.37</v>
      </c>
      <c r="AA1010" s="605">
        <f t="shared" si="836"/>
        <v>149.37</v>
      </c>
      <c r="AB1010" s="605">
        <f t="shared" si="836"/>
        <v>149.37</v>
      </c>
      <c r="AC1010" s="605">
        <f t="shared" si="836"/>
        <v>149.37</v>
      </c>
      <c r="AD1010" s="605">
        <f t="shared" si="836"/>
        <v>149.37</v>
      </c>
      <c r="AE1010" s="605">
        <f t="shared" si="836"/>
        <v>149.37</v>
      </c>
      <c r="AF1010" s="605">
        <f t="shared" si="836"/>
        <v>149.37</v>
      </c>
      <c r="AH1010" s="538"/>
      <c r="AK1010" s="531"/>
      <c r="AM1010" s="594"/>
      <c r="AN1010" s="535"/>
      <c r="AP1010" s="540"/>
      <c r="AQ1010" s="540"/>
    </row>
    <row r="1011" spans="1:43" s="513" customFormat="1" ht="16.5" hidden="1" customHeight="1" outlineLevel="2">
      <c r="A1011" s="584"/>
      <c r="B1011" s="572" t="s">
        <v>917</v>
      </c>
      <c r="C1011" s="645">
        <f>$C$844</f>
        <v>0.01</v>
      </c>
      <c r="D1011" s="645">
        <f>C1011</f>
        <v>0.01</v>
      </c>
      <c r="E1011" s="186">
        <f t="shared" si="835"/>
        <v>0.01</v>
      </c>
      <c r="F1011" s="186">
        <f t="shared" si="835"/>
        <v>0.01</v>
      </c>
      <c r="G1011" s="186">
        <f t="shared" si="835"/>
        <v>0.01</v>
      </c>
      <c r="H1011" s="186">
        <f t="shared" si="835"/>
        <v>0.01</v>
      </c>
      <c r="I1011" s="186">
        <f t="shared" si="835"/>
        <v>0.01</v>
      </c>
      <c r="J1011" s="186">
        <f t="shared" si="835"/>
        <v>0.01</v>
      </c>
      <c r="K1011" s="186">
        <f t="shared" si="835"/>
        <v>0.01</v>
      </c>
      <c r="L1011" s="186">
        <f t="shared" si="835"/>
        <v>0.01</v>
      </c>
      <c r="M1011" s="186">
        <f t="shared" si="835"/>
        <v>0.01</v>
      </c>
      <c r="N1011" s="186">
        <f t="shared" si="835"/>
        <v>0.01</v>
      </c>
      <c r="O1011" s="186">
        <f t="shared" si="835"/>
        <v>0.01</v>
      </c>
      <c r="P1011" s="186">
        <f t="shared" si="835"/>
        <v>0.01</v>
      </c>
      <c r="Q1011" s="186">
        <f t="shared" si="835"/>
        <v>0.01</v>
      </c>
      <c r="R1011" s="186">
        <f t="shared" si="835"/>
        <v>0.01</v>
      </c>
      <c r="S1011" s="186">
        <f t="shared" si="835"/>
        <v>0.01</v>
      </c>
      <c r="T1011" s="186">
        <f t="shared" si="835"/>
        <v>0.01</v>
      </c>
      <c r="U1011" s="186">
        <f t="shared" si="836"/>
        <v>0.01</v>
      </c>
      <c r="V1011" s="186">
        <f t="shared" si="836"/>
        <v>0.01</v>
      </c>
      <c r="W1011" s="186">
        <f t="shared" si="836"/>
        <v>0.01</v>
      </c>
      <c r="X1011" s="186">
        <f t="shared" si="836"/>
        <v>0.01</v>
      </c>
      <c r="Y1011" s="186">
        <f t="shared" si="836"/>
        <v>0.01</v>
      </c>
      <c r="Z1011" s="186">
        <f t="shared" si="836"/>
        <v>0.01</v>
      </c>
      <c r="AA1011" s="186">
        <f t="shared" si="836"/>
        <v>0.01</v>
      </c>
      <c r="AB1011" s="186">
        <f t="shared" si="836"/>
        <v>0.01</v>
      </c>
      <c r="AC1011" s="186">
        <f t="shared" si="836"/>
        <v>0.01</v>
      </c>
      <c r="AD1011" s="186">
        <f t="shared" si="836"/>
        <v>0.01</v>
      </c>
      <c r="AE1011" s="186">
        <f t="shared" si="836"/>
        <v>0.01</v>
      </c>
      <c r="AF1011" s="186">
        <f t="shared" si="836"/>
        <v>0.01</v>
      </c>
      <c r="AH1011" s="538"/>
      <c r="AK1011" s="531"/>
      <c r="AM1011" s="594"/>
      <c r="AN1011" s="535"/>
      <c r="AP1011" s="540"/>
      <c r="AQ1011" s="540"/>
    </row>
    <row r="1012" spans="1:43" s="513" customFormat="1" ht="16.5" hidden="1" customHeight="1" outlineLevel="2">
      <c r="A1012" s="584"/>
      <c r="B1012" s="572" t="s">
        <v>918</v>
      </c>
      <c r="C1012" s="645">
        <v>2.5000000000000001E-2</v>
      </c>
      <c r="D1012" s="645">
        <f>C1012</f>
        <v>2.5000000000000001E-2</v>
      </c>
      <c r="E1012" s="186">
        <f t="shared" si="835"/>
        <v>2.5000000000000001E-2</v>
      </c>
      <c r="F1012" s="186">
        <f t="shared" si="835"/>
        <v>2.5000000000000001E-2</v>
      </c>
      <c r="G1012" s="186">
        <f t="shared" si="835"/>
        <v>2.5000000000000001E-2</v>
      </c>
      <c r="H1012" s="186">
        <f t="shared" si="835"/>
        <v>2.5000000000000001E-2</v>
      </c>
      <c r="I1012" s="186">
        <f t="shared" si="835"/>
        <v>2.5000000000000001E-2</v>
      </c>
      <c r="J1012" s="186">
        <f t="shared" si="835"/>
        <v>2.5000000000000001E-2</v>
      </c>
      <c r="K1012" s="186">
        <f t="shared" si="835"/>
        <v>2.5000000000000001E-2</v>
      </c>
      <c r="L1012" s="186">
        <f t="shared" si="835"/>
        <v>2.5000000000000001E-2</v>
      </c>
      <c r="M1012" s="186">
        <f t="shared" si="835"/>
        <v>2.5000000000000001E-2</v>
      </c>
      <c r="N1012" s="186">
        <f t="shared" si="835"/>
        <v>2.5000000000000001E-2</v>
      </c>
      <c r="O1012" s="186">
        <f t="shared" si="835"/>
        <v>2.5000000000000001E-2</v>
      </c>
      <c r="P1012" s="186">
        <f t="shared" si="835"/>
        <v>2.5000000000000001E-2</v>
      </c>
      <c r="Q1012" s="186">
        <f t="shared" si="835"/>
        <v>2.5000000000000001E-2</v>
      </c>
      <c r="R1012" s="186">
        <f t="shared" si="835"/>
        <v>2.5000000000000001E-2</v>
      </c>
      <c r="S1012" s="186">
        <f t="shared" si="835"/>
        <v>2.5000000000000001E-2</v>
      </c>
      <c r="T1012" s="186">
        <f t="shared" si="835"/>
        <v>2.5000000000000001E-2</v>
      </c>
      <c r="U1012" s="186">
        <f t="shared" si="836"/>
        <v>2.5000000000000001E-2</v>
      </c>
      <c r="V1012" s="186">
        <f t="shared" si="836"/>
        <v>2.5000000000000001E-2</v>
      </c>
      <c r="W1012" s="186">
        <f t="shared" si="836"/>
        <v>2.5000000000000001E-2</v>
      </c>
      <c r="X1012" s="186">
        <f t="shared" si="836"/>
        <v>2.5000000000000001E-2</v>
      </c>
      <c r="Y1012" s="186">
        <f t="shared" si="836"/>
        <v>2.5000000000000001E-2</v>
      </c>
      <c r="Z1012" s="186">
        <f t="shared" si="836"/>
        <v>2.5000000000000001E-2</v>
      </c>
      <c r="AA1012" s="186">
        <f t="shared" si="836"/>
        <v>2.5000000000000001E-2</v>
      </c>
      <c r="AB1012" s="186">
        <f t="shared" si="836"/>
        <v>2.5000000000000001E-2</v>
      </c>
      <c r="AC1012" s="186">
        <f t="shared" si="836"/>
        <v>2.5000000000000001E-2</v>
      </c>
      <c r="AD1012" s="186">
        <f t="shared" si="836"/>
        <v>2.5000000000000001E-2</v>
      </c>
      <c r="AE1012" s="186">
        <f t="shared" si="836"/>
        <v>2.5000000000000001E-2</v>
      </c>
      <c r="AF1012" s="186">
        <f t="shared" si="836"/>
        <v>2.5000000000000001E-2</v>
      </c>
      <c r="AH1012" s="538"/>
      <c r="AK1012" s="531"/>
      <c r="AM1012" s="594"/>
      <c r="AN1012" s="535"/>
      <c r="AP1012" s="540"/>
      <c r="AQ1012" s="540"/>
    </row>
    <row r="1013" spans="1:43" s="513" customFormat="1" ht="16.5" hidden="1" customHeight="1" outlineLevel="2">
      <c r="A1013" s="584"/>
      <c r="B1013" s="572" t="s">
        <v>919</v>
      </c>
      <c r="C1013" s="644">
        <f>CAPEX!$C$96</f>
        <v>399900</v>
      </c>
      <c r="D1013" s="644">
        <f>C1013</f>
        <v>399900</v>
      </c>
      <c r="E1013" s="605">
        <f t="shared" si="835"/>
        <v>399900</v>
      </c>
      <c r="F1013" s="605">
        <f t="shared" si="835"/>
        <v>399900</v>
      </c>
      <c r="G1013" s="605">
        <f t="shared" si="835"/>
        <v>399900</v>
      </c>
      <c r="H1013" s="605">
        <f t="shared" si="835"/>
        <v>399900</v>
      </c>
      <c r="I1013" s="605">
        <f t="shared" si="835"/>
        <v>399900</v>
      </c>
      <c r="J1013" s="605">
        <f t="shared" si="835"/>
        <v>399900</v>
      </c>
      <c r="K1013" s="605">
        <f t="shared" si="835"/>
        <v>399900</v>
      </c>
      <c r="L1013" s="605">
        <f t="shared" si="835"/>
        <v>399900</v>
      </c>
      <c r="M1013" s="605">
        <f t="shared" si="835"/>
        <v>399900</v>
      </c>
      <c r="N1013" s="605">
        <f t="shared" si="835"/>
        <v>399900</v>
      </c>
      <c r="O1013" s="605">
        <f t="shared" si="835"/>
        <v>399900</v>
      </c>
      <c r="P1013" s="605">
        <f t="shared" si="835"/>
        <v>399900</v>
      </c>
      <c r="Q1013" s="605">
        <f t="shared" si="835"/>
        <v>399900</v>
      </c>
      <c r="R1013" s="605">
        <f t="shared" si="835"/>
        <v>399900</v>
      </c>
      <c r="S1013" s="605">
        <f t="shared" si="835"/>
        <v>399900</v>
      </c>
      <c r="T1013" s="605">
        <f t="shared" si="835"/>
        <v>399900</v>
      </c>
      <c r="U1013" s="605">
        <f t="shared" si="836"/>
        <v>399900</v>
      </c>
      <c r="V1013" s="605">
        <f t="shared" si="836"/>
        <v>399900</v>
      </c>
      <c r="W1013" s="605">
        <f t="shared" si="836"/>
        <v>399900</v>
      </c>
      <c r="X1013" s="605">
        <f t="shared" si="836"/>
        <v>399900</v>
      </c>
      <c r="Y1013" s="605">
        <f t="shared" si="836"/>
        <v>399900</v>
      </c>
      <c r="Z1013" s="605">
        <f t="shared" si="836"/>
        <v>399900</v>
      </c>
      <c r="AA1013" s="605">
        <f t="shared" si="836"/>
        <v>399900</v>
      </c>
      <c r="AB1013" s="605">
        <f t="shared" si="836"/>
        <v>399900</v>
      </c>
      <c r="AC1013" s="605">
        <f t="shared" si="836"/>
        <v>399900</v>
      </c>
      <c r="AD1013" s="605">
        <f t="shared" si="836"/>
        <v>399900</v>
      </c>
      <c r="AE1013" s="605">
        <f t="shared" si="836"/>
        <v>399900</v>
      </c>
      <c r="AF1013" s="605">
        <f t="shared" si="836"/>
        <v>399900</v>
      </c>
      <c r="AH1013" s="538"/>
      <c r="AK1013" s="531"/>
      <c r="AM1013" s="594"/>
      <c r="AN1013" s="535"/>
      <c r="AP1013" s="540"/>
      <c r="AQ1013" s="540"/>
    </row>
    <row r="1014" spans="1:43" s="513" customFormat="1" ht="3" hidden="1" customHeight="1" outlineLevel="2">
      <c r="A1014" s="584"/>
      <c r="B1014" s="572"/>
      <c r="C1014" s="607"/>
      <c r="D1014" s="607"/>
      <c r="E1014" s="607"/>
      <c r="F1014" s="607"/>
      <c r="G1014" s="607"/>
      <c r="H1014" s="607"/>
      <c r="I1014" s="607"/>
      <c r="J1014" s="607"/>
      <c r="K1014" s="607"/>
      <c r="L1014" s="607"/>
      <c r="M1014" s="607"/>
      <c r="N1014" s="607"/>
      <c r="O1014" s="607"/>
      <c r="P1014" s="607"/>
      <c r="Q1014" s="607"/>
      <c r="R1014" s="607"/>
      <c r="S1014" s="607"/>
      <c r="T1014" s="607"/>
      <c r="U1014" s="607"/>
      <c r="V1014" s="607"/>
      <c r="W1014" s="607"/>
      <c r="X1014" s="607"/>
      <c r="Y1014" s="607"/>
      <c r="Z1014" s="607"/>
      <c r="AA1014" s="607"/>
      <c r="AB1014" s="607"/>
      <c r="AC1014" s="607"/>
      <c r="AD1014" s="607"/>
      <c r="AE1014" s="607"/>
      <c r="AF1014" s="607"/>
      <c r="AH1014" s="538"/>
      <c r="AK1014" s="531"/>
      <c r="AM1014" s="594"/>
      <c r="AN1014" s="535"/>
      <c r="AP1014" s="540"/>
      <c r="AQ1014" s="540"/>
    </row>
    <row r="1015" spans="1:43" s="564" customFormat="1" ht="16.5" hidden="1" customHeight="1" outlineLevel="1" collapsed="1">
      <c r="A1015" s="584"/>
      <c r="B1015" s="576" t="s">
        <v>950</v>
      </c>
      <c r="C1015" s="577">
        <f>C1016*C1017*12/10^3</f>
        <v>3.3171599999999999</v>
      </c>
      <c r="D1015" s="577">
        <f t="shared" ref="D1015:AF1015" si="837">D1016*D1017*12/10^3</f>
        <v>3.3171599999999999</v>
      </c>
      <c r="E1015" s="577">
        <f t="shared" si="837"/>
        <v>3.3171599999999999</v>
      </c>
      <c r="F1015" s="577">
        <f t="shared" si="837"/>
        <v>3.3171599999999999</v>
      </c>
      <c r="G1015" s="577">
        <f t="shared" si="837"/>
        <v>3.3171599999999999</v>
      </c>
      <c r="H1015" s="577">
        <f t="shared" si="837"/>
        <v>3.3171599999999999</v>
      </c>
      <c r="I1015" s="577">
        <f t="shared" si="837"/>
        <v>3.3171599999999999</v>
      </c>
      <c r="J1015" s="577">
        <f t="shared" si="837"/>
        <v>3.3171599999999999</v>
      </c>
      <c r="K1015" s="577">
        <f t="shared" si="837"/>
        <v>3.3171599999999999</v>
      </c>
      <c r="L1015" s="577">
        <f t="shared" si="837"/>
        <v>3.3171599999999999</v>
      </c>
      <c r="M1015" s="577">
        <f t="shared" si="837"/>
        <v>3.3171599999999999</v>
      </c>
      <c r="N1015" s="577">
        <f t="shared" si="837"/>
        <v>3.3171599999999999</v>
      </c>
      <c r="O1015" s="577">
        <f t="shared" si="837"/>
        <v>3.3171599999999999</v>
      </c>
      <c r="P1015" s="577">
        <f t="shared" si="837"/>
        <v>3.3171599999999999</v>
      </c>
      <c r="Q1015" s="577">
        <f t="shared" si="837"/>
        <v>3.3171599999999999</v>
      </c>
      <c r="R1015" s="577">
        <f t="shared" si="837"/>
        <v>3.3171599999999999</v>
      </c>
      <c r="S1015" s="577">
        <f t="shared" si="837"/>
        <v>3.3171599999999999</v>
      </c>
      <c r="T1015" s="577">
        <f t="shared" si="837"/>
        <v>3.3171599999999999</v>
      </c>
      <c r="U1015" s="577">
        <f t="shared" si="837"/>
        <v>3.3171599999999999</v>
      </c>
      <c r="V1015" s="577">
        <f t="shared" si="837"/>
        <v>3.3171599999999999</v>
      </c>
      <c r="W1015" s="577">
        <f t="shared" si="837"/>
        <v>3.3171599999999999</v>
      </c>
      <c r="X1015" s="577">
        <f t="shared" si="837"/>
        <v>3.3171599999999999</v>
      </c>
      <c r="Y1015" s="577">
        <f t="shared" si="837"/>
        <v>3.3171599999999999</v>
      </c>
      <c r="Z1015" s="577">
        <f t="shared" si="837"/>
        <v>3.3171599999999999</v>
      </c>
      <c r="AA1015" s="577">
        <f t="shared" si="837"/>
        <v>3.3171599999999999</v>
      </c>
      <c r="AB1015" s="577">
        <f t="shared" si="837"/>
        <v>3.3171599999999999</v>
      </c>
      <c r="AC1015" s="577">
        <f t="shared" si="837"/>
        <v>3.3171599999999999</v>
      </c>
      <c r="AD1015" s="577">
        <f t="shared" si="837"/>
        <v>3.3171599999999999</v>
      </c>
      <c r="AE1015" s="577">
        <f t="shared" si="837"/>
        <v>3.3171599999999999</v>
      </c>
      <c r="AF1015" s="577">
        <f t="shared" si="837"/>
        <v>3.3171599999999999</v>
      </c>
      <c r="AH1015" s="578">
        <f>SUM(C1015:AF1015)</f>
        <v>99.514800000000022</v>
      </c>
      <c r="AJ1015" s="579"/>
      <c r="AK1015" s="531"/>
      <c r="AM1015" s="594"/>
      <c r="AN1015" s="535"/>
      <c r="AP1015" s="568"/>
      <c r="AQ1015" s="568"/>
    </row>
    <row r="1016" spans="1:43" s="513" customFormat="1" ht="16.5" hidden="1" customHeight="1" outlineLevel="2">
      <c r="A1016" s="584"/>
      <c r="B1016" s="551" t="s">
        <v>921</v>
      </c>
      <c r="C1016" s="643">
        <f>SUM(C1004)</f>
        <v>1</v>
      </c>
      <c r="D1016" s="643">
        <f t="shared" ref="D1016:AF1016" si="838">SUM(D1004)</f>
        <v>1</v>
      </c>
      <c r="E1016" s="643">
        <f t="shared" si="838"/>
        <v>1</v>
      </c>
      <c r="F1016" s="643">
        <f t="shared" si="838"/>
        <v>1</v>
      </c>
      <c r="G1016" s="643">
        <f t="shared" si="838"/>
        <v>1</v>
      </c>
      <c r="H1016" s="643">
        <f t="shared" si="838"/>
        <v>1</v>
      </c>
      <c r="I1016" s="643">
        <f t="shared" si="838"/>
        <v>1</v>
      </c>
      <c r="J1016" s="643">
        <f t="shared" si="838"/>
        <v>1</v>
      </c>
      <c r="K1016" s="643">
        <f t="shared" si="838"/>
        <v>1</v>
      </c>
      <c r="L1016" s="643">
        <f t="shared" si="838"/>
        <v>1</v>
      </c>
      <c r="M1016" s="643">
        <f t="shared" si="838"/>
        <v>1</v>
      </c>
      <c r="N1016" s="643">
        <f t="shared" si="838"/>
        <v>1</v>
      </c>
      <c r="O1016" s="643">
        <f t="shared" si="838"/>
        <v>1</v>
      </c>
      <c r="P1016" s="643">
        <f t="shared" si="838"/>
        <v>1</v>
      </c>
      <c r="Q1016" s="643">
        <f t="shared" si="838"/>
        <v>1</v>
      </c>
      <c r="R1016" s="643">
        <f t="shared" si="838"/>
        <v>1</v>
      </c>
      <c r="S1016" s="643">
        <f t="shared" si="838"/>
        <v>1</v>
      </c>
      <c r="T1016" s="643">
        <f t="shared" si="838"/>
        <v>1</v>
      </c>
      <c r="U1016" s="643">
        <f t="shared" si="838"/>
        <v>1</v>
      </c>
      <c r="V1016" s="643">
        <f t="shared" si="838"/>
        <v>1</v>
      </c>
      <c r="W1016" s="643">
        <f t="shared" si="838"/>
        <v>1</v>
      </c>
      <c r="X1016" s="643">
        <f t="shared" si="838"/>
        <v>1</v>
      </c>
      <c r="Y1016" s="643">
        <f t="shared" si="838"/>
        <v>1</v>
      </c>
      <c r="Z1016" s="643">
        <f t="shared" si="838"/>
        <v>1</v>
      </c>
      <c r="AA1016" s="643">
        <f t="shared" si="838"/>
        <v>1</v>
      </c>
      <c r="AB1016" s="643">
        <f t="shared" si="838"/>
        <v>1</v>
      </c>
      <c r="AC1016" s="643">
        <f t="shared" si="838"/>
        <v>1</v>
      </c>
      <c r="AD1016" s="643">
        <f t="shared" si="838"/>
        <v>1</v>
      </c>
      <c r="AE1016" s="643">
        <f t="shared" si="838"/>
        <v>1</v>
      </c>
      <c r="AF1016" s="643">
        <f t="shared" si="838"/>
        <v>1</v>
      </c>
      <c r="AG1016" s="626"/>
      <c r="AH1016" s="538"/>
      <c r="AK1016" s="531"/>
      <c r="AM1016" s="594"/>
      <c r="AN1016" s="535"/>
      <c r="AP1016" s="540"/>
      <c r="AQ1016" s="540"/>
    </row>
    <row r="1017" spans="1:43" s="513" customFormat="1" ht="16.5" hidden="1" customHeight="1" outlineLevel="2">
      <c r="A1017" s="584"/>
      <c r="B1017" s="551" t="s">
        <v>888</v>
      </c>
      <c r="C1017" s="605">
        <f>Insumos!$E$53</f>
        <v>276.43</v>
      </c>
      <c r="D1017" s="605">
        <f>C1017</f>
        <v>276.43</v>
      </c>
      <c r="E1017" s="605">
        <f t="shared" ref="E1017:AF1017" si="839">D1017</f>
        <v>276.43</v>
      </c>
      <c r="F1017" s="605">
        <f t="shared" si="839"/>
        <v>276.43</v>
      </c>
      <c r="G1017" s="605">
        <f t="shared" si="839"/>
        <v>276.43</v>
      </c>
      <c r="H1017" s="605">
        <f t="shared" si="839"/>
        <v>276.43</v>
      </c>
      <c r="I1017" s="605">
        <f t="shared" si="839"/>
        <v>276.43</v>
      </c>
      <c r="J1017" s="605">
        <f t="shared" si="839"/>
        <v>276.43</v>
      </c>
      <c r="K1017" s="605">
        <f t="shared" si="839"/>
        <v>276.43</v>
      </c>
      <c r="L1017" s="605">
        <f t="shared" si="839"/>
        <v>276.43</v>
      </c>
      <c r="M1017" s="605">
        <f t="shared" si="839"/>
        <v>276.43</v>
      </c>
      <c r="N1017" s="605">
        <f t="shared" si="839"/>
        <v>276.43</v>
      </c>
      <c r="O1017" s="605">
        <f t="shared" si="839"/>
        <v>276.43</v>
      </c>
      <c r="P1017" s="605">
        <f t="shared" si="839"/>
        <v>276.43</v>
      </c>
      <c r="Q1017" s="605">
        <f t="shared" si="839"/>
        <v>276.43</v>
      </c>
      <c r="R1017" s="605">
        <f t="shared" si="839"/>
        <v>276.43</v>
      </c>
      <c r="S1017" s="605">
        <f t="shared" si="839"/>
        <v>276.43</v>
      </c>
      <c r="T1017" s="605">
        <f t="shared" si="839"/>
        <v>276.43</v>
      </c>
      <c r="U1017" s="605">
        <f t="shared" si="839"/>
        <v>276.43</v>
      </c>
      <c r="V1017" s="605">
        <f t="shared" si="839"/>
        <v>276.43</v>
      </c>
      <c r="W1017" s="605">
        <f t="shared" si="839"/>
        <v>276.43</v>
      </c>
      <c r="X1017" s="605">
        <f t="shared" si="839"/>
        <v>276.43</v>
      </c>
      <c r="Y1017" s="605">
        <f t="shared" si="839"/>
        <v>276.43</v>
      </c>
      <c r="Z1017" s="605">
        <f t="shared" si="839"/>
        <v>276.43</v>
      </c>
      <c r="AA1017" s="605">
        <f t="shared" si="839"/>
        <v>276.43</v>
      </c>
      <c r="AB1017" s="605">
        <f t="shared" si="839"/>
        <v>276.43</v>
      </c>
      <c r="AC1017" s="605">
        <f t="shared" si="839"/>
        <v>276.43</v>
      </c>
      <c r="AD1017" s="605">
        <f t="shared" si="839"/>
        <v>276.43</v>
      </c>
      <c r="AE1017" s="605">
        <f t="shared" si="839"/>
        <v>276.43</v>
      </c>
      <c r="AF1017" s="605">
        <f t="shared" si="839"/>
        <v>276.43</v>
      </c>
      <c r="AH1017" s="538"/>
      <c r="AK1017" s="531"/>
      <c r="AM1017" s="594"/>
      <c r="AN1017" s="535"/>
      <c r="AP1017" s="540"/>
      <c r="AQ1017" s="540"/>
    </row>
    <row r="1018" spans="1:43" ht="3" hidden="1" customHeight="1" outlineLevel="2">
      <c r="A1018" s="584"/>
      <c r="B1018" s="609"/>
      <c r="C1018" s="611"/>
      <c r="D1018" s="611"/>
      <c r="E1018" s="610"/>
      <c r="F1018" s="610"/>
      <c r="G1018" s="610"/>
      <c r="H1018" s="610"/>
      <c r="I1018" s="610"/>
      <c r="J1018" s="610"/>
      <c r="K1018" s="610"/>
      <c r="L1018" s="610"/>
      <c r="M1018" s="610"/>
      <c r="N1018" s="610"/>
      <c r="O1018" s="610"/>
      <c r="P1018" s="610"/>
      <c r="Q1018" s="610"/>
      <c r="R1018" s="610"/>
      <c r="S1018" s="610"/>
      <c r="T1018" s="610"/>
      <c r="U1018" s="610"/>
      <c r="V1018" s="610"/>
      <c r="W1018" s="610"/>
      <c r="X1018" s="610"/>
      <c r="Y1018" s="610"/>
      <c r="Z1018" s="610"/>
      <c r="AA1018" s="610"/>
      <c r="AB1018" s="610"/>
      <c r="AC1018" s="610"/>
      <c r="AD1018" s="610"/>
      <c r="AE1018" s="610"/>
      <c r="AF1018" s="610"/>
      <c r="AH1018" s="593"/>
      <c r="AK1018" s="531"/>
      <c r="AM1018" s="594"/>
      <c r="AN1018" s="535"/>
      <c r="AP1018" s="535"/>
      <c r="AQ1018" s="535"/>
    </row>
    <row r="1019" spans="1:43" s="564" customFormat="1" ht="16.5" hidden="1" customHeight="1" outlineLevel="1" collapsed="1">
      <c r="A1019" s="584"/>
      <c r="B1019" s="576" t="s">
        <v>922</v>
      </c>
      <c r="C1019" s="577">
        <f>SUM(C1020,C1023,C1026,C1029,C1032,C1035)*12/10^3</f>
        <v>6.1848400000000003</v>
      </c>
      <c r="D1019" s="577">
        <f t="shared" ref="D1019:AF1019" si="840">SUM(D1020,D1023,D1026,D1029,D1032,D1035)*12/10^3</f>
        <v>6.1848400000000003</v>
      </c>
      <c r="E1019" s="577">
        <f t="shared" si="840"/>
        <v>6.1848400000000003</v>
      </c>
      <c r="F1019" s="577">
        <f t="shared" si="840"/>
        <v>6.1848400000000003</v>
      </c>
      <c r="G1019" s="577">
        <f t="shared" si="840"/>
        <v>6.1848400000000003</v>
      </c>
      <c r="H1019" s="577">
        <f t="shared" si="840"/>
        <v>6.1848400000000003</v>
      </c>
      <c r="I1019" s="577">
        <f t="shared" si="840"/>
        <v>6.1848400000000003</v>
      </c>
      <c r="J1019" s="577">
        <f t="shared" si="840"/>
        <v>6.1848400000000003</v>
      </c>
      <c r="K1019" s="577">
        <f t="shared" si="840"/>
        <v>6.1848400000000003</v>
      </c>
      <c r="L1019" s="577">
        <f t="shared" si="840"/>
        <v>6.1848400000000003</v>
      </c>
      <c r="M1019" s="577">
        <f t="shared" si="840"/>
        <v>6.1848400000000003</v>
      </c>
      <c r="N1019" s="577">
        <f t="shared" si="840"/>
        <v>6.1848400000000003</v>
      </c>
      <c r="O1019" s="577">
        <f t="shared" si="840"/>
        <v>6.1848400000000003</v>
      </c>
      <c r="P1019" s="577">
        <f t="shared" si="840"/>
        <v>6.1848400000000003</v>
      </c>
      <c r="Q1019" s="577">
        <f t="shared" si="840"/>
        <v>6.1848400000000003</v>
      </c>
      <c r="R1019" s="577">
        <f t="shared" si="840"/>
        <v>6.1848400000000003</v>
      </c>
      <c r="S1019" s="577">
        <f t="shared" si="840"/>
        <v>6.1848400000000003</v>
      </c>
      <c r="T1019" s="577">
        <f t="shared" si="840"/>
        <v>6.1848400000000003</v>
      </c>
      <c r="U1019" s="577">
        <f t="shared" si="840"/>
        <v>6.1848400000000003</v>
      </c>
      <c r="V1019" s="577">
        <f t="shared" si="840"/>
        <v>6.1848400000000003</v>
      </c>
      <c r="W1019" s="577">
        <f t="shared" si="840"/>
        <v>6.1848400000000003</v>
      </c>
      <c r="X1019" s="577">
        <f t="shared" si="840"/>
        <v>6.1848400000000003</v>
      </c>
      <c r="Y1019" s="577">
        <f t="shared" si="840"/>
        <v>6.1848400000000003</v>
      </c>
      <c r="Z1019" s="577">
        <f t="shared" si="840"/>
        <v>6.1848400000000003</v>
      </c>
      <c r="AA1019" s="577">
        <f t="shared" si="840"/>
        <v>6.1848400000000003</v>
      </c>
      <c r="AB1019" s="577">
        <f t="shared" si="840"/>
        <v>6.1848400000000003</v>
      </c>
      <c r="AC1019" s="577">
        <f t="shared" si="840"/>
        <v>6.1848400000000003</v>
      </c>
      <c r="AD1019" s="577">
        <f t="shared" si="840"/>
        <v>6.1848400000000003</v>
      </c>
      <c r="AE1019" s="577">
        <f t="shared" si="840"/>
        <v>6.1848400000000003</v>
      </c>
      <c r="AF1019" s="577">
        <f t="shared" si="840"/>
        <v>6.1848400000000003</v>
      </c>
      <c r="AH1019" s="578">
        <f>SUM(C1019:AF1019)</f>
        <v>185.54520000000002</v>
      </c>
      <c r="AJ1019" s="579"/>
      <c r="AK1019" s="531"/>
      <c r="AM1019" s="594"/>
      <c r="AN1019" s="535"/>
      <c r="AP1019" s="568"/>
      <c r="AQ1019" s="568"/>
    </row>
    <row r="1020" spans="1:43" s="546" customFormat="1" ht="16.5" hidden="1" customHeight="1" outlineLevel="2">
      <c r="A1020" s="584"/>
      <c r="B1020" s="569" t="s">
        <v>925</v>
      </c>
      <c r="C1020" s="581">
        <f>C1021*C1022</f>
        <v>117.8</v>
      </c>
      <c r="D1020" s="581">
        <f t="shared" ref="D1020:AF1020" si="841">D1021*D1022</f>
        <v>117.8</v>
      </c>
      <c r="E1020" s="581">
        <f t="shared" si="841"/>
        <v>117.8</v>
      </c>
      <c r="F1020" s="581">
        <f t="shared" si="841"/>
        <v>117.8</v>
      </c>
      <c r="G1020" s="581">
        <f t="shared" si="841"/>
        <v>117.8</v>
      </c>
      <c r="H1020" s="581">
        <f t="shared" si="841"/>
        <v>117.8</v>
      </c>
      <c r="I1020" s="581">
        <f t="shared" si="841"/>
        <v>117.8</v>
      </c>
      <c r="J1020" s="581">
        <f t="shared" si="841"/>
        <v>117.8</v>
      </c>
      <c r="K1020" s="581">
        <f t="shared" si="841"/>
        <v>117.8</v>
      </c>
      <c r="L1020" s="581">
        <f t="shared" si="841"/>
        <v>117.8</v>
      </c>
      <c r="M1020" s="581">
        <f t="shared" si="841"/>
        <v>117.8</v>
      </c>
      <c r="N1020" s="581">
        <f t="shared" si="841"/>
        <v>117.8</v>
      </c>
      <c r="O1020" s="581">
        <f t="shared" si="841"/>
        <v>117.8</v>
      </c>
      <c r="P1020" s="581">
        <f t="shared" si="841"/>
        <v>117.8</v>
      </c>
      <c r="Q1020" s="581">
        <f t="shared" si="841"/>
        <v>117.8</v>
      </c>
      <c r="R1020" s="581">
        <f t="shared" si="841"/>
        <v>117.8</v>
      </c>
      <c r="S1020" s="581">
        <f t="shared" si="841"/>
        <v>117.8</v>
      </c>
      <c r="T1020" s="581">
        <f t="shared" si="841"/>
        <v>117.8</v>
      </c>
      <c r="U1020" s="581">
        <f t="shared" si="841"/>
        <v>117.8</v>
      </c>
      <c r="V1020" s="581">
        <f t="shared" si="841"/>
        <v>117.8</v>
      </c>
      <c r="W1020" s="581">
        <f t="shared" si="841"/>
        <v>117.8</v>
      </c>
      <c r="X1020" s="581">
        <f t="shared" si="841"/>
        <v>117.8</v>
      </c>
      <c r="Y1020" s="581">
        <f t="shared" si="841"/>
        <v>117.8</v>
      </c>
      <c r="Z1020" s="581">
        <f t="shared" si="841"/>
        <v>117.8</v>
      </c>
      <c r="AA1020" s="581">
        <f t="shared" si="841"/>
        <v>117.8</v>
      </c>
      <c r="AB1020" s="581">
        <f t="shared" si="841"/>
        <v>117.8</v>
      </c>
      <c r="AC1020" s="581">
        <f t="shared" si="841"/>
        <v>117.8</v>
      </c>
      <c r="AD1020" s="581">
        <f t="shared" si="841"/>
        <v>117.8</v>
      </c>
      <c r="AE1020" s="581">
        <f t="shared" si="841"/>
        <v>117.8</v>
      </c>
      <c r="AF1020" s="581">
        <f t="shared" si="841"/>
        <v>117.8</v>
      </c>
      <c r="AH1020" s="571"/>
      <c r="AK1020" s="531"/>
      <c r="AM1020" s="594"/>
      <c r="AN1020" s="535"/>
      <c r="AP1020" s="549"/>
      <c r="AQ1020" s="549"/>
    </row>
    <row r="1021" spans="1:43" s="513" customFormat="1" ht="16.5" hidden="1" customHeight="1" outlineLevel="2">
      <c r="A1021" s="584"/>
      <c r="B1021" s="551" t="s">
        <v>805</v>
      </c>
      <c r="C1021" s="643">
        <v>2</v>
      </c>
      <c r="D1021" s="643">
        <f t="shared" ref="D1021:T1022" si="842">C1021</f>
        <v>2</v>
      </c>
      <c r="E1021" s="643">
        <f t="shared" si="842"/>
        <v>2</v>
      </c>
      <c r="F1021" s="643">
        <f t="shared" si="842"/>
        <v>2</v>
      </c>
      <c r="G1021" s="643">
        <f t="shared" si="842"/>
        <v>2</v>
      </c>
      <c r="H1021" s="643">
        <f t="shared" si="842"/>
        <v>2</v>
      </c>
      <c r="I1021" s="643">
        <f t="shared" si="842"/>
        <v>2</v>
      </c>
      <c r="J1021" s="643">
        <f t="shared" si="842"/>
        <v>2</v>
      </c>
      <c r="K1021" s="643">
        <f t="shared" si="842"/>
        <v>2</v>
      </c>
      <c r="L1021" s="643">
        <f t="shared" si="842"/>
        <v>2</v>
      </c>
      <c r="M1021" s="643">
        <f t="shared" si="842"/>
        <v>2</v>
      </c>
      <c r="N1021" s="643">
        <f t="shared" si="842"/>
        <v>2</v>
      </c>
      <c r="O1021" s="643">
        <f t="shared" si="842"/>
        <v>2</v>
      </c>
      <c r="P1021" s="643">
        <f t="shared" si="842"/>
        <v>2</v>
      </c>
      <c r="Q1021" s="643">
        <f t="shared" si="842"/>
        <v>2</v>
      </c>
      <c r="R1021" s="643">
        <f t="shared" si="842"/>
        <v>2</v>
      </c>
      <c r="S1021" s="643">
        <f t="shared" si="842"/>
        <v>2</v>
      </c>
      <c r="T1021" s="643">
        <f t="shared" si="842"/>
        <v>2</v>
      </c>
      <c r="U1021" s="643">
        <f t="shared" ref="U1021:W1022" si="843">T1021</f>
        <v>2</v>
      </c>
      <c r="V1021" s="643">
        <f t="shared" si="843"/>
        <v>2</v>
      </c>
      <c r="W1021" s="643">
        <f>V1021</f>
        <v>2</v>
      </c>
      <c r="X1021" s="643">
        <f t="shared" ref="X1021:AF1022" si="844">W1021</f>
        <v>2</v>
      </c>
      <c r="Y1021" s="643">
        <f t="shared" si="844"/>
        <v>2</v>
      </c>
      <c r="Z1021" s="643">
        <f t="shared" si="844"/>
        <v>2</v>
      </c>
      <c r="AA1021" s="643">
        <f t="shared" si="844"/>
        <v>2</v>
      </c>
      <c r="AB1021" s="643">
        <f t="shared" si="844"/>
        <v>2</v>
      </c>
      <c r="AC1021" s="643">
        <f t="shared" si="844"/>
        <v>2</v>
      </c>
      <c r="AD1021" s="643">
        <f t="shared" si="844"/>
        <v>2</v>
      </c>
      <c r="AE1021" s="643">
        <f t="shared" si="844"/>
        <v>2</v>
      </c>
      <c r="AF1021" s="643">
        <f t="shared" si="844"/>
        <v>2</v>
      </c>
      <c r="AG1021" s="626"/>
      <c r="AH1021" s="538"/>
      <c r="AK1021" s="531"/>
      <c r="AM1021" s="594"/>
      <c r="AN1021" s="535"/>
      <c r="AP1021" s="540"/>
      <c r="AQ1021" s="540"/>
    </row>
    <row r="1022" spans="1:43" s="513" customFormat="1" ht="16.5" hidden="1" customHeight="1" outlineLevel="2">
      <c r="A1022" s="584"/>
      <c r="B1022" s="572" t="s">
        <v>924</v>
      </c>
      <c r="C1022" s="592">
        <f>Insumos!$E$63</f>
        <v>58.9</v>
      </c>
      <c r="D1022" s="605">
        <f t="shared" si="842"/>
        <v>58.9</v>
      </c>
      <c r="E1022" s="605">
        <f t="shared" si="842"/>
        <v>58.9</v>
      </c>
      <c r="F1022" s="605">
        <f t="shared" si="842"/>
        <v>58.9</v>
      </c>
      <c r="G1022" s="605">
        <f t="shared" si="842"/>
        <v>58.9</v>
      </c>
      <c r="H1022" s="605">
        <f t="shared" si="842"/>
        <v>58.9</v>
      </c>
      <c r="I1022" s="605">
        <f t="shared" si="842"/>
        <v>58.9</v>
      </c>
      <c r="J1022" s="605">
        <f t="shared" si="842"/>
        <v>58.9</v>
      </c>
      <c r="K1022" s="605">
        <f t="shared" si="842"/>
        <v>58.9</v>
      </c>
      <c r="L1022" s="605">
        <f t="shared" si="842"/>
        <v>58.9</v>
      </c>
      <c r="M1022" s="605">
        <f t="shared" si="842"/>
        <v>58.9</v>
      </c>
      <c r="N1022" s="605">
        <f t="shared" si="842"/>
        <v>58.9</v>
      </c>
      <c r="O1022" s="605">
        <f t="shared" si="842"/>
        <v>58.9</v>
      </c>
      <c r="P1022" s="605">
        <f t="shared" si="842"/>
        <v>58.9</v>
      </c>
      <c r="Q1022" s="605">
        <f t="shared" si="842"/>
        <v>58.9</v>
      </c>
      <c r="R1022" s="605">
        <f t="shared" si="842"/>
        <v>58.9</v>
      </c>
      <c r="S1022" s="605">
        <f t="shared" si="842"/>
        <v>58.9</v>
      </c>
      <c r="T1022" s="605">
        <f t="shared" si="842"/>
        <v>58.9</v>
      </c>
      <c r="U1022" s="605">
        <f t="shared" si="843"/>
        <v>58.9</v>
      </c>
      <c r="V1022" s="605">
        <f t="shared" si="843"/>
        <v>58.9</v>
      </c>
      <c r="W1022" s="605">
        <f t="shared" si="843"/>
        <v>58.9</v>
      </c>
      <c r="X1022" s="605">
        <f t="shared" si="844"/>
        <v>58.9</v>
      </c>
      <c r="Y1022" s="605">
        <f t="shared" si="844"/>
        <v>58.9</v>
      </c>
      <c r="Z1022" s="605">
        <f t="shared" si="844"/>
        <v>58.9</v>
      </c>
      <c r="AA1022" s="605">
        <f t="shared" si="844"/>
        <v>58.9</v>
      </c>
      <c r="AB1022" s="605">
        <f t="shared" si="844"/>
        <v>58.9</v>
      </c>
      <c r="AC1022" s="605">
        <f t="shared" si="844"/>
        <v>58.9</v>
      </c>
      <c r="AD1022" s="605">
        <f t="shared" si="844"/>
        <v>58.9</v>
      </c>
      <c r="AE1022" s="605">
        <f t="shared" si="844"/>
        <v>58.9</v>
      </c>
      <c r="AF1022" s="605">
        <f t="shared" si="844"/>
        <v>58.9</v>
      </c>
      <c r="AH1022" s="538"/>
      <c r="AK1022" s="531"/>
      <c r="AM1022" s="594"/>
      <c r="AN1022" s="535"/>
      <c r="AP1022" s="540"/>
      <c r="AQ1022" s="540"/>
    </row>
    <row r="1023" spans="1:43" s="546" customFormat="1" ht="16.5" hidden="1" customHeight="1" outlineLevel="2">
      <c r="A1023" s="584"/>
      <c r="B1023" s="569" t="s">
        <v>973</v>
      </c>
      <c r="C1023" s="581">
        <f>C1024*C1025</f>
        <v>120</v>
      </c>
      <c r="D1023" s="581">
        <f t="shared" ref="D1023:AF1023" si="845">D1024*D1025</f>
        <v>120</v>
      </c>
      <c r="E1023" s="581">
        <f t="shared" si="845"/>
        <v>120</v>
      </c>
      <c r="F1023" s="581">
        <f t="shared" si="845"/>
        <v>120</v>
      </c>
      <c r="G1023" s="581">
        <f t="shared" si="845"/>
        <v>120</v>
      </c>
      <c r="H1023" s="581">
        <f t="shared" si="845"/>
        <v>120</v>
      </c>
      <c r="I1023" s="581">
        <f t="shared" si="845"/>
        <v>120</v>
      </c>
      <c r="J1023" s="581">
        <f t="shared" si="845"/>
        <v>120</v>
      </c>
      <c r="K1023" s="581">
        <f t="shared" si="845"/>
        <v>120</v>
      </c>
      <c r="L1023" s="581">
        <f t="shared" si="845"/>
        <v>120</v>
      </c>
      <c r="M1023" s="581">
        <f t="shared" si="845"/>
        <v>120</v>
      </c>
      <c r="N1023" s="581">
        <f t="shared" si="845"/>
        <v>120</v>
      </c>
      <c r="O1023" s="581">
        <f t="shared" si="845"/>
        <v>120</v>
      </c>
      <c r="P1023" s="581">
        <f t="shared" si="845"/>
        <v>120</v>
      </c>
      <c r="Q1023" s="581">
        <f t="shared" si="845"/>
        <v>120</v>
      </c>
      <c r="R1023" s="581">
        <f t="shared" si="845"/>
        <v>120</v>
      </c>
      <c r="S1023" s="581">
        <f t="shared" si="845"/>
        <v>120</v>
      </c>
      <c r="T1023" s="581">
        <f t="shared" si="845"/>
        <v>120</v>
      </c>
      <c r="U1023" s="581">
        <f t="shared" si="845"/>
        <v>120</v>
      </c>
      <c r="V1023" s="581">
        <f t="shared" si="845"/>
        <v>120</v>
      </c>
      <c r="W1023" s="581">
        <f t="shared" si="845"/>
        <v>120</v>
      </c>
      <c r="X1023" s="581">
        <f t="shared" si="845"/>
        <v>120</v>
      </c>
      <c r="Y1023" s="581">
        <f t="shared" si="845"/>
        <v>120</v>
      </c>
      <c r="Z1023" s="581">
        <f t="shared" si="845"/>
        <v>120</v>
      </c>
      <c r="AA1023" s="581">
        <f t="shared" si="845"/>
        <v>120</v>
      </c>
      <c r="AB1023" s="581">
        <f t="shared" si="845"/>
        <v>120</v>
      </c>
      <c r="AC1023" s="581">
        <f t="shared" si="845"/>
        <v>120</v>
      </c>
      <c r="AD1023" s="581">
        <f t="shared" si="845"/>
        <v>120</v>
      </c>
      <c r="AE1023" s="581">
        <f t="shared" si="845"/>
        <v>120</v>
      </c>
      <c r="AF1023" s="581">
        <f t="shared" si="845"/>
        <v>120</v>
      </c>
      <c r="AH1023" s="571"/>
      <c r="AK1023" s="531"/>
      <c r="AM1023" s="594"/>
      <c r="AN1023" s="535"/>
      <c r="AP1023" s="549"/>
      <c r="AQ1023" s="549"/>
    </row>
    <row r="1024" spans="1:43" s="513" customFormat="1" ht="16.5" hidden="1" customHeight="1" outlineLevel="2">
      <c r="A1024" s="584"/>
      <c r="B1024" s="551" t="s">
        <v>805</v>
      </c>
      <c r="C1024" s="643">
        <v>2</v>
      </c>
      <c r="D1024" s="643">
        <f t="shared" ref="D1024:T1025" si="846">C1024</f>
        <v>2</v>
      </c>
      <c r="E1024" s="643">
        <f t="shared" si="846"/>
        <v>2</v>
      </c>
      <c r="F1024" s="643">
        <f t="shared" si="846"/>
        <v>2</v>
      </c>
      <c r="G1024" s="643">
        <f t="shared" si="846"/>
        <v>2</v>
      </c>
      <c r="H1024" s="643">
        <f t="shared" si="846"/>
        <v>2</v>
      </c>
      <c r="I1024" s="643">
        <f t="shared" si="846"/>
        <v>2</v>
      </c>
      <c r="J1024" s="643">
        <f t="shared" si="846"/>
        <v>2</v>
      </c>
      <c r="K1024" s="643">
        <f t="shared" si="846"/>
        <v>2</v>
      </c>
      <c r="L1024" s="643">
        <f t="shared" si="846"/>
        <v>2</v>
      </c>
      <c r="M1024" s="643">
        <f t="shared" si="846"/>
        <v>2</v>
      </c>
      <c r="N1024" s="643">
        <f t="shared" si="846"/>
        <v>2</v>
      </c>
      <c r="O1024" s="643">
        <f t="shared" si="846"/>
        <v>2</v>
      </c>
      <c r="P1024" s="643">
        <f t="shared" si="846"/>
        <v>2</v>
      </c>
      <c r="Q1024" s="643">
        <f t="shared" si="846"/>
        <v>2</v>
      </c>
      <c r="R1024" s="643">
        <f t="shared" si="846"/>
        <v>2</v>
      </c>
      <c r="S1024" s="643">
        <f t="shared" si="846"/>
        <v>2</v>
      </c>
      <c r="T1024" s="643">
        <f t="shared" si="846"/>
        <v>2</v>
      </c>
      <c r="U1024" s="643">
        <f t="shared" ref="U1024:W1025" si="847">T1024</f>
        <v>2</v>
      </c>
      <c r="V1024" s="643">
        <f t="shared" si="847"/>
        <v>2</v>
      </c>
      <c r="W1024" s="643">
        <f>V1024</f>
        <v>2</v>
      </c>
      <c r="X1024" s="643">
        <f t="shared" ref="X1024:AF1025" si="848">W1024</f>
        <v>2</v>
      </c>
      <c r="Y1024" s="643">
        <f t="shared" si="848"/>
        <v>2</v>
      </c>
      <c r="Z1024" s="643">
        <f t="shared" si="848"/>
        <v>2</v>
      </c>
      <c r="AA1024" s="643">
        <f t="shared" si="848"/>
        <v>2</v>
      </c>
      <c r="AB1024" s="643">
        <f t="shared" si="848"/>
        <v>2</v>
      </c>
      <c r="AC1024" s="643">
        <f t="shared" si="848"/>
        <v>2</v>
      </c>
      <c r="AD1024" s="643">
        <f t="shared" si="848"/>
        <v>2</v>
      </c>
      <c r="AE1024" s="643">
        <f t="shared" si="848"/>
        <v>2</v>
      </c>
      <c r="AF1024" s="643">
        <f t="shared" si="848"/>
        <v>2</v>
      </c>
      <c r="AG1024" s="626"/>
      <c r="AH1024" s="538"/>
      <c r="AK1024" s="531"/>
      <c r="AM1024" s="594"/>
      <c r="AN1024" s="535"/>
      <c r="AP1024" s="540"/>
      <c r="AQ1024" s="540"/>
    </row>
    <row r="1025" spans="1:43" s="513" customFormat="1" ht="16.5" hidden="1" customHeight="1" outlineLevel="2">
      <c r="A1025" s="584"/>
      <c r="B1025" s="572" t="s">
        <v>924</v>
      </c>
      <c r="C1025" s="592">
        <f>Insumos!$E$65</f>
        <v>60</v>
      </c>
      <c r="D1025" s="605">
        <f t="shared" si="846"/>
        <v>60</v>
      </c>
      <c r="E1025" s="605">
        <f t="shared" si="846"/>
        <v>60</v>
      </c>
      <c r="F1025" s="605">
        <f t="shared" si="846"/>
        <v>60</v>
      </c>
      <c r="G1025" s="605">
        <f t="shared" si="846"/>
        <v>60</v>
      </c>
      <c r="H1025" s="605">
        <f t="shared" si="846"/>
        <v>60</v>
      </c>
      <c r="I1025" s="605">
        <f t="shared" si="846"/>
        <v>60</v>
      </c>
      <c r="J1025" s="605">
        <f t="shared" si="846"/>
        <v>60</v>
      </c>
      <c r="K1025" s="605">
        <f t="shared" si="846"/>
        <v>60</v>
      </c>
      <c r="L1025" s="605">
        <f t="shared" si="846"/>
        <v>60</v>
      </c>
      <c r="M1025" s="605">
        <f t="shared" si="846"/>
        <v>60</v>
      </c>
      <c r="N1025" s="605">
        <f t="shared" si="846"/>
        <v>60</v>
      </c>
      <c r="O1025" s="605">
        <f t="shared" si="846"/>
        <v>60</v>
      </c>
      <c r="P1025" s="605">
        <f t="shared" si="846"/>
        <v>60</v>
      </c>
      <c r="Q1025" s="605">
        <f t="shared" si="846"/>
        <v>60</v>
      </c>
      <c r="R1025" s="605">
        <f t="shared" si="846"/>
        <v>60</v>
      </c>
      <c r="S1025" s="605">
        <f t="shared" si="846"/>
        <v>60</v>
      </c>
      <c r="T1025" s="605">
        <f t="shared" si="846"/>
        <v>60</v>
      </c>
      <c r="U1025" s="605">
        <f t="shared" si="847"/>
        <v>60</v>
      </c>
      <c r="V1025" s="605">
        <f t="shared" si="847"/>
        <v>60</v>
      </c>
      <c r="W1025" s="605">
        <f t="shared" si="847"/>
        <v>60</v>
      </c>
      <c r="X1025" s="605">
        <f t="shared" si="848"/>
        <v>60</v>
      </c>
      <c r="Y1025" s="605">
        <f t="shared" si="848"/>
        <v>60</v>
      </c>
      <c r="Z1025" s="605">
        <f t="shared" si="848"/>
        <v>60</v>
      </c>
      <c r="AA1025" s="605">
        <f t="shared" si="848"/>
        <v>60</v>
      </c>
      <c r="AB1025" s="605">
        <f t="shared" si="848"/>
        <v>60</v>
      </c>
      <c r="AC1025" s="605">
        <f t="shared" si="848"/>
        <v>60</v>
      </c>
      <c r="AD1025" s="605">
        <f t="shared" si="848"/>
        <v>60</v>
      </c>
      <c r="AE1025" s="605">
        <f t="shared" si="848"/>
        <v>60</v>
      </c>
      <c r="AF1025" s="605">
        <f t="shared" si="848"/>
        <v>60</v>
      </c>
      <c r="AH1025" s="538"/>
      <c r="AK1025" s="531"/>
      <c r="AM1025" s="594"/>
      <c r="AN1025" s="535"/>
      <c r="AP1025" s="540"/>
      <c r="AQ1025" s="540"/>
    </row>
    <row r="1026" spans="1:43" s="546" customFormat="1" ht="16.5" hidden="1" customHeight="1" outlineLevel="2">
      <c r="A1026" s="584"/>
      <c r="B1026" s="569" t="s">
        <v>977</v>
      </c>
      <c r="C1026" s="581">
        <f>C1027*C1028</f>
        <v>141.93333333333334</v>
      </c>
      <c r="D1026" s="581">
        <f>D1027*D1028</f>
        <v>141.93333333333334</v>
      </c>
      <c r="E1026" s="581">
        <f t="shared" ref="E1026:AF1026" si="849">E1027*E1028</f>
        <v>141.93333333333334</v>
      </c>
      <c r="F1026" s="581">
        <f t="shared" si="849"/>
        <v>141.93333333333334</v>
      </c>
      <c r="G1026" s="581">
        <f t="shared" si="849"/>
        <v>141.93333333333334</v>
      </c>
      <c r="H1026" s="581">
        <f t="shared" si="849"/>
        <v>141.93333333333334</v>
      </c>
      <c r="I1026" s="581">
        <f t="shared" si="849"/>
        <v>141.93333333333334</v>
      </c>
      <c r="J1026" s="581">
        <f t="shared" si="849"/>
        <v>141.93333333333334</v>
      </c>
      <c r="K1026" s="581">
        <f t="shared" si="849"/>
        <v>141.93333333333334</v>
      </c>
      <c r="L1026" s="581">
        <f t="shared" si="849"/>
        <v>141.93333333333334</v>
      </c>
      <c r="M1026" s="581">
        <f t="shared" si="849"/>
        <v>141.93333333333334</v>
      </c>
      <c r="N1026" s="581">
        <f t="shared" si="849"/>
        <v>141.93333333333334</v>
      </c>
      <c r="O1026" s="581">
        <f t="shared" si="849"/>
        <v>141.93333333333334</v>
      </c>
      <c r="P1026" s="581">
        <f t="shared" si="849"/>
        <v>141.93333333333334</v>
      </c>
      <c r="Q1026" s="581">
        <f t="shared" si="849"/>
        <v>141.93333333333334</v>
      </c>
      <c r="R1026" s="581">
        <f t="shared" si="849"/>
        <v>141.93333333333334</v>
      </c>
      <c r="S1026" s="581">
        <f t="shared" si="849"/>
        <v>141.93333333333334</v>
      </c>
      <c r="T1026" s="581">
        <f t="shared" si="849"/>
        <v>141.93333333333334</v>
      </c>
      <c r="U1026" s="581">
        <f t="shared" si="849"/>
        <v>141.93333333333334</v>
      </c>
      <c r="V1026" s="581">
        <f t="shared" si="849"/>
        <v>141.93333333333334</v>
      </c>
      <c r="W1026" s="581">
        <f t="shared" si="849"/>
        <v>141.93333333333334</v>
      </c>
      <c r="X1026" s="581">
        <f t="shared" si="849"/>
        <v>141.93333333333334</v>
      </c>
      <c r="Y1026" s="581">
        <f t="shared" si="849"/>
        <v>141.93333333333334</v>
      </c>
      <c r="Z1026" s="581">
        <f t="shared" si="849"/>
        <v>141.93333333333334</v>
      </c>
      <c r="AA1026" s="581">
        <f t="shared" si="849"/>
        <v>141.93333333333334</v>
      </c>
      <c r="AB1026" s="581">
        <f t="shared" si="849"/>
        <v>141.93333333333334</v>
      </c>
      <c r="AC1026" s="581">
        <f t="shared" si="849"/>
        <v>141.93333333333334</v>
      </c>
      <c r="AD1026" s="581">
        <f t="shared" si="849"/>
        <v>141.93333333333334</v>
      </c>
      <c r="AE1026" s="581">
        <f t="shared" si="849"/>
        <v>141.93333333333334</v>
      </c>
      <c r="AF1026" s="581">
        <f t="shared" si="849"/>
        <v>141.93333333333334</v>
      </c>
      <c r="AH1026" s="571"/>
      <c r="AK1026" s="531"/>
      <c r="AM1026" s="594"/>
      <c r="AN1026" s="535"/>
      <c r="AP1026" s="549"/>
      <c r="AQ1026" s="549"/>
    </row>
    <row r="1027" spans="1:43" s="513" customFormat="1" ht="16.5" hidden="1" customHeight="1" outlineLevel="2">
      <c r="A1027" s="584"/>
      <c r="B1027" s="551" t="s">
        <v>805</v>
      </c>
      <c r="C1027" s="643">
        <f>8/12</f>
        <v>0.66666666666666663</v>
      </c>
      <c r="D1027" s="643">
        <f t="shared" ref="D1027:T1028" si="850">C1027</f>
        <v>0.66666666666666663</v>
      </c>
      <c r="E1027" s="643">
        <f t="shared" si="850"/>
        <v>0.66666666666666663</v>
      </c>
      <c r="F1027" s="643">
        <f t="shared" si="850"/>
        <v>0.66666666666666663</v>
      </c>
      <c r="G1027" s="643">
        <f t="shared" si="850"/>
        <v>0.66666666666666663</v>
      </c>
      <c r="H1027" s="643">
        <f t="shared" si="850"/>
        <v>0.66666666666666663</v>
      </c>
      <c r="I1027" s="643">
        <f t="shared" si="850"/>
        <v>0.66666666666666663</v>
      </c>
      <c r="J1027" s="643">
        <f t="shared" si="850"/>
        <v>0.66666666666666663</v>
      </c>
      <c r="K1027" s="643">
        <f t="shared" si="850"/>
        <v>0.66666666666666663</v>
      </c>
      <c r="L1027" s="643">
        <f t="shared" si="850"/>
        <v>0.66666666666666663</v>
      </c>
      <c r="M1027" s="643">
        <f t="shared" si="850"/>
        <v>0.66666666666666663</v>
      </c>
      <c r="N1027" s="643">
        <f t="shared" si="850"/>
        <v>0.66666666666666663</v>
      </c>
      <c r="O1027" s="643">
        <f t="shared" si="850"/>
        <v>0.66666666666666663</v>
      </c>
      <c r="P1027" s="643">
        <f t="shared" si="850"/>
        <v>0.66666666666666663</v>
      </c>
      <c r="Q1027" s="643">
        <f t="shared" si="850"/>
        <v>0.66666666666666663</v>
      </c>
      <c r="R1027" s="643">
        <f t="shared" si="850"/>
        <v>0.66666666666666663</v>
      </c>
      <c r="S1027" s="643">
        <f t="shared" si="850"/>
        <v>0.66666666666666663</v>
      </c>
      <c r="T1027" s="643">
        <f t="shared" si="850"/>
        <v>0.66666666666666663</v>
      </c>
      <c r="U1027" s="643">
        <f t="shared" ref="U1027:W1028" si="851">T1027</f>
        <v>0.66666666666666663</v>
      </c>
      <c r="V1027" s="643">
        <f t="shared" si="851"/>
        <v>0.66666666666666663</v>
      </c>
      <c r="W1027" s="643">
        <f>V1027</f>
        <v>0.66666666666666663</v>
      </c>
      <c r="X1027" s="643">
        <f t="shared" ref="X1027:AF1028" si="852">W1027</f>
        <v>0.66666666666666663</v>
      </c>
      <c r="Y1027" s="643">
        <f t="shared" si="852"/>
        <v>0.66666666666666663</v>
      </c>
      <c r="Z1027" s="643">
        <f t="shared" si="852"/>
        <v>0.66666666666666663</v>
      </c>
      <c r="AA1027" s="643">
        <f t="shared" si="852"/>
        <v>0.66666666666666663</v>
      </c>
      <c r="AB1027" s="643">
        <f t="shared" si="852"/>
        <v>0.66666666666666663</v>
      </c>
      <c r="AC1027" s="643">
        <f t="shared" si="852"/>
        <v>0.66666666666666663</v>
      </c>
      <c r="AD1027" s="643">
        <f t="shared" si="852"/>
        <v>0.66666666666666663</v>
      </c>
      <c r="AE1027" s="643">
        <f t="shared" si="852"/>
        <v>0.66666666666666663</v>
      </c>
      <c r="AF1027" s="643">
        <f t="shared" si="852"/>
        <v>0.66666666666666663</v>
      </c>
      <c r="AG1027" s="626"/>
      <c r="AH1027" s="538"/>
      <c r="AK1027" s="531"/>
      <c r="AM1027" s="594"/>
      <c r="AN1027" s="535"/>
      <c r="AP1027" s="540"/>
      <c r="AQ1027" s="540"/>
    </row>
    <row r="1028" spans="1:43" s="513" customFormat="1" ht="16.5" hidden="1" customHeight="1" outlineLevel="2">
      <c r="A1028" s="584"/>
      <c r="B1028" s="572" t="s">
        <v>924</v>
      </c>
      <c r="C1028" s="592">
        <f>Insumos!$E$57</f>
        <v>212.9</v>
      </c>
      <c r="D1028" s="605">
        <f t="shared" si="850"/>
        <v>212.9</v>
      </c>
      <c r="E1028" s="605">
        <f t="shared" si="850"/>
        <v>212.9</v>
      </c>
      <c r="F1028" s="605">
        <f t="shared" si="850"/>
        <v>212.9</v>
      </c>
      <c r="G1028" s="605">
        <f t="shared" si="850"/>
        <v>212.9</v>
      </c>
      <c r="H1028" s="605">
        <f t="shared" si="850"/>
        <v>212.9</v>
      </c>
      <c r="I1028" s="605">
        <f t="shared" si="850"/>
        <v>212.9</v>
      </c>
      <c r="J1028" s="605">
        <f t="shared" si="850"/>
        <v>212.9</v>
      </c>
      <c r="K1028" s="605">
        <f t="shared" si="850"/>
        <v>212.9</v>
      </c>
      <c r="L1028" s="605">
        <f t="shared" si="850"/>
        <v>212.9</v>
      </c>
      <c r="M1028" s="605">
        <f t="shared" si="850"/>
        <v>212.9</v>
      </c>
      <c r="N1028" s="605">
        <f t="shared" si="850"/>
        <v>212.9</v>
      </c>
      <c r="O1028" s="605">
        <f t="shared" si="850"/>
        <v>212.9</v>
      </c>
      <c r="P1028" s="605">
        <f t="shared" si="850"/>
        <v>212.9</v>
      </c>
      <c r="Q1028" s="605">
        <f t="shared" si="850"/>
        <v>212.9</v>
      </c>
      <c r="R1028" s="605">
        <f t="shared" si="850"/>
        <v>212.9</v>
      </c>
      <c r="S1028" s="605">
        <f t="shared" si="850"/>
        <v>212.9</v>
      </c>
      <c r="T1028" s="605">
        <f t="shared" si="850"/>
        <v>212.9</v>
      </c>
      <c r="U1028" s="605">
        <f t="shared" si="851"/>
        <v>212.9</v>
      </c>
      <c r="V1028" s="605">
        <f t="shared" si="851"/>
        <v>212.9</v>
      </c>
      <c r="W1028" s="605">
        <f t="shared" si="851"/>
        <v>212.9</v>
      </c>
      <c r="X1028" s="605">
        <f t="shared" si="852"/>
        <v>212.9</v>
      </c>
      <c r="Y1028" s="605">
        <f t="shared" si="852"/>
        <v>212.9</v>
      </c>
      <c r="Z1028" s="605">
        <f t="shared" si="852"/>
        <v>212.9</v>
      </c>
      <c r="AA1028" s="605">
        <f t="shared" si="852"/>
        <v>212.9</v>
      </c>
      <c r="AB1028" s="605">
        <f t="shared" si="852"/>
        <v>212.9</v>
      </c>
      <c r="AC1028" s="605">
        <f t="shared" si="852"/>
        <v>212.9</v>
      </c>
      <c r="AD1028" s="605">
        <f t="shared" si="852"/>
        <v>212.9</v>
      </c>
      <c r="AE1028" s="605">
        <f t="shared" si="852"/>
        <v>212.9</v>
      </c>
      <c r="AF1028" s="605">
        <f t="shared" si="852"/>
        <v>212.9</v>
      </c>
      <c r="AH1028" s="538"/>
      <c r="AK1028" s="531"/>
      <c r="AM1028" s="594"/>
      <c r="AN1028" s="535"/>
      <c r="AP1028" s="540"/>
      <c r="AQ1028" s="540"/>
    </row>
    <row r="1029" spans="1:43" s="546" customFormat="1" ht="16.5" hidden="1" customHeight="1" outlineLevel="2">
      <c r="A1029" s="584"/>
      <c r="B1029" s="569" t="s">
        <v>978</v>
      </c>
      <c r="C1029" s="581">
        <f>C1030*C1031</f>
        <v>46</v>
      </c>
      <c r="D1029" s="581">
        <f t="shared" ref="D1029:AF1029" si="853">D1030*D1031</f>
        <v>46</v>
      </c>
      <c r="E1029" s="581">
        <f t="shared" si="853"/>
        <v>46</v>
      </c>
      <c r="F1029" s="581">
        <f t="shared" si="853"/>
        <v>46</v>
      </c>
      <c r="G1029" s="581">
        <f t="shared" si="853"/>
        <v>46</v>
      </c>
      <c r="H1029" s="581">
        <f t="shared" si="853"/>
        <v>46</v>
      </c>
      <c r="I1029" s="581">
        <f t="shared" si="853"/>
        <v>46</v>
      </c>
      <c r="J1029" s="581">
        <f t="shared" si="853"/>
        <v>46</v>
      </c>
      <c r="K1029" s="581">
        <f t="shared" si="853"/>
        <v>46</v>
      </c>
      <c r="L1029" s="581">
        <f t="shared" si="853"/>
        <v>46</v>
      </c>
      <c r="M1029" s="581">
        <f t="shared" si="853"/>
        <v>46</v>
      </c>
      <c r="N1029" s="581">
        <f t="shared" si="853"/>
        <v>46</v>
      </c>
      <c r="O1029" s="581">
        <f t="shared" si="853"/>
        <v>46</v>
      </c>
      <c r="P1029" s="581">
        <f t="shared" si="853"/>
        <v>46</v>
      </c>
      <c r="Q1029" s="581">
        <f t="shared" si="853"/>
        <v>46</v>
      </c>
      <c r="R1029" s="581">
        <f t="shared" si="853"/>
        <v>46</v>
      </c>
      <c r="S1029" s="581">
        <f t="shared" si="853"/>
        <v>46</v>
      </c>
      <c r="T1029" s="581">
        <f t="shared" si="853"/>
        <v>46</v>
      </c>
      <c r="U1029" s="581">
        <f t="shared" si="853"/>
        <v>46</v>
      </c>
      <c r="V1029" s="581">
        <f t="shared" si="853"/>
        <v>46</v>
      </c>
      <c r="W1029" s="581">
        <f t="shared" si="853"/>
        <v>46</v>
      </c>
      <c r="X1029" s="581">
        <f t="shared" si="853"/>
        <v>46</v>
      </c>
      <c r="Y1029" s="581">
        <f t="shared" si="853"/>
        <v>46</v>
      </c>
      <c r="Z1029" s="581">
        <f t="shared" si="853"/>
        <v>46</v>
      </c>
      <c r="AA1029" s="581">
        <f t="shared" si="853"/>
        <v>46</v>
      </c>
      <c r="AB1029" s="581">
        <f t="shared" si="853"/>
        <v>46</v>
      </c>
      <c r="AC1029" s="581">
        <f t="shared" si="853"/>
        <v>46</v>
      </c>
      <c r="AD1029" s="581">
        <f t="shared" si="853"/>
        <v>46</v>
      </c>
      <c r="AE1029" s="581">
        <f t="shared" si="853"/>
        <v>46</v>
      </c>
      <c r="AF1029" s="581">
        <f t="shared" si="853"/>
        <v>46</v>
      </c>
      <c r="AH1029" s="571"/>
      <c r="AK1029" s="531"/>
      <c r="AM1029" s="594"/>
      <c r="AN1029" s="535"/>
      <c r="AP1029" s="549"/>
      <c r="AQ1029" s="549"/>
    </row>
    <row r="1030" spans="1:43" s="513" customFormat="1" ht="16.5" hidden="1" customHeight="1" outlineLevel="2">
      <c r="A1030" s="584"/>
      <c r="B1030" s="551" t="s">
        <v>805</v>
      </c>
      <c r="C1030" s="643">
        <f>24/12</f>
        <v>2</v>
      </c>
      <c r="D1030" s="643">
        <f t="shared" ref="D1030:T1031" si="854">C1030</f>
        <v>2</v>
      </c>
      <c r="E1030" s="643">
        <f t="shared" si="854"/>
        <v>2</v>
      </c>
      <c r="F1030" s="643">
        <f t="shared" si="854"/>
        <v>2</v>
      </c>
      <c r="G1030" s="643">
        <f t="shared" si="854"/>
        <v>2</v>
      </c>
      <c r="H1030" s="643">
        <f t="shared" si="854"/>
        <v>2</v>
      </c>
      <c r="I1030" s="643">
        <f t="shared" si="854"/>
        <v>2</v>
      </c>
      <c r="J1030" s="643">
        <f t="shared" si="854"/>
        <v>2</v>
      </c>
      <c r="K1030" s="643">
        <f t="shared" si="854"/>
        <v>2</v>
      </c>
      <c r="L1030" s="643">
        <f t="shared" si="854"/>
        <v>2</v>
      </c>
      <c r="M1030" s="643">
        <f t="shared" si="854"/>
        <v>2</v>
      </c>
      <c r="N1030" s="643">
        <f t="shared" si="854"/>
        <v>2</v>
      </c>
      <c r="O1030" s="643">
        <f t="shared" si="854"/>
        <v>2</v>
      </c>
      <c r="P1030" s="643">
        <f t="shared" si="854"/>
        <v>2</v>
      </c>
      <c r="Q1030" s="643">
        <f t="shared" si="854"/>
        <v>2</v>
      </c>
      <c r="R1030" s="643">
        <f t="shared" si="854"/>
        <v>2</v>
      </c>
      <c r="S1030" s="643">
        <f t="shared" si="854"/>
        <v>2</v>
      </c>
      <c r="T1030" s="643">
        <f t="shared" si="854"/>
        <v>2</v>
      </c>
      <c r="U1030" s="643">
        <f t="shared" ref="U1030:W1031" si="855">T1030</f>
        <v>2</v>
      </c>
      <c r="V1030" s="643">
        <f t="shared" si="855"/>
        <v>2</v>
      </c>
      <c r="W1030" s="643">
        <f>V1030</f>
        <v>2</v>
      </c>
      <c r="X1030" s="643">
        <f t="shared" ref="X1030:AF1031" si="856">W1030</f>
        <v>2</v>
      </c>
      <c r="Y1030" s="643">
        <f t="shared" si="856"/>
        <v>2</v>
      </c>
      <c r="Z1030" s="643">
        <f t="shared" si="856"/>
        <v>2</v>
      </c>
      <c r="AA1030" s="643">
        <f t="shared" si="856"/>
        <v>2</v>
      </c>
      <c r="AB1030" s="643">
        <f t="shared" si="856"/>
        <v>2</v>
      </c>
      <c r="AC1030" s="643">
        <f t="shared" si="856"/>
        <v>2</v>
      </c>
      <c r="AD1030" s="643">
        <f t="shared" si="856"/>
        <v>2</v>
      </c>
      <c r="AE1030" s="643">
        <f t="shared" si="856"/>
        <v>2</v>
      </c>
      <c r="AF1030" s="643">
        <f t="shared" si="856"/>
        <v>2</v>
      </c>
      <c r="AG1030" s="626"/>
      <c r="AH1030" s="538"/>
      <c r="AK1030" s="531"/>
      <c r="AM1030" s="594"/>
      <c r="AN1030" s="535"/>
      <c r="AP1030" s="540"/>
      <c r="AQ1030" s="540"/>
    </row>
    <row r="1031" spans="1:43" s="513" customFormat="1" ht="16.5" hidden="1" customHeight="1" outlineLevel="2">
      <c r="A1031" s="584"/>
      <c r="B1031" s="572" t="s">
        <v>924</v>
      </c>
      <c r="C1031" s="592">
        <f>Insumos!$E$68</f>
        <v>23</v>
      </c>
      <c r="D1031" s="605">
        <f t="shared" si="854"/>
        <v>23</v>
      </c>
      <c r="E1031" s="605">
        <f t="shared" si="854"/>
        <v>23</v>
      </c>
      <c r="F1031" s="605">
        <f t="shared" si="854"/>
        <v>23</v>
      </c>
      <c r="G1031" s="605">
        <f t="shared" si="854"/>
        <v>23</v>
      </c>
      <c r="H1031" s="605">
        <f t="shared" si="854"/>
        <v>23</v>
      </c>
      <c r="I1031" s="605">
        <f t="shared" si="854"/>
        <v>23</v>
      </c>
      <c r="J1031" s="605">
        <f t="shared" si="854"/>
        <v>23</v>
      </c>
      <c r="K1031" s="605">
        <f t="shared" si="854"/>
        <v>23</v>
      </c>
      <c r="L1031" s="605">
        <f t="shared" si="854"/>
        <v>23</v>
      </c>
      <c r="M1031" s="605">
        <f t="shared" si="854"/>
        <v>23</v>
      </c>
      <c r="N1031" s="605">
        <f t="shared" si="854"/>
        <v>23</v>
      </c>
      <c r="O1031" s="605">
        <f t="shared" si="854"/>
        <v>23</v>
      </c>
      <c r="P1031" s="605">
        <f t="shared" si="854"/>
        <v>23</v>
      </c>
      <c r="Q1031" s="605">
        <f t="shared" si="854"/>
        <v>23</v>
      </c>
      <c r="R1031" s="605">
        <f t="shared" si="854"/>
        <v>23</v>
      </c>
      <c r="S1031" s="605">
        <f t="shared" si="854"/>
        <v>23</v>
      </c>
      <c r="T1031" s="605">
        <f t="shared" si="854"/>
        <v>23</v>
      </c>
      <c r="U1031" s="605">
        <f t="shared" si="855"/>
        <v>23</v>
      </c>
      <c r="V1031" s="605">
        <f t="shared" si="855"/>
        <v>23</v>
      </c>
      <c r="W1031" s="605">
        <f t="shared" si="855"/>
        <v>23</v>
      </c>
      <c r="X1031" s="605">
        <f t="shared" si="856"/>
        <v>23</v>
      </c>
      <c r="Y1031" s="605">
        <f t="shared" si="856"/>
        <v>23</v>
      </c>
      <c r="Z1031" s="605">
        <f t="shared" si="856"/>
        <v>23</v>
      </c>
      <c r="AA1031" s="605">
        <f t="shared" si="856"/>
        <v>23</v>
      </c>
      <c r="AB1031" s="605">
        <f t="shared" si="856"/>
        <v>23</v>
      </c>
      <c r="AC1031" s="605">
        <f t="shared" si="856"/>
        <v>23</v>
      </c>
      <c r="AD1031" s="605">
        <f t="shared" si="856"/>
        <v>23</v>
      </c>
      <c r="AE1031" s="605">
        <f t="shared" si="856"/>
        <v>23</v>
      </c>
      <c r="AF1031" s="605">
        <f t="shared" si="856"/>
        <v>23</v>
      </c>
      <c r="AH1031" s="538"/>
      <c r="AK1031" s="531"/>
      <c r="AM1031" s="594"/>
      <c r="AN1031" s="535"/>
      <c r="AP1031" s="540"/>
      <c r="AQ1031" s="540"/>
    </row>
    <row r="1032" spans="1:43" s="546" customFormat="1" ht="16.5" hidden="1" customHeight="1" outlineLevel="2">
      <c r="A1032" s="584"/>
      <c r="B1032" s="569" t="s">
        <v>979</v>
      </c>
      <c r="C1032" s="581">
        <f>C1033*C1034</f>
        <v>67.08</v>
      </c>
      <c r="D1032" s="581">
        <f>D1033*D1034</f>
        <v>67.08</v>
      </c>
      <c r="E1032" s="581">
        <f t="shared" ref="E1032:AF1032" si="857">E1033*E1034</f>
        <v>67.08</v>
      </c>
      <c r="F1032" s="581">
        <f t="shared" si="857"/>
        <v>67.08</v>
      </c>
      <c r="G1032" s="581">
        <f t="shared" si="857"/>
        <v>67.08</v>
      </c>
      <c r="H1032" s="581">
        <f t="shared" si="857"/>
        <v>67.08</v>
      </c>
      <c r="I1032" s="581">
        <f t="shared" si="857"/>
        <v>67.08</v>
      </c>
      <c r="J1032" s="581">
        <f t="shared" si="857"/>
        <v>67.08</v>
      </c>
      <c r="K1032" s="581">
        <f t="shared" si="857"/>
        <v>67.08</v>
      </c>
      <c r="L1032" s="581">
        <f t="shared" si="857"/>
        <v>67.08</v>
      </c>
      <c r="M1032" s="581">
        <f t="shared" si="857"/>
        <v>67.08</v>
      </c>
      <c r="N1032" s="581">
        <f t="shared" si="857"/>
        <v>67.08</v>
      </c>
      <c r="O1032" s="581">
        <f t="shared" si="857"/>
        <v>67.08</v>
      </c>
      <c r="P1032" s="581">
        <f t="shared" si="857"/>
        <v>67.08</v>
      </c>
      <c r="Q1032" s="581">
        <f t="shared" si="857"/>
        <v>67.08</v>
      </c>
      <c r="R1032" s="581">
        <f t="shared" si="857"/>
        <v>67.08</v>
      </c>
      <c r="S1032" s="581">
        <f t="shared" si="857"/>
        <v>67.08</v>
      </c>
      <c r="T1032" s="581">
        <f t="shared" si="857"/>
        <v>67.08</v>
      </c>
      <c r="U1032" s="581">
        <f t="shared" si="857"/>
        <v>67.08</v>
      </c>
      <c r="V1032" s="581">
        <f t="shared" si="857"/>
        <v>67.08</v>
      </c>
      <c r="W1032" s="581">
        <f t="shared" si="857"/>
        <v>67.08</v>
      </c>
      <c r="X1032" s="581">
        <f t="shared" si="857"/>
        <v>67.08</v>
      </c>
      <c r="Y1032" s="581">
        <f t="shared" si="857"/>
        <v>67.08</v>
      </c>
      <c r="Z1032" s="581">
        <f t="shared" si="857"/>
        <v>67.08</v>
      </c>
      <c r="AA1032" s="581">
        <f t="shared" si="857"/>
        <v>67.08</v>
      </c>
      <c r="AB1032" s="581">
        <f t="shared" si="857"/>
        <v>67.08</v>
      </c>
      <c r="AC1032" s="581">
        <f t="shared" si="857"/>
        <v>67.08</v>
      </c>
      <c r="AD1032" s="581">
        <f t="shared" si="857"/>
        <v>67.08</v>
      </c>
      <c r="AE1032" s="581">
        <f t="shared" si="857"/>
        <v>67.08</v>
      </c>
      <c r="AF1032" s="581">
        <f t="shared" si="857"/>
        <v>67.08</v>
      </c>
      <c r="AH1032" s="571"/>
      <c r="AK1032" s="531"/>
      <c r="AM1032" s="594"/>
      <c r="AN1032" s="535"/>
      <c r="AP1032" s="549"/>
      <c r="AQ1032" s="549"/>
    </row>
    <row r="1033" spans="1:43" s="513" customFormat="1" ht="16.5" hidden="1" customHeight="1" outlineLevel="2">
      <c r="A1033" s="584"/>
      <c r="B1033" s="551" t="s">
        <v>805</v>
      </c>
      <c r="C1033" s="643">
        <f>1*6*26</f>
        <v>156</v>
      </c>
      <c r="D1033" s="643">
        <f t="shared" ref="D1033:T1034" si="858">C1033</f>
        <v>156</v>
      </c>
      <c r="E1033" s="643">
        <f t="shared" si="858"/>
        <v>156</v>
      </c>
      <c r="F1033" s="643">
        <f t="shared" si="858"/>
        <v>156</v>
      </c>
      <c r="G1033" s="643">
        <f t="shared" si="858"/>
        <v>156</v>
      </c>
      <c r="H1033" s="643">
        <f t="shared" si="858"/>
        <v>156</v>
      </c>
      <c r="I1033" s="643">
        <f t="shared" si="858"/>
        <v>156</v>
      </c>
      <c r="J1033" s="643">
        <f t="shared" si="858"/>
        <v>156</v>
      </c>
      <c r="K1033" s="643">
        <f t="shared" si="858"/>
        <v>156</v>
      </c>
      <c r="L1033" s="643">
        <f t="shared" si="858"/>
        <v>156</v>
      </c>
      <c r="M1033" s="643">
        <f t="shared" si="858"/>
        <v>156</v>
      </c>
      <c r="N1033" s="643">
        <f t="shared" si="858"/>
        <v>156</v>
      </c>
      <c r="O1033" s="643">
        <f t="shared" si="858"/>
        <v>156</v>
      </c>
      <c r="P1033" s="643">
        <f t="shared" si="858"/>
        <v>156</v>
      </c>
      <c r="Q1033" s="643">
        <f t="shared" si="858"/>
        <v>156</v>
      </c>
      <c r="R1033" s="643">
        <f t="shared" si="858"/>
        <v>156</v>
      </c>
      <c r="S1033" s="643">
        <f t="shared" si="858"/>
        <v>156</v>
      </c>
      <c r="T1033" s="643">
        <f t="shared" si="858"/>
        <v>156</v>
      </c>
      <c r="U1033" s="643">
        <f t="shared" ref="U1033:W1034" si="859">T1033</f>
        <v>156</v>
      </c>
      <c r="V1033" s="643">
        <f t="shared" si="859"/>
        <v>156</v>
      </c>
      <c r="W1033" s="643">
        <f>V1033</f>
        <v>156</v>
      </c>
      <c r="X1033" s="643">
        <f t="shared" ref="X1033:AF1034" si="860">W1033</f>
        <v>156</v>
      </c>
      <c r="Y1033" s="643">
        <f t="shared" si="860"/>
        <v>156</v>
      </c>
      <c r="Z1033" s="643">
        <f t="shared" si="860"/>
        <v>156</v>
      </c>
      <c r="AA1033" s="643">
        <f t="shared" si="860"/>
        <v>156</v>
      </c>
      <c r="AB1033" s="643">
        <f t="shared" si="860"/>
        <v>156</v>
      </c>
      <c r="AC1033" s="643">
        <f t="shared" si="860"/>
        <v>156</v>
      </c>
      <c r="AD1033" s="643">
        <f t="shared" si="860"/>
        <v>156</v>
      </c>
      <c r="AE1033" s="643">
        <f t="shared" si="860"/>
        <v>156</v>
      </c>
      <c r="AF1033" s="643">
        <f t="shared" si="860"/>
        <v>156</v>
      </c>
      <c r="AG1033" s="626"/>
      <c r="AH1033" s="538"/>
      <c r="AK1033" s="531"/>
      <c r="AM1033" s="594"/>
      <c r="AN1033" s="535"/>
      <c r="AP1033" s="540"/>
      <c r="AQ1033" s="540"/>
    </row>
    <row r="1034" spans="1:43" s="513" customFormat="1" ht="16.5" hidden="1" customHeight="1" outlineLevel="2">
      <c r="A1034" s="584"/>
      <c r="B1034" s="572" t="s">
        <v>924</v>
      </c>
      <c r="C1034" s="638">
        <f>Insumos!$E$66</f>
        <v>0.43</v>
      </c>
      <c r="D1034" s="612">
        <f t="shared" si="858"/>
        <v>0.43</v>
      </c>
      <c r="E1034" s="612">
        <f t="shared" si="858"/>
        <v>0.43</v>
      </c>
      <c r="F1034" s="612">
        <f t="shared" si="858"/>
        <v>0.43</v>
      </c>
      <c r="G1034" s="612">
        <f t="shared" si="858"/>
        <v>0.43</v>
      </c>
      <c r="H1034" s="612">
        <f t="shared" si="858"/>
        <v>0.43</v>
      </c>
      <c r="I1034" s="612">
        <f t="shared" si="858"/>
        <v>0.43</v>
      </c>
      <c r="J1034" s="612">
        <f t="shared" si="858"/>
        <v>0.43</v>
      </c>
      <c r="K1034" s="612">
        <f t="shared" si="858"/>
        <v>0.43</v>
      </c>
      <c r="L1034" s="612">
        <f t="shared" si="858"/>
        <v>0.43</v>
      </c>
      <c r="M1034" s="612">
        <f t="shared" si="858"/>
        <v>0.43</v>
      </c>
      <c r="N1034" s="612">
        <f t="shared" si="858"/>
        <v>0.43</v>
      </c>
      <c r="O1034" s="612">
        <f t="shared" si="858"/>
        <v>0.43</v>
      </c>
      <c r="P1034" s="612">
        <f t="shared" si="858"/>
        <v>0.43</v>
      </c>
      <c r="Q1034" s="612">
        <f t="shared" si="858"/>
        <v>0.43</v>
      </c>
      <c r="R1034" s="612">
        <f t="shared" si="858"/>
        <v>0.43</v>
      </c>
      <c r="S1034" s="612">
        <f t="shared" si="858"/>
        <v>0.43</v>
      </c>
      <c r="T1034" s="612">
        <f t="shared" si="858"/>
        <v>0.43</v>
      </c>
      <c r="U1034" s="612">
        <f t="shared" si="859"/>
        <v>0.43</v>
      </c>
      <c r="V1034" s="612">
        <f t="shared" si="859"/>
        <v>0.43</v>
      </c>
      <c r="W1034" s="612">
        <f t="shared" si="859"/>
        <v>0.43</v>
      </c>
      <c r="X1034" s="612">
        <f t="shared" si="860"/>
        <v>0.43</v>
      </c>
      <c r="Y1034" s="612">
        <f t="shared" si="860"/>
        <v>0.43</v>
      </c>
      <c r="Z1034" s="612">
        <f t="shared" si="860"/>
        <v>0.43</v>
      </c>
      <c r="AA1034" s="612">
        <f t="shared" si="860"/>
        <v>0.43</v>
      </c>
      <c r="AB1034" s="612">
        <f t="shared" si="860"/>
        <v>0.43</v>
      </c>
      <c r="AC1034" s="612">
        <f t="shared" si="860"/>
        <v>0.43</v>
      </c>
      <c r="AD1034" s="612">
        <f t="shared" si="860"/>
        <v>0.43</v>
      </c>
      <c r="AE1034" s="612">
        <f t="shared" si="860"/>
        <v>0.43</v>
      </c>
      <c r="AF1034" s="612">
        <f t="shared" si="860"/>
        <v>0.43</v>
      </c>
      <c r="AH1034" s="538"/>
      <c r="AK1034" s="531"/>
      <c r="AM1034" s="594"/>
      <c r="AN1034" s="535"/>
      <c r="AP1034" s="540"/>
      <c r="AQ1034" s="540"/>
    </row>
    <row r="1035" spans="1:43" s="546" customFormat="1" ht="16.5" hidden="1" customHeight="1" outlineLevel="2">
      <c r="A1035" s="584"/>
      <c r="B1035" s="569" t="s">
        <v>958</v>
      </c>
      <c r="C1035" s="581">
        <f>C1036*C1037</f>
        <v>22.59</v>
      </c>
      <c r="D1035" s="581">
        <f>D1036*D1037</f>
        <v>22.59</v>
      </c>
      <c r="E1035" s="581">
        <f t="shared" ref="E1035:AF1035" si="861">E1036*E1037</f>
        <v>22.59</v>
      </c>
      <c r="F1035" s="581">
        <f t="shared" si="861"/>
        <v>22.59</v>
      </c>
      <c r="G1035" s="581">
        <f t="shared" si="861"/>
        <v>22.59</v>
      </c>
      <c r="H1035" s="581">
        <f t="shared" si="861"/>
        <v>22.59</v>
      </c>
      <c r="I1035" s="581">
        <f t="shared" si="861"/>
        <v>22.59</v>
      </c>
      <c r="J1035" s="581">
        <f t="shared" si="861"/>
        <v>22.59</v>
      </c>
      <c r="K1035" s="581">
        <f t="shared" si="861"/>
        <v>22.59</v>
      </c>
      <c r="L1035" s="581">
        <f t="shared" si="861"/>
        <v>22.59</v>
      </c>
      <c r="M1035" s="581">
        <f t="shared" si="861"/>
        <v>22.59</v>
      </c>
      <c r="N1035" s="581">
        <f t="shared" si="861"/>
        <v>22.59</v>
      </c>
      <c r="O1035" s="581">
        <f t="shared" si="861"/>
        <v>22.59</v>
      </c>
      <c r="P1035" s="581">
        <f t="shared" si="861"/>
        <v>22.59</v>
      </c>
      <c r="Q1035" s="581">
        <f t="shared" si="861"/>
        <v>22.59</v>
      </c>
      <c r="R1035" s="581">
        <f t="shared" si="861"/>
        <v>22.59</v>
      </c>
      <c r="S1035" s="581">
        <f t="shared" si="861"/>
        <v>22.59</v>
      </c>
      <c r="T1035" s="581">
        <f t="shared" si="861"/>
        <v>22.59</v>
      </c>
      <c r="U1035" s="581">
        <f t="shared" si="861"/>
        <v>22.59</v>
      </c>
      <c r="V1035" s="581">
        <f t="shared" si="861"/>
        <v>22.59</v>
      </c>
      <c r="W1035" s="581">
        <f t="shared" si="861"/>
        <v>22.59</v>
      </c>
      <c r="X1035" s="581">
        <f t="shared" si="861"/>
        <v>22.59</v>
      </c>
      <c r="Y1035" s="581">
        <f t="shared" si="861"/>
        <v>22.59</v>
      </c>
      <c r="Z1035" s="581">
        <f t="shared" si="861"/>
        <v>22.59</v>
      </c>
      <c r="AA1035" s="581">
        <f t="shared" si="861"/>
        <v>22.59</v>
      </c>
      <c r="AB1035" s="581">
        <f t="shared" si="861"/>
        <v>22.59</v>
      </c>
      <c r="AC1035" s="581">
        <f t="shared" si="861"/>
        <v>22.59</v>
      </c>
      <c r="AD1035" s="581">
        <f t="shared" si="861"/>
        <v>22.59</v>
      </c>
      <c r="AE1035" s="581">
        <f t="shared" si="861"/>
        <v>22.59</v>
      </c>
      <c r="AF1035" s="581">
        <f t="shared" si="861"/>
        <v>22.59</v>
      </c>
      <c r="AH1035" s="571"/>
      <c r="AK1035" s="531"/>
      <c r="AM1035" s="594"/>
      <c r="AN1035" s="535"/>
      <c r="AP1035" s="549"/>
      <c r="AQ1035" s="549"/>
    </row>
    <row r="1036" spans="1:43" s="513" customFormat="1" ht="16.5" hidden="1" customHeight="1" outlineLevel="2">
      <c r="A1036" s="584"/>
      <c r="B1036" s="551" t="s">
        <v>805</v>
      </c>
      <c r="C1036" s="643">
        <v>1</v>
      </c>
      <c r="D1036" s="643">
        <f t="shared" ref="D1036:T1037" si="862">C1036</f>
        <v>1</v>
      </c>
      <c r="E1036" s="643">
        <f t="shared" si="862"/>
        <v>1</v>
      </c>
      <c r="F1036" s="643">
        <f t="shared" si="862"/>
        <v>1</v>
      </c>
      <c r="G1036" s="643">
        <f t="shared" si="862"/>
        <v>1</v>
      </c>
      <c r="H1036" s="643">
        <f t="shared" si="862"/>
        <v>1</v>
      </c>
      <c r="I1036" s="643">
        <f t="shared" si="862"/>
        <v>1</v>
      </c>
      <c r="J1036" s="643">
        <f t="shared" si="862"/>
        <v>1</v>
      </c>
      <c r="K1036" s="643">
        <f t="shared" si="862"/>
        <v>1</v>
      </c>
      <c r="L1036" s="643">
        <f t="shared" si="862"/>
        <v>1</v>
      </c>
      <c r="M1036" s="643">
        <f t="shared" si="862"/>
        <v>1</v>
      </c>
      <c r="N1036" s="643">
        <f t="shared" si="862"/>
        <v>1</v>
      </c>
      <c r="O1036" s="643">
        <f t="shared" si="862"/>
        <v>1</v>
      </c>
      <c r="P1036" s="643">
        <f t="shared" si="862"/>
        <v>1</v>
      </c>
      <c r="Q1036" s="643">
        <f t="shared" si="862"/>
        <v>1</v>
      </c>
      <c r="R1036" s="643">
        <f t="shared" si="862"/>
        <v>1</v>
      </c>
      <c r="S1036" s="643">
        <f t="shared" si="862"/>
        <v>1</v>
      </c>
      <c r="T1036" s="643">
        <f t="shared" si="862"/>
        <v>1</v>
      </c>
      <c r="U1036" s="643">
        <f t="shared" ref="U1036:W1037" si="863">T1036</f>
        <v>1</v>
      </c>
      <c r="V1036" s="643">
        <f t="shared" si="863"/>
        <v>1</v>
      </c>
      <c r="W1036" s="643">
        <f>V1036</f>
        <v>1</v>
      </c>
      <c r="X1036" s="643">
        <f t="shared" ref="X1036:AF1037" si="864">W1036</f>
        <v>1</v>
      </c>
      <c r="Y1036" s="643">
        <f t="shared" si="864"/>
        <v>1</v>
      </c>
      <c r="Z1036" s="643">
        <f t="shared" si="864"/>
        <v>1</v>
      </c>
      <c r="AA1036" s="643">
        <f t="shared" si="864"/>
        <v>1</v>
      </c>
      <c r="AB1036" s="643">
        <f t="shared" si="864"/>
        <v>1</v>
      </c>
      <c r="AC1036" s="643">
        <f t="shared" si="864"/>
        <v>1</v>
      </c>
      <c r="AD1036" s="643">
        <f t="shared" si="864"/>
        <v>1</v>
      </c>
      <c r="AE1036" s="643">
        <f t="shared" si="864"/>
        <v>1</v>
      </c>
      <c r="AF1036" s="643">
        <f t="shared" si="864"/>
        <v>1</v>
      </c>
      <c r="AG1036" s="626"/>
      <c r="AH1036" s="538"/>
      <c r="AK1036" s="531"/>
      <c r="AM1036" s="594"/>
      <c r="AN1036" s="535"/>
      <c r="AP1036" s="540"/>
      <c r="AQ1036" s="540"/>
    </row>
    <row r="1037" spans="1:43" s="513" customFormat="1" ht="16.5" hidden="1" customHeight="1" outlineLevel="2">
      <c r="A1037" s="584"/>
      <c r="B1037" s="572" t="s">
        <v>924</v>
      </c>
      <c r="C1037" s="592">
        <f>Insumos!$E$59</f>
        <v>22.59</v>
      </c>
      <c r="D1037" s="605">
        <f t="shared" si="862"/>
        <v>22.59</v>
      </c>
      <c r="E1037" s="605">
        <f t="shared" si="862"/>
        <v>22.59</v>
      </c>
      <c r="F1037" s="605">
        <f t="shared" si="862"/>
        <v>22.59</v>
      </c>
      <c r="G1037" s="605">
        <f t="shared" si="862"/>
        <v>22.59</v>
      </c>
      <c r="H1037" s="605">
        <f t="shared" si="862"/>
        <v>22.59</v>
      </c>
      <c r="I1037" s="605">
        <f t="shared" si="862"/>
        <v>22.59</v>
      </c>
      <c r="J1037" s="605">
        <f t="shared" si="862"/>
        <v>22.59</v>
      </c>
      <c r="K1037" s="605">
        <f t="shared" si="862"/>
        <v>22.59</v>
      </c>
      <c r="L1037" s="605">
        <f t="shared" si="862"/>
        <v>22.59</v>
      </c>
      <c r="M1037" s="605">
        <f t="shared" si="862"/>
        <v>22.59</v>
      </c>
      <c r="N1037" s="605">
        <f t="shared" si="862"/>
        <v>22.59</v>
      </c>
      <c r="O1037" s="605">
        <f t="shared" si="862"/>
        <v>22.59</v>
      </c>
      <c r="P1037" s="605">
        <f t="shared" si="862"/>
        <v>22.59</v>
      </c>
      <c r="Q1037" s="605">
        <f t="shared" si="862"/>
        <v>22.59</v>
      </c>
      <c r="R1037" s="605">
        <f t="shared" si="862"/>
        <v>22.59</v>
      </c>
      <c r="S1037" s="605">
        <f t="shared" si="862"/>
        <v>22.59</v>
      </c>
      <c r="T1037" s="605">
        <f t="shared" si="862"/>
        <v>22.59</v>
      </c>
      <c r="U1037" s="605">
        <f t="shared" si="863"/>
        <v>22.59</v>
      </c>
      <c r="V1037" s="605">
        <f t="shared" si="863"/>
        <v>22.59</v>
      </c>
      <c r="W1037" s="605">
        <f t="shared" si="863"/>
        <v>22.59</v>
      </c>
      <c r="X1037" s="605">
        <f t="shared" si="864"/>
        <v>22.59</v>
      </c>
      <c r="Y1037" s="605">
        <f t="shared" si="864"/>
        <v>22.59</v>
      </c>
      <c r="Z1037" s="605">
        <f t="shared" si="864"/>
        <v>22.59</v>
      </c>
      <c r="AA1037" s="605">
        <f t="shared" si="864"/>
        <v>22.59</v>
      </c>
      <c r="AB1037" s="605">
        <f t="shared" si="864"/>
        <v>22.59</v>
      </c>
      <c r="AC1037" s="605">
        <f t="shared" si="864"/>
        <v>22.59</v>
      </c>
      <c r="AD1037" s="605">
        <f t="shared" si="864"/>
        <v>22.59</v>
      </c>
      <c r="AE1037" s="605">
        <f t="shared" si="864"/>
        <v>22.59</v>
      </c>
      <c r="AF1037" s="605">
        <f t="shared" si="864"/>
        <v>22.59</v>
      </c>
      <c r="AH1037" s="538"/>
      <c r="AK1037" s="531"/>
      <c r="AM1037" s="594"/>
      <c r="AN1037" s="535"/>
      <c r="AP1037" s="540"/>
      <c r="AQ1037" s="540"/>
    </row>
    <row r="1038" spans="1:43" ht="3" hidden="1" customHeight="1" outlineLevel="2">
      <c r="A1038" s="584"/>
      <c r="B1038" s="609"/>
      <c r="C1038" s="611"/>
      <c r="D1038" s="611"/>
      <c r="E1038" s="610"/>
      <c r="F1038" s="610"/>
      <c r="G1038" s="610"/>
      <c r="H1038" s="610"/>
      <c r="I1038" s="610"/>
      <c r="J1038" s="610"/>
      <c r="K1038" s="610"/>
      <c r="L1038" s="610"/>
      <c r="M1038" s="610"/>
      <c r="N1038" s="610"/>
      <c r="O1038" s="610"/>
      <c r="P1038" s="610"/>
      <c r="Q1038" s="610"/>
      <c r="R1038" s="610"/>
      <c r="S1038" s="610"/>
      <c r="T1038" s="610"/>
      <c r="U1038" s="610"/>
      <c r="V1038" s="610"/>
      <c r="W1038" s="610"/>
      <c r="X1038" s="610"/>
      <c r="Y1038" s="610"/>
      <c r="Z1038" s="610"/>
      <c r="AA1038" s="610"/>
      <c r="AB1038" s="610"/>
      <c r="AC1038" s="610"/>
      <c r="AD1038" s="610"/>
      <c r="AE1038" s="610"/>
      <c r="AF1038" s="610"/>
      <c r="AH1038" s="593"/>
      <c r="AK1038" s="531"/>
      <c r="AM1038" s="594"/>
      <c r="AN1038" s="535"/>
      <c r="AP1038" s="535"/>
      <c r="AQ1038" s="535"/>
    </row>
    <row r="1039" spans="1:43" s="564" customFormat="1" ht="16.5" hidden="1" customHeight="1" outlineLevel="1" collapsed="1">
      <c r="A1039" s="584"/>
      <c r="B1039" s="576" t="s">
        <v>926</v>
      </c>
      <c r="C1039" s="577">
        <f>SUM(C1040,C1047)*12/10^3</f>
        <v>487.8</v>
      </c>
      <c r="D1039" s="577">
        <f t="shared" ref="D1039:AF1039" si="865">SUM(D1040,D1047)*12/10^3</f>
        <v>487.8</v>
      </c>
      <c r="E1039" s="577">
        <f t="shared" si="865"/>
        <v>487.8</v>
      </c>
      <c r="F1039" s="577">
        <f t="shared" si="865"/>
        <v>487.8</v>
      </c>
      <c r="G1039" s="577">
        <f t="shared" si="865"/>
        <v>487.8</v>
      </c>
      <c r="H1039" s="577">
        <f t="shared" si="865"/>
        <v>487.8</v>
      </c>
      <c r="I1039" s="577">
        <f t="shared" si="865"/>
        <v>487.8</v>
      </c>
      <c r="J1039" s="577">
        <f t="shared" si="865"/>
        <v>487.8</v>
      </c>
      <c r="K1039" s="577">
        <f t="shared" si="865"/>
        <v>487.8</v>
      </c>
      <c r="L1039" s="577">
        <f t="shared" si="865"/>
        <v>487.8</v>
      </c>
      <c r="M1039" s="577">
        <f t="shared" si="865"/>
        <v>487.8</v>
      </c>
      <c r="N1039" s="577">
        <f t="shared" si="865"/>
        <v>487.8</v>
      </c>
      <c r="O1039" s="577">
        <f t="shared" si="865"/>
        <v>487.8</v>
      </c>
      <c r="P1039" s="577">
        <f t="shared" si="865"/>
        <v>487.8</v>
      </c>
      <c r="Q1039" s="577">
        <f t="shared" si="865"/>
        <v>487.8</v>
      </c>
      <c r="R1039" s="577">
        <f t="shared" si="865"/>
        <v>487.8</v>
      </c>
      <c r="S1039" s="577">
        <f t="shared" si="865"/>
        <v>487.8</v>
      </c>
      <c r="T1039" s="577">
        <f t="shared" si="865"/>
        <v>487.8</v>
      </c>
      <c r="U1039" s="577">
        <f t="shared" si="865"/>
        <v>487.8</v>
      </c>
      <c r="V1039" s="577">
        <f t="shared" si="865"/>
        <v>487.8</v>
      </c>
      <c r="W1039" s="577">
        <f t="shared" si="865"/>
        <v>487.8</v>
      </c>
      <c r="X1039" s="577">
        <f t="shared" si="865"/>
        <v>487.8</v>
      </c>
      <c r="Y1039" s="577">
        <f t="shared" si="865"/>
        <v>487.8</v>
      </c>
      <c r="Z1039" s="577">
        <f t="shared" si="865"/>
        <v>487.8</v>
      </c>
      <c r="AA1039" s="577">
        <f t="shared" si="865"/>
        <v>487.8</v>
      </c>
      <c r="AB1039" s="577">
        <f t="shared" si="865"/>
        <v>487.8</v>
      </c>
      <c r="AC1039" s="577">
        <f t="shared" si="865"/>
        <v>487.8</v>
      </c>
      <c r="AD1039" s="577">
        <f t="shared" si="865"/>
        <v>487.8</v>
      </c>
      <c r="AE1039" s="577">
        <f t="shared" si="865"/>
        <v>487.8</v>
      </c>
      <c r="AF1039" s="577">
        <f t="shared" si="865"/>
        <v>487.8</v>
      </c>
      <c r="AH1039" s="578">
        <f>SUM(C1039:AF1039)</f>
        <v>14633.999999999993</v>
      </c>
      <c r="AJ1039" s="579"/>
      <c r="AK1039" s="531"/>
      <c r="AM1039" s="594"/>
      <c r="AN1039" s="535"/>
      <c r="AP1039" s="568"/>
      <c r="AQ1039" s="568"/>
    </row>
    <row r="1040" spans="1:43" s="546" customFormat="1" ht="16.5" hidden="1" customHeight="1" outlineLevel="2">
      <c r="A1040" s="584"/>
      <c r="B1040" s="569" t="s">
        <v>927</v>
      </c>
      <c r="C1040" s="581">
        <f>C1041*(C1042+C1044+C1045+C1046)</f>
        <v>3294</v>
      </c>
      <c r="D1040" s="581">
        <f t="shared" ref="D1040:AF1040" si="866">D1041*(D1042+D1044+D1045+D1046)</f>
        <v>3294</v>
      </c>
      <c r="E1040" s="581">
        <f t="shared" si="866"/>
        <v>3294</v>
      </c>
      <c r="F1040" s="581">
        <f t="shared" si="866"/>
        <v>3294</v>
      </c>
      <c r="G1040" s="581">
        <f t="shared" si="866"/>
        <v>3294</v>
      </c>
      <c r="H1040" s="581">
        <f t="shared" si="866"/>
        <v>3294</v>
      </c>
      <c r="I1040" s="581">
        <f t="shared" si="866"/>
        <v>3294</v>
      </c>
      <c r="J1040" s="581">
        <f t="shared" si="866"/>
        <v>3294</v>
      </c>
      <c r="K1040" s="581">
        <f t="shared" si="866"/>
        <v>3294</v>
      </c>
      <c r="L1040" s="581">
        <f t="shared" si="866"/>
        <v>3294</v>
      </c>
      <c r="M1040" s="581">
        <f t="shared" si="866"/>
        <v>3294</v>
      </c>
      <c r="N1040" s="581">
        <f t="shared" si="866"/>
        <v>3294</v>
      </c>
      <c r="O1040" s="581">
        <f t="shared" si="866"/>
        <v>3294</v>
      </c>
      <c r="P1040" s="581">
        <f t="shared" si="866"/>
        <v>3294</v>
      </c>
      <c r="Q1040" s="581">
        <f t="shared" si="866"/>
        <v>3294</v>
      </c>
      <c r="R1040" s="581">
        <f t="shared" si="866"/>
        <v>3294</v>
      </c>
      <c r="S1040" s="581">
        <f t="shared" si="866"/>
        <v>3294</v>
      </c>
      <c r="T1040" s="581">
        <f t="shared" si="866"/>
        <v>3294</v>
      </c>
      <c r="U1040" s="581">
        <f t="shared" si="866"/>
        <v>3294</v>
      </c>
      <c r="V1040" s="581">
        <f t="shared" si="866"/>
        <v>3294</v>
      </c>
      <c r="W1040" s="581">
        <f t="shared" si="866"/>
        <v>3294</v>
      </c>
      <c r="X1040" s="581">
        <f t="shared" si="866"/>
        <v>3294</v>
      </c>
      <c r="Y1040" s="581">
        <f t="shared" si="866"/>
        <v>3294</v>
      </c>
      <c r="Z1040" s="581">
        <f t="shared" si="866"/>
        <v>3294</v>
      </c>
      <c r="AA1040" s="581">
        <f t="shared" si="866"/>
        <v>3294</v>
      </c>
      <c r="AB1040" s="581">
        <f t="shared" si="866"/>
        <v>3294</v>
      </c>
      <c r="AC1040" s="581">
        <f t="shared" si="866"/>
        <v>3294</v>
      </c>
      <c r="AD1040" s="581">
        <f t="shared" si="866"/>
        <v>3294</v>
      </c>
      <c r="AE1040" s="581">
        <f t="shared" si="866"/>
        <v>3294</v>
      </c>
      <c r="AF1040" s="581">
        <f t="shared" si="866"/>
        <v>3294</v>
      </c>
      <c r="AH1040" s="571"/>
      <c r="AK1040" s="531"/>
      <c r="AM1040" s="594"/>
      <c r="AN1040" s="535"/>
      <c r="AP1040" s="549"/>
      <c r="AQ1040" s="549"/>
    </row>
    <row r="1041" spans="1:43" s="513" customFormat="1" ht="16.5" hidden="1" customHeight="1" outlineLevel="2">
      <c r="A1041" s="584"/>
      <c r="B1041" s="572" t="s">
        <v>805</v>
      </c>
      <c r="C1041" s="573">
        <f>C933</f>
        <v>1</v>
      </c>
      <c r="D1041" s="573">
        <f>C1041</f>
        <v>1</v>
      </c>
      <c r="E1041" s="573">
        <f>D1041</f>
        <v>1</v>
      </c>
      <c r="F1041" s="573">
        <f t="shared" ref="F1041:U1046" si="867">E1041</f>
        <v>1</v>
      </c>
      <c r="G1041" s="573">
        <f t="shared" si="867"/>
        <v>1</v>
      </c>
      <c r="H1041" s="573">
        <f t="shared" si="867"/>
        <v>1</v>
      </c>
      <c r="I1041" s="573">
        <f t="shared" si="867"/>
        <v>1</v>
      </c>
      <c r="J1041" s="573">
        <f t="shared" si="867"/>
        <v>1</v>
      </c>
      <c r="K1041" s="573">
        <f t="shared" si="867"/>
        <v>1</v>
      </c>
      <c r="L1041" s="573">
        <f t="shared" si="867"/>
        <v>1</v>
      </c>
      <c r="M1041" s="573">
        <f t="shared" si="867"/>
        <v>1</v>
      </c>
      <c r="N1041" s="573">
        <f t="shared" si="867"/>
        <v>1</v>
      </c>
      <c r="O1041" s="573">
        <f t="shared" si="867"/>
        <v>1</v>
      </c>
      <c r="P1041" s="573">
        <f t="shared" si="867"/>
        <v>1</v>
      </c>
      <c r="Q1041" s="573">
        <f t="shared" si="867"/>
        <v>1</v>
      </c>
      <c r="R1041" s="573">
        <f t="shared" si="867"/>
        <v>1</v>
      </c>
      <c r="S1041" s="573">
        <f t="shared" si="867"/>
        <v>1</v>
      </c>
      <c r="T1041" s="573">
        <f t="shared" si="867"/>
        <v>1</v>
      </c>
      <c r="U1041" s="573">
        <f t="shared" si="867"/>
        <v>1</v>
      </c>
      <c r="V1041" s="573">
        <f t="shared" ref="V1041:AF1046" si="868">U1041</f>
        <v>1</v>
      </c>
      <c r="W1041" s="573">
        <f t="shared" si="868"/>
        <v>1</v>
      </c>
      <c r="X1041" s="573">
        <f t="shared" si="868"/>
        <v>1</v>
      </c>
      <c r="Y1041" s="573">
        <f t="shared" si="868"/>
        <v>1</v>
      </c>
      <c r="Z1041" s="573">
        <f t="shared" si="868"/>
        <v>1</v>
      </c>
      <c r="AA1041" s="573">
        <f t="shared" si="868"/>
        <v>1</v>
      </c>
      <c r="AB1041" s="573">
        <f t="shared" si="868"/>
        <v>1</v>
      </c>
      <c r="AC1041" s="573">
        <f t="shared" si="868"/>
        <v>1</v>
      </c>
      <c r="AD1041" s="573">
        <f t="shared" si="868"/>
        <v>1</v>
      </c>
      <c r="AE1041" s="573">
        <f t="shared" si="868"/>
        <v>1</v>
      </c>
      <c r="AF1041" s="573">
        <f t="shared" si="868"/>
        <v>1</v>
      </c>
      <c r="AH1041" s="538"/>
      <c r="AK1041" s="719"/>
      <c r="AM1041" s="594"/>
      <c r="AN1041" s="535"/>
      <c r="AP1041" s="540"/>
      <c r="AQ1041" s="540"/>
    </row>
    <row r="1042" spans="1:43" s="513" customFormat="1" ht="16.5" hidden="1" customHeight="1" outlineLevel="2">
      <c r="A1042" s="584"/>
      <c r="B1042" s="572" t="s">
        <v>928</v>
      </c>
      <c r="C1042" s="574">
        <f>'Sal._benef.'!$D$22</f>
        <v>2969.8</v>
      </c>
      <c r="D1042" s="574">
        <f>C1042</f>
        <v>2969.8</v>
      </c>
      <c r="E1042" s="574">
        <f t="shared" ref="E1042:E1046" si="869">D1042</f>
        <v>2969.8</v>
      </c>
      <c r="F1042" s="574">
        <f t="shared" si="867"/>
        <v>2969.8</v>
      </c>
      <c r="G1042" s="574">
        <f t="shared" si="867"/>
        <v>2969.8</v>
      </c>
      <c r="H1042" s="574">
        <f t="shared" si="867"/>
        <v>2969.8</v>
      </c>
      <c r="I1042" s="574">
        <f t="shared" si="867"/>
        <v>2969.8</v>
      </c>
      <c r="J1042" s="574">
        <f t="shared" si="867"/>
        <v>2969.8</v>
      </c>
      <c r="K1042" s="574">
        <f t="shared" si="867"/>
        <v>2969.8</v>
      </c>
      <c r="L1042" s="574">
        <f t="shared" si="867"/>
        <v>2969.8</v>
      </c>
      <c r="M1042" s="574">
        <f t="shared" si="867"/>
        <v>2969.8</v>
      </c>
      <c r="N1042" s="574">
        <f t="shared" si="867"/>
        <v>2969.8</v>
      </c>
      <c r="O1042" s="574">
        <f t="shared" si="867"/>
        <v>2969.8</v>
      </c>
      <c r="P1042" s="574">
        <f t="shared" si="867"/>
        <v>2969.8</v>
      </c>
      <c r="Q1042" s="574">
        <f t="shared" si="867"/>
        <v>2969.8</v>
      </c>
      <c r="R1042" s="574">
        <f t="shared" si="867"/>
        <v>2969.8</v>
      </c>
      <c r="S1042" s="574">
        <f t="shared" si="867"/>
        <v>2969.8</v>
      </c>
      <c r="T1042" s="574">
        <f t="shared" si="867"/>
        <v>2969.8</v>
      </c>
      <c r="U1042" s="574">
        <f t="shared" si="867"/>
        <v>2969.8</v>
      </c>
      <c r="V1042" s="574">
        <f t="shared" si="868"/>
        <v>2969.8</v>
      </c>
      <c r="W1042" s="574">
        <f t="shared" si="868"/>
        <v>2969.8</v>
      </c>
      <c r="X1042" s="574">
        <f t="shared" si="868"/>
        <v>2969.8</v>
      </c>
      <c r="Y1042" s="574">
        <f t="shared" si="868"/>
        <v>2969.8</v>
      </c>
      <c r="Z1042" s="574">
        <f t="shared" si="868"/>
        <v>2969.8</v>
      </c>
      <c r="AA1042" s="574">
        <f t="shared" si="868"/>
        <v>2969.8</v>
      </c>
      <c r="AB1042" s="574">
        <f t="shared" si="868"/>
        <v>2969.8</v>
      </c>
      <c r="AC1042" s="574">
        <f t="shared" si="868"/>
        <v>2969.8</v>
      </c>
      <c r="AD1042" s="574">
        <f t="shared" si="868"/>
        <v>2969.8</v>
      </c>
      <c r="AE1042" s="574">
        <f t="shared" si="868"/>
        <v>2969.8</v>
      </c>
      <c r="AF1042" s="574">
        <f t="shared" si="868"/>
        <v>2969.8</v>
      </c>
      <c r="AH1042" s="538"/>
      <c r="AK1042" s="531"/>
      <c r="AM1042" s="594"/>
      <c r="AN1042" s="535"/>
      <c r="AP1042" s="540"/>
      <c r="AQ1042" s="540"/>
    </row>
    <row r="1043" spans="1:43" s="513" customFormat="1" ht="16.5" hidden="1" customHeight="1" outlineLevel="2">
      <c r="A1043" s="584"/>
      <c r="B1043" s="572" t="s">
        <v>929</v>
      </c>
      <c r="C1043" s="574">
        <f>'Sal._benef.'!$F$10</f>
        <v>1621</v>
      </c>
      <c r="D1043" s="574">
        <f>C1043</f>
        <v>1621</v>
      </c>
      <c r="E1043" s="574">
        <f t="shared" si="869"/>
        <v>1621</v>
      </c>
      <c r="F1043" s="574">
        <f t="shared" si="867"/>
        <v>1621</v>
      </c>
      <c r="G1043" s="574">
        <f t="shared" si="867"/>
        <v>1621</v>
      </c>
      <c r="H1043" s="574">
        <f t="shared" si="867"/>
        <v>1621</v>
      </c>
      <c r="I1043" s="574">
        <f t="shared" si="867"/>
        <v>1621</v>
      </c>
      <c r="J1043" s="574">
        <f t="shared" si="867"/>
        <v>1621</v>
      </c>
      <c r="K1043" s="574">
        <f t="shared" si="867"/>
        <v>1621</v>
      </c>
      <c r="L1043" s="574">
        <f t="shared" si="867"/>
        <v>1621</v>
      </c>
      <c r="M1043" s="574">
        <f t="shared" si="867"/>
        <v>1621</v>
      </c>
      <c r="N1043" s="574">
        <f t="shared" si="867"/>
        <v>1621</v>
      </c>
      <c r="O1043" s="574">
        <f t="shared" si="867"/>
        <v>1621</v>
      </c>
      <c r="P1043" s="574">
        <f t="shared" si="867"/>
        <v>1621</v>
      </c>
      <c r="Q1043" s="574">
        <f t="shared" si="867"/>
        <v>1621</v>
      </c>
      <c r="R1043" s="574">
        <f t="shared" si="867"/>
        <v>1621</v>
      </c>
      <c r="S1043" s="574">
        <f t="shared" si="867"/>
        <v>1621</v>
      </c>
      <c r="T1043" s="574">
        <f t="shared" si="867"/>
        <v>1621</v>
      </c>
      <c r="U1043" s="574">
        <f t="shared" si="867"/>
        <v>1621</v>
      </c>
      <c r="V1043" s="574">
        <f t="shared" si="868"/>
        <v>1621</v>
      </c>
      <c r="W1043" s="574">
        <f t="shared" si="868"/>
        <v>1621</v>
      </c>
      <c r="X1043" s="574">
        <f t="shared" si="868"/>
        <v>1621</v>
      </c>
      <c r="Y1043" s="574">
        <f t="shared" si="868"/>
        <v>1621</v>
      </c>
      <c r="Z1043" s="574">
        <f t="shared" si="868"/>
        <v>1621</v>
      </c>
      <c r="AA1043" s="574">
        <f t="shared" si="868"/>
        <v>1621</v>
      </c>
      <c r="AB1043" s="574">
        <f t="shared" si="868"/>
        <v>1621</v>
      </c>
      <c r="AC1043" s="574">
        <f t="shared" si="868"/>
        <v>1621</v>
      </c>
      <c r="AD1043" s="574">
        <f t="shared" si="868"/>
        <v>1621</v>
      </c>
      <c r="AE1043" s="574">
        <f t="shared" si="868"/>
        <v>1621</v>
      </c>
      <c r="AF1043" s="574">
        <f t="shared" si="868"/>
        <v>1621</v>
      </c>
      <c r="AH1043" s="538"/>
      <c r="AK1043" s="531"/>
      <c r="AM1043" s="594"/>
      <c r="AN1043" s="535"/>
      <c r="AP1043" s="540"/>
      <c r="AQ1043" s="540"/>
    </row>
    <row r="1044" spans="1:43" s="513" customFormat="1" ht="16.5" hidden="1" customHeight="1" outlineLevel="2">
      <c r="A1044" s="584"/>
      <c r="B1044" s="585" t="s">
        <v>1487</v>
      </c>
      <c r="C1044" s="574">
        <f>'Sal._benef.'!$F$22*'Sal._benef.'!$F$10</f>
        <v>324.20000000000005</v>
      </c>
      <c r="D1044" s="574">
        <f>C1044</f>
        <v>324.20000000000005</v>
      </c>
      <c r="E1044" s="574">
        <f t="shared" si="869"/>
        <v>324.20000000000005</v>
      </c>
      <c r="F1044" s="574">
        <f t="shared" si="867"/>
        <v>324.20000000000005</v>
      </c>
      <c r="G1044" s="574">
        <f t="shared" si="867"/>
        <v>324.20000000000005</v>
      </c>
      <c r="H1044" s="574">
        <f t="shared" si="867"/>
        <v>324.20000000000005</v>
      </c>
      <c r="I1044" s="574">
        <f t="shared" si="867"/>
        <v>324.20000000000005</v>
      </c>
      <c r="J1044" s="574">
        <f t="shared" si="867"/>
        <v>324.20000000000005</v>
      </c>
      <c r="K1044" s="574">
        <f t="shared" si="867"/>
        <v>324.20000000000005</v>
      </c>
      <c r="L1044" s="574">
        <f t="shared" si="867"/>
        <v>324.20000000000005</v>
      </c>
      <c r="M1044" s="574">
        <f t="shared" si="867"/>
        <v>324.20000000000005</v>
      </c>
      <c r="N1044" s="574">
        <f t="shared" si="867"/>
        <v>324.20000000000005</v>
      </c>
      <c r="O1044" s="574">
        <f t="shared" si="867"/>
        <v>324.20000000000005</v>
      </c>
      <c r="P1044" s="574">
        <f t="shared" si="867"/>
        <v>324.20000000000005</v>
      </c>
      <c r="Q1044" s="574">
        <f t="shared" si="867"/>
        <v>324.20000000000005</v>
      </c>
      <c r="R1044" s="574">
        <f t="shared" si="867"/>
        <v>324.20000000000005</v>
      </c>
      <c r="S1044" s="574">
        <f t="shared" si="867"/>
        <v>324.20000000000005</v>
      </c>
      <c r="T1044" s="574">
        <f t="shared" si="867"/>
        <v>324.20000000000005</v>
      </c>
      <c r="U1044" s="574">
        <f t="shared" si="867"/>
        <v>324.20000000000005</v>
      </c>
      <c r="V1044" s="574">
        <f t="shared" si="868"/>
        <v>324.20000000000005</v>
      </c>
      <c r="W1044" s="574">
        <f t="shared" si="868"/>
        <v>324.20000000000005</v>
      </c>
      <c r="X1044" s="574">
        <f t="shared" si="868"/>
        <v>324.20000000000005</v>
      </c>
      <c r="Y1044" s="574">
        <f t="shared" si="868"/>
        <v>324.20000000000005</v>
      </c>
      <c r="Z1044" s="574">
        <f t="shared" si="868"/>
        <v>324.20000000000005</v>
      </c>
      <c r="AA1044" s="574">
        <f t="shared" si="868"/>
        <v>324.20000000000005</v>
      </c>
      <c r="AB1044" s="574">
        <f t="shared" si="868"/>
        <v>324.20000000000005</v>
      </c>
      <c r="AC1044" s="574">
        <f t="shared" si="868"/>
        <v>324.20000000000005</v>
      </c>
      <c r="AD1044" s="574">
        <f t="shared" si="868"/>
        <v>324.20000000000005</v>
      </c>
      <c r="AE1044" s="574">
        <f t="shared" si="868"/>
        <v>324.20000000000005</v>
      </c>
      <c r="AF1044" s="574">
        <f t="shared" si="868"/>
        <v>324.20000000000005</v>
      </c>
      <c r="AH1044" s="538"/>
      <c r="AK1044" s="531"/>
      <c r="AM1044" s="594"/>
      <c r="AN1044" s="535"/>
      <c r="AP1044" s="540"/>
      <c r="AQ1044" s="540"/>
    </row>
    <row r="1045" spans="1:43" s="513" customFormat="1" ht="16.5" hidden="1" customHeight="1" outlineLevel="2">
      <c r="A1045" s="584"/>
      <c r="B1045" s="585" t="s">
        <v>1486</v>
      </c>
      <c r="C1045" s="574">
        <v>0</v>
      </c>
      <c r="D1045" s="574">
        <f>C1045</f>
        <v>0</v>
      </c>
      <c r="E1045" s="574">
        <f t="shared" si="869"/>
        <v>0</v>
      </c>
      <c r="F1045" s="574">
        <f t="shared" si="867"/>
        <v>0</v>
      </c>
      <c r="G1045" s="574">
        <f t="shared" si="867"/>
        <v>0</v>
      </c>
      <c r="H1045" s="574">
        <f t="shared" si="867"/>
        <v>0</v>
      </c>
      <c r="I1045" s="574">
        <f t="shared" si="867"/>
        <v>0</v>
      </c>
      <c r="J1045" s="574">
        <f t="shared" si="867"/>
        <v>0</v>
      </c>
      <c r="K1045" s="574">
        <f t="shared" si="867"/>
        <v>0</v>
      </c>
      <c r="L1045" s="574">
        <f t="shared" si="867"/>
        <v>0</v>
      </c>
      <c r="M1045" s="574">
        <f t="shared" si="867"/>
        <v>0</v>
      </c>
      <c r="N1045" s="574">
        <f t="shared" si="867"/>
        <v>0</v>
      </c>
      <c r="O1045" s="574">
        <f t="shared" si="867"/>
        <v>0</v>
      </c>
      <c r="P1045" s="574">
        <f t="shared" si="867"/>
        <v>0</v>
      </c>
      <c r="Q1045" s="574">
        <f t="shared" si="867"/>
        <v>0</v>
      </c>
      <c r="R1045" s="574">
        <f t="shared" si="867"/>
        <v>0</v>
      </c>
      <c r="S1045" s="574">
        <f t="shared" si="867"/>
        <v>0</v>
      </c>
      <c r="T1045" s="574">
        <f t="shared" si="867"/>
        <v>0</v>
      </c>
      <c r="U1045" s="574">
        <f t="shared" si="867"/>
        <v>0</v>
      </c>
      <c r="V1045" s="574">
        <f t="shared" si="868"/>
        <v>0</v>
      </c>
      <c r="W1045" s="574">
        <f t="shared" si="868"/>
        <v>0</v>
      </c>
      <c r="X1045" s="574">
        <f t="shared" si="868"/>
        <v>0</v>
      </c>
      <c r="Y1045" s="574">
        <f t="shared" si="868"/>
        <v>0</v>
      </c>
      <c r="Z1045" s="574">
        <f t="shared" si="868"/>
        <v>0</v>
      </c>
      <c r="AA1045" s="574">
        <f t="shared" si="868"/>
        <v>0</v>
      </c>
      <c r="AB1045" s="574">
        <f t="shared" si="868"/>
        <v>0</v>
      </c>
      <c r="AC1045" s="574">
        <f t="shared" si="868"/>
        <v>0</v>
      </c>
      <c r="AD1045" s="574">
        <f t="shared" si="868"/>
        <v>0</v>
      </c>
      <c r="AE1045" s="574">
        <f t="shared" si="868"/>
        <v>0</v>
      </c>
      <c r="AF1045" s="574">
        <f t="shared" si="868"/>
        <v>0</v>
      </c>
      <c r="AH1045" s="538"/>
      <c r="AK1045" s="531"/>
      <c r="AM1045" s="594"/>
      <c r="AN1045" s="535"/>
      <c r="AP1045" s="540"/>
      <c r="AQ1045" s="540"/>
    </row>
    <row r="1046" spans="1:43" s="513" customFormat="1" ht="16.5" hidden="1" customHeight="1" outlineLevel="2">
      <c r="A1046" s="584"/>
      <c r="B1046" s="572" t="s">
        <v>1367</v>
      </c>
      <c r="C1046" s="574">
        <v>0</v>
      </c>
      <c r="D1046" s="574">
        <f>C1046</f>
        <v>0</v>
      </c>
      <c r="E1046" s="574">
        <f t="shared" si="869"/>
        <v>0</v>
      </c>
      <c r="F1046" s="574">
        <f t="shared" si="867"/>
        <v>0</v>
      </c>
      <c r="G1046" s="574">
        <f t="shared" si="867"/>
        <v>0</v>
      </c>
      <c r="H1046" s="574">
        <f t="shared" si="867"/>
        <v>0</v>
      </c>
      <c r="I1046" s="574">
        <f t="shared" si="867"/>
        <v>0</v>
      </c>
      <c r="J1046" s="574">
        <f t="shared" si="867"/>
        <v>0</v>
      </c>
      <c r="K1046" s="574">
        <f t="shared" si="867"/>
        <v>0</v>
      </c>
      <c r="L1046" s="574">
        <f t="shared" si="867"/>
        <v>0</v>
      </c>
      <c r="M1046" s="574">
        <f t="shared" si="867"/>
        <v>0</v>
      </c>
      <c r="N1046" s="574">
        <f t="shared" si="867"/>
        <v>0</v>
      </c>
      <c r="O1046" s="574">
        <f t="shared" si="867"/>
        <v>0</v>
      </c>
      <c r="P1046" s="574">
        <f t="shared" si="867"/>
        <v>0</v>
      </c>
      <c r="Q1046" s="574">
        <f t="shared" si="867"/>
        <v>0</v>
      </c>
      <c r="R1046" s="574">
        <f t="shared" si="867"/>
        <v>0</v>
      </c>
      <c r="S1046" s="574">
        <f t="shared" si="867"/>
        <v>0</v>
      </c>
      <c r="T1046" s="574">
        <f t="shared" si="867"/>
        <v>0</v>
      </c>
      <c r="U1046" s="574">
        <f t="shared" si="867"/>
        <v>0</v>
      </c>
      <c r="V1046" s="574">
        <f t="shared" si="868"/>
        <v>0</v>
      </c>
      <c r="W1046" s="574">
        <f t="shared" si="868"/>
        <v>0</v>
      </c>
      <c r="X1046" s="574">
        <f t="shared" si="868"/>
        <v>0</v>
      </c>
      <c r="Y1046" s="574">
        <f t="shared" si="868"/>
        <v>0</v>
      </c>
      <c r="Z1046" s="574">
        <f t="shared" si="868"/>
        <v>0</v>
      </c>
      <c r="AA1046" s="574">
        <f t="shared" si="868"/>
        <v>0</v>
      </c>
      <c r="AB1046" s="574">
        <f t="shared" si="868"/>
        <v>0</v>
      </c>
      <c r="AC1046" s="574">
        <f t="shared" si="868"/>
        <v>0</v>
      </c>
      <c r="AD1046" s="574">
        <f t="shared" si="868"/>
        <v>0</v>
      </c>
      <c r="AE1046" s="574">
        <f t="shared" si="868"/>
        <v>0</v>
      </c>
      <c r="AF1046" s="574">
        <f t="shared" si="868"/>
        <v>0</v>
      </c>
      <c r="AH1046" s="538"/>
      <c r="AK1046" s="531"/>
      <c r="AM1046" s="594"/>
      <c r="AN1046" s="535"/>
      <c r="AP1046" s="540"/>
      <c r="AQ1046" s="540"/>
    </row>
    <row r="1047" spans="1:43" s="546" customFormat="1" ht="16.5" hidden="1" customHeight="1" outlineLevel="2">
      <c r="A1047" s="584"/>
      <c r="B1047" s="569" t="s">
        <v>959</v>
      </c>
      <c r="C1047" s="581">
        <f>C1048*(C1049+C1051+C1052+C1053)</f>
        <v>37356</v>
      </c>
      <c r="D1047" s="581">
        <f>D1048*(D1049+D1051+D1052+D1053)</f>
        <v>37356</v>
      </c>
      <c r="E1047" s="581">
        <f t="shared" ref="E1047:AF1047" si="870">E1048*(E1049+E1051+E1052+E1053)</f>
        <v>37356</v>
      </c>
      <c r="F1047" s="581">
        <f t="shared" si="870"/>
        <v>37356</v>
      </c>
      <c r="G1047" s="581">
        <f t="shared" si="870"/>
        <v>37356</v>
      </c>
      <c r="H1047" s="581">
        <f t="shared" si="870"/>
        <v>37356</v>
      </c>
      <c r="I1047" s="581">
        <f t="shared" si="870"/>
        <v>37356</v>
      </c>
      <c r="J1047" s="581">
        <f t="shared" si="870"/>
        <v>37356</v>
      </c>
      <c r="K1047" s="581">
        <f t="shared" si="870"/>
        <v>37356</v>
      </c>
      <c r="L1047" s="581">
        <f t="shared" si="870"/>
        <v>37356</v>
      </c>
      <c r="M1047" s="581">
        <f t="shared" si="870"/>
        <v>37356</v>
      </c>
      <c r="N1047" s="581">
        <f t="shared" si="870"/>
        <v>37356</v>
      </c>
      <c r="O1047" s="581">
        <f t="shared" si="870"/>
        <v>37356</v>
      </c>
      <c r="P1047" s="581">
        <f t="shared" si="870"/>
        <v>37356</v>
      </c>
      <c r="Q1047" s="581">
        <f t="shared" si="870"/>
        <v>37356</v>
      </c>
      <c r="R1047" s="581">
        <f t="shared" si="870"/>
        <v>37356</v>
      </c>
      <c r="S1047" s="581">
        <f t="shared" si="870"/>
        <v>37356</v>
      </c>
      <c r="T1047" s="581">
        <f t="shared" si="870"/>
        <v>37356</v>
      </c>
      <c r="U1047" s="581">
        <f t="shared" si="870"/>
        <v>37356</v>
      </c>
      <c r="V1047" s="581">
        <f t="shared" si="870"/>
        <v>37356</v>
      </c>
      <c r="W1047" s="581">
        <f t="shared" si="870"/>
        <v>37356</v>
      </c>
      <c r="X1047" s="581">
        <f t="shared" si="870"/>
        <v>37356</v>
      </c>
      <c r="Y1047" s="581">
        <f t="shared" si="870"/>
        <v>37356</v>
      </c>
      <c r="Z1047" s="581">
        <f t="shared" si="870"/>
        <v>37356</v>
      </c>
      <c r="AA1047" s="581">
        <f t="shared" si="870"/>
        <v>37356</v>
      </c>
      <c r="AB1047" s="581">
        <f t="shared" si="870"/>
        <v>37356</v>
      </c>
      <c r="AC1047" s="581">
        <f t="shared" si="870"/>
        <v>37356</v>
      </c>
      <c r="AD1047" s="581">
        <f t="shared" si="870"/>
        <v>37356</v>
      </c>
      <c r="AE1047" s="581">
        <f t="shared" si="870"/>
        <v>37356</v>
      </c>
      <c r="AF1047" s="581">
        <f t="shared" si="870"/>
        <v>37356</v>
      </c>
      <c r="AH1047" s="571"/>
      <c r="AK1047" s="531"/>
      <c r="AM1047" s="594"/>
      <c r="AN1047" s="535"/>
      <c r="AP1047" s="549"/>
      <c r="AQ1047" s="549"/>
    </row>
    <row r="1048" spans="1:43" s="513" customFormat="1" ht="16.5" hidden="1" customHeight="1" outlineLevel="2">
      <c r="A1048" s="584"/>
      <c r="B1048" s="572" t="s">
        <v>805</v>
      </c>
      <c r="C1048" s="573">
        <v>15</v>
      </c>
      <c r="D1048" s="573">
        <v>15</v>
      </c>
      <c r="E1048" s="573">
        <v>15</v>
      </c>
      <c r="F1048" s="573">
        <v>15</v>
      </c>
      <c r="G1048" s="573">
        <v>15</v>
      </c>
      <c r="H1048" s="573">
        <v>15</v>
      </c>
      <c r="I1048" s="573">
        <v>15</v>
      </c>
      <c r="J1048" s="573">
        <v>15</v>
      </c>
      <c r="K1048" s="573">
        <v>15</v>
      </c>
      <c r="L1048" s="573">
        <v>15</v>
      </c>
      <c r="M1048" s="573">
        <v>15</v>
      </c>
      <c r="N1048" s="573">
        <v>15</v>
      </c>
      <c r="O1048" s="573">
        <v>15</v>
      </c>
      <c r="P1048" s="573">
        <v>15</v>
      </c>
      <c r="Q1048" s="573">
        <v>15</v>
      </c>
      <c r="R1048" s="573">
        <v>15</v>
      </c>
      <c r="S1048" s="573">
        <v>15</v>
      </c>
      <c r="T1048" s="573">
        <v>15</v>
      </c>
      <c r="U1048" s="573">
        <v>15</v>
      </c>
      <c r="V1048" s="573">
        <v>15</v>
      </c>
      <c r="W1048" s="573">
        <v>15</v>
      </c>
      <c r="X1048" s="573">
        <v>15</v>
      </c>
      <c r="Y1048" s="573">
        <v>15</v>
      </c>
      <c r="Z1048" s="573">
        <v>15</v>
      </c>
      <c r="AA1048" s="573">
        <v>15</v>
      </c>
      <c r="AB1048" s="573">
        <v>15</v>
      </c>
      <c r="AC1048" s="573">
        <v>15</v>
      </c>
      <c r="AD1048" s="573">
        <v>15</v>
      </c>
      <c r="AE1048" s="573">
        <v>15</v>
      </c>
      <c r="AF1048" s="573">
        <v>15</v>
      </c>
      <c r="AH1048" s="538"/>
      <c r="AK1048" s="531"/>
      <c r="AM1048" s="594"/>
      <c r="AN1048" s="535"/>
      <c r="AP1048" s="540"/>
      <c r="AQ1048" s="540"/>
    </row>
    <row r="1049" spans="1:43" s="513" customFormat="1" ht="16.5" hidden="1" customHeight="1" outlineLevel="2">
      <c r="A1049" s="584"/>
      <c r="B1049" s="572" t="s">
        <v>928</v>
      </c>
      <c r="C1049" s="574">
        <f>'Sal._benef.'!$D$27</f>
        <v>1842</v>
      </c>
      <c r="D1049" s="574">
        <f>C1049</f>
        <v>1842</v>
      </c>
      <c r="E1049" s="574">
        <f t="shared" ref="E1049:T1053" si="871">D1049</f>
        <v>1842</v>
      </c>
      <c r="F1049" s="574">
        <f t="shared" si="871"/>
        <v>1842</v>
      </c>
      <c r="G1049" s="574">
        <f t="shared" si="871"/>
        <v>1842</v>
      </c>
      <c r="H1049" s="574">
        <f t="shared" si="871"/>
        <v>1842</v>
      </c>
      <c r="I1049" s="574">
        <f t="shared" si="871"/>
        <v>1842</v>
      </c>
      <c r="J1049" s="574">
        <f t="shared" si="871"/>
        <v>1842</v>
      </c>
      <c r="K1049" s="574">
        <f t="shared" si="871"/>
        <v>1842</v>
      </c>
      <c r="L1049" s="574">
        <f t="shared" si="871"/>
        <v>1842</v>
      </c>
      <c r="M1049" s="574">
        <f t="shared" si="871"/>
        <v>1842</v>
      </c>
      <c r="N1049" s="574">
        <f t="shared" si="871"/>
        <v>1842</v>
      </c>
      <c r="O1049" s="574">
        <f t="shared" si="871"/>
        <v>1842</v>
      </c>
      <c r="P1049" s="574">
        <f t="shared" si="871"/>
        <v>1842</v>
      </c>
      <c r="Q1049" s="574">
        <f t="shared" si="871"/>
        <v>1842</v>
      </c>
      <c r="R1049" s="574">
        <f t="shared" si="871"/>
        <v>1842</v>
      </c>
      <c r="S1049" s="574">
        <f t="shared" si="871"/>
        <v>1842</v>
      </c>
      <c r="T1049" s="574">
        <f t="shared" si="871"/>
        <v>1842</v>
      </c>
      <c r="U1049" s="574">
        <f t="shared" ref="U1049:AF1053" si="872">T1049</f>
        <v>1842</v>
      </c>
      <c r="V1049" s="574">
        <f t="shared" si="872"/>
        <v>1842</v>
      </c>
      <c r="W1049" s="574">
        <f t="shared" si="872"/>
        <v>1842</v>
      </c>
      <c r="X1049" s="574">
        <f t="shared" si="872"/>
        <v>1842</v>
      </c>
      <c r="Y1049" s="574">
        <f t="shared" si="872"/>
        <v>1842</v>
      </c>
      <c r="Z1049" s="574">
        <f t="shared" si="872"/>
        <v>1842</v>
      </c>
      <c r="AA1049" s="574">
        <f t="shared" si="872"/>
        <v>1842</v>
      </c>
      <c r="AB1049" s="574">
        <f t="shared" si="872"/>
        <v>1842</v>
      </c>
      <c r="AC1049" s="574">
        <f t="shared" si="872"/>
        <v>1842</v>
      </c>
      <c r="AD1049" s="574">
        <f t="shared" si="872"/>
        <v>1842</v>
      </c>
      <c r="AE1049" s="574">
        <f t="shared" si="872"/>
        <v>1842</v>
      </c>
      <c r="AF1049" s="574">
        <f t="shared" si="872"/>
        <v>1842</v>
      </c>
      <c r="AH1049" s="538"/>
      <c r="AK1049" s="531"/>
      <c r="AM1049" s="594"/>
      <c r="AN1049" s="535"/>
      <c r="AP1049" s="540"/>
      <c r="AQ1049" s="540"/>
    </row>
    <row r="1050" spans="1:43" s="513" customFormat="1" ht="16.5" hidden="1" customHeight="1" outlineLevel="2">
      <c r="A1050" s="584"/>
      <c r="B1050" s="572" t="s">
        <v>929</v>
      </c>
      <c r="C1050" s="574">
        <f>'Sal._benef.'!$F$10</f>
        <v>1621</v>
      </c>
      <c r="D1050" s="574">
        <f>C1050</f>
        <v>1621</v>
      </c>
      <c r="E1050" s="574">
        <f t="shared" si="871"/>
        <v>1621</v>
      </c>
      <c r="F1050" s="574">
        <f t="shared" si="871"/>
        <v>1621</v>
      </c>
      <c r="G1050" s="574">
        <f t="shared" si="871"/>
        <v>1621</v>
      </c>
      <c r="H1050" s="574">
        <f t="shared" si="871"/>
        <v>1621</v>
      </c>
      <c r="I1050" s="574">
        <f t="shared" si="871"/>
        <v>1621</v>
      </c>
      <c r="J1050" s="574">
        <f t="shared" si="871"/>
        <v>1621</v>
      </c>
      <c r="K1050" s="574">
        <f t="shared" si="871"/>
        <v>1621</v>
      </c>
      <c r="L1050" s="574">
        <f t="shared" si="871"/>
        <v>1621</v>
      </c>
      <c r="M1050" s="574">
        <f t="shared" si="871"/>
        <v>1621</v>
      </c>
      <c r="N1050" s="574">
        <f t="shared" si="871"/>
        <v>1621</v>
      </c>
      <c r="O1050" s="574">
        <f t="shared" si="871"/>
        <v>1621</v>
      </c>
      <c r="P1050" s="574">
        <f t="shared" si="871"/>
        <v>1621</v>
      </c>
      <c r="Q1050" s="574">
        <f t="shared" si="871"/>
        <v>1621</v>
      </c>
      <c r="R1050" s="574">
        <f t="shared" si="871"/>
        <v>1621</v>
      </c>
      <c r="S1050" s="574">
        <f t="shared" si="871"/>
        <v>1621</v>
      </c>
      <c r="T1050" s="574">
        <f t="shared" si="871"/>
        <v>1621</v>
      </c>
      <c r="U1050" s="574">
        <f t="shared" si="872"/>
        <v>1621</v>
      </c>
      <c r="V1050" s="574">
        <f t="shared" si="872"/>
        <v>1621</v>
      </c>
      <c r="W1050" s="574">
        <f t="shared" si="872"/>
        <v>1621</v>
      </c>
      <c r="X1050" s="574">
        <f t="shared" si="872"/>
        <v>1621</v>
      </c>
      <c r="Y1050" s="574">
        <f t="shared" si="872"/>
        <v>1621</v>
      </c>
      <c r="Z1050" s="574">
        <f t="shared" si="872"/>
        <v>1621</v>
      </c>
      <c r="AA1050" s="574">
        <f t="shared" si="872"/>
        <v>1621</v>
      </c>
      <c r="AB1050" s="574">
        <f t="shared" si="872"/>
        <v>1621</v>
      </c>
      <c r="AC1050" s="574">
        <f t="shared" si="872"/>
        <v>1621</v>
      </c>
      <c r="AD1050" s="574">
        <f t="shared" si="872"/>
        <v>1621</v>
      </c>
      <c r="AE1050" s="574">
        <f t="shared" si="872"/>
        <v>1621</v>
      </c>
      <c r="AF1050" s="574">
        <f t="shared" si="872"/>
        <v>1621</v>
      </c>
      <c r="AH1050" s="538"/>
      <c r="AK1050" s="531"/>
      <c r="AM1050" s="594"/>
      <c r="AN1050" s="535"/>
      <c r="AP1050" s="540"/>
      <c r="AQ1050" s="540"/>
    </row>
    <row r="1051" spans="1:43" s="513" customFormat="1" ht="16.5" hidden="1" customHeight="1" outlineLevel="2">
      <c r="A1051" s="584"/>
      <c r="B1051" s="585" t="s">
        <v>1487</v>
      </c>
      <c r="C1051" s="574">
        <f>'Sal._benef.'!$F$27*'Sal._benef.'!$F$10</f>
        <v>648.40000000000009</v>
      </c>
      <c r="D1051" s="574">
        <f>C1051</f>
        <v>648.40000000000009</v>
      </c>
      <c r="E1051" s="574">
        <f t="shared" si="871"/>
        <v>648.40000000000009</v>
      </c>
      <c r="F1051" s="574">
        <f t="shared" si="871"/>
        <v>648.40000000000009</v>
      </c>
      <c r="G1051" s="574">
        <f t="shared" si="871"/>
        <v>648.40000000000009</v>
      </c>
      <c r="H1051" s="574">
        <f t="shared" si="871"/>
        <v>648.40000000000009</v>
      </c>
      <c r="I1051" s="574">
        <f t="shared" si="871"/>
        <v>648.40000000000009</v>
      </c>
      <c r="J1051" s="574">
        <f t="shared" si="871"/>
        <v>648.40000000000009</v>
      </c>
      <c r="K1051" s="574">
        <f t="shared" si="871"/>
        <v>648.40000000000009</v>
      </c>
      <c r="L1051" s="574">
        <f t="shared" si="871"/>
        <v>648.40000000000009</v>
      </c>
      <c r="M1051" s="574">
        <f t="shared" si="871"/>
        <v>648.40000000000009</v>
      </c>
      <c r="N1051" s="574">
        <f t="shared" si="871"/>
        <v>648.40000000000009</v>
      </c>
      <c r="O1051" s="574">
        <f t="shared" si="871"/>
        <v>648.40000000000009</v>
      </c>
      <c r="P1051" s="574">
        <f t="shared" si="871"/>
        <v>648.40000000000009</v>
      </c>
      <c r="Q1051" s="574">
        <f t="shared" si="871"/>
        <v>648.40000000000009</v>
      </c>
      <c r="R1051" s="574">
        <f t="shared" si="871"/>
        <v>648.40000000000009</v>
      </c>
      <c r="S1051" s="574">
        <f t="shared" si="871"/>
        <v>648.40000000000009</v>
      </c>
      <c r="T1051" s="574">
        <f t="shared" si="871"/>
        <v>648.40000000000009</v>
      </c>
      <c r="U1051" s="574">
        <f t="shared" si="872"/>
        <v>648.40000000000009</v>
      </c>
      <c r="V1051" s="574">
        <f t="shared" si="872"/>
        <v>648.40000000000009</v>
      </c>
      <c r="W1051" s="574">
        <f t="shared" si="872"/>
        <v>648.40000000000009</v>
      </c>
      <c r="X1051" s="574">
        <f t="shared" si="872"/>
        <v>648.40000000000009</v>
      </c>
      <c r="Y1051" s="574">
        <f t="shared" si="872"/>
        <v>648.40000000000009</v>
      </c>
      <c r="Z1051" s="574">
        <f t="shared" si="872"/>
        <v>648.40000000000009</v>
      </c>
      <c r="AA1051" s="574">
        <f t="shared" si="872"/>
        <v>648.40000000000009</v>
      </c>
      <c r="AB1051" s="574">
        <f t="shared" si="872"/>
        <v>648.40000000000009</v>
      </c>
      <c r="AC1051" s="574">
        <f t="shared" si="872"/>
        <v>648.40000000000009</v>
      </c>
      <c r="AD1051" s="574">
        <f t="shared" si="872"/>
        <v>648.40000000000009</v>
      </c>
      <c r="AE1051" s="574">
        <f t="shared" si="872"/>
        <v>648.40000000000009</v>
      </c>
      <c r="AF1051" s="574">
        <f t="shared" si="872"/>
        <v>648.40000000000009</v>
      </c>
      <c r="AH1051" s="538"/>
      <c r="AK1051" s="531"/>
      <c r="AM1051" s="594"/>
      <c r="AN1051" s="535"/>
      <c r="AP1051" s="540"/>
      <c r="AQ1051" s="540"/>
    </row>
    <row r="1052" spans="1:43" s="513" customFormat="1" ht="16.5" hidden="1" customHeight="1" outlineLevel="2">
      <c r="A1052" s="584"/>
      <c r="B1052" s="585" t="s">
        <v>1486</v>
      </c>
      <c r="C1052" s="574">
        <v>0</v>
      </c>
      <c r="D1052" s="574">
        <f>C1052</f>
        <v>0</v>
      </c>
      <c r="E1052" s="574">
        <f t="shared" si="871"/>
        <v>0</v>
      </c>
      <c r="F1052" s="574">
        <f t="shared" si="871"/>
        <v>0</v>
      </c>
      <c r="G1052" s="574">
        <f t="shared" si="871"/>
        <v>0</v>
      </c>
      <c r="H1052" s="574">
        <f t="shared" si="871"/>
        <v>0</v>
      </c>
      <c r="I1052" s="574">
        <f t="shared" si="871"/>
        <v>0</v>
      </c>
      <c r="J1052" s="574">
        <f t="shared" si="871"/>
        <v>0</v>
      </c>
      <c r="K1052" s="574">
        <f t="shared" si="871"/>
        <v>0</v>
      </c>
      <c r="L1052" s="574">
        <f t="shared" si="871"/>
        <v>0</v>
      </c>
      <c r="M1052" s="574">
        <f t="shared" si="871"/>
        <v>0</v>
      </c>
      <c r="N1052" s="574">
        <f t="shared" si="871"/>
        <v>0</v>
      </c>
      <c r="O1052" s="574">
        <f t="shared" si="871"/>
        <v>0</v>
      </c>
      <c r="P1052" s="574">
        <f t="shared" si="871"/>
        <v>0</v>
      </c>
      <c r="Q1052" s="574">
        <f t="shared" si="871"/>
        <v>0</v>
      </c>
      <c r="R1052" s="574">
        <f t="shared" si="871"/>
        <v>0</v>
      </c>
      <c r="S1052" s="574">
        <f t="shared" si="871"/>
        <v>0</v>
      </c>
      <c r="T1052" s="574">
        <f t="shared" si="871"/>
        <v>0</v>
      </c>
      <c r="U1052" s="574">
        <f t="shared" si="872"/>
        <v>0</v>
      </c>
      <c r="V1052" s="574">
        <f t="shared" si="872"/>
        <v>0</v>
      </c>
      <c r="W1052" s="574">
        <f t="shared" si="872"/>
        <v>0</v>
      </c>
      <c r="X1052" s="574">
        <f t="shared" si="872"/>
        <v>0</v>
      </c>
      <c r="Y1052" s="574">
        <f t="shared" si="872"/>
        <v>0</v>
      </c>
      <c r="Z1052" s="574">
        <f t="shared" si="872"/>
        <v>0</v>
      </c>
      <c r="AA1052" s="574">
        <f t="shared" si="872"/>
        <v>0</v>
      </c>
      <c r="AB1052" s="574">
        <f t="shared" si="872"/>
        <v>0</v>
      </c>
      <c r="AC1052" s="574">
        <f t="shared" si="872"/>
        <v>0</v>
      </c>
      <c r="AD1052" s="574">
        <f t="shared" si="872"/>
        <v>0</v>
      </c>
      <c r="AE1052" s="574">
        <f t="shared" si="872"/>
        <v>0</v>
      </c>
      <c r="AF1052" s="574">
        <f t="shared" si="872"/>
        <v>0</v>
      </c>
      <c r="AH1052" s="538"/>
      <c r="AK1052" s="531"/>
      <c r="AM1052" s="594"/>
      <c r="AN1052" s="535"/>
      <c r="AP1052" s="540"/>
      <c r="AQ1052" s="540"/>
    </row>
    <row r="1053" spans="1:43" s="513" customFormat="1" ht="16.5" hidden="1" customHeight="1" outlineLevel="2">
      <c r="A1053" s="584"/>
      <c r="B1053" s="572" t="s">
        <v>1367</v>
      </c>
      <c r="C1053" s="574">
        <v>0</v>
      </c>
      <c r="D1053" s="574">
        <f>C1053</f>
        <v>0</v>
      </c>
      <c r="E1053" s="574">
        <f t="shared" si="871"/>
        <v>0</v>
      </c>
      <c r="F1053" s="574">
        <f t="shared" si="871"/>
        <v>0</v>
      </c>
      <c r="G1053" s="574">
        <f t="shared" si="871"/>
        <v>0</v>
      </c>
      <c r="H1053" s="574">
        <f t="shared" si="871"/>
        <v>0</v>
      </c>
      <c r="I1053" s="574">
        <f t="shared" si="871"/>
        <v>0</v>
      </c>
      <c r="J1053" s="574">
        <f t="shared" si="871"/>
        <v>0</v>
      </c>
      <c r="K1053" s="574">
        <f t="shared" si="871"/>
        <v>0</v>
      </c>
      <c r="L1053" s="574">
        <f t="shared" si="871"/>
        <v>0</v>
      </c>
      <c r="M1053" s="574">
        <f t="shared" si="871"/>
        <v>0</v>
      </c>
      <c r="N1053" s="574">
        <f t="shared" si="871"/>
        <v>0</v>
      </c>
      <c r="O1053" s="574">
        <f t="shared" si="871"/>
        <v>0</v>
      </c>
      <c r="P1053" s="574">
        <f t="shared" si="871"/>
        <v>0</v>
      </c>
      <c r="Q1053" s="574">
        <f t="shared" si="871"/>
        <v>0</v>
      </c>
      <c r="R1053" s="574">
        <f t="shared" si="871"/>
        <v>0</v>
      </c>
      <c r="S1053" s="574">
        <f t="shared" si="871"/>
        <v>0</v>
      </c>
      <c r="T1053" s="574">
        <f t="shared" si="871"/>
        <v>0</v>
      </c>
      <c r="U1053" s="574">
        <f t="shared" si="872"/>
        <v>0</v>
      </c>
      <c r="V1053" s="574">
        <f t="shared" si="872"/>
        <v>0</v>
      </c>
      <c r="W1053" s="574">
        <f t="shared" si="872"/>
        <v>0</v>
      </c>
      <c r="X1053" s="574">
        <f t="shared" si="872"/>
        <v>0</v>
      </c>
      <c r="Y1053" s="574">
        <f t="shared" si="872"/>
        <v>0</v>
      </c>
      <c r="Z1053" s="574">
        <f t="shared" si="872"/>
        <v>0</v>
      </c>
      <c r="AA1053" s="574">
        <f t="shared" si="872"/>
        <v>0</v>
      </c>
      <c r="AB1053" s="574">
        <f t="shared" si="872"/>
        <v>0</v>
      </c>
      <c r="AC1053" s="574">
        <f t="shared" si="872"/>
        <v>0</v>
      </c>
      <c r="AD1053" s="574">
        <f t="shared" si="872"/>
        <v>0</v>
      </c>
      <c r="AE1053" s="574">
        <f t="shared" si="872"/>
        <v>0</v>
      </c>
      <c r="AF1053" s="574">
        <f t="shared" si="872"/>
        <v>0</v>
      </c>
      <c r="AH1053" s="538"/>
      <c r="AK1053" s="531"/>
      <c r="AM1053" s="594"/>
      <c r="AN1053" s="535"/>
      <c r="AP1053" s="540"/>
      <c r="AQ1053" s="540"/>
    </row>
    <row r="1054" spans="1:43" ht="3" hidden="1" customHeight="1" outlineLevel="2">
      <c r="A1054" s="584"/>
      <c r="B1054" s="609"/>
      <c r="C1054" s="611"/>
      <c r="D1054" s="611"/>
      <c r="E1054" s="610"/>
      <c r="F1054" s="610"/>
      <c r="G1054" s="610"/>
      <c r="H1054" s="610"/>
      <c r="I1054" s="610"/>
      <c r="J1054" s="610"/>
      <c r="K1054" s="610"/>
      <c r="L1054" s="610"/>
      <c r="M1054" s="610"/>
      <c r="N1054" s="610"/>
      <c r="O1054" s="610"/>
      <c r="P1054" s="610"/>
      <c r="Q1054" s="610"/>
      <c r="R1054" s="610"/>
      <c r="S1054" s="610"/>
      <c r="T1054" s="610"/>
      <c r="U1054" s="610"/>
      <c r="V1054" s="610"/>
      <c r="W1054" s="610"/>
      <c r="X1054" s="610"/>
      <c r="Y1054" s="610"/>
      <c r="Z1054" s="610"/>
      <c r="AA1054" s="610"/>
      <c r="AB1054" s="610"/>
      <c r="AC1054" s="610"/>
      <c r="AD1054" s="610"/>
      <c r="AE1054" s="610"/>
      <c r="AF1054" s="610"/>
      <c r="AH1054" s="593"/>
      <c r="AK1054" s="531"/>
      <c r="AM1054" s="594"/>
      <c r="AN1054" s="535"/>
      <c r="AP1054" s="535"/>
      <c r="AQ1054" s="535"/>
    </row>
    <row r="1055" spans="1:43" s="564" customFormat="1" ht="16.5" hidden="1" customHeight="1" outlineLevel="1" collapsed="1">
      <c r="A1055" s="584"/>
      <c r="B1055" s="576" t="s">
        <v>936</v>
      </c>
      <c r="C1055" s="577">
        <f>C1056</f>
        <v>346.48434000000003</v>
      </c>
      <c r="D1055" s="577">
        <f t="shared" ref="D1055:AF1055" si="873">D1056</f>
        <v>346.48434000000003</v>
      </c>
      <c r="E1055" s="577">
        <f t="shared" si="873"/>
        <v>346.48434000000003</v>
      </c>
      <c r="F1055" s="577">
        <f t="shared" si="873"/>
        <v>346.48434000000003</v>
      </c>
      <c r="G1055" s="577">
        <f t="shared" si="873"/>
        <v>346.48434000000003</v>
      </c>
      <c r="H1055" s="577">
        <f t="shared" si="873"/>
        <v>346.48434000000003</v>
      </c>
      <c r="I1055" s="577">
        <f t="shared" si="873"/>
        <v>346.48434000000003</v>
      </c>
      <c r="J1055" s="577">
        <f t="shared" si="873"/>
        <v>346.48434000000003</v>
      </c>
      <c r="K1055" s="577">
        <f t="shared" si="873"/>
        <v>346.48434000000003</v>
      </c>
      <c r="L1055" s="577">
        <f t="shared" si="873"/>
        <v>346.48434000000003</v>
      </c>
      <c r="M1055" s="577">
        <f t="shared" si="873"/>
        <v>346.48434000000003</v>
      </c>
      <c r="N1055" s="577">
        <f t="shared" si="873"/>
        <v>346.48434000000003</v>
      </c>
      <c r="O1055" s="577">
        <f t="shared" si="873"/>
        <v>346.48434000000003</v>
      </c>
      <c r="P1055" s="577">
        <f t="shared" si="873"/>
        <v>346.48434000000003</v>
      </c>
      <c r="Q1055" s="577">
        <f t="shared" si="873"/>
        <v>346.48434000000003</v>
      </c>
      <c r="R1055" s="577">
        <f t="shared" si="873"/>
        <v>346.48434000000003</v>
      </c>
      <c r="S1055" s="577">
        <f t="shared" si="873"/>
        <v>346.48434000000003</v>
      </c>
      <c r="T1055" s="577">
        <f t="shared" si="873"/>
        <v>346.48434000000003</v>
      </c>
      <c r="U1055" s="577">
        <f t="shared" si="873"/>
        <v>346.48434000000003</v>
      </c>
      <c r="V1055" s="577">
        <f t="shared" si="873"/>
        <v>346.48434000000003</v>
      </c>
      <c r="W1055" s="577">
        <f t="shared" si="873"/>
        <v>346.48434000000003</v>
      </c>
      <c r="X1055" s="577">
        <f t="shared" si="873"/>
        <v>346.48434000000003</v>
      </c>
      <c r="Y1055" s="577">
        <f t="shared" si="873"/>
        <v>346.48434000000003</v>
      </c>
      <c r="Z1055" s="577">
        <f t="shared" si="873"/>
        <v>346.48434000000003</v>
      </c>
      <c r="AA1055" s="577">
        <f t="shared" si="873"/>
        <v>346.48434000000003</v>
      </c>
      <c r="AB1055" s="577">
        <f t="shared" si="873"/>
        <v>346.48434000000003</v>
      </c>
      <c r="AC1055" s="577">
        <f t="shared" si="873"/>
        <v>346.48434000000003</v>
      </c>
      <c r="AD1055" s="577">
        <f t="shared" si="873"/>
        <v>346.48434000000003</v>
      </c>
      <c r="AE1055" s="577">
        <f t="shared" si="873"/>
        <v>346.48434000000003</v>
      </c>
      <c r="AF1055" s="577">
        <f t="shared" si="873"/>
        <v>346.48434000000003</v>
      </c>
      <c r="AH1055" s="578">
        <f>SUM(C1055:AF1055)</f>
        <v>10394.530200000007</v>
      </c>
      <c r="AJ1055" s="579"/>
      <c r="AK1055" s="531"/>
      <c r="AM1055" s="594"/>
      <c r="AN1055" s="535"/>
      <c r="AP1055" s="568"/>
      <c r="AQ1055" s="568"/>
    </row>
    <row r="1056" spans="1:43" s="546" customFormat="1" ht="16.5" hidden="1" customHeight="1" outlineLevel="2">
      <c r="A1056" s="584"/>
      <c r="B1056" s="569" t="s">
        <v>937</v>
      </c>
      <c r="C1056" s="570">
        <f t="shared" ref="C1056:AF1056" si="874">C1039*C1057</f>
        <v>346.48434000000003</v>
      </c>
      <c r="D1056" s="570">
        <f t="shared" si="874"/>
        <v>346.48434000000003</v>
      </c>
      <c r="E1056" s="570">
        <f t="shared" si="874"/>
        <v>346.48434000000003</v>
      </c>
      <c r="F1056" s="570">
        <f t="shared" si="874"/>
        <v>346.48434000000003</v>
      </c>
      <c r="G1056" s="570">
        <f t="shared" si="874"/>
        <v>346.48434000000003</v>
      </c>
      <c r="H1056" s="570">
        <f t="shared" si="874"/>
        <v>346.48434000000003</v>
      </c>
      <c r="I1056" s="570">
        <f t="shared" si="874"/>
        <v>346.48434000000003</v>
      </c>
      <c r="J1056" s="570">
        <f t="shared" si="874"/>
        <v>346.48434000000003</v>
      </c>
      <c r="K1056" s="570">
        <f t="shared" si="874"/>
        <v>346.48434000000003</v>
      </c>
      <c r="L1056" s="570">
        <f t="shared" si="874"/>
        <v>346.48434000000003</v>
      </c>
      <c r="M1056" s="570">
        <f t="shared" si="874"/>
        <v>346.48434000000003</v>
      </c>
      <c r="N1056" s="570">
        <f t="shared" si="874"/>
        <v>346.48434000000003</v>
      </c>
      <c r="O1056" s="570">
        <f t="shared" si="874"/>
        <v>346.48434000000003</v>
      </c>
      <c r="P1056" s="570">
        <f t="shared" si="874"/>
        <v>346.48434000000003</v>
      </c>
      <c r="Q1056" s="570">
        <f t="shared" si="874"/>
        <v>346.48434000000003</v>
      </c>
      <c r="R1056" s="570">
        <f t="shared" si="874"/>
        <v>346.48434000000003</v>
      </c>
      <c r="S1056" s="570">
        <f t="shared" si="874"/>
        <v>346.48434000000003</v>
      </c>
      <c r="T1056" s="570">
        <f t="shared" si="874"/>
        <v>346.48434000000003</v>
      </c>
      <c r="U1056" s="570">
        <f t="shared" si="874"/>
        <v>346.48434000000003</v>
      </c>
      <c r="V1056" s="570">
        <f t="shared" si="874"/>
        <v>346.48434000000003</v>
      </c>
      <c r="W1056" s="570">
        <f t="shared" si="874"/>
        <v>346.48434000000003</v>
      </c>
      <c r="X1056" s="570">
        <f t="shared" si="874"/>
        <v>346.48434000000003</v>
      </c>
      <c r="Y1056" s="570">
        <f t="shared" si="874"/>
        <v>346.48434000000003</v>
      </c>
      <c r="Z1056" s="570">
        <f t="shared" si="874"/>
        <v>346.48434000000003</v>
      </c>
      <c r="AA1056" s="570">
        <f t="shared" si="874"/>
        <v>346.48434000000003</v>
      </c>
      <c r="AB1056" s="570">
        <f t="shared" si="874"/>
        <v>346.48434000000003</v>
      </c>
      <c r="AC1056" s="570">
        <f t="shared" si="874"/>
        <v>346.48434000000003</v>
      </c>
      <c r="AD1056" s="570">
        <f t="shared" si="874"/>
        <v>346.48434000000003</v>
      </c>
      <c r="AE1056" s="570">
        <f t="shared" si="874"/>
        <v>346.48434000000003</v>
      </c>
      <c r="AF1056" s="570">
        <f t="shared" si="874"/>
        <v>346.48434000000003</v>
      </c>
      <c r="AH1056" s="571"/>
      <c r="AK1056" s="531"/>
      <c r="AM1056" s="594"/>
      <c r="AN1056" s="535"/>
      <c r="AP1056" s="549"/>
      <c r="AQ1056" s="549"/>
    </row>
    <row r="1057" spans="1:43" s="513" customFormat="1" ht="16.5" hidden="1" customHeight="1" outlineLevel="2">
      <c r="A1057" s="584"/>
      <c r="B1057" s="572" t="s">
        <v>938</v>
      </c>
      <c r="C1057" s="378">
        <f>'Sal._benef.'!$F$11</f>
        <v>0.71030000000000004</v>
      </c>
      <c r="D1057" s="378">
        <f>C1057</f>
        <v>0.71030000000000004</v>
      </c>
      <c r="E1057" s="378">
        <f t="shared" ref="E1057:AF1057" si="875">D1057</f>
        <v>0.71030000000000004</v>
      </c>
      <c r="F1057" s="378">
        <f t="shared" si="875"/>
        <v>0.71030000000000004</v>
      </c>
      <c r="G1057" s="378">
        <f t="shared" si="875"/>
        <v>0.71030000000000004</v>
      </c>
      <c r="H1057" s="378">
        <f t="shared" si="875"/>
        <v>0.71030000000000004</v>
      </c>
      <c r="I1057" s="378">
        <f t="shared" si="875"/>
        <v>0.71030000000000004</v>
      </c>
      <c r="J1057" s="378">
        <f t="shared" si="875"/>
        <v>0.71030000000000004</v>
      </c>
      <c r="K1057" s="378">
        <f t="shared" si="875"/>
        <v>0.71030000000000004</v>
      </c>
      <c r="L1057" s="378">
        <f t="shared" si="875"/>
        <v>0.71030000000000004</v>
      </c>
      <c r="M1057" s="378">
        <f t="shared" si="875"/>
        <v>0.71030000000000004</v>
      </c>
      <c r="N1057" s="378">
        <f t="shared" si="875"/>
        <v>0.71030000000000004</v>
      </c>
      <c r="O1057" s="378">
        <f t="shared" si="875"/>
        <v>0.71030000000000004</v>
      </c>
      <c r="P1057" s="378">
        <f t="shared" si="875"/>
        <v>0.71030000000000004</v>
      </c>
      <c r="Q1057" s="378">
        <f t="shared" si="875"/>
        <v>0.71030000000000004</v>
      </c>
      <c r="R1057" s="378">
        <f t="shared" si="875"/>
        <v>0.71030000000000004</v>
      </c>
      <c r="S1057" s="378">
        <f t="shared" si="875"/>
        <v>0.71030000000000004</v>
      </c>
      <c r="T1057" s="378">
        <f t="shared" si="875"/>
        <v>0.71030000000000004</v>
      </c>
      <c r="U1057" s="378">
        <f t="shared" si="875"/>
        <v>0.71030000000000004</v>
      </c>
      <c r="V1057" s="378">
        <f t="shared" si="875"/>
        <v>0.71030000000000004</v>
      </c>
      <c r="W1057" s="378">
        <f t="shared" si="875"/>
        <v>0.71030000000000004</v>
      </c>
      <c r="X1057" s="378">
        <f t="shared" si="875"/>
        <v>0.71030000000000004</v>
      </c>
      <c r="Y1057" s="378">
        <f t="shared" si="875"/>
        <v>0.71030000000000004</v>
      </c>
      <c r="Z1057" s="378">
        <f t="shared" si="875"/>
        <v>0.71030000000000004</v>
      </c>
      <c r="AA1057" s="378">
        <f t="shared" si="875"/>
        <v>0.71030000000000004</v>
      </c>
      <c r="AB1057" s="378">
        <f t="shared" si="875"/>
        <v>0.71030000000000004</v>
      </c>
      <c r="AC1057" s="378">
        <f t="shared" si="875"/>
        <v>0.71030000000000004</v>
      </c>
      <c r="AD1057" s="378">
        <f t="shared" si="875"/>
        <v>0.71030000000000004</v>
      </c>
      <c r="AE1057" s="378">
        <f t="shared" si="875"/>
        <v>0.71030000000000004</v>
      </c>
      <c r="AF1057" s="378">
        <f t="shared" si="875"/>
        <v>0.71030000000000004</v>
      </c>
      <c r="AH1057" s="538"/>
      <c r="AK1057" s="531"/>
      <c r="AM1057" s="594"/>
      <c r="AN1057" s="535"/>
      <c r="AP1057" s="540"/>
      <c r="AQ1057" s="540"/>
    </row>
    <row r="1058" spans="1:43" ht="3" hidden="1" customHeight="1" outlineLevel="2">
      <c r="A1058" s="584"/>
      <c r="B1058" s="609"/>
      <c r="C1058" s="611"/>
      <c r="D1058" s="611"/>
      <c r="E1058" s="610"/>
      <c r="F1058" s="610"/>
      <c r="G1058" s="610"/>
      <c r="H1058" s="610"/>
      <c r="I1058" s="610"/>
      <c r="J1058" s="610"/>
      <c r="K1058" s="610"/>
      <c r="L1058" s="610"/>
      <c r="M1058" s="610"/>
      <c r="N1058" s="610"/>
      <c r="O1058" s="610"/>
      <c r="P1058" s="610"/>
      <c r="Q1058" s="610"/>
      <c r="R1058" s="610"/>
      <c r="S1058" s="610"/>
      <c r="T1058" s="610"/>
      <c r="U1058" s="610"/>
      <c r="V1058" s="610"/>
      <c r="W1058" s="610"/>
      <c r="X1058" s="610"/>
      <c r="Y1058" s="610"/>
      <c r="Z1058" s="610"/>
      <c r="AA1058" s="610"/>
      <c r="AB1058" s="610"/>
      <c r="AC1058" s="610"/>
      <c r="AD1058" s="610"/>
      <c r="AE1058" s="610"/>
      <c r="AF1058" s="610"/>
      <c r="AH1058" s="593"/>
      <c r="AK1058" s="531"/>
      <c r="AM1058" s="594"/>
      <c r="AN1058" s="535"/>
      <c r="AP1058" s="535"/>
      <c r="AQ1058" s="535"/>
    </row>
    <row r="1059" spans="1:43" s="564" customFormat="1" ht="16.5" hidden="1" customHeight="1" outlineLevel="1" collapsed="1">
      <c r="A1059" s="584"/>
      <c r="B1059" s="576" t="s">
        <v>939</v>
      </c>
      <c r="C1059" s="577">
        <f>SUM(C1060,C1066)*12/10^3</f>
        <v>123.66576000000001</v>
      </c>
      <c r="D1059" s="577">
        <f t="shared" ref="D1059:AF1059" si="876">SUM(D1060,D1066)*12/10^3</f>
        <v>123.66576000000001</v>
      </c>
      <c r="E1059" s="577">
        <f t="shared" si="876"/>
        <v>123.66576000000001</v>
      </c>
      <c r="F1059" s="577">
        <f t="shared" si="876"/>
        <v>123.66576000000001</v>
      </c>
      <c r="G1059" s="577">
        <f t="shared" si="876"/>
        <v>123.66576000000001</v>
      </c>
      <c r="H1059" s="577">
        <f t="shared" si="876"/>
        <v>123.66576000000001</v>
      </c>
      <c r="I1059" s="577">
        <f t="shared" si="876"/>
        <v>123.66576000000001</v>
      </c>
      <c r="J1059" s="577">
        <f t="shared" si="876"/>
        <v>123.66576000000001</v>
      </c>
      <c r="K1059" s="577">
        <f t="shared" si="876"/>
        <v>123.66576000000001</v>
      </c>
      <c r="L1059" s="577">
        <f t="shared" si="876"/>
        <v>123.66576000000001</v>
      </c>
      <c r="M1059" s="577">
        <f t="shared" si="876"/>
        <v>123.66576000000001</v>
      </c>
      <c r="N1059" s="577">
        <f t="shared" si="876"/>
        <v>123.66576000000001</v>
      </c>
      <c r="O1059" s="577">
        <f t="shared" si="876"/>
        <v>123.66576000000001</v>
      </c>
      <c r="P1059" s="577">
        <f t="shared" si="876"/>
        <v>123.66576000000001</v>
      </c>
      <c r="Q1059" s="577">
        <f t="shared" si="876"/>
        <v>123.66576000000001</v>
      </c>
      <c r="R1059" s="577">
        <f t="shared" si="876"/>
        <v>123.66576000000001</v>
      </c>
      <c r="S1059" s="577">
        <f t="shared" si="876"/>
        <v>123.66576000000001</v>
      </c>
      <c r="T1059" s="577">
        <f t="shared" si="876"/>
        <v>123.66576000000001</v>
      </c>
      <c r="U1059" s="577">
        <f t="shared" si="876"/>
        <v>123.66576000000001</v>
      </c>
      <c r="V1059" s="577">
        <f t="shared" si="876"/>
        <v>123.66576000000001</v>
      </c>
      <c r="W1059" s="577">
        <f t="shared" si="876"/>
        <v>123.66576000000001</v>
      </c>
      <c r="X1059" s="577">
        <f t="shared" si="876"/>
        <v>123.66576000000001</v>
      </c>
      <c r="Y1059" s="577">
        <f t="shared" si="876"/>
        <v>123.66576000000001</v>
      </c>
      <c r="Z1059" s="577">
        <f t="shared" si="876"/>
        <v>123.66576000000001</v>
      </c>
      <c r="AA1059" s="577">
        <f t="shared" si="876"/>
        <v>123.66576000000001</v>
      </c>
      <c r="AB1059" s="577">
        <f t="shared" si="876"/>
        <v>123.66576000000001</v>
      </c>
      <c r="AC1059" s="577">
        <f t="shared" si="876"/>
        <v>123.66576000000001</v>
      </c>
      <c r="AD1059" s="577">
        <f t="shared" si="876"/>
        <v>123.66576000000001</v>
      </c>
      <c r="AE1059" s="577">
        <f t="shared" si="876"/>
        <v>123.66576000000001</v>
      </c>
      <c r="AF1059" s="577">
        <f t="shared" si="876"/>
        <v>123.66576000000001</v>
      </c>
      <c r="AH1059" s="578">
        <f>SUM(C1059:AF1059)</f>
        <v>3709.9727999999986</v>
      </c>
      <c r="AJ1059" s="579"/>
      <c r="AK1059" s="531"/>
      <c r="AM1059" s="594"/>
      <c r="AN1059" s="535"/>
      <c r="AP1059" s="568"/>
      <c r="AQ1059" s="568"/>
    </row>
    <row r="1060" spans="1:43" s="546" customFormat="1" ht="16.5" hidden="1" customHeight="1" outlineLevel="2">
      <c r="A1060" s="584"/>
      <c r="B1060" s="613" t="s">
        <v>927</v>
      </c>
      <c r="C1060" s="570">
        <f>C1061*(C1062+C1063+C1064+C1065)</f>
        <v>604.82999999999993</v>
      </c>
      <c r="D1060" s="570">
        <f t="shared" ref="D1060:AF1060" si="877">D1061*(D1062+D1063+D1064+D1065)</f>
        <v>604.82999999999993</v>
      </c>
      <c r="E1060" s="570">
        <f t="shared" si="877"/>
        <v>604.82999999999993</v>
      </c>
      <c r="F1060" s="570">
        <f t="shared" si="877"/>
        <v>604.82999999999993</v>
      </c>
      <c r="G1060" s="570">
        <f t="shared" si="877"/>
        <v>604.82999999999993</v>
      </c>
      <c r="H1060" s="570">
        <f t="shared" si="877"/>
        <v>604.82999999999993</v>
      </c>
      <c r="I1060" s="570">
        <f t="shared" si="877"/>
        <v>604.82999999999993</v>
      </c>
      <c r="J1060" s="570">
        <f t="shared" si="877"/>
        <v>604.82999999999993</v>
      </c>
      <c r="K1060" s="570">
        <f t="shared" si="877"/>
        <v>604.82999999999993</v>
      </c>
      <c r="L1060" s="570">
        <f t="shared" si="877"/>
        <v>604.82999999999993</v>
      </c>
      <c r="M1060" s="570">
        <f t="shared" si="877"/>
        <v>604.82999999999993</v>
      </c>
      <c r="N1060" s="570">
        <f t="shared" si="877"/>
        <v>604.82999999999993</v>
      </c>
      <c r="O1060" s="570">
        <f t="shared" si="877"/>
        <v>604.82999999999993</v>
      </c>
      <c r="P1060" s="570">
        <f t="shared" si="877"/>
        <v>604.82999999999993</v>
      </c>
      <c r="Q1060" s="570">
        <f t="shared" si="877"/>
        <v>604.82999999999993</v>
      </c>
      <c r="R1060" s="570">
        <f t="shared" si="877"/>
        <v>604.82999999999993</v>
      </c>
      <c r="S1060" s="570">
        <f t="shared" si="877"/>
        <v>604.82999999999993</v>
      </c>
      <c r="T1060" s="570">
        <f t="shared" si="877"/>
        <v>604.82999999999993</v>
      </c>
      <c r="U1060" s="570">
        <f t="shared" si="877"/>
        <v>604.82999999999993</v>
      </c>
      <c r="V1060" s="570">
        <f t="shared" si="877"/>
        <v>604.82999999999993</v>
      </c>
      <c r="W1060" s="570">
        <f t="shared" si="877"/>
        <v>604.82999999999993</v>
      </c>
      <c r="X1060" s="570">
        <f t="shared" si="877"/>
        <v>604.82999999999993</v>
      </c>
      <c r="Y1060" s="570">
        <f t="shared" si="877"/>
        <v>604.82999999999993</v>
      </c>
      <c r="Z1060" s="570">
        <f t="shared" si="877"/>
        <v>604.82999999999993</v>
      </c>
      <c r="AA1060" s="570">
        <f t="shared" si="877"/>
        <v>604.82999999999993</v>
      </c>
      <c r="AB1060" s="570">
        <f t="shared" si="877"/>
        <v>604.82999999999993</v>
      </c>
      <c r="AC1060" s="570">
        <f t="shared" si="877"/>
        <v>604.82999999999993</v>
      </c>
      <c r="AD1060" s="570">
        <f t="shared" si="877"/>
        <v>604.82999999999993</v>
      </c>
      <c r="AE1060" s="570">
        <f t="shared" si="877"/>
        <v>604.82999999999993</v>
      </c>
      <c r="AF1060" s="570">
        <f t="shared" si="877"/>
        <v>604.82999999999993</v>
      </c>
      <c r="AH1060" s="571"/>
      <c r="AK1060" s="531"/>
      <c r="AM1060" s="594"/>
      <c r="AN1060" s="535"/>
      <c r="AP1060" s="549"/>
      <c r="AQ1060" s="549"/>
    </row>
    <row r="1061" spans="1:43" s="513" customFormat="1" ht="16.5" hidden="1" customHeight="1" outlineLevel="2">
      <c r="A1061" s="584"/>
      <c r="B1061" s="572" t="s">
        <v>805</v>
      </c>
      <c r="C1061" s="573">
        <f t="shared" ref="C1061:AF1061" si="878">C1041</f>
        <v>1</v>
      </c>
      <c r="D1061" s="573">
        <f t="shared" si="878"/>
        <v>1</v>
      </c>
      <c r="E1061" s="573">
        <f t="shared" si="878"/>
        <v>1</v>
      </c>
      <c r="F1061" s="573">
        <f t="shared" si="878"/>
        <v>1</v>
      </c>
      <c r="G1061" s="573">
        <f t="shared" si="878"/>
        <v>1</v>
      </c>
      <c r="H1061" s="573">
        <f t="shared" si="878"/>
        <v>1</v>
      </c>
      <c r="I1061" s="573">
        <f t="shared" si="878"/>
        <v>1</v>
      </c>
      <c r="J1061" s="573">
        <f t="shared" si="878"/>
        <v>1</v>
      </c>
      <c r="K1061" s="573">
        <f t="shared" si="878"/>
        <v>1</v>
      </c>
      <c r="L1061" s="573">
        <f t="shared" si="878"/>
        <v>1</v>
      </c>
      <c r="M1061" s="573">
        <f t="shared" si="878"/>
        <v>1</v>
      </c>
      <c r="N1061" s="573">
        <f t="shared" si="878"/>
        <v>1</v>
      </c>
      <c r="O1061" s="573">
        <f t="shared" si="878"/>
        <v>1</v>
      </c>
      <c r="P1061" s="573">
        <f t="shared" si="878"/>
        <v>1</v>
      </c>
      <c r="Q1061" s="573">
        <f t="shared" si="878"/>
        <v>1</v>
      </c>
      <c r="R1061" s="573">
        <f t="shared" si="878"/>
        <v>1</v>
      </c>
      <c r="S1061" s="573">
        <f t="shared" si="878"/>
        <v>1</v>
      </c>
      <c r="T1061" s="573">
        <f t="shared" si="878"/>
        <v>1</v>
      </c>
      <c r="U1061" s="573">
        <f t="shared" si="878"/>
        <v>1</v>
      </c>
      <c r="V1061" s="573">
        <f t="shared" si="878"/>
        <v>1</v>
      </c>
      <c r="W1061" s="573">
        <f t="shared" si="878"/>
        <v>1</v>
      </c>
      <c r="X1061" s="573">
        <f t="shared" si="878"/>
        <v>1</v>
      </c>
      <c r="Y1061" s="573">
        <f t="shared" si="878"/>
        <v>1</v>
      </c>
      <c r="Z1061" s="573">
        <f t="shared" si="878"/>
        <v>1</v>
      </c>
      <c r="AA1061" s="573">
        <f t="shared" si="878"/>
        <v>1</v>
      </c>
      <c r="AB1061" s="573">
        <f t="shared" si="878"/>
        <v>1</v>
      </c>
      <c r="AC1061" s="573">
        <f t="shared" si="878"/>
        <v>1</v>
      </c>
      <c r="AD1061" s="573">
        <f t="shared" si="878"/>
        <v>1</v>
      </c>
      <c r="AE1061" s="573">
        <f t="shared" si="878"/>
        <v>1</v>
      </c>
      <c r="AF1061" s="573">
        <f t="shared" si="878"/>
        <v>1</v>
      </c>
      <c r="AH1061" s="538"/>
      <c r="AK1061" s="719"/>
      <c r="AM1061" s="594"/>
      <c r="AN1061" s="535"/>
      <c r="AP1061" s="540"/>
      <c r="AQ1061" s="540"/>
    </row>
    <row r="1062" spans="1:43" s="513" customFormat="1" ht="16.5" hidden="1" customHeight="1" outlineLevel="2">
      <c r="A1062" s="584"/>
      <c r="B1062" s="572" t="s">
        <v>940</v>
      </c>
      <c r="C1062" s="592">
        <f>'Sal._benef.'!$I$24</f>
        <v>500</v>
      </c>
      <c r="D1062" s="592">
        <f>C1062</f>
        <v>500</v>
      </c>
      <c r="E1062" s="592">
        <f t="shared" ref="E1062:T1065" si="879">D1062</f>
        <v>500</v>
      </c>
      <c r="F1062" s="592">
        <f t="shared" si="879"/>
        <v>500</v>
      </c>
      <c r="G1062" s="592">
        <f t="shared" si="879"/>
        <v>500</v>
      </c>
      <c r="H1062" s="592">
        <f t="shared" si="879"/>
        <v>500</v>
      </c>
      <c r="I1062" s="592">
        <f t="shared" si="879"/>
        <v>500</v>
      </c>
      <c r="J1062" s="592">
        <f t="shared" si="879"/>
        <v>500</v>
      </c>
      <c r="K1062" s="592">
        <f t="shared" si="879"/>
        <v>500</v>
      </c>
      <c r="L1062" s="592">
        <f t="shared" si="879"/>
        <v>500</v>
      </c>
      <c r="M1062" s="592">
        <f t="shared" si="879"/>
        <v>500</v>
      </c>
      <c r="N1062" s="592">
        <f t="shared" si="879"/>
        <v>500</v>
      </c>
      <c r="O1062" s="592">
        <f t="shared" si="879"/>
        <v>500</v>
      </c>
      <c r="P1062" s="592">
        <f t="shared" si="879"/>
        <v>500</v>
      </c>
      <c r="Q1062" s="592">
        <f t="shared" si="879"/>
        <v>500</v>
      </c>
      <c r="R1062" s="592">
        <f t="shared" si="879"/>
        <v>500</v>
      </c>
      <c r="S1062" s="592">
        <f t="shared" si="879"/>
        <v>500</v>
      </c>
      <c r="T1062" s="592">
        <f t="shared" si="879"/>
        <v>500</v>
      </c>
      <c r="U1062" s="592">
        <f t="shared" ref="U1062:AF1065" si="880">T1062</f>
        <v>500</v>
      </c>
      <c r="V1062" s="592">
        <f t="shared" si="880"/>
        <v>500</v>
      </c>
      <c r="W1062" s="592">
        <f t="shared" si="880"/>
        <v>500</v>
      </c>
      <c r="X1062" s="592">
        <f t="shared" si="880"/>
        <v>500</v>
      </c>
      <c r="Y1062" s="592">
        <f t="shared" si="880"/>
        <v>500</v>
      </c>
      <c r="Z1062" s="592">
        <f t="shared" si="880"/>
        <v>500</v>
      </c>
      <c r="AA1062" s="592">
        <f t="shared" si="880"/>
        <v>500</v>
      </c>
      <c r="AB1062" s="592">
        <f t="shared" si="880"/>
        <v>500</v>
      </c>
      <c r="AC1062" s="592">
        <f t="shared" si="880"/>
        <v>500</v>
      </c>
      <c r="AD1062" s="592">
        <f t="shared" si="880"/>
        <v>500</v>
      </c>
      <c r="AE1062" s="592">
        <f t="shared" si="880"/>
        <v>500</v>
      </c>
      <c r="AF1062" s="592">
        <f t="shared" si="880"/>
        <v>500</v>
      </c>
      <c r="AH1062" s="538"/>
      <c r="AK1062" s="531"/>
      <c r="AM1062" s="594"/>
      <c r="AN1062" s="535"/>
      <c r="AP1062" s="540"/>
      <c r="AQ1062" s="540"/>
    </row>
    <row r="1063" spans="1:43" s="513" customFormat="1" ht="16.5" hidden="1" customHeight="1" outlineLevel="2">
      <c r="A1063" s="584"/>
      <c r="B1063" s="572" t="s">
        <v>941</v>
      </c>
      <c r="C1063" s="592">
        <f>'Sal._benef.'!$K$24</f>
        <v>5.53</v>
      </c>
      <c r="D1063" s="592">
        <f>C1063</f>
        <v>5.53</v>
      </c>
      <c r="E1063" s="592">
        <f t="shared" si="879"/>
        <v>5.53</v>
      </c>
      <c r="F1063" s="592">
        <f t="shared" si="879"/>
        <v>5.53</v>
      </c>
      <c r="G1063" s="592">
        <f t="shared" si="879"/>
        <v>5.53</v>
      </c>
      <c r="H1063" s="592">
        <f t="shared" si="879"/>
        <v>5.53</v>
      </c>
      <c r="I1063" s="592">
        <f t="shared" si="879"/>
        <v>5.53</v>
      </c>
      <c r="J1063" s="592">
        <f t="shared" si="879"/>
        <v>5.53</v>
      </c>
      <c r="K1063" s="592">
        <f t="shared" si="879"/>
        <v>5.53</v>
      </c>
      <c r="L1063" s="592">
        <f t="shared" si="879"/>
        <v>5.53</v>
      </c>
      <c r="M1063" s="592">
        <f t="shared" si="879"/>
        <v>5.53</v>
      </c>
      <c r="N1063" s="592">
        <f t="shared" si="879"/>
        <v>5.53</v>
      </c>
      <c r="O1063" s="592">
        <f t="shared" si="879"/>
        <v>5.53</v>
      </c>
      <c r="P1063" s="592">
        <f t="shared" si="879"/>
        <v>5.53</v>
      </c>
      <c r="Q1063" s="592">
        <f t="shared" si="879"/>
        <v>5.53</v>
      </c>
      <c r="R1063" s="592">
        <f t="shared" si="879"/>
        <v>5.53</v>
      </c>
      <c r="S1063" s="592">
        <f t="shared" si="879"/>
        <v>5.53</v>
      </c>
      <c r="T1063" s="592">
        <f t="shared" si="879"/>
        <v>5.53</v>
      </c>
      <c r="U1063" s="592">
        <f t="shared" si="880"/>
        <v>5.53</v>
      </c>
      <c r="V1063" s="592">
        <f t="shared" si="880"/>
        <v>5.53</v>
      </c>
      <c r="W1063" s="592">
        <f t="shared" si="880"/>
        <v>5.53</v>
      </c>
      <c r="X1063" s="592">
        <f t="shared" si="880"/>
        <v>5.53</v>
      </c>
      <c r="Y1063" s="592">
        <f t="shared" si="880"/>
        <v>5.53</v>
      </c>
      <c r="Z1063" s="592">
        <f t="shared" si="880"/>
        <v>5.53</v>
      </c>
      <c r="AA1063" s="592">
        <f t="shared" si="880"/>
        <v>5.53</v>
      </c>
      <c r="AB1063" s="592">
        <f t="shared" si="880"/>
        <v>5.53</v>
      </c>
      <c r="AC1063" s="592">
        <f t="shared" si="880"/>
        <v>5.53</v>
      </c>
      <c r="AD1063" s="592">
        <f t="shared" si="880"/>
        <v>5.53</v>
      </c>
      <c r="AE1063" s="592">
        <f t="shared" si="880"/>
        <v>5.53</v>
      </c>
      <c r="AF1063" s="592">
        <f t="shared" si="880"/>
        <v>5.53</v>
      </c>
      <c r="AH1063" s="538"/>
      <c r="AK1063" s="531"/>
      <c r="AM1063" s="594"/>
      <c r="AN1063" s="535"/>
      <c r="AP1063" s="540"/>
      <c r="AQ1063" s="540"/>
    </row>
    <row r="1064" spans="1:43" s="513" customFormat="1" ht="16.5" hidden="1" customHeight="1" outlineLevel="2">
      <c r="A1064" s="584"/>
      <c r="B1064" s="572" t="s">
        <v>942</v>
      </c>
      <c r="C1064" s="592">
        <f>'Sal._benef.'!$J$24</f>
        <v>99.300000000000011</v>
      </c>
      <c r="D1064" s="592">
        <f>C1064</f>
        <v>99.300000000000011</v>
      </c>
      <c r="E1064" s="592">
        <f t="shared" si="879"/>
        <v>99.300000000000011</v>
      </c>
      <c r="F1064" s="592">
        <f t="shared" si="879"/>
        <v>99.300000000000011</v>
      </c>
      <c r="G1064" s="592">
        <f t="shared" si="879"/>
        <v>99.300000000000011</v>
      </c>
      <c r="H1064" s="592">
        <f t="shared" si="879"/>
        <v>99.300000000000011</v>
      </c>
      <c r="I1064" s="592">
        <f t="shared" si="879"/>
        <v>99.300000000000011</v>
      </c>
      <c r="J1064" s="592">
        <f t="shared" si="879"/>
        <v>99.300000000000011</v>
      </c>
      <c r="K1064" s="592">
        <f t="shared" si="879"/>
        <v>99.300000000000011</v>
      </c>
      <c r="L1064" s="592">
        <f t="shared" si="879"/>
        <v>99.300000000000011</v>
      </c>
      <c r="M1064" s="592">
        <f t="shared" si="879"/>
        <v>99.300000000000011</v>
      </c>
      <c r="N1064" s="592">
        <f t="shared" si="879"/>
        <v>99.300000000000011</v>
      </c>
      <c r="O1064" s="592">
        <f t="shared" si="879"/>
        <v>99.300000000000011</v>
      </c>
      <c r="P1064" s="592">
        <f t="shared" si="879"/>
        <v>99.300000000000011</v>
      </c>
      <c r="Q1064" s="592">
        <f t="shared" si="879"/>
        <v>99.300000000000011</v>
      </c>
      <c r="R1064" s="592">
        <f t="shared" si="879"/>
        <v>99.300000000000011</v>
      </c>
      <c r="S1064" s="592">
        <f t="shared" si="879"/>
        <v>99.300000000000011</v>
      </c>
      <c r="T1064" s="592">
        <f t="shared" si="879"/>
        <v>99.300000000000011</v>
      </c>
      <c r="U1064" s="592">
        <f t="shared" si="880"/>
        <v>99.300000000000011</v>
      </c>
      <c r="V1064" s="592">
        <f t="shared" si="880"/>
        <v>99.300000000000011</v>
      </c>
      <c r="W1064" s="592">
        <f t="shared" si="880"/>
        <v>99.300000000000011</v>
      </c>
      <c r="X1064" s="592">
        <f t="shared" si="880"/>
        <v>99.300000000000011</v>
      </c>
      <c r="Y1064" s="592">
        <f t="shared" si="880"/>
        <v>99.300000000000011</v>
      </c>
      <c r="Z1064" s="592">
        <f t="shared" si="880"/>
        <v>99.300000000000011</v>
      </c>
      <c r="AA1064" s="592">
        <f t="shared" si="880"/>
        <v>99.300000000000011</v>
      </c>
      <c r="AB1064" s="592">
        <f t="shared" si="880"/>
        <v>99.300000000000011</v>
      </c>
      <c r="AC1064" s="592">
        <f t="shared" si="880"/>
        <v>99.300000000000011</v>
      </c>
      <c r="AD1064" s="592">
        <f t="shared" si="880"/>
        <v>99.300000000000011</v>
      </c>
      <c r="AE1064" s="592">
        <f t="shared" si="880"/>
        <v>99.300000000000011</v>
      </c>
      <c r="AF1064" s="592">
        <f t="shared" si="880"/>
        <v>99.300000000000011</v>
      </c>
      <c r="AH1064" s="538"/>
      <c r="AK1064" s="531"/>
      <c r="AM1064" s="594"/>
      <c r="AN1064" s="535"/>
      <c r="AP1064" s="540"/>
      <c r="AQ1064" s="540"/>
    </row>
    <row r="1065" spans="1:43" s="513" customFormat="1" ht="16.5" hidden="1" customHeight="1" outlineLevel="2">
      <c r="A1065" s="584"/>
      <c r="B1065" s="572" t="s">
        <v>862</v>
      </c>
      <c r="C1065" s="592">
        <v>0</v>
      </c>
      <c r="D1065" s="592">
        <f t="shared" ref="D1065" si="881">C1065</f>
        <v>0</v>
      </c>
      <c r="E1065" s="592">
        <f t="shared" si="879"/>
        <v>0</v>
      </c>
      <c r="F1065" s="592">
        <f t="shared" si="879"/>
        <v>0</v>
      </c>
      <c r="G1065" s="592">
        <f t="shared" si="879"/>
        <v>0</v>
      </c>
      <c r="H1065" s="592">
        <f t="shared" si="879"/>
        <v>0</v>
      </c>
      <c r="I1065" s="592">
        <f t="shared" si="879"/>
        <v>0</v>
      </c>
      <c r="J1065" s="592">
        <f t="shared" si="879"/>
        <v>0</v>
      </c>
      <c r="K1065" s="592">
        <f t="shared" si="879"/>
        <v>0</v>
      </c>
      <c r="L1065" s="592">
        <f t="shared" si="879"/>
        <v>0</v>
      </c>
      <c r="M1065" s="592">
        <f t="shared" si="879"/>
        <v>0</v>
      </c>
      <c r="N1065" s="592">
        <f t="shared" si="879"/>
        <v>0</v>
      </c>
      <c r="O1065" s="592">
        <f t="shared" si="879"/>
        <v>0</v>
      </c>
      <c r="P1065" s="592">
        <f t="shared" si="879"/>
        <v>0</v>
      </c>
      <c r="Q1065" s="592">
        <f t="shared" si="879"/>
        <v>0</v>
      </c>
      <c r="R1065" s="592">
        <f t="shared" si="879"/>
        <v>0</v>
      </c>
      <c r="S1065" s="592">
        <f t="shared" si="879"/>
        <v>0</v>
      </c>
      <c r="T1065" s="592">
        <f t="shared" si="879"/>
        <v>0</v>
      </c>
      <c r="U1065" s="592">
        <f t="shared" si="880"/>
        <v>0</v>
      </c>
      <c r="V1065" s="592">
        <f t="shared" si="880"/>
        <v>0</v>
      </c>
      <c r="W1065" s="592">
        <f t="shared" si="880"/>
        <v>0</v>
      </c>
      <c r="X1065" s="592">
        <f t="shared" si="880"/>
        <v>0</v>
      </c>
      <c r="Y1065" s="592">
        <f t="shared" si="880"/>
        <v>0</v>
      </c>
      <c r="Z1065" s="592">
        <f t="shared" si="880"/>
        <v>0</v>
      </c>
      <c r="AA1065" s="592">
        <f t="shared" si="880"/>
        <v>0</v>
      </c>
      <c r="AB1065" s="592">
        <f t="shared" si="880"/>
        <v>0</v>
      </c>
      <c r="AC1065" s="592">
        <f t="shared" si="880"/>
        <v>0</v>
      </c>
      <c r="AD1065" s="592">
        <f t="shared" si="880"/>
        <v>0</v>
      </c>
      <c r="AE1065" s="592">
        <f t="shared" si="880"/>
        <v>0</v>
      </c>
      <c r="AF1065" s="592">
        <f t="shared" si="880"/>
        <v>0</v>
      </c>
      <c r="AH1065" s="538"/>
      <c r="AK1065" s="531"/>
      <c r="AM1065" s="594"/>
      <c r="AN1065" s="535"/>
      <c r="AP1065" s="540"/>
      <c r="AQ1065" s="540"/>
    </row>
    <row r="1066" spans="1:43" s="546" customFormat="1" ht="16.5" hidden="1" customHeight="1" outlineLevel="2">
      <c r="A1066" s="584"/>
      <c r="B1066" s="613" t="s">
        <v>959</v>
      </c>
      <c r="C1066" s="570">
        <f>C1067*(C1068+C1069+C1070+C1071)</f>
        <v>9700.6500000000015</v>
      </c>
      <c r="D1066" s="570">
        <f t="shared" ref="D1066:AF1066" si="882">D1067*(D1068+D1069+D1070+D1071)</f>
        <v>9700.6500000000015</v>
      </c>
      <c r="E1066" s="570">
        <f t="shared" si="882"/>
        <v>9700.6500000000015</v>
      </c>
      <c r="F1066" s="570">
        <f t="shared" si="882"/>
        <v>9700.6500000000015</v>
      </c>
      <c r="G1066" s="570">
        <f t="shared" si="882"/>
        <v>9700.6500000000015</v>
      </c>
      <c r="H1066" s="570">
        <f t="shared" si="882"/>
        <v>9700.6500000000015</v>
      </c>
      <c r="I1066" s="570">
        <f t="shared" si="882"/>
        <v>9700.6500000000015</v>
      </c>
      <c r="J1066" s="570">
        <f t="shared" si="882"/>
        <v>9700.6500000000015</v>
      </c>
      <c r="K1066" s="570">
        <f t="shared" si="882"/>
        <v>9700.6500000000015</v>
      </c>
      <c r="L1066" s="570">
        <f t="shared" si="882"/>
        <v>9700.6500000000015</v>
      </c>
      <c r="M1066" s="570">
        <f t="shared" si="882"/>
        <v>9700.6500000000015</v>
      </c>
      <c r="N1066" s="570">
        <f t="shared" si="882"/>
        <v>9700.6500000000015</v>
      </c>
      <c r="O1066" s="570">
        <f t="shared" si="882"/>
        <v>9700.6500000000015</v>
      </c>
      <c r="P1066" s="570">
        <f t="shared" si="882"/>
        <v>9700.6500000000015</v>
      </c>
      <c r="Q1066" s="570">
        <f t="shared" si="882"/>
        <v>9700.6500000000015</v>
      </c>
      <c r="R1066" s="570">
        <f t="shared" si="882"/>
        <v>9700.6500000000015</v>
      </c>
      <c r="S1066" s="570">
        <f t="shared" si="882"/>
        <v>9700.6500000000015</v>
      </c>
      <c r="T1066" s="570">
        <f t="shared" si="882"/>
        <v>9700.6500000000015</v>
      </c>
      <c r="U1066" s="570">
        <f t="shared" si="882"/>
        <v>9700.6500000000015</v>
      </c>
      <c r="V1066" s="570">
        <f t="shared" si="882"/>
        <v>9700.6500000000015</v>
      </c>
      <c r="W1066" s="570">
        <f t="shared" si="882"/>
        <v>9700.6500000000015</v>
      </c>
      <c r="X1066" s="570">
        <f t="shared" si="882"/>
        <v>9700.6500000000015</v>
      </c>
      <c r="Y1066" s="570">
        <f t="shared" si="882"/>
        <v>9700.6500000000015</v>
      </c>
      <c r="Z1066" s="570">
        <f t="shared" si="882"/>
        <v>9700.6500000000015</v>
      </c>
      <c r="AA1066" s="570">
        <f t="shared" si="882"/>
        <v>9700.6500000000015</v>
      </c>
      <c r="AB1066" s="570">
        <f t="shared" si="882"/>
        <v>9700.6500000000015</v>
      </c>
      <c r="AC1066" s="570">
        <f t="shared" si="882"/>
        <v>9700.6500000000015</v>
      </c>
      <c r="AD1066" s="570">
        <f t="shared" si="882"/>
        <v>9700.6500000000015</v>
      </c>
      <c r="AE1066" s="570">
        <f t="shared" si="882"/>
        <v>9700.6500000000015</v>
      </c>
      <c r="AF1066" s="570">
        <f t="shared" si="882"/>
        <v>9700.6500000000015</v>
      </c>
      <c r="AH1066" s="571"/>
      <c r="AK1066" s="531"/>
      <c r="AM1066" s="594"/>
      <c r="AN1066" s="535"/>
      <c r="AP1066" s="549"/>
      <c r="AQ1066" s="549"/>
    </row>
    <row r="1067" spans="1:43" s="513" customFormat="1" ht="16.5" hidden="1" customHeight="1" outlineLevel="2">
      <c r="A1067" s="584"/>
      <c r="B1067" s="572" t="s">
        <v>805</v>
      </c>
      <c r="C1067" s="573">
        <f t="shared" ref="C1067:AF1067" si="883">C1048</f>
        <v>15</v>
      </c>
      <c r="D1067" s="573">
        <f t="shared" si="883"/>
        <v>15</v>
      </c>
      <c r="E1067" s="573">
        <f t="shared" si="883"/>
        <v>15</v>
      </c>
      <c r="F1067" s="573">
        <f t="shared" si="883"/>
        <v>15</v>
      </c>
      <c r="G1067" s="573">
        <f t="shared" si="883"/>
        <v>15</v>
      </c>
      <c r="H1067" s="573">
        <f t="shared" si="883"/>
        <v>15</v>
      </c>
      <c r="I1067" s="573">
        <f t="shared" si="883"/>
        <v>15</v>
      </c>
      <c r="J1067" s="573">
        <f t="shared" si="883"/>
        <v>15</v>
      </c>
      <c r="K1067" s="573">
        <f t="shared" si="883"/>
        <v>15</v>
      </c>
      <c r="L1067" s="573">
        <f t="shared" si="883"/>
        <v>15</v>
      </c>
      <c r="M1067" s="573">
        <f t="shared" si="883"/>
        <v>15</v>
      </c>
      <c r="N1067" s="573">
        <f t="shared" si="883"/>
        <v>15</v>
      </c>
      <c r="O1067" s="573">
        <f t="shared" si="883"/>
        <v>15</v>
      </c>
      <c r="P1067" s="573">
        <f t="shared" si="883"/>
        <v>15</v>
      </c>
      <c r="Q1067" s="573">
        <f t="shared" si="883"/>
        <v>15</v>
      </c>
      <c r="R1067" s="573">
        <f t="shared" si="883"/>
        <v>15</v>
      </c>
      <c r="S1067" s="573">
        <f t="shared" si="883"/>
        <v>15</v>
      </c>
      <c r="T1067" s="573">
        <f t="shared" si="883"/>
        <v>15</v>
      </c>
      <c r="U1067" s="573">
        <f t="shared" si="883"/>
        <v>15</v>
      </c>
      <c r="V1067" s="573">
        <f t="shared" si="883"/>
        <v>15</v>
      </c>
      <c r="W1067" s="573">
        <f t="shared" si="883"/>
        <v>15</v>
      </c>
      <c r="X1067" s="573">
        <f t="shared" si="883"/>
        <v>15</v>
      </c>
      <c r="Y1067" s="573">
        <f t="shared" si="883"/>
        <v>15</v>
      </c>
      <c r="Z1067" s="573">
        <f t="shared" si="883"/>
        <v>15</v>
      </c>
      <c r="AA1067" s="573">
        <f t="shared" si="883"/>
        <v>15</v>
      </c>
      <c r="AB1067" s="573">
        <f t="shared" si="883"/>
        <v>15</v>
      </c>
      <c r="AC1067" s="573">
        <f t="shared" si="883"/>
        <v>15</v>
      </c>
      <c r="AD1067" s="573">
        <f t="shared" si="883"/>
        <v>15</v>
      </c>
      <c r="AE1067" s="573">
        <f t="shared" si="883"/>
        <v>15</v>
      </c>
      <c r="AF1067" s="573">
        <f t="shared" si="883"/>
        <v>15</v>
      </c>
      <c r="AH1067" s="538"/>
      <c r="AK1067" s="719"/>
      <c r="AM1067" s="594"/>
      <c r="AN1067" s="535"/>
      <c r="AP1067" s="540"/>
      <c r="AQ1067" s="540"/>
    </row>
    <row r="1068" spans="1:43" s="513" customFormat="1" ht="16.5" hidden="1" customHeight="1" outlineLevel="2">
      <c r="A1068" s="584"/>
      <c r="B1068" s="572" t="s">
        <v>940</v>
      </c>
      <c r="C1068" s="592">
        <f>'Sal._benef.'!$I$27</f>
        <v>500</v>
      </c>
      <c r="D1068" s="592">
        <f>C1068</f>
        <v>500</v>
      </c>
      <c r="E1068" s="592">
        <f t="shared" ref="E1068:T1071" si="884">D1068</f>
        <v>500</v>
      </c>
      <c r="F1068" s="592">
        <f t="shared" si="884"/>
        <v>500</v>
      </c>
      <c r="G1068" s="592">
        <f t="shared" si="884"/>
        <v>500</v>
      </c>
      <c r="H1068" s="592">
        <f t="shared" si="884"/>
        <v>500</v>
      </c>
      <c r="I1068" s="592">
        <f t="shared" si="884"/>
        <v>500</v>
      </c>
      <c r="J1068" s="592">
        <f t="shared" si="884"/>
        <v>500</v>
      </c>
      <c r="K1068" s="592">
        <f t="shared" si="884"/>
        <v>500</v>
      </c>
      <c r="L1068" s="592">
        <f t="shared" si="884"/>
        <v>500</v>
      </c>
      <c r="M1068" s="592">
        <f t="shared" si="884"/>
        <v>500</v>
      </c>
      <c r="N1068" s="592">
        <f t="shared" si="884"/>
        <v>500</v>
      </c>
      <c r="O1068" s="592">
        <f t="shared" si="884"/>
        <v>500</v>
      </c>
      <c r="P1068" s="592">
        <f t="shared" si="884"/>
        <v>500</v>
      </c>
      <c r="Q1068" s="592">
        <f t="shared" si="884"/>
        <v>500</v>
      </c>
      <c r="R1068" s="592">
        <f t="shared" si="884"/>
        <v>500</v>
      </c>
      <c r="S1068" s="592">
        <f t="shared" si="884"/>
        <v>500</v>
      </c>
      <c r="T1068" s="592">
        <f t="shared" si="884"/>
        <v>500</v>
      </c>
      <c r="U1068" s="592">
        <f t="shared" ref="U1068:AF1071" si="885">T1068</f>
        <v>500</v>
      </c>
      <c r="V1068" s="592">
        <f t="shared" si="885"/>
        <v>500</v>
      </c>
      <c r="W1068" s="592">
        <f t="shared" si="885"/>
        <v>500</v>
      </c>
      <c r="X1068" s="592">
        <f t="shared" si="885"/>
        <v>500</v>
      </c>
      <c r="Y1068" s="592">
        <f t="shared" si="885"/>
        <v>500</v>
      </c>
      <c r="Z1068" s="592">
        <f t="shared" si="885"/>
        <v>500</v>
      </c>
      <c r="AA1068" s="592">
        <f t="shared" si="885"/>
        <v>500</v>
      </c>
      <c r="AB1068" s="592">
        <f t="shared" si="885"/>
        <v>500</v>
      </c>
      <c r="AC1068" s="592">
        <f t="shared" si="885"/>
        <v>500</v>
      </c>
      <c r="AD1068" s="592">
        <f t="shared" si="885"/>
        <v>500</v>
      </c>
      <c r="AE1068" s="592">
        <f t="shared" si="885"/>
        <v>500</v>
      </c>
      <c r="AF1068" s="592">
        <f t="shared" si="885"/>
        <v>500</v>
      </c>
      <c r="AH1068" s="538"/>
      <c r="AK1068" s="531"/>
      <c r="AM1068" s="594"/>
      <c r="AN1068" s="535"/>
      <c r="AP1068" s="540"/>
      <c r="AQ1068" s="540"/>
    </row>
    <row r="1069" spans="1:43" s="513" customFormat="1" ht="16.5" hidden="1" customHeight="1" outlineLevel="2">
      <c r="A1069" s="584"/>
      <c r="B1069" s="572" t="s">
        <v>941</v>
      </c>
      <c r="C1069" s="592">
        <f>'Sal._benef.'!$K$27</f>
        <v>5.53</v>
      </c>
      <c r="D1069" s="592">
        <f>C1069</f>
        <v>5.53</v>
      </c>
      <c r="E1069" s="592">
        <f t="shared" si="884"/>
        <v>5.53</v>
      </c>
      <c r="F1069" s="592">
        <f t="shared" si="884"/>
        <v>5.53</v>
      </c>
      <c r="G1069" s="592">
        <f t="shared" si="884"/>
        <v>5.53</v>
      </c>
      <c r="H1069" s="592">
        <f t="shared" si="884"/>
        <v>5.53</v>
      </c>
      <c r="I1069" s="592">
        <f t="shared" si="884"/>
        <v>5.53</v>
      </c>
      <c r="J1069" s="592">
        <f t="shared" si="884"/>
        <v>5.53</v>
      </c>
      <c r="K1069" s="592">
        <f t="shared" si="884"/>
        <v>5.53</v>
      </c>
      <c r="L1069" s="592">
        <f t="shared" si="884"/>
        <v>5.53</v>
      </c>
      <c r="M1069" s="592">
        <f t="shared" si="884"/>
        <v>5.53</v>
      </c>
      <c r="N1069" s="592">
        <f t="shared" si="884"/>
        <v>5.53</v>
      </c>
      <c r="O1069" s="592">
        <f t="shared" si="884"/>
        <v>5.53</v>
      </c>
      <c r="P1069" s="592">
        <f t="shared" si="884"/>
        <v>5.53</v>
      </c>
      <c r="Q1069" s="592">
        <f t="shared" si="884"/>
        <v>5.53</v>
      </c>
      <c r="R1069" s="592">
        <f t="shared" si="884"/>
        <v>5.53</v>
      </c>
      <c r="S1069" s="592">
        <f t="shared" si="884"/>
        <v>5.53</v>
      </c>
      <c r="T1069" s="592">
        <f t="shared" si="884"/>
        <v>5.53</v>
      </c>
      <c r="U1069" s="592">
        <f t="shared" si="885"/>
        <v>5.53</v>
      </c>
      <c r="V1069" s="592">
        <f t="shared" si="885"/>
        <v>5.53</v>
      </c>
      <c r="W1069" s="592">
        <f t="shared" si="885"/>
        <v>5.53</v>
      </c>
      <c r="X1069" s="592">
        <f t="shared" si="885"/>
        <v>5.53</v>
      </c>
      <c r="Y1069" s="592">
        <f t="shared" si="885"/>
        <v>5.53</v>
      </c>
      <c r="Z1069" s="592">
        <f t="shared" si="885"/>
        <v>5.53</v>
      </c>
      <c r="AA1069" s="592">
        <f t="shared" si="885"/>
        <v>5.53</v>
      </c>
      <c r="AB1069" s="592">
        <f t="shared" si="885"/>
        <v>5.53</v>
      </c>
      <c r="AC1069" s="592">
        <f t="shared" si="885"/>
        <v>5.53</v>
      </c>
      <c r="AD1069" s="592">
        <f t="shared" si="885"/>
        <v>5.53</v>
      </c>
      <c r="AE1069" s="592">
        <f t="shared" si="885"/>
        <v>5.53</v>
      </c>
      <c r="AF1069" s="592">
        <f t="shared" si="885"/>
        <v>5.53</v>
      </c>
      <c r="AH1069" s="538"/>
      <c r="AK1069" s="531"/>
      <c r="AM1069" s="594"/>
      <c r="AN1069" s="535"/>
      <c r="AP1069" s="540"/>
      <c r="AQ1069" s="540"/>
    </row>
    <row r="1070" spans="1:43" s="513" customFormat="1" ht="16.5" hidden="1" customHeight="1" outlineLevel="2">
      <c r="A1070" s="584"/>
      <c r="B1070" s="572" t="s">
        <v>942</v>
      </c>
      <c r="C1070" s="592">
        <f>'Sal._benef.'!$J$27</f>
        <v>141.18</v>
      </c>
      <c r="D1070" s="592">
        <f>C1070</f>
        <v>141.18</v>
      </c>
      <c r="E1070" s="592">
        <f t="shared" si="884"/>
        <v>141.18</v>
      </c>
      <c r="F1070" s="592">
        <f t="shared" si="884"/>
        <v>141.18</v>
      </c>
      <c r="G1070" s="592">
        <f t="shared" si="884"/>
        <v>141.18</v>
      </c>
      <c r="H1070" s="592">
        <f t="shared" si="884"/>
        <v>141.18</v>
      </c>
      <c r="I1070" s="592">
        <f t="shared" si="884"/>
        <v>141.18</v>
      </c>
      <c r="J1070" s="592">
        <f t="shared" si="884"/>
        <v>141.18</v>
      </c>
      <c r="K1070" s="592">
        <f t="shared" si="884"/>
        <v>141.18</v>
      </c>
      <c r="L1070" s="592">
        <f t="shared" si="884"/>
        <v>141.18</v>
      </c>
      <c r="M1070" s="592">
        <f t="shared" si="884"/>
        <v>141.18</v>
      </c>
      <c r="N1070" s="592">
        <f t="shared" si="884"/>
        <v>141.18</v>
      </c>
      <c r="O1070" s="592">
        <f t="shared" si="884"/>
        <v>141.18</v>
      </c>
      <c r="P1070" s="592">
        <f t="shared" si="884"/>
        <v>141.18</v>
      </c>
      <c r="Q1070" s="592">
        <f t="shared" si="884"/>
        <v>141.18</v>
      </c>
      <c r="R1070" s="592">
        <f t="shared" si="884"/>
        <v>141.18</v>
      </c>
      <c r="S1070" s="592">
        <f t="shared" si="884"/>
        <v>141.18</v>
      </c>
      <c r="T1070" s="592">
        <f t="shared" si="884"/>
        <v>141.18</v>
      </c>
      <c r="U1070" s="592">
        <f t="shared" si="885"/>
        <v>141.18</v>
      </c>
      <c r="V1070" s="592">
        <f t="shared" si="885"/>
        <v>141.18</v>
      </c>
      <c r="W1070" s="592">
        <f t="shared" si="885"/>
        <v>141.18</v>
      </c>
      <c r="X1070" s="592">
        <f t="shared" si="885"/>
        <v>141.18</v>
      </c>
      <c r="Y1070" s="592">
        <f t="shared" si="885"/>
        <v>141.18</v>
      </c>
      <c r="Z1070" s="592">
        <f t="shared" si="885"/>
        <v>141.18</v>
      </c>
      <c r="AA1070" s="592">
        <f t="shared" si="885"/>
        <v>141.18</v>
      </c>
      <c r="AB1070" s="592">
        <f t="shared" si="885"/>
        <v>141.18</v>
      </c>
      <c r="AC1070" s="592">
        <f t="shared" si="885"/>
        <v>141.18</v>
      </c>
      <c r="AD1070" s="592">
        <f t="shared" si="885"/>
        <v>141.18</v>
      </c>
      <c r="AE1070" s="592">
        <f t="shared" si="885"/>
        <v>141.18</v>
      </c>
      <c r="AF1070" s="592">
        <f t="shared" si="885"/>
        <v>141.18</v>
      </c>
      <c r="AH1070" s="538"/>
      <c r="AK1070" s="531"/>
      <c r="AM1070" s="594"/>
      <c r="AN1070" s="535"/>
      <c r="AP1070" s="540"/>
      <c r="AQ1070" s="540"/>
    </row>
    <row r="1071" spans="1:43" s="513" customFormat="1" ht="16.5" hidden="1" customHeight="1" outlineLevel="2">
      <c r="A1071" s="584"/>
      <c r="B1071" s="572" t="s">
        <v>862</v>
      </c>
      <c r="C1071" s="592">
        <v>0</v>
      </c>
      <c r="D1071" s="592">
        <f t="shared" ref="D1071" si="886">C1071</f>
        <v>0</v>
      </c>
      <c r="E1071" s="592">
        <f t="shared" si="884"/>
        <v>0</v>
      </c>
      <c r="F1071" s="592">
        <f t="shared" si="884"/>
        <v>0</v>
      </c>
      <c r="G1071" s="592">
        <f t="shared" si="884"/>
        <v>0</v>
      </c>
      <c r="H1071" s="592">
        <f t="shared" si="884"/>
        <v>0</v>
      </c>
      <c r="I1071" s="592">
        <f t="shared" si="884"/>
        <v>0</v>
      </c>
      <c r="J1071" s="592">
        <f t="shared" si="884"/>
        <v>0</v>
      </c>
      <c r="K1071" s="592">
        <f t="shared" si="884"/>
        <v>0</v>
      </c>
      <c r="L1071" s="592">
        <f t="shared" si="884"/>
        <v>0</v>
      </c>
      <c r="M1071" s="592">
        <f t="shared" si="884"/>
        <v>0</v>
      </c>
      <c r="N1071" s="592">
        <f t="shared" si="884"/>
        <v>0</v>
      </c>
      <c r="O1071" s="592">
        <f t="shared" si="884"/>
        <v>0</v>
      </c>
      <c r="P1071" s="592">
        <f t="shared" si="884"/>
        <v>0</v>
      </c>
      <c r="Q1071" s="592">
        <f t="shared" si="884"/>
        <v>0</v>
      </c>
      <c r="R1071" s="592">
        <f t="shared" si="884"/>
        <v>0</v>
      </c>
      <c r="S1071" s="592">
        <f t="shared" si="884"/>
        <v>0</v>
      </c>
      <c r="T1071" s="592">
        <f t="shared" si="884"/>
        <v>0</v>
      </c>
      <c r="U1071" s="592">
        <f t="shared" si="885"/>
        <v>0</v>
      </c>
      <c r="V1071" s="592">
        <f t="shared" si="885"/>
        <v>0</v>
      </c>
      <c r="W1071" s="592">
        <f t="shared" si="885"/>
        <v>0</v>
      </c>
      <c r="X1071" s="592">
        <f t="shared" si="885"/>
        <v>0</v>
      </c>
      <c r="Y1071" s="592">
        <f t="shared" si="885"/>
        <v>0</v>
      </c>
      <c r="Z1071" s="592">
        <f t="shared" si="885"/>
        <v>0</v>
      </c>
      <c r="AA1071" s="592">
        <f t="shared" si="885"/>
        <v>0</v>
      </c>
      <c r="AB1071" s="592">
        <f t="shared" si="885"/>
        <v>0</v>
      </c>
      <c r="AC1071" s="592">
        <f t="shared" si="885"/>
        <v>0</v>
      </c>
      <c r="AD1071" s="592">
        <f t="shared" si="885"/>
        <v>0</v>
      </c>
      <c r="AE1071" s="592">
        <f t="shared" si="885"/>
        <v>0</v>
      </c>
      <c r="AF1071" s="592">
        <f t="shared" si="885"/>
        <v>0</v>
      </c>
      <c r="AH1071" s="538"/>
      <c r="AK1071" s="531"/>
      <c r="AM1071" s="594"/>
      <c r="AN1071" s="535"/>
      <c r="AP1071" s="540"/>
      <c r="AQ1071" s="540"/>
    </row>
    <row r="1072" spans="1:43" ht="3" hidden="1" customHeight="1" outlineLevel="2">
      <c r="A1072" s="584"/>
      <c r="B1072" s="609"/>
      <c r="C1072" s="611"/>
      <c r="D1072" s="611"/>
      <c r="E1072" s="610"/>
      <c r="F1072" s="610"/>
      <c r="G1072" s="610"/>
      <c r="H1072" s="610"/>
      <c r="I1072" s="610"/>
      <c r="J1072" s="610"/>
      <c r="K1072" s="610"/>
      <c r="L1072" s="610"/>
      <c r="M1072" s="610"/>
      <c r="N1072" s="610"/>
      <c r="O1072" s="610"/>
      <c r="P1072" s="610"/>
      <c r="Q1072" s="610"/>
      <c r="R1072" s="610"/>
      <c r="S1072" s="610"/>
      <c r="T1072" s="610"/>
      <c r="U1072" s="610"/>
      <c r="V1072" s="610"/>
      <c r="W1072" s="610"/>
      <c r="X1072" s="610"/>
      <c r="Y1072" s="610"/>
      <c r="Z1072" s="610"/>
      <c r="AA1072" s="610"/>
      <c r="AB1072" s="610"/>
      <c r="AC1072" s="610"/>
      <c r="AD1072" s="610"/>
      <c r="AE1072" s="610"/>
      <c r="AF1072" s="610"/>
      <c r="AH1072" s="593"/>
      <c r="AK1072" s="531"/>
      <c r="AM1072" s="594"/>
      <c r="AN1072" s="535"/>
      <c r="AP1072" s="535"/>
      <c r="AQ1072" s="535"/>
    </row>
    <row r="1073" spans="1:43" s="564" customFormat="1" ht="16.5" hidden="1" customHeight="1" outlineLevel="1" collapsed="1">
      <c r="A1073" s="584"/>
      <c r="B1073" s="576" t="s">
        <v>943</v>
      </c>
      <c r="C1073" s="577">
        <f>SUM(C1074,C1077,C1080)/10^3</f>
        <v>63.197100000000013</v>
      </c>
      <c r="D1073" s="577">
        <f t="shared" ref="D1073:AF1073" si="887">SUM(D1074,D1077,D1080)/10^3</f>
        <v>63.197100000000013</v>
      </c>
      <c r="E1073" s="577">
        <f t="shared" si="887"/>
        <v>63.197100000000013</v>
      </c>
      <c r="F1073" s="577">
        <f t="shared" si="887"/>
        <v>63.197100000000013</v>
      </c>
      <c r="G1073" s="577">
        <f t="shared" si="887"/>
        <v>63.197100000000013</v>
      </c>
      <c r="H1073" s="577">
        <f t="shared" si="887"/>
        <v>63.197100000000013</v>
      </c>
      <c r="I1073" s="577">
        <f t="shared" si="887"/>
        <v>63.197100000000013</v>
      </c>
      <c r="J1073" s="577">
        <f t="shared" si="887"/>
        <v>63.197100000000013</v>
      </c>
      <c r="K1073" s="577">
        <f t="shared" si="887"/>
        <v>63.197100000000013</v>
      </c>
      <c r="L1073" s="577">
        <f t="shared" si="887"/>
        <v>63.197100000000013</v>
      </c>
      <c r="M1073" s="577">
        <f t="shared" si="887"/>
        <v>63.197100000000013</v>
      </c>
      <c r="N1073" s="577">
        <f t="shared" si="887"/>
        <v>63.197100000000013</v>
      </c>
      <c r="O1073" s="577">
        <f t="shared" si="887"/>
        <v>63.197100000000013</v>
      </c>
      <c r="P1073" s="577">
        <f t="shared" si="887"/>
        <v>63.197100000000013</v>
      </c>
      <c r="Q1073" s="577">
        <f t="shared" si="887"/>
        <v>63.197100000000013</v>
      </c>
      <c r="R1073" s="577">
        <f t="shared" si="887"/>
        <v>63.197100000000013</v>
      </c>
      <c r="S1073" s="577">
        <f t="shared" si="887"/>
        <v>63.197100000000013</v>
      </c>
      <c r="T1073" s="577">
        <f t="shared" si="887"/>
        <v>63.197100000000013</v>
      </c>
      <c r="U1073" s="577">
        <f t="shared" si="887"/>
        <v>63.197100000000013</v>
      </c>
      <c r="V1073" s="577">
        <f t="shared" si="887"/>
        <v>63.197100000000013</v>
      </c>
      <c r="W1073" s="577">
        <f t="shared" si="887"/>
        <v>63.197100000000013</v>
      </c>
      <c r="X1073" s="577">
        <f t="shared" si="887"/>
        <v>63.197100000000013</v>
      </c>
      <c r="Y1073" s="577">
        <f t="shared" si="887"/>
        <v>63.197100000000013</v>
      </c>
      <c r="Z1073" s="577">
        <f t="shared" si="887"/>
        <v>63.197100000000013</v>
      </c>
      <c r="AA1073" s="577">
        <f t="shared" si="887"/>
        <v>63.197100000000013</v>
      </c>
      <c r="AB1073" s="577">
        <f t="shared" si="887"/>
        <v>63.197100000000013</v>
      </c>
      <c r="AC1073" s="577">
        <f t="shared" si="887"/>
        <v>63.197100000000013</v>
      </c>
      <c r="AD1073" s="577">
        <f t="shared" si="887"/>
        <v>63.197100000000013</v>
      </c>
      <c r="AE1073" s="577">
        <f t="shared" si="887"/>
        <v>63.197100000000013</v>
      </c>
      <c r="AF1073" s="577">
        <f t="shared" si="887"/>
        <v>63.197100000000013</v>
      </c>
      <c r="AH1073" s="578">
        <f>SUM(C1073:AF1073)</f>
        <v>1895.9130000000011</v>
      </c>
      <c r="AJ1073" s="579"/>
      <c r="AK1073" s="531"/>
      <c r="AM1073" s="594"/>
      <c r="AN1073" s="535"/>
      <c r="AP1073" s="568"/>
      <c r="AQ1073" s="568"/>
    </row>
    <row r="1074" spans="1:43" s="546" customFormat="1" ht="16.5" hidden="1" customHeight="1" outlineLevel="2">
      <c r="A1074" s="584"/>
      <c r="B1074" s="613" t="s">
        <v>927</v>
      </c>
      <c r="C1074" s="570">
        <f>C1075*C1076</f>
        <v>2477.7600000000002</v>
      </c>
      <c r="D1074" s="570">
        <f t="shared" ref="D1074:AF1074" si="888">D1075*D1076</f>
        <v>2477.7600000000002</v>
      </c>
      <c r="E1074" s="570">
        <f t="shared" si="888"/>
        <v>2477.7600000000002</v>
      </c>
      <c r="F1074" s="570">
        <f t="shared" si="888"/>
        <v>2477.7600000000002</v>
      </c>
      <c r="G1074" s="570">
        <f t="shared" si="888"/>
        <v>2477.7600000000002</v>
      </c>
      <c r="H1074" s="570">
        <f t="shared" si="888"/>
        <v>2477.7600000000002</v>
      </c>
      <c r="I1074" s="570">
        <f t="shared" si="888"/>
        <v>2477.7600000000002</v>
      </c>
      <c r="J1074" s="570">
        <f t="shared" si="888"/>
        <v>2477.7600000000002</v>
      </c>
      <c r="K1074" s="570">
        <f t="shared" si="888"/>
        <v>2477.7600000000002</v>
      </c>
      <c r="L1074" s="570">
        <f t="shared" si="888"/>
        <v>2477.7600000000002</v>
      </c>
      <c r="M1074" s="570">
        <f t="shared" si="888"/>
        <v>2477.7600000000002</v>
      </c>
      <c r="N1074" s="570">
        <f t="shared" si="888"/>
        <v>2477.7600000000002</v>
      </c>
      <c r="O1074" s="570">
        <f t="shared" si="888"/>
        <v>2477.7600000000002</v>
      </c>
      <c r="P1074" s="570">
        <f t="shared" si="888"/>
        <v>2477.7600000000002</v>
      </c>
      <c r="Q1074" s="570">
        <f t="shared" si="888"/>
        <v>2477.7600000000002</v>
      </c>
      <c r="R1074" s="570">
        <f t="shared" si="888"/>
        <v>2477.7600000000002</v>
      </c>
      <c r="S1074" s="570">
        <f t="shared" si="888"/>
        <v>2477.7600000000002</v>
      </c>
      <c r="T1074" s="570">
        <f t="shared" si="888"/>
        <v>2477.7600000000002</v>
      </c>
      <c r="U1074" s="570">
        <f t="shared" si="888"/>
        <v>2477.7600000000002</v>
      </c>
      <c r="V1074" s="570">
        <f t="shared" si="888"/>
        <v>2477.7600000000002</v>
      </c>
      <c r="W1074" s="570">
        <f t="shared" si="888"/>
        <v>2477.7600000000002</v>
      </c>
      <c r="X1074" s="570">
        <f t="shared" si="888"/>
        <v>2477.7600000000002</v>
      </c>
      <c r="Y1074" s="570">
        <f t="shared" si="888"/>
        <v>2477.7600000000002</v>
      </c>
      <c r="Z1074" s="570">
        <f t="shared" si="888"/>
        <v>2477.7600000000002</v>
      </c>
      <c r="AA1074" s="570">
        <f t="shared" si="888"/>
        <v>2477.7600000000002</v>
      </c>
      <c r="AB1074" s="570">
        <f t="shared" si="888"/>
        <v>2477.7600000000002</v>
      </c>
      <c r="AC1074" s="570">
        <f t="shared" si="888"/>
        <v>2477.7600000000002</v>
      </c>
      <c r="AD1074" s="570">
        <f t="shared" si="888"/>
        <v>2477.7600000000002</v>
      </c>
      <c r="AE1074" s="570">
        <f t="shared" si="888"/>
        <v>2477.7600000000002</v>
      </c>
      <c r="AF1074" s="570">
        <f t="shared" si="888"/>
        <v>2477.7600000000002</v>
      </c>
      <c r="AH1074" s="571"/>
      <c r="AK1074" s="531"/>
      <c r="AM1074" s="594"/>
      <c r="AN1074" s="535"/>
      <c r="AP1074" s="549"/>
      <c r="AQ1074" s="549"/>
    </row>
    <row r="1075" spans="1:43" s="513" customFormat="1" ht="16.5" hidden="1" customHeight="1" outlineLevel="2">
      <c r="A1075" s="584"/>
      <c r="B1075" s="572" t="s">
        <v>805</v>
      </c>
      <c r="C1075" s="573">
        <f>C$1041</f>
        <v>1</v>
      </c>
      <c r="D1075" s="573">
        <f t="shared" ref="D1075:AF1075" si="889">D$1041</f>
        <v>1</v>
      </c>
      <c r="E1075" s="573">
        <f t="shared" si="889"/>
        <v>1</v>
      </c>
      <c r="F1075" s="573">
        <f t="shared" si="889"/>
        <v>1</v>
      </c>
      <c r="G1075" s="573">
        <f t="shared" si="889"/>
        <v>1</v>
      </c>
      <c r="H1075" s="573">
        <f t="shared" si="889"/>
        <v>1</v>
      </c>
      <c r="I1075" s="573">
        <f t="shared" si="889"/>
        <v>1</v>
      </c>
      <c r="J1075" s="573">
        <f t="shared" si="889"/>
        <v>1</v>
      </c>
      <c r="K1075" s="573">
        <f t="shared" si="889"/>
        <v>1</v>
      </c>
      <c r="L1075" s="573">
        <f t="shared" si="889"/>
        <v>1</v>
      </c>
      <c r="M1075" s="573">
        <f t="shared" si="889"/>
        <v>1</v>
      </c>
      <c r="N1075" s="573">
        <f t="shared" si="889"/>
        <v>1</v>
      </c>
      <c r="O1075" s="573">
        <f t="shared" si="889"/>
        <v>1</v>
      </c>
      <c r="P1075" s="573">
        <f t="shared" si="889"/>
        <v>1</v>
      </c>
      <c r="Q1075" s="573">
        <f t="shared" si="889"/>
        <v>1</v>
      </c>
      <c r="R1075" s="573">
        <f t="shared" si="889"/>
        <v>1</v>
      </c>
      <c r="S1075" s="573">
        <f t="shared" si="889"/>
        <v>1</v>
      </c>
      <c r="T1075" s="573">
        <f t="shared" si="889"/>
        <v>1</v>
      </c>
      <c r="U1075" s="573">
        <f t="shared" si="889"/>
        <v>1</v>
      </c>
      <c r="V1075" s="573">
        <f t="shared" si="889"/>
        <v>1</v>
      </c>
      <c r="W1075" s="573">
        <f t="shared" si="889"/>
        <v>1</v>
      </c>
      <c r="X1075" s="573">
        <f t="shared" si="889"/>
        <v>1</v>
      </c>
      <c r="Y1075" s="573">
        <f t="shared" si="889"/>
        <v>1</v>
      </c>
      <c r="Z1075" s="573">
        <f t="shared" si="889"/>
        <v>1</v>
      </c>
      <c r="AA1075" s="573">
        <f t="shared" si="889"/>
        <v>1</v>
      </c>
      <c r="AB1075" s="573">
        <f t="shared" si="889"/>
        <v>1</v>
      </c>
      <c r="AC1075" s="573">
        <f t="shared" si="889"/>
        <v>1</v>
      </c>
      <c r="AD1075" s="573">
        <f t="shared" si="889"/>
        <v>1</v>
      </c>
      <c r="AE1075" s="573">
        <f t="shared" si="889"/>
        <v>1</v>
      </c>
      <c r="AF1075" s="573">
        <f t="shared" si="889"/>
        <v>1</v>
      </c>
      <c r="AH1075" s="538"/>
      <c r="AK1075" s="719"/>
      <c r="AM1075" s="594"/>
      <c r="AN1075" s="535"/>
      <c r="AP1075" s="540"/>
      <c r="AQ1075" s="540"/>
    </row>
    <row r="1076" spans="1:43" s="513" customFormat="1" ht="16.5" hidden="1" customHeight="1" outlineLevel="2">
      <c r="A1076" s="584"/>
      <c r="B1076" s="572" t="s">
        <v>888</v>
      </c>
      <c r="C1076" s="592">
        <f>EPIs_unif.!$D$18+EPIs_unif.!$D$44</f>
        <v>2477.7600000000002</v>
      </c>
      <c r="D1076" s="592">
        <f>C1076</f>
        <v>2477.7600000000002</v>
      </c>
      <c r="E1076" s="592">
        <f t="shared" ref="E1076:AF1076" si="890">D1076</f>
        <v>2477.7600000000002</v>
      </c>
      <c r="F1076" s="592">
        <f t="shared" si="890"/>
        <v>2477.7600000000002</v>
      </c>
      <c r="G1076" s="592">
        <f t="shared" si="890"/>
        <v>2477.7600000000002</v>
      </c>
      <c r="H1076" s="592">
        <f t="shared" si="890"/>
        <v>2477.7600000000002</v>
      </c>
      <c r="I1076" s="592">
        <f t="shared" si="890"/>
        <v>2477.7600000000002</v>
      </c>
      <c r="J1076" s="592">
        <f t="shared" si="890"/>
        <v>2477.7600000000002</v>
      </c>
      <c r="K1076" s="592">
        <f t="shared" si="890"/>
        <v>2477.7600000000002</v>
      </c>
      <c r="L1076" s="592">
        <f t="shared" si="890"/>
        <v>2477.7600000000002</v>
      </c>
      <c r="M1076" s="592">
        <f t="shared" si="890"/>
        <v>2477.7600000000002</v>
      </c>
      <c r="N1076" s="592">
        <f t="shared" si="890"/>
        <v>2477.7600000000002</v>
      </c>
      <c r="O1076" s="592">
        <f t="shared" si="890"/>
        <v>2477.7600000000002</v>
      </c>
      <c r="P1076" s="592">
        <f t="shared" si="890"/>
        <v>2477.7600000000002</v>
      </c>
      <c r="Q1076" s="592">
        <f t="shared" si="890"/>
        <v>2477.7600000000002</v>
      </c>
      <c r="R1076" s="592">
        <f t="shared" si="890"/>
        <v>2477.7600000000002</v>
      </c>
      <c r="S1076" s="592">
        <f t="shared" si="890"/>
        <v>2477.7600000000002</v>
      </c>
      <c r="T1076" s="592">
        <f t="shared" si="890"/>
        <v>2477.7600000000002</v>
      </c>
      <c r="U1076" s="592">
        <f t="shared" si="890"/>
        <v>2477.7600000000002</v>
      </c>
      <c r="V1076" s="592">
        <f t="shared" si="890"/>
        <v>2477.7600000000002</v>
      </c>
      <c r="W1076" s="592">
        <f t="shared" si="890"/>
        <v>2477.7600000000002</v>
      </c>
      <c r="X1076" s="592">
        <f t="shared" si="890"/>
        <v>2477.7600000000002</v>
      </c>
      <c r="Y1076" s="592">
        <f t="shared" si="890"/>
        <v>2477.7600000000002</v>
      </c>
      <c r="Z1076" s="592">
        <f t="shared" si="890"/>
        <v>2477.7600000000002</v>
      </c>
      <c r="AA1076" s="592">
        <f t="shared" si="890"/>
        <v>2477.7600000000002</v>
      </c>
      <c r="AB1076" s="592">
        <f t="shared" si="890"/>
        <v>2477.7600000000002</v>
      </c>
      <c r="AC1076" s="592">
        <f t="shared" si="890"/>
        <v>2477.7600000000002</v>
      </c>
      <c r="AD1076" s="592">
        <f t="shared" si="890"/>
        <v>2477.7600000000002</v>
      </c>
      <c r="AE1076" s="592">
        <f t="shared" si="890"/>
        <v>2477.7600000000002</v>
      </c>
      <c r="AF1076" s="592">
        <f t="shared" si="890"/>
        <v>2477.7600000000002</v>
      </c>
      <c r="AH1076" s="538"/>
      <c r="AK1076" s="531"/>
      <c r="AM1076" s="594"/>
      <c r="AN1076" s="535"/>
      <c r="AP1076" s="540"/>
      <c r="AQ1076" s="540"/>
    </row>
    <row r="1077" spans="1:43" s="546" customFormat="1" ht="16.5" hidden="1" customHeight="1" outlineLevel="2">
      <c r="A1077" s="584"/>
      <c r="B1077" s="613" t="s">
        <v>983</v>
      </c>
      <c r="C1077" s="570">
        <f>C1078*C1079</f>
        <v>54024.62000000001</v>
      </c>
      <c r="D1077" s="570">
        <f t="shared" ref="D1077:AF1077" si="891">D1078*D1079</f>
        <v>54024.62000000001</v>
      </c>
      <c r="E1077" s="570">
        <f t="shared" si="891"/>
        <v>54024.62000000001</v>
      </c>
      <c r="F1077" s="570">
        <f t="shared" si="891"/>
        <v>54024.62000000001</v>
      </c>
      <c r="G1077" s="570">
        <f t="shared" si="891"/>
        <v>54024.62000000001</v>
      </c>
      <c r="H1077" s="570">
        <f t="shared" si="891"/>
        <v>54024.62000000001</v>
      </c>
      <c r="I1077" s="570">
        <f t="shared" si="891"/>
        <v>54024.62000000001</v>
      </c>
      <c r="J1077" s="570">
        <f t="shared" si="891"/>
        <v>54024.62000000001</v>
      </c>
      <c r="K1077" s="570">
        <f t="shared" si="891"/>
        <v>54024.62000000001</v>
      </c>
      <c r="L1077" s="570">
        <f t="shared" si="891"/>
        <v>54024.62000000001</v>
      </c>
      <c r="M1077" s="570">
        <f t="shared" si="891"/>
        <v>54024.62000000001</v>
      </c>
      <c r="N1077" s="570">
        <f t="shared" si="891"/>
        <v>54024.62000000001</v>
      </c>
      <c r="O1077" s="570">
        <f t="shared" si="891"/>
        <v>54024.62000000001</v>
      </c>
      <c r="P1077" s="570">
        <f t="shared" si="891"/>
        <v>54024.62000000001</v>
      </c>
      <c r="Q1077" s="570">
        <f t="shared" si="891"/>
        <v>54024.62000000001</v>
      </c>
      <c r="R1077" s="570">
        <f t="shared" si="891"/>
        <v>54024.62000000001</v>
      </c>
      <c r="S1077" s="570">
        <f t="shared" si="891"/>
        <v>54024.62000000001</v>
      </c>
      <c r="T1077" s="570">
        <f t="shared" si="891"/>
        <v>54024.62000000001</v>
      </c>
      <c r="U1077" s="570">
        <f t="shared" si="891"/>
        <v>54024.62000000001</v>
      </c>
      <c r="V1077" s="570">
        <f t="shared" si="891"/>
        <v>54024.62000000001</v>
      </c>
      <c r="W1077" s="570">
        <f t="shared" si="891"/>
        <v>54024.62000000001</v>
      </c>
      <c r="X1077" s="570">
        <f t="shared" si="891"/>
        <v>54024.62000000001</v>
      </c>
      <c r="Y1077" s="570">
        <f t="shared" si="891"/>
        <v>54024.62000000001</v>
      </c>
      <c r="Z1077" s="570">
        <f t="shared" si="891"/>
        <v>54024.62000000001</v>
      </c>
      <c r="AA1077" s="570">
        <f t="shared" si="891"/>
        <v>54024.62000000001</v>
      </c>
      <c r="AB1077" s="570">
        <f t="shared" si="891"/>
        <v>54024.62000000001</v>
      </c>
      <c r="AC1077" s="570">
        <f t="shared" si="891"/>
        <v>54024.62000000001</v>
      </c>
      <c r="AD1077" s="570">
        <f t="shared" si="891"/>
        <v>54024.62000000001</v>
      </c>
      <c r="AE1077" s="570">
        <f t="shared" si="891"/>
        <v>54024.62000000001</v>
      </c>
      <c r="AF1077" s="570">
        <f t="shared" si="891"/>
        <v>54024.62000000001</v>
      </c>
      <c r="AH1077" s="571"/>
      <c r="AK1077" s="531"/>
      <c r="AM1077" s="594"/>
      <c r="AN1077" s="535"/>
      <c r="AP1077" s="549"/>
      <c r="AQ1077" s="549"/>
    </row>
    <row r="1078" spans="1:43" s="513" customFormat="1" ht="16.5" hidden="1" customHeight="1" outlineLevel="2">
      <c r="A1078" s="584"/>
      <c r="B1078" s="572" t="s">
        <v>805</v>
      </c>
      <c r="C1078" s="573">
        <f>C$1048-C1081</f>
        <v>13</v>
      </c>
      <c r="D1078" s="573">
        <f t="shared" ref="D1078:AF1078" si="892">D$1048-D1081</f>
        <v>13</v>
      </c>
      <c r="E1078" s="573">
        <f t="shared" si="892"/>
        <v>13</v>
      </c>
      <c r="F1078" s="573">
        <f t="shared" si="892"/>
        <v>13</v>
      </c>
      <c r="G1078" s="573">
        <f t="shared" si="892"/>
        <v>13</v>
      </c>
      <c r="H1078" s="573">
        <f t="shared" si="892"/>
        <v>13</v>
      </c>
      <c r="I1078" s="573">
        <f t="shared" si="892"/>
        <v>13</v>
      </c>
      <c r="J1078" s="573">
        <f t="shared" si="892"/>
        <v>13</v>
      </c>
      <c r="K1078" s="573">
        <f t="shared" si="892"/>
        <v>13</v>
      </c>
      <c r="L1078" s="573">
        <f t="shared" si="892"/>
        <v>13</v>
      </c>
      <c r="M1078" s="573">
        <f t="shared" si="892"/>
        <v>13</v>
      </c>
      <c r="N1078" s="573">
        <f t="shared" si="892"/>
        <v>13</v>
      </c>
      <c r="O1078" s="573">
        <f t="shared" si="892"/>
        <v>13</v>
      </c>
      <c r="P1078" s="573">
        <f t="shared" si="892"/>
        <v>13</v>
      </c>
      <c r="Q1078" s="573">
        <f t="shared" si="892"/>
        <v>13</v>
      </c>
      <c r="R1078" s="573">
        <f t="shared" si="892"/>
        <v>13</v>
      </c>
      <c r="S1078" s="573">
        <f t="shared" si="892"/>
        <v>13</v>
      </c>
      <c r="T1078" s="573">
        <f t="shared" si="892"/>
        <v>13</v>
      </c>
      <c r="U1078" s="573">
        <f t="shared" si="892"/>
        <v>13</v>
      </c>
      <c r="V1078" s="573">
        <f t="shared" si="892"/>
        <v>13</v>
      </c>
      <c r="W1078" s="573">
        <f t="shared" si="892"/>
        <v>13</v>
      </c>
      <c r="X1078" s="573">
        <f t="shared" si="892"/>
        <v>13</v>
      </c>
      <c r="Y1078" s="573">
        <f t="shared" si="892"/>
        <v>13</v>
      </c>
      <c r="Z1078" s="573">
        <f t="shared" si="892"/>
        <v>13</v>
      </c>
      <c r="AA1078" s="573">
        <f t="shared" si="892"/>
        <v>13</v>
      </c>
      <c r="AB1078" s="573">
        <f t="shared" si="892"/>
        <v>13</v>
      </c>
      <c r="AC1078" s="573">
        <f t="shared" si="892"/>
        <v>13</v>
      </c>
      <c r="AD1078" s="573">
        <f t="shared" si="892"/>
        <v>13</v>
      </c>
      <c r="AE1078" s="573">
        <f t="shared" si="892"/>
        <v>13</v>
      </c>
      <c r="AF1078" s="573">
        <f t="shared" si="892"/>
        <v>13</v>
      </c>
      <c r="AH1078" s="538"/>
      <c r="AK1078" s="719"/>
      <c r="AM1078" s="594"/>
      <c r="AN1078" s="535"/>
      <c r="AP1078" s="540"/>
      <c r="AQ1078" s="540"/>
    </row>
    <row r="1079" spans="1:43" s="513" customFormat="1" ht="16.5" hidden="1" customHeight="1" outlineLevel="2">
      <c r="A1079" s="584"/>
      <c r="B1079" s="572" t="s">
        <v>888</v>
      </c>
      <c r="C1079" s="592">
        <f>EPIs_unif.!$D$24+EPIs_unif.!$D$50</f>
        <v>4155.7400000000007</v>
      </c>
      <c r="D1079" s="592">
        <f>C1079</f>
        <v>4155.7400000000007</v>
      </c>
      <c r="E1079" s="592">
        <f t="shared" ref="E1079:AF1079" si="893">D1079</f>
        <v>4155.7400000000007</v>
      </c>
      <c r="F1079" s="592">
        <f t="shared" si="893"/>
        <v>4155.7400000000007</v>
      </c>
      <c r="G1079" s="592">
        <f t="shared" si="893"/>
        <v>4155.7400000000007</v>
      </c>
      <c r="H1079" s="592">
        <f t="shared" si="893"/>
        <v>4155.7400000000007</v>
      </c>
      <c r="I1079" s="592">
        <f t="shared" si="893"/>
        <v>4155.7400000000007</v>
      </c>
      <c r="J1079" s="592">
        <f t="shared" si="893"/>
        <v>4155.7400000000007</v>
      </c>
      <c r="K1079" s="592">
        <f t="shared" si="893"/>
        <v>4155.7400000000007</v>
      </c>
      <c r="L1079" s="592">
        <f t="shared" si="893"/>
        <v>4155.7400000000007</v>
      </c>
      <c r="M1079" s="592">
        <f t="shared" si="893"/>
        <v>4155.7400000000007</v>
      </c>
      <c r="N1079" s="592">
        <f t="shared" si="893"/>
        <v>4155.7400000000007</v>
      </c>
      <c r="O1079" s="592">
        <f t="shared" si="893"/>
        <v>4155.7400000000007</v>
      </c>
      <c r="P1079" s="592">
        <f t="shared" si="893"/>
        <v>4155.7400000000007</v>
      </c>
      <c r="Q1079" s="592">
        <f t="shared" si="893"/>
        <v>4155.7400000000007</v>
      </c>
      <c r="R1079" s="592">
        <f t="shared" si="893"/>
        <v>4155.7400000000007</v>
      </c>
      <c r="S1079" s="592">
        <f t="shared" si="893"/>
        <v>4155.7400000000007</v>
      </c>
      <c r="T1079" s="592">
        <f t="shared" si="893"/>
        <v>4155.7400000000007</v>
      </c>
      <c r="U1079" s="592">
        <f t="shared" si="893"/>
        <v>4155.7400000000007</v>
      </c>
      <c r="V1079" s="592">
        <f t="shared" si="893"/>
        <v>4155.7400000000007</v>
      </c>
      <c r="W1079" s="592">
        <f t="shared" si="893"/>
        <v>4155.7400000000007</v>
      </c>
      <c r="X1079" s="592">
        <f t="shared" si="893"/>
        <v>4155.7400000000007</v>
      </c>
      <c r="Y1079" s="592">
        <f t="shared" si="893"/>
        <v>4155.7400000000007</v>
      </c>
      <c r="Z1079" s="592">
        <f t="shared" si="893"/>
        <v>4155.7400000000007</v>
      </c>
      <c r="AA1079" s="592">
        <f t="shared" si="893"/>
        <v>4155.7400000000007</v>
      </c>
      <c r="AB1079" s="592">
        <f t="shared" si="893"/>
        <v>4155.7400000000007</v>
      </c>
      <c r="AC1079" s="592">
        <f t="shared" si="893"/>
        <v>4155.7400000000007</v>
      </c>
      <c r="AD1079" s="592">
        <f t="shared" si="893"/>
        <v>4155.7400000000007</v>
      </c>
      <c r="AE1079" s="592">
        <f t="shared" si="893"/>
        <v>4155.7400000000007</v>
      </c>
      <c r="AF1079" s="592">
        <f t="shared" si="893"/>
        <v>4155.7400000000007</v>
      </c>
      <c r="AH1079" s="538"/>
      <c r="AK1079" s="531"/>
      <c r="AM1079" s="594"/>
      <c r="AN1079" s="535"/>
      <c r="AP1079" s="540"/>
      <c r="AQ1079" s="540"/>
    </row>
    <row r="1080" spans="1:43" s="546" customFormat="1" ht="16.5" hidden="1" customHeight="1" outlineLevel="2">
      <c r="A1080" s="584"/>
      <c r="B1080" s="613" t="s">
        <v>960</v>
      </c>
      <c r="C1080" s="570">
        <f>C1081*C1082</f>
        <v>6694.7199999999993</v>
      </c>
      <c r="D1080" s="570">
        <f t="shared" ref="D1080:AF1080" si="894">D1081*D1082</f>
        <v>6694.7199999999993</v>
      </c>
      <c r="E1080" s="570">
        <f t="shared" si="894"/>
        <v>6694.7199999999993</v>
      </c>
      <c r="F1080" s="570">
        <f t="shared" si="894"/>
        <v>6694.7199999999993</v>
      </c>
      <c r="G1080" s="570">
        <f t="shared" si="894"/>
        <v>6694.7199999999993</v>
      </c>
      <c r="H1080" s="570">
        <f t="shared" si="894"/>
        <v>6694.7199999999993</v>
      </c>
      <c r="I1080" s="570">
        <f t="shared" si="894"/>
        <v>6694.7199999999993</v>
      </c>
      <c r="J1080" s="570">
        <f t="shared" si="894"/>
        <v>6694.7199999999993</v>
      </c>
      <c r="K1080" s="570">
        <f t="shared" si="894"/>
        <v>6694.7199999999993</v>
      </c>
      <c r="L1080" s="570">
        <f t="shared" si="894"/>
        <v>6694.7199999999993</v>
      </c>
      <c r="M1080" s="570">
        <f t="shared" si="894"/>
        <v>6694.7199999999993</v>
      </c>
      <c r="N1080" s="570">
        <f t="shared" si="894"/>
        <v>6694.7199999999993</v>
      </c>
      <c r="O1080" s="570">
        <f t="shared" si="894"/>
        <v>6694.7199999999993</v>
      </c>
      <c r="P1080" s="570">
        <f t="shared" si="894"/>
        <v>6694.7199999999993</v>
      </c>
      <c r="Q1080" s="570">
        <f t="shared" si="894"/>
        <v>6694.7199999999993</v>
      </c>
      <c r="R1080" s="570">
        <f t="shared" si="894"/>
        <v>6694.7199999999993</v>
      </c>
      <c r="S1080" s="570">
        <f t="shared" si="894"/>
        <v>6694.7199999999993</v>
      </c>
      <c r="T1080" s="570">
        <f t="shared" si="894"/>
        <v>6694.7199999999993</v>
      </c>
      <c r="U1080" s="570">
        <f t="shared" si="894"/>
        <v>6694.7199999999993</v>
      </c>
      <c r="V1080" s="570">
        <f t="shared" si="894"/>
        <v>6694.7199999999993</v>
      </c>
      <c r="W1080" s="570">
        <f t="shared" si="894"/>
        <v>6694.7199999999993</v>
      </c>
      <c r="X1080" s="570">
        <f t="shared" si="894"/>
        <v>6694.7199999999993</v>
      </c>
      <c r="Y1080" s="570">
        <f t="shared" si="894"/>
        <v>6694.7199999999993</v>
      </c>
      <c r="Z1080" s="570">
        <f t="shared" si="894"/>
        <v>6694.7199999999993</v>
      </c>
      <c r="AA1080" s="570">
        <f t="shared" si="894"/>
        <v>6694.7199999999993</v>
      </c>
      <c r="AB1080" s="570">
        <f t="shared" si="894"/>
        <v>6694.7199999999993</v>
      </c>
      <c r="AC1080" s="570">
        <f t="shared" si="894"/>
        <v>6694.7199999999993</v>
      </c>
      <c r="AD1080" s="570">
        <f t="shared" si="894"/>
        <v>6694.7199999999993</v>
      </c>
      <c r="AE1080" s="570">
        <f t="shared" si="894"/>
        <v>6694.7199999999993</v>
      </c>
      <c r="AF1080" s="570">
        <f t="shared" si="894"/>
        <v>6694.7199999999993</v>
      </c>
      <c r="AH1080" s="571"/>
      <c r="AK1080" s="531"/>
      <c r="AM1080" s="594"/>
      <c r="AN1080" s="535"/>
      <c r="AP1080" s="549"/>
      <c r="AQ1080" s="549"/>
    </row>
    <row r="1081" spans="1:43" s="513" customFormat="1" ht="16.5" hidden="1" customHeight="1" outlineLevel="2">
      <c r="A1081" s="584"/>
      <c r="B1081" s="572" t="s">
        <v>805</v>
      </c>
      <c r="C1081" s="573">
        <v>2</v>
      </c>
      <c r="D1081" s="573">
        <f>C1081</f>
        <v>2</v>
      </c>
      <c r="E1081" s="573">
        <f t="shared" ref="E1081:AF1081" si="895">D1081</f>
        <v>2</v>
      </c>
      <c r="F1081" s="573">
        <f t="shared" si="895"/>
        <v>2</v>
      </c>
      <c r="G1081" s="573">
        <f t="shared" si="895"/>
        <v>2</v>
      </c>
      <c r="H1081" s="573">
        <f t="shared" si="895"/>
        <v>2</v>
      </c>
      <c r="I1081" s="573">
        <f t="shared" si="895"/>
        <v>2</v>
      </c>
      <c r="J1081" s="573">
        <f t="shared" si="895"/>
        <v>2</v>
      </c>
      <c r="K1081" s="573">
        <f t="shared" si="895"/>
        <v>2</v>
      </c>
      <c r="L1081" s="573">
        <f t="shared" si="895"/>
        <v>2</v>
      </c>
      <c r="M1081" s="573">
        <f t="shared" si="895"/>
        <v>2</v>
      </c>
      <c r="N1081" s="573">
        <f t="shared" si="895"/>
        <v>2</v>
      </c>
      <c r="O1081" s="573">
        <f t="shared" si="895"/>
        <v>2</v>
      </c>
      <c r="P1081" s="573">
        <f t="shared" si="895"/>
        <v>2</v>
      </c>
      <c r="Q1081" s="573">
        <f t="shared" si="895"/>
        <v>2</v>
      </c>
      <c r="R1081" s="573">
        <f t="shared" si="895"/>
        <v>2</v>
      </c>
      <c r="S1081" s="573">
        <f t="shared" si="895"/>
        <v>2</v>
      </c>
      <c r="T1081" s="573">
        <f t="shared" si="895"/>
        <v>2</v>
      </c>
      <c r="U1081" s="573">
        <f t="shared" si="895"/>
        <v>2</v>
      </c>
      <c r="V1081" s="573">
        <f t="shared" si="895"/>
        <v>2</v>
      </c>
      <c r="W1081" s="573">
        <f t="shared" si="895"/>
        <v>2</v>
      </c>
      <c r="X1081" s="573">
        <f t="shared" si="895"/>
        <v>2</v>
      </c>
      <c r="Y1081" s="573">
        <f t="shared" si="895"/>
        <v>2</v>
      </c>
      <c r="Z1081" s="573">
        <f t="shared" si="895"/>
        <v>2</v>
      </c>
      <c r="AA1081" s="573">
        <f t="shared" si="895"/>
        <v>2</v>
      </c>
      <c r="AB1081" s="573">
        <f t="shared" si="895"/>
        <v>2</v>
      </c>
      <c r="AC1081" s="573">
        <f t="shared" si="895"/>
        <v>2</v>
      </c>
      <c r="AD1081" s="573">
        <f t="shared" si="895"/>
        <v>2</v>
      </c>
      <c r="AE1081" s="573">
        <f t="shared" si="895"/>
        <v>2</v>
      </c>
      <c r="AF1081" s="573">
        <f t="shared" si="895"/>
        <v>2</v>
      </c>
      <c r="AH1081" s="538"/>
      <c r="AK1081" s="719"/>
      <c r="AM1081" s="594"/>
      <c r="AN1081" s="535"/>
      <c r="AP1081" s="540"/>
      <c r="AQ1081" s="540"/>
    </row>
    <row r="1082" spans="1:43" s="513" customFormat="1" ht="16.5" hidden="1" customHeight="1" outlineLevel="2">
      <c r="A1082" s="584"/>
      <c r="B1082" s="572" t="s">
        <v>888</v>
      </c>
      <c r="C1082" s="592">
        <f>EPIs_unif.!$D$22+EPIs_unif.!$D$48</f>
        <v>3347.3599999999997</v>
      </c>
      <c r="D1082" s="592">
        <f>C1082</f>
        <v>3347.3599999999997</v>
      </c>
      <c r="E1082" s="592">
        <f t="shared" ref="E1082" si="896">D1082</f>
        <v>3347.3599999999997</v>
      </c>
      <c r="F1082" s="592">
        <f t="shared" ref="F1082" si="897">E1082</f>
        <v>3347.3599999999997</v>
      </c>
      <c r="G1082" s="592">
        <f t="shared" ref="G1082" si="898">F1082</f>
        <v>3347.3599999999997</v>
      </c>
      <c r="H1082" s="592">
        <f t="shared" ref="H1082" si="899">G1082</f>
        <v>3347.3599999999997</v>
      </c>
      <c r="I1082" s="592">
        <f t="shared" ref="I1082" si="900">H1082</f>
        <v>3347.3599999999997</v>
      </c>
      <c r="J1082" s="592">
        <f t="shared" ref="J1082" si="901">I1082</f>
        <v>3347.3599999999997</v>
      </c>
      <c r="K1082" s="592">
        <f t="shared" ref="K1082" si="902">J1082</f>
        <v>3347.3599999999997</v>
      </c>
      <c r="L1082" s="592">
        <f t="shared" ref="L1082" si="903">K1082</f>
        <v>3347.3599999999997</v>
      </c>
      <c r="M1082" s="592">
        <f t="shared" ref="M1082" si="904">L1082</f>
        <v>3347.3599999999997</v>
      </c>
      <c r="N1082" s="592">
        <f t="shared" ref="N1082" si="905">M1082</f>
        <v>3347.3599999999997</v>
      </c>
      <c r="O1082" s="592">
        <f t="shared" ref="O1082" si="906">N1082</f>
        <v>3347.3599999999997</v>
      </c>
      <c r="P1082" s="592">
        <f t="shared" ref="P1082" si="907">O1082</f>
        <v>3347.3599999999997</v>
      </c>
      <c r="Q1082" s="592">
        <f t="shared" ref="Q1082" si="908">P1082</f>
        <v>3347.3599999999997</v>
      </c>
      <c r="R1082" s="592">
        <f t="shared" ref="R1082" si="909">Q1082</f>
        <v>3347.3599999999997</v>
      </c>
      <c r="S1082" s="592">
        <f t="shared" ref="S1082" si="910">R1082</f>
        <v>3347.3599999999997</v>
      </c>
      <c r="T1082" s="592">
        <f t="shared" ref="T1082" si="911">S1082</f>
        <v>3347.3599999999997</v>
      </c>
      <c r="U1082" s="592">
        <f t="shared" ref="U1082" si="912">T1082</f>
        <v>3347.3599999999997</v>
      </c>
      <c r="V1082" s="592">
        <f t="shared" ref="V1082" si="913">U1082</f>
        <v>3347.3599999999997</v>
      </c>
      <c r="W1082" s="592">
        <f t="shared" ref="W1082" si="914">V1082</f>
        <v>3347.3599999999997</v>
      </c>
      <c r="X1082" s="592">
        <f t="shared" ref="X1082" si="915">W1082</f>
        <v>3347.3599999999997</v>
      </c>
      <c r="Y1082" s="592">
        <f t="shared" ref="Y1082" si="916">X1082</f>
        <v>3347.3599999999997</v>
      </c>
      <c r="Z1082" s="592">
        <f t="shared" ref="Z1082" si="917">Y1082</f>
        <v>3347.3599999999997</v>
      </c>
      <c r="AA1082" s="592">
        <f t="shared" ref="AA1082" si="918">Z1082</f>
        <v>3347.3599999999997</v>
      </c>
      <c r="AB1082" s="592">
        <f t="shared" ref="AB1082" si="919">AA1082</f>
        <v>3347.3599999999997</v>
      </c>
      <c r="AC1082" s="592">
        <f t="shared" ref="AC1082" si="920">AB1082</f>
        <v>3347.3599999999997</v>
      </c>
      <c r="AD1082" s="592">
        <f t="shared" ref="AD1082" si="921">AC1082</f>
        <v>3347.3599999999997</v>
      </c>
      <c r="AE1082" s="592">
        <f t="shared" ref="AE1082" si="922">AD1082</f>
        <v>3347.3599999999997</v>
      </c>
      <c r="AF1082" s="592">
        <f t="shared" ref="AF1082" si="923">AE1082</f>
        <v>3347.3599999999997</v>
      </c>
      <c r="AH1082" s="538"/>
      <c r="AK1082" s="531"/>
      <c r="AM1082" s="594"/>
      <c r="AN1082" s="535"/>
      <c r="AP1082" s="540"/>
      <c r="AQ1082" s="540"/>
    </row>
    <row r="1083" spans="1:43" ht="16.5" customHeight="1">
      <c r="A1083" s="584"/>
      <c r="B1083" s="749" t="s">
        <v>984</v>
      </c>
      <c r="C1083" s="710">
        <f t="shared" ref="C1083:AF1083" si="924">SUM(C1095,C1133,C1140,C1146,C1156,C1160,C1172,C1187,C1215,C1282,C1285,C1348)*C3</f>
        <v>3730.3440009626115</v>
      </c>
      <c r="D1083" s="710">
        <f t="shared" si="924"/>
        <v>3844.8985269753866</v>
      </c>
      <c r="E1083" s="710">
        <f>SUM(E1095,E1133,E1140,E1146,E1156,E1160,E1172,E1187,E1215,E1282,E1285,E1348)*E3</f>
        <v>3992.6100238902841</v>
      </c>
      <c r="F1083" s="710">
        <f t="shared" si="924"/>
        <v>4036.0044731226894</v>
      </c>
      <c r="G1083" s="710">
        <f t="shared" si="924"/>
        <v>4084.3129988778605</v>
      </c>
      <c r="H1083" s="710">
        <f t="shared" si="924"/>
        <v>4129.8042823176957</v>
      </c>
      <c r="I1083" s="710">
        <f t="shared" si="924"/>
        <v>5098.4926465873132</v>
      </c>
      <c r="J1083" s="710">
        <f t="shared" si="924"/>
        <v>4282.1640030082226</v>
      </c>
      <c r="K1083" s="710">
        <f t="shared" si="924"/>
        <v>4298.0044386467944</v>
      </c>
      <c r="L1083" s="710">
        <f t="shared" si="924"/>
        <v>4313.8448742853661</v>
      </c>
      <c r="M1083" s="710">
        <f t="shared" si="924"/>
        <v>4329.699242130785</v>
      </c>
      <c r="N1083" s="710">
        <f t="shared" si="924"/>
        <v>4345.5396777693559</v>
      </c>
      <c r="O1083" s="710">
        <f t="shared" si="924"/>
        <v>4361.3801134079267</v>
      </c>
      <c r="P1083" s="710">
        <f t="shared" si="924"/>
        <v>4377.2205490464985</v>
      </c>
      <c r="Q1083" s="710">
        <f t="shared" si="924"/>
        <v>4393.0749168919174</v>
      </c>
      <c r="R1083" s="710">
        <f t="shared" si="924"/>
        <v>4408.9153525304882</v>
      </c>
      <c r="S1083" s="710">
        <f t="shared" si="924"/>
        <v>4424.75578816906</v>
      </c>
      <c r="T1083" s="710">
        <f t="shared" si="924"/>
        <v>4440.5962238076308</v>
      </c>
      <c r="U1083" s="710">
        <f t="shared" si="924"/>
        <v>4456.4505916530507</v>
      </c>
      <c r="V1083" s="710">
        <f t="shared" si="924"/>
        <v>4472.2910272916215</v>
      </c>
      <c r="W1083" s="710">
        <f t="shared" si="924"/>
        <v>4488.1314629301924</v>
      </c>
      <c r="X1083" s="710">
        <f t="shared" si="924"/>
        <v>4503.9718985687632</v>
      </c>
      <c r="Y1083" s="710">
        <f t="shared" si="924"/>
        <v>4519.826266414183</v>
      </c>
      <c r="Z1083" s="710">
        <f t="shared" si="924"/>
        <v>4535.6667020527539</v>
      </c>
      <c r="AA1083" s="710">
        <f t="shared" si="924"/>
        <v>4551.5071376913247</v>
      </c>
      <c r="AB1083" s="710">
        <f t="shared" si="924"/>
        <v>4567.3475733298965</v>
      </c>
      <c r="AC1083" s="710">
        <f t="shared" si="924"/>
        <v>4583.2019411753163</v>
      </c>
      <c r="AD1083" s="710">
        <f t="shared" si="924"/>
        <v>4599.0423768138862</v>
      </c>
      <c r="AE1083" s="710">
        <f t="shared" si="924"/>
        <v>4614.882812452458</v>
      </c>
      <c r="AF1083" s="710">
        <f t="shared" si="924"/>
        <v>4630.7232480910288</v>
      </c>
      <c r="AG1083" s="750"/>
      <c r="AH1083" s="751">
        <f>SUM(C1083:AF1083)</f>
        <v>131414.70517089235</v>
      </c>
      <c r="AK1083" s="531"/>
      <c r="AM1083" s="533"/>
      <c r="AN1083" s="535"/>
      <c r="AP1083" s="535"/>
      <c r="AQ1083" s="534"/>
    </row>
    <row r="1084" spans="1:43" s="513" customFormat="1" ht="3" customHeight="1">
      <c r="A1084" s="584"/>
      <c r="B1084" s="647"/>
      <c r="C1084" s="648"/>
      <c r="D1084" s="648"/>
      <c r="E1084" s="648"/>
      <c r="F1084" s="648"/>
      <c r="G1084" s="648"/>
      <c r="H1084" s="648"/>
      <c r="I1084" s="648"/>
      <c r="J1084" s="648"/>
      <c r="K1084" s="648"/>
      <c r="L1084" s="648"/>
      <c r="M1084" s="648"/>
      <c r="N1084" s="648"/>
      <c r="O1084" s="648"/>
      <c r="P1084" s="648"/>
      <c r="Q1084" s="648"/>
      <c r="R1084" s="648"/>
      <c r="S1084" s="648"/>
      <c r="T1084" s="648"/>
      <c r="U1084" s="648"/>
      <c r="V1084" s="648"/>
      <c r="W1084" s="648"/>
      <c r="X1084" s="648"/>
      <c r="Y1084" s="648"/>
      <c r="Z1084" s="648"/>
      <c r="AA1084" s="648"/>
      <c r="AB1084" s="648"/>
      <c r="AC1084" s="648"/>
      <c r="AD1084" s="648"/>
      <c r="AE1084" s="648"/>
      <c r="AF1084" s="648"/>
      <c r="AH1084" s="649"/>
      <c r="AK1084" s="531"/>
      <c r="AM1084" s="539"/>
      <c r="AN1084" s="540"/>
      <c r="AP1084" s="540"/>
      <c r="AQ1084" s="540"/>
    </row>
    <row r="1085" spans="1:43" s="546" customFormat="1" ht="16.5" customHeight="1" collapsed="1">
      <c r="A1085" s="584"/>
      <c r="B1085" s="544" t="s">
        <v>880</v>
      </c>
      <c r="C1085" s="545"/>
      <c r="D1085" s="545"/>
      <c r="E1085" s="545"/>
      <c r="F1085" s="545"/>
      <c r="G1085" s="545"/>
      <c r="H1085" s="545"/>
      <c r="I1085" s="545"/>
      <c r="J1085" s="545"/>
      <c r="K1085" s="545"/>
      <c r="L1085" s="545"/>
      <c r="M1085" s="545"/>
      <c r="N1085" s="545"/>
      <c r="O1085" s="545"/>
      <c r="P1085" s="545"/>
      <c r="Q1085" s="545"/>
      <c r="R1085" s="545"/>
      <c r="S1085" s="545"/>
      <c r="T1085" s="545"/>
      <c r="U1085" s="545"/>
      <c r="V1085" s="545"/>
      <c r="W1085" s="545"/>
      <c r="X1085" s="545"/>
      <c r="Y1085" s="545"/>
      <c r="Z1085" s="545"/>
      <c r="AA1085" s="545"/>
      <c r="AB1085" s="545"/>
      <c r="AC1085" s="545"/>
      <c r="AD1085" s="545"/>
      <c r="AE1085" s="545"/>
      <c r="AF1085" s="545"/>
      <c r="AH1085" s="571"/>
      <c r="AK1085" s="531"/>
      <c r="AM1085" s="539"/>
      <c r="AN1085" s="540"/>
      <c r="AP1085" s="549"/>
      <c r="AQ1085" s="549"/>
    </row>
    <row r="1086" spans="1:43" s="513" customFormat="1" ht="16.5" hidden="1" customHeight="1" outlineLevel="2">
      <c r="A1086" s="584"/>
      <c r="B1086" s="650" t="s">
        <v>850</v>
      </c>
      <c r="C1086" s="553">
        <v>0</v>
      </c>
      <c r="D1086" s="553">
        <v>0</v>
      </c>
      <c r="E1086" s="553">
        <v>0</v>
      </c>
      <c r="F1086" s="553">
        <v>0</v>
      </c>
      <c r="G1086" s="553">
        <v>0</v>
      </c>
      <c r="H1086" s="553">
        <v>0</v>
      </c>
      <c r="I1086" s="553">
        <v>0</v>
      </c>
      <c r="J1086" s="553">
        <v>0</v>
      </c>
      <c r="K1086" s="553">
        <v>0</v>
      </c>
      <c r="L1086" s="553">
        <v>0</v>
      </c>
      <c r="M1086" s="553">
        <v>0</v>
      </c>
      <c r="N1086" s="553">
        <v>0</v>
      </c>
      <c r="O1086" s="553">
        <v>0</v>
      </c>
      <c r="P1086" s="553">
        <v>0</v>
      </c>
      <c r="Q1086" s="553">
        <v>0</v>
      </c>
      <c r="R1086" s="553">
        <v>0</v>
      </c>
      <c r="S1086" s="553">
        <v>0</v>
      </c>
      <c r="T1086" s="553">
        <v>0</v>
      </c>
      <c r="U1086" s="553">
        <v>0</v>
      </c>
      <c r="V1086" s="553">
        <v>0</v>
      </c>
      <c r="W1086" s="553">
        <v>0</v>
      </c>
      <c r="X1086" s="553">
        <v>0</v>
      </c>
      <c r="Y1086" s="553">
        <v>0</v>
      </c>
      <c r="Z1086" s="553">
        <v>0</v>
      </c>
      <c r="AA1086" s="553">
        <v>0</v>
      </c>
      <c r="AB1086" s="553">
        <v>0</v>
      </c>
      <c r="AC1086" s="553">
        <v>0</v>
      </c>
      <c r="AD1086" s="553">
        <v>0</v>
      </c>
      <c r="AE1086" s="553">
        <v>0</v>
      </c>
      <c r="AF1086" s="553">
        <v>0</v>
      </c>
      <c r="AH1086" s="538"/>
      <c r="AK1086" s="531"/>
      <c r="AM1086" s="594"/>
      <c r="AN1086" s="535"/>
      <c r="AP1086" s="540"/>
      <c r="AQ1086" s="540"/>
    </row>
    <row r="1087" spans="1:43" s="513" customFormat="1" ht="16.5" hidden="1" customHeight="1" outlineLevel="2">
      <c r="A1087" s="584"/>
      <c r="B1087" s="551" t="s">
        <v>985</v>
      </c>
      <c r="C1087" s="553">
        <v>0</v>
      </c>
      <c r="D1087" s="553">
        <v>0</v>
      </c>
      <c r="E1087" s="553">
        <v>0</v>
      </c>
      <c r="F1087" s="553">
        <v>0</v>
      </c>
      <c r="G1087" s="553">
        <v>0</v>
      </c>
      <c r="H1087" s="553">
        <v>0</v>
      </c>
      <c r="I1087" s="553">
        <v>0</v>
      </c>
      <c r="J1087" s="553">
        <v>0</v>
      </c>
      <c r="K1087" s="553">
        <v>0</v>
      </c>
      <c r="L1087" s="553">
        <v>0</v>
      </c>
      <c r="M1087" s="553">
        <v>0</v>
      </c>
      <c r="N1087" s="553">
        <v>0</v>
      </c>
      <c r="O1087" s="553">
        <v>0</v>
      </c>
      <c r="P1087" s="553">
        <v>0</v>
      </c>
      <c r="Q1087" s="553">
        <v>0</v>
      </c>
      <c r="R1087" s="553">
        <v>0</v>
      </c>
      <c r="S1087" s="553">
        <v>0</v>
      </c>
      <c r="T1087" s="553">
        <v>0</v>
      </c>
      <c r="U1087" s="553">
        <v>0</v>
      </c>
      <c r="V1087" s="553">
        <v>0</v>
      </c>
      <c r="W1087" s="553">
        <v>0</v>
      </c>
      <c r="X1087" s="553">
        <v>0</v>
      </c>
      <c r="Y1087" s="553">
        <v>0</v>
      </c>
      <c r="Z1087" s="553">
        <v>0</v>
      </c>
      <c r="AA1087" s="553">
        <v>0</v>
      </c>
      <c r="AB1087" s="553">
        <v>0</v>
      </c>
      <c r="AC1087" s="553">
        <v>0</v>
      </c>
      <c r="AD1087" s="553">
        <v>0</v>
      </c>
      <c r="AE1087" s="553">
        <v>0</v>
      </c>
      <c r="AF1087" s="553">
        <v>0</v>
      </c>
      <c r="AH1087" s="538"/>
      <c r="AK1087" s="531"/>
      <c r="AM1087" s="594"/>
      <c r="AN1087" s="535"/>
      <c r="AP1087" s="540"/>
      <c r="AQ1087" s="540"/>
    </row>
    <row r="1088" spans="1:43" s="546" customFormat="1" ht="16.5" customHeight="1" collapsed="1">
      <c r="A1088" s="584"/>
      <c r="B1088" s="650" t="s">
        <v>854</v>
      </c>
      <c r="C1088" s="651"/>
      <c r="D1088" s="651"/>
      <c r="E1088" s="651"/>
      <c r="F1088" s="651"/>
      <c r="G1088" s="651"/>
      <c r="H1088" s="651"/>
      <c r="I1088" s="651"/>
      <c r="J1088" s="651"/>
      <c r="K1088" s="651"/>
      <c r="L1088" s="651"/>
      <c r="M1088" s="651"/>
      <c r="N1088" s="651"/>
      <c r="O1088" s="651"/>
      <c r="P1088" s="651"/>
      <c r="Q1088" s="651"/>
      <c r="R1088" s="651"/>
      <c r="S1088" s="651"/>
      <c r="T1088" s="651"/>
      <c r="U1088" s="651"/>
      <c r="V1088" s="651"/>
      <c r="W1088" s="651"/>
      <c r="X1088" s="651"/>
      <c r="Y1088" s="651"/>
      <c r="Z1088" s="651"/>
      <c r="AA1088" s="651"/>
      <c r="AB1088" s="651"/>
      <c r="AC1088" s="651"/>
      <c r="AD1088" s="651"/>
      <c r="AE1088" s="651"/>
      <c r="AF1088" s="651"/>
      <c r="AH1088" s="571"/>
      <c r="AK1088" s="531"/>
      <c r="AM1088" s="539"/>
      <c r="AN1088" s="540"/>
      <c r="AP1088" s="549"/>
      <c r="AQ1088" s="549"/>
    </row>
    <row r="1089" spans="1:43" s="513" customFormat="1" ht="16.5" hidden="1" customHeight="1" outlineLevel="2">
      <c r="A1089" s="584"/>
      <c r="B1089" s="551" t="s">
        <v>851</v>
      </c>
      <c r="C1089" s="554">
        <v>0</v>
      </c>
      <c r="D1089" s="554">
        <v>0</v>
      </c>
      <c r="E1089" s="554">
        <v>4</v>
      </c>
      <c r="F1089" s="553">
        <f t="shared" ref="F1089:AF1089" si="925">E1089</f>
        <v>4</v>
      </c>
      <c r="G1089" s="553">
        <f t="shared" si="925"/>
        <v>4</v>
      </c>
      <c r="H1089" s="553">
        <f t="shared" si="925"/>
        <v>4</v>
      </c>
      <c r="I1089" s="553">
        <f t="shared" si="925"/>
        <v>4</v>
      </c>
      <c r="J1089" s="553">
        <f t="shared" si="925"/>
        <v>4</v>
      </c>
      <c r="K1089" s="553">
        <f t="shared" si="925"/>
        <v>4</v>
      </c>
      <c r="L1089" s="553">
        <f t="shared" si="925"/>
        <v>4</v>
      </c>
      <c r="M1089" s="553">
        <f t="shared" si="925"/>
        <v>4</v>
      </c>
      <c r="N1089" s="553">
        <f t="shared" si="925"/>
        <v>4</v>
      </c>
      <c r="O1089" s="553">
        <f t="shared" si="925"/>
        <v>4</v>
      </c>
      <c r="P1089" s="553">
        <f t="shared" si="925"/>
        <v>4</v>
      </c>
      <c r="Q1089" s="553">
        <f t="shared" si="925"/>
        <v>4</v>
      </c>
      <c r="R1089" s="553">
        <f t="shared" si="925"/>
        <v>4</v>
      </c>
      <c r="S1089" s="553">
        <f t="shared" si="925"/>
        <v>4</v>
      </c>
      <c r="T1089" s="553">
        <f t="shared" si="925"/>
        <v>4</v>
      </c>
      <c r="U1089" s="553">
        <f t="shared" si="925"/>
        <v>4</v>
      </c>
      <c r="V1089" s="553">
        <f t="shared" si="925"/>
        <v>4</v>
      </c>
      <c r="W1089" s="553">
        <f t="shared" si="925"/>
        <v>4</v>
      </c>
      <c r="X1089" s="553">
        <f t="shared" si="925"/>
        <v>4</v>
      </c>
      <c r="Y1089" s="553">
        <f t="shared" si="925"/>
        <v>4</v>
      </c>
      <c r="Z1089" s="553">
        <f t="shared" si="925"/>
        <v>4</v>
      </c>
      <c r="AA1089" s="553">
        <f t="shared" si="925"/>
        <v>4</v>
      </c>
      <c r="AB1089" s="553">
        <f t="shared" si="925"/>
        <v>4</v>
      </c>
      <c r="AC1089" s="553">
        <f t="shared" si="925"/>
        <v>4</v>
      </c>
      <c r="AD1089" s="553">
        <f t="shared" si="925"/>
        <v>4</v>
      </c>
      <c r="AE1089" s="553">
        <f t="shared" si="925"/>
        <v>4</v>
      </c>
      <c r="AF1089" s="553">
        <f t="shared" si="925"/>
        <v>4</v>
      </c>
      <c r="AH1089" s="538"/>
      <c r="AK1089" s="531"/>
      <c r="AM1089" s="539"/>
      <c r="AN1089" s="540"/>
      <c r="AP1089" s="540"/>
      <c r="AQ1089" s="540"/>
    </row>
    <row r="1090" spans="1:43" s="513" customFormat="1" ht="16.5" hidden="1" customHeight="1" outlineLevel="2">
      <c r="A1090" s="584"/>
      <c r="B1090" s="551" t="s">
        <v>986</v>
      </c>
      <c r="C1090" s="554">
        <v>0</v>
      </c>
      <c r="D1090" s="554">
        <v>0</v>
      </c>
      <c r="E1090" s="554">
        <v>4</v>
      </c>
      <c r="F1090" s="553">
        <v>4</v>
      </c>
      <c r="G1090" s="553">
        <v>4</v>
      </c>
      <c r="H1090" s="553">
        <v>4</v>
      </c>
      <c r="I1090" s="553">
        <v>4</v>
      </c>
      <c r="J1090" s="553">
        <v>4</v>
      </c>
      <c r="K1090" s="553">
        <v>4</v>
      </c>
      <c r="L1090" s="553">
        <v>4</v>
      </c>
      <c r="M1090" s="553">
        <v>4</v>
      </c>
      <c r="N1090" s="553">
        <v>4</v>
      </c>
      <c r="O1090" s="553">
        <v>4</v>
      </c>
      <c r="P1090" s="553">
        <v>4</v>
      </c>
      <c r="Q1090" s="553">
        <v>4</v>
      </c>
      <c r="R1090" s="553">
        <v>4</v>
      </c>
      <c r="S1090" s="553">
        <v>4</v>
      </c>
      <c r="T1090" s="553">
        <v>4</v>
      </c>
      <c r="U1090" s="553">
        <v>4</v>
      </c>
      <c r="V1090" s="553">
        <v>4</v>
      </c>
      <c r="W1090" s="553">
        <v>4</v>
      </c>
      <c r="X1090" s="553">
        <v>4</v>
      </c>
      <c r="Y1090" s="553">
        <v>4</v>
      </c>
      <c r="Z1090" s="553">
        <v>4</v>
      </c>
      <c r="AA1090" s="553">
        <v>4</v>
      </c>
      <c r="AB1090" s="553">
        <v>4</v>
      </c>
      <c r="AC1090" s="553">
        <v>4</v>
      </c>
      <c r="AD1090" s="553">
        <v>4</v>
      </c>
      <c r="AE1090" s="553">
        <v>4</v>
      </c>
      <c r="AF1090" s="553">
        <v>4</v>
      </c>
      <c r="AH1090" s="538"/>
      <c r="AK1090" s="531"/>
      <c r="AM1090" s="594"/>
      <c r="AN1090" s="535"/>
      <c r="AP1090" s="540"/>
      <c r="AQ1090" s="540"/>
    </row>
    <row r="1091" spans="1:43" s="513" customFormat="1" ht="15" hidden="1" customHeight="1" outlineLevel="2">
      <c r="A1091" s="584"/>
      <c r="B1091" s="650" t="s">
        <v>987</v>
      </c>
      <c r="C1091" s="554"/>
      <c r="D1091" s="554"/>
      <c r="E1091" s="552"/>
      <c r="F1091" s="553"/>
      <c r="G1091" s="553"/>
      <c r="H1091" s="553"/>
      <c r="I1091" s="553"/>
      <c r="J1091" s="553"/>
      <c r="K1091" s="553"/>
      <c r="L1091" s="553"/>
      <c r="M1091" s="553"/>
      <c r="N1091" s="553"/>
      <c r="O1091" s="553"/>
      <c r="P1091" s="553"/>
      <c r="Q1091" s="553"/>
      <c r="R1091" s="553"/>
      <c r="S1091" s="553"/>
      <c r="T1091" s="553"/>
      <c r="U1091" s="553"/>
      <c r="V1091" s="553"/>
      <c r="W1091" s="553"/>
      <c r="X1091" s="553"/>
      <c r="Y1091" s="553"/>
      <c r="Z1091" s="553"/>
      <c r="AA1091" s="553"/>
      <c r="AB1091" s="553"/>
      <c r="AC1091" s="553"/>
      <c r="AD1091" s="553"/>
      <c r="AE1091" s="553"/>
      <c r="AF1091" s="553"/>
      <c r="AH1091" s="538"/>
      <c r="AK1091" s="531"/>
      <c r="AM1091" s="594"/>
      <c r="AN1091" s="535"/>
      <c r="AP1091" s="540"/>
      <c r="AQ1091" s="540"/>
    </row>
    <row r="1092" spans="1:43" s="513" customFormat="1" ht="16.5" hidden="1" customHeight="1" outlineLevel="2">
      <c r="A1092" s="584"/>
      <c r="B1092" s="551" t="s">
        <v>988</v>
      </c>
      <c r="C1092" s="554">
        <v>8</v>
      </c>
      <c r="D1092" s="554">
        <v>16</v>
      </c>
      <c r="E1092" s="554">
        <f>D1092</f>
        <v>16</v>
      </c>
      <c r="F1092" s="553">
        <f>E1092</f>
        <v>16</v>
      </c>
      <c r="G1092" s="553">
        <f t="shared" ref="G1092:AF1092" si="926">F1092</f>
        <v>16</v>
      </c>
      <c r="H1092" s="553">
        <f t="shared" si="926"/>
        <v>16</v>
      </c>
      <c r="I1092" s="553">
        <f t="shared" si="926"/>
        <v>16</v>
      </c>
      <c r="J1092" s="553">
        <f t="shared" si="926"/>
        <v>16</v>
      </c>
      <c r="K1092" s="553">
        <f t="shared" si="926"/>
        <v>16</v>
      </c>
      <c r="L1092" s="553">
        <f t="shared" si="926"/>
        <v>16</v>
      </c>
      <c r="M1092" s="553">
        <f t="shared" si="926"/>
        <v>16</v>
      </c>
      <c r="N1092" s="553">
        <f t="shared" si="926"/>
        <v>16</v>
      </c>
      <c r="O1092" s="553">
        <f t="shared" si="926"/>
        <v>16</v>
      </c>
      <c r="P1092" s="553">
        <f t="shared" si="926"/>
        <v>16</v>
      </c>
      <c r="Q1092" s="553">
        <f t="shared" si="926"/>
        <v>16</v>
      </c>
      <c r="R1092" s="553">
        <f t="shared" si="926"/>
        <v>16</v>
      </c>
      <c r="S1092" s="553">
        <f t="shared" si="926"/>
        <v>16</v>
      </c>
      <c r="T1092" s="553">
        <f t="shared" si="926"/>
        <v>16</v>
      </c>
      <c r="U1092" s="553">
        <f t="shared" si="926"/>
        <v>16</v>
      </c>
      <c r="V1092" s="553">
        <f t="shared" si="926"/>
        <v>16</v>
      </c>
      <c r="W1092" s="553">
        <f t="shared" si="926"/>
        <v>16</v>
      </c>
      <c r="X1092" s="553">
        <f t="shared" si="926"/>
        <v>16</v>
      </c>
      <c r="Y1092" s="553">
        <f t="shared" si="926"/>
        <v>16</v>
      </c>
      <c r="Z1092" s="553">
        <f t="shared" si="926"/>
        <v>16</v>
      </c>
      <c r="AA1092" s="553">
        <f t="shared" si="926"/>
        <v>16</v>
      </c>
      <c r="AB1092" s="553">
        <f t="shared" si="926"/>
        <v>16</v>
      </c>
      <c r="AC1092" s="553">
        <f t="shared" si="926"/>
        <v>16</v>
      </c>
      <c r="AD1092" s="553">
        <f t="shared" si="926"/>
        <v>16</v>
      </c>
      <c r="AE1092" s="553">
        <f t="shared" si="926"/>
        <v>16</v>
      </c>
      <c r="AF1092" s="553">
        <f t="shared" si="926"/>
        <v>16</v>
      </c>
      <c r="AH1092" s="538"/>
      <c r="AK1092" s="531"/>
      <c r="AM1092" s="594"/>
      <c r="AN1092" s="535"/>
      <c r="AP1092" s="540"/>
      <c r="AQ1092" s="540"/>
    </row>
    <row r="1093" spans="1:43" s="620" customFormat="1" ht="16.5" customHeight="1">
      <c r="A1093" s="584"/>
      <c r="B1093" s="618" t="s">
        <v>886</v>
      </c>
      <c r="C1093" s="545">
        <f>SUM(C1218,C1226,C1234,C1241,C1262,C1269,C1276)</f>
        <v>0</v>
      </c>
      <c r="D1093" s="545">
        <f t="shared" ref="D1093:AF1093" si="927">SUM(D1218,D1226,D1234,D1241,D1262,D1269,D1276)</f>
        <v>1</v>
      </c>
      <c r="E1093" s="545">
        <f t="shared" si="927"/>
        <v>2</v>
      </c>
      <c r="F1093" s="545">
        <f t="shared" si="927"/>
        <v>2</v>
      </c>
      <c r="G1093" s="545">
        <f>SUM(G1218,G1226,G1234,G1241,G1262,G1269,G1276)</f>
        <v>2</v>
      </c>
      <c r="H1093" s="545">
        <f>SUM(H1218,H1226,H1234,H1241,H1262,H1269,H1276)</f>
        <v>2</v>
      </c>
      <c r="I1093" s="545">
        <f t="shared" si="927"/>
        <v>10.5</v>
      </c>
      <c r="J1093" s="545">
        <f t="shared" si="927"/>
        <v>10.5</v>
      </c>
      <c r="K1093" s="545">
        <f t="shared" si="927"/>
        <v>10.5</v>
      </c>
      <c r="L1093" s="545">
        <f t="shared" si="927"/>
        <v>10.5</v>
      </c>
      <c r="M1093" s="545">
        <f t="shared" si="927"/>
        <v>10.5</v>
      </c>
      <c r="N1093" s="545">
        <f t="shared" si="927"/>
        <v>10.5</v>
      </c>
      <c r="O1093" s="545">
        <f t="shared" si="927"/>
        <v>10.5</v>
      </c>
      <c r="P1093" s="545">
        <f t="shared" si="927"/>
        <v>10.5</v>
      </c>
      <c r="Q1093" s="545">
        <f t="shared" si="927"/>
        <v>10.5</v>
      </c>
      <c r="R1093" s="545">
        <f t="shared" si="927"/>
        <v>10.5</v>
      </c>
      <c r="S1093" s="545">
        <f t="shared" si="927"/>
        <v>10.5</v>
      </c>
      <c r="T1093" s="545">
        <f t="shared" si="927"/>
        <v>10.5</v>
      </c>
      <c r="U1093" s="545">
        <f t="shared" si="927"/>
        <v>10.5</v>
      </c>
      <c r="V1093" s="545">
        <f t="shared" si="927"/>
        <v>10.5</v>
      </c>
      <c r="W1093" s="545">
        <f t="shared" si="927"/>
        <v>10.5</v>
      </c>
      <c r="X1093" s="545">
        <f t="shared" si="927"/>
        <v>10.5</v>
      </c>
      <c r="Y1093" s="545">
        <f t="shared" si="927"/>
        <v>10.5</v>
      </c>
      <c r="Z1093" s="545">
        <f t="shared" si="927"/>
        <v>10.5</v>
      </c>
      <c r="AA1093" s="545">
        <f t="shared" si="927"/>
        <v>10.5</v>
      </c>
      <c r="AB1093" s="545">
        <f t="shared" si="927"/>
        <v>10.5</v>
      </c>
      <c r="AC1093" s="545">
        <f t="shared" si="927"/>
        <v>10.5</v>
      </c>
      <c r="AD1093" s="545">
        <f t="shared" si="927"/>
        <v>10.5</v>
      </c>
      <c r="AE1093" s="545">
        <f t="shared" si="927"/>
        <v>10.5</v>
      </c>
      <c r="AF1093" s="545">
        <f t="shared" si="927"/>
        <v>10.5</v>
      </c>
      <c r="AG1093" s="546"/>
      <c r="AH1093" s="619"/>
      <c r="AI1093" s="546"/>
      <c r="AJ1093" s="546"/>
      <c r="AK1093" s="531"/>
      <c r="AL1093" s="546"/>
      <c r="AM1093" s="548"/>
      <c r="AN1093" s="540"/>
      <c r="AO1093" s="546"/>
      <c r="AP1093" s="549"/>
      <c r="AQ1093" s="549"/>
    </row>
    <row r="1094" spans="1:43" s="546" customFormat="1" ht="4.2" customHeight="1" collapsed="1">
      <c r="A1094" s="584"/>
      <c r="B1094" s="618"/>
      <c r="C1094" s="545"/>
      <c r="D1094" s="545"/>
      <c r="E1094" s="545"/>
      <c r="F1094" s="545"/>
      <c r="G1094" s="545"/>
      <c r="H1094" s="545"/>
      <c r="I1094" s="545"/>
      <c r="J1094" s="545"/>
      <c r="K1094" s="545"/>
      <c r="L1094" s="545"/>
      <c r="M1094" s="545"/>
      <c r="N1094" s="545"/>
      <c r="O1094" s="545"/>
      <c r="P1094" s="545"/>
      <c r="Q1094" s="545"/>
      <c r="R1094" s="545"/>
      <c r="S1094" s="545"/>
      <c r="T1094" s="545"/>
      <c r="U1094" s="545"/>
      <c r="V1094" s="545"/>
      <c r="W1094" s="545"/>
      <c r="X1094" s="545"/>
      <c r="Y1094" s="545"/>
      <c r="Z1094" s="545"/>
      <c r="AA1094" s="545"/>
      <c r="AB1094" s="545"/>
      <c r="AC1094" s="545"/>
      <c r="AD1094" s="545"/>
      <c r="AE1094" s="545"/>
      <c r="AF1094" s="545"/>
      <c r="AH1094" s="619"/>
      <c r="AK1094" s="531"/>
      <c r="AM1094" s="548"/>
      <c r="AN1094" s="540"/>
      <c r="AP1094" s="549"/>
      <c r="AQ1094" s="549"/>
    </row>
    <row r="1095" spans="1:43" s="564" customFormat="1" ht="16.5" hidden="1" customHeight="1" outlineLevel="1">
      <c r="A1095" s="584"/>
      <c r="B1095" s="576" t="s">
        <v>890</v>
      </c>
      <c r="C1095" s="577">
        <f>SUM(C1096,C1100,C1110,C1120)*12/10^3</f>
        <v>0.7107</v>
      </c>
      <c r="D1095" s="577">
        <f t="shared" ref="D1095:AF1095" si="928">SUM(D1096,D1100,D1110,D1120)*12/10^3</f>
        <v>5.4733732266539397</v>
      </c>
      <c r="E1095" s="577">
        <f t="shared" si="928"/>
        <v>44.565155691379289</v>
      </c>
      <c r="F1095" s="577">
        <f t="shared" si="928"/>
        <v>44.565155691379289</v>
      </c>
      <c r="G1095" s="577">
        <f t="shared" si="928"/>
        <v>44.565155691379289</v>
      </c>
      <c r="H1095" s="577">
        <f t="shared" si="928"/>
        <v>44.565155691379289</v>
      </c>
      <c r="I1095" s="577">
        <f t="shared" si="928"/>
        <v>424.08093222468352</v>
      </c>
      <c r="J1095" s="577">
        <f t="shared" si="928"/>
        <v>424.08093222468352</v>
      </c>
      <c r="K1095" s="577">
        <f t="shared" si="928"/>
        <v>424.08093222468352</v>
      </c>
      <c r="L1095" s="577">
        <f t="shared" si="928"/>
        <v>424.08093222468352</v>
      </c>
      <c r="M1095" s="577">
        <f t="shared" si="928"/>
        <v>424.08093222468352</v>
      </c>
      <c r="N1095" s="577">
        <f t="shared" si="928"/>
        <v>424.08093222468352</v>
      </c>
      <c r="O1095" s="577">
        <f t="shared" si="928"/>
        <v>424.08093222468352</v>
      </c>
      <c r="P1095" s="577">
        <f t="shared" si="928"/>
        <v>424.08093222468352</v>
      </c>
      <c r="Q1095" s="577">
        <f t="shared" si="928"/>
        <v>424.08093222468352</v>
      </c>
      <c r="R1095" s="577">
        <f t="shared" si="928"/>
        <v>424.08093222468352</v>
      </c>
      <c r="S1095" s="577">
        <f t="shared" si="928"/>
        <v>424.08093222468352</v>
      </c>
      <c r="T1095" s="577">
        <f t="shared" si="928"/>
        <v>424.08093222468352</v>
      </c>
      <c r="U1095" s="577">
        <f t="shared" si="928"/>
        <v>424.08093222468352</v>
      </c>
      <c r="V1095" s="577">
        <f t="shared" si="928"/>
        <v>424.08093222468352</v>
      </c>
      <c r="W1095" s="577">
        <f t="shared" si="928"/>
        <v>424.08093222468352</v>
      </c>
      <c r="X1095" s="577">
        <f t="shared" si="928"/>
        <v>424.08093222468352</v>
      </c>
      <c r="Y1095" s="577">
        <f t="shared" si="928"/>
        <v>424.08093222468352</v>
      </c>
      <c r="Z1095" s="577">
        <f t="shared" si="928"/>
        <v>424.08093222468352</v>
      </c>
      <c r="AA1095" s="577">
        <f t="shared" si="928"/>
        <v>424.08093222468352</v>
      </c>
      <c r="AB1095" s="577">
        <f t="shared" si="928"/>
        <v>424.08093222468352</v>
      </c>
      <c r="AC1095" s="577">
        <f t="shared" si="928"/>
        <v>424.08093222468352</v>
      </c>
      <c r="AD1095" s="577">
        <f t="shared" si="928"/>
        <v>424.08093222468352</v>
      </c>
      <c r="AE1095" s="577">
        <f t="shared" si="928"/>
        <v>424.08093222468352</v>
      </c>
      <c r="AF1095" s="577">
        <f t="shared" si="928"/>
        <v>424.08093222468352</v>
      </c>
      <c r="AG1095" s="652">
        <f>SUM(AG1100,AG1110)*12/10^3</f>
        <v>0</v>
      </c>
      <c r="AH1095" s="578">
        <f>SUM(C1095:AF1095)</f>
        <v>10362.387069384577</v>
      </c>
      <c r="AJ1095" s="579"/>
      <c r="AK1095" s="531"/>
      <c r="AM1095" s="594"/>
      <c r="AN1095" s="535"/>
      <c r="AP1095" s="568"/>
      <c r="AQ1095" s="568"/>
    </row>
    <row r="1096" spans="1:43" s="564" customFormat="1" ht="16.5" hidden="1" customHeight="1" outlineLevel="1" collapsed="1">
      <c r="A1096" s="584"/>
      <c r="B1096" s="650" t="s">
        <v>850</v>
      </c>
      <c r="C1096" s="653">
        <f>SUM(C1097)</f>
        <v>0</v>
      </c>
      <c r="D1096" s="653">
        <f>SUM(D1097)</f>
        <v>0</v>
      </c>
      <c r="E1096" s="653">
        <f t="shared" ref="E1096:AE1096" si="929">SUM(E1097)</f>
        <v>0</v>
      </c>
      <c r="F1096" s="653">
        <f t="shared" si="929"/>
        <v>0</v>
      </c>
      <c r="G1096" s="653">
        <f t="shared" si="929"/>
        <v>0</v>
      </c>
      <c r="H1096" s="653">
        <f t="shared" si="929"/>
        <v>0</v>
      </c>
      <c r="I1096" s="653">
        <f t="shared" si="929"/>
        <v>0</v>
      </c>
      <c r="J1096" s="653">
        <f t="shared" si="929"/>
        <v>0</v>
      </c>
      <c r="K1096" s="653">
        <f t="shared" si="929"/>
        <v>0</v>
      </c>
      <c r="L1096" s="653">
        <f t="shared" si="929"/>
        <v>0</v>
      </c>
      <c r="M1096" s="653">
        <f t="shared" si="929"/>
        <v>0</v>
      </c>
      <c r="N1096" s="653">
        <f t="shared" si="929"/>
        <v>0</v>
      </c>
      <c r="O1096" s="653">
        <f t="shared" si="929"/>
        <v>0</v>
      </c>
      <c r="P1096" s="653">
        <f t="shared" si="929"/>
        <v>0</v>
      </c>
      <c r="Q1096" s="653">
        <f t="shared" si="929"/>
        <v>0</v>
      </c>
      <c r="R1096" s="653">
        <f t="shared" si="929"/>
        <v>0</v>
      </c>
      <c r="S1096" s="653">
        <f t="shared" si="929"/>
        <v>0</v>
      </c>
      <c r="T1096" s="653">
        <f t="shared" si="929"/>
        <v>0</v>
      </c>
      <c r="U1096" s="653">
        <f t="shared" si="929"/>
        <v>0</v>
      </c>
      <c r="V1096" s="653">
        <f t="shared" si="929"/>
        <v>0</v>
      </c>
      <c r="W1096" s="653">
        <f t="shared" si="929"/>
        <v>0</v>
      </c>
      <c r="X1096" s="653">
        <f t="shared" si="929"/>
        <v>0</v>
      </c>
      <c r="Y1096" s="653">
        <f t="shared" si="929"/>
        <v>0</v>
      </c>
      <c r="Z1096" s="653">
        <f t="shared" si="929"/>
        <v>0</v>
      </c>
      <c r="AA1096" s="653">
        <f t="shared" si="929"/>
        <v>0</v>
      </c>
      <c r="AB1096" s="653">
        <f t="shared" si="929"/>
        <v>0</v>
      </c>
      <c r="AC1096" s="653">
        <f t="shared" si="929"/>
        <v>0</v>
      </c>
      <c r="AD1096" s="653">
        <f t="shared" si="929"/>
        <v>0</v>
      </c>
      <c r="AE1096" s="653">
        <f t="shared" si="929"/>
        <v>0</v>
      </c>
      <c r="AF1096" s="653">
        <f>SUM(AF1097)</f>
        <v>0</v>
      </c>
      <c r="AH1096" s="601"/>
      <c r="AJ1096" s="566"/>
      <c r="AK1096" s="531"/>
      <c r="AM1096" s="594"/>
      <c r="AN1096" s="535"/>
      <c r="AP1096" s="568"/>
      <c r="AQ1096" s="568"/>
    </row>
    <row r="1097" spans="1:43" s="546" customFormat="1" ht="16.5" hidden="1" customHeight="1" outlineLevel="2">
      <c r="A1097" s="584"/>
      <c r="B1097" s="569" t="s">
        <v>851</v>
      </c>
      <c r="C1097" s="570">
        <f>C1098*C1099</f>
        <v>0</v>
      </c>
      <c r="D1097" s="570">
        <f t="shared" ref="D1097:AF1097" si="930">D1098*D1099</f>
        <v>0</v>
      </c>
      <c r="E1097" s="570">
        <f t="shared" si="930"/>
        <v>0</v>
      </c>
      <c r="F1097" s="570">
        <f t="shared" si="930"/>
        <v>0</v>
      </c>
      <c r="G1097" s="570">
        <f t="shared" si="930"/>
        <v>0</v>
      </c>
      <c r="H1097" s="570">
        <f t="shared" si="930"/>
        <v>0</v>
      </c>
      <c r="I1097" s="570">
        <f t="shared" si="930"/>
        <v>0</v>
      </c>
      <c r="J1097" s="570">
        <f t="shared" si="930"/>
        <v>0</v>
      </c>
      <c r="K1097" s="570">
        <f t="shared" si="930"/>
        <v>0</v>
      </c>
      <c r="L1097" s="570">
        <f t="shared" si="930"/>
        <v>0</v>
      </c>
      <c r="M1097" s="570">
        <f t="shared" si="930"/>
        <v>0</v>
      </c>
      <c r="N1097" s="570">
        <f t="shared" si="930"/>
        <v>0</v>
      </c>
      <c r="O1097" s="570">
        <f t="shared" si="930"/>
        <v>0</v>
      </c>
      <c r="P1097" s="570">
        <f t="shared" si="930"/>
        <v>0</v>
      </c>
      <c r="Q1097" s="570">
        <f t="shared" si="930"/>
        <v>0</v>
      </c>
      <c r="R1097" s="570">
        <f t="shared" si="930"/>
        <v>0</v>
      </c>
      <c r="S1097" s="570">
        <f t="shared" si="930"/>
        <v>0</v>
      </c>
      <c r="T1097" s="570">
        <f t="shared" si="930"/>
        <v>0</v>
      </c>
      <c r="U1097" s="570">
        <f t="shared" si="930"/>
        <v>0</v>
      </c>
      <c r="V1097" s="570">
        <f t="shared" si="930"/>
        <v>0</v>
      </c>
      <c r="W1097" s="570">
        <f t="shared" si="930"/>
        <v>0</v>
      </c>
      <c r="X1097" s="570">
        <f t="shared" si="930"/>
        <v>0</v>
      </c>
      <c r="Y1097" s="570">
        <f t="shared" si="930"/>
        <v>0</v>
      </c>
      <c r="Z1097" s="570">
        <f t="shared" si="930"/>
        <v>0</v>
      </c>
      <c r="AA1097" s="570">
        <f t="shared" si="930"/>
        <v>0</v>
      </c>
      <c r="AB1097" s="570">
        <f t="shared" si="930"/>
        <v>0</v>
      </c>
      <c r="AC1097" s="570">
        <f t="shared" si="930"/>
        <v>0</v>
      </c>
      <c r="AD1097" s="570">
        <f t="shared" si="930"/>
        <v>0</v>
      </c>
      <c r="AE1097" s="570">
        <f t="shared" si="930"/>
        <v>0</v>
      </c>
      <c r="AF1097" s="570">
        <f t="shared" si="930"/>
        <v>0</v>
      </c>
      <c r="AH1097" s="571"/>
      <c r="AK1097" s="531"/>
      <c r="AM1097" s="594"/>
      <c r="AN1097" s="535"/>
      <c r="AP1097" s="549"/>
      <c r="AQ1097" s="549"/>
    </row>
    <row r="1098" spans="1:43" s="513" customFormat="1" ht="16.5" hidden="1" customHeight="1" outlineLevel="2">
      <c r="A1098" s="584"/>
      <c r="B1098" s="572" t="s">
        <v>989</v>
      </c>
      <c r="C1098" s="553">
        <v>0</v>
      </c>
      <c r="D1098" s="553">
        <v>0</v>
      </c>
      <c r="E1098" s="553">
        <v>0</v>
      </c>
      <c r="F1098" s="553">
        <f>E1098</f>
        <v>0</v>
      </c>
      <c r="G1098" s="553">
        <f t="shared" ref="G1098:V1099" si="931">F1098</f>
        <v>0</v>
      </c>
      <c r="H1098" s="553">
        <f t="shared" si="931"/>
        <v>0</v>
      </c>
      <c r="I1098" s="553">
        <f t="shared" si="931"/>
        <v>0</v>
      </c>
      <c r="J1098" s="553">
        <f t="shared" si="931"/>
        <v>0</v>
      </c>
      <c r="K1098" s="553">
        <f t="shared" si="931"/>
        <v>0</v>
      </c>
      <c r="L1098" s="553">
        <f t="shared" si="931"/>
        <v>0</v>
      </c>
      <c r="M1098" s="553">
        <f t="shared" si="931"/>
        <v>0</v>
      </c>
      <c r="N1098" s="553">
        <f t="shared" si="931"/>
        <v>0</v>
      </c>
      <c r="O1098" s="553">
        <f t="shared" si="931"/>
        <v>0</v>
      </c>
      <c r="P1098" s="553">
        <f t="shared" si="931"/>
        <v>0</v>
      </c>
      <c r="Q1098" s="553">
        <f t="shared" si="931"/>
        <v>0</v>
      </c>
      <c r="R1098" s="553">
        <f t="shared" si="931"/>
        <v>0</v>
      </c>
      <c r="S1098" s="553">
        <f t="shared" si="931"/>
        <v>0</v>
      </c>
      <c r="T1098" s="553">
        <f t="shared" si="931"/>
        <v>0</v>
      </c>
      <c r="U1098" s="553">
        <f t="shared" si="931"/>
        <v>0</v>
      </c>
      <c r="V1098" s="553">
        <f>U1098</f>
        <v>0</v>
      </c>
      <c r="W1098" s="553">
        <f t="shared" ref="W1098:AF1099" si="932">V1098</f>
        <v>0</v>
      </c>
      <c r="X1098" s="553">
        <f t="shared" si="932"/>
        <v>0</v>
      </c>
      <c r="Y1098" s="553">
        <f t="shared" si="932"/>
        <v>0</v>
      </c>
      <c r="Z1098" s="553">
        <f t="shared" si="932"/>
        <v>0</v>
      </c>
      <c r="AA1098" s="553">
        <f t="shared" si="932"/>
        <v>0</v>
      </c>
      <c r="AB1098" s="553">
        <f t="shared" si="932"/>
        <v>0</v>
      </c>
      <c r="AC1098" s="553">
        <f t="shared" si="932"/>
        <v>0</v>
      </c>
      <c r="AD1098" s="553">
        <f t="shared" si="932"/>
        <v>0</v>
      </c>
      <c r="AE1098" s="553">
        <f t="shared" si="932"/>
        <v>0</v>
      </c>
      <c r="AF1098" s="553">
        <f t="shared" si="932"/>
        <v>0</v>
      </c>
      <c r="AH1098" s="538"/>
      <c r="AK1098" s="531"/>
      <c r="AM1098" s="594"/>
      <c r="AN1098" s="535"/>
      <c r="AP1098" s="540"/>
      <c r="AQ1098" s="540"/>
    </row>
    <row r="1099" spans="1:43" s="586" customFormat="1" ht="16.5" hidden="1" customHeight="1" outlineLevel="2">
      <c r="A1099" s="584"/>
      <c r="B1099" s="585" t="s">
        <v>888</v>
      </c>
      <c r="C1099" s="632">
        <v>0</v>
      </c>
      <c r="D1099" s="632">
        <f>C1099</f>
        <v>0</v>
      </c>
      <c r="E1099" s="632">
        <f t="shared" ref="E1099:F1099" si="933">D1099</f>
        <v>0</v>
      </c>
      <c r="F1099" s="632">
        <f t="shared" si="933"/>
        <v>0</v>
      </c>
      <c r="G1099" s="632">
        <f t="shared" si="931"/>
        <v>0</v>
      </c>
      <c r="H1099" s="632">
        <f t="shared" si="931"/>
        <v>0</v>
      </c>
      <c r="I1099" s="632">
        <f t="shared" si="931"/>
        <v>0</v>
      </c>
      <c r="J1099" s="632">
        <f t="shared" si="931"/>
        <v>0</v>
      </c>
      <c r="K1099" s="632">
        <f t="shared" si="931"/>
        <v>0</v>
      </c>
      <c r="L1099" s="632">
        <f t="shared" si="931"/>
        <v>0</v>
      </c>
      <c r="M1099" s="632">
        <f t="shared" si="931"/>
        <v>0</v>
      </c>
      <c r="N1099" s="632">
        <f t="shared" si="931"/>
        <v>0</v>
      </c>
      <c r="O1099" s="632">
        <f t="shared" si="931"/>
        <v>0</v>
      </c>
      <c r="P1099" s="632">
        <f t="shared" si="931"/>
        <v>0</v>
      </c>
      <c r="Q1099" s="632">
        <f t="shared" si="931"/>
        <v>0</v>
      </c>
      <c r="R1099" s="632">
        <f t="shared" si="931"/>
        <v>0</v>
      </c>
      <c r="S1099" s="632">
        <f t="shared" si="931"/>
        <v>0</v>
      </c>
      <c r="T1099" s="632">
        <f t="shared" si="931"/>
        <v>0</v>
      </c>
      <c r="U1099" s="632">
        <f t="shared" si="931"/>
        <v>0</v>
      </c>
      <c r="V1099" s="632">
        <f t="shared" si="931"/>
        <v>0</v>
      </c>
      <c r="W1099" s="632">
        <f t="shared" si="932"/>
        <v>0</v>
      </c>
      <c r="X1099" s="632">
        <f t="shared" si="932"/>
        <v>0</v>
      </c>
      <c r="Y1099" s="632">
        <f t="shared" si="932"/>
        <v>0</v>
      </c>
      <c r="Z1099" s="632">
        <f t="shared" si="932"/>
        <v>0</v>
      </c>
      <c r="AA1099" s="632">
        <f t="shared" si="932"/>
        <v>0</v>
      </c>
      <c r="AB1099" s="632">
        <f t="shared" si="932"/>
        <v>0</v>
      </c>
      <c r="AC1099" s="632">
        <f t="shared" si="932"/>
        <v>0</v>
      </c>
      <c r="AD1099" s="632">
        <f t="shared" si="932"/>
        <v>0</v>
      </c>
      <c r="AE1099" s="632">
        <f t="shared" si="932"/>
        <v>0</v>
      </c>
      <c r="AF1099" s="632">
        <f t="shared" si="932"/>
        <v>0</v>
      </c>
      <c r="AH1099" s="587"/>
      <c r="AK1099" s="588"/>
      <c r="AM1099" s="624"/>
      <c r="AN1099" s="590"/>
      <c r="AP1099" s="591"/>
      <c r="AQ1099" s="591"/>
    </row>
    <row r="1100" spans="1:43" s="586" customFormat="1" ht="16.5" hidden="1" customHeight="1" outlineLevel="2">
      <c r="A1100" s="584"/>
      <c r="B1100" s="711" t="s">
        <v>990</v>
      </c>
      <c r="C1100" s="622">
        <f>SUM(C1101,C1104,C1107)</f>
        <v>0</v>
      </c>
      <c r="D1100" s="622">
        <f t="shared" ref="D1100:AF1100" si="934">SUM(D1101,D1104,D1107)</f>
        <v>0</v>
      </c>
      <c r="E1100" s="622">
        <f t="shared" si="934"/>
        <v>3155.2329793271119</v>
      </c>
      <c r="F1100" s="622">
        <f t="shared" si="934"/>
        <v>3155.2329793271119</v>
      </c>
      <c r="G1100" s="622">
        <f t="shared" si="934"/>
        <v>3155.2329793271119</v>
      </c>
      <c r="H1100" s="622">
        <f t="shared" si="934"/>
        <v>3155.2329793271119</v>
      </c>
      <c r="I1100" s="622">
        <f t="shared" si="934"/>
        <v>3155.2329793271119</v>
      </c>
      <c r="J1100" s="622">
        <f t="shared" si="934"/>
        <v>3155.2329793271119</v>
      </c>
      <c r="K1100" s="622">
        <f t="shared" si="934"/>
        <v>3155.2329793271119</v>
      </c>
      <c r="L1100" s="622">
        <f t="shared" si="934"/>
        <v>3155.2329793271119</v>
      </c>
      <c r="M1100" s="622">
        <f t="shared" si="934"/>
        <v>3155.2329793271119</v>
      </c>
      <c r="N1100" s="622">
        <f t="shared" si="934"/>
        <v>3155.2329793271119</v>
      </c>
      <c r="O1100" s="622">
        <f t="shared" si="934"/>
        <v>3155.2329793271119</v>
      </c>
      <c r="P1100" s="622">
        <f t="shared" si="934"/>
        <v>3155.2329793271119</v>
      </c>
      <c r="Q1100" s="622">
        <f t="shared" si="934"/>
        <v>3155.2329793271119</v>
      </c>
      <c r="R1100" s="622">
        <f t="shared" si="934"/>
        <v>3155.2329793271119</v>
      </c>
      <c r="S1100" s="622">
        <f t="shared" si="934"/>
        <v>3155.2329793271119</v>
      </c>
      <c r="T1100" s="622">
        <f t="shared" si="934"/>
        <v>3155.2329793271119</v>
      </c>
      <c r="U1100" s="622">
        <f t="shared" si="934"/>
        <v>3155.2329793271119</v>
      </c>
      <c r="V1100" s="622">
        <f t="shared" si="934"/>
        <v>3155.2329793271119</v>
      </c>
      <c r="W1100" s="622">
        <f t="shared" si="934"/>
        <v>3155.2329793271119</v>
      </c>
      <c r="X1100" s="622">
        <f t="shared" si="934"/>
        <v>3155.2329793271119</v>
      </c>
      <c r="Y1100" s="622">
        <f t="shared" si="934"/>
        <v>3155.2329793271119</v>
      </c>
      <c r="Z1100" s="622">
        <f t="shared" si="934"/>
        <v>3155.2329793271119</v>
      </c>
      <c r="AA1100" s="622">
        <f t="shared" si="934"/>
        <v>3155.2329793271119</v>
      </c>
      <c r="AB1100" s="622">
        <f t="shared" si="934"/>
        <v>3155.2329793271119</v>
      </c>
      <c r="AC1100" s="622">
        <f t="shared" si="934"/>
        <v>3155.2329793271119</v>
      </c>
      <c r="AD1100" s="622">
        <f t="shared" si="934"/>
        <v>3155.2329793271119</v>
      </c>
      <c r="AE1100" s="622">
        <f t="shared" si="934"/>
        <v>3155.2329793271119</v>
      </c>
      <c r="AF1100" s="622">
        <f t="shared" si="934"/>
        <v>3155.2329793271119</v>
      </c>
      <c r="AH1100" s="587"/>
      <c r="AK1100" s="588"/>
      <c r="AM1100" s="624"/>
      <c r="AN1100" s="590"/>
      <c r="AP1100" s="591"/>
      <c r="AQ1100" s="591"/>
    </row>
    <row r="1101" spans="1:43" s="634" customFormat="1" ht="16.5" hidden="1" customHeight="1" outlineLevel="2">
      <c r="A1101" s="584"/>
      <c r="B1101" s="722" t="s">
        <v>991</v>
      </c>
      <c r="C1101" s="583">
        <f>C1102*C1103</f>
        <v>0</v>
      </c>
      <c r="D1101" s="583">
        <f t="shared" ref="D1101:AG1101" si="935">D1102*D1103</f>
        <v>0</v>
      </c>
      <c r="E1101" s="583">
        <f t="shared" si="935"/>
        <v>2727.351479327112</v>
      </c>
      <c r="F1101" s="583">
        <f t="shared" si="935"/>
        <v>2727.351479327112</v>
      </c>
      <c r="G1101" s="583">
        <f t="shared" si="935"/>
        <v>2727.351479327112</v>
      </c>
      <c r="H1101" s="583">
        <f t="shared" si="935"/>
        <v>2727.351479327112</v>
      </c>
      <c r="I1101" s="583">
        <f t="shared" si="935"/>
        <v>2727.351479327112</v>
      </c>
      <c r="J1101" s="583">
        <f t="shared" si="935"/>
        <v>2727.351479327112</v>
      </c>
      <c r="K1101" s="583">
        <f t="shared" si="935"/>
        <v>2727.351479327112</v>
      </c>
      <c r="L1101" s="583">
        <f t="shared" si="935"/>
        <v>2727.351479327112</v>
      </c>
      <c r="M1101" s="583">
        <f t="shared" si="935"/>
        <v>2727.351479327112</v>
      </c>
      <c r="N1101" s="583">
        <f t="shared" si="935"/>
        <v>2727.351479327112</v>
      </c>
      <c r="O1101" s="583">
        <f t="shared" si="935"/>
        <v>2727.351479327112</v>
      </c>
      <c r="P1101" s="583">
        <f t="shared" si="935"/>
        <v>2727.351479327112</v>
      </c>
      <c r="Q1101" s="583">
        <f t="shared" si="935"/>
        <v>2727.351479327112</v>
      </c>
      <c r="R1101" s="583">
        <f t="shared" si="935"/>
        <v>2727.351479327112</v>
      </c>
      <c r="S1101" s="583">
        <f t="shared" si="935"/>
        <v>2727.351479327112</v>
      </c>
      <c r="T1101" s="583">
        <f t="shared" si="935"/>
        <v>2727.351479327112</v>
      </c>
      <c r="U1101" s="583">
        <f t="shared" si="935"/>
        <v>2727.351479327112</v>
      </c>
      <c r="V1101" s="583">
        <f t="shared" si="935"/>
        <v>2727.351479327112</v>
      </c>
      <c r="W1101" s="583">
        <f t="shared" si="935"/>
        <v>2727.351479327112</v>
      </c>
      <c r="X1101" s="583">
        <f t="shared" si="935"/>
        <v>2727.351479327112</v>
      </c>
      <c r="Y1101" s="583">
        <f t="shared" si="935"/>
        <v>2727.351479327112</v>
      </c>
      <c r="Z1101" s="583">
        <f t="shared" si="935"/>
        <v>2727.351479327112</v>
      </c>
      <c r="AA1101" s="583">
        <f t="shared" si="935"/>
        <v>2727.351479327112</v>
      </c>
      <c r="AB1101" s="583">
        <f t="shared" si="935"/>
        <v>2727.351479327112</v>
      </c>
      <c r="AC1101" s="583">
        <f t="shared" si="935"/>
        <v>2727.351479327112</v>
      </c>
      <c r="AD1101" s="583">
        <f t="shared" si="935"/>
        <v>2727.351479327112</v>
      </c>
      <c r="AE1101" s="583">
        <f t="shared" si="935"/>
        <v>2727.351479327112</v>
      </c>
      <c r="AF1101" s="583">
        <f t="shared" si="935"/>
        <v>2727.351479327112</v>
      </c>
      <c r="AG1101" s="583">
        <f t="shared" si="935"/>
        <v>0</v>
      </c>
      <c r="AH1101" s="635"/>
      <c r="AK1101" s="588"/>
      <c r="AM1101" s="624"/>
      <c r="AN1101" s="590"/>
      <c r="AP1101" s="636"/>
      <c r="AQ1101" s="636"/>
    </row>
    <row r="1102" spans="1:43" s="586" customFormat="1" ht="16.5" hidden="1" customHeight="1" outlineLevel="2">
      <c r="A1102" s="584"/>
      <c r="B1102" s="585" t="s">
        <v>805</v>
      </c>
      <c r="C1102" s="554">
        <v>0</v>
      </c>
      <c r="D1102" s="554">
        <v>0</v>
      </c>
      <c r="E1102" s="554">
        <v>1</v>
      </c>
      <c r="F1102" s="554">
        <v>1</v>
      </c>
      <c r="G1102" s="554">
        <v>1</v>
      </c>
      <c r="H1102" s="554">
        <v>1</v>
      </c>
      <c r="I1102" s="554">
        <v>1</v>
      </c>
      <c r="J1102" s="554">
        <v>1</v>
      </c>
      <c r="K1102" s="554">
        <v>1</v>
      </c>
      <c r="L1102" s="554">
        <v>1</v>
      </c>
      <c r="M1102" s="554">
        <v>1</v>
      </c>
      <c r="N1102" s="554">
        <v>1</v>
      </c>
      <c r="O1102" s="554">
        <v>1</v>
      </c>
      <c r="P1102" s="554">
        <v>1</v>
      </c>
      <c r="Q1102" s="554">
        <v>1</v>
      </c>
      <c r="R1102" s="554">
        <v>1</v>
      </c>
      <c r="S1102" s="554">
        <v>1</v>
      </c>
      <c r="T1102" s="554">
        <v>1</v>
      </c>
      <c r="U1102" s="554">
        <v>1</v>
      </c>
      <c r="V1102" s="554">
        <v>1</v>
      </c>
      <c r="W1102" s="554">
        <v>1</v>
      </c>
      <c r="X1102" s="554">
        <v>1</v>
      </c>
      <c r="Y1102" s="554">
        <v>1</v>
      </c>
      <c r="Z1102" s="554">
        <v>1</v>
      </c>
      <c r="AA1102" s="554">
        <v>1</v>
      </c>
      <c r="AB1102" s="554">
        <v>1</v>
      </c>
      <c r="AC1102" s="554">
        <v>1</v>
      </c>
      <c r="AD1102" s="554">
        <v>1</v>
      </c>
      <c r="AE1102" s="554">
        <v>1</v>
      </c>
      <c r="AF1102" s="554">
        <v>1</v>
      </c>
      <c r="AH1102" s="587"/>
      <c r="AK1102" s="588"/>
      <c r="AM1102" s="624"/>
      <c r="AN1102" s="590"/>
      <c r="AP1102" s="591"/>
      <c r="AQ1102" s="591"/>
    </row>
    <row r="1103" spans="1:43" s="586" customFormat="1" ht="16.5" hidden="1" customHeight="1" outlineLevel="2">
      <c r="A1103" s="584"/>
      <c r="B1103" s="585" t="s">
        <v>888</v>
      </c>
      <c r="C1103" s="632">
        <f>CAPEX!D112*3%/12</f>
        <v>2727.351479327112</v>
      </c>
      <c r="D1103" s="632">
        <f>C1103</f>
        <v>2727.351479327112</v>
      </c>
      <c r="E1103" s="632">
        <f t="shared" ref="E1103:AF1103" si="936">D1103</f>
        <v>2727.351479327112</v>
      </c>
      <c r="F1103" s="632">
        <f t="shared" si="936"/>
        <v>2727.351479327112</v>
      </c>
      <c r="G1103" s="632">
        <f t="shared" si="936"/>
        <v>2727.351479327112</v>
      </c>
      <c r="H1103" s="632">
        <f t="shared" si="936"/>
        <v>2727.351479327112</v>
      </c>
      <c r="I1103" s="632">
        <f t="shared" si="936"/>
        <v>2727.351479327112</v>
      </c>
      <c r="J1103" s="632">
        <f t="shared" si="936"/>
        <v>2727.351479327112</v>
      </c>
      <c r="K1103" s="632">
        <f t="shared" si="936"/>
        <v>2727.351479327112</v>
      </c>
      <c r="L1103" s="632">
        <f t="shared" si="936"/>
        <v>2727.351479327112</v>
      </c>
      <c r="M1103" s="632">
        <f t="shared" si="936"/>
        <v>2727.351479327112</v>
      </c>
      <c r="N1103" s="632">
        <f t="shared" si="936"/>
        <v>2727.351479327112</v>
      </c>
      <c r="O1103" s="632">
        <f t="shared" si="936"/>
        <v>2727.351479327112</v>
      </c>
      <c r="P1103" s="632">
        <f t="shared" si="936"/>
        <v>2727.351479327112</v>
      </c>
      <c r="Q1103" s="632">
        <f t="shared" si="936"/>
        <v>2727.351479327112</v>
      </c>
      <c r="R1103" s="632">
        <f t="shared" si="936"/>
        <v>2727.351479327112</v>
      </c>
      <c r="S1103" s="632">
        <f t="shared" si="936"/>
        <v>2727.351479327112</v>
      </c>
      <c r="T1103" s="632">
        <f t="shared" si="936"/>
        <v>2727.351479327112</v>
      </c>
      <c r="U1103" s="632">
        <f t="shared" si="936"/>
        <v>2727.351479327112</v>
      </c>
      <c r="V1103" s="632">
        <f t="shared" si="936"/>
        <v>2727.351479327112</v>
      </c>
      <c r="W1103" s="632">
        <f t="shared" si="936"/>
        <v>2727.351479327112</v>
      </c>
      <c r="X1103" s="632">
        <f t="shared" si="936"/>
        <v>2727.351479327112</v>
      </c>
      <c r="Y1103" s="632">
        <f t="shared" si="936"/>
        <v>2727.351479327112</v>
      </c>
      <c r="Z1103" s="632">
        <f t="shared" si="936"/>
        <v>2727.351479327112</v>
      </c>
      <c r="AA1103" s="632">
        <f t="shared" si="936"/>
        <v>2727.351479327112</v>
      </c>
      <c r="AB1103" s="632">
        <f t="shared" si="936"/>
        <v>2727.351479327112</v>
      </c>
      <c r="AC1103" s="632">
        <f t="shared" si="936"/>
        <v>2727.351479327112</v>
      </c>
      <c r="AD1103" s="632">
        <f t="shared" si="936"/>
        <v>2727.351479327112</v>
      </c>
      <c r="AE1103" s="632">
        <f t="shared" si="936"/>
        <v>2727.351479327112</v>
      </c>
      <c r="AF1103" s="632">
        <f t="shared" si="936"/>
        <v>2727.351479327112</v>
      </c>
      <c r="AH1103" s="587"/>
      <c r="AK1103" s="588"/>
      <c r="AM1103" s="624"/>
      <c r="AN1103" s="590"/>
      <c r="AP1103" s="591"/>
      <c r="AQ1103" s="591"/>
    </row>
    <row r="1104" spans="1:43" s="634" customFormat="1" ht="16.5" hidden="1" customHeight="1" outlineLevel="2">
      <c r="A1104" s="584"/>
      <c r="B1104" s="722" t="s">
        <v>851</v>
      </c>
      <c r="C1104" s="583">
        <f>C1105*C1106</f>
        <v>0</v>
      </c>
      <c r="D1104" s="583">
        <f t="shared" ref="D1104:AG1104" si="937">D1105*D1106</f>
        <v>0</v>
      </c>
      <c r="E1104" s="583">
        <f t="shared" si="937"/>
        <v>67.881500000000003</v>
      </c>
      <c r="F1104" s="583">
        <f t="shared" si="937"/>
        <v>67.881500000000003</v>
      </c>
      <c r="G1104" s="583">
        <f t="shared" si="937"/>
        <v>67.881500000000003</v>
      </c>
      <c r="H1104" s="583">
        <f t="shared" si="937"/>
        <v>67.881500000000003</v>
      </c>
      <c r="I1104" s="583">
        <f t="shared" si="937"/>
        <v>67.881500000000003</v>
      </c>
      <c r="J1104" s="583">
        <f t="shared" si="937"/>
        <v>67.881500000000003</v>
      </c>
      <c r="K1104" s="583">
        <f t="shared" si="937"/>
        <v>67.881500000000003</v>
      </c>
      <c r="L1104" s="583">
        <f t="shared" si="937"/>
        <v>67.881500000000003</v>
      </c>
      <c r="M1104" s="583">
        <f t="shared" si="937"/>
        <v>67.881500000000003</v>
      </c>
      <c r="N1104" s="583">
        <f t="shared" si="937"/>
        <v>67.881500000000003</v>
      </c>
      <c r="O1104" s="583">
        <f t="shared" si="937"/>
        <v>67.881500000000003</v>
      </c>
      <c r="P1104" s="583">
        <f t="shared" si="937"/>
        <v>67.881500000000003</v>
      </c>
      <c r="Q1104" s="583">
        <f t="shared" si="937"/>
        <v>67.881500000000003</v>
      </c>
      <c r="R1104" s="583">
        <f t="shared" si="937"/>
        <v>67.881500000000003</v>
      </c>
      <c r="S1104" s="583">
        <f t="shared" si="937"/>
        <v>67.881500000000003</v>
      </c>
      <c r="T1104" s="583">
        <f t="shared" si="937"/>
        <v>67.881500000000003</v>
      </c>
      <c r="U1104" s="583">
        <f t="shared" si="937"/>
        <v>67.881500000000003</v>
      </c>
      <c r="V1104" s="583">
        <f t="shared" si="937"/>
        <v>67.881500000000003</v>
      </c>
      <c r="W1104" s="583">
        <f t="shared" si="937"/>
        <v>67.881500000000003</v>
      </c>
      <c r="X1104" s="583">
        <f t="shared" si="937"/>
        <v>67.881500000000003</v>
      </c>
      <c r="Y1104" s="583">
        <f t="shared" si="937"/>
        <v>67.881500000000003</v>
      </c>
      <c r="Z1104" s="583">
        <f t="shared" si="937"/>
        <v>67.881500000000003</v>
      </c>
      <c r="AA1104" s="583">
        <f t="shared" si="937"/>
        <v>67.881500000000003</v>
      </c>
      <c r="AB1104" s="583">
        <f t="shared" si="937"/>
        <v>67.881500000000003</v>
      </c>
      <c r="AC1104" s="583">
        <f t="shared" si="937"/>
        <v>67.881500000000003</v>
      </c>
      <c r="AD1104" s="583">
        <f t="shared" si="937"/>
        <v>67.881500000000003</v>
      </c>
      <c r="AE1104" s="583">
        <f t="shared" si="937"/>
        <v>67.881500000000003</v>
      </c>
      <c r="AF1104" s="583">
        <f t="shared" si="937"/>
        <v>67.881500000000003</v>
      </c>
      <c r="AG1104" s="583">
        <f t="shared" si="937"/>
        <v>0</v>
      </c>
      <c r="AH1104" s="635"/>
      <c r="AK1104" s="588"/>
      <c r="AM1104" s="624"/>
      <c r="AN1104" s="590"/>
      <c r="AP1104" s="636"/>
      <c r="AQ1104" s="636"/>
    </row>
    <row r="1105" spans="1:43" s="586" customFormat="1" ht="16.5" hidden="1" customHeight="1" outlineLevel="2">
      <c r="A1105" s="584"/>
      <c r="B1105" s="585" t="s">
        <v>805</v>
      </c>
      <c r="C1105" s="554">
        <f t="shared" ref="C1105:AF1105" si="938">C1089</f>
        <v>0</v>
      </c>
      <c r="D1105" s="554">
        <f t="shared" si="938"/>
        <v>0</v>
      </c>
      <c r="E1105" s="554">
        <f>E1089</f>
        <v>4</v>
      </c>
      <c r="F1105" s="554">
        <f t="shared" si="938"/>
        <v>4</v>
      </c>
      <c r="G1105" s="554">
        <f t="shared" si="938"/>
        <v>4</v>
      </c>
      <c r="H1105" s="554">
        <f t="shared" si="938"/>
        <v>4</v>
      </c>
      <c r="I1105" s="554">
        <f t="shared" si="938"/>
        <v>4</v>
      </c>
      <c r="J1105" s="554">
        <f t="shared" si="938"/>
        <v>4</v>
      </c>
      <c r="K1105" s="554">
        <f t="shared" si="938"/>
        <v>4</v>
      </c>
      <c r="L1105" s="554">
        <f t="shared" si="938"/>
        <v>4</v>
      </c>
      <c r="M1105" s="554">
        <f t="shared" si="938"/>
        <v>4</v>
      </c>
      <c r="N1105" s="554">
        <f t="shared" si="938"/>
        <v>4</v>
      </c>
      <c r="O1105" s="554">
        <f t="shared" si="938"/>
        <v>4</v>
      </c>
      <c r="P1105" s="554">
        <f t="shared" si="938"/>
        <v>4</v>
      </c>
      <c r="Q1105" s="554">
        <f t="shared" si="938"/>
        <v>4</v>
      </c>
      <c r="R1105" s="554">
        <f t="shared" si="938"/>
        <v>4</v>
      </c>
      <c r="S1105" s="554">
        <f t="shared" si="938"/>
        <v>4</v>
      </c>
      <c r="T1105" s="554">
        <f t="shared" si="938"/>
        <v>4</v>
      </c>
      <c r="U1105" s="554">
        <f t="shared" si="938"/>
        <v>4</v>
      </c>
      <c r="V1105" s="554">
        <f t="shared" si="938"/>
        <v>4</v>
      </c>
      <c r="W1105" s="554">
        <f t="shared" si="938"/>
        <v>4</v>
      </c>
      <c r="X1105" s="554">
        <f t="shared" si="938"/>
        <v>4</v>
      </c>
      <c r="Y1105" s="554">
        <f t="shared" si="938"/>
        <v>4</v>
      </c>
      <c r="Z1105" s="554">
        <f t="shared" si="938"/>
        <v>4</v>
      </c>
      <c r="AA1105" s="554">
        <f t="shared" si="938"/>
        <v>4</v>
      </c>
      <c r="AB1105" s="554">
        <f t="shared" si="938"/>
        <v>4</v>
      </c>
      <c r="AC1105" s="554">
        <f t="shared" si="938"/>
        <v>4</v>
      </c>
      <c r="AD1105" s="554">
        <f t="shared" si="938"/>
        <v>4</v>
      </c>
      <c r="AE1105" s="554">
        <f t="shared" si="938"/>
        <v>4</v>
      </c>
      <c r="AF1105" s="554">
        <f t="shared" si="938"/>
        <v>4</v>
      </c>
      <c r="AH1105" s="587"/>
      <c r="AK1105" s="588"/>
      <c r="AM1105" s="624"/>
      <c r="AN1105" s="590"/>
      <c r="AP1105" s="591"/>
      <c r="AQ1105" s="591"/>
    </row>
    <row r="1106" spans="1:43" s="586" customFormat="1" ht="16.5" hidden="1" customHeight="1" outlineLevel="2">
      <c r="A1106" s="584"/>
      <c r="B1106" s="585" t="s">
        <v>888</v>
      </c>
      <c r="C1106" s="632">
        <f>CAPEX!$C$168*(0.83%+0.42%)</f>
        <v>16.970375000000001</v>
      </c>
      <c r="D1106" s="632">
        <f>C1106</f>
        <v>16.970375000000001</v>
      </c>
      <c r="E1106" s="632">
        <f t="shared" ref="E1106:AF1106" si="939">D1106</f>
        <v>16.970375000000001</v>
      </c>
      <c r="F1106" s="632">
        <f t="shared" si="939"/>
        <v>16.970375000000001</v>
      </c>
      <c r="G1106" s="632">
        <f t="shared" si="939"/>
        <v>16.970375000000001</v>
      </c>
      <c r="H1106" s="632">
        <f t="shared" si="939"/>
        <v>16.970375000000001</v>
      </c>
      <c r="I1106" s="632">
        <f t="shared" si="939"/>
        <v>16.970375000000001</v>
      </c>
      <c r="J1106" s="632">
        <f t="shared" si="939"/>
        <v>16.970375000000001</v>
      </c>
      <c r="K1106" s="632">
        <f t="shared" si="939"/>
        <v>16.970375000000001</v>
      </c>
      <c r="L1106" s="632">
        <f t="shared" si="939"/>
        <v>16.970375000000001</v>
      </c>
      <c r="M1106" s="632">
        <f t="shared" si="939"/>
        <v>16.970375000000001</v>
      </c>
      <c r="N1106" s="632">
        <f t="shared" si="939"/>
        <v>16.970375000000001</v>
      </c>
      <c r="O1106" s="632">
        <f t="shared" si="939"/>
        <v>16.970375000000001</v>
      </c>
      <c r="P1106" s="632">
        <f t="shared" si="939"/>
        <v>16.970375000000001</v>
      </c>
      <c r="Q1106" s="632">
        <f t="shared" si="939"/>
        <v>16.970375000000001</v>
      </c>
      <c r="R1106" s="632">
        <f t="shared" si="939"/>
        <v>16.970375000000001</v>
      </c>
      <c r="S1106" s="632">
        <f t="shared" si="939"/>
        <v>16.970375000000001</v>
      </c>
      <c r="T1106" s="632">
        <f t="shared" si="939"/>
        <v>16.970375000000001</v>
      </c>
      <c r="U1106" s="632">
        <f t="shared" si="939"/>
        <v>16.970375000000001</v>
      </c>
      <c r="V1106" s="632">
        <f t="shared" si="939"/>
        <v>16.970375000000001</v>
      </c>
      <c r="W1106" s="632">
        <f t="shared" si="939"/>
        <v>16.970375000000001</v>
      </c>
      <c r="X1106" s="632">
        <f t="shared" si="939"/>
        <v>16.970375000000001</v>
      </c>
      <c r="Y1106" s="632">
        <f t="shared" si="939"/>
        <v>16.970375000000001</v>
      </c>
      <c r="Z1106" s="632">
        <f t="shared" si="939"/>
        <v>16.970375000000001</v>
      </c>
      <c r="AA1106" s="632">
        <f t="shared" si="939"/>
        <v>16.970375000000001</v>
      </c>
      <c r="AB1106" s="632">
        <f t="shared" si="939"/>
        <v>16.970375000000001</v>
      </c>
      <c r="AC1106" s="632">
        <f t="shared" si="939"/>
        <v>16.970375000000001</v>
      </c>
      <c r="AD1106" s="632">
        <f t="shared" si="939"/>
        <v>16.970375000000001</v>
      </c>
      <c r="AE1106" s="632">
        <f t="shared" si="939"/>
        <v>16.970375000000001</v>
      </c>
      <c r="AF1106" s="632">
        <f t="shared" si="939"/>
        <v>16.970375000000001</v>
      </c>
      <c r="AH1106" s="587"/>
      <c r="AK1106" s="588"/>
      <c r="AM1106" s="624"/>
      <c r="AN1106" s="590"/>
      <c r="AP1106" s="591"/>
      <c r="AQ1106" s="591"/>
    </row>
    <row r="1107" spans="1:43" s="634" customFormat="1" ht="16.5" hidden="1" customHeight="1" outlineLevel="2">
      <c r="A1107" s="584"/>
      <c r="B1107" s="722" t="s">
        <v>992</v>
      </c>
      <c r="C1107" s="583">
        <f>C1108*C1109</f>
        <v>0</v>
      </c>
      <c r="D1107" s="583">
        <f t="shared" ref="D1107:AG1107" si="940">D1108*D1109</f>
        <v>0</v>
      </c>
      <c r="E1107" s="583">
        <f t="shared" si="940"/>
        <v>360</v>
      </c>
      <c r="F1107" s="583">
        <f t="shared" si="940"/>
        <v>360</v>
      </c>
      <c r="G1107" s="583">
        <f t="shared" si="940"/>
        <v>360</v>
      </c>
      <c r="H1107" s="583">
        <f t="shared" si="940"/>
        <v>360</v>
      </c>
      <c r="I1107" s="583">
        <f t="shared" si="940"/>
        <v>360</v>
      </c>
      <c r="J1107" s="583">
        <f t="shared" si="940"/>
        <v>360</v>
      </c>
      <c r="K1107" s="583">
        <f t="shared" si="940"/>
        <v>360</v>
      </c>
      <c r="L1107" s="583">
        <f t="shared" si="940"/>
        <v>360</v>
      </c>
      <c r="M1107" s="583">
        <f t="shared" si="940"/>
        <v>360</v>
      </c>
      <c r="N1107" s="583">
        <f t="shared" si="940"/>
        <v>360</v>
      </c>
      <c r="O1107" s="583">
        <f t="shared" si="940"/>
        <v>360</v>
      </c>
      <c r="P1107" s="583">
        <f t="shared" si="940"/>
        <v>360</v>
      </c>
      <c r="Q1107" s="583">
        <f t="shared" si="940"/>
        <v>360</v>
      </c>
      <c r="R1107" s="583">
        <f t="shared" si="940"/>
        <v>360</v>
      </c>
      <c r="S1107" s="583">
        <f t="shared" si="940"/>
        <v>360</v>
      </c>
      <c r="T1107" s="583">
        <f t="shared" si="940"/>
        <v>360</v>
      </c>
      <c r="U1107" s="583">
        <f t="shared" si="940"/>
        <v>360</v>
      </c>
      <c r="V1107" s="583">
        <f t="shared" si="940"/>
        <v>360</v>
      </c>
      <c r="W1107" s="583">
        <f t="shared" si="940"/>
        <v>360</v>
      </c>
      <c r="X1107" s="583">
        <f t="shared" si="940"/>
        <v>360</v>
      </c>
      <c r="Y1107" s="583">
        <f t="shared" si="940"/>
        <v>360</v>
      </c>
      <c r="Z1107" s="583">
        <f t="shared" si="940"/>
        <v>360</v>
      </c>
      <c r="AA1107" s="583">
        <f t="shared" si="940"/>
        <v>360</v>
      </c>
      <c r="AB1107" s="583">
        <f t="shared" si="940"/>
        <v>360</v>
      </c>
      <c r="AC1107" s="583">
        <f t="shared" si="940"/>
        <v>360</v>
      </c>
      <c r="AD1107" s="583">
        <f t="shared" si="940"/>
        <v>360</v>
      </c>
      <c r="AE1107" s="583">
        <f t="shared" si="940"/>
        <v>360</v>
      </c>
      <c r="AF1107" s="583">
        <f t="shared" si="940"/>
        <v>360</v>
      </c>
      <c r="AG1107" s="583">
        <f t="shared" si="940"/>
        <v>0</v>
      </c>
      <c r="AH1107" s="635"/>
      <c r="AK1107" s="588"/>
      <c r="AM1107" s="624"/>
      <c r="AN1107" s="590"/>
      <c r="AP1107" s="636"/>
      <c r="AQ1107" s="636"/>
    </row>
    <row r="1108" spans="1:43" s="586" customFormat="1" ht="16.5" hidden="1" customHeight="1" outlineLevel="2">
      <c r="A1108" s="584"/>
      <c r="B1108" s="585" t="s">
        <v>805</v>
      </c>
      <c r="C1108" s="554">
        <f>C1090</f>
        <v>0</v>
      </c>
      <c r="D1108" s="554">
        <f t="shared" ref="D1108:AF1108" si="941">D1090</f>
        <v>0</v>
      </c>
      <c r="E1108" s="554">
        <f t="shared" si="941"/>
        <v>4</v>
      </c>
      <c r="F1108" s="554">
        <f t="shared" si="941"/>
        <v>4</v>
      </c>
      <c r="G1108" s="554">
        <f t="shared" si="941"/>
        <v>4</v>
      </c>
      <c r="H1108" s="554">
        <f t="shared" si="941"/>
        <v>4</v>
      </c>
      <c r="I1108" s="554">
        <f t="shared" si="941"/>
        <v>4</v>
      </c>
      <c r="J1108" s="554">
        <f t="shared" si="941"/>
        <v>4</v>
      </c>
      <c r="K1108" s="554">
        <f t="shared" si="941"/>
        <v>4</v>
      </c>
      <c r="L1108" s="554">
        <f t="shared" si="941"/>
        <v>4</v>
      </c>
      <c r="M1108" s="554">
        <f t="shared" si="941"/>
        <v>4</v>
      </c>
      <c r="N1108" s="554">
        <f t="shared" si="941"/>
        <v>4</v>
      </c>
      <c r="O1108" s="554">
        <f t="shared" si="941"/>
        <v>4</v>
      </c>
      <c r="P1108" s="554">
        <f t="shared" si="941"/>
        <v>4</v>
      </c>
      <c r="Q1108" s="554">
        <f t="shared" si="941"/>
        <v>4</v>
      </c>
      <c r="R1108" s="554">
        <f t="shared" si="941"/>
        <v>4</v>
      </c>
      <c r="S1108" s="554">
        <f t="shared" si="941"/>
        <v>4</v>
      </c>
      <c r="T1108" s="554">
        <f t="shared" si="941"/>
        <v>4</v>
      </c>
      <c r="U1108" s="554">
        <f t="shared" si="941"/>
        <v>4</v>
      </c>
      <c r="V1108" s="554">
        <f t="shared" si="941"/>
        <v>4</v>
      </c>
      <c r="W1108" s="554">
        <f t="shared" si="941"/>
        <v>4</v>
      </c>
      <c r="X1108" s="554">
        <f t="shared" si="941"/>
        <v>4</v>
      </c>
      <c r="Y1108" s="554">
        <f t="shared" si="941"/>
        <v>4</v>
      </c>
      <c r="Z1108" s="554">
        <f t="shared" si="941"/>
        <v>4</v>
      </c>
      <c r="AA1108" s="554">
        <f t="shared" si="941"/>
        <v>4</v>
      </c>
      <c r="AB1108" s="554">
        <f t="shared" si="941"/>
        <v>4</v>
      </c>
      <c r="AC1108" s="554">
        <f t="shared" si="941"/>
        <v>4</v>
      </c>
      <c r="AD1108" s="554">
        <f t="shared" si="941"/>
        <v>4</v>
      </c>
      <c r="AE1108" s="554">
        <f t="shared" si="941"/>
        <v>4</v>
      </c>
      <c r="AF1108" s="554">
        <f t="shared" si="941"/>
        <v>4</v>
      </c>
      <c r="AH1108" s="587"/>
      <c r="AK1108" s="588"/>
      <c r="AM1108" s="624"/>
      <c r="AN1108" s="590"/>
      <c r="AP1108" s="591"/>
      <c r="AQ1108" s="591"/>
    </row>
    <row r="1109" spans="1:43" s="586" customFormat="1" ht="16.5" hidden="1" customHeight="1" outlineLevel="2">
      <c r="A1109" s="584"/>
      <c r="B1109" s="585" t="s">
        <v>888</v>
      </c>
      <c r="C1109" s="632">
        <f>CAPEX!$C$171*(0.83%+0.42%)</f>
        <v>90</v>
      </c>
      <c r="D1109" s="632">
        <f>C1109</f>
        <v>90</v>
      </c>
      <c r="E1109" s="632">
        <f t="shared" ref="E1109:AF1109" si="942">D1109</f>
        <v>90</v>
      </c>
      <c r="F1109" s="632">
        <f t="shared" si="942"/>
        <v>90</v>
      </c>
      <c r="G1109" s="632">
        <f t="shared" si="942"/>
        <v>90</v>
      </c>
      <c r="H1109" s="632">
        <f t="shared" si="942"/>
        <v>90</v>
      </c>
      <c r="I1109" s="632">
        <f t="shared" si="942"/>
        <v>90</v>
      </c>
      <c r="J1109" s="632">
        <f t="shared" si="942"/>
        <v>90</v>
      </c>
      <c r="K1109" s="632">
        <f t="shared" si="942"/>
        <v>90</v>
      </c>
      <c r="L1109" s="632">
        <f t="shared" si="942"/>
        <v>90</v>
      </c>
      <c r="M1109" s="632">
        <f t="shared" si="942"/>
        <v>90</v>
      </c>
      <c r="N1109" s="632">
        <f t="shared" si="942"/>
        <v>90</v>
      </c>
      <c r="O1109" s="632">
        <f t="shared" si="942"/>
        <v>90</v>
      </c>
      <c r="P1109" s="632">
        <f t="shared" si="942"/>
        <v>90</v>
      </c>
      <c r="Q1109" s="632">
        <f t="shared" si="942"/>
        <v>90</v>
      </c>
      <c r="R1109" s="632">
        <f t="shared" si="942"/>
        <v>90</v>
      </c>
      <c r="S1109" s="632">
        <f t="shared" si="942"/>
        <v>90</v>
      </c>
      <c r="T1109" s="632">
        <f t="shared" si="942"/>
        <v>90</v>
      </c>
      <c r="U1109" s="632">
        <f t="shared" si="942"/>
        <v>90</v>
      </c>
      <c r="V1109" s="632">
        <f t="shared" si="942"/>
        <v>90</v>
      </c>
      <c r="W1109" s="632">
        <f t="shared" si="942"/>
        <v>90</v>
      </c>
      <c r="X1109" s="632">
        <f t="shared" si="942"/>
        <v>90</v>
      </c>
      <c r="Y1109" s="632">
        <f t="shared" si="942"/>
        <v>90</v>
      </c>
      <c r="Z1109" s="632">
        <f t="shared" si="942"/>
        <v>90</v>
      </c>
      <c r="AA1109" s="632">
        <f t="shared" si="942"/>
        <v>90</v>
      </c>
      <c r="AB1109" s="632">
        <f t="shared" si="942"/>
        <v>90</v>
      </c>
      <c r="AC1109" s="632">
        <f t="shared" si="942"/>
        <v>90</v>
      </c>
      <c r="AD1109" s="632">
        <f t="shared" si="942"/>
        <v>90</v>
      </c>
      <c r="AE1109" s="632">
        <f t="shared" si="942"/>
        <v>90</v>
      </c>
      <c r="AF1109" s="632">
        <f t="shared" si="942"/>
        <v>90</v>
      </c>
      <c r="AH1109" s="587"/>
      <c r="AK1109" s="591"/>
      <c r="AM1109" s="624"/>
      <c r="AN1109" s="590"/>
      <c r="AP1109" s="591"/>
      <c r="AQ1109" s="591"/>
    </row>
    <row r="1110" spans="1:43" s="586" customFormat="1" ht="16.5" hidden="1" customHeight="1" outlineLevel="2">
      <c r="A1110" s="584"/>
      <c r="B1110" s="711" t="s">
        <v>852</v>
      </c>
      <c r="C1110" s="622">
        <f>SUM(C1111,C1114,C1117)</f>
        <v>59.225000000000001</v>
      </c>
      <c r="D1110" s="622">
        <f t="shared" ref="D1110:M1110" si="943">SUM(D1111,D1114,D1117)</f>
        <v>456.114435554495</v>
      </c>
      <c r="E1110" s="622">
        <f t="shared" si="943"/>
        <v>558.52999495449501</v>
      </c>
      <c r="F1110" s="622">
        <f t="shared" si="943"/>
        <v>558.52999495449501</v>
      </c>
      <c r="G1110" s="622">
        <f t="shared" si="943"/>
        <v>558.52999495449501</v>
      </c>
      <c r="H1110" s="622">
        <f t="shared" si="943"/>
        <v>558.52999495449501</v>
      </c>
      <c r="I1110" s="622">
        <f t="shared" si="943"/>
        <v>558.52999495449501</v>
      </c>
      <c r="J1110" s="622">
        <f t="shared" si="943"/>
        <v>558.52999495449501</v>
      </c>
      <c r="K1110" s="622">
        <f t="shared" si="943"/>
        <v>558.52999495449501</v>
      </c>
      <c r="L1110" s="622">
        <f t="shared" si="943"/>
        <v>558.52999495449501</v>
      </c>
      <c r="M1110" s="622">
        <f t="shared" si="943"/>
        <v>558.52999495449501</v>
      </c>
      <c r="N1110" s="622">
        <f t="shared" ref="N1110" si="944">SUM(N1111,N1114,N1117)</f>
        <v>558.52999495449501</v>
      </c>
      <c r="O1110" s="622">
        <f t="shared" ref="O1110" si="945">SUM(O1111,O1114,O1117)</f>
        <v>558.52999495449501</v>
      </c>
      <c r="P1110" s="622">
        <f t="shared" ref="P1110" si="946">SUM(P1111,P1114,P1117)</f>
        <v>558.52999495449501</v>
      </c>
      <c r="Q1110" s="622">
        <f t="shared" ref="Q1110" si="947">SUM(Q1111,Q1114,Q1117)</f>
        <v>558.52999495449501</v>
      </c>
      <c r="R1110" s="622">
        <f t="shared" ref="R1110" si="948">SUM(R1111,R1114,R1117)</f>
        <v>558.52999495449501</v>
      </c>
      <c r="S1110" s="622">
        <f t="shared" ref="S1110" si="949">SUM(S1111,S1114,S1117)</f>
        <v>558.52999495449501</v>
      </c>
      <c r="T1110" s="622">
        <f t="shared" ref="T1110" si="950">SUM(T1111,T1114,T1117)</f>
        <v>558.52999495449501</v>
      </c>
      <c r="U1110" s="622">
        <f t="shared" ref="U1110" si="951">SUM(U1111,U1114,U1117)</f>
        <v>558.52999495449501</v>
      </c>
      <c r="V1110" s="622">
        <f t="shared" ref="V1110:W1110" si="952">SUM(V1111,V1114,V1117)</f>
        <v>558.52999495449501</v>
      </c>
      <c r="W1110" s="622">
        <f t="shared" si="952"/>
        <v>558.52999495449501</v>
      </c>
      <c r="X1110" s="622">
        <f t="shared" ref="X1110" si="953">SUM(X1111,X1114,X1117)</f>
        <v>558.52999495449501</v>
      </c>
      <c r="Y1110" s="622">
        <f t="shared" ref="Y1110" si="954">SUM(Y1111,Y1114,Y1117)</f>
        <v>558.52999495449501</v>
      </c>
      <c r="Z1110" s="622">
        <f t="shared" ref="Z1110" si="955">SUM(Z1111,Z1114,Z1117)</f>
        <v>558.52999495449501</v>
      </c>
      <c r="AA1110" s="622">
        <f t="shared" ref="AA1110" si="956">SUM(AA1111,AA1114,AA1117)</f>
        <v>558.52999495449501</v>
      </c>
      <c r="AB1110" s="622">
        <f t="shared" ref="AB1110" si="957">SUM(AB1111,AB1114,AB1117)</f>
        <v>558.52999495449501</v>
      </c>
      <c r="AC1110" s="622">
        <f t="shared" ref="AC1110" si="958">SUM(AC1111,AC1114,AC1117)</f>
        <v>558.52999495449501</v>
      </c>
      <c r="AD1110" s="622">
        <f t="shared" ref="AD1110" si="959">SUM(AD1111,AD1114,AD1117)</f>
        <v>558.52999495449501</v>
      </c>
      <c r="AE1110" s="622">
        <f t="shared" ref="AE1110" si="960">SUM(AE1111,AE1114,AE1117)</f>
        <v>558.52999495449501</v>
      </c>
      <c r="AF1110" s="622">
        <f t="shared" ref="AF1110" si="961">SUM(AF1111,AF1114,AF1117)</f>
        <v>558.52999495449501</v>
      </c>
      <c r="AH1110" s="587"/>
      <c r="AK1110" s="588"/>
      <c r="AM1110" s="624"/>
      <c r="AN1110" s="590"/>
      <c r="AP1110" s="591"/>
      <c r="AQ1110" s="591"/>
    </row>
    <row r="1111" spans="1:43" s="634" customFormat="1" ht="16.5" hidden="1" customHeight="1" outlineLevel="2">
      <c r="A1111" s="584"/>
      <c r="B1111" s="722" t="s">
        <v>993</v>
      </c>
      <c r="C1111" s="583">
        <f>C1112*C1113</f>
        <v>0</v>
      </c>
      <c r="D1111" s="583">
        <f t="shared" ref="D1111:AG1111" si="962">D1112*D1113</f>
        <v>286.45665585449501</v>
      </c>
      <c r="E1111" s="583">
        <f t="shared" si="962"/>
        <v>286.45665585449501</v>
      </c>
      <c r="F1111" s="583">
        <f t="shared" si="962"/>
        <v>286.45665585449501</v>
      </c>
      <c r="G1111" s="583">
        <f t="shared" si="962"/>
        <v>286.45665585449501</v>
      </c>
      <c r="H1111" s="583">
        <f t="shared" si="962"/>
        <v>286.45665585449501</v>
      </c>
      <c r="I1111" s="583">
        <f t="shared" si="962"/>
        <v>286.45665585449501</v>
      </c>
      <c r="J1111" s="583">
        <f t="shared" si="962"/>
        <v>286.45665585449501</v>
      </c>
      <c r="K1111" s="583">
        <f t="shared" si="962"/>
        <v>286.45665585449501</v>
      </c>
      <c r="L1111" s="583">
        <f t="shared" si="962"/>
        <v>286.45665585449501</v>
      </c>
      <c r="M1111" s="583">
        <f t="shared" si="962"/>
        <v>286.45665585449501</v>
      </c>
      <c r="N1111" s="583">
        <f t="shared" si="962"/>
        <v>286.45665585449501</v>
      </c>
      <c r="O1111" s="583">
        <f t="shared" si="962"/>
        <v>286.45665585449501</v>
      </c>
      <c r="P1111" s="583">
        <f t="shared" si="962"/>
        <v>286.45665585449501</v>
      </c>
      <c r="Q1111" s="583">
        <f t="shared" si="962"/>
        <v>286.45665585449501</v>
      </c>
      <c r="R1111" s="583">
        <f t="shared" si="962"/>
        <v>286.45665585449501</v>
      </c>
      <c r="S1111" s="583">
        <f t="shared" si="962"/>
        <v>286.45665585449501</v>
      </c>
      <c r="T1111" s="583">
        <f t="shared" si="962"/>
        <v>286.45665585449501</v>
      </c>
      <c r="U1111" s="583">
        <f t="shared" si="962"/>
        <v>286.45665585449501</v>
      </c>
      <c r="V1111" s="583">
        <f t="shared" si="962"/>
        <v>286.45665585449501</v>
      </c>
      <c r="W1111" s="583">
        <f t="shared" si="962"/>
        <v>286.45665585449501</v>
      </c>
      <c r="X1111" s="583">
        <f t="shared" si="962"/>
        <v>286.45665585449501</v>
      </c>
      <c r="Y1111" s="583">
        <f t="shared" si="962"/>
        <v>286.45665585449501</v>
      </c>
      <c r="Z1111" s="583">
        <f t="shared" si="962"/>
        <v>286.45665585449501</v>
      </c>
      <c r="AA1111" s="583">
        <f t="shared" si="962"/>
        <v>286.45665585449501</v>
      </c>
      <c r="AB1111" s="583">
        <f t="shared" si="962"/>
        <v>286.45665585449501</v>
      </c>
      <c r="AC1111" s="583">
        <f t="shared" si="962"/>
        <v>286.45665585449501</v>
      </c>
      <c r="AD1111" s="583">
        <f t="shared" si="962"/>
        <v>286.45665585449501</v>
      </c>
      <c r="AE1111" s="583">
        <f t="shared" si="962"/>
        <v>286.45665585449501</v>
      </c>
      <c r="AF1111" s="583">
        <f t="shared" si="962"/>
        <v>286.45665585449501</v>
      </c>
      <c r="AG1111" s="583">
        <f t="shared" si="962"/>
        <v>0</v>
      </c>
      <c r="AH1111" s="635"/>
      <c r="AK1111" s="588"/>
      <c r="AM1111" s="624"/>
      <c r="AN1111" s="590"/>
      <c r="AP1111" s="636"/>
      <c r="AQ1111" s="636"/>
    </row>
    <row r="1112" spans="1:43" s="586" customFormat="1" ht="16.5" hidden="1" customHeight="1" outlineLevel="2">
      <c r="A1112" s="584"/>
      <c r="B1112" s="585" t="s">
        <v>805</v>
      </c>
      <c r="C1112" s="554">
        <v>0</v>
      </c>
      <c r="D1112" s="554">
        <v>1</v>
      </c>
      <c r="E1112" s="554">
        <v>1</v>
      </c>
      <c r="F1112" s="554">
        <v>1</v>
      </c>
      <c r="G1112" s="554">
        <v>1</v>
      </c>
      <c r="H1112" s="554">
        <v>1</v>
      </c>
      <c r="I1112" s="554">
        <v>1</v>
      </c>
      <c r="J1112" s="554">
        <v>1</v>
      </c>
      <c r="K1112" s="554">
        <v>1</v>
      </c>
      <c r="L1112" s="554">
        <v>1</v>
      </c>
      <c r="M1112" s="554">
        <v>1</v>
      </c>
      <c r="N1112" s="554">
        <v>1</v>
      </c>
      <c r="O1112" s="554">
        <v>1</v>
      </c>
      <c r="P1112" s="554">
        <v>1</v>
      </c>
      <c r="Q1112" s="554">
        <v>1</v>
      </c>
      <c r="R1112" s="554">
        <v>1</v>
      </c>
      <c r="S1112" s="554">
        <v>1</v>
      </c>
      <c r="T1112" s="554">
        <v>1</v>
      </c>
      <c r="U1112" s="554">
        <v>1</v>
      </c>
      <c r="V1112" s="554">
        <v>1</v>
      </c>
      <c r="W1112" s="554">
        <v>1</v>
      </c>
      <c r="X1112" s="554">
        <v>1</v>
      </c>
      <c r="Y1112" s="554">
        <v>1</v>
      </c>
      <c r="Z1112" s="554">
        <v>1</v>
      </c>
      <c r="AA1112" s="554">
        <v>1</v>
      </c>
      <c r="AB1112" s="554">
        <v>1</v>
      </c>
      <c r="AC1112" s="554">
        <v>1</v>
      </c>
      <c r="AD1112" s="554">
        <v>1</v>
      </c>
      <c r="AE1112" s="554">
        <v>1</v>
      </c>
      <c r="AF1112" s="554">
        <v>1</v>
      </c>
      <c r="AH1112" s="587"/>
      <c r="AK1112" s="588"/>
      <c r="AM1112" s="624"/>
      <c r="AN1112" s="590"/>
      <c r="AP1112" s="591"/>
      <c r="AQ1112" s="591"/>
    </row>
    <row r="1113" spans="1:43" s="586" customFormat="1" ht="16.5" hidden="1" customHeight="1" outlineLevel="2">
      <c r="A1113" s="584"/>
      <c r="B1113" s="585" t="s">
        <v>888</v>
      </c>
      <c r="C1113" s="632">
        <f>CAPEX!$C$122*3%/12</f>
        <v>286.45665585449501</v>
      </c>
      <c r="D1113" s="632">
        <f>C1113</f>
        <v>286.45665585449501</v>
      </c>
      <c r="E1113" s="632">
        <f t="shared" ref="E1113:AF1113" si="963">D1113</f>
        <v>286.45665585449501</v>
      </c>
      <c r="F1113" s="632">
        <f t="shared" si="963"/>
        <v>286.45665585449501</v>
      </c>
      <c r="G1113" s="632">
        <f t="shared" si="963"/>
        <v>286.45665585449501</v>
      </c>
      <c r="H1113" s="632">
        <f t="shared" si="963"/>
        <v>286.45665585449501</v>
      </c>
      <c r="I1113" s="632">
        <f t="shared" si="963"/>
        <v>286.45665585449501</v>
      </c>
      <c r="J1113" s="632">
        <f t="shared" si="963"/>
        <v>286.45665585449501</v>
      </c>
      <c r="K1113" s="632">
        <f t="shared" si="963"/>
        <v>286.45665585449501</v>
      </c>
      <c r="L1113" s="632">
        <f t="shared" si="963"/>
        <v>286.45665585449501</v>
      </c>
      <c r="M1113" s="632">
        <f t="shared" si="963"/>
        <v>286.45665585449501</v>
      </c>
      <c r="N1113" s="632">
        <f t="shared" si="963"/>
        <v>286.45665585449501</v>
      </c>
      <c r="O1113" s="632">
        <f t="shared" si="963"/>
        <v>286.45665585449501</v>
      </c>
      <c r="P1113" s="632">
        <f t="shared" si="963"/>
        <v>286.45665585449501</v>
      </c>
      <c r="Q1113" s="632">
        <f t="shared" si="963"/>
        <v>286.45665585449501</v>
      </c>
      <c r="R1113" s="632">
        <f t="shared" si="963"/>
        <v>286.45665585449501</v>
      </c>
      <c r="S1113" s="632">
        <f t="shared" si="963"/>
        <v>286.45665585449501</v>
      </c>
      <c r="T1113" s="632">
        <f t="shared" si="963"/>
        <v>286.45665585449501</v>
      </c>
      <c r="U1113" s="632">
        <f t="shared" si="963"/>
        <v>286.45665585449501</v>
      </c>
      <c r="V1113" s="632">
        <f t="shared" si="963"/>
        <v>286.45665585449501</v>
      </c>
      <c r="W1113" s="632">
        <f t="shared" si="963"/>
        <v>286.45665585449501</v>
      </c>
      <c r="X1113" s="632">
        <f t="shared" si="963"/>
        <v>286.45665585449501</v>
      </c>
      <c r="Y1113" s="632">
        <f t="shared" si="963"/>
        <v>286.45665585449501</v>
      </c>
      <c r="Z1113" s="632">
        <f t="shared" si="963"/>
        <v>286.45665585449501</v>
      </c>
      <c r="AA1113" s="632">
        <f t="shared" si="963"/>
        <v>286.45665585449501</v>
      </c>
      <c r="AB1113" s="632">
        <f t="shared" si="963"/>
        <v>286.45665585449501</v>
      </c>
      <c r="AC1113" s="632">
        <f t="shared" si="963"/>
        <v>286.45665585449501</v>
      </c>
      <c r="AD1113" s="632">
        <f t="shared" si="963"/>
        <v>286.45665585449501</v>
      </c>
      <c r="AE1113" s="632">
        <f t="shared" si="963"/>
        <v>286.45665585449501</v>
      </c>
      <c r="AF1113" s="632">
        <f t="shared" si="963"/>
        <v>286.45665585449501</v>
      </c>
      <c r="AH1113" s="587"/>
      <c r="AK1113" s="588"/>
      <c r="AM1113" s="624"/>
      <c r="AN1113" s="590"/>
      <c r="AP1113" s="591"/>
      <c r="AQ1113" s="591"/>
    </row>
    <row r="1114" spans="1:43" s="634" customFormat="1" ht="16.5" hidden="1" customHeight="1" outlineLevel="2">
      <c r="A1114" s="584"/>
      <c r="B1114" s="722" t="s">
        <v>994</v>
      </c>
      <c r="C1114" s="583">
        <f>C1115*C1116</f>
        <v>0</v>
      </c>
      <c r="D1114" s="583">
        <f t="shared" ref="D1114:AG1114" si="964">D1115*D1116</f>
        <v>51.207779700000003</v>
      </c>
      <c r="E1114" s="583">
        <f t="shared" si="964"/>
        <v>153.62333910000001</v>
      </c>
      <c r="F1114" s="583">
        <f t="shared" si="964"/>
        <v>153.62333910000001</v>
      </c>
      <c r="G1114" s="583">
        <f t="shared" si="964"/>
        <v>153.62333910000001</v>
      </c>
      <c r="H1114" s="583">
        <f t="shared" si="964"/>
        <v>153.62333910000001</v>
      </c>
      <c r="I1114" s="583">
        <f t="shared" si="964"/>
        <v>153.62333910000001</v>
      </c>
      <c r="J1114" s="583">
        <f t="shared" si="964"/>
        <v>153.62333910000001</v>
      </c>
      <c r="K1114" s="583">
        <f t="shared" si="964"/>
        <v>153.62333910000001</v>
      </c>
      <c r="L1114" s="583">
        <f t="shared" si="964"/>
        <v>153.62333910000001</v>
      </c>
      <c r="M1114" s="583">
        <f t="shared" si="964"/>
        <v>153.62333910000001</v>
      </c>
      <c r="N1114" s="583">
        <f t="shared" si="964"/>
        <v>153.62333910000001</v>
      </c>
      <c r="O1114" s="583">
        <f t="shared" si="964"/>
        <v>153.62333910000001</v>
      </c>
      <c r="P1114" s="583">
        <f t="shared" si="964"/>
        <v>153.62333910000001</v>
      </c>
      <c r="Q1114" s="583">
        <f t="shared" si="964"/>
        <v>153.62333910000001</v>
      </c>
      <c r="R1114" s="583">
        <f t="shared" si="964"/>
        <v>153.62333910000001</v>
      </c>
      <c r="S1114" s="583">
        <f t="shared" si="964"/>
        <v>153.62333910000001</v>
      </c>
      <c r="T1114" s="583">
        <f t="shared" si="964"/>
        <v>153.62333910000001</v>
      </c>
      <c r="U1114" s="583">
        <f t="shared" si="964"/>
        <v>153.62333910000001</v>
      </c>
      <c r="V1114" s="583">
        <f t="shared" si="964"/>
        <v>153.62333910000001</v>
      </c>
      <c r="W1114" s="583">
        <f t="shared" si="964"/>
        <v>153.62333910000001</v>
      </c>
      <c r="X1114" s="583">
        <f t="shared" si="964"/>
        <v>153.62333910000001</v>
      </c>
      <c r="Y1114" s="583">
        <f t="shared" si="964"/>
        <v>153.62333910000001</v>
      </c>
      <c r="Z1114" s="583">
        <f t="shared" si="964"/>
        <v>153.62333910000001</v>
      </c>
      <c r="AA1114" s="583">
        <f t="shared" si="964"/>
        <v>153.62333910000001</v>
      </c>
      <c r="AB1114" s="583">
        <f t="shared" si="964"/>
        <v>153.62333910000001</v>
      </c>
      <c r="AC1114" s="583">
        <f t="shared" si="964"/>
        <v>153.62333910000001</v>
      </c>
      <c r="AD1114" s="583">
        <f t="shared" si="964"/>
        <v>153.62333910000001</v>
      </c>
      <c r="AE1114" s="583">
        <f t="shared" si="964"/>
        <v>153.62333910000001</v>
      </c>
      <c r="AF1114" s="583">
        <f t="shared" si="964"/>
        <v>153.62333910000001</v>
      </c>
      <c r="AG1114" s="583">
        <f t="shared" si="964"/>
        <v>0</v>
      </c>
      <c r="AH1114" s="635"/>
      <c r="AK1114" s="588"/>
      <c r="AM1114" s="624"/>
      <c r="AN1114" s="590"/>
      <c r="AP1114" s="636"/>
      <c r="AQ1114" s="636"/>
    </row>
    <row r="1115" spans="1:43" s="586" customFormat="1" ht="16.5" hidden="1" customHeight="1" outlineLevel="2">
      <c r="A1115" s="584"/>
      <c r="B1115" s="585" t="s">
        <v>805</v>
      </c>
      <c r="C1115" s="554">
        <v>0</v>
      </c>
      <c r="D1115" s="554">
        <v>1</v>
      </c>
      <c r="E1115" s="554">
        <v>3</v>
      </c>
      <c r="F1115" s="554">
        <f>E1115</f>
        <v>3</v>
      </c>
      <c r="G1115" s="554">
        <f t="shared" ref="G1115:V1116" si="965">F1115</f>
        <v>3</v>
      </c>
      <c r="H1115" s="554">
        <f t="shared" si="965"/>
        <v>3</v>
      </c>
      <c r="I1115" s="554">
        <f t="shared" si="965"/>
        <v>3</v>
      </c>
      <c r="J1115" s="554">
        <f t="shared" si="965"/>
        <v>3</v>
      </c>
      <c r="K1115" s="554">
        <f t="shared" si="965"/>
        <v>3</v>
      </c>
      <c r="L1115" s="554">
        <f t="shared" si="965"/>
        <v>3</v>
      </c>
      <c r="M1115" s="554">
        <f t="shared" si="965"/>
        <v>3</v>
      </c>
      <c r="N1115" s="554">
        <f t="shared" si="965"/>
        <v>3</v>
      </c>
      <c r="O1115" s="554">
        <f t="shared" si="965"/>
        <v>3</v>
      </c>
      <c r="P1115" s="554">
        <f t="shared" si="965"/>
        <v>3</v>
      </c>
      <c r="Q1115" s="554">
        <f t="shared" si="965"/>
        <v>3</v>
      </c>
      <c r="R1115" s="554">
        <f t="shared" si="965"/>
        <v>3</v>
      </c>
      <c r="S1115" s="554">
        <f t="shared" si="965"/>
        <v>3</v>
      </c>
      <c r="T1115" s="554">
        <f t="shared" si="965"/>
        <v>3</v>
      </c>
      <c r="U1115" s="554">
        <f t="shared" si="965"/>
        <v>3</v>
      </c>
      <c r="V1115" s="554">
        <f t="shared" si="965"/>
        <v>3</v>
      </c>
      <c r="W1115" s="554">
        <f t="shared" ref="W1115:AF1116" si="966">V1115</f>
        <v>3</v>
      </c>
      <c r="X1115" s="554">
        <f t="shared" si="966"/>
        <v>3</v>
      </c>
      <c r="Y1115" s="554">
        <f t="shared" si="966"/>
        <v>3</v>
      </c>
      <c r="Z1115" s="554">
        <f t="shared" si="966"/>
        <v>3</v>
      </c>
      <c r="AA1115" s="554">
        <f t="shared" si="966"/>
        <v>3</v>
      </c>
      <c r="AB1115" s="554">
        <f t="shared" si="966"/>
        <v>3</v>
      </c>
      <c r="AC1115" s="554">
        <f t="shared" si="966"/>
        <v>3</v>
      </c>
      <c r="AD1115" s="554">
        <f t="shared" si="966"/>
        <v>3</v>
      </c>
      <c r="AE1115" s="554">
        <f t="shared" si="966"/>
        <v>3</v>
      </c>
      <c r="AF1115" s="554">
        <f t="shared" si="966"/>
        <v>3</v>
      </c>
      <c r="AH1115" s="587"/>
      <c r="AK1115" s="588"/>
      <c r="AM1115" s="624"/>
      <c r="AN1115" s="590"/>
      <c r="AP1115" s="591"/>
      <c r="AQ1115" s="591"/>
    </row>
    <row r="1116" spans="1:43" s="586" customFormat="1" ht="16.5" hidden="1" customHeight="1" outlineLevel="2">
      <c r="A1116" s="584"/>
      <c r="B1116" s="585" t="s">
        <v>888</v>
      </c>
      <c r="C1116" s="632">
        <f>CAPEX!$C$127*3%/12</f>
        <v>51.207779700000003</v>
      </c>
      <c r="D1116" s="632">
        <f>C1116</f>
        <v>51.207779700000003</v>
      </c>
      <c r="E1116" s="632">
        <f t="shared" ref="E1116:F1116" si="967">D1116</f>
        <v>51.207779700000003</v>
      </c>
      <c r="F1116" s="632">
        <f t="shared" si="967"/>
        <v>51.207779700000003</v>
      </c>
      <c r="G1116" s="632">
        <f t="shared" si="965"/>
        <v>51.207779700000003</v>
      </c>
      <c r="H1116" s="632">
        <f t="shared" si="965"/>
        <v>51.207779700000003</v>
      </c>
      <c r="I1116" s="632">
        <f t="shared" si="965"/>
        <v>51.207779700000003</v>
      </c>
      <c r="J1116" s="632">
        <f t="shared" si="965"/>
        <v>51.207779700000003</v>
      </c>
      <c r="K1116" s="632">
        <f t="shared" si="965"/>
        <v>51.207779700000003</v>
      </c>
      <c r="L1116" s="632">
        <f t="shared" si="965"/>
        <v>51.207779700000003</v>
      </c>
      <c r="M1116" s="632">
        <f t="shared" si="965"/>
        <v>51.207779700000003</v>
      </c>
      <c r="N1116" s="632">
        <f t="shared" si="965"/>
        <v>51.207779700000003</v>
      </c>
      <c r="O1116" s="632">
        <f t="shared" si="965"/>
        <v>51.207779700000003</v>
      </c>
      <c r="P1116" s="632">
        <f t="shared" si="965"/>
        <v>51.207779700000003</v>
      </c>
      <c r="Q1116" s="632">
        <f t="shared" si="965"/>
        <v>51.207779700000003</v>
      </c>
      <c r="R1116" s="632">
        <f t="shared" si="965"/>
        <v>51.207779700000003</v>
      </c>
      <c r="S1116" s="632">
        <f t="shared" si="965"/>
        <v>51.207779700000003</v>
      </c>
      <c r="T1116" s="632">
        <f t="shared" si="965"/>
        <v>51.207779700000003</v>
      </c>
      <c r="U1116" s="632">
        <f t="shared" si="965"/>
        <v>51.207779700000003</v>
      </c>
      <c r="V1116" s="632">
        <f t="shared" si="965"/>
        <v>51.207779700000003</v>
      </c>
      <c r="W1116" s="632">
        <f t="shared" si="966"/>
        <v>51.207779700000003</v>
      </c>
      <c r="X1116" s="632">
        <f t="shared" si="966"/>
        <v>51.207779700000003</v>
      </c>
      <c r="Y1116" s="632">
        <f t="shared" si="966"/>
        <v>51.207779700000003</v>
      </c>
      <c r="Z1116" s="632">
        <f t="shared" si="966"/>
        <v>51.207779700000003</v>
      </c>
      <c r="AA1116" s="632">
        <f t="shared" si="966"/>
        <v>51.207779700000003</v>
      </c>
      <c r="AB1116" s="632">
        <f t="shared" si="966"/>
        <v>51.207779700000003</v>
      </c>
      <c r="AC1116" s="632">
        <f t="shared" si="966"/>
        <v>51.207779700000003</v>
      </c>
      <c r="AD1116" s="632">
        <f t="shared" si="966"/>
        <v>51.207779700000003</v>
      </c>
      <c r="AE1116" s="632">
        <f t="shared" si="966"/>
        <v>51.207779700000003</v>
      </c>
      <c r="AF1116" s="632">
        <f t="shared" si="966"/>
        <v>51.207779700000003</v>
      </c>
      <c r="AH1116" s="587"/>
      <c r="AK1116" s="588"/>
      <c r="AM1116" s="624"/>
      <c r="AN1116" s="590"/>
      <c r="AP1116" s="591"/>
      <c r="AQ1116" s="591"/>
    </row>
    <row r="1117" spans="1:43" s="634" customFormat="1" ht="16.5" hidden="1" customHeight="1" outlineLevel="2">
      <c r="A1117" s="584"/>
      <c r="B1117" s="722" t="s">
        <v>853</v>
      </c>
      <c r="C1117" s="583">
        <f>C1118*C1119</f>
        <v>59.225000000000001</v>
      </c>
      <c r="D1117" s="583">
        <f t="shared" ref="D1117:AG1117" si="968">D1118*D1119</f>
        <v>118.45</v>
      </c>
      <c r="E1117" s="583">
        <f t="shared" si="968"/>
        <v>118.45</v>
      </c>
      <c r="F1117" s="583">
        <f t="shared" si="968"/>
        <v>118.45</v>
      </c>
      <c r="G1117" s="583">
        <f t="shared" si="968"/>
        <v>118.45</v>
      </c>
      <c r="H1117" s="583">
        <f t="shared" si="968"/>
        <v>118.45</v>
      </c>
      <c r="I1117" s="583">
        <f t="shared" si="968"/>
        <v>118.45</v>
      </c>
      <c r="J1117" s="583">
        <f t="shared" si="968"/>
        <v>118.45</v>
      </c>
      <c r="K1117" s="583">
        <f t="shared" si="968"/>
        <v>118.45</v>
      </c>
      <c r="L1117" s="583">
        <f t="shared" si="968"/>
        <v>118.45</v>
      </c>
      <c r="M1117" s="583">
        <f t="shared" si="968"/>
        <v>118.45</v>
      </c>
      <c r="N1117" s="583">
        <f t="shared" si="968"/>
        <v>118.45</v>
      </c>
      <c r="O1117" s="583">
        <f t="shared" si="968"/>
        <v>118.45</v>
      </c>
      <c r="P1117" s="583">
        <f t="shared" si="968"/>
        <v>118.45</v>
      </c>
      <c r="Q1117" s="583">
        <f t="shared" si="968"/>
        <v>118.45</v>
      </c>
      <c r="R1117" s="583">
        <f t="shared" si="968"/>
        <v>118.45</v>
      </c>
      <c r="S1117" s="583">
        <f t="shared" si="968"/>
        <v>118.45</v>
      </c>
      <c r="T1117" s="583">
        <f t="shared" si="968"/>
        <v>118.45</v>
      </c>
      <c r="U1117" s="583">
        <f t="shared" si="968"/>
        <v>118.45</v>
      </c>
      <c r="V1117" s="583">
        <f t="shared" si="968"/>
        <v>118.45</v>
      </c>
      <c r="W1117" s="583">
        <f t="shared" si="968"/>
        <v>118.45</v>
      </c>
      <c r="X1117" s="583">
        <f t="shared" si="968"/>
        <v>118.45</v>
      </c>
      <c r="Y1117" s="583">
        <f t="shared" si="968"/>
        <v>118.45</v>
      </c>
      <c r="Z1117" s="583">
        <f t="shared" si="968"/>
        <v>118.45</v>
      </c>
      <c r="AA1117" s="583">
        <f t="shared" si="968"/>
        <v>118.45</v>
      </c>
      <c r="AB1117" s="583">
        <f t="shared" si="968"/>
        <v>118.45</v>
      </c>
      <c r="AC1117" s="583">
        <f t="shared" si="968"/>
        <v>118.45</v>
      </c>
      <c r="AD1117" s="583">
        <f t="shared" si="968"/>
        <v>118.45</v>
      </c>
      <c r="AE1117" s="583">
        <f t="shared" si="968"/>
        <v>118.45</v>
      </c>
      <c r="AF1117" s="583">
        <f t="shared" si="968"/>
        <v>118.45</v>
      </c>
      <c r="AG1117" s="583">
        <f t="shared" si="968"/>
        <v>0</v>
      </c>
      <c r="AH1117" s="635"/>
      <c r="AK1117" s="588"/>
      <c r="AM1117" s="624"/>
      <c r="AN1117" s="590"/>
      <c r="AP1117" s="636"/>
      <c r="AQ1117" s="636"/>
    </row>
    <row r="1118" spans="1:43" s="586" customFormat="1" ht="16.5" hidden="1" customHeight="1" outlineLevel="2">
      <c r="A1118" s="584"/>
      <c r="B1118" s="585" t="s">
        <v>805</v>
      </c>
      <c r="C1118" s="554">
        <f t="shared" ref="C1118:AF1118" si="969">C1092</f>
        <v>8</v>
      </c>
      <c r="D1118" s="554">
        <f t="shared" si="969"/>
        <v>16</v>
      </c>
      <c r="E1118" s="554">
        <f t="shared" si="969"/>
        <v>16</v>
      </c>
      <c r="F1118" s="554">
        <f t="shared" si="969"/>
        <v>16</v>
      </c>
      <c r="G1118" s="554">
        <f t="shared" si="969"/>
        <v>16</v>
      </c>
      <c r="H1118" s="554">
        <f t="shared" si="969"/>
        <v>16</v>
      </c>
      <c r="I1118" s="554">
        <f t="shared" si="969"/>
        <v>16</v>
      </c>
      <c r="J1118" s="554">
        <f t="shared" si="969"/>
        <v>16</v>
      </c>
      <c r="K1118" s="554">
        <f t="shared" si="969"/>
        <v>16</v>
      </c>
      <c r="L1118" s="554">
        <f t="shared" si="969"/>
        <v>16</v>
      </c>
      <c r="M1118" s="554">
        <f t="shared" si="969"/>
        <v>16</v>
      </c>
      <c r="N1118" s="554">
        <f t="shared" si="969"/>
        <v>16</v>
      </c>
      <c r="O1118" s="554">
        <f t="shared" si="969"/>
        <v>16</v>
      </c>
      <c r="P1118" s="554">
        <f t="shared" si="969"/>
        <v>16</v>
      </c>
      <c r="Q1118" s="554">
        <f t="shared" si="969"/>
        <v>16</v>
      </c>
      <c r="R1118" s="554">
        <f t="shared" si="969"/>
        <v>16</v>
      </c>
      <c r="S1118" s="554">
        <f t="shared" si="969"/>
        <v>16</v>
      </c>
      <c r="T1118" s="554">
        <f t="shared" si="969"/>
        <v>16</v>
      </c>
      <c r="U1118" s="554">
        <f t="shared" si="969"/>
        <v>16</v>
      </c>
      <c r="V1118" s="554">
        <f t="shared" si="969"/>
        <v>16</v>
      </c>
      <c r="W1118" s="554">
        <f t="shared" si="969"/>
        <v>16</v>
      </c>
      <c r="X1118" s="554">
        <f t="shared" si="969"/>
        <v>16</v>
      </c>
      <c r="Y1118" s="554">
        <f t="shared" si="969"/>
        <v>16</v>
      </c>
      <c r="Z1118" s="554">
        <f t="shared" si="969"/>
        <v>16</v>
      </c>
      <c r="AA1118" s="554">
        <f t="shared" si="969"/>
        <v>16</v>
      </c>
      <c r="AB1118" s="554">
        <f t="shared" si="969"/>
        <v>16</v>
      </c>
      <c r="AC1118" s="554">
        <f t="shared" si="969"/>
        <v>16</v>
      </c>
      <c r="AD1118" s="554">
        <f t="shared" si="969"/>
        <v>16</v>
      </c>
      <c r="AE1118" s="554">
        <f t="shared" si="969"/>
        <v>16</v>
      </c>
      <c r="AF1118" s="554">
        <f t="shared" si="969"/>
        <v>16</v>
      </c>
      <c r="AH1118" s="587"/>
      <c r="AK1118" s="588"/>
      <c r="AM1118" s="624"/>
      <c r="AN1118" s="590"/>
      <c r="AP1118" s="591"/>
      <c r="AQ1118" s="591"/>
    </row>
    <row r="1119" spans="1:43" s="513" customFormat="1" ht="16.5" hidden="1" customHeight="1" outlineLevel="2">
      <c r="A1119" s="584"/>
      <c r="B1119" s="572" t="s">
        <v>888</v>
      </c>
      <c r="C1119" s="574">
        <f>CAPEX!$C$164*(0.83%+0.42%)</f>
        <v>7.4031250000000002</v>
      </c>
      <c r="D1119" s="574">
        <f>C1119</f>
        <v>7.4031250000000002</v>
      </c>
      <c r="E1119" s="574">
        <f>D1119</f>
        <v>7.4031250000000002</v>
      </c>
      <c r="F1119" s="574">
        <f t="shared" ref="F1119:AF1119" si="970">E1119</f>
        <v>7.4031250000000002</v>
      </c>
      <c r="G1119" s="574">
        <f t="shared" si="970"/>
        <v>7.4031250000000002</v>
      </c>
      <c r="H1119" s="574">
        <f t="shared" si="970"/>
        <v>7.4031250000000002</v>
      </c>
      <c r="I1119" s="574">
        <f t="shared" si="970"/>
        <v>7.4031250000000002</v>
      </c>
      <c r="J1119" s="574">
        <f t="shared" si="970"/>
        <v>7.4031250000000002</v>
      </c>
      <c r="K1119" s="574">
        <f t="shared" si="970"/>
        <v>7.4031250000000002</v>
      </c>
      <c r="L1119" s="574">
        <f t="shared" si="970"/>
        <v>7.4031250000000002</v>
      </c>
      <c r="M1119" s="574">
        <f t="shared" si="970"/>
        <v>7.4031250000000002</v>
      </c>
      <c r="N1119" s="574">
        <f t="shared" si="970"/>
        <v>7.4031250000000002</v>
      </c>
      <c r="O1119" s="574">
        <f t="shared" si="970"/>
        <v>7.4031250000000002</v>
      </c>
      <c r="P1119" s="574">
        <f t="shared" si="970"/>
        <v>7.4031250000000002</v>
      </c>
      <c r="Q1119" s="574">
        <f t="shared" si="970"/>
        <v>7.4031250000000002</v>
      </c>
      <c r="R1119" s="574">
        <f t="shared" si="970"/>
        <v>7.4031250000000002</v>
      </c>
      <c r="S1119" s="574">
        <f t="shared" si="970"/>
        <v>7.4031250000000002</v>
      </c>
      <c r="T1119" s="574">
        <f t="shared" si="970"/>
        <v>7.4031250000000002</v>
      </c>
      <c r="U1119" s="574">
        <f t="shared" si="970"/>
        <v>7.4031250000000002</v>
      </c>
      <c r="V1119" s="574">
        <f t="shared" si="970"/>
        <v>7.4031250000000002</v>
      </c>
      <c r="W1119" s="574">
        <f t="shared" si="970"/>
        <v>7.4031250000000002</v>
      </c>
      <c r="X1119" s="574">
        <f t="shared" si="970"/>
        <v>7.4031250000000002</v>
      </c>
      <c r="Y1119" s="574">
        <f t="shared" si="970"/>
        <v>7.4031250000000002</v>
      </c>
      <c r="Z1119" s="574">
        <f t="shared" si="970"/>
        <v>7.4031250000000002</v>
      </c>
      <c r="AA1119" s="574">
        <f t="shared" si="970"/>
        <v>7.4031250000000002</v>
      </c>
      <c r="AB1119" s="574">
        <f t="shared" si="970"/>
        <v>7.4031250000000002</v>
      </c>
      <c r="AC1119" s="574">
        <f t="shared" si="970"/>
        <v>7.4031250000000002</v>
      </c>
      <c r="AD1119" s="574">
        <f t="shared" si="970"/>
        <v>7.4031250000000002</v>
      </c>
      <c r="AE1119" s="574">
        <f t="shared" si="970"/>
        <v>7.4031250000000002</v>
      </c>
      <c r="AF1119" s="574">
        <f t="shared" si="970"/>
        <v>7.4031250000000002</v>
      </c>
      <c r="AH1119" s="538"/>
      <c r="AK1119" s="531"/>
      <c r="AM1119" s="594"/>
      <c r="AN1119" s="535"/>
      <c r="AP1119" s="540"/>
      <c r="AQ1119" s="540"/>
    </row>
    <row r="1120" spans="1:43" s="586" customFormat="1" ht="16.5" hidden="1" customHeight="1" outlineLevel="2">
      <c r="A1120" s="584"/>
      <c r="B1120" s="711" t="s">
        <v>858</v>
      </c>
      <c r="C1120" s="622">
        <f>SUM(C1121,C1124,C1127,C1130)</f>
        <v>0</v>
      </c>
      <c r="D1120" s="622">
        <f t="shared" ref="D1120:AF1120" si="971">SUM(D1121,D1124,D1127,D1130)</f>
        <v>0</v>
      </c>
      <c r="E1120" s="622">
        <f t="shared" si="971"/>
        <v>0</v>
      </c>
      <c r="F1120" s="622">
        <f t="shared" si="971"/>
        <v>0</v>
      </c>
      <c r="G1120" s="622">
        <f t="shared" si="971"/>
        <v>0</v>
      </c>
      <c r="H1120" s="622">
        <f t="shared" si="971"/>
        <v>0</v>
      </c>
      <c r="I1120" s="622">
        <f t="shared" si="971"/>
        <v>31626.314711108687</v>
      </c>
      <c r="J1120" s="622">
        <f t="shared" si="971"/>
        <v>31626.314711108687</v>
      </c>
      <c r="K1120" s="622">
        <f t="shared" si="971"/>
        <v>31626.314711108687</v>
      </c>
      <c r="L1120" s="622">
        <f t="shared" si="971"/>
        <v>31626.314711108687</v>
      </c>
      <c r="M1120" s="622">
        <f t="shared" si="971"/>
        <v>31626.314711108687</v>
      </c>
      <c r="N1120" s="622">
        <f t="shared" si="971"/>
        <v>31626.314711108687</v>
      </c>
      <c r="O1120" s="622">
        <f t="shared" si="971"/>
        <v>31626.314711108687</v>
      </c>
      <c r="P1120" s="622">
        <f t="shared" si="971"/>
        <v>31626.314711108687</v>
      </c>
      <c r="Q1120" s="622">
        <f t="shared" si="971"/>
        <v>31626.314711108687</v>
      </c>
      <c r="R1120" s="622">
        <f t="shared" si="971"/>
        <v>31626.314711108687</v>
      </c>
      <c r="S1120" s="622">
        <f t="shared" si="971"/>
        <v>31626.314711108687</v>
      </c>
      <c r="T1120" s="622">
        <f t="shared" si="971"/>
        <v>31626.314711108687</v>
      </c>
      <c r="U1120" s="622">
        <f t="shared" si="971"/>
        <v>31626.314711108687</v>
      </c>
      <c r="V1120" s="622">
        <f t="shared" si="971"/>
        <v>31626.314711108687</v>
      </c>
      <c r="W1120" s="622">
        <f t="shared" si="971"/>
        <v>31626.314711108687</v>
      </c>
      <c r="X1120" s="622">
        <f t="shared" si="971"/>
        <v>31626.314711108687</v>
      </c>
      <c r="Y1120" s="622">
        <f t="shared" si="971"/>
        <v>31626.314711108687</v>
      </c>
      <c r="Z1120" s="622">
        <f t="shared" si="971"/>
        <v>31626.314711108687</v>
      </c>
      <c r="AA1120" s="622">
        <f t="shared" si="971"/>
        <v>31626.314711108687</v>
      </c>
      <c r="AB1120" s="622">
        <f t="shared" si="971"/>
        <v>31626.314711108687</v>
      </c>
      <c r="AC1120" s="622">
        <f t="shared" si="971"/>
        <v>31626.314711108687</v>
      </c>
      <c r="AD1120" s="622">
        <f t="shared" si="971"/>
        <v>31626.314711108687</v>
      </c>
      <c r="AE1120" s="622">
        <f t="shared" si="971"/>
        <v>31626.314711108687</v>
      </c>
      <c r="AF1120" s="622">
        <f t="shared" si="971"/>
        <v>31626.314711108687</v>
      </c>
      <c r="AH1120" s="587"/>
      <c r="AK1120" s="588"/>
      <c r="AM1120" s="624"/>
      <c r="AN1120" s="590"/>
      <c r="AP1120" s="591"/>
      <c r="AQ1120" s="591"/>
    </row>
    <row r="1121" spans="1:43" s="634" customFormat="1" ht="16.5" hidden="1" customHeight="1" outlineLevel="2">
      <c r="A1121" s="584"/>
      <c r="B1121" s="722" t="s">
        <v>995</v>
      </c>
      <c r="C1121" s="583">
        <f>C1122*C1123</f>
        <v>0</v>
      </c>
      <c r="D1121" s="583">
        <f t="shared" ref="D1121:AG1121" si="972">D1122*D1123</f>
        <v>0</v>
      </c>
      <c r="E1121" s="583">
        <f t="shared" si="972"/>
        <v>0</v>
      </c>
      <c r="F1121" s="583">
        <f t="shared" si="972"/>
        <v>0</v>
      </c>
      <c r="G1121" s="583">
        <f t="shared" si="972"/>
        <v>0</v>
      </c>
      <c r="H1121" s="583">
        <f t="shared" si="972"/>
        <v>0</v>
      </c>
      <c r="I1121" s="583">
        <f t="shared" si="972"/>
        <v>23450.381821874387</v>
      </c>
      <c r="J1121" s="583">
        <f t="shared" si="972"/>
        <v>23450.381821874387</v>
      </c>
      <c r="K1121" s="583">
        <f t="shared" si="972"/>
        <v>23450.381821874387</v>
      </c>
      <c r="L1121" s="583">
        <f t="shared" si="972"/>
        <v>23450.381821874387</v>
      </c>
      <c r="M1121" s="583">
        <f t="shared" si="972"/>
        <v>23450.381821874387</v>
      </c>
      <c r="N1121" s="583">
        <f t="shared" si="972"/>
        <v>23450.381821874387</v>
      </c>
      <c r="O1121" s="583">
        <f t="shared" si="972"/>
        <v>23450.381821874387</v>
      </c>
      <c r="P1121" s="583">
        <f t="shared" si="972"/>
        <v>23450.381821874387</v>
      </c>
      <c r="Q1121" s="583">
        <f t="shared" si="972"/>
        <v>23450.381821874387</v>
      </c>
      <c r="R1121" s="583">
        <f t="shared" si="972"/>
        <v>23450.381821874387</v>
      </c>
      <c r="S1121" s="583">
        <f t="shared" si="972"/>
        <v>23450.381821874387</v>
      </c>
      <c r="T1121" s="583">
        <f t="shared" si="972"/>
        <v>23450.381821874387</v>
      </c>
      <c r="U1121" s="583">
        <f t="shared" si="972"/>
        <v>23450.381821874387</v>
      </c>
      <c r="V1121" s="583">
        <f t="shared" si="972"/>
        <v>23450.381821874387</v>
      </c>
      <c r="W1121" s="583">
        <f t="shared" si="972"/>
        <v>23450.381821874387</v>
      </c>
      <c r="X1121" s="583">
        <f t="shared" si="972"/>
        <v>23450.381821874387</v>
      </c>
      <c r="Y1121" s="583">
        <f t="shared" si="972"/>
        <v>23450.381821874387</v>
      </c>
      <c r="Z1121" s="583">
        <f t="shared" si="972"/>
        <v>23450.381821874387</v>
      </c>
      <c r="AA1121" s="583">
        <f t="shared" si="972"/>
        <v>23450.381821874387</v>
      </c>
      <c r="AB1121" s="583">
        <f t="shared" si="972"/>
        <v>23450.381821874387</v>
      </c>
      <c r="AC1121" s="583">
        <f t="shared" si="972"/>
        <v>23450.381821874387</v>
      </c>
      <c r="AD1121" s="583">
        <f t="shared" si="972"/>
        <v>23450.381821874387</v>
      </c>
      <c r="AE1121" s="583">
        <f t="shared" si="972"/>
        <v>23450.381821874387</v>
      </c>
      <c r="AF1121" s="583">
        <f t="shared" si="972"/>
        <v>23450.381821874387</v>
      </c>
      <c r="AG1121" s="583">
        <f t="shared" si="972"/>
        <v>0</v>
      </c>
      <c r="AH1121" s="635"/>
      <c r="AK1121" s="588"/>
      <c r="AM1121" s="624"/>
      <c r="AN1121" s="590"/>
      <c r="AP1121" s="636"/>
      <c r="AQ1121" s="636"/>
    </row>
    <row r="1122" spans="1:43" s="586" customFormat="1" ht="16.5" hidden="1" customHeight="1" outlineLevel="2">
      <c r="A1122" s="584"/>
      <c r="B1122" s="585" t="s">
        <v>805</v>
      </c>
      <c r="C1122" s="554">
        <v>0</v>
      </c>
      <c r="D1122" s="554">
        <v>0</v>
      </c>
      <c r="E1122" s="554">
        <v>0</v>
      </c>
      <c r="F1122" s="554">
        <v>0</v>
      </c>
      <c r="G1122" s="554">
        <v>0</v>
      </c>
      <c r="H1122" s="554">
        <v>0</v>
      </c>
      <c r="I1122" s="554">
        <v>1</v>
      </c>
      <c r="J1122" s="554">
        <v>1</v>
      </c>
      <c r="K1122" s="554">
        <v>1</v>
      </c>
      <c r="L1122" s="554">
        <v>1</v>
      </c>
      <c r="M1122" s="554">
        <v>1</v>
      </c>
      <c r="N1122" s="554">
        <v>1</v>
      </c>
      <c r="O1122" s="554">
        <v>1</v>
      </c>
      <c r="P1122" s="554">
        <v>1</v>
      </c>
      <c r="Q1122" s="554">
        <v>1</v>
      </c>
      <c r="R1122" s="554">
        <v>1</v>
      </c>
      <c r="S1122" s="554">
        <v>1</v>
      </c>
      <c r="T1122" s="554">
        <v>1</v>
      </c>
      <c r="U1122" s="554">
        <v>1</v>
      </c>
      <c r="V1122" s="554">
        <v>1</v>
      </c>
      <c r="W1122" s="554">
        <v>1</v>
      </c>
      <c r="X1122" s="554">
        <v>1</v>
      </c>
      <c r="Y1122" s="554">
        <v>1</v>
      </c>
      <c r="Z1122" s="554">
        <v>1</v>
      </c>
      <c r="AA1122" s="554">
        <v>1</v>
      </c>
      <c r="AB1122" s="554">
        <v>1</v>
      </c>
      <c r="AC1122" s="554">
        <v>1</v>
      </c>
      <c r="AD1122" s="554">
        <v>1</v>
      </c>
      <c r="AE1122" s="554">
        <v>1</v>
      </c>
      <c r="AF1122" s="554">
        <v>1</v>
      </c>
      <c r="AH1122" s="587"/>
      <c r="AK1122" s="588"/>
      <c r="AM1122" s="624"/>
      <c r="AN1122" s="590"/>
      <c r="AP1122" s="591"/>
      <c r="AQ1122" s="591"/>
    </row>
    <row r="1123" spans="1:43" s="586" customFormat="1" ht="16.5" hidden="1" customHeight="1" outlineLevel="2">
      <c r="A1123" s="584"/>
      <c r="B1123" s="585" t="s">
        <v>888</v>
      </c>
      <c r="C1123" s="632">
        <f>(CAPEX!H150*1.5%/12)+(CAPEX!H154*3%/12)</f>
        <v>23450.381821874387</v>
      </c>
      <c r="D1123" s="632">
        <f>C1123</f>
        <v>23450.381821874387</v>
      </c>
      <c r="E1123" s="632">
        <f t="shared" ref="E1123:AF1123" si="973">D1123</f>
        <v>23450.381821874387</v>
      </c>
      <c r="F1123" s="632">
        <f t="shared" si="973"/>
        <v>23450.381821874387</v>
      </c>
      <c r="G1123" s="632">
        <f t="shared" si="973"/>
        <v>23450.381821874387</v>
      </c>
      <c r="H1123" s="632">
        <f t="shared" si="973"/>
        <v>23450.381821874387</v>
      </c>
      <c r="I1123" s="632">
        <f t="shared" si="973"/>
        <v>23450.381821874387</v>
      </c>
      <c r="J1123" s="632">
        <f t="shared" si="973"/>
        <v>23450.381821874387</v>
      </c>
      <c r="K1123" s="632">
        <f t="shared" si="973"/>
        <v>23450.381821874387</v>
      </c>
      <c r="L1123" s="632">
        <f t="shared" si="973"/>
        <v>23450.381821874387</v>
      </c>
      <c r="M1123" s="632">
        <f t="shared" si="973"/>
        <v>23450.381821874387</v>
      </c>
      <c r="N1123" s="632">
        <f t="shared" si="973"/>
        <v>23450.381821874387</v>
      </c>
      <c r="O1123" s="632">
        <f t="shared" si="973"/>
        <v>23450.381821874387</v>
      </c>
      <c r="P1123" s="632">
        <f t="shared" si="973"/>
        <v>23450.381821874387</v>
      </c>
      <c r="Q1123" s="632">
        <f t="shared" si="973"/>
        <v>23450.381821874387</v>
      </c>
      <c r="R1123" s="632">
        <f t="shared" si="973"/>
        <v>23450.381821874387</v>
      </c>
      <c r="S1123" s="632">
        <f t="shared" si="973"/>
        <v>23450.381821874387</v>
      </c>
      <c r="T1123" s="632">
        <f t="shared" si="973"/>
        <v>23450.381821874387</v>
      </c>
      <c r="U1123" s="632">
        <f t="shared" si="973"/>
        <v>23450.381821874387</v>
      </c>
      <c r="V1123" s="632">
        <f t="shared" si="973"/>
        <v>23450.381821874387</v>
      </c>
      <c r="W1123" s="632">
        <f t="shared" si="973"/>
        <v>23450.381821874387</v>
      </c>
      <c r="X1123" s="632">
        <f t="shared" si="973"/>
        <v>23450.381821874387</v>
      </c>
      <c r="Y1123" s="632">
        <f t="shared" si="973"/>
        <v>23450.381821874387</v>
      </c>
      <c r="Z1123" s="632">
        <f t="shared" si="973"/>
        <v>23450.381821874387</v>
      </c>
      <c r="AA1123" s="632">
        <f t="shared" si="973"/>
        <v>23450.381821874387</v>
      </c>
      <c r="AB1123" s="632">
        <f t="shared" si="973"/>
        <v>23450.381821874387</v>
      </c>
      <c r="AC1123" s="632">
        <f t="shared" si="973"/>
        <v>23450.381821874387</v>
      </c>
      <c r="AD1123" s="632">
        <f t="shared" si="973"/>
        <v>23450.381821874387</v>
      </c>
      <c r="AE1123" s="632">
        <f t="shared" si="973"/>
        <v>23450.381821874387</v>
      </c>
      <c r="AF1123" s="632">
        <f t="shared" si="973"/>
        <v>23450.381821874387</v>
      </c>
      <c r="AH1123" s="587"/>
      <c r="AK1123" s="588"/>
      <c r="AM1123" s="624"/>
      <c r="AN1123" s="590"/>
      <c r="AP1123" s="591"/>
      <c r="AQ1123" s="591"/>
    </row>
    <row r="1124" spans="1:43" s="634" customFormat="1" ht="16.5" hidden="1" customHeight="1" outlineLevel="2">
      <c r="A1124" s="584"/>
      <c r="B1124" s="722" t="s">
        <v>996</v>
      </c>
      <c r="C1124" s="583">
        <f>C1125*C1126</f>
        <v>0</v>
      </c>
      <c r="D1124" s="583">
        <f t="shared" ref="D1124:AG1124" si="974">D1125*D1126</f>
        <v>0</v>
      </c>
      <c r="E1124" s="583">
        <f t="shared" si="974"/>
        <v>0</v>
      </c>
      <c r="F1124" s="583">
        <f t="shared" si="974"/>
        <v>0</v>
      </c>
      <c r="G1124" s="583">
        <f t="shared" si="974"/>
        <v>0</v>
      </c>
      <c r="H1124" s="583">
        <f t="shared" si="974"/>
        <v>0</v>
      </c>
      <c r="I1124" s="583">
        <f t="shared" si="974"/>
        <v>1372.4103932343</v>
      </c>
      <c r="J1124" s="583">
        <f t="shared" si="974"/>
        <v>1372.4103932343</v>
      </c>
      <c r="K1124" s="583">
        <f t="shared" si="974"/>
        <v>1372.4103932343</v>
      </c>
      <c r="L1124" s="583">
        <f t="shared" si="974"/>
        <v>1372.4103932343</v>
      </c>
      <c r="M1124" s="583">
        <f t="shared" si="974"/>
        <v>1372.4103932343</v>
      </c>
      <c r="N1124" s="583">
        <f t="shared" si="974"/>
        <v>1372.4103932343</v>
      </c>
      <c r="O1124" s="583">
        <f t="shared" si="974"/>
        <v>1372.4103932343</v>
      </c>
      <c r="P1124" s="583">
        <f t="shared" si="974"/>
        <v>1372.4103932343</v>
      </c>
      <c r="Q1124" s="583">
        <f t="shared" si="974"/>
        <v>1372.4103932343</v>
      </c>
      <c r="R1124" s="583">
        <f t="shared" si="974"/>
        <v>1372.4103932343</v>
      </c>
      <c r="S1124" s="583">
        <f t="shared" si="974"/>
        <v>1372.4103932343</v>
      </c>
      <c r="T1124" s="583">
        <f t="shared" si="974"/>
        <v>1372.4103932343</v>
      </c>
      <c r="U1124" s="583">
        <f t="shared" si="974"/>
        <v>1372.4103932343</v>
      </c>
      <c r="V1124" s="583">
        <f t="shared" si="974"/>
        <v>1372.4103932343</v>
      </c>
      <c r="W1124" s="583">
        <f t="shared" si="974"/>
        <v>1372.4103932343</v>
      </c>
      <c r="X1124" s="583">
        <f t="shared" si="974"/>
        <v>1372.4103932343</v>
      </c>
      <c r="Y1124" s="583">
        <f t="shared" si="974"/>
        <v>1372.4103932343</v>
      </c>
      <c r="Z1124" s="583">
        <f t="shared" si="974"/>
        <v>1372.4103932343</v>
      </c>
      <c r="AA1124" s="583">
        <f t="shared" si="974"/>
        <v>1372.4103932343</v>
      </c>
      <c r="AB1124" s="583">
        <f t="shared" si="974"/>
        <v>1372.4103932343</v>
      </c>
      <c r="AC1124" s="583">
        <f t="shared" si="974"/>
        <v>1372.4103932343</v>
      </c>
      <c r="AD1124" s="583">
        <f t="shared" si="974"/>
        <v>1372.4103932343</v>
      </c>
      <c r="AE1124" s="583">
        <f t="shared" si="974"/>
        <v>1372.4103932343</v>
      </c>
      <c r="AF1124" s="583">
        <f t="shared" si="974"/>
        <v>1372.4103932343</v>
      </c>
      <c r="AG1124" s="583">
        <f t="shared" si="974"/>
        <v>0</v>
      </c>
      <c r="AH1124" s="635"/>
      <c r="AK1124" s="588"/>
      <c r="AM1124" s="624"/>
      <c r="AN1124" s="590"/>
      <c r="AP1124" s="636"/>
      <c r="AQ1124" s="636"/>
    </row>
    <row r="1125" spans="1:43" s="586" customFormat="1" ht="16.5" hidden="1" customHeight="1" outlineLevel="2">
      <c r="A1125" s="584"/>
      <c r="B1125" s="585" t="s">
        <v>805</v>
      </c>
      <c r="C1125" s="554">
        <v>0</v>
      </c>
      <c r="D1125" s="554">
        <v>0</v>
      </c>
      <c r="E1125" s="554">
        <v>0</v>
      </c>
      <c r="F1125" s="554">
        <v>0</v>
      </c>
      <c r="G1125" s="554">
        <v>0</v>
      </c>
      <c r="H1125" s="554">
        <v>0</v>
      </c>
      <c r="I1125" s="554">
        <v>1</v>
      </c>
      <c r="J1125" s="554">
        <v>1</v>
      </c>
      <c r="K1125" s="554">
        <v>1</v>
      </c>
      <c r="L1125" s="554">
        <v>1</v>
      </c>
      <c r="M1125" s="554">
        <v>1</v>
      </c>
      <c r="N1125" s="554">
        <v>1</v>
      </c>
      <c r="O1125" s="554">
        <v>1</v>
      </c>
      <c r="P1125" s="554">
        <v>1</v>
      </c>
      <c r="Q1125" s="554">
        <v>1</v>
      </c>
      <c r="R1125" s="554">
        <v>1</v>
      </c>
      <c r="S1125" s="554">
        <v>1</v>
      </c>
      <c r="T1125" s="554">
        <v>1</v>
      </c>
      <c r="U1125" s="554">
        <v>1</v>
      </c>
      <c r="V1125" s="554">
        <v>1</v>
      </c>
      <c r="W1125" s="554">
        <v>1</v>
      </c>
      <c r="X1125" s="554">
        <v>1</v>
      </c>
      <c r="Y1125" s="554">
        <v>1</v>
      </c>
      <c r="Z1125" s="554">
        <v>1</v>
      </c>
      <c r="AA1125" s="554">
        <v>1</v>
      </c>
      <c r="AB1125" s="554">
        <v>1</v>
      </c>
      <c r="AC1125" s="554">
        <v>1</v>
      </c>
      <c r="AD1125" s="554">
        <v>1</v>
      </c>
      <c r="AE1125" s="554">
        <v>1</v>
      </c>
      <c r="AF1125" s="554">
        <v>1</v>
      </c>
      <c r="AH1125" s="587"/>
      <c r="AK1125" s="588"/>
      <c r="AM1125" s="624"/>
      <c r="AN1125" s="590"/>
      <c r="AP1125" s="591"/>
      <c r="AQ1125" s="591"/>
    </row>
    <row r="1126" spans="1:43" s="586" customFormat="1" ht="16.5" hidden="1" customHeight="1" outlineLevel="2">
      <c r="A1126" s="584"/>
      <c r="B1126" s="585" t="s">
        <v>888</v>
      </c>
      <c r="C1126" s="632">
        <f>((CAPEX!C182+CAPEX!C179)*0.42%)+((CAPEX!C182+CAPEX!C179)*0.83%)</f>
        <v>1372.4103932343</v>
      </c>
      <c r="D1126" s="632">
        <f>C1126</f>
        <v>1372.4103932343</v>
      </c>
      <c r="E1126" s="632">
        <f t="shared" ref="E1126:AF1126" si="975">D1126</f>
        <v>1372.4103932343</v>
      </c>
      <c r="F1126" s="632">
        <f t="shared" si="975"/>
        <v>1372.4103932343</v>
      </c>
      <c r="G1126" s="632">
        <f t="shared" si="975"/>
        <v>1372.4103932343</v>
      </c>
      <c r="H1126" s="632">
        <f t="shared" si="975"/>
        <v>1372.4103932343</v>
      </c>
      <c r="I1126" s="632">
        <f t="shared" si="975"/>
        <v>1372.4103932343</v>
      </c>
      <c r="J1126" s="632">
        <f t="shared" si="975"/>
        <v>1372.4103932343</v>
      </c>
      <c r="K1126" s="632">
        <f t="shared" si="975"/>
        <v>1372.4103932343</v>
      </c>
      <c r="L1126" s="632">
        <f t="shared" si="975"/>
        <v>1372.4103932343</v>
      </c>
      <c r="M1126" s="632">
        <f t="shared" si="975"/>
        <v>1372.4103932343</v>
      </c>
      <c r="N1126" s="632">
        <f t="shared" si="975"/>
        <v>1372.4103932343</v>
      </c>
      <c r="O1126" s="632">
        <f t="shared" si="975"/>
        <v>1372.4103932343</v>
      </c>
      <c r="P1126" s="632">
        <f t="shared" si="975"/>
        <v>1372.4103932343</v>
      </c>
      <c r="Q1126" s="632">
        <f t="shared" si="975"/>
        <v>1372.4103932343</v>
      </c>
      <c r="R1126" s="632">
        <f t="shared" si="975"/>
        <v>1372.4103932343</v>
      </c>
      <c r="S1126" s="632">
        <f t="shared" si="975"/>
        <v>1372.4103932343</v>
      </c>
      <c r="T1126" s="632">
        <f t="shared" si="975"/>
        <v>1372.4103932343</v>
      </c>
      <c r="U1126" s="632">
        <f t="shared" si="975"/>
        <v>1372.4103932343</v>
      </c>
      <c r="V1126" s="632">
        <f t="shared" si="975"/>
        <v>1372.4103932343</v>
      </c>
      <c r="W1126" s="632">
        <f t="shared" si="975"/>
        <v>1372.4103932343</v>
      </c>
      <c r="X1126" s="632">
        <f t="shared" si="975"/>
        <v>1372.4103932343</v>
      </c>
      <c r="Y1126" s="632">
        <f t="shared" si="975"/>
        <v>1372.4103932343</v>
      </c>
      <c r="Z1126" s="632">
        <f t="shared" si="975"/>
        <v>1372.4103932343</v>
      </c>
      <c r="AA1126" s="632">
        <f t="shared" si="975"/>
        <v>1372.4103932343</v>
      </c>
      <c r="AB1126" s="632">
        <f t="shared" si="975"/>
        <v>1372.4103932343</v>
      </c>
      <c r="AC1126" s="632">
        <f t="shared" si="975"/>
        <v>1372.4103932343</v>
      </c>
      <c r="AD1126" s="632">
        <f t="shared" si="975"/>
        <v>1372.4103932343</v>
      </c>
      <c r="AE1126" s="632">
        <f t="shared" si="975"/>
        <v>1372.4103932343</v>
      </c>
      <c r="AF1126" s="632">
        <f t="shared" si="975"/>
        <v>1372.4103932343</v>
      </c>
      <c r="AH1126" s="587"/>
      <c r="AK1126" s="588"/>
      <c r="AM1126" s="624"/>
      <c r="AN1126" s="590"/>
      <c r="AP1126" s="591"/>
      <c r="AQ1126" s="591"/>
    </row>
    <row r="1127" spans="1:43" s="634" customFormat="1" ht="16.5" hidden="1" customHeight="1" outlineLevel="2">
      <c r="A1127" s="584"/>
      <c r="B1127" s="722" t="s">
        <v>997</v>
      </c>
      <c r="C1127" s="583">
        <f>C1128*C1129</f>
        <v>0</v>
      </c>
      <c r="D1127" s="583">
        <f t="shared" ref="D1127:AG1127" si="976">D1128*D1129</f>
        <v>0</v>
      </c>
      <c r="E1127" s="583">
        <f t="shared" si="976"/>
        <v>0</v>
      </c>
      <c r="F1127" s="583">
        <f t="shared" si="976"/>
        <v>0</v>
      </c>
      <c r="G1127" s="583">
        <f t="shared" si="976"/>
        <v>0</v>
      </c>
      <c r="H1127" s="583">
        <f t="shared" si="976"/>
        <v>0</v>
      </c>
      <c r="I1127" s="583">
        <f t="shared" si="976"/>
        <v>4303.5224960000005</v>
      </c>
      <c r="J1127" s="583">
        <f t="shared" si="976"/>
        <v>4303.5224960000005</v>
      </c>
      <c r="K1127" s="583">
        <f t="shared" si="976"/>
        <v>4303.5224960000005</v>
      </c>
      <c r="L1127" s="583">
        <f t="shared" si="976"/>
        <v>4303.5224960000005</v>
      </c>
      <c r="M1127" s="583">
        <f t="shared" si="976"/>
        <v>4303.5224960000005</v>
      </c>
      <c r="N1127" s="583">
        <f t="shared" si="976"/>
        <v>4303.5224960000005</v>
      </c>
      <c r="O1127" s="583">
        <f t="shared" si="976"/>
        <v>4303.5224960000005</v>
      </c>
      <c r="P1127" s="583">
        <f t="shared" si="976"/>
        <v>4303.5224960000005</v>
      </c>
      <c r="Q1127" s="583">
        <f t="shared" si="976"/>
        <v>4303.5224960000005</v>
      </c>
      <c r="R1127" s="583">
        <f t="shared" si="976"/>
        <v>4303.5224960000005</v>
      </c>
      <c r="S1127" s="583">
        <f t="shared" si="976"/>
        <v>4303.5224960000005</v>
      </c>
      <c r="T1127" s="583">
        <f t="shared" si="976"/>
        <v>4303.5224960000005</v>
      </c>
      <c r="U1127" s="583">
        <f t="shared" si="976"/>
        <v>4303.5224960000005</v>
      </c>
      <c r="V1127" s="583">
        <f t="shared" si="976"/>
        <v>4303.5224960000005</v>
      </c>
      <c r="W1127" s="583">
        <f t="shared" si="976"/>
        <v>4303.5224960000005</v>
      </c>
      <c r="X1127" s="583">
        <f t="shared" si="976"/>
        <v>4303.5224960000005</v>
      </c>
      <c r="Y1127" s="583">
        <f t="shared" si="976"/>
        <v>4303.5224960000005</v>
      </c>
      <c r="Z1127" s="583">
        <f t="shared" si="976"/>
        <v>4303.5224960000005</v>
      </c>
      <c r="AA1127" s="583">
        <f t="shared" si="976"/>
        <v>4303.5224960000005</v>
      </c>
      <c r="AB1127" s="583">
        <f t="shared" si="976"/>
        <v>4303.5224960000005</v>
      </c>
      <c r="AC1127" s="583">
        <f t="shared" si="976"/>
        <v>4303.5224960000005</v>
      </c>
      <c r="AD1127" s="583">
        <f t="shared" si="976"/>
        <v>4303.5224960000005</v>
      </c>
      <c r="AE1127" s="583">
        <f t="shared" si="976"/>
        <v>4303.5224960000005</v>
      </c>
      <c r="AF1127" s="583">
        <f t="shared" si="976"/>
        <v>4303.5224960000005</v>
      </c>
      <c r="AG1127" s="583">
        <f t="shared" si="976"/>
        <v>0</v>
      </c>
      <c r="AH1127" s="635"/>
      <c r="AK1127" s="588"/>
      <c r="AM1127" s="624"/>
      <c r="AN1127" s="590"/>
      <c r="AP1127" s="636"/>
      <c r="AQ1127" s="636"/>
    </row>
    <row r="1128" spans="1:43" s="586" customFormat="1" ht="16.5" hidden="1" customHeight="1" outlineLevel="2">
      <c r="A1128" s="584"/>
      <c r="B1128" s="585" t="s">
        <v>805</v>
      </c>
      <c r="C1128" s="554">
        <v>0</v>
      </c>
      <c r="D1128" s="554">
        <v>0</v>
      </c>
      <c r="E1128" s="554">
        <v>0</v>
      </c>
      <c r="F1128" s="554">
        <v>0</v>
      </c>
      <c r="G1128" s="554">
        <v>0</v>
      </c>
      <c r="H1128" s="554">
        <v>0</v>
      </c>
      <c r="I1128" s="554">
        <v>32</v>
      </c>
      <c r="J1128" s="554">
        <f t="shared" ref="I1128:X1129" si="977">I1128</f>
        <v>32</v>
      </c>
      <c r="K1128" s="554">
        <f t="shared" si="977"/>
        <v>32</v>
      </c>
      <c r="L1128" s="554">
        <f t="shared" si="977"/>
        <v>32</v>
      </c>
      <c r="M1128" s="554">
        <f t="shared" si="977"/>
        <v>32</v>
      </c>
      <c r="N1128" s="554">
        <f t="shared" si="977"/>
        <v>32</v>
      </c>
      <c r="O1128" s="554">
        <f t="shared" si="977"/>
        <v>32</v>
      </c>
      <c r="P1128" s="554">
        <f t="shared" si="977"/>
        <v>32</v>
      </c>
      <c r="Q1128" s="554">
        <f t="shared" si="977"/>
        <v>32</v>
      </c>
      <c r="R1128" s="554">
        <f t="shared" si="977"/>
        <v>32</v>
      </c>
      <c r="S1128" s="554">
        <f t="shared" si="977"/>
        <v>32</v>
      </c>
      <c r="T1128" s="554">
        <f t="shared" si="977"/>
        <v>32</v>
      </c>
      <c r="U1128" s="554">
        <f t="shared" si="977"/>
        <v>32</v>
      </c>
      <c r="V1128" s="554">
        <f t="shared" si="977"/>
        <v>32</v>
      </c>
      <c r="W1128" s="554">
        <f t="shared" si="977"/>
        <v>32</v>
      </c>
      <c r="X1128" s="554">
        <f t="shared" si="977"/>
        <v>32</v>
      </c>
      <c r="Y1128" s="554">
        <f t="shared" ref="Y1128:AF1129" si="978">X1128</f>
        <v>32</v>
      </c>
      <c r="Z1128" s="554">
        <f t="shared" si="978"/>
        <v>32</v>
      </c>
      <c r="AA1128" s="554">
        <f t="shared" si="978"/>
        <v>32</v>
      </c>
      <c r="AB1128" s="554">
        <f t="shared" si="978"/>
        <v>32</v>
      </c>
      <c r="AC1128" s="554">
        <f t="shared" si="978"/>
        <v>32</v>
      </c>
      <c r="AD1128" s="554">
        <f t="shared" si="978"/>
        <v>32</v>
      </c>
      <c r="AE1128" s="554">
        <f t="shared" si="978"/>
        <v>32</v>
      </c>
      <c r="AF1128" s="554">
        <f t="shared" si="978"/>
        <v>32</v>
      </c>
      <c r="AH1128" s="587"/>
      <c r="AK1128" s="588"/>
      <c r="AM1128" s="624"/>
      <c r="AN1128" s="590"/>
      <c r="AP1128" s="591"/>
      <c r="AQ1128" s="591"/>
    </row>
    <row r="1129" spans="1:43" s="586" customFormat="1" ht="16.5" hidden="1" customHeight="1" outlineLevel="2">
      <c r="A1129" s="584"/>
      <c r="B1129" s="585" t="s">
        <v>888</v>
      </c>
      <c r="C1129" s="632">
        <f>Insumos!$E$197</f>
        <v>134.48507800000002</v>
      </c>
      <c r="D1129" s="632">
        <f>C1129</f>
        <v>134.48507800000002</v>
      </c>
      <c r="E1129" s="632">
        <f t="shared" ref="E1129:H1129" si="979">D1129</f>
        <v>134.48507800000002</v>
      </c>
      <c r="F1129" s="632">
        <f t="shared" si="979"/>
        <v>134.48507800000002</v>
      </c>
      <c r="G1129" s="632">
        <f t="shared" si="979"/>
        <v>134.48507800000002</v>
      </c>
      <c r="H1129" s="632">
        <f t="shared" si="979"/>
        <v>134.48507800000002</v>
      </c>
      <c r="I1129" s="632">
        <f t="shared" si="977"/>
        <v>134.48507800000002</v>
      </c>
      <c r="J1129" s="632">
        <f t="shared" si="977"/>
        <v>134.48507800000002</v>
      </c>
      <c r="K1129" s="632">
        <f t="shared" si="977"/>
        <v>134.48507800000002</v>
      </c>
      <c r="L1129" s="632">
        <f t="shared" si="977"/>
        <v>134.48507800000002</v>
      </c>
      <c r="M1129" s="632">
        <f t="shared" si="977"/>
        <v>134.48507800000002</v>
      </c>
      <c r="N1129" s="632">
        <f t="shared" si="977"/>
        <v>134.48507800000002</v>
      </c>
      <c r="O1129" s="632">
        <f t="shared" si="977"/>
        <v>134.48507800000002</v>
      </c>
      <c r="P1129" s="632">
        <f t="shared" si="977"/>
        <v>134.48507800000002</v>
      </c>
      <c r="Q1129" s="632">
        <f t="shared" si="977"/>
        <v>134.48507800000002</v>
      </c>
      <c r="R1129" s="632">
        <f t="shared" si="977"/>
        <v>134.48507800000002</v>
      </c>
      <c r="S1129" s="632">
        <f t="shared" si="977"/>
        <v>134.48507800000002</v>
      </c>
      <c r="T1129" s="632">
        <f t="shared" si="977"/>
        <v>134.48507800000002</v>
      </c>
      <c r="U1129" s="632">
        <f t="shared" si="977"/>
        <v>134.48507800000002</v>
      </c>
      <c r="V1129" s="632">
        <f t="shared" si="977"/>
        <v>134.48507800000002</v>
      </c>
      <c r="W1129" s="632">
        <f t="shared" si="977"/>
        <v>134.48507800000002</v>
      </c>
      <c r="X1129" s="632">
        <f t="shared" si="977"/>
        <v>134.48507800000002</v>
      </c>
      <c r="Y1129" s="632">
        <f t="shared" si="978"/>
        <v>134.48507800000002</v>
      </c>
      <c r="Z1129" s="632">
        <f t="shared" si="978"/>
        <v>134.48507800000002</v>
      </c>
      <c r="AA1129" s="632">
        <f t="shared" si="978"/>
        <v>134.48507800000002</v>
      </c>
      <c r="AB1129" s="632">
        <f t="shared" si="978"/>
        <v>134.48507800000002</v>
      </c>
      <c r="AC1129" s="632">
        <f t="shared" si="978"/>
        <v>134.48507800000002</v>
      </c>
      <c r="AD1129" s="632">
        <f t="shared" si="978"/>
        <v>134.48507800000002</v>
      </c>
      <c r="AE1129" s="632">
        <f t="shared" si="978"/>
        <v>134.48507800000002</v>
      </c>
      <c r="AF1129" s="632">
        <f t="shared" si="978"/>
        <v>134.48507800000002</v>
      </c>
      <c r="AH1129" s="587"/>
      <c r="AK1129" s="588"/>
      <c r="AM1129" s="624"/>
      <c r="AN1129" s="590"/>
      <c r="AP1129" s="591"/>
      <c r="AQ1129" s="591"/>
    </row>
    <row r="1130" spans="1:43" s="634" customFormat="1" ht="16.5" hidden="1" customHeight="1" outlineLevel="2">
      <c r="A1130" s="584"/>
      <c r="B1130" s="722" t="s">
        <v>998</v>
      </c>
      <c r="C1130" s="583">
        <f>C1131*C1132</f>
        <v>0</v>
      </c>
      <c r="D1130" s="583">
        <f t="shared" ref="D1130:AG1130" si="980">D1131*D1132</f>
        <v>0</v>
      </c>
      <c r="E1130" s="583">
        <f t="shared" si="980"/>
        <v>0</v>
      </c>
      <c r="F1130" s="583">
        <f t="shared" si="980"/>
        <v>0</v>
      </c>
      <c r="G1130" s="583">
        <f t="shared" si="980"/>
        <v>0</v>
      </c>
      <c r="H1130" s="583">
        <f t="shared" si="980"/>
        <v>0</v>
      </c>
      <c r="I1130" s="583">
        <f t="shared" si="980"/>
        <v>2500</v>
      </c>
      <c r="J1130" s="583">
        <f t="shared" si="980"/>
        <v>2500</v>
      </c>
      <c r="K1130" s="583">
        <f t="shared" si="980"/>
        <v>2500</v>
      </c>
      <c r="L1130" s="583">
        <f t="shared" si="980"/>
        <v>2500</v>
      </c>
      <c r="M1130" s="583">
        <f t="shared" si="980"/>
        <v>2500</v>
      </c>
      <c r="N1130" s="583">
        <f t="shared" si="980"/>
        <v>2500</v>
      </c>
      <c r="O1130" s="583">
        <f t="shared" si="980"/>
        <v>2500</v>
      </c>
      <c r="P1130" s="583">
        <f t="shared" si="980"/>
        <v>2500</v>
      </c>
      <c r="Q1130" s="583">
        <f t="shared" si="980"/>
        <v>2500</v>
      </c>
      <c r="R1130" s="583">
        <f t="shared" si="980"/>
        <v>2500</v>
      </c>
      <c r="S1130" s="583">
        <f t="shared" si="980"/>
        <v>2500</v>
      </c>
      <c r="T1130" s="583">
        <f t="shared" si="980"/>
        <v>2500</v>
      </c>
      <c r="U1130" s="583">
        <f t="shared" si="980"/>
        <v>2500</v>
      </c>
      <c r="V1130" s="583">
        <f t="shared" si="980"/>
        <v>2500</v>
      </c>
      <c r="W1130" s="583">
        <f t="shared" si="980"/>
        <v>2500</v>
      </c>
      <c r="X1130" s="583">
        <f t="shared" si="980"/>
        <v>2500</v>
      </c>
      <c r="Y1130" s="583">
        <f t="shared" si="980"/>
        <v>2500</v>
      </c>
      <c r="Z1130" s="583">
        <f t="shared" si="980"/>
        <v>2500</v>
      </c>
      <c r="AA1130" s="583">
        <f t="shared" si="980"/>
        <v>2500</v>
      </c>
      <c r="AB1130" s="583">
        <f t="shared" si="980"/>
        <v>2500</v>
      </c>
      <c r="AC1130" s="583">
        <f t="shared" si="980"/>
        <v>2500</v>
      </c>
      <c r="AD1130" s="583">
        <f t="shared" si="980"/>
        <v>2500</v>
      </c>
      <c r="AE1130" s="583">
        <f t="shared" si="980"/>
        <v>2500</v>
      </c>
      <c r="AF1130" s="583">
        <f t="shared" si="980"/>
        <v>2500</v>
      </c>
      <c r="AG1130" s="583">
        <f t="shared" si="980"/>
        <v>0</v>
      </c>
      <c r="AH1130" s="635"/>
      <c r="AK1130" s="588"/>
      <c r="AM1130" s="624"/>
      <c r="AN1130" s="590"/>
      <c r="AP1130" s="636"/>
      <c r="AQ1130" s="636"/>
    </row>
    <row r="1131" spans="1:43" s="586" customFormat="1" ht="16.5" hidden="1" customHeight="1" outlineLevel="2">
      <c r="A1131" s="584"/>
      <c r="B1131" s="585" t="s">
        <v>805</v>
      </c>
      <c r="C1131" s="554">
        <v>0</v>
      </c>
      <c r="D1131" s="554">
        <v>0</v>
      </c>
      <c r="E1131" s="554">
        <v>0</v>
      </c>
      <c r="F1131" s="554">
        <v>0</v>
      </c>
      <c r="G1131" s="554">
        <v>0</v>
      </c>
      <c r="H1131" s="554">
        <v>0</v>
      </c>
      <c r="I1131" s="554">
        <v>10</v>
      </c>
      <c r="J1131" s="554">
        <f t="shared" ref="I1131:X1132" si="981">I1131</f>
        <v>10</v>
      </c>
      <c r="K1131" s="554">
        <f t="shared" si="981"/>
        <v>10</v>
      </c>
      <c r="L1131" s="554">
        <f t="shared" si="981"/>
        <v>10</v>
      </c>
      <c r="M1131" s="554">
        <f t="shared" si="981"/>
        <v>10</v>
      </c>
      <c r="N1131" s="554">
        <f t="shared" si="981"/>
        <v>10</v>
      </c>
      <c r="O1131" s="554">
        <f t="shared" si="981"/>
        <v>10</v>
      </c>
      <c r="P1131" s="554">
        <f t="shared" si="981"/>
        <v>10</v>
      </c>
      <c r="Q1131" s="554">
        <f t="shared" si="981"/>
        <v>10</v>
      </c>
      <c r="R1131" s="554">
        <f t="shared" si="981"/>
        <v>10</v>
      </c>
      <c r="S1131" s="554">
        <f t="shared" si="981"/>
        <v>10</v>
      </c>
      <c r="T1131" s="554">
        <f t="shared" si="981"/>
        <v>10</v>
      </c>
      <c r="U1131" s="554">
        <f t="shared" si="981"/>
        <v>10</v>
      </c>
      <c r="V1131" s="554">
        <f t="shared" si="981"/>
        <v>10</v>
      </c>
      <c r="W1131" s="554">
        <f t="shared" si="981"/>
        <v>10</v>
      </c>
      <c r="X1131" s="554">
        <f t="shared" si="981"/>
        <v>10</v>
      </c>
      <c r="Y1131" s="554">
        <f t="shared" ref="Y1131:AF1132" si="982">X1131</f>
        <v>10</v>
      </c>
      <c r="Z1131" s="554">
        <f t="shared" si="982"/>
        <v>10</v>
      </c>
      <c r="AA1131" s="554">
        <f t="shared" si="982"/>
        <v>10</v>
      </c>
      <c r="AB1131" s="554">
        <f t="shared" si="982"/>
        <v>10</v>
      </c>
      <c r="AC1131" s="554">
        <f t="shared" si="982"/>
        <v>10</v>
      </c>
      <c r="AD1131" s="554">
        <f t="shared" si="982"/>
        <v>10</v>
      </c>
      <c r="AE1131" s="554">
        <f t="shared" si="982"/>
        <v>10</v>
      </c>
      <c r="AF1131" s="554">
        <f t="shared" si="982"/>
        <v>10</v>
      </c>
      <c r="AH1131" s="587"/>
      <c r="AK1131" s="588"/>
      <c r="AM1131" s="624"/>
      <c r="AN1131" s="590"/>
      <c r="AP1131" s="591"/>
      <c r="AQ1131" s="591"/>
    </row>
    <row r="1132" spans="1:43" s="586" customFormat="1" ht="16.5" hidden="1" customHeight="1" outlineLevel="2">
      <c r="A1132" s="584"/>
      <c r="B1132" s="585" t="s">
        <v>888</v>
      </c>
      <c r="C1132" s="632">
        <f>Insumos!$E$134</f>
        <v>250</v>
      </c>
      <c r="D1132" s="632">
        <f>C1132</f>
        <v>250</v>
      </c>
      <c r="E1132" s="632">
        <f t="shared" ref="E1132:H1132" si="983">D1132</f>
        <v>250</v>
      </c>
      <c r="F1132" s="632">
        <f t="shared" si="983"/>
        <v>250</v>
      </c>
      <c r="G1132" s="632">
        <f t="shared" si="983"/>
        <v>250</v>
      </c>
      <c r="H1132" s="632">
        <f t="shared" si="983"/>
        <v>250</v>
      </c>
      <c r="I1132" s="632">
        <f t="shared" si="981"/>
        <v>250</v>
      </c>
      <c r="J1132" s="632">
        <f t="shared" si="981"/>
        <v>250</v>
      </c>
      <c r="K1132" s="632">
        <f t="shared" si="981"/>
        <v>250</v>
      </c>
      <c r="L1132" s="632">
        <f t="shared" si="981"/>
        <v>250</v>
      </c>
      <c r="M1132" s="632">
        <f t="shared" si="981"/>
        <v>250</v>
      </c>
      <c r="N1132" s="632">
        <f t="shared" si="981"/>
        <v>250</v>
      </c>
      <c r="O1132" s="632">
        <f t="shared" si="981"/>
        <v>250</v>
      </c>
      <c r="P1132" s="632">
        <f t="shared" si="981"/>
        <v>250</v>
      </c>
      <c r="Q1132" s="632">
        <f t="shared" si="981"/>
        <v>250</v>
      </c>
      <c r="R1132" s="632">
        <f t="shared" si="981"/>
        <v>250</v>
      </c>
      <c r="S1132" s="632">
        <f t="shared" si="981"/>
        <v>250</v>
      </c>
      <c r="T1132" s="632">
        <f t="shared" si="981"/>
        <v>250</v>
      </c>
      <c r="U1132" s="632">
        <f t="shared" si="981"/>
        <v>250</v>
      </c>
      <c r="V1132" s="632">
        <f t="shared" si="981"/>
        <v>250</v>
      </c>
      <c r="W1132" s="632">
        <f t="shared" si="981"/>
        <v>250</v>
      </c>
      <c r="X1132" s="632">
        <f t="shared" si="981"/>
        <v>250</v>
      </c>
      <c r="Y1132" s="632">
        <f t="shared" si="982"/>
        <v>250</v>
      </c>
      <c r="Z1132" s="632">
        <f t="shared" si="982"/>
        <v>250</v>
      </c>
      <c r="AA1132" s="632">
        <f t="shared" si="982"/>
        <v>250</v>
      </c>
      <c r="AB1132" s="632">
        <f t="shared" si="982"/>
        <v>250</v>
      </c>
      <c r="AC1132" s="632">
        <f t="shared" si="982"/>
        <v>250</v>
      </c>
      <c r="AD1132" s="632">
        <f t="shared" si="982"/>
        <v>250</v>
      </c>
      <c r="AE1132" s="632">
        <f t="shared" si="982"/>
        <v>250</v>
      </c>
      <c r="AF1132" s="632">
        <f t="shared" si="982"/>
        <v>250</v>
      </c>
      <c r="AH1132" s="587"/>
      <c r="AK1132" s="588"/>
      <c r="AM1132" s="624"/>
      <c r="AN1132" s="590"/>
      <c r="AP1132" s="591"/>
      <c r="AQ1132" s="591"/>
    </row>
    <row r="1133" spans="1:43" s="564" customFormat="1" ht="16.5" hidden="1" customHeight="1" outlineLevel="1" collapsed="1">
      <c r="A1133" s="584"/>
      <c r="B1133" s="576" t="s">
        <v>894</v>
      </c>
      <c r="C1133" s="577">
        <f>SUM(C1134)*12/10^3</f>
        <v>0</v>
      </c>
      <c r="D1133" s="577">
        <f t="shared" ref="D1133:AF1133" si="984">SUM(D1134)*12/10^3</f>
        <v>0</v>
      </c>
      <c r="E1133" s="577">
        <f t="shared" si="984"/>
        <v>0</v>
      </c>
      <c r="F1133" s="577">
        <f t="shared" si="984"/>
        <v>0</v>
      </c>
      <c r="G1133" s="577">
        <f t="shared" si="984"/>
        <v>0</v>
      </c>
      <c r="H1133" s="577">
        <f t="shared" si="984"/>
        <v>0</v>
      </c>
      <c r="I1133" s="577">
        <f t="shared" si="984"/>
        <v>6.6047999999999996E-2</v>
      </c>
      <c r="J1133" s="577">
        <f t="shared" si="984"/>
        <v>6.6047999999999996E-2</v>
      </c>
      <c r="K1133" s="577">
        <f t="shared" si="984"/>
        <v>6.6047999999999996E-2</v>
      </c>
      <c r="L1133" s="577">
        <f t="shared" si="984"/>
        <v>6.6047999999999996E-2</v>
      </c>
      <c r="M1133" s="577">
        <f t="shared" si="984"/>
        <v>6.6047999999999996E-2</v>
      </c>
      <c r="N1133" s="577">
        <f t="shared" si="984"/>
        <v>6.6047999999999996E-2</v>
      </c>
      <c r="O1133" s="577">
        <f t="shared" si="984"/>
        <v>6.6047999999999996E-2</v>
      </c>
      <c r="P1133" s="577">
        <f t="shared" si="984"/>
        <v>6.6047999999999996E-2</v>
      </c>
      <c r="Q1133" s="577">
        <f t="shared" si="984"/>
        <v>6.6047999999999996E-2</v>
      </c>
      <c r="R1133" s="577">
        <f t="shared" si="984"/>
        <v>6.6047999999999996E-2</v>
      </c>
      <c r="S1133" s="577">
        <f t="shared" si="984"/>
        <v>6.6047999999999996E-2</v>
      </c>
      <c r="T1133" s="577">
        <f t="shared" si="984"/>
        <v>6.6047999999999996E-2</v>
      </c>
      <c r="U1133" s="577">
        <f t="shared" si="984"/>
        <v>6.6047999999999996E-2</v>
      </c>
      <c r="V1133" s="577">
        <f t="shared" si="984"/>
        <v>6.6047999999999996E-2</v>
      </c>
      <c r="W1133" s="577">
        <f t="shared" si="984"/>
        <v>6.6047999999999996E-2</v>
      </c>
      <c r="X1133" s="577">
        <f t="shared" si="984"/>
        <v>6.6047999999999996E-2</v>
      </c>
      <c r="Y1133" s="577">
        <f t="shared" si="984"/>
        <v>6.6047999999999996E-2</v>
      </c>
      <c r="Z1133" s="577">
        <f t="shared" si="984"/>
        <v>6.6047999999999996E-2</v>
      </c>
      <c r="AA1133" s="577">
        <f t="shared" si="984"/>
        <v>6.6047999999999996E-2</v>
      </c>
      <c r="AB1133" s="577">
        <f t="shared" si="984"/>
        <v>6.6047999999999996E-2</v>
      </c>
      <c r="AC1133" s="577">
        <f t="shared" si="984"/>
        <v>6.6047999999999996E-2</v>
      </c>
      <c r="AD1133" s="577">
        <f t="shared" si="984"/>
        <v>6.6047999999999996E-2</v>
      </c>
      <c r="AE1133" s="577">
        <f t="shared" si="984"/>
        <v>6.6047999999999996E-2</v>
      </c>
      <c r="AF1133" s="577">
        <f t="shared" si="984"/>
        <v>6.6047999999999996E-2</v>
      </c>
      <c r="AH1133" s="578">
        <f>SUM(C1133:AF1133)</f>
        <v>1.585151999999999</v>
      </c>
      <c r="AJ1133" s="579"/>
      <c r="AK1133" s="531"/>
      <c r="AM1133" s="594"/>
      <c r="AN1133" s="535"/>
      <c r="AP1133" s="568"/>
      <c r="AQ1133" s="568"/>
    </row>
    <row r="1134" spans="1:43" s="546" customFormat="1" ht="17.25" hidden="1" customHeight="1" outlineLevel="2">
      <c r="A1134" s="584"/>
      <c r="B1134" s="569" t="s">
        <v>859</v>
      </c>
      <c r="C1134" s="581">
        <f>C1135*(C1136/C1137)*C1138</f>
        <v>0</v>
      </c>
      <c r="D1134" s="581">
        <f>D1135*(D1136/D1137)*D1138</f>
        <v>0</v>
      </c>
      <c r="E1134" s="581">
        <f t="shared" ref="E1134:AF1134" si="985">E1135*(E1136/E1137)*E1138</f>
        <v>0</v>
      </c>
      <c r="F1134" s="581">
        <f t="shared" si="985"/>
        <v>0</v>
      </c>
      <c r="G1134" s="581">
        <f t="shared" si="985"/>
        <v>0</v>
      </c>
      <c r="H1134" s="581">
        <f t="shared" si="985"/>
        <v>0</v>
      </c>
      <c r="I1134" s="581">
        <f t="shared" si="985"/>
        <v>5.5040000000000004</v>
      </c>
      <c r="J1134" s="581">
        <f t="shared" si="985"/>
        <v>5.5040000000000004</v>
      </c>
      <c r="K1134" s="581">
        <f t="shared" si="985"/>
        <v>5.5040000000000004</v>
      </c>
      <c r="L1134" s="581">
        <f t="shared" si="985"/>
        <v>5.5040000000000004</v>
      </c>
      <c r="M1134" s="581">
        <f t="shared" si="985"/>
        <v>5.5040000000000004</v>
      </c>
      <c r="N1134" s="581">
        <f t="shared" si="985"/>
        <v>5.5040000000000004</v>
      </c>
      <c r="O1134" s="581">
        <f t="shared" si="985"/>
        <v>5.5040000000000004</v>
      </c>
      <c r="P1134" s="581">
        <f t="shared" si="985"/>
        <v>5.5040000000000004</v>
      </c>
      <c r="Q1134" s="581">
        <f t="shared" si="985"/>
        <v>5.5040000000000004</v>
      </c>
      <c r="R1134" s="581">
        <f t="shared" si="985"/>
        <v>5.5040000000000004</v>
      </c>
      <c r="S1134" s="581">
        <f t="shared" si="985"/>
        <v>5.5040000000000004</v>
      </c>
      <c r="T1134" s="581">
        <f t="shared" si="985"/>
        <v>5.5040000000000004</v>
      </c>
      <c r="U1134" s="581">
        <f t="shared" si="985"/>
        <v>5.5040000000000004</v>
      </c>
      <c r="V1134" s="581">
        <f t="shared" si="985"/>
        <v>5.5040000000000004</v>
      </c>
      <c r="W1134" s="581">
        <f t="shared" si="985"/>
        <v>5.5040000000000004</v>
      </c>
      <c r="X1134" s="581">
        <f t="shared" si="985"/>
        <v>5.5040000000000004</v>
      </c>
      <c r="Y1134" s="581">
        <f t="shared" si="985"/>
        <v>5.5040000000000004</v>
      </c>
      <c r="Z1134" s="581">
        <f t="shared" si="985"/>
        <v>5.5040000000000004</v>
      </c>
      <c r="AA1134" s="581">
        <f t="shared" si="985"/>
        <v>5.5040000000000004</v>
      </c>
      <c r="AB1134" s="581">
        <f t="shared" si="985"/>
        <v>5.5040000000000004</v>
      </c>
      <c r="AC1134" s="581">
        <f t="shared" si="985"/>
        <v>5.5040000000000004</v>
      </c>
      <c r="AD1134" s="581">
        <f t="shared" si="985"/>
        <v>5.5040000000000004</v>
      </c>
      <c r="AE1134" s="581">
        <f t="shared" si="985"/>
        <v>5.5040000000000004</v>
      </c>
      <c r="AF1134" s="581">
        <f t="shared" si="985"/>
        <v>5.5040000000000004</v>
      </c>
      <c r="AH1134" s="571"/>
      <c r="AK1134" s="531"/>
      <c r="AM1134" s="594"/>
      <c r="AN1134" s="535"/>
      <c r="AP1134" s="549"/>
      <c r="AQ1134" s="549"/>
    </row>
    <row r="1135" spans="1:43" s="586" customFormat="1" ht="16.5" hidden="1" customHeight="1" outlineLevel="2">
      <c r="A1135" s="584"/>
      <c r="B1135" s="585" t="s">
        <v>805</v>
      </c>
      <c r="C1135" s="554">
        <f t="shared" ref="C1135:AF1135" si="986">C1125</f>
        <v>0</v>
      </c>
      <c r="D1135" s="554">
        <f t="shared" si="986"/>
        <v>0</v>
      </c>
      <c r="E1135" s="554">
        <f t="shared" si="986"/>
        <v>0</v>
      </c>
      <c r="F1135" s="554">
        <f t="shared" si="986"/>
        <v>0</v>
      </c>
      <c r="G1135" s="554">
        <f t="shared" si="986"/>
        <v>0</v>
      </c>
      <c r="H1135" s="554">
        <v>0</v>
      </c>
      <c r="I1135" s="554">
        <f t="shared" si="986"/>
        <v>1</v>
      </c>
      <c r="J1135" s="554">
        <f t="shared" si="986"/>
        <v>1</v>
      </c>
      <c r="K1135" s="554">
        <f t="shared" si="986"/>
        <v>1</v>
      </c>
      <c r="L1135" s="554">
        <f t="shared" si="986"/>
        <v>1</v>
      </c>
      <c r="M1135" s="554">
        <f t="shared" si="986"/>
        <v>1</v>
      </c>
      <c r="N1135" s="554">
        <f t="shared" si="986"/>
        <v>1</v>
      </c>
      <c r="O1135" s="554">
        <f t="shared" si="986"/>
        <v>1</v>
      </c>
      <c r="P1135" s="554">
        <f t="shared" si="986"/>
        <v>1</v>
      </c>
      <c r="Q1135" s="554">
        <f t="shared" si="986"/>
        <v>1</v>
      </c>
      <c r="R1135" s="554">
        <f t="shared" si="986"/>
        <v>1</v>
      </c>
      <c r="S1135" s="554">
        <f t="shared" si="986"/>
        <v>1</v>
      </c>
      <c r="T1135" s="554">
        <f t="shared" si="986"/>
        <v>1</v>
      </c>
      <c r="U1135" s="554">
        <f t="shared" si="986"/>
        <v>1</v>
      </c>
      <c r="V1135" s="554">
        <f t="shared" si="986"/>
        <v>1</v>
      </c>
      <c r="W1135" s="554">
        <f t="shared" si="986"/>
        <v>1</v>
      </c>
      <c r="X1135" s="554">
        <f t="shared" si="986"/>
        <v>1</v>
      </c>
      <c r="Y1135" s="554">
        <f t="shared" si="986"/>
        <v>1</v>
      </c>
      <c r="Z1135" s="554">
        <f t="shared" si="986"/>
        <v>1</v>
      </c>
      <c r="AA1135" s="554">
        <f t="shared" si="986"/>
        <v>1</v>
      </c>
      <c r="AB1135" s="554">
        <f t="shared" si="986"/>
        <v>1</v>
      </c>
      <c r="AC1135" s="554">
        <f t="shared" si="986"/>
        <v>1</v>
      </c>
      <c r="AD1135" s="554">
        <f t="shared" si="986"/>
        <v>1</v>
      </c>
      <c r="AE1135" s="554">
        <f t="shared" si="986"/>
        <v>1</v>
      </c>
      <c r="AF1135" s="554">
        <f t="shared" si="986"/>
        <v>1</v>
      </c>
      <c r="AH1135" s="587"/>
      <c r="AK1135" s="588"/>
      <c r="AM1135" s="624"/>
      <c r="AN1135" s="590"/>
      <c r="AP1135" s="591"/>
      <c r="AQ1135" s="591"/>
    </row>
    <row r="1136" spans="1:43" s="513" customFormat="1" ht="17.25" hidden="1" customHeight="1" outlineLevel="2">
      <c r="A1136" s="584"/>
      <c r="B1136" s="585" t="s">
        <v>999</v>
      </c>
      <c r="C1136" s="574">
        <v>20</v>
      </c>
      <c r="D1136" s="574">
        <f>C1136</f>
        <v>20</v>
      </c>
      <c r="E1136" s="574">
        <f t="shared" ref="E1136:T1138" si="987">D1136</f>
        <v>20</v>
      </c>
      <c r="F1136" s="574">
        <f t="shared" si="987"/>
        <v>20</v>
      </c>
      <c r="G1136" s="574">
        <f t="shared" si="987"/>
        <v>20</v>
      </c>
      <c r="H1136" s="574">
        <f t="shared" si="987"/>
        <v>20</v>
      </c>
      <c r="I1136" s="574">
        <f t="shared" si="987"/>
        <v>20</v>
      </c>
      <c r="J1136" s="574">
        <f t="shared" si="987"/>
        <v>20</v>
      </c>
      <c r="K1136" s="574">
        <f t="shared" si="987"/>
        <v>20</v>
      </c>
      <c r="L1136" s="574">
        <f t="shared" si="987"/>
        <v>20</v>
      </c>
      <c r="M1136" s="574">
        <f t="shared" si="987"/>
        <v>20</v>
      </c>
      <c r="N1136" s="574">
        <f t="shared" si="987"/>
        <v>20</v>
      </c>
      <c r="O1136" s="574">
        <f t="shared" si="987"/>
        <v>20</v>
      </c>
      <c r="P1136" s="574">
        <f t="shared" si="987"/>
        <v>20</v>
      </c>
      <c r="Q1136" s="574">
        <f t="shared" si="987"/>
        <v>20</v>
      </c>
      <c r="R1136" s="574">
        <f t="shared" si="987"/>
        <v>20</v>
      </c>
      <c r="S1136" s="574">
        <f t="shared" si="987"/>
        <v>20</v>
      </c>
      <c r="T1136" s="574">
        <f t="shared" si="987"/>
        <v>20</v>
      </c>
      <c r="U1136" s="574">
        <f t="shared" ref="U1136:AF1138" si="988">T1136</f>
        <v>20</v>
      </c>
      <c r="V1136" s="574">
        <f t="shared" si="988"/>
        <v>20</v>
      </c>
      <c r="W1136" s="574">
        <f t="shared" si="988"/>
        <v>20</v>
      </c>
      <c r="X1136" s="574">
        <f t="shared" si="988"/>
        <v>20</v>
      </c>
      <c r="Y1136" s="574">
        <f t="shared" si="988"/>
        <v>20</v>
      </c>
      <c r="Z1136" s="574">
        <f t="shared" si="988"/>
        <v>20</v>
      </c>
      <c r="AA1136" s="574">
        <f t="shared" si="988"/>
        <v>20</v>
      </c>
      <c r="AB1136" s="574">
        <f t="shared" si="988"/>
        <v>20</v>
      </c>
      <c r="AC1136" s="574">
        <f t="shared" si="988"/>
        <v>20</v>
      </c>
      <c r="AD1136" s="574">
        <f t="shared" si="988"/>
        <v>20</v>
      </c>
      <c r="AE1136" s="574">
        <f t="shared" si="988"/>
        <v>20</v>
      </c>
      <c r="AF1136" s="574">
        <f t="shared" si="988"/>
        <v>20</v>
      </c>
      <c r="AH1136" s="538"/>
      <c r="AK1136" s="531"/>
      <c r="AM1136" s="594"/>
      <c r="AN1136" s="535"/>
      <c r="AP1136" s="540"/>
      <c r="AQ1136" s="540"/>
    </row>
    <row r="1137" spans="1:43" s="513" customFormat="1" ht="17.25" hidden="1" customHeight="1" outlineLevel="2">
      <c r="A1137" s="584"/>
      <c r="B1137" s="585" t="s">
        <v>896</v>
      </c>
      <c r="C1137" s="574">
        <v>25</v>
      </c>
      <c r="D1137" s="574">
        <f>C1137</f>
        <v>25</v>
      </c>
      <c r="E1137" s="574">
        <f t="shared" si="987"/>
        <v>25</v>
      </c>
      <c r="F1137" s="574">
        <f t="shared" si="987"/>
        <v>25</v>
      </c>
      <c r="G1137" s="574">
        <f t="shared" si="987"/>
        <v>25</v>
      </c>
      <c r="H1137" s="574">
        <f t="shared" si="987"/>
        <v>25</v>
      </c>
      <c r="I1137" s="574">
        <f t="shared" si="987"/>
        <v>25</v>
      </c>
      <c r="J1137" s="574">
        <f t="shared" si="987"/>
        <v>25</v>
      </c>
      <c r="K1137" s="574">
        <f t="shared" si="987"/>
        <v>25</v>
      </c>
      <c r="L1137" s="574">
        <f t="shared" si="987"/>
        <v>25</v>
      </c>
      <c r="M1137" s="574">
        <f t="shared" si="987"/>
        <v>25</v>
      </c>
      <c r="N1137" s="574">
        <f t="shared" si="987"/>
        <v>25</v>
      </c>
      <c r="O1137" s="574">
        <f t="shared" si="987"/>
        <v>25</v>
      </c>
      <c r="P1137" s="574">
        <f t="shared" si="987"/>
        <v>25</v>
      </c>
      <c r="Q1137" s="574">
        <f t="shared" si="987"/>
        <v>25</v>
      </c>
      <c r="R1137" s="574">
        <f t="shared" si="987"/>
        <v>25</v>
      </c>
      <c r="S1137" s="574">
        <f t="shared" si="987"/>
        <v>25</v>
      </c>
      <c r="T1137" s="574">
        <f t="shared" si="987"/>
        <v>25</v>
      </c>
      <c r="U1137" s="574">
        <f t="shared" si="988"/>
        <v>25</v>
      </c>
      <c r="V1137" s="574">
        <f t="shared" si="988"/>
        <v>25</v>
      </c>
      <c r="W1137" s="574">
        <f t="shared" si="988"/>
        <v>25</v>
      </c>
      <c r="X1137" s="574">
        <f t="shared" si="988"/>
        <v>25</v>
      </c>
      <c r="Y1137" s="574">
        <f t="shared" si="988"/>
        <v>25</v>
      </c>
      <c r="Z1137" s="574">
        <f t="shared" si="988"/>
        <v>25</v>
      </c>
      <c r="AA1137" s="574">
        <f t="shared" si="988"/>
        <v>25</v>
      </c>
      <c r="AB1137" s="574">
        <f t="shared" si="988"/>
        <v>25</v>
      </c>
      <c r="AC1137" s="574">
        <f t="shared" si="988"/>
        <v>25</v>
      </c>
      <c r="AD1137" s="574">
        <f t="shared" si="988"/>
        <v>25</v>
      </c>
      <c r="AE1137" s="574">
        <f t="shared" si="988"/>
        <v>25</v>
      </c>
      <c r="AF1137" s="574">
        <f t="shared" si="988"/>
        <v>25</v>
      </c>
      <c r="AH1137" s="538"/>
      <c r="AK1137" s="531"/>
      <c r="AM1137" s="594"/>
      <c r="AN1137" s="535"/>
      <c r="AP1137" s="540"/>
      <c r="AQ1137" s="540"/>
    </row>
    <row r="1138" spans="1:43" s="513" customFormat="1" ht="17.25" hidden="1" customHeight="1" outlineLevel="2">
      <c r="A1138" s="584"/>
      <c r="B1138" s="572" t="s">
        <v>888</v>
      </c>
      <c r="C1138" s="574">
        <f>Insumos!$E$40</f>
        <v>6.88</v>
      </c>
      <c r="D1138" s="574">
        <f>C1138</f>
        <v>6.88</v>
      </c>
      <c r="E1138" s="574">
        <f t="shared" si="987"/>
        <v>6.88</v>
      </c>
      <c r="F1138" s="574">
        <f t="shared" si="987"/>
        <v>6.88</v>
      </c>
      <c r="G1138" s="574">
        <f t="shared" si="987"/>
        <v>6.88</v>
      </c>
      <c r="H1138" s="574">
        <f t="shared" si="987"/>
        <v>6.88</v>
      </c>
      <c r="I1138" s="574">
        <f t="shared" si="987"/>
        <v>6.88</v>
      </c>
      <c r="J1138" s="574">
        <f t="shared" si="987"/>
        <v>6.88</v>
      </c>
      <c r="K1138" s="574">
        <f t="shared" si="987"/>
        <v>6.88</v>
      </c>
      <c r="L1138" s="574">
        <f t="shared" si="987"/>
        <v>6.88</v>
      </c>
      <c r="M1138" s="574">
        <f t="shared" si="987"/>
        <v>6.88</v>
      </c>
      <c r="N1138" s="574">
        <f t="shared" si="987"/>
        <v>6.88</v>
      </c>
      <c r="O1138" s="574">
        <f t="shared" si="987"/>
        <v>6.88</v>
      </c>
      <c r="P1138" s="574">
        <f t="shared" si="987"/>
        <v>6.88</v>
      </c>
      <c r="Q1138" s="574">
        <f t="shared" si="987"/>
        <v>6.88</v>
      </c>
      <c r="R1138" s="574">
        <f t="shared" si="987"/>
        <v>6.88</v>
      </c>
      <c r="S1138" s="574">
        <f t="shared" si="987"/>
        <v>6.88</v>
      </c>
      <c r="T1138" s="574">
        <f t="shared" si="987"/>
        <v>6.88</v>
      </c>
      <c r="U1138" s="574">
        <f t="shared" si="988"/>
        <v>6.88</v>
      </c>
      <c r="V1138" s="574">
        <f t="shared" si="988"/>
        <v>6.88</v>
      </c>
      <c r="W1138" s="574">
        <f t="shared" si="988"/>
        <v>6.88</v>
      </c>
      <c r="X1138" s="574">
        <f t="shared" si="988"/>
        <v>6.88</v>
      </c>
      <c r="Y1138" s="574">
        <f t="shared" si="988"/>
        <v>6.88</v>
      </c>
      <c r="Z1138" s="574">
        <f t="shared" si="988"/>
        <v>6.88</v>
      </c>
      <c r="AA1138" s="574">
        <f t="shared" si="988"/>
        <v>6.88</v>
      </c>
      <c r="AB1138" s="574">
        <f t="shared" si="988"/>
        <v>6.88</v>
      </c>
      <c r="AC1138" s="574">
        <f t="shared" si="988"/>
        <v>6.88</v>
      </c>
      <c r="AD1138" s="574">
        <f t="shared" si="988"/>
        <v>6.88</v>
      </c>
      <c r="AE1138" s="574">
        <f t="shared" si="988"/>
        <v>6.88</v>
      </c>
      <c r="AF1138" s="574">
        <f t="shared" si="988"/>
        <v>6.88</v>
      </c>
      <c r="AH1138" s="538"/>
      <c r="AK1138" s="531"/>
      <c r="AM1138" s="594"/>
      <c r="AN1138" s="535"/>
      <c r="AP1138" s="540"/>
      <c r="AQ1138" s="540"/>
    </row>
    <row r="1139" spans="1:43" s="513" customFormat="1" ht="3" hidden="1" customHeight="1" outlineLevel="2">
      <c r="A1139" s="584"/>
      <c r="B1139" s="572"/>
      <c r="C1139" s="574"/>
      <c r="D1139" s="574"/>
      <c r="E1139" s="574"/>
      <c r="F1139" s="574"/>
      <c r="G1139" s="574"/>
      <c r="H1139" s="574"/>
      <c r="I1139" s="574"/>
      <c r="J1139" s="574"/>
      <c r="K1139" s="574"/>
      <c r="L1139" s="574"/>
      <c r="M1139" s="574"/>
      <c r="N1139" s="574"/>
      <c r="O1139" s="574"/>
      <c r="P1139" s="574"/>
      <c r="Q1139" s="574"/>
      <c r="R1139" s="574"/>
      <c r="S1139" s="574"/>
      <c r="T1139" s="574"/>
      <c r="U1139" s="574"/>
      <c r="V1139" s="574"/>
      <c r="W1139" s="574"/>
      <c r="X1139" s="574"/>
      <c r="Y1139" s="574"/>
      <c r="Z1139" s="574"/>
      <c r="AA1139" s="574"/>
      <c r="AB1139" s="574"/>
      <c r="AC1139" s="574"/>
      <c r="AD1139" s="574"/>
      <c r="AE1139" s="574"/>
      <c r="AF1139" s="574"/>
      <c r="AH1139" s="538"/>
      <c r="AK1139" s="531"/>
      <c r="AM1139" s="594"/>
      <c r="AN1139" s="535"/>
      <c r="AP1139" s="540"/>
      <c r="AQ1139" s="540"/>
    </row>
    <row r="1140" spans="1:43" s="564" customFormat="1" ht="16.5" hidden="1" customHeight="1" outlineLevel="1" collapsed="1">
      <c r="A1140" s="584"/>
      <c r="B1140" s="576" t="s">
        <v>897</v>
      </c>
      <c r="C1140" s="577">
        <f>SUM(C1141)*12/10^3</f>
        <v>0</v>
      </c>
      <c r="D1140" s="577">
        <f t="shared" ref="D1140:AF1140" si="989">SUM(D1141)*12/10^3</f>
        <v>0</v>
      </c>
      <c r="E1140" s="577">
        <f t="shared" si="989"/>
        <v>0</v>
      </c>
      <c r="F1140" s="577">
        <f t="shared" si="989"/>
        <v>0</v>
      </c>
      <c r="G1140" s="577">
        <f t="shared" si="989"/>
        <v>0</v>
      </c>
      <c r="H1140" s="577">
        <f t="shared" si="989"/>
        <v>0</v>
      </c>
      <c r="I1140" s="577">
        <f t="shared" si="989"/>
        <v>8.3279999999999994</v>
      </c>
      <c r="J1140" s="577">
        <f t="shared" si="989"/>
        <v>8.3279999999999994</v>
      </c>
      <c r="K1140" s="577">
        <f t="shared" si="989"/>
        <v>8.3279999999999994</v>
      </c>
      <c r="L1140" s="577">
        <f t="shared" si="989"/>
        <v>8.3279999999999994</v>
      </c>
      <c r="M1140" s="577">
        <f t="shared" si="989"/>
        <v>8.3279999999999994</v>
      </c>
      <c r="N1140" s="577">
        <f t="shared" si="989"/>
        <v>8.3279999999999994</v>
      </c>
      <c r="O1140" s="577">
        <f t="shared" si="989"/>
        <v>8.3279999999999994</v>
      </c>
      <c r="P1140" s="577">
        <f t="shared" si="989"/>
        <v>8.3279999999999994</v>
      </c>
      <c r="Q1140" s="577">
        <f t="shared" si="989"/>
        <v>8.3279999999999994</v>
      </c>
      <c r="R1140" s="577">
        <f t="shared" si="989"/>
        <v>8.3279999999999994</v>
      </c>
      <c r="S1140" s="577">
        <f t="shared" si="989"/>
        <v>8.3279999999999994</v>
      </c>
      <c r="T1140" s="577">
        <f t="shared" si="989"/>
        <v>8.3279999999999994</v>
      </c>
      <c r="U1140" s="577">
        <f t="shared" si="989"/>
        <v>8.3279999999999994</v>
      </c>
      <c r="V1140" s="577">
        <f t="shared" si="989"/>
        <v>8.3279999999999994</v>
      </c>
      <c r="W1140" s="577">
        <f t="shared" si="989"/>
        <v>8.3279999999999994</v>
      </c>
      <c r="X1140" s="577">
        <f t="shared" si="989"/>
        <v>8.3279999999999994</v>
      </c>
      <c r="Y1140" s="577">
        <f t="shared" si="989"/>
        <v>8.3279999999999994</v>
      </c>
      <c r="Z1140" s="577">
        <f t="shared" si="989"/>
        <v>8.3279999999999994</v>
      </c>
      <c r="AA1140" s="577">
        <f t="shared" si="989"/>
        <v>8.3279999999999994</v>
      </c>
      <c r="AB1140" s="577">
        <f t="shared" si="989"/>
        <v>8.3279999999999994</v>
      </c>
      <c r="AC1140" s="577">
        <f t="shared" si="989"/>
        <v>8.3279999999999994</v>
      </c>
      <c r="AD1140" s="577">
        <f t="shared" si="989"/>
        <v>8.3279999999999994</v>
      </c>
      <c r="AE1140" s="577">
        <f t="shared" si="989"/>
        <v>8.3279999999999994</v>
      </c>
      <c r="AF1140" s="577">
        <f t="shared" si="989"/>
        <v>8.3279999999999994</v>
      </c>
      <c r="AH1140" s="578">
        <f>SUM(C1140:AF1140)</f>
        <v>199.87200000000004</v>
      </c>
      <c r="AK1140" s="531"/>
      <c r="AM1140" s="594"/>
      <c r="AN1140" s="535"/>
      <c r="AP1140" s="568"/>
      <c r="AQ1140" s="568"/>
    </row>
    <row r="1141" spans="1:43" s="546" customFormat="1" ht="16.5" hidden="1" customHeight="1" outlineLevel="2">
      <c r="A1141" s="584"/>
      <c r="B1141" s="595" t="s">
        <v>859</v>
      </c>
      <c r="C1141" s="581">
        <f>C1142*C1143*C1144</f>
        <v>0</v>
      </c>
      <c r="D1141" s="581">
        <f t="shared" ref="D1141:AF1141" si="990">D1142*D1143*D1144</f>
        <v>0</v>
      </c>
      <c r="E1141" s="581">
        <f t="shared" si="990"/>
        <v>0</v>
      </c>
      <c r="F1141" s="581">
        <f t="shared" si="990"/>
        <v>0</v>
      </c>
      <c r="G1141" s="581">
        <f t="shared" si="990"/>
        <v>0</v>
      </c>
      <c r="H1141" s="581">
        <f t="shared" si="990"/>
        <v>0</v>
      </c>
      <c r="I1141" s="581">
        <f t="shared" si="990"/>
        <v>694</v>
      </c>
      <c r="J1141" s="581">
        <f t="shared" si="990"/>
        <v>694</v>
      </c>
      <c r="K1141" s="581">
        <f t="shared" si="990"/>
        <v>694</v>
      </c>
      <c r="L1141" s="581">
        <f t="shared" si="990"/>
        <v>694</v>
      </c>
      <c r="M1141" s="581">
        <f t="shared" si="990"/>
        <v>694</v>
      </c>
      <c r="N1141" s="581">
        <f t="shared" si="990"/>
        <v>694</v>
      </c>
      <c r="O1141" s="581">
        <f t="shared" si="990"/>
        <v>694</v>
      </c>
      <c r="P1141" s="581">
        <f t="shared" si="990"/>
        <v>694</v>
      </c>
      <c r="Q1141" s="581">
        <f t="shared" si="990"/>
        <v>694</v>
      </c>
      <c r="R1141" s="581">
        <f t="shared" si="990"/>
        <v>694</v>
      </c>
      <c r="S1141" s="581">
        <f t="shared" si="990"/>
        <v>694</v>
      </c>
      <c r="T1141" s="581">
        <f t="shared" si="990"/>
        <v>694</v>
      </c>
      <c r="U1141" s="581">
        <f t="shared" si="990"/>
        <v>694</v>
      </c>
      <c r="V1141" s="581">
        <f t="shared" si="990"/>
        <v>694</v>
      </c>
      <c r="W1141" s="581">
        <f t="shared" si="990"/>
        <v>694</v>
      </c>
      <c r="X1141" s="581">
        <f t="shared" si="990"/>
        <v>694</v>
      </c>
      <c r="Y1141" s="581">
        <f t="shared" si="990"/>
        <v>694</v>
      </c>
      <c r="Z1141" s="581">
        <f t="shared" si="990"/>
        <v>694</v>
      </c>
      <c r="AA1141" s="581">
        <f t="shared" si="990"/>
        <v>694</v>
      </c>
      <c r="AB1141" s="581">
        <f t="shared" si="990"/>
        <v>694</v>
      </c>
      <c r="AC1141" s="581">
        <f t="shared" si="990"/>
        <v>694</v>
      </c>
      <c r="AD1141" s="581">
        <f t="shared" si="990"/>
        <v>694</v>
      </c>
      <c r="AE1141" s="581">
        <f t="shared" si="990"/>
        <v>694</v>
      </c>
      <c r="AF1141" s="581">
        <f t="shared" si="990"/>
        <v>694</v>
      </c>
      <c r="AH1141" s="571"/>
      <c r="AK1141" s="531"/>
      <c r="AM1141" s="594"/>
      <c r="AN1141" s="535"/>
      <c r="AP1141" s="549"/>
      <c r="AQ1141" s="549"/>
    </row>
    <row r="1142" spans="1:43" s="586" customFormat="1" ht="16.5" hidden="1" customHeight="1" outlineLevel="2">
      <c r="A1142" s="584"/>
      <c r="B1142" s="585" t="s">
        <v>805</v>
      </c>
      <c r="C1142" s="554">
        <v>0</v>
      </c>
      <c r="D1142" s="554">
        <v>0</v>
      </c>
      <c r="E1142" s="554">
        <v>0</v>
      </c>
      <c r="F1142" s="554">
        <v>0</v>
      </c>
      <c r="G1142" s="554">
        <v>0</v>
      </c>
      <c r="H1142" s="554">
        <v>0</v>
      </c>
      <c r="I1142" s="554">
        <v>1</v>
      </c>
      <c r="J1142" s="554">
        <v>1</v>
      </c>
      <c r="K1142" s="554">
        <v>1</v>
      </c>
      <c r="L1142" s="554">
        <v>1</v>
      </c>
      <c r="M1142" s="554">
        <v>1</v>
      </c>
      <c r="N1142" s="554">
        <v>1</v>
      </c>
      <c r="O1142" s="554">
        <v>1</v>
      </c>
      <c r="P1142" s="554">
        <v>1</v>
      </c>
      <c r="Q1142" s="554">
        <v>1</v>
      </c>
      <c r="R1142" s="554">
        <v>1</v>
      </c>
      <c r="S1142" s="554">
        <v>1</v>
      </c>
      <c r="T1142" s="554">
        <v>1</v>
      </c>
      <c r="U1142" s="554">
        <v>1</v>
      </c>
      <c r="V1142" s="554">
        <v>1</v>
      </c>
      <c r="W1142" s="554">
        <v>1</v>
      </c>
      <c r="X1142" s="554">
        <v>1</v>
      </c>
      <c r="Y1142" s="554">
        <v>1</v>
      </c>
      <c r="Z1142" s="554">
        <v>1</v>
      </c>
      <c r="AA1142" s="554">
        <v>1</v>
      </c>
      <c r="AB1142" s="554">
        <v>1</v>
      </c>
      <c r="AC1142" s="554">
        <v>1</v>
      </c>
      <c r="AD1142" s="554">
        <v>1</v>
      </c>
      <c r="AE1142" s="554">
        <v>1</v>
      </c>
      <c r="AF1142" s="554">
        <v>1</v>
      </c>
      <c r="AH1142" s="587"/>
      <c r="AK1142" s="588"/>
      <c r="AM1142" s="624"/>
      <c r="AN1142" s="590"/>
      <c r="AP1142" s="591"/>
      <c r="AQ1142" s="591"/>
    </row>
    <row r="1143" spans="1:43" s="513" customFormat="1" ht="16.5" hidden="1" customHeight="1" outlineLevel="2">
      <c r="A1143" s="584"/>
      <c r="B1143" s="596" t="s">
        <v>999</v>
      </c>
      <c r="C1143" s="574">
        <f>C1136</f>
        <v>20</v>
      </c>
      <c r="D1143" s="574">
        <f>C1143</f>
        <v>20</v>
      </c>
      <c r="E1143" s="574">
        <f t="shared" ref="E1143:T1144" si="991">D1143</f>
        <v>20</v>
      </c>
      <c r="F1143" s="574">
        <f t="shared" si="991"/>
        <v>20</v>
      </c>
      <c r="G1143" s="574">
        <f t="shared" si="991"/>
        <v>20</v>
      </c>
      <c r="H1143" s="574">
        <f t="shared" si="991"/>
        <v>20</v>
      </c>
      <c r="I1143" s="574">
        <f t="shared" si="991"/>
        <v>20</v>
      </c>
      <c r="J1143" s="574">
        <f t="shared" si="991"/>
        <v>20</v>
      </c>
      <c r="K1143" s="574">
        <f t="shared" si="991"/>
        <v>20</v>
      </c>
      <c r="L1143" s="574">
        <f t="shared" si="991"/>
        <v>20</v>
      </c>
      <c r="M1143" s="574">
        <f t="shared" si="991"/>
        <v>20</v>
      </c>
      <c r="N1143" s="574">
        <f t="shared" si="991"/>
        <v>20</v>
      </c>
      <c r="O1143" s="574">
        <f t="shared" si="991"/>
        <v>20</v>
      </c>
      <c r="P1143" s="574">
        <f t="shared" si="991"/>
        <v>20</v>
      </c>
      <c r="Q1143" s="574">
        <f t="shared" si="991"/>
        <v>20</v>
      </c>
      <c r="R1143" s="574">
        <f t="shared" si="991"/>
        <v>20</v>
      </c>
      <c r="S1143" s="574">
        <f t="shared" si="991"/>
        <v>20</v>
      </c>
      <c r="T1143" s="574">
        <f t="shared" si="991"/>
        <v>20</v>
      </c>
      <c r="U1143" s="574">
        <f t="shared" ref="U1143:AF1144" si="992">T1143</f>
        <v>20</v>
      </c>
      <c r="V1143" s="574">
        <f t="shared" si="992"/>
        <v>20</v>
      </c>
      <c r="W1143" s="574">
        <f t="shared" si="992"/>
        <v>20</v>
      </c>
      <c r="X1143" s="574">
        <f t="shared" si="992"/>
        <v>20</v>
      </c>
      <c r="Y1143" s="574">
        <f t="shared" si="992"/>
        <v>20</v>
      </c>
      <c r="Z1143" s="574">
        <f t="shared" si="992"/>
        <v>20</v>
      </c>
      <c r="AA1143" s="574">
        <f t="shared" si="992"/>
        <v>20</v>
      </c>
      <c r="AB1143" s="574">
        <f t="shared" si="992"/>
        <v>20</v>
      </c>
      <c r="AC1143" s="574">
        <f t="shared" si="992"/>
        <v>20</v>
      </c>
      <c r="AD1143" s="574">
        <f t="shared" si="992"/>
        <v>20</v>
      </c>
      <c r="AE1143" s="574">
        <f t="shared" si="992"/>
        <v>20</v>
      </c>
      <c r="AF1143" s="574">
        <f t="shared" si="992"/>
        <v>20</v>
      </c>
      <c r="AH1143" s="538"/>
      <c r="AK1143" s="531"/>
      <c r="AM1143" s="594"/>
      <c r="AN1143" s="535"/>
      <c r="AP1143" s="540"/>
      <c r="AQ1143" s="540"/>
    </row>
    <row r="1144" spans="1:43" s="513" customFormat="1" ht="16.5" hidden="1" customHeight="1" outlineLevel="2">
      <c r="A1144" s="584"/>
      <c r="B1144" s="596" t="s">
        <v>898</v>
      </c>
      <c r="C1144" s="574">
        <v>34.700000000000003</v>
      </c>
      <c r="D1144" s="574">
        <f>C1144</f>
        <v>34.700000000000003</v>
      </c>
      <c r="E1144" s="574">
        <f t="shared" si="991"/>
        <v>34.700000000000003</v>
      </c>
      <c r="F1144" s="574">
        <f t="shared" si="991"/>
        <v>34.700000000000003</v>
      </c>
      <c r="G1144" s="574">
        <f t="shared" si="991"/>
        <v>34.700000000000003</v>
      </c>
      <c r="H1144" s="574">
        <f t="shared" si="991"/>
        <v>34.700000000000003</v>
      </c>
      <c r="I1144" s="574">
        <f t="shared" si="991"/>
        <v>34.700000000000003</v>
      </c>
      <c r="J1144" s="574">
        <f t="shared" si="991"/>
        <v>34.700000000000003</v>
      </c>
      <c r="K1144" s="574">
        <f t="shared" si="991"/>
        <v>34.700000000000003</v>
      </c>
      <c r="L1144" s="574">
        <f t="shared" si="991"/>
        <v>34.700000000000003</v>
      </c>
      <c r="M1144" s="574">
        <f t="shared" si="991"/>
        <v>34.700000000000003</v>
      </c>
      <c r="N1144" s="574">
        <f t="shared" si="991"/>
        <v>34.700000000000003</v>
      </c>
      <c r="O1144" s="574">
        <f t="shared" si="991"/>
        <v>34.700000000000003</v>
      </c>
      <c r="P1144" s="574">
        <f t="shared" si="991"/>
        <v>34.700000000000003</v>
      </c>
      <c r="Q1144" s="574">
        <f t="shared" si="991"/>
        <v>34.700000000000003</v>
      </c>
      <c r="R1144" s="574">
        <f t="shared" si="991"/>
        <v>34.700000000000003</v>
      </c>
      <c r="S1144" s="574">
        <f t="shared" si="991"/>
        <v>34.700000000000003</v>
      </c>
      <c r="T1144" s="574">
        <f t="shared" si="991"/>
        <v>34.700000000000003</v>
      </c>
      <c r="U1144" s="574">
        <f t="shared" si="992"/>
        <v>34.700000000000003</v>
      </c>
      <c r="V1144" s="574">
        <f t="shared" si="992"/>
        <v>34.700000000000003</v>
      </c>
      <c r="W1144" s="574">
        <f t="shared" si="992"/>
        <v>34.700000000000003</v>
      </c>
      <c r="X1144" s="574">
        <f t="shared" si="992"/>
        <v>34.700000000000003</v>
      </c>
      <c r="Y1144" s="574">
        <f t="shared" si="992"/>
        <v>34.700000000000003</v>
      </c>
      <c r="Z1144" s="574">
        <f t="shared" si="992"/>
        <v>34.700000000000003</v>
      </c>
      <c r="AA1144" s="574">
        <f t="shared" si="992"/>
        <v>34.700000000000003</v>
      </c>
      <c r="AB1144" s="574">
        <f t="shared" si="992"/>
        <v>34.700000000000003</v>
      </c>
      <c r="AC1144" s="574">
        <f t="shared" si="992"/>
        <v>34.700000000000003</v>
      </c>
      <c r="AD1144" s="574">
        <f t="shared" si="992"/>
        <v>34.700000000000003</v>
      </c>
      <c r="AE1144" s="574">
        <f t="shared" si="992"/>
        <v>34.700000000000003</v>
      </c>
      <c r="AF1144" s="574">
        <f t="shared" si="992"/>
        <v>34.700000000000003</v>
      </c>
      <c r="AH1144" s="538"/>
      <c r="AK1144" s="531"/>
      <c r="AM1144" s="594"/>
      <c r="AN1144" s="535"/>
      <c r="AP1144" s="540"/>
      <c r="AQ1144" s="540"/>
    </row>
    <row r="1145" spans="1:43" s="513" customFormat="1" ht="3" hidden="1" customHeight="1" outlineLevel="2">
      <c r="A1145" s="584"/>
      <c r="B1145" s="596"/>
      <c r="C1145" s="598"/>
      <c r="D1145" s="598"/>
      <c r="E1145" s="598"/>
      <c r="F1145" s="598"/>
      <c r="G1145" s="598"/>
      <c r="H1145" s="598"/>
      <c r="I1145" s="598"/>
      <c r="J1145" s="598"/>
      <c r="K1145" s="598"/>
      <c r="L1145" s="598"/>
      <c r="M1145" s="598"/>
      <c r="N1145" s="598"/>
      <c r="O1145" s="598"/>
      <c r="P1145" s="598"/>
      <c r="Q1145" s="598"/>
      <c r="R1145" s="598"/>
      <c r="S1145" s="598"/>
      <c r="T1145" s="598"/>
      <c r="U1145" s="598"/>
      <c r="V1145" s="598"/>
      <c r="W1145" s="598"/>
      <c r="X1145" s="598"/>
      <c r="Y1145" s="598"/>
      <c r="Z1145" s="598"/>
      <c r="AA1145" s="598"/>
      <c r="AB1145" s="598"/>
      <c r="AC1145" s="598"/>
      <c r="AD1145" s="598"/>
      <c r="AE1145" s="598"/>
      <c r="AF1145" s="598"/>
      <c r="AH1145" s="538"/>
      <c r="AK1145" s="531"/>
      <c r="AM1145" s="594"/>
      <c r="AN1145" s="535"/>
      <c r="AP1145" s="540"/>
      <c r="AQ1145" s="540"/>
    </row>
    <row r="1146" spans="1:43" s="564" customFormat="1" ht="16.5" hidden="1" customHeight="1" outlineLevel="1" collapsed="1">
      <c r="A1146" s="584"/>
      <c r="B1146" s="576" t="s">
        <v>899</v>
      </c>
      <c r="C1146" s="577">
        <f>SUM(C1147)*12/10^3</f>
        <v>0</v>
      </c>
      <c r="D1146" s="577">
        <f t="shared" ref="D1146:AF1146" si="993">SUM(D1147)*12/10^3</f>
        <v>0</v>
      </c>
      <c r="E1146" s="577">
        <f t="shared" si="993"/>
        <v>0</v>
      </c>
      <c r="F1146" s="577">
        <f t="shared" si="993"/>
        <v>0</v>
      </c>
      <c r="G1146" s="577">
        <f t="shared" si="993"/>
        <v>0</v>
      </c>
      <c r="H1146" s="577">
        <f t="shared" si="993"/>
        <v>0</v>
      </c>
      <c r="I1146" s="577">
        <f t="shared" si="993"/>
        <v>9.8816000000000001E-2</v>
      </c>
      <c r="J1146" s="577">
        <f t="shared" si="993"/>
        <v>9.8816000000000001E-2</v>
      </c>
      <c r="K1146" s="577">
        <f t="shared" si="993"/>
        <v>9.8816000000000001E-2</v>
      </c>
      <c r="L1146" s="577">
        <f t="shared" si="993"/>
        <v>9.8816000000000001E-2</v>
      </c>
      <c r="M1146" s="577">
        <f t="shared" si="993"/>
        <v>9.8816000000000001E-2</v>
      </c>
      <c r="N1146" s="577">
        <f t="shared" si="993"/>
        <v>9.8816000000000001E-2</v>
      </c>
      <c r="O1146" s="577">
        <f t="shared" si="993"/>
        <v>9.8816000000000001E-2</v>
      </c>
      <c r="P1146" s="577">
        <f t="shared" si="993"/>
        <v>9.8816000000000001E-2</v>
      </c>
      <c r="Q1146" s="577">
        <f t="shared" si="993"/>
        <v>9.8816000000000001E-2</v>
      </c>
      <c r="R1146" s="577">
        <f t="shared" si="993"/>
        <v>9.8816000000000001E-2</v>
      </c>
      <c r="S1146" s="577">
        <f t="shared" si="993"/>
        <v>9.8816000000000001E-2</v>
      </c>
      <c r="T1146" s="577">
        <f t="shared" si="993"/>
        <v>9.8816000000000001E-2</v>
      </c>
      <c r="U1146" s="577">
        <f t="shared" si="993"/>
        <v>9.8816000000000001E-2</v>
      </c>
      <c r="V1146" s="577">
        <f t="shared" si="993"/>
        <v>9.8816000000000001E-2</v>
      </c>
      <c r="W1146" s="577">
        <f t="shared" si="993"/>
        <v>9.8816000000000001E-2</v>
      </c>
      <c r="X1146" s="577">
        <f t="shared" si="993"/>
        <v>9.8816000000000001E-2</v>
      </c>
      <c r="Y1146" s="577">
        <f t="shared" si="993"/>
        <v>9.8816000000000001E-2</v>
      </c>
      <c r="Z1146" s="577">
        <f t="shared" si="993"/>
        <v>9.8816000000000001E-2</v>
      </c>
      <c r="AA1146" s="577">
        <f t="shared" si="993"/>
        <v>9.8816000000000001E-2</v>
      </c>
      <c r="AB1146" s="577">
        <f t="shared" si="993"/>
        <v>9.8816000000000001E-2</v>
      </c>
      <c r="AC1146" s="577">
        <f t="shared" si="993"/>
        <v>9.8816000000000001E-2</v>
      </c>
      <c r="AD1146" s="577">
        <f t="shared" si="993"/>
        <v>9.8816000000000001E-2</v>
      </c>
      <c r="AE1146" s="577">
        <f t="shared" si="993"/>
        <v>9.8816000000000001E-2</v>
      </c>
      <c r="AF1146" s="577">
        <f t="shared" si="993"/>
        <v>9.8816000000000001E-2</v>
      </c>
      <c r="AH1146" s="578">
        <f>SUM(C1146:AF1146)</f>
        <v>2.3715839999999995</v>
      </c>
      <c r="AK1146" s="531"/>
      <c r="AM1146" s="594"/>
      <c r="AN1146" s="535"/>
      <c r="AP1146" s="568"/>
      <c r="AQ1146" s="568"/>
    </row>
    <row r="1147" spans="1:43" s="546" customFormat="1" ht="16.5" hidden="1" customHeight="1" outlineLevel="2">
      <c r="A1147" s="584"/>
      <c r="B1147" s="595" t="s">
        <v>859</v>
      </c>
      <c r="C1147" s="581">
        <f>C1149*C1150*C1148</f>
        <v>0</v>
      </c>
      <c r="D1147" s="581">
        <f t="shared" ref="D1147:AF1147" si="994">D1149*D1150*D1148</f>
        <v>0</v>
      </c>
      <c r="E1147" s="581">
        <f t="shared" si="994"/>
        <v>0</v>
      </c>
      <c r="F1147" s="581">
        <f t="shared" si="994"/>
        <v>0</v>
      </c>
      <c r="G1147" s="581">
        <f t="shared" si="994"/>
        <v>0</v>
      </c>
      <c r="H1147" s="581">
        <f t="shared" si="994"/>
        <v>0</v>
      </c>
      <c r="I1147" s="581">
        <f t="shared" si="994"/>
        <v>8.2346666666666675</v>
      </c>
      <c r="J1147" s="581">
        <f t="shared" si="994"/>
        <v>8.2346666666666675</v>
      </c>
      <c r="K1147" s="581">
        <f t="shared" si="994"/>
        <v>8.2346666666666675</v>
      </c>
      <c r="L1147" s="581">
        <f t="shared" si="994"/>
        <v>8.2346666666666675</v>
      </c>
      <c r="M1147" s="581">
        <f t="shared" si="994"/>
        <v>8.2346666666666675</v>
      </c>
      <c r="N1147" s="581">
        <f t="shared" si="994"/>
        <v>8.2346666666666675</v>
      </c>
      <c r="O1147" s="581">
        <f t="shared" si="994"/>
        <v>8.2346666666666675</v>
      </c>
      <c r="P1147" s="581">
        <f t="shared" si="994"/>
        <v>8.2346666666666675</v>
      </c>
      <c r="Q1147" s="581">
        <f t="shared" si="994"/>
        <v>8.2346666666666675</v>
      </c>
      <c r="R1147" s="581">
        <f t="shared" si="994"/>
        <v>8.2346666666666675</v>
      </c>
      <c r="S1147" s="581">
        <f t="shared" si="994"/>
        <v>8.2346666666666675</v>
      </c>
      <c r="T1147" s="581">
        <f t="shared" si="994"/>
        <v>8.2346666666666675</v>
      </c>
      <c r="U1147" s="581">
        <f t="shared" si="994"/>
        <v>8.2346666666666675</v>
      </c>
      <c r="V1147" s="581">
        <f t="shared" si="994"/>
        <v>8.2346666666666675</v>
      </c>
      <c r="W1147" s="581">
        <f t="shared" si="994"/>
        <v>8.2346666666666675</v>
      </c>
      <c r="X1147" s="581">
        <f t="shared" si="994"/>
        <v>8.2346666666666675</v>
      </c>
      <c r="Y1147" s="581">
        <f t="shared" si="994"/>
        <v>8.2346666666666675</v>
      </c>
      <c r="Z1147" s="581">
        <f t="shared" si="994"/>
        <v>8.2346666666666675</v>
      </c>
      <c r="AA1147" s="581">
        <f t="shared" si="994"/>
        <v>8.2346666666666675</v>
      </c>
      <c r="AB1147" s="581">
        <f t="shared" si="994"/>
        <v>8.2346666666666675</v>
      </c>
      <c r="AC1147" s="581">
        <f t="shared" si="994"/>
        <v>8.2346666666666675</v>
      </c>
      <c r="AD1147" s="581">
        <f t="shared" si="994"/>
        <v>8.2346666666666675</v>
      </c>
      <c r="AE1147" s="581">
        <f t="shared" si="994"/>
        <v>8.2346666666666675</v>
      </c>
      <c r="AF1147" s="581">
        <f t="shared" si="994"/>
        <v>8.2346666666666675</v>
      </c>
      <c r="AH1147" s="571"/>
      <c r="AK1147" s="531"/>
      <c r="AM1147" s="594"/>
      <c r="AN1147" s="535"/>
      <c r="AP1147" s="549"/>
      <c r="AQ1147" s="549"/>
    </row>
    <row r="1148" spans="1:43" s="586" customFormat="1" ht="16.5" hidden="1" customHeight="1" outlineLevel="2">
      <c r="A1148" s="584"/>
      <c r="B1148" s="585" t="s">
        <v>805</v>
      </c>
      <c r="C1148" s="716">
        <v>0</v>
      </c>
      <c r="D1148" s="716">
        <v>0</v>
      </c>
      <c r="E1148" s="716">
        <v>0</v>
      </c>
      <c r="F1148" s="716">
        <v>0</v>
      </c>
      <c r="G1148" s="716">
        <v>0</v>
      </c>
      <c r="H1148" s="716">
        <v>0</v>
      </c>
      <c r="I1148" s="716">
        <v>1</v>
      </c>
      <c r="J1148" s="716">
        <f>I1148</f>
        <v>1</v>
      </c>
      <c r="K1148" s="716">
        <f t="shared" ref="K1148:AF1148" si="995">J1148</f>
        <v>1</v>
      </c>
      <c r="L1148" s="716">
        <f t="shared" si="995"/>
        <v>1</v>
      </c>
      <c r="M1148" s="716">
        <f t="shared" si="995"/>
        <v>1</v>
      </c>
      <c r="N1148" s="716">
        <f t="shared" si="995"/>
        <v>1</v>
      </c>
      <c r="O1148" s="716">
        <f t="shared" si="995"/>
        <v>1</v>
      </c>
      <c r="P1148" s="716">
        <f t="shared" si="995"/>
        <v>1</v>
      </c>
      <c r="Q1148" s="716">
        <f t="shared" si="995"/>
        <v>1</v>
      </c>
      <c r="R1148" s="716">
        <f t="shared" si="995"/>
        <v>1</v>
      </c>
      <c r="S1148" s="716">
        <f t="shared" si="995"/>
        <v>1</v>
      </c>
      <c r="T1148" s="716">
        <f t="shared" si="995"/>
        <v>1</v>
      </c>
      <c r="U1148" s="716">
        <f t="shared" si="995"/>
        <v>1</v>
      </c>
      <c r="V1148" s="716">
        <f t="shared" si="995"/>
        <v>1</v>
      </c>
      <c r="W1148" s="716">
        <f t="shared" si="995"/>
        <v>1</v>
      </c>
      <c r="X1148" s="716">
        <f t="shared" si="995"/>
        <v>1</v>
      </c>
      <c r="Y1148" s="716">
        <f t="shared" si="995"/>
        <v>1</v>
      </c>
      <c r="Z1148" s="716">
        <f t="shared" si="995"/>
        <v>1</v>
      </c>
      <c r="AA1148" s="716">
        <f t="shared" si="995"/>
        <v>1</v>
      </c>
      <c r="AB1148" s="716">
        <f t="shared" si="995"/>
        <v>1</v>
      </c>
      <c r="AC1148" s="716">
        <f t="shared" si="995"/>
        <v>1</v>
      </c>
      <c r="AD1148" s="716">
        <f t="shared" si="995"/>
        <v>1</v>
      </c>
      <c r="AE1148" s="716">
        <f t="shared" si="995"/>
        <v>1</v>
      </c>
      <c r="AF1148" s="716">
        <f t="shared" si="995"/>
        <v>1</v>
      </c>
      <c r="AH1148" s="587"/>
      <c r="AK1148" s="591"/>
      <c r="AM1148" s="624"/>
      <c r="AN1148" s="590"/>
      <c r="AP1148" s="591"/>
      <c r="AQ1148" s="591"/>
    </row>
    <row r="1149" spans="1:43" s="546" customFormat="1" ht="16.5" hidden="1" customHeight="1" outlineLevel="2">
      <c r="A1149" s="584"/>
      <c r="B1149" s="572" t="s">
        <v>901</v>
      </c>
      <c r="C1149" s="574">
        <f>C1143</f>
        <v>20</v>
      </c>
      <c r="D1149" s="574">
        <f>C1149</f>
        <v>20</v>
      </c>
      <c r="E1149" s="574">
        <f t="shared" ref="E1149:AF1149" si="996">D1149</f>
        <v>20</v>
      </c>
      <c r="F1149" s="574">
        <f t="shared" si="996"/>
        <v>20</v>
      </c>
      <c r="G1149" s="574">
        <f t="shared" si="996"/>
        <v>20</v>
      </c>
      <c r="H1149" s="574">
        <f t="shared" si="996"/>
        <v>20</v>
      </c>
      <c r="I1149" s="574">
        <f t="shared" si="996"/>
        <v>20</v>
      </c>
      <c r="J1149" s="574">
        <f t="shared" si="996"/>
        <v>20</v>
      </c>
      <c r="K1149" s="574">
        <f t="shared" si="996"/>
        <v>20</v>
      </c>
      <c r="L1149" s="574">
        <f t="shared" si="996"/>
        <v>20</v>
      </c>
      <c r="M1149" s="574">
        <f t="shared" si="996"/>
        <v>20</v>
      </c>
      <c r="N1149" s="574">
        <f t="shared" si="996"/>
        <v>20</v>
      </c>
      <c r="O1149" s="574">
        <f t="shared" si="996"/>
        <v>20</v>
      </c>
      <c r="P1149" s="574">
        <f t="shared" si="996"/>
        <v>20</v>
      </c>
      <c r="Q1149" s="574">
        <f t="shared" si="996"/>
        <v>20</v>
      </c>
      <c r="R1149" s="574">
        <f t="shared" si="996"/>
        <v>20</v>
      </c>
      <c r="S1149" s="574">
        <f t="shared" si="996"/>
        <v>20</v>
      </c>
      <c r="T1149" s="574">
        <f t="shared" si="996"/>
        <v>20</v>
      </c>
      <c r="U1149" s="574">
        <f t="shared" si="996"/>
        <v>20</v>
      </c>
      <c r="V1149" s="574">
        <f t="shared" si="996"/>
        <v>20</v>
      </c>
      <c r="W1149" s="574">
        <f t="shared" si="996"/>
        <v>20</v>
      </c>
      <c r="X1149" s="574">
        <f t="shared" si="996"/>
        <v>20</v>
      </c>
      <c r="Y1149" s="574">
        <f t="shared" si="996"/>
        <v>20</v>
      </c>
      <c r="Z1149" s="574">
        <f t="shared" si="996"/>
        <v>20</v>
      </c>
      <c r="AA1149" s="574">
        <f t="shared" si="996"/>
        <v>20</v>
      </c>
      <c r="AB1149" s="574">
        <f t="shared" si="996"/>
        <v>20</v>
      </c>
      <c r="AC1149" s="574">
        <f t="shared" si="996"/>
        <v>20</v>
      </c>
      <c r="AD1149" s="574">
        <f t="shared" si="996"/>
        <v>20</v>
      </c>
      <c r="AE1149" s="574">
        <f t="shared" si="996"/>
        <v>20</v>
      </c>
      <c r="AF1149" s="574">
        <f t="shared" si="996"/>
        <v>20</v>
      </c>
      <c r="AH1149" s="571"/>
      <c r="AK1149" s="531"/>
      <c r="AM1149" s="594"/>
      <c r="AN1149" s="535"/>
      <c r="AP1149" s="549"/>
      <c r="AQ1149" s="549"/>
    </row>
    <row r="1150" spans="1:43" s="546" customFormat="1" ht="16.5" hidden="1" customHeight="1" outlineLevel="2">
      <c r="A1150" s="584"/>
      <c r="B1150" s="572" t="s">
        <v>902</v>
      </c>
      <c r="C1150" s="602">
        <f t="shared" ref="C1150:AF1150" si="997">((C1151*C1152)+(C1153*C1154))/$C$1758</f>
        <v>0.41173333333333334</v>
      </c>
      <c r="D1150" s="602">
        <f t="shared" si="997"/>
        <v>0.41173333333333334</v>
      </c>
      <c r="E1150" s="602">
        <f t="shared" si="997"/>
        <v>0.41173333333333334</v>
      </c>
      <c r="F1150" s="602">
        <f t="shared" si="997"/>
        <v>0.41173333333333334</v>
      </c>
      <c r="G1150" s="602">
        <f t="shared" si="997"/>
        <v>0.41173333333333334</v>
      </c>
      <c r="H1150" s="602">
        <f t="shared" si="997"/>
        <v>0.41173333333333334</v>
      </c>
      <c r="I1150" s="602">
        <f t="shared" si="997"/>
        <v>0.41173333333333334</v>
      </c>
      <c r="J1150" s="602">
        <f t="shared" si="997"/>
        <v>0.41173333333333334</v>
      </c>
      <c r="K1150" s="602">
        <f t="shared" si="997"/>
        <v>0.41173333333333334</v>
      </c>
      <c r="L1150" s="602">
        <f t="shared" si="997"/>
        <v>0.41173333333333334</v>
      </c>
      <c r="M1150" s="602">
        <f t="shared" si="997"/>
        <v>0.41173333333333334</v>
      </c>
      <c r="N1150" s="602">
        <f t="shared" si="997"/>
        <v>0.41173333333333334</v>
      </c>
      <c r="O1150" s="602">
        <f t="shared" si="997"/>
        <v>0.41173333333333334</v>
      </c>
      <c r="P1150" s="602">
        <f t="shared" si="997"/>
        <v>0.41173333333333334</v>
      </c>
      <c r="Q1150" s="602">
        <f t="shared" si="997"/>
        <v>0.41173333333333334</v>
      </c>
      <c r="R1150" s="602">
        <f t="shared" si="997"/>
        <v>0.41173333333333334</v>
      </c>
      <c r="S1150" s="602">
        <f t="shared" si="997"/>
        <v>0.41173333333333334</v>
      </c>
      <c r="T1150" s="602">
        <f t="shared" si="997"/>
        <v>0.41173333333333334</v>
      </c>
      <c r="U1150" s="602">
        <f t="shared" si="997"/>
        <v>0.41173333333333334</v>
      </c>
      <c r="V1150" s="602">
        <f t="shared" si="997"/>
        <v>0.41173333333333334</v>
      </c>
      <c r="W1150" s="602">
        <f t="shared" si="997"/>
        <v>0.41173333333333334</v>
      </c>
      <c r="X1150" s="602">
        <f t="shared" si="997"/>
        <v>0.41173333333333334</v>
      </c>
      <c r="Y1150" s="602">
        <f t="shared" si="997"/>
        <v>0.41173333333333334</v>
      </c>
      <c r="Z1150" s="602">
        <f t="shared" si="997"/>
        <v>0.41173333333333334</v>
      </c>
      <c r="AA1150" s="602">
        <f t="shared" si="997"/>
        <v>0.41173333333333334</v>
      </c>
      <c r="AB1150" s="602">
        <f t="shared" si="997"/>
        <v>0.41173333333333334</v>
      </c>
      <c r="AC1150" s="602">
        <f t="shared" si="997"/>
        <v>0.41173333333333334</v>
      </c>
      <c r="AD1150" s="602">
        <f t="shared" si="997"/>
        <v>0.41173333333333334</v>
      </c>
      <c r="AE1150" s="602">
        <f t="shared" si="997"/>
        <v>0.41173333333333334</v>
      </c>
      <c r="AF1150" s="602">
        <f t="shared" si="997"/>
        <v>0.41173333333333334</v>
      </c>
      <c r="AH1150" s="571"/>
      <c r="AK1150" s="531"/>
      <c r="AM1150" s="594"/>
      <c r="AN1150" s="535"/>
      <c r="AP1150" s="549"/>
      <c r="AQ1150" s="549"/>
    </row>
    <row r="1151" spans="1:43" s="513" customFormat="1" ht="16.5" hidden="1" customHeight="1" outlineLevel="2">
      <c r="A1151" s="584"/>
      <c r="B1151" s="596" t="s">
        <v>907</v>
      </c>
      <c r="C1151" s="366">
        <v>4</v>
      </c>
      <c r="D1151" s="366">
        <f>C1151</f>
        <v>4</v>
      </c>
      <c r="E1151" s="366">
        <f t="shared" ref="E1151:T1154" si="998">D1151</f>
        <v>4</v>
      </c>
      <c r="F1151" s="366">
        <f t="shared" si="998"/>
        <v>4</v>
      </c>
      <c r="G1151" s="366">
        <f t="shared" si="998"/>
        <v>4</v>
      </c>
      <c r="H1151" s="366">
        <f t="shared" si="998"/>
        <v>4</v>
      </c>
      <c r="I1151" s="366">
        <f t="shared" si="998"/>
        <v>4</v>
      </c>
      <c r="J1151" s="366">
        <f t="shared" si="998"/>
        <v>4</v>
      </c>
      <c r="K1151" s="366">
        <f t="shared" si="998"/>
        <v>4</v>
      </c>
      <c r="L1151" s="366">
        <f t="shared" si="998"/>
        <v>4</v>
      </c>
      <c r="M1151" s="366">
        <f t="shared" si="998"/>
        <v>4</v>
      </c>
      <c r="N1151" s="366">
        <f t="shared" si="998"/>
        <v>4</v>
      </c>
      <c r="O1151" s="366">
        <f t="shared" si="998"/>
        <v>4</v>
      </c>
      <c r="P1151" s="366">
        <f t="shared" si="998"/>
        <v>4</v>
      </c>
      <c r="Q1151" s="366">
        <f t="shared" si="998"/>
        <v>4</v>
      </c>
      <c r="R1151" s="366">
        <f t="shared" si="998"/>
        <v>4</v>
      </c>
      <c r="S1151" s="366">
        <f t="shared" si="998"/>
        <v>4</v>
      </c>
      <c r="T1151" s="366">
        <f t="shared" si="998"/>
        <v>4</v>
      </c>
      <c r="U1151" s="366">
        <f t="shared" ref="U1151:AF1154" si="999">T1151</f>
        <v>4</v>
      </c>
      <c r="V1151" s="366">
        <f t="shared" si="999"/>
        <v>4</v>
      </c>
      <c r="W1151" s="366">
        <f t="shared" si="999"/>
        <v>4</v>
      </c>
      <c r="X1151" s="366">
        <f t="shared" si="999"/>
        <v>4</v>
      </c>
      <c r="Y1151" s="366">
        <f t="shared" si="999"/>
        <v>4</v>
      </c>
      <c r="Z1151" s="366">
        <f t="shared" si="999"/>
        <v>4</v>
      </c>
      <c r="AA1151" s="366">
        <f t="shared" si="999"/>
        <v>4</v>
      </c>
      <c r="AB1151" s="366">
        <f t="shared" si="999"/>
        <v>4</v>
      </c>
      <c r="AC1151" s="366">
        <f t="shared" si="999"/>
        <v>4</v>
      </c>
      <c r="AD1151" s="366">
        <f t="shared" si="999"/>
        <v>4</v>
      </c>
      <c r="AE1151" s="366">
        <f t="shared" si="999"/>
        <v>4</v>
      </c>
      <c r="AF1151" s="366">
        <f t="shared" si="999"/>
        <v>4</v>
      </c>
      <c r="AH1151" s="538"/>
      <c r="AK1151" s="531"/>
      <c r="AM1151" s="594"/>
      <c r="AN1151" s="535"/>
      <c r="AP1151" s="540"/>
      <c r="AQ1151" s="540"/>
    </row>
    <row r="1152" spans="1:43" s="513" customFormat="1" ht="16.5" hidden="1" customHeight="1" outlineLevel="2">
      <c r="A1152" s="584"/>
      <c r="B1152" s="596" t="s">
        <v>904</v>
      </c>
      <c r="C1152" s="592">
        <f>Insumos!$E$52</f>
        <v>1544</v>
      </c>
      <c r="D1152" s="592">
        <f>C1152</f>
        <v>1544</v>
      </c>
      <c r="E1152" s="592">
        <f t="shared" si="998"/>
        <v>1544</v>
      </c>
      <c r="F1152" s="592">
        <f t="shared" si="998"/>
        <v>1544</v>
      </c>
      <c r="G1152" s="592">
        <f t="shared" si="998"/>
        <v>1544</v>
      </c>
      <c r="H1152" s="592">
        <f t="shared" si="998"/>
        <v>1544</v>
      </c>
      <c r="I1152" s="592">
        <f t="shared" si="998"/>
        <v>1544</v>
      </c>
      <c r="J1152" s="592">
        <f t="shared" si="998"/>
        <v>1544</v>
      </c>
      <c r="K1152" s="592">
        <f t="shared" si="998"/>
        <v>1544</v>
      </c>
      <c r="L1152" s="592">
        <f t="shared" si="998"/>
        <v>1544</v>
      </c>
      <c r="M1152" s="592">
        <f t="shared" si="998"/>
        <v>1544</v>
      </c>
      <c r="N1152" s="592">
        <f t="shared" si="998"/>
        <v>1544</v>
      </c>
      <c r="O1152" s="592">
        <f t="shared" si="998"/>
        <v>1544</v>
      </c>
      <c r="P1152" s="592">
        <f t="shared" si="998"/>
        <v>1544</v>
      </c>
      <c r="Q1152" s="592">
        <f t="shared" si="998"/>
        <v>1544</v>
      </c>
      <c r="R1152" s="592">
        <f t="shared" si="998"/>
        <v>1544</v>
      </c>
      <c r="S1152" s="592">
        <f t="shared" si="998"/>
        <v>1544</v>
      </c>
      <c r="T1152" s="592">
        <f t="shared" si="998"/>
        <v>1544</v>
      </c>
      <c r="U1152" s="592">
        <f t="shared" si="999"/>
        <v>1544</v>
      </c>
      <c r="V1152" s="592">
        <f t="shared" si="999"/>
        <v>1544</v>
      </c>
      <c r="W1152" s="592">
        <f t="shared" si="999"/>
        <v>1544</v>
      </c>
      <c r="X1152" s="592">
        <f t="shared" si="999"/>
        <v>1544</v>
      </c>
      <c r="Y1152" s="592">
        <f t="shared" si="999"/>
        <v>1544</v>
      </c>
      <c r="Z1152" s="592">
        <f t="shared" si="999"/>
        <v>1544</v>
      </c>
      <c r="AA1152" s="592">
        <f t="shared" si="999"/>
        <v>1544</v>
      </c>
      <c r="AB1152" s="592">
        <f t="shared" si="999"/>
        <v>1544</v>
      </c>
      <c r="AC1152" s="592">
        <f t="shared" si="999"/>
        <v>1544</v>
      </c>
      <c r="AD1152" s="592">
        <f t="shared" si="999"/>
        <v>1544</v>
      </c>
      <c r="AE1152" s="592">
        <f t="shared" si="999"/>
        <v>1544</v>
      </c>
      <c r="AF1152" s="592">
        <f t="shared" si="999"/>
        <v>1544</v>
      </c>
      <c r="AH1152" s="538"/>
      <c r="AK1152" s="531"/>
      <c r="AM1152" s="594"/>
      <c r="AN1152" s="535"/>
      <c r="AP1152" s="540"/>
      <c r="AQ1152" s="540"/>
    </row>
    <row r="1153" spans="1:43" s="513" customFormat="1" ht="16.5" hidden="1" customHeight="1" outlineLevel="2">
      <c r="A1153" s="584"/>
      <c r="B1153" s="596" t="s">
        <v>908</v>
      </c>
      <c r="C1153" s="366">
        <v>0</v>
      </c>
      <c r="D1153" s="366">
        <f>C1153</f>
        <v>0</v>
      </c>
      <c r="E1153" s="366">
        <f t="shared" si="998"/>
        <v>0</v>
      </c>
      <c r="F1153" s="366">
        <f t="shared" si="998"/>
        <v>0</v>
      </c>
      <c r="G1153" s="366">
        <f t="shared" si="998"/>
        <v>0</v>
      </c>
      <c r="H1153" s="366">
        <f t="shared" si="998"/>
        <v>0</v>
      </c>
      <c r="I1153" s="366">
        <f t="shared" si="998"/>
        <v>0</v>
      </c>
      <c r="J1153" s="366">
        <f t="shared" si="998"/>
        <v>0</v>
      </c>
      <c r="K1153" s="366">
        <f t="shared" si="998"/>
        <v>0</v>
      </c>
      <c r="L1153" s="366">
        <f t="shared" si="998"/>
        <v>0</v>
      </c>
      <c r="M1153" s="366">
        <f t="shared" si="998"/>
        <v>0</v>
      </c>
      <c r="N1153" s="366">
        <f t="shared" si="998"/>
        <v>0</v>
      </c>
      <c r="O1153" s="366">
        <f t="shared" si="998"/>
        <v>0</v>
      </c>
      <c r="P1153" s="366">
        <f t="shared" si="998"/>
        <v>0</v>
      </c>
      <c r="Q1153" s="366">
        <f t="shared" si="998"/>
        <v>0</v>
      </c>
      <c r="R1153" s="366">
        <f t="shared" si="998"/>
        <v>0</v>
      </c>
      <c r="S1153" s="366">
        <f t="shared" si="998"/>
        <v>0</v>
      </c>
      <c r="T1153" s="366">
        <f t="shared" si="998"/>
        <v>0</v>
      </c>
      <c r="U1153" s="366">
        <f t="shared" si="999"/>
        <v>0</v>
      </c>
      <c r="V1153" s="366">
        <f t="shared" si="999"/>
        <v>0</v>
      </c>
      <c r="W1153" s="366">
        <f t="shared" si="999"/>
        <v>0</v>
      </c>
      <c r="X1153" s="366">
        <f t="shared" si="999"/>
        <v>0</v>
      </c>
      <c r="Y1153" s="366">
        <f t="shared" si="999"/>
        <v>0</v>
      </c>
      <c r="Z1153" s="366">
        <f t="shared" si="999"/>
        <v>0</v>
      </c>
      <c r="AA1153" s="366">
        <f t="shared" si="999"/>
        <v>0</v>
      </c>
      <c r="AB1153" s="366">
        <f t="shared" si="999"/>
        <v>0</v>
      </c>
      <c r="AC1153" s="366">
        <f t="shared" si="999"/>
        <v>0</v>
      </c>
      <c r="AD1153" s="366">
        <f t="shared" si="999"/>
        <v>0</v>
      </c>
      <c r="AE1153" s="366">
        <f t="shared" si="999"/>
        <v>0</v>
      </c>
      <c r="AF1153" s="366">
        <f t="shared" si="999"/>
        <v>0</v>
      </c>
      <c r="AH1153" s="538"/>
      <c r="AK1153" s="531"/>
      <c r="AM1153" s="594"/>
      <c r="AN1153" s="535"/>
      <c r="AP1153" s="540"/>
      <c r="AQ1153" s="540"/>
    </row>
    <row r="1154" spans="1:43" s="513" customFormat="1" ht="16.5" hidden="1" customHeight="1" outlineLevel="2">
      <c r="A1154" s="584"/>
      <c r="B1154" s="596" t="s">
        <v>906</v>
      </c>
      <c r="C1154" s="366">
        <v>0</v>
      </c>
      <c r="D1154" s="366">
        <f>C1154</f>
        <v>0</v>
      </c>
      <c r="E1154" s="366">
        <f t="shared" si="998"/>
        <v>0</v>
      </c>
      <c r="F1154" s="366">
        <f t="shared" si="998"/>
        <v>0</v>
      </c>
      <c r="G1154" s="366">
        <f t="shared" si="998"/>
        <v>0</v>
      </c>
      <c r="H1154" s="366">
        <f t="shared" si="998"/>
        <v>0</v>
      </c>
      <c r="I1154" s="366">
        <f t="shared" si="998"/>
        <v>0</v>
      </c>
      <c r="J1154" s="366">
        <f t="shared" si="998"/>
        <v>0</v>
      </c>
      <c r="K1154" s="366">
        <f t="shared" si="998"/>
        <v>0</v>
      </c>
      <c r="L1154" s="366">
        <f t="shared" si="998"/>
        <v>0</v>
      </c>
      <c r="M1154" s="366">
        <f t="shared" si="998"/>
        <v>0</v>
      </c>
      <c r="N1154" s="366">
        <f t="shared" si="998"/>
        <v>0</v>
      </c>
      <c r="O1154" s="366">
        <f t="shared" si="998"/>
        <v>0</v>
      </c>
      <c r="P1154" s="366">
        <f t="shared" si="998"/>
        <v>0</v>
      </c>
      <c r="Q1154" s="366">
        <f t="shared" si="998"/>
        <v>0</v>
      </c>
      <c r="R1154" s="366">
        <f t="shared" si="998"/>
        <v>0</v>
      </c>
      <c r="S1154" s="366">
        <f t="shared" si="998"/>
        <v>0</v>
      </c>
      <c r="T1154" s="366">
        <f t="shared" si="998"/>
        <v>0</v>
      </c>
      <c r="U1154" s="366">
        <f t="shared" si="999"/>
        <v>0</v>
      </c>
      <c r="V1154" s="366">
        <f t="shared" si="999"/>
        <v>0</v>
      </c>
      <c r="W1154" s="366">
        <f t="shared" si="999"/>
        <v>0</v>
      </c>
      <c r="X1154" s="366">
        <f t="shared" si="999"/>
        <v>0</v>
      </c>
      <c r="Y1154" s="366">
        <f t="shared" si="999"/>
        <v>0</v>
      </c>
      <c r="Z1154" s="366">
        <f t="shared" si="999"/>
        <v>0</v>
      </c>
      <c r="AA1154" s="366">
        <f t="shared" si="999"/>
        <v>0</v>
      </c>
      <c r="AB1154" s="366">
        <f t="shared" si="999"/>
        <v>0</v>
      </c>
      <c r="AC1154" s="366">
        <f t="shared" si="999"/>
        <v>0</v>
      </c>
      <c r="AD1154" s="366">
        <f t="shared" si="999"/>
        <v>0</v>
      </c>
      <c r="AE1154" s="366">
        <f t="shared" si="999"/>
        <v>0</v>
      </c>
      <c r="AF1154" s="366">
        <f t="shared" si="999"/>
        <v>0</v>
      </c>
      <c r="AH1154" s="538"/>
      <c r="AK1154" s="531"/>
      <c r="AM1154" s="594"/>
      <c r="AN1154" s="535"/>
      <c r="AP1154" s="540"/>
      <c r="AQ1154" s="540"/>
    </row>
    <row r="1155" spans="1:43" s="513" customFormat="1" ht="3" hidden="1" customHeight="1" outlineLevel="2">
      <c r="A1155" s="584"/>
      <c r="B1155" s="596"/>
      <c r="C1155" s="598"/>
      <c r="D1155" s="598"/>
      <c r="E1155" s="598"/>
      <c r="F1155" s="598"/>
      <c r="G1155" s="598"/>
      <c r="H1155" s="598"/>
      <c r="I1155" s="598"/>
      <c r="J1155" s="598"/>
      <c r="K1155" s="598"/>
      <c r="L1155" s="598"/>
      <c r="M1155" s="598"/>
      <c r="N1155" s="598"/>
      <c r="O1155" s="598"/>
      <c r="P1155" s="598"/>
      <c r="Q1155" s="598"/>
      <c r="R1155" s="598"/>
      <c r="S1155" s="598"/>
      <c r="T1155" s="598"/>
      <c r="U1155" s="598"/>
      <c r="V1155" s="598"/>
      <c r="W1155" s="598"/>
      <c r="X1155" s="598"/>
      <c r="Y1155" s="598"/>
      <c r="Z1155" s="598"/>
      <c r="AA1155" s="598"/>
      <c r="AB1155" s="598"/>
      <c r="AC1155" s="598"/>
      <c r="AD1155" s="598"/>
      <c r="AE1155" s="598"/>
      <c r="AF1155" s="598"/>
      <c r="AH1155" s="538"/>
      <c r="AK1155" s="531"/>
      <c r="AM1155" s="594"/>
      <c r="AN1155" s="535"/>
      <c r="AP1155" s="540"/>
      <c r="AQ1155" s="540"/>
    </row>
    <row r="1156" spans="1:43" s="564" customFormat="1" ht="16.5" hidden="1" customHeight="1" outlineLevel="1" collapsed="1">
      <c r="A1156" s="584"/>
      <c r="B1156" s="576" t="s">
        <v>909</v>
      </c>
      <c r="C1156" s="577">
        <f>C1157*12/10^3</f>
        <v>0</v>
      </c>
      <c r="D1156" s="577">
        <f t="shared" ref="D1156:AF1156" si="1000">D1157*12/10^3</f>
        <v>0</v>
      </c>
      <c r="E1156" s="577">
        <f t="shared" si="1000"/>
        <v>0</v>
      </c>
      <c r="F1156" s="577">
        <f t="shared" si="1000"/>
        <v>0</v>
      </c>
      <c r="G1156" s="577">
        <f t="shared" si="1000"/>
        <v>0</v>
      </c>
      <c r="H1156" s="577">
        <f t="shared" si="1000"/>
        <v>0</v>
      </c>
      <c r="I1156" s="577">
        <f t="shared" si="1000"/>
        <v>1.548</v>
      </c>
      <c r="J1156" s="577">
        <f t="shared" si="1000"/>
        <v>1.548</v>
      </c>
      <c r="K1156" s="577">
        <f t="shared" si="1000"/>
        <v>1.548</v>
      </c>
      <c r="L1156" s="577">
        <f t="shared" si="1000"/>
        <v>1.548</v>
      </c>
      <c r="M1156" s="577">
        <f t="shared" si="1000"/>
        <v>1.548</v>
      </c>
      <c r="N1156" s="577">
        <f t="shared" si="1000"/>
        <v>1.548</v>
      </c>
      <c r="O1156" s="577">
        <f t="shared" si="1000"/>
        <v>1.548</v>
      </c>
      <c r="P1156" s="577">
        <f t="shared" si="1000"/>
        <v>1.548</v>
      </c>
      <c r="Q1156" s="577">
        <f t="shared" si="1000"/>
        <v>1.548</v>
      </c>
      <c r="R1156" s="577">
        <f t="shared" si="1000"/>
        <v>1.548</v>
      </c>
      <c r="S1156" s="577">
        <f t="shared" si="1000"/>
        <v>1.548</v>
      </c>
      <c r="T1156" s="577">
        <f t="shared" si="1000"/>
        <v>1.548</v>
      </c>
      <c r="U1156" s="577">
        <f t="shared" si="1000"/>
        <v>1.548</v>
      </c>
      <c r="V1156" s="577">
        <f t="shared" si="1000"/>
        <v>1.548</v>
      </c>
      <c r="W1156" s="577">
        <f t="shared" si="1000"/>
        <v>1.548</v>
      </c>
      <c r="X1156" s="577">
        <f t="shared" si="1000"/>
        <v>1.548</v>
      </c>
      <c r="Y1156" s="577">
        <f t="shared" si="1000"/>
        <v>1.548</v>
      </c>
      <c r="Z1156" s="577">
        <f t="shared" si="1000"/>
        <v>1.548</v>
      </c>
      <c r="AA1156" s="577">
        <f t="shared" si="1000"/>
        <v>1.548</v>
      </c>
      <c r="AB1156" s="577">
        <f t="shared" si="1000"/>
        <v>1.548</v>
      </c>
      <c r="AC1156" s="577">
        <f t="shared" si="1000"/>
        <v>1.548</v>
      </c>
      <c r="AD1156" s="577">
        <f t="shared" si="1000"/>
        <v>1.548</v>
      </c>
      <c r="AE1156" s="577">
        <f t="shared" si="1000"/>
        <v>1.548</v>
      </c>
      <c r="AF1156" s="577">
        <f t="shared" si="1000"/>
        <v>1.548</v>
      </c>
      <c r="AH1156" s="578">
        <f>SUM(C1156:AF1156)</f>
        <v>37.152000000000022</v>
      </c>
      <c r="AK1156" s="531"/>
      <c r="AM1156" s="594"/>
      <c r="AN1156" s="535"/>
      <c r="AP1156" s="568"/>
      <c r="AQ1156" s="568"/>
    </row>
    <row r="1157" spans="1:43" s="546" customFormat="1" ht="16.5" hidden="1" customHeight="1" outlineLevel="2">
      <c r="A1157" s="584"/>
      <c r="B1157" s="603" t="s">
        <v>910</v>
      </c>
      <c r="C1157" s="581">
        <f>C1158*C1159</f>
        <v>0</v>
      </c>
      <c r="D1157" s="581">
        <f t="shared" ref="D1157:AF1157" si="1001">D1158*D1159</f>
        <v>0</v>
      </c>
      <c r="E1157" s="581">
        <f t="shared" si="1001"/>
        <v>0</v>
      </c>
      <c r="F1157" s="581">
        <f t="shared" si="1001"/>
        <v>0</v>
      </c>
      <c r="G1157" s="581">
        <f t="shared" si="1001"/>
        <v>0</v>
      </c>
      <c r="H1157" s="581">
        <f t="shared" si="1001"/>
        <v>0</v>
      </c>
      <c r="I1157" s="581">
        <f t="shared" si="1001"/>
        <v>129</v>
      </c>
      <c r="J1157" s="581">
        <f t="shared" si="1001"/>
        <v>129</v>
      </c>
      <c r="K1157" s="581">
        <f t="shared" si="1001"/>
        <v>129</v>
      </c>
      <c r="L1157" s="581">
        <f t="shared" si="1001"/>
        <v>129</v>
      </c>
      <c r="M1157" s="581">
        <f t="shared" si="1001"/>
        <v>129</v>
      </c>
      <c r="N1157" s="581">
        <f t="shared" si="1001"/>
        <v>129</v>
      </c>
      <c r="O1157" s="581">
        <f t="shared" si="1001"/>
        <v>129</v>
      </c>
      <c r="P1157" s="581">
        <f t="shared" si="1001"/>
        <v>129</v>
      </c>
      <c r="Q1157" s="581">
        <f t="shared" si="1001"/>
        <v>129</v>
      </c>
      <c r="R1157" s="581">
        <f t="shared" si="1001"/>
        <v>129</v>
      </c>
      <c r="S1157" s="581">
        <f t="shared" si="1001"/>
        <v>129</v>
      </c>
      <c r="T1157" s="581">
        <f t="shared" si="1001"/>
        <v>129</v>
      </c>
      <c r="U1157" s="581">
        <f t="shared" si="1001"/>
        <v>129</v>
      </c>
      <c r="V1157" s="581">
        <f t="shared" si="1001"/>
        <v>129</v>
      </c>
      <c r="W1157" s="581">
        <f t="shared" si="1001"/>
        <v>129</v>
      </c>
      <c r="X1157" s="581">
        <f t="shared" si="1001"/>
        <v>129</v>
      </c>
      <c r="Y1157" s="581">
        <f t="shared" si="1001"/>
        <v>129</v>
      </c>
      <c r="Z1157" s="581">
        <f t="shared" si="1001"/>
        <v>129</v>
      </c>
      <c r="AA1157" s="581">
        <f t="shared" si="1001"/>
        <v>129</v>
      </c>
      <c r="AB1157" s="581">
        <f t="shared" si="1001"/>
        <v>129</v>
      </c>
      <c r="AC1157" s="581">
        <f t="shared" si="1001"/>
        <v>129</v>
      </c>
      <c r="AD1157" s="581">
        <f t="shared" si="1001"/>
        <v>129</v>
      </c>
      <c r="AE1157" s="581">
        <f t="shared" si="1001"/>
        <v>129</v>
      </c>
      <c r="AF1157" s="581">
        <f t="shared" si="1001"/>
        <v>129</v>
      </c>
      <c r="AH1157" s="571"/>
      <c r="AK1157" s="531"/>
      <c r="AM1157" s="594"/>
      <c r="AN1157" s="535"/>
      <c r="AP1157" s="549"/>
      <c r="AQ1157" s="549"/>
    </row>
    <row r="1158" spans="1:43" s="513" customFormat="1" ht="16.5" hidden="1" customHeight="1" outlineLevel="2">
      <c r="A1158" s="584"/>
      <c r="B1158" s="604" t="s">
        <v>1000</v>
      </c>
      <c r="C1158" s="720">
        <f>C1148</f>
        <v>0</v>
      </c>
      <c r="D1158" s="720">
        <f t="shared" ref="D1158:AF1158" si="1002">D1148</f>
        <v>0</v>
      </c>
      <c r="E1158" s="720">
        <f t="shared" si="1002"/>
        <v>0</v>
      </c>
      <c r="F1158" s="720">
        <f t="shared" si="1002"/>
        <v>0</v>
      </c>
      <c r="G1158" s="720">
        <f t="shared" si="1002"/>
        <v>0</v>
      </c>
      <c r="H1158" s="720">
        <f t="shared" si="1002"/>
        <v>0</v>
      </c>
      <c r="I1158" s="720">
        <f t="shared" si="1002"/>
        <v>1</v>
      </c>
      <c r="J1158" s="720">
        <f t="shared" si="1002"/>
        <v>1</v>
      </c>
      <c r="K1158" s="720">
        <f t="shared" si="1002"/>
        <v>1</v>
      </c>
      <c r="L1158" s="720">
        <f t="shared" si="1002"/>
        <v>1</v>
      </c>
      <c r="M1158" s="720">
        <f t="shared" si="1002"/>
        <v>1</v>
      </c>
      <c r="N1158" s="720">
        <f t="shared" si="1002"/>
        <v>1</v>
      </c>
      <c r="O1158" s="720">
        <f t="shared" si="1002"/>
        <v>1</v>
      </c>
      <c r="P1158" s="720">
        <f t="shared" si="1002"/>
        <v>1</v>
      </c>
      <c r="Q1158" s="720">
        <f t="shared" si="1002"/>
        <v>1</v>
      </c>
      <c r="R1158" s="720">
        <f t="shared" si="1002"/>
        <v>1</v>
      </c>
      <c r="S1158" s="720">
        <f t="shared" si="1002"/>
        <v>1</v>
      </c>
      <c r="T1158" s="720">
        <f t="shared" si="1002"/>
        <v>1</v>
      </c>
      <c r="U1158" s="720">
        <f t="shared" si="1002"/>
        <v>1</v>
      </c>
      <c r="V1158" s="720">
        <f t="shared" si="1002"/>
        <v>1</v>
      </c>
      <c r="W1158" s="720">
        <f t="shared" si="1002"/>
        <v>1</v>
      </c>
      <c r="X1158" s="720">
        <f t="shared" si="1002"/>
        <v>1</v>
      </c>
      <c r="Y1158" s="720">
        <f t="shared" si="1002"/>
        <v>1</v>
      </c>
      <c r="Z1158" s="720">
        <f t="shared" si="1002"/>
        <v>1</v>
      </c>
      <c r="AA1158" s="720">
        <f t="shared" si="1002"/>
        <v>1</v>
      </c>
      <c r="AB1158" s="720">
        <f t="shared" si="1002"/>
        <v>1</v>
      </c>
      <c r="AC1158" s="720">
        <f t="shared" si="1002"/>
        <v>1</v>
      </c>
      <c r="AD1158" s="720">
        <f t="shared" si="1002"/>
        <v>1</v>
      </c>
      <c r="AE1158" s="720">
        <f t="shared" si="1002"/>
        <v>1</v>
      </c>
      <c r="AF1158" s="720">
        <f t="shared" si="1002"/>
        <v>1</v>
      </c>
      <c r="AH1158" s="538"/>
      <c r="AK1158" s="531"/>
      <c r="AM1158" s="594"/>
      <c r="AN1158" s="535"/>
      <c r="AP1158" s="540"/>
      <c r="AQ1158" s="540"/>
    </row>
    <row r="1159" spans="1:43" s="513" customFormat="1" ht="16.5" hidden="1" customHeight="1" outlineLevel="2">
      <c r="A1159" s="584"/>
      <c r="B1159" s="672" t="s">
        <v>912</v>
      </c>
      <c r="C1159" s="605">
        <f>Insumos!$E$42*4.3</f>
        <v>129</v>
      </c>
      <c r="D1159" s="605">
        <f>C1159</f>
        <v>129</v>
      </c>
      <c r="E1159" s="605">
        <f t="shared" ref="E1159:AF1159" si="1003">D1159</f>
        <v>129</v>
      </c>
      <c r="F1159" s="605">
        <f t="shared" si="1003"/>
        <v>129</v>
      </c>
      <c r="G1159" s="605">
        <f t="shared" si="1003"/>
        <v>129</v>
      </c>
      <c r="H1159" s="605">
        <f t="shared" si="1003"/>
        <v>129</v>
      </c>
      <c r="I1159" s="605">
        <f t="shared" si="1003"/>
        <v>129</v>
      </c>
      <c r="J1159" s="605">
        <f t="shared" si="1003"/>
        <v>129</v>
      </c>
      <c r="K1159" s="605">
        <f t="shared" si="1003"/>
        <v>129</v>
      </c>
      <c r="L1159" s="605">
        <f t="shared" si="1003"/>
        <v>129</v>
      </c>
      <c r="M1159" s="605">
        <f t="shared" si="1003"/>
        <v>129</v>
      </c>
      <c r="N1159" s="605">
        <f t="shared" si="1003"/>
        <v>129</v>
      </c>
      <c r="O1159" s="605">
        <f t="shared" si="1003"/>
        <v>129</v>
      </c>
      <c r="P1159" s="605">
        <f t="shared" si="1003"/>
        <v>129</v>
      </c>
      <c r="Q1159" s="605">
        <f t="shared" si="1003"/>
        <v>129</v>
      </c>
      <c r="R1159" s="605">
        <f t="shared" si="1003"/>
        <v>129</v>
      </c>
      <c r="S1159" s="605">
        <f t="shared" si="1003"/>
        <v>129</v>
      </c>
      <c r="T1159" s="605">
        <f t="shared" si="1003"/>
        <v>129</v>
      </c>
      <c r="U1159" s="605">
        <f t="shared" si="1003"/>
        <v>129</v>
      </c>
      <c r="V1159" s="605">
        <f t="shared" si="1003"/>
        <v>129</v>
      </c>
      <c r="W1159" s="605">
        <f t="shared" si="1003"/>
        <v>129</v>
      </c>
      <c r="X1159" s="605">
        <f t="shared" si="1003"/>
        <v>129</v>
      </c>
      <c r="Y1159" s="605">
        <f t="shared" si="1003"/>
        <v>129</v>
      </c>
      <c r="Z1159" s="605">
        <f t="shared" si="1003"/>
        <v>129</v>
      </c>
      <c r="AA1159" s="605">
        <f t="shared" si="1003"/>
        <v>129</v>
      </c>
      <c r="AB1159" s="605">
        <f t="shared" si="1003"/>
        <v>129</v>
      </c>
      <c r="AC1159" s="605">
        <f t="shared" si="1003"/>
        <v>129</v>
      </c>
      <c r="AD1159" s="605">
        <f t="shared" si="1003"/>
        <v>129</v>
      </c>
      <c r="AE1159" s="605">
        <f t="shared" si="1003"/>
        <v>129</v>
      </c>
      <c r="AF1159" s="605">
        <f t="shared" si="1003"/>
        <v>129</v>
      </c>
      <c r="AH1159" s="538"/>
      <c r="AK1159" s="531"/>
      <c r="AM1159" s="594"/>
      <c r="AN1159" s="535"/>
      <c r="AP1159" s="540"/>
      <c r="AQ1159" s="540"/>
    </row>
    <row r="1160" spans="1:43" s="564" customFormat="1" ht="16.5" hidden="1" customHeight="1" outlineLevel="1" collapsed="1">
      <c r="A1160" s="584"/>
      <c r="B1160" s="576" t="s">
        <v>1001</v>
      </c>
      <c r="C1160" s="577">
        <f>(C1161+C1165)*12/10^3</f>
        <v>0</v>
      </c>
      <c r="D1160" s="577">
        <f t="shared" ref="D1160:AF1160" si="1004">(D1161+D1165)*12/10^3</f>
        <v>0</v>
      </c>
      <c r="E1160" s="577">
        <f>(E1161+E1165)*12/10^3</f>
        <v>0</v>
      </c>
      <c r="F1160" s="577">
        <f>(F1161+F1165)*12/10^3</f>
        <v>0</v>
      </c>
      <c r="G1160" s="577">
        <f t="shared" si="1004"/>
        <v>4.8</v>
      </c>
      <c r="H1160" s="577">
        <f t="shared" si="1004"/>
        <v>4.8</v>
      </c>
      <c r="I1160" s="577">
        <f>(I1161+I1165)*12/10^3</f>
        <v>1045.2009362421361</v>
      </c>
      <c r="J1160" s="577">
        <f t="shared" si="1004"/>
        <v>1045.2009362421361</v>
      </c>
      <c r="K1160" s="577">
        <f t="shared" si="1004"/>
        <v>1045.2009362421361</v>
      </c>
      <c r="L1160" s="577">
        <f t="shared" si="1004"/>
        <v>1045.2009362421361</v>
      </c>
      <c r="M1160" s="577">
        <f t="shared" si="1004"/>
        <v>1045.2009362421361</v>
      </c>
      <c r="N1160" s="577">
        <f t="shared" si="1004"/>
        <v>1045.2009362421361</v>
      </c>
      <c r="O1160" s="577">
        <f t="shared" si="1004"/>
        <v>1045.2009362421361</v>
      </c>
      <c r="P1160" s="577">
        <f t="shared" si="1004"/>
        <v>1045.2009362421361</v>
      </c>
      <c r="Q1160" s="577">
        <f t="shared" si="1004"/>
        <v>1045.2009362421361</v>
      </c>
      <c r="R1160" s="577">
        <f t="shared" si="1004"/>
        <v>1045.2009362421361</v>
      </c>
      <c r="S1160" s="577">
        <f t="shared" si="1004"/>
        <v>1045.2009362421361</v>
      </c>
      <c r="T1160" s="577">
        <f t="shared" si="1004"/>
        <v>1045.2009362421361</v>
      </c>
      <c r="U1160" s="577">
        <f t="shared" si="1004"/>
        <v>1045.2009362421361</v>
      </c>
      <c r="V1160" s="577">
        <f t="shared" si="1004"/>
        <v>1045.2009362421361</v>
      </c>
      <c r="W1160" s="577">
        <f t="shared" si="1004"/>
        <v>1045.2009362421361</v>
      </c>
      <c r="X1160" s="577">
        <f t="shared" si="1004"/>
        <v>1045.2009362421361</v>
      </c>
      <c r="Y1160" s="577">
        <f t="shared" si="1004"/>
        <v>1045.2009362421361</v>
      </c>
      <c r="Z1160" s="577">
        <f t="shared" si="1004"/>
        <v>1045.2009362421361</v>
      </c>
      <c r="AA1160" s="577">
        <f t="shared" si="1004"/>
        <v>1045.2009362421361</v>
      </c>
      <c r="AB1160" s="577">
        <f t="shared" si="1004"/>
        <v>1045.2009362421361</v>
      </c>
      <c r="AC1160" s="577">
        <f t="shared" si="1004"/>
        <v>1045.2009362421361</v>
      </c>
      <c r="AD1160" s="577">
        <f t="shared" si="1004"/>
        <v>1045.2009362421361</v>
      </c>
      <c r="AE1160" s="577">
        <f t="shared" si="1004"/>
        <v>1045.2009362421361</v>
      </c>
      <c r="AF1160" s="577">
        <f t="shared" si="1004"/>
        <v>1045.2009362421361</v>
      </c>
      <c r="AG1160" s="652" t="e">
        <f>(#REF!+#REF!+AG1161+#REF!)*12/10^3</f>
        <v>#REF!</v>
      </c>
      <c r="AH1160" s="578">
        <f>SUM(C1160:AF1160)</f>
        <v>25094.422469811278</v>
      </c>
      <c r="AJ1160" s="579"/>
      <c r="AK1160" s="531"/>
      <c r="AM1160" s="594"/>
      <c r="AN1160" s="535"/>
      <c r="AP1160" s="568"/>
      <c r="AQ1160" s="568"/>
    </row>
    <row r="1161" spans="1:43" s="564" customFormat="1" ht="16.5" hidden="1" customHeight="1" outlineLevel="2">
      <c r="A1161" s="584"/>
      <c r="B1161" s="650" t="s">
        <v>990</v>
      </c>
      <c r="C1161" s="653">
        <f>C1162</f>
        <v>0</v>
      </c>
      <c r="D1161" s="653">
        <f t="shared" ref="D1161:AA1161" si="1005">D1162</f>
        <v>0</v>
      </c>
      <c r="E1161" s="653">
        <f t="shared" si="1005"/>
        <v>0</v>
      </c>
      <c r="F1161" s="653">
        <f t="shared" si="1005"/>
        <v>0</v>
      </c>
      <c r="G1161" s="653">
        <f t="shared" si="1005"/>
        <v>400</v>
      </c>
      <c r="H1161" s="653">
        <f t="shared" si="1005"/>
        <v>400</v>
      </c>
      <c r="I1161" s="653">
        <f t="shared" si="1005"/>
        <v>400</v>
      </c>
      <c r="J1161" s="653">
        <f t="shared" si="1005"/>
        <v>400</v>
      </c>
      <c r="K1161" s="653">
        <f t="shared" si="1005"/>
        <v>400</v>
      </c>
      <c r="L1161" s="653">
        <f t="shared" si="1005"/>
        <v>400</v>
      </c>
      <c r="M1161" s="653">
        <f t="shared" si="1005"/>
        <v>400</v>
      </c>
      <c r="N1161" s="653">
        <f t="shared" si="1005"/>
        <v>400</v>
      </c>
      <c r="O1161" s="653">
        <f t="shared" si="1005"/>
        <v>400</v>
      </c>
      <c r="P1161" s="653">
        <f t="shared" si="1005"/>
        <v>400</v>
      </c>
      <c r="Q1161" s="653">
        <f t="shared" si="1005"/>
        <v>400</v>
      </c>
      <c r="R1161" s="653">
        <f t="shared" si="1005"/>
        <v>400</v>
      </c>
      <c r="S1161" s="653">
        <f t="shared" si="1005"/>
        <v>400</v>
      </c>
      <c r="T1161" s="653">
        <f t="shared" si="1005"/>
        <v>400</v>
      </c>
      <c r="U1161" s="653">
        <f t="shared" si="1005"/>
        <v>400</v>
      </c>
      <c r="V1161" s="653">
        <f t="shared" si="1005"/>
        <v>400</v>
      </c>
      <c r="W1161" s="653">
        <f t="shared" si="1005"/>
        <v>400</v>
      </c>
      <c r="X1161" s="653">
        <f t="shared" si="1005"/>
        <v>400</v>
      </c>
      <c r="Y1161" s="653">
        <f t="shared" si="1005"/>
        <v>400</v>
      </c>
      <c r="Z1161" s="653">
        <f t="shared" si="1005"/>
        <v>400</v>
      </c>
      <c r="AA1161" s="653">
        <f t="shared" si="1005"/>
        <v>400</v>
      </c>
      <c r="AB1161" s="653">
        <f>AB1162</f>
        <v>400</v>
      </c>
      <c r="AC1161" s="653">
        <f t="shared" ref="AC1161:AF1161" si="1006">AC1162</f>
        <v>400</v>
      </c>
      <c r="AD1161" s="653">
        <f t="shared" si="1006"/>
        <v>400</v>
      </c>
      <c r="AE1161" s="653">
        <f t="shared" si="1006"/>
        <v>400</v>
      </c>
      <c r="AF1161" s="653">
        <f t="shared" si="1006"/>
        <v>400</v>
      </c>
      <c r="AG1161" s="627"/>
      <c r="AH1161" s="538"/>
      <c r="AJ1161" s="579"/>
      <c r="AK1161" s="531"/>
      <c r="AM1161" s="594"/>
      <c r="AN1161" s="535"/>
      <c r="AP1161" s="568"/>
      <c r="AQ1161" s="568"/>
    </row>
    <row r="1162" spans="1:43" s="546" customFormat="1" ht="16.5" hidden="1" customHeight="1" outlineLevel="2">
      <c r="A1162" s="584"/>
      <c r="B1162" s="722" t="s">
        <v>1001</v>
      </c>
      <c r="C1162" s="583">
        <f>C1163*C1164</f>
        <v>0</v>
      </c>
      <c r="D1162" s="583">
        <f t="shared" ref="D1162" si="1007">D1163*D1164</f>
        <v>0</v>
      </c>
      <c r="E1162" s="583">
        <f>E1163*E1164</f>
        <v>0</v>
      </c>
      <c r="F1162" s="583">
        <f t="shared" ref="F1162:AF1162" si="1008">F1163*F1164</f>
        <v>0</v>
      </c>
      <c r="G1162" s="581">
        <f t="shared" si="1008"/>
        <v>400</v>
      </c>
      <c r="H1162" s="581">
        <f t="shared" si="1008"/>
        <v>400</v>
      </c>
      <c r="I1162" s="581">
        <f t="shared" si="1008"/>
        <v>400</v>
      </c>
      <c r="J1162" s="581">
        <f t="shared" si="1008"/>
        <v>400</v>
      </c>
      <c r="K1162" s="581">
        <f t="shared" si="1008"/>
        <v>400</v>
      </c>
      <c r="L1162" s="581">
        <f t="shared" si="1008"/>
        <v>400</v>
      </c>
      <c r="M1162" s="581">
        <f t="shared" si="1008"/>
        <v>400</v>
      </c>
      <c r="N1162" s="581">
        <f t="shared" si="1008"/>
        <v>400</v>
      </c>
      <c r="O1162" s="581">
        <f t="shared" si="1008"/>
        <v>400</v>
      </c>
      <c r="P1162" s="581">
        <f t="shared" si="1008"/>
        <v>400</v>
      </c>
      <c r="Q1162" s="581">
        <f t="shared" si="1008"/>
        <v>400</v>
      </c>
      <c r="R1162" s="581">
        <f t="shared" si="1008"/>
        <v>400</v>
      </c>
      <c r="S1162" s="581">
        <f t="shared" si="1008"/>
        <v>400</v>
      </c>
      <c r="T1162" s="581">
        <f t="shared" si="1008"/>
        <v>400</v>
      </c>
      <c r="U1162" s="581">
        <f t="shared" si="1008"/>
        <v>400</v>
      </c>
      <c r="V1162" s="581">
        <f t="shared" si="1008"/>
        <v>400</v>
      </c>
      <c r="W1162" s="581">
        <f t="shared" si="1008"/>
        <v>400</v>
      </c>
      <c r="X1162" s="581">
        <f t="shared" si="1008"/>
        <v>400</v>
      </c>
      <c r="Y1162" s="581">
        <f t="shared" si="1008"/>
        <v>400</v>
      </c>
      <c r="Z1162" s="581">
        <f t="shared" si="1008"/>
        <v>400</v>
      </c>
      <c r="AA1162" s="581">
        <f t="shared" si="1008"/>
        <v>400</v>
      </c>
      <c r="AB1162" s="581">
        <f t="shared" si="1008"/>
        <v>400</v>
      </c>
      <c r="AC1162" s="581">
        <f t="shared" si="1008"/>
        <v>400</v>
      </c>
      <c r="AD1162" s="581">
        <f t="shared" si="1008"/>
        <v>400</v>
      </c>
      <c r="AE1162" s="581">
        <f t="shared" si="1008"/>
        <v>400</v>
      </c>
      <c r="AF1162" s="581">
        <f t="shared" si="1008"/>
        <v>400</v>
      </c>
      <c r="AG1162" s="738"/>
      <c r="AH1162" s="538"/>
      <c r="AK1162" s="531"/>
      <c r="AM1162" s="594"/>
      <c r="AN1162" s="535"/>
      <c r="AP1162" s="549"/>
      <c r="AQ1162" s="549"/>
    </row>
    <row r="1163" spans="1:43" s="513" customFormat="1" ht="16.5" hidden="1" customHeight="1" outlineLevel="2">
      <c r="A1163" s="584"/>
      <c r="B1163" s="596" t="s">
        <v>805</v>
      </c>
      <c r="C1163" s="716">
        <v>0</v>
      </c>
      <c r="D1163" s="716">
        <v>0</v>
      </c>
      <c r="E1163" s="716">
        <v>0</v>
      </c>
      <c r="F1163" s="716">
        <f>E1163</f>
        <v>0</v>
      </c>
      <c r="G1163" s="721">
        <v>1</v>
      </c>
      <c r="H1163" s="721">
        <f t="shared" ref="H1163:AF1163" si="1009">G1163</f>
        <v>1</v>
      </c>
      <c r="I1163" s="721">
        <f t="shared" si="1009"/>
        <v>1</v>
      </c>
      <c r="J1163" s="721">
        <f t="shared" si="1009"/>
        <v>1</v>
      </c>
      <c r="K1163" s="721">
        <f t="shared" si="1009"/>
        <v>1</v>
      </c>
      <c r="L1163" s="721">
        <f t="shared" si="1009"/>
        <v>1</v>
      </c>
      <c r="M1163" s="721">
        <f t="shared" si="1009"/>
        <v>1</v>
      </c>
      <c r="N1163" s="721">
        <f t="shared" si="1009"/>
        <v>1</v>
      </c>
      <c r="O1163" s="721">
        <f t="shared" si="1009"/>
        <v>1</v>
      </c>
      <c r="P1163" s="721">
        <f t="shared" si="1009"/>
        <v>1</v>
      </c>
      <c r="Q1163" s="721">
        <f t="shared" si="1009"/>
        <v>1</v>
      </c>
      <c r="R1163" s="721">
        <f t="shared" si="1009"/>
        <v>1</v>
      </c>
      <c r="S1163" s="721">
        <f t="shared" si="1009"/>
        <v>1</v>
      </c>
      <c r="T1163" s="721">
        <f t="shared" si="1009"/>
        <v>1</v>
      </c>
      <c r="U1163" s="721">
        <f t="shared" si="1009"/>
        <v>1</v>
      </c>
      <c r="V1163" s="721">
        <f t="shared" si="1009"/>
        <v>1</v>
      </c>
      <c r="W1163" s="721">
        <f t="shared" si="1009"/>
        <v>1</v>
      </c>
      <c r="X1163" s="721">
        <f t="shared" si="1009"/>
        <v>1</v>
      </c>
      <c r="Y1163" s="721">
        <f t="shared" si="1009"/>
        <v>1</v>
      </c>
      <c r="Z1163" s="721">
        <f t="shared" si="1009"/>
        <v>1</v>
      </c>
      <c r="AA1163" s="721">
        <f t="shared" si="1009"/>
        <v>1</v>
      </c>
      <c r="AB1163" s="721">
        <f t="shared" si="1009"/>
        <v>1</v>
      </c>
      <c r="AC1163" s="721">
        <f t="shared" si="1009"/>
        <v>1</v>
      </c>
      <c r="AD1163" s="721">
        <f t="shared" si="1009"/>
        <v>1</v>
      </c>
      <c r="AE1163" s="721">
        <f t="shared" si="1009"/>
        <v>1</v>
      </c>
      <c r="AF1163" s="721">
        <f t="shared" si="1009"/>
        <v>1</v>
      </c>
      <c r="AH1163" s="538"/>
      <c r="AK1163" s="719"/>
      <c r="AM1163" s="594"/>
      <c r="AN1163" s="535"/>
      <c r="AP1163" s="540"/>
      <c r="AQ1163" s="540"/>
    </row>
    <row r="1164" spans="1:43" s="513" customFormat="1" ht="16.5" hidden="1" customHeight="1" outlineLevel="2">
      <c r="A1164" s="584"/>
      <c r="B1164" s="641" t="s">
        <v>972</v>
      </c>
      <c r="C1164" s="642">
        <f>Insumos!$E$180</f>
        <v>400</v>
      </c>
      <c r="D1164" s="642">
        <f>C1164</f>
        <v>400</v>
      </c>
      <c r="E1164" s="642">
        <f t="shared" ref="E1164:AF1164" si="1010">D1164</f>
        <v>400</v>
      </c>
      <c r="F1164" s="642">
        <f t="shared" si="1010"/>
        <v>400</v>
      </c>
      <c r="G1164" s="592">
        <f t="shared" si="1010"/>
        <v>400</v>
      </c>
      <c r="H1164" s="592">
        <f t="shared" si="1010"/>
        <v>400</v>
      </c>
      <c r="I1164" s="592">
        <f t="shared" si="1010"/>
        <v>400</v>
      </c>
      <c r="J1164" s="592">
        <f t="shared" si="1010"/>
        <v>400</v>
      </c>
      <c r="K1164" s="592">
        <f t="shared" si="1010"/>
        <v>400</v>
      </c>
      <c r="L1164" s="592">
        <f t="shared" si="1010"/>
        <v>400</v>
      </c>
      <c r="M1164" s="592">
        <f t="shared" si="1010"/>
        <v>400</v>
      </c>
      <c r="N1164" s="592">
        <f t="shared" si="1010"/>
        <v>400</v>
      </c>
      <c r="O1164" s="592">
        <f t="shared" si="1010"/>
        <v>400</v>
      </c>
      <c r="P1164" s="592">
        <f t="shared" si="1010"/>
        <v>400</v>
      </c>
      <c r="Q1164" s="592">
        <f t="shared" si="1010"/>
        <v>400</v>
      </c>
      <c r="R1164" s="592">
        <f t="shared" si="1010"/>
        <v>400</v>
      </c>
      <c r="S1164" s="592">
        <f t="shared" si="1010"/>
        <v>400</v>
      </c>
      <c r="T1164" s="592">
        <f t="shared" si="1010"/>
        <v>400</v>
      </c>
      <c r="U1164" s="592">
        <f t="shared" si="1010"/>
        <v>400</v>
      </c>
      <c r="V1164" s="592">
        <f t="shared" si="1010"/>
        <v>400</v>
      </c>
      <c r="W1164" s="592">
        <f t="shared" si="1010"/>
        <v>400</v>
      </c>
      <c r="X1164" s="592">
        <f t="shared" si="1010"/>
        <v>400</v>
      </c>
      <c r="Y1164" s="592">
        <f t="shared" si="1010"/>
        <v>400</v>
      </c>
      <c r="Z1164" s="592">
        <f t="shared" si="1010"/>
        <v>400</v>
      </c>
      <c r="AA1164" s="592">
        <f t="shared" si="1010"/>
        <v>400</v>
      </c>
      <c r="AB1164" s="592">
        <f t="shared" si="1010"/>
        <v>400</v>
      </c>
      <c r="AC1164" s="592">
        <f t="shared" si="1010"/>
        <v>400</v>
      </c>
      <c r="AD1164" s="592">
        <f t="shared" si="1010"/>
        <v>400</v>
      </c>
      <c r="AE1164" s="592">
        <f t="shared" si="1010"/>
        <v>400</v>
      </c>
      <c r="AF1164" s="592">
        <f t="shared" si="1010"/>
        <v>400</v>
      </c>
      <c r="AH1164" s="538"/>
      <c r="AK1164" s="531"/>
      <c r="AM1164" s="594"/>
      <c r="AN1164" s="535"/>
      <c r="AP1164" s="540"/>
      <c r="AQ1164" s="540"/>
    </row>
    <row r="1165" spans="1:43" s="564" customFormat="1" ht="16.5" hidden="1" customHeight="1" outlineLevel="2">
      <c r="A1165" s="584"/>
      <c r="B1165" s="650" t="s">
        <v>858</v>
      </c>
      <c r="C1165" s="653">
        <f>C1166+C1169</f>
        <v>0</v>
      </c>
      <c r="D1165" s="653">
        <f t="shared" ref="D1165:AF1165" si="1011">D1166+D1169</f>
        <v>0</v>
      </c>
      <c r="E1165" s="653">
        <f t="shared" si="1011"/>
        <v>0</v>
      </c>
      <c r="F1165" s="653">
        <f t="shared" si="1011"/>
        <v>0</v>
      </c>
      <c r="G1165" s="653">
        <f>G1166+G1169</f>
        <v>0</v>
      </c>
      <c r="H1165" s="653">
        <f t="shared" si="1011"/>
        <v>0</v>
      </c>
      <c r="I1165" s="653">
        <f>I1166+I1169</f>
        <v>86700.078020178014</v>
      </c>
      <c r="J1165" s="653">
        <f t="shared" si="1011"/>
        <v>86700.078020178014</v>
      </c>
      <c r="K1165" s="653">
        <f t="shared" si="1011"/>
        <v>86700.078020178014</v>
      </c>
      <c r="L1165" s="653">
        <f t="shared" si="1011"/>
        <v>86700.078020178014</v>
      </c>
      <c r="M1165" s="653">
        <f t="shared" si="1011"/>
        <v>86700.078020178014</v>
      </c>
      <c r="N1165" s="653">
        <f t="shared" si="1011"/>
        <v>86700.078020178014</v>
      </c>
      <c r="O1165" s="653">
        <f t="shared" si="1011"/>
        <v>86700.078020178014</v>
      </c>
      <c r="P1165" s="653">
        <f t="shared" si="1011"/>
        <v>86700.078020178014</v>
      </c>
      <c r="Q1165" s="653">
        <f t="shared" si="1011"/>
        <v>86700.078020178014</v>
      </c>
      <c r="R1165" s="653">
        <f t="shared" si="1011"/>
        <v>86700.078020178014</v>
      </c>
      <c r="S1165" s="653">
        <f t="shared" si="1011"/>
        <v>86700.078020178014</v>
      </c>
      <c r="T1165" s="653">
        <f t="shared" si="1011"/>
        <v>86700.078020178014</v>
      </c>
      <c r="U1165" s="653">
        <f t="shared" si="1011"/>
        <v>86700.078020178014</v>
      </c>
      <c r="V1165" s="653">
        <f t="shared" si="1011"/>
        <v>86700.078020178014</v>
      </c>
      <c r="W1165" s="653">
        <f t="shared" si="1011"/>
        <v>86700.078020178014</v>
      </c>
      <c r="X1165" s="653">
        <f t="shared" si="1011"/>
        <v>86700.078020178014</v>
      </c>
      <c r="Y1165" s="653">
        <f t="shared" si="1011"/>
        <v>86700.078020178014</v>
      </c>
      <c r="Z1165" s="653">
        <f t="shared" si="1011"/>
        <v>86700.078020178014</v>
      </c>
      <c r="AA1165" s="653">
        <f t="shared" si="1011"/>
        <v>86700.078020178014</v>
      </c>
      <c r="AB1165" s="653">
        <f t="shared" si="1011"/>
        <v>86700.078020178014</v>
      </c>
      <c r="AC1165" s="653">
        <f t="shared" si="1011"/>
        <v>86700.078020178014</v>
      </c>
      <c r="AD1165" s="653">
        <f t="shared" si="1011"/>
        <v>86700.078020178014</v>
      </c>
      <c r="AE1165" s="653">
        <f t="shared" si="1011"/>
        <v>86700.078020178014</v>
      </c>
      <c r="AF1165" s="653">
        <f t="shared" si="1011"/>
        <v>86700.078020178014</v>
      </c>
      <c r="AG1165" s="627"/>
      <c r="AH1165" s="538"/>
      <c r="AJ1165" s="579"/>
      <c r="AK1165" s="531"/>
      <c r="AM1165" s="594"/>
      <c r="AN1165" s="535"/>
      <c r="AP1165" s="568"/>
      <c r="AQ1165" s="568"/>
    </row>
    <row r="1166" spans="1:43" s="546" customFormat="1" ht="14.4" hidden="1" outlineLevel="2">
      <c r="A1166" s="584"/>
      <c r="B1166" s="722" t="s">
        <v>1002</v>
      </c>
      <c r="C1166" s="583">
        <f>C1167*C1168</f>
        <v>0</v>
      </c>
      <c r="D1166" s="583">
        <f t="shared" ref="D1166" si="1012">D1167*D1168</f>
        <v>0</v>
      </c>
      <c r="E1166" s="583">
        <f>E1167*E1168</f>
        <v>0</v>
      </c>
      <c r="F1166" s="583">
        <f t="shared" ref="F1166:AF1166" si="1013">F1167*F1168</f>
        <v>0</v>
      </c>
      <c r="G1166" s="581">
        <f>G1167*G1168</f>
        <v>0</v>
      </c>
      <c r="H1166" s="581">
        <f t="shared" si="1013"/>
        <v>0</v>
      </c>
      <c r="I1166" s="581">
        <f t="shared" si="1013"/>
        <v>86389.72784017802</v>
      </c>
      <c r="J1166" s="581">
        <f t="shared" si="1013"/>
        <v>86389.72784017802</v>
      </c>
      <c r="K1166" s="581">
        <f t="shared" si="1013"/>
        <v>86389.72784017802</v>
      </c>
      <c r="L1166" s="581">
        <f t="shared" si="1013"/>
        <v>86389.72784017802</v>
      </c>
      <c r="M1166" s="581">
        <f t="shared" si="1013"/>
        <v>86389.72784017802</v>
      </c>
      <c r="N1166" s="581">
        <f t="shared" si="1013"/>
        <v>86389.72784017802</v>
      </c>
      <c r="O1166" s="581">
        <f t="shared" si="1013"/>
        <v>86389.72784017802</v>
      </c>
      <c r="P1166" s="581">
        <f t="shared" si="1013"/>
        <v>86389.72784017802</v>
      </c>
      <c r="Q1166" s="581">
        <f t="shared" si="1013"/>
        <v>86389.72784017802</v>
      </c>
      <c r="R1166" s="581">
        <f t="shared" si="1013"/>
        <v>86389.72784017802</v>
      </c>
      <c r="S1166" s="581">
        <f t="shared" si="1013"/>
        <v>86389.72784017802</v>
      </c>
      <c r="T1166" s="581">
        <f t="shared" si="1013"/>
        <v>86389.72784017802</v>
      </c>
      <c r="U1166" s="581">
        <f t="shared" si="1013"/>
        <v>86389.72784017802</v>
      </c>
      <c r="V1166" s="581">
        <f t="shared" si="1013"/>
        <v>86389.72784017802</v>
      </c>
      <c r="W1166" s="581">
        <f t="shared" si="1013"/>
        <v>86389.72784017802</v>
      </c>
      <c r="X1166" s="581">
        <f t="shared" si="1013"/>
        <v>86389.72784017802</v>
      </c>
      <c r="Y1166" s="581">
        <f t="shared" si="1013"/>
        <v>86389.72784017802</v>
      </c>
      <c r="Z1166" s="581">
        <f t="shared" si="1013"/>
        <v>86389.72784017802</v>
      </c>
      <c r="AA1166" s="581">
        <f t="shared" si="1013"/>
        <v>86389.72784017802</v>
      </c>
      <c r="AB1166" s="581">
        <f t="shared" si="1013"/>
        <v>86389.72784017802</v>
      </c>
      <c r="AC1166" s="581">
        <f t="shared" si="1013"/>
        <v>86389.72784017802</v>
      </c>
      <c r="AD1166" s="581">
        <f t="shared" si="1013"/>
        <v>86389.72784017802</v>
      </c>
      <c r="AE1166" s="581">
        <f t="shared" si="1013"/>
        <v>86389.72784017802</v>
      </c>
      <c r="AF1166" s="581">
        <f t="shared" si="1013"/>
        <v>86389.72784017802</v>
      </c>
      <c r="AG1166" s="738"/>
      <c r="AH1166" s="538"/>
      <c r="AK1166" s="531"/>
      <c r="AM1166" s="594"/>
      <c r="AN1166" s="535"/>
      <c r="AP1166" s="549"/>
      <c r="AQ1166" s="549"/>
    </row>
    <row r="1167" spans="1:43" s="513" customFormat="1" ht="16.5" hidden="1" customHeight="1" outlineLevel="2">
      <c r="A1167" s="584"/>
      <c r="B1167" s="596" t="s">
        <v>805</v>
      </c>
      <c r="C1167" s="716">
        <v>0</v>
      </c>
      <c r="D1167" s="716">
        <v>0</v>
      </c>
      <c r="E1167" s="716">
        <v>0</v>
      </c>
      <c r="F1167" s="716">
        <v>0</v>
      </c>
      <c r="G1167" s="721">
        <v>0</v>
      </c>
      <c r="H1167" s="721">
        <v>0</v>
      </c>
      <c r="I1167" s="721">
        <v>1</v>
      </c>
      <c r="J1167" s="721">
        <v>1</v>
      </c>
      <c r="K1167" s="721">
        <v>1</v>
      </c>
      <c r="L1167" s="721">
        <v>1</v>
      </c>
      <c r="M1167" s="721">
        <v>1</v>
      </c>
      <c r="N1167" s="721">
        <v>1</v>
      </c>
      <c r="O1167" s="721">
        <v>1</v>
      </c>
      <c r="P1167" s="721">
        <v>1</v>
      </c>
      <c r="Q1167" s="721">
        <v>1</v>
      </c>
      <c r="R1167" s="721">
        <v>1</v>
      </c>
      <c r="S1167" s="721">
        <v>1</v>
      </c>
      <c r="T1167" s="721">
        <v>1</v>
      </c>
      <c r="U1167" s="721">
        <v>1</v>
      </c>
      <c r="V1167" s="721">
        <v>1</v>
      </c>
      <c r="W1167" s="721">
        <v>1</v>
      </c>
      <c r="X1167" s="721">
        <v>1</v>
      </c>
      <c r="Y1167" s="721">
        <v>1</v>
      </c>
      <c r="Z1167" s="721">
        <v>1</v>
      </c>
      <c r="AA1167" s="721">
        <v>1</v>
      </c>
      <c r="AB1167" s="721">
        <v>1</v>
      </c>
      <c r="AC1167" s="721">
        <v>1</v>
      </c>
      <c r="AD1167" s="721">
        <v>1</v>
      </c>
      <c r="AE1167" s="721">
        <v>1</v>
      </c>
      <c r="AF1167" s="721">
        <v>1</v>
      </c>
      <c r="AH1167" s="538"/>
      <c r="AK1167" s="719"/>
      <c r="AM1167" s="594"/>
      <c r="AN1167" s="535"/>
      <c r="AP1167" s="540"/>
      <c r="AQ1167" s="540"/>
    </row>
    <row r="1168" spans="1:43" s="513" customFormat="1" ht="16.5" hidden="1" customHeight="1" outlineLevel="2">
      <c r="A1168" s="584"/>
      <c r="B1168" s="641" t="s">
        <v>972</v>
      </c>
      <c r="C1168" s="642">
        <f>Insumos!$E$191</f>
        <v>86389.72784017802</v>
      </c>
      <c r="D1168" s="642">
        <f>C1168</f>
        <v>86389.72784017802</v>
      </c>
      <c r="E1168" s="642">
        <f t="shared" ref="E1168:AF1168" si="1014">D1168</f>
        <v>86389.72784017802</v>
      </c>
      <c r="F1168" s="642">
        <f t="shared" si="1014"/>
        <v>86389.72784017802</v>
      </c>
      <c r="G1168" s="592">
        <f t="shared" si="1014"/>
        <v>86389.72784017802</v>
      </c>
      <c r="H1168" s="592">
        <f t="shared" si="1014"/>
        <v>86389.72784017802</v>
      </c>
      <c r="I1168" s="592">
        <f t="shared" si="1014"/>
        <v>86389.72784017802</v>
      </c>
      <c r="J1168" s="592">
        <f t="shared" si="1014"/>
        <v>86389.72784017802</v>
      </c>
      <c r="K1168" s="592">
        <f t="shared" si="1014"/>
        <v>86389.72784017802</v>
      </c>
      <c r="L1168" s="592">
        <f t="shared" si="1014"/>
        <v>86389.72784017802</v>
      </c>
      <c r="M1168" s="592">
        <f t="shared" si="1014"/>
        <v>86389.72784017802</v>
      </c>
      <c r="N1168" s="592">
        <f t="shared" si="1014"/>
        <v>86389.72784017802</v>
      </c>
      <c r="O1168" s="592">
        <f t="shared" si="1014"/>
        <v>86389.72784017802</v>
      </c>
      <c r="P1168" s="592">
        <f t="shared" si="1014"/>
        <v>86389.72784017802</v>
      </c>
      <c r="Q1168" s="592">
        <f t="shared" si="1014"/>
        <v>86389.72784017802</v>
      </c>
      <c r="R1168" s="592">
        <f t="shared" si="1014"/>
        <v>86389.72784017802</v>
      </c>
      <c r="S1168" s="592">
        <f t="shared" si="1014"/>
        <v>86389.72784017802</v>
      </c>
      <c r="T1168" s="592">
        <f t="shared" si="1014"/>
        <v>86389.72784017802</v>
      </c>
      <c r="U1168" s="592">
        <f t="shared" si="1014"/>
        <v>86389.72784017802</v>
      </c>
      <c r="V1168" s="592">
        <f t="shared" si="1014"/>
        <v>86389.72784017802</v>
      </c>
      <c r="W1168" s="592">
        <f t="shared" si="1014"/>
        <v>86389.72784017802</v>
      </c>
      <c r="X1168" s="592">
        <f t="shared" si="1014"/>
        <v>86389.72784017802</v>
      </c>
      <c r="Y1168" s="592">
        <f t="shared" si="1014"/>
        <v>86389.72784017802</v>
      </c>
      <c r="Z1168" s="592">
        <f t="shared" si="1014"/>
        <v>86389.72784017802</v>
      </c>
      <c r="AA1168" s="592">
        <f t="shared" si="1014"/>
        <v>86389.72784017802</v>
      </c>
      <c r="AB1168" s="592">
        <f t="shared" si="1014"/>
        <v>86389.72784017802</v>
      </c>
      <c r="AC1168" s="592">
        <f t="shared" si="1014"/>
        <v>86389.72784017802</v>
      </c>
      <c r="AD1168" s="592">
        <f t="shared" si="1014"/>
        <v>86389.72784017802</v>
      </c>
      <c r="AE1168" s="592">
        <f t="shared" si="1014"/>
        <v>86389.72784017802</v>
      </c>
      <c r="AF1168" s="592">
        <f t="shared" si="1014"/>
        <v>86389.72784017802</v>
      </c>
      <c r="AH1168" s="538"/>
      <c r="AK1168" s="531"/>
      <c r="AM1168" s="594"/>
      <c r="AN1168" s="535"/>
      <c r="AP1168" s="540"/>
      <c r="AQ1168" s="540"/>
    </row>
    <row r="1169" spans="1:43" s="546" customFormat="1" ht="16.5" hidden="1" customHeight="1" outlineLevel="2">
      <c r="A1169" s="584"/>
      <c r="B1169" s="722" t="s">
        <v>1003</v>
      </c>
      <c r="C1169" s="583">
        <f>C1170*C1171</f>
        <v>0</v>
      </c>
      <c r="D1169" s="583">
        <f t="shared" ref="D1169" si="1015">D1170*D1171</f>
        <v>0</v>
      </c>
      <c r="E1169" s="583">
        <f>E1170*E1171</f>
        <v>0</v>
      </c>
      <c r="F1169" s="583">
        <f t="shared" ref="F1169:AF1169" si="1016">F1170*F1171</f>
        <v>0</v>
      </c>
      <c r="G1169" s="581">
        <f t="shared" si="1016"/>
        <v>0</v>
      </c>
      <c r="H1169" s="581">
        <f t="shared" si="1016"/>
        <v>0</v>
      </c>
      <c r="I1169" s="581">
        <f t="shared" si="1016"/>
        <v>310.35018000000002</v>
      </c>
      <c r="J1169" s="581">
        <f t="shared" si="1016"/>
        <v>310.35018000000002</v>
      </c>
      <c r="K1169" s="581">
        <f t="shared" si="1016"/>
        <v>310.35018000000002</v>
      </c>
      <c r="L1169" s="581">
        <f t="shared" si="1016"/>
        <v>310.35018000000002</v>
      </c>
      <c r="M1169" s="581">
        <f t="shared" si="1016"/>
        <v>310.35018000000002</v>
      </c>
      <c r="N1169" s="581">
        <f t="shared" si="1016"/>
        <v>310.35018000000002</v>
      </c>
      <c r="O1169" s="581">
        <f t="shared" si="1016"/>
        <v>310.35018000000002</v>
      </c>
      <c r="P1169" s="581">
        <f t="shared" si="1016"/>
        <v>310.35018000000002</v>
      </c>
      <c r="Q1169" s="581">
        <f t="shared" si="1016"/>
        <v>310.35018000000002</v>
      </c>
      <c r="R1169" s="581">
        <f t="shared" si="1016"/>
        <v>310.35018000000002</v>
      </c>
      <c r="S1169" s="581">
        <f t="shared" si="1016"/>
        <v>310.35018000000002</v>
      </c>
      <c r="T1169" s="581">
        <f t="shared" si="1016"/>
        <v>310.35018000000002</v>
      </c>
      <c r="U1169" s="581">
        <f t="shared" si="1016"/>
        <v>310.35018000000002</v>
      </c>
      <c r="V1169" s="581">
        <f t="shared" si="1016"/>
        <v>310.35018000000002</v>
      </c>
      <c r="W1169" s="581">
        <f t="shared" si="1016"/>
        <v>310.35018000000002</v>
      </c>
      <c r="X1169" s="581">
        <f t="shared" si="1016"/>
        <v>310.35018000000002</v>
      </c>
      <c r="Y1169" s="581">
        <f t="shared" si="1016"/>
        <v>310.35018000000002</v>
      </c>
      <c r="Z1169" s="581">
        <f t="shared" si="1016"/>
        <v>310.35018000000002</v>
      </c>
      <c r="AA1169" s="581">
        <f t="shared" si="1016"/>
        <v>310.35018000000002</v>
      </c>
      <c r="AB1169" s="581">
        <f t="shared" si="1016"/>
        <v>310.35018000000002</v>
      </c>
      <c r="AC1169" s="581">
        <f t="shared" si="1016"/>
        <v>310.35018000000002</v>
      </c>
      <c r="AD1169" s="581">
        <f t="shared" si="1016"/>
        <v>310.35018000000002</v>
      </c>
      <c r="AE1169" s="581">
        <f t="shared" si="1016"/>
        <v>310.35018000000002</v>
      </c>
      <c r="AF1169" s="581">
        <f t="shared" si="1016"/>
        <v>310.35018000000002</v>
      </c>
      <c r="AG1169" s="738"/>
      <c r="AH1169" s="538"/>
      <c r="AK1169" s="531"/>
      <c r="AM1169" s="594"/>
      <c r="AN1169" s="535"/>
      <c r="AP1169" s="549"/>
      <c r="AQ1169" s="549"/>
    </row>
    <row r="1170" spans="1:43" s="513" customFormat="1" ht="16.5" hidden="1" customHeight="1" outlineLevel="2">
      <c r="A1170" s="584"/>
      <c r="B1170" s="596" t="s">
        <v>805</v>
      </c>
      <c r="C1170" s="716">
        <v>0</v>
      </c>
      <c r="D1170" s="716">
        <v>0</v>
      </c>
      <c r="E1170" s="716">
        <v>0</v>
      </c>
      <c r="F1170" s="716">
        <v>0</v>
      </c>
      <c r="G1170" s="721">
        <v>0</v>
      </c>
      <c r="H1170" s="721">
        <v>0</v>
      </c>
      <c r="I1170" s="721">
        <v>1</v>
      </c>
      <c r="J1170" s="721">
        <v>1</v>
      </c>
      <c r="K1170" s="721">
        <v>1</v>
      </c>
      <c r="L1170" s="721">
        <v>1</v>
      </c>
      <c r="M1170" s="721">
        <v>1</v>
      </c>
      <c r="N1170" s="721">
        <v>1</v>
      </c>
      <c r="O1170" s="721">
        <v>1</v>
      </c>
      <c r="P1170" s="721">
        <v>1</v>
      </c>
      <c r="Q1170" s="721">
        <v>1</v>
      </c>
      <c r="R1170" s="721">
        <v>1</v>
      </c>
      <c r="S1170" s="721">
        <v>1</v>
      </c>
      <c r="T1170" s="721">
        <v>1</v>
      </c>
      <c r="U1170" s="721">
        <v>1</v>
      </c>
      <c r="V1170" s="721">
        <v>1</v>
      </c>
      <c r="W1170" s="721">
        <v>1</v>
      </c>
      <c r="X1170" s="721">
        <v>1</v>
      </c>
      <c r="Y1170" s="721">
        <v>1</v>
      </c>
      <c r="Z1170" s="721">
        <v>1</v>
      </c>
      <c r="AA1170" s="721">
        <v>1</v>
      </c>
      <c r="AB1170" s="721">
        <v>1</v>
      </c>
      <c r="AC1170" s="721">
        <v>1</v>
      </c>
      <c r="AD1170" s="721">
        <v>1</v>
      </c>
      <c r="AE1170" s="721">
        <v>1</v>
      </c>
      <c r="AF1170" s="721">
        <v>1</v>
      </c>
      <c r="AH1170" s="538"/>
      <c r="AK1170" s="719"/>
      <c r="AM1170" s="594"/>
      <c r="AN1170" s="535"/>
      <c r="AP1170" s="540"/>
      <c r="AQ1170" s="540"/>
    </row>
    <row r="1171" spans="1:43" s="513" customFormat="1" ht="16.5" hidden="1" customHeight="1" outlineLevel="2">
      <c r="A1171" s="584"/>
      <c r="B1171" s="641" t="s">
        <v>972</v>
      </c>
      <c r="C1171" s="642">
        <f>Insumos!$E$192</f>
        <v>310.35018000000002</v>
      </c>
      <c r="D1171" s="642">
        <f>C1171</f>
        <v>310.35018000000002</v>
      </c>
      <c r="E1171" s="642">
        <f t="shared" ref="E1171:AF1171" si="1017">D1171</f>
        <v>310.35018000000002</v>
      </c>
      <c r="F1171" s="642">
        <f t="shared" si="1017"/>
        <v>310.35018000000002</v>
      </c>
      <c r="G1171" s="592">
        <f t="shared" si="1017"/>
        <v>310.35018000000002</v>
      </c>
      <c r="H1171" s="592">
        <f t="shared" si="1017"/>
        <v>310.35018000000002</v>
      </c>
      <c r="I1171" s="592">
        <f t="shared" si="1017"/>
        <v>310.35018000000002</v>
      </c>
      <c r="J1171" s="592">
        <f t="shared" si="1017"/>
        <v>310.35018000000002</v>
      </c>
      <c r="K1171" s="592">
        <f t="shared" si="1017"/>
        <v>310.35018000000002</v>
      </c>
      <c r="L1171" s="592">
        <f t="shared" si="1017"/>
        <v>310.35018000000002</v>
      </c>
      <c r="M1171" s="592">
        <f t="shared" si="1017"/>
        <v>310.35018000000002</v>
      </c>
      <c r="N1171" s="592">
        <f t="shared" si="1017"/>
        <v>310.35018000000002</v>
      </c>
      <c r="O1171" s="592">
        <f t="shared" si="1017"/>
        <v>310.35018000000002</v>
      </c>
      <c r="P1171" s="592">
        <f t="shared" si="1017"/>
        <v>310.35018000000002</v>
      </c>
      <c r="Q1171" s="592">
        <f t="shared" si="1017"/>
        <v>310.35018000000002</v>
      </c>
      <c r="R1171" s="592">
        <f t="shared" si="1017"/>
        <v>310.35018000000002</v>
      </c>
      <c r="S1171" s="592">
        <f t="shared" si="1017"/>
        <v>310.35018000000002</v>
      </c>
      <c r="T1171" s="592">
        <f t="shared" si="1017"/>
        <v>310.35018000000002</v>
      </c>
      <c r="U1171" s="592">
        <f t="shared" si="1017"/>
        <v>310.35018000000002</v>
      </c>
      <c r="V1171" s="592">
        <f t="shared" si="1017"/>
        <v>310.35018000000002</v>
      </c>
      <c r="W1171" s="592">
        <f t="shared" si="1017"/>
        <v>310.35018000000002</v>
      </c>
      <c r="X1171" s="592">
        <f t="shared" si="1017"/>
        <v>310.35018000000002</v>
      </c>
      <c r="Y1171" s="592">
        <f t="shared" si="1017"/>
        <v>310.35018000000002</v>
      </c>
      <c r="Z1171" s="592">
        <f t="shared" si="1017"/>
        <v>310.35018000000002</v>
      </c>
      <c r="AA1171" s="592">
        <f t="shared" si="1017"/>
        <v>310.35018000000002</v>
      </c>
      <c r="AB1171" s="592">
        <f t="shared" si="1017"/>
        <v>310.35018000000002</v>
      </c>
      <c r="AC1171" s="592">
        <f t="shared" si="1017"/>
        <v>310.35018000000002</v>
      </c>
      <c r="AD1171" s="592">
        <f t="shared" si="1017"/>
        <v>310.35018000000002</v>
      </c>
      <c r="AE1171" s="592">
        <f t="shared" si="1017"/>
        <v>310.35018000000002</v>
      </c>
      <c r="AF1171" s="592">
        <f t="shared" si="1017"/>
        <v>310.35018000000002</v>
      </c>
      <c r="AH1171" s="538"/>
      <c r="AK1171" s="531"/>
      <c r="AM1171" s="594"/>
      <c r="AN1171" s="535"/>
      <c r="AP1171" s="540"/>
      <c r="AQ1171" s="540"/>
    </row>
    <row r="1172" spans="1:43" s="564" customFormat="1" ht="16.5" hidden="1" customHeight="1" outlineLevel="1" collapsed="1">
      <c r="A1172" s="584"/>
      <c r="B1172" s="576" t="s">
        <v>1004</v>
      </c>
      <c r="C1172" s="577">
        <f t="shared" ref="C1172:AF1172" si="1018">(C1173+C1179+C1183)*12/10^3</f>
        <v>3727.0533009626115</v>
      </c>
      <c r="D1172" s="577">
        <f>(D1173+D1179+D1183)*12/10^3</f>
        <v>3770.237920308733</v>
      </c>
      <c r="E1172" s="577">
        <f t="shared" si="1018"/>
        <v>3813.5801069189042</v>
      </c>
      <c r="F1172" s="577">
        <f t="shared" si="1018"/>
        <v>3856.97455615131</v>
      </c>
      <c r="G1172" s="577">
        <f t="shared" si="1018"/>
        <v>3900.4830819064814</v>
      </c>
      <c r="H1172" s="577">
        <f t="shared" si="1018"/>
        <v>3944.1122642663167</v>
      </c>
      <c r="I1172" s="577">
        <f t="shared" si="1018"/>
        <v>2321.7095648957256</v>
      </c>
      <c r="J1172" s="577">
        <f t="shared" si="1018"/>
        <v>1505.3809213166353</v>
      </c>
      <c r="K1172" s="577">
        <f t="shared" si="1018"/>
        <v>1521.2213569552064</v>
      </c>
      <c r="L1172" s="577">
        <f t="shared" si="1018"/>
        <v>1537.0617925937781</v>
      </c>
      <c r="M1172" s="577">
        <f t="shared" si="1018"/>
        <v>1552.916160439197</v>
      </c>
      <c r="N1172" s="577">
        <f t="shared" si="1018"/>
        <v>1568.7565960777679</v>
      </c>
      <c r="O1172" s="577">
        <f t="shared" si="1018"/>
        <v>1584.5970317163392</v>
      </c>
      <c r="P1172" s="577">
        <f t="shared" si="1018"/>
        <v>1600.4374673549105</v>
      </c>
      <c r="Q1172" s="577">
        <f t="shared" si="1018"/>
        <v>1616.2918352003294</v>
      </c>
      <c r="R1172" s="577">
        <f t="shared" si="1018"/>
        <v>1632.1322708389009</v>
      </c>
      <c r="S1172" s="577">
        <f t="shared" si="1018"/>
        <v>1647.972706477472</v>
      </c>
      <c r="T1172" s="577">
        <f t="shared" si="1018"/>
        <v>1663.8131421160433</v>
      </c>
      <c r="U1172" s="577">
        <f t="shared" si="1018"/>
        <v>1679.6675099614627</v>
      </c>
      <c r="V1172" s="577">
        <f t="shared" si="1018"/>
        <v>1695.5079456000337</v>
      </c>
      <c r="W1172" s="577">
        <f t="shared" si="1018"/>
        <v>1711.3483812386048</v>
      </c>
      <c r="X1172" s="577">
        <f t="shared" si="1018"/>
        <v>1727.1888168771757</v>
      </c>
      <c r="Y1172" s="577">
        <f t="shared" si="1018"/>
        <v>1743.043184722595</v>
      </c>
      <c r="Z1172" s="577">
        <f t="shared" si="1018"/>
        <v>1758.8836203611661</v>
      </c>
      <c r="AA1172" s="577">
        <f t="shared" si="1018"/>
        <v>1774.7240559997372</v>
      </c>
      <c r="AB1172" s="577">
        <f t="shared" si="1018"/>
        <v>1790.5644916383089</v>
      </c>
      <c r="AC1172" s="577">
        <f t="shared" si="1018"/>
        <v>1806.4188594837283</v>
      </c>
      <c r="AD1172" s="577">
        <f t="shared" si="1018"/>
        <v>1822.2592951222989</v>
      </c>
      <c r="AE1172" s="577">
        <f t="shared" si="1018"/>
        <v>1838.09973076087</v>
      </c>
      <c r="AF1172" s="577">
        <f t="shared" si="1018"/>
        <v>1853.9401663994413</v>
      </c>
      <c r="AH1172" s="578">
        <f>SUM(C1172:AF1172)</f>
        <v>63966.378134662074</v>
      </c>
      <c r="AJ1172" s="579"/>
      <c r="AK1172" s="531"/>
      <c r="AM1172" s="594"/>
      <c r="AN1172" s="535"/>
      <c r="AP1172" s="568"/>
      <c r="AQ1172" s="568"/>
    </row>
    <row r="1173" spans="1:43" s="586" customFormat="1" ht="15.75" hidden="1" customHeight="1" outlineLevel="2">
      <c r="A1173" s="584"/>
      <c r="B1173" s="723" t="s">
        <v>1005</v>
      </c>
      <c r="C1173" s="622">
        <f>C1174</f>
        <v>259387.15992800807</v>
      </c>
      <c r="D1173" s="622">
        <f t="shared" ref="D1173:AF1173" si="1019">D1174</f>
        <v>262389.155642492</v>
      </c>
      <c r="E1173" s="622">
        <f t="shared" si="1019"/>
        <v>265404.28196231334</v>
      </c>
      <c r="F1173" s="622">
        <f t="shared" si="1019"/>
        <v>268423.76350065431</v>
      </c>
      <c r="G1173" s="622">
        <f>G1174</f>
        <v>271452.75141589233</v>
      </c>
      <c r="H1173" s="622">
        <f t="shared" si="1019"/>
        <v>274491.79404818575</v>
      </c>
      <c r="I1173" s="622">
        <f t="shared" si="1019"/>
        <v>138694.84653627695</v>
      </c>
      <c r="J1173" s="622">
        <f t="shared" si="1019"/>
        <v>70070.737006993193</v>
      </c>
      <c r="K1173" s="622">
        <f t="shared" si="1019"/>
        <v>70794.050745847926</v>
      </c>
      <c r="L1173" s="622">
        <f t="shared" si="1019"/>
        <v>71517.364484702644</v>
      </c>
      <c r="M1173" s="622">
        <f t="shared" si="1019"/>
        <v>72241.839240794696</v>
      </c>
      <c r="N1173" s="622">
        <f t="shared" si="1019"/>
        <v>72965.1529796494</v>
      </c>
      <c r="O1173" s="622">
        <f t="shared" si="1019"/>
        <v>73688.466718504133</v>
      </c>
      <c r="P1173" s="622">
        <f t="shared" si="1019"/>
        <v>74411.780457358836</v>
      </c>
      <c r="Q1173" s="622">
        <f t="shared" si="1019"/>
        <v>75136.255213450873</v>
      </c>
      <c r="R1173" s="622">
        <f t="shared" si="1019"/>
        <v>75859.568952305606</v>
      </c>
      <c r="S1173" s="622">
        <f t="shared" si="1019"/>
        <v>76582.88269116031</v>
      </c>
      <c r="T1173" s="622">
        <f t="shared" si="1019"/>
        <v>77306.196430015028</v>
      </c>
      <c r="U1173" s="622">
        <f t="shared" si="1019"/>
        <v>78030.67118610708</v>
      </c>
      <c r="V1173" s="622">
        <f t="shared" si="1019"/>
        <v>78753.984924961784</v>
      </c>
      <c r="W1173" s="622">
        <f t="shared" si="1019"/>
        <v>79477.298663816502</v>
      </c>
      <c r="X1173" s="622">
        <f t="shared" si="1019"/>
        <v>80200.612402671206</v>
      </c>
      <c r="Y1173" s="622">
        <f t="shared" si="1019"/>
        <v>80925.087158763257</v>
      </c>
      <c r="Z1173" s="622">
        <f t="shared" si="1019"/>
        <v>81648.400897617976</v>
      </c>
      <c r="AA1173" s="622">
        <f t="shared" si="1019"/>
        <v>82371.714636472694</v>
      </c>
      <c r="AB1173" s="622">
        <f t="shared" si="1019"/>
        <v>83095.028375327427</v>
      </c>
      <c r="AC1173" s="622">
        <f t="shared" si="1019"/>
        <v>83819.503131419478</v>
      </c>
      <c r="AD1173" s="622">
        <f t="shared" si="1019"/>
        <v>84542.816870274182</v>
      </c>
      <c r="AE1173" s="622">
        <f t="shared" si="1019"/>
        <v>85266.130609128901</v>
      </c>
      <c r="AF1173" s="622">
        <f t="shared" si="1019"/>
        <v>85989.444347983605</v>
      </c>
      <c r="AH1173" s="587"/>
      <c r="AK1173" s="588"/>
      <c r="AM1173" s="624"/>
      <c r="AN1173" s="590"/>
      <c r="AP1173" s="591"/>
      <c r="AQ1173" s="591"/>
    </row>
    <row r="1174" spans="1:43" s="634" customFormat="1" ht="16.5" hidden="1" customHeight="1" outlineLevel="2">
      <c r="A1174" s="584"/>
      <c r="B1174" s="655" t="s">
        <v>1006</v>
      </c>
      <c r="C1174" s="583">
        <f>(C1177*C1178)</f>
        <v>259387.15992800807</v>
      </c>
      <c r="D1174" s="583">
        <f>(D1177*D1178)</f>
        <v>262389.155642492</v>
      </c>
      <c r="E1174" s="583">
        <f t="shared" ref="E1174:AF1174" si="1020">(E1177*E1178)</f>
        <v>265404.28196231334</v>
      </c>
      <c r="F1174" s="583">
        <f t="shared" si="1020"/>
        <v>268423.76350065431</v>
      </c>
      <c r="G1174" s="583">
        <f t="shared" si="1020"/>
        <v>271452.75141589233</v>
      </c>
      <c r="H1174" s="583">
        <f t="shared" si="1020"/>
        <v>274491.79404818575</v>
      </c>
      <c r="I1174" s="583">
        <f t="shared" si="1020"/>
        <v>138694.84653627695</v>
      </c>
      <c r="J1174" s="583">
        <f t="shared" si="1020"/>
        <v>70070.737006993193</v>
      </c>
      <c r="K1174" s="583">
        <f t="shared" si="1020"/>
        <v>70794.050745847926</v>
      </c>
      <c r="L1174" s="583">
        <f t="shared" si="1020"/>
        <v>71517.364484702644</v>
      </c>
      <c r="M1174" s="583">
        <f t="shared" si="1020"/>
        <v>72241.839240794696</v>
      </c>
      <c r="N1174" s="583">
        <f t="shared" si="1020"/>
        <v>72965.1529796494</v>
      </c>
      <c r="O1174" s="583">
        <f t="shared" si="1020"/>
        <v>73688.466718504133</v>
      </c>
      <c r="P1174" s="583">
        <f t="shared" si="1020"/>
        <v>74411.780457358836</v>
      </c>
      <c r="Q1174" s="583">
        <f t="shared" si="1020"/>
        <v>75136.255213450873</v>
      </c>
      <c r="R1174" s="583">
        <f t="shared" si="1020"/>
        <v>75859.568952305606</v>
      </c>
      <c r="S1174" s="583">
        <f t="shared" si="1020"/>
        <v>76582.88269116031</v>
      </c>
      <c r="T1174" s="583">
        <f t="shared" si="1020"/>
        <v>77306.196430015028</v>
      </c>
      <c r="U1174" s="583">
        <f t="shared" si="1020"/>
        <v>78030.67118610708</v>
      </c>
      <c r="V1174" s="583">
        <f t="shared" si="1020"/>
        <v>78753.984924961784</v>
      </c>
      <c r="W1174" s="583">
        <f t="shared" si="1020"/>
        <v>79477.298663816502</v>
      </c>
      <c r="X1174" s="583">
        <f t="shared" si="1020"/>
        <v>80200.612402671206</v>
      </c>
      <c r="Y1174" s="583">
        <f t="shared" si="1020"/>
        <v>80925.087158763257</v>
      </c>
      <c r="Z1174" s="583">
        <f t="shared" si="1020"/>
        <v>81648.400897617976</v>
      </c>
      <c r="AA1174" s="583">
        <f t="shared" si="1020"/>
        <v>82371.714636472694</v>
      </c>
      <c r="AB1174" s="583">
        <f t="shared" si="1020"/>
        <v>83095.028375327427</v>
      </c>
      <c r="AC1174" s="583">
        <f t="shared" si="1020"/>
        <v>83819.503131419478</v>
      </c>
      <c r="AD1174" s="583">
        <f t="shared" si="1020"/>
        <v>84542.816870274182</v>
      </c>
      <c r="AE1174" s="583">
        <f t="shared" si="1020"/>
        <v>85266.130609128901</v>
      </c>
      <c r="AF1174" s="583">
        <f t="shared" si="1020"/>
        <v>85989.444347983605</v>
      </c>
      <c r="AH1174" s="635"/>
      <c r="AK1174" s="588"/>
      <c r="AM1174" s="624"/>
      <c r="AN1174" s="590"/>
      <c r="AP1174" s="636"/>
      <c r="AQ1174" s="636"/>
    </row>
    <row r="1175" spans="1:43" s="586" customFormat="1" ht="16.5" hidden="1" customHeight="1" outlineLevel="2">
      <c r="A1175" s="584"/>
      <c r="B1175" s="641" t="s">
        <v>1007</v>
      </c>
      <c r="C1175" s="554">
        <v>1111.3417306255701</v>
      </c>
      <c r="D1175" s="554">
        <v>1124.2037516816281</v>
      </c>
      <c r="E1175" s="554">
        <v>1137.1220306868609</v>
      </c>
      <c r="F1175" s="554">
        <v>1150.0589695829233</v>
      </c>
      <c r="G1175" s="554">
        <v>1163.0366384571223</v>
      </c>
      <c r="H1175" s="554">
        <v>1176.0573866674624</v>
      </c>
      <c r="I1175" s="554">
        <v>1188.4734064805223</v>
      </c>
      <c r="J1175" s="554">
        <v>1200.869528825933</v>
      </c>
      <c r="K1175" s="554">
        <v>1213.265651171344</v>
      </c>
      <c r="L1175" s="554">
        <v>1225.6617735167547</v>
      </c>
      <c r="M1175" s="554">
        <v>1238.0777933298148</v>
      </c>
      <c r="N1175" s="554">
        <v>1250.4739156752253</v>
      </c>
      <c r="O1175" s="554">
        <v>1262.8700380206362</v>
      </c>
      <c r="P1175" s="554">
        <v>1275.266160366047</v>
      </c>
      <c r="Q1175" s="554">
        <v>1287.6821801791066</v>
      </c>
      <c r="R1175" s="554">
        <v>1300.0783025245175</v>
      </c>
      <c r="S1175" s="554">
        <v>1312.4744248699283</v>
      </c>
      <c r="T1175" s="554">
        <v>1324.870547215339</v>
      </c>
      <c r="U1175" s="554">
        <v>1337.2865670283988</v>
      </c>
      <c r="V1175" s="554">
        <v>1349.6826893738096</v>
      </c>
      <c r="W1175" s="554">
        <v>1362.0788117192203</v>
      </c>
      <c r="X1175" s="554">
        <v>1374.4749340646308</v>
      </c>
      <c r="Y1175" s="554">
        <v>1386.8909538776907</v>
      </c>
      <c r="Z1175" s="554">
        <v>1399.2870762231016</v>
      </c>
      <c r="AA1175" s="554">
        <v>1411.6831985685124</v>
      </c>
      <c r="AB1175" s="554">
        <v>1424.0793209139233</v>
      </c>
      <c r="AC1175" s="554">
        <v>1436.4953407269834</v>
      </c>
      <c r="AD1175" s="554">
        <v>1448.8914630723939</v>
      </c>
      <c r="AE1175" s="554">
        <v>1461.2875854178046</v>
      </c>
      <c r="AF1175" s="554">
        <v>1473.6837077632151</v>
      </c>
      <c r="AH1175" s="587"/>
      <c r="AK1175" s="588"/>
      <c r="AM1175" s="624"/>
      <c r="AN1175" s="590"/>
      <c r="AP1175" s="591"/>
      <c r="AQ1175" s="591"/>
    </row>
    <row r="1176" spans="1:43" s="586" customFormat="1" ht="16.5" hidden="1" customHeight="1" outlineLevel="2">
      <c r="A1176" s="584"/>
      <c r="B1176" s="641" t="s">
        <v>1008</v>
      </c>
      <c r="C1176" s="657">
        <v>1</v>
      </c>
      <c r="D1176" s="657">
        <v>1</v>
      </c>
      <c r="E1176" s="657">
        <v>1</v>
      </c>
      <c r="F1176" s="657">
        <v>1</v>
      </c>
      <c r="G1176" s="657">
        <v>1</v>
      </c>
      <c r="H1176" s="657">
        <v>1</v>
      </c>
      <c r="I1176" s="657">
        <v>0.5</v>
      </c>
      <c r="J1176" s="657">
        <v>0.25</v>
      </c>
      <c r="K1176" s="657">
        <v>0.25</v>
      </c>
      <c r="L1176" s="657">
        <v>0.25</v>
      </c>
      <c r="M1176" s="657">
        <v>0.25</v>
      </c>
      <c r="N1176" s="657">
        <v>0.25</v>
      </c>
      <c r="O1176" s="657">
        <v>0.25</v>
      </c>
      <c r="P1176" s="657">
        <v>0.25</v>
      </c>
      <c r="Q1176" s="657">
        <v>0.25</v>
      </c>
      <c r="R1176" s="657">
        <v>0.25</v>
      </c>
      <c r="S1176" s="657">
        <v>0.25</v>
      </c>
      <c r="T1176" s="657">
        <v>0.25</v>
      </c>
      <c r="U1176" s="657">
        <v>0.25</v>
      </c>
      <c r="V1176" s="657">
        <v>0.25</v>
      </c>
      <c r="W1176" s="657">
        <v>0.25</v>
      </c>
      <c r="X1176" s="657">
        <v>0.25</v>
      </c>
      <c r="Y1176" s="657">
        <v>0.25</v>
      </c>
      <c r="Z1176" s="657">
        <v>0.25</v>
      </c>
      <c r="AA1176" s="657">
        <v>0.25</v>
      </c>
      <c r="AB1176" s="657">
        <v>0.25</v>
      </c>
      <c r="AC1176" s="657">
        <v>0.25</v>
      </c>
      <c r="AD1176" s="657">
        <v>0.25</v>
      </c>
      <c r="AE1176" s="657">
        <v>0.25</v>
      </c>
      <c r="AF1176" s="657">
        <v>0.25</v>
      </c>
      <c r="AH1176" s="587"/>
      <c r="AK1176" s="588"/>
      <c r="AM1176" s="624"/>
      <c r="AN1176" s="590"/>
      <c r="AP1176" s="591"/>
      <c r="AQ1176" s="591"/>
    </row>
    <row r="1177" spans="1:43" s="586" customFormat="1" ht="16.5" hidden="1" customHeight="1" outlineLevel="2">
      <c r="A1177" s="584"/>
      <c r="B1177" s="641" t="s">
        <v>1009</v>
      </c>
      <c r="C1177" s="642">
        <f>Insumos!$E$175</f>
        <v>233.4</v>
      </c>
      <c r="D1177" s="642">
        <f>C1177</f>
        <v>233.4</v>
      </c>
      <c r="E1177" s="642">
        <f t="shared" ref="E1177:AF1177" si="1021">D1177</f>
        <v>233.4</v>
      </c>
      <c r="F1177" s="642">
        <f t="shared" si="1021"/>
        <v>233.4</v>
      </c>
      <c r="G1177" s="642">
        <f t="shared" si="1021"/>
        <v>233.4</v>
      </c>
      <c r="H1177" s="642">
        <f t="shared" si="1021"/>
        <v>233.4</v>
      </c>
      <c r="I1177" s="642">
        <f t="shared" si="1021"/>
        <v>233.4</v>
      </c>
      <c r="J1177" s="642">
        <f t="shared" si="1021"/>
        <v>233.4</v>
      </c>
      <c r="K1177" s="642">
        <f t="shared" si="1021"/>
        <v>233.4</v>
      </c>
      <c r="L1177" s="642">
        <f t="shared" si="1021"/>
        <v>233.4</v>
      </c>
      <c r="M1177" s="642">
        <f t="shared" si="1021"/>
        <v>233.4</v>
      </c>
      <c r="N1177" s="642">
        <f t="shared" si="1021"/>
        <v>233.4</v>
      </c>
      <c r="O1177" s="642">
        <f t="shared" si="1021"/>
        <v>233.4</v>
      </c>
      <c r="P1177" s="642">
        <f t="shared" si="1021"/>
        <v>233.4</v>
      </c>
      <c r="Q1177" s="642">
        <f t="shared" si="1021"/>
        <v>233.4</v>
      </c>
      <c r="R1177" s="642">
        <f t="shared" si="1021"/>
        <v>233.4</v>
      </c>
      <c r="S1177" s="642">
        <f t="shared" si="1021"/>
        <v>233.4</v>
      </c>
      <c r="T1177" s="642">
        <f t="shared" si="1021"/>
        <v>233.4</v>
      </c>
      <c r="U1177" s="642">
        <f t="shared" si="1021"/>
        <v>233.4</v>
      </c>
      <c r="V1177" s="642">
        <f t="shared" si="1021"/>
        <v>233.4</v>
      </c>
      <c r="W1177" s="642">
        <f t="shared" si="1021"/>
        <v>233.4</v>
      </c>
      <c r="X1177" s="642">
        <f t="shared" si="1021"/>
        <v>233.4</v>
      </c>
      <c r="Y1177" s="642">
        <f t="shared" si="1021"/>
        <v>233.4</v>
      </c>
      <c r="Z1177" s="642">
        <f t="shared" si="1021"/>
        <v>233.4</v>
      </c>
      <c r="AA1177" s="642">
        <f t="shared" si="1021"/>
        <v>233.4</v>
      </c>
      <c r="AB1177" s="642">
        <f t="shared" si="1021"/>
        <v>233.4</v>
      </c>
      <c r="AC1177" s="642">
        <f t="shared" si="1021"/>
        <v>233.4</v>
      </c>
      <c r="AD1177" s="642">
        <f t="shared" si="1021"/>
        <v>233.4</v>
      </c>
      <c r="AE1177" s="642">
        <f t="shared" si="1021"/>
        <v>233.4</v>
      </c>
      <c r="AF1177" s="642">
        <f t="shared" si="1021"/>
        <v>233.4</v>
      </c>
      <c r="AH1177" s="587"/>
      <c r="AK1177" s="588"/>
      <c r="AM1177" s="624"/>
      <c r="AN1177" s="590"/>
      <c r="AP1177" s="591"/>
      <c r="AQ1177" s="591"/>
    </row>
    <row r="1178" spans="1:43" s="586" customFormat="1" ht="16.5" hidden="1" customHeight="1" outlineLevel="2">
      <c r="A1178" s="584"/>
      <c r="B1178" s="641" t="s">
        <v>1010</v>
      </c>
      <c r="C1178" s="724">
        <f t="shared" ref="C1178:AF1178" si="1022">C1175*C1176</f>
        <v>1111.3417306255701</v>
      </c>
      <c r="D1178" s="724">
        <f t="shared" si="1022"/>
        <v>1124.2037516816281</v>
      </c>
      <c r="E1178" s="724">
        <f t="shared" si="1022"/>
        <v>1137.1220306868609</v>
      </c>
      <c r="F1178" s="724">
        <f t="shared" si="1022"/>
        <v>1150.0589695829233</v>
      </c>
      <c r="G1178" s="724">
        <f t="shared" si="1022"/>
        <v>1163.0366384571223</v>
      </c>
      <c r="H1178" s="724">
        <f t="shared" si="1022"/>
        <v>1176.0573866674624</v>
      </c>
      <c r="I1178" s="724">
        <f t="shared" si="1022"/>
        <v>594.23670324026114</v>
      </c>
      <c r="J1178" s="724">
        <f t="shared" si="1022"/>
        <v>300.21738220648325</v>
      </c>
      <c r="K1178" s="724">
        <f t="shared" si="1022"/>
        <v>303.31641279283599</v>
      </c>
      <c r="L1178" s="724">
        <f t="shared" si="1022"/>
        <v>306.41544337918867</v>
      </c>
      <c r="M1178" s="724">
        <f t="shared" si="1022"/>
        <v>309.51944833245369</v>
      </c>
      <c r="N1178" s="724">
        <f t="shared" si="1022"/>
        <v>312.61847891880632</v>
      </c>
      <c r="O1178" s="724">
        <f t="shared" si="1022"/>
        <v>315.71750950515906</v>
      </c>
      <c r="P1178" s="724">
        <f t="shared" si="1022"/>
        <v>318.81654009151174</v>
      </c>
      <c r="Q1178" s="724">
        <f t="shared" si="1022"/>
        <v>321.92054504477665</v>
      </c>
      <c r="R1178" s="724">
        <f t="shared" si="1022"/>
        <v>325.01957563112938</v>
      </c>
      <c r="S1178" s="724">
        <f t="shared" si="1022"/>
        <v>328.11860621748207</v>
      </c>
      <c r="T1178" s="724">
        <f t="shared" si="1022"/>
        <v>331.21763680383475</v>
      </c>
      <c r="U1178" s="724">
        <f t="shared" si="1022"/>
        <v>334.32164175709971</v>
      </c>
      <c r="V1178" s="724">
        <f t="shared" si="1022"/>
        <v>337.4206723434524</v>
      </c>
      <c r="W1178" s="724">
        <f t="shared" si="1022"/>
        <v>340.51970292980508</v>
      </c>
      <c r="X1178" s="724">
        <f t="shared" si="1022"/>
        <v>343.6187335161577</v>
      </c>
      <c r="Y1178" s="724">
        <f t="shared" si="1022"/>
        <v>346.72273846942267</v>
      </c>
      <c r="Z1178" s="724">
        <f t="shared" si="1022"/>
        <v>349.82176905577541</v>
      </c>
      <c r="AA1178" s="724">
        <f t="shared" si="1022"/>
        <v>352.92079964212809</v>
      </c>
      <c r="AB1178" s="724">
        <f t="shared" si="1022"/>
        <v>356.01983022848083</v>
      </c>
      <c r="AC1178" s="724">
        <f t="shared" si="1022"/>
        <v>359.12383518174585</v>
      </c>
      <c r="AD1178" s="724">
        <f t="shared" si="1022"/>
        <v>362.22286576809847</v>
      </c>
      <c r="AE1178" s="724">
        <f t="shared" si="1022"/>
        <v>365.32189635445116</v>
      </c>
      <c r="AF1178" s="724">
        <f t="shared" si="1022"/>
        <v>368.42092694080378</v>
      </c>
      <c r="AH1178" s="587"/>
      <c r="AK1178" s="588"/>
      <c r="AM1178" s="624"/>
      <c r="AN1178" s="590"/>
      <c r="AP1178" s="591"/>
      <c r="AQ1178" s="591"/>
    </row>
    <row r="1179" spans="1:43" s="513" customFormat="1" ht="16.5" hidden="1" customHeight="1" outlineLevel="2">
      <c r="A1179" s="584"/>
      <c r="B1179" s="656" t="s">
        <v>1011</v>
      </c>
      <c r="C1179" s="654">
        <f>C1180</f>
        <v>19996.931527209552</v>
      </c>
      <c r="D1179" s="654">
        <f>D1180</f>
        <v>20229.987716569103</v>
      </c>
      <c r="E1179" s="654">
        <f t="shared" ref="E1179:AF1179" si="1023">E1180</f>
        <v>20463.043905928651</v>
      </c>
      <c r="F1179" s="654">
        <f t="shared" si="1023"/>
        <v>20696.100095288202</v>
      </c>
      <c r="G1179" s="654">
        <f t="shared" si="1023"/>
        <v>20929.156284647754</v>
      </c>
      <c r="H1179" s="654">
        <f t="shared" si="1023"/>
        <v>21162.212474007305</v>
      </c>
      <c r="I1179" s="654">
        <f t="shared" si="1023"/>
        <v>21395.268663366849</v>
      </c>
      <c r="J1179" s="654">
        <f t="shared" si="1023"/>
        <v>21628.3248527264</v>
      </c>
      <c r="K1179" s="654">
        <f t="shared" si="1023"/>
        <v>21861.381042085952</v>
      </c>
      <c r="L1179" s="654">
        <f t="shared" si="1023"/>
        <v>22094.437231445503</v>
      </c>
      <c r="M1179" s="654">
        <f t="shared" si="1023"/>
        <v>22327.493420805051</v>
      </c>
      <c r="N1179" s="654">
        <f t="shared" si="1023"/>
        <v>22560.549610164602</v>
      </c>
      <c r="O1179" s="654">
        <f t="shared" si="1023"/>
        <v>22793.60579952415</v>
      </c>
      <c r="P1179" s="654">
        <f t="shared" si="1023"/>
        <v>23026.661988883698</v>
      </c>
      <c r="Q1179" s="654">
        <f t="shared" si="1023"/>
        <v>23259.718178243249</v>
      </c>
      <c r="R1179" s="654">
        <f t="shared" si="1023"/>
        <v>23492.7743676028</v>
      </c>
      <c r="S1179" s="654">
        <f t="shared" si="1023"/>
        <v>23725.830556962352</v>
      </c>
      <c r="T1179" s="654">
        <f t="shared" si="1023"/>
        <v>23958.886746321899</v>
      </c>
      <c r="U1179" s="654">
        <f t="shared" si="1023"/>
        <v>24191.942935681454</v>
      </c>
      <c r="V1179" s="654">
        <f t="shared" si="1023"/>
        <v>24424.999125041006</v>
      </c>
      <c r="W1179" s="654">
        <f t="shared" si="1023"/>
        <v>24658.055314400557</v>
      </c>
      <c r="X1179" s="654">
        <f t="shared" si="1023"/>
        <v>24891.111503760108</v>
      </c>
      <c r="Y1179" s="654">
        <f t="shared" si="1023"/>
        <v>25124.16769311966</v>
      </c>
      <c r="Z1179" s="654">
        <f t="shared" si="1023"/>
        <v>25357.223882479211</v>
      </c>
      <c r="AA1179" s="654">
        <f t="shared" si="1023"/>
        <v>25590.280071838759</v>
      </c>
      <c r="AB1179" s="654">
        <f t="shared" si="1023"/>
        <v>25823.33626119831</v>
      </c>
      <c r="AC1179" s="654">
        <f t="shared" si="1023"/>
        <v>26056.392450557862</v>
      </c>
      <c r="AD1179" s="654">
        <f t="shared" si="1023"/>
        <v>26289.448639917409</v>
      </c>
      <c r="AE1179" s="654">
        <f t="shared" si="1023"/>
        <v>26522.504829276957</v>
      </c>
      <c r="AF1179" s="654">
        <f t="shared" si="1023"/>
        <v>26755.561018636508</v>
      </c>
      <c r="AH1179" s="538"/>
      <c r="AK1179" s="531"/>
      <c r="AM1179" s="594"/>
      <c r="AN1179" s="535"/>
      <c r="AP1179" s="540"/>
      <c r="AQ1179" s="540"/>
    </row>
    <row r="1180" spans="1:43" s="546" customFormat="1" ht="16.5" hidden="1" customHeight="1" outlineLevel="2">
      <c r="A1180" s="584"/>
      <c r="B1180" s="596" t="s">
        <v>1012</v>
      </c>
      <c r="C1180" s="581">
        <f>C1181*C1182</f>
        <v>19996.931527209552</v>
      </c>
      <c r="D1180" s="581">
        <f>D1181*D1182</f>
        <v>20229.987716569103</v>
      </c>
      <c r="E1180" s="581">
        <f t="shared" ref="E1180:AF1180" si="1024">E1181*E1182</f>
        <v>20463.043905928651</v>
      </c>
      <c r="F1180" s="581">
        <f t="shared" si="1024"/>
        <v>20696.100095288202</v>
      </c>
      <c r="G1180" s="581">
        <f t="shared" si="1024"/>
        <v>20929.156284647754</v>
      </c>
      <c r="H1180" s="581">
        <f t="shared" si="1024"/>
        <v>21162.212474007305</v>
      </c>
      <c r="I1180" s="581">
        <f t="shared" si="1024"/>
        <v>21395.268663366849</v>
      </c>
      <c r="J1180" s="581">
        <f t="shared" si="1024"/>
        <v>21628.3248527264</v>
      </c>
      <c r="K1180" s="581">
        <f t="shared" si="1024"/>
        <v>21861.381042085952</v>
      </c>
      <c r="L1180" s="581">
        <f t="shared" si="1024"/>
        <v>22094.437231445503</v>
      </c>
      <c r="M1180" s="581">
        <f t="shared" si="1024"/>
        <v>22327.493420805051</v>
      </c>
      <c r="N1180" s="581">
        <f t="shared" si="1024"/>
        <v>22560.549610164602</v>
      </c>
      <c r="O1180" s="581">
        <f t="shared" si="1024"/>
        <v>22793.60579952415</v>
      </c>
      <c r="P1180" s="581">
        <f t="shared" si="1024"/>
        <v>23026.661988883698</v>
      </c>
      <c r="Q1180" s="581">
        <f t="shared" si="1024"/>
        <v>23259.718178243249</v>
      </c>
      <c r="R1180" s="581">
        <f t="shared" si="1024"/>
        <v>23492.7743676028</v>
      </c>
      <c r="S1180" s="581">
        <f t="shared" si="1024"/>
        <v>23725.830556962352</v>
      </c>
      <c r="T1180" s="581">
        <f t="shared" si="1024"/>
        <v>23958.886746321899</v>
      </c>
      <c r="U1180" s="581">
        <f t="shared" si="1024"/>
        <v>24191.942935681454</v>
      </c>
      <c r="V1180" s="581">
        <f t="shared" si="1024"/>
        <v>24424.999125041006</v>
      </c>
      <c r="W1180" s="581">
        <f t="shared" si="1024"/>
        <v>24658.055314400557</v>
      </c>
      <c r="X1180" s="581">
        <f t="shared" si="1024"/>
        <v>24891.111503760108</v>
      </c>
      <c r="Y1180" s="581">
        <f t="shared" si="1024"/>
        <v>25124.16769311966</v>
      </c>
      <c r="Z1180" s="581">
        <f t="shared" si="1024"/>
        <v>25357.223882479211</v>
      </c>
      <c r="AA1180" s="581">
        <f t="shared" si="1024"/>
        <v>25590.280071838759</v>
      </c>
      <c r="AB1180" s="581">
        <f t="shared" si="1024"/>
        <v>25823.33626119831</v>
      </c>
      <c r="AC1180" s="581">
        <f t="shared" si="1024"/>
        <v>26056.392450557862</v>
      </c>
      <c r="AD1180" s="581">
        <f t="shared" si="1024"/>
        <v>26289.448639917409</v>
      </c>
      <c r="AE1180" s="581">
        <f t="shared" si="1024"/>
        <v>26522.504829276957</v>
      </c>
      <c r="AF1180" s="581">
        <f t="shared" si="1024"/>
        <v>26755.561018636508</v>
      </c>
      <c r="AH1180" s="571"/>
      <c r="AK1180" s="531"/>
      <c r="AM1180" s="594"/>
      <c r="AN1180" s="535"/>
      <c r="AP1180" s="549"/>
      <c r="AQ1180" s="549"/>
    </row>
    <row r="1181" spans="1:43" s="513" customFormat="1" ht="16.5" hidden="1" customHeight="1" outlineLevel="2">
      <c r="A1181" s="584"/>
      <c r="B1181" s="641" t="s">
        <v>1013</v>
      </c>
      <c r="C1181" s="574">
        <f>Insumos!$E$177</f>
        <v>3.6207521000000003</v>
      </c>
      <c r="D1181" s="574">
        <f>C1181</f>
        <v>3.6207521000000003</v>
      </c>
      <c r="E1181" s="574">
        <f t="shared" ref="E1181:AF1181" si="1025">D1181</f>
        <v>3.6207521000000003</v>
      </c>
      <c r="F1181" s="574">
        <f t="shared" si="1025"/>
        <v>3.6207521000000003</v>
      </c>
      <c r="G1181" s="574">
        <f t="shared" si="1025"/>
        <v>3.6207521000000003</v>
      </c>
      <c r="H1181" s="574">
        <f t="shared" si="1025"/>
        <v>3.6207521000000003</v>
      </c>
      <c r="I1181" s="574">
        <f t="shared" si="1025"/>
        <v>3.6207521000000003</v>
      </c>
      <c r="J1181" s="574">
        <f t="shared" si="1025"/>
        <v>3.6207521000000003</v>
      </c>
      <c r="K1181" s="574">
        <f t="shared" si="1025"/>
        <v>3.6207521000000003</v>
      </c>
      <c r="L1181" s="574">
        <f t="shared" si="1025"/>
        <v>3.6207521000000003</v>
      </c>
      <c r="M1181" s="574">
        <f t="shared" si="1025"/>
        <v>3.6207521000000003</v>
      </c>
      <c r="N1181" s="574">
        <f t="shared" si="1025"/>
        <v>3.6207521000000003</v>
      </c>
      <c r="O1181" s="574">
        <f t="shared" si="1025"/>
        <v>3.6207521000000003</v>
      </c>
      <c r="P1181" s="574">
        <f t="shared" si="1025"/>
        <v>3.6207521000000003</v>
      </c>
      <c r="Q1181" s="574">
        <f t="shared" si="1025"/>
        <v>3.6207521000000003</v>
      </c>
      <c r="R1181" s="574">
        <f t="shared" si="1025"/>
        <v>3.6207521000000003</v>
      </c>
      <c r="S1181" s="574">
        <f t="shared" si="1025"/>
        <v>3.6207521000000003</v>
      </c>
      <c r="T1181" s="574">
        <f t="shared" si="1025"/>
        <v>3.6207521000000003</v>
      </c>
      <c r="U1181" s="574">
        <f t="shared" si="1025"/>
        <v>3.6207521000000003</v>
      </c>
      <c r="V1181" s="574">
        <f t="shared" si="1025"/>
        <v>3.6207521000000003</v>
      </c>
      <c r="W1181" s="574">
        <f t="shared" si="1025"/>
        <v>3.6207521000000003</v>
      </c>
      <c r="X1181" s="574">
        <f t="shared" si="1025"/>
        <v>3.6207521000000003</v>
      </c>
      <c r="Y1181" s="574">
        <f t="shared" si="1025"/>
        <v>3.6207521000000003</v>
      </c>
      <c r="Z1181" s="574">
        <f t="shared" si="1025"/>
        <v>3.6207521000000003</v>
      </c>
      <c r="AA1181" s="574">
        <f t="shared" si="1025"/>
        <v>3.6207521000000003</v>
      </c>
      <c r="AB1181" s="574">
        <f t="shared" si="1025"/>
        <v>3.6207521000000003</v>
      </c>
      <c r="AC1181" s="574">
        <f t="shared" si="1025"/>
        <v>3.6207521000000003</v>
      </c>
      <c r="AD1181" s="574">
        <f t="shared" si="1025"/>
        <v>3.6207521000000003</v>
      </c>
      <c r="AE1181" s="574">
        <f t="shared" si="1025"/>
        <v>3.6207521000000003</v>
      </c>
      <c r="AF1181" s="574">
        <f t="shared" si="1025"/>
        <v>3.6207521000000003</v>
      </c>
      <c r="AH1181" s="538"/>
      <c r="AK1181" s="531"/>
      <c r="AM1181" s="594"/>
      <c r="AN1181" s="535"/>
      <c r="AP1181" s="540"/>
      <c r="AQ1181" s="540"/>
    </row>
    <row r="1182" spans="1:43" s="586" customFormat="1" ht="16.5" hidden="1" customHeight="1" outlineLevel="2">
      <c r="A1182" s="584"/>
      <c r="B1182" s="641" t="s">
        <v>1014</v>
      </c>
      <c r="C1182" s="554">
        <v>5522.8667898057838</v>
      </c>
      <c r="D1182" s="554">
        <v>5587.2335796115676</v>
      </c>
      <c r="E1182" s="554">
        <v>5651.6003694173514</v>
      </c>
      <c r="F1182" s="554">
        <v>5715.9671592231352</v>
      </c>
      <c r="G1182" s="554">
        <v>5780.3339490289191</v>
      </c>
      <c r="H1182" s="554">
        <v>5844.7007388347029</v>
      </c>
      <c r="I1182" s="554">
        <v>5909.0675286404858</v>
      </c>
      <c r="J1182" s="554">
        <v>5973.4343184462696</v>
      </c>
      <c r="K1182" s="554">
        <v>6037.8011082520534</v>
      </c>
      <c r="L1182" s="554">
        <v>6102.1678980578372</v>
      </c>
      <c r="M1182" s="554">
        <v>6166.534687863621</v>
      </c>
      <c r="N1182" s="554">
        <v>6230.9014776694048</v>
      </c>
      <c r="O1182" s="554">
        <v>6295.2682674751877</v>
      </c>
      <c r="P1182" s="554">
        <v>6359.6350572809706</v>
      </c>
      <c r="Q1182" s="554">
        <v>6424.0018470867553</v>
      </c>
      <c r="R1182" s="554">
        <v>6488.3686368925391</v>
      </c>
      <c r="S1182" s="554">
        <v>6552.735426698323</v>
      </c>
      <c r="T1182" s="554">
        <v>6617.1022165041068</v>
      </c>
      <c r="U1182" s="554">
        <v>6681.4690063098915</v>
      </c>
      <c r="V1182" s="554">
        <v>6745.8357961156753</v>
      </c>
      <c r="W1182" s="554">
        <v>6810.20258592146</v>
      </c>
      <c r="X1182" s="554">
        <v>6874.5693757272438</v>
      </c>
      <c r="Y1182" s="554">
        <v>6938.9361655330276</v>
      </c>
      <c r="Z1182" s="554">
        <v>7003.3029553388114</v>
      </c>
      <c r="AA1182" s="554">
        <v>7067.6697451445953</v>
      </c>
      <c r="AB1182" s="554">
        <v>7132.0365349503791</v>
      </c>
      <c r="AC1182" s="554">
        <v>7196.4033247561629</v>
      </c>
      <c r="AD1182" s="554">
        <v>7260.7701145619458</v>
      </c>
      <c r="AE1182" s="554">
        <v>7325.1369043677296</v>
      </c>
      <c r="AF1182" s="554">
        <v>7389.5036941735134</v>
      </c>
      <c r="AH1182" s="587"/>
      <c r="AK1182" s="588"/>
      <c r="AM1182" s="624"/>
      <c r="AN1182" s="590"/>
      <c r="AP1182" s="591"/>
      <c r="AQ1182" s="591"/>
    </row>
    <row r="1183" spans="1:43" s="513" customFormat="1" ht="16.5" hidden="1" customHeight="1" outlineLevel="2">
      <c r="A1183" s="584"/>
      <c r="B1183" s="656" t="s">
        <v>1015</v>
      </c>
      <c r="C1183" s="654">
        <f>SUM(C1184)</f>
        <v>31203.683625000001</v>
      </c>
      <c r="D1183" s="654">
        <f t="shared" ref="D1183:AF1183" si="1026">SUM(D1184)</f>
        <v>31567.350000000002</v>
      </c>
      <c r="E1183" s="654">
        <f t="shared" si="1026"/>
        <v>31931.016374999999</v>
      </c>
      <c r="F1183" s="654">
        <f t="shared" si="1026"/>
        <v>32294.682750000004</v>
      </c>
      <c r="G1183" s="654">
        <f t="shared" si="1026"/>
        <v>32658.349125000001</v>
      </c>
      <c r="H1183" s="654">
        <f t="shared" si="1026"/>
        <v>33022.015500000001</v>
      </c>
      <c r="I1183" s="654">
        <f t="shared" si="1026"/>
        <v>33385.681875000002</v>
      </c>
      <c r="J1183" s="654">
        <f t="shared" si="1026"/>
        <v>33749.348250000003</v>
      </c>
      <c r="K1183" s="654">
        <f t="shared" si="1026"/>
        <v>34113.014624999996</v>
      </c>
      <c r="L1183" s="654">
        <f t="shared" si="1026"/>
        <v>34476.681000000004</v>
      </c>
      <c r="M1183" s="654">
        <f t="shared" si="1026"/>
        <v>34840.347374999998</v>
      </c>
      <c r="N1183" s="654">
        <f t="shared" si="1026"/>
        <v>35204.013749999998</v>
      </c>
      <c r="O1183" s="654">
        <f t="shared" si="1026"/>
        <v>35567.680124999999</v>
      </c>
      <c r="P1183" s="654">
        <f t="shared" si="1026"/>
        <v>35931.3465</v>
      </c>
      <c r="Q1183" s="654">
        <f t="shared" si="1026"/>
        <v>36295.012875</v>
      </c>
      <c r="R1183" s="654">
        <f t="shared" si="1026"/>
        <v>36658.679250000001</v>
      </c>
      <c r="S1183" s="654">
        <f t="shared" si="1026"/>
        <v>37022.345625000002</v>
      </c>
      <c r="T1183" s="654">
        <f t="shared" si="1026"/>
        <v>37386.012000000002</v>
      </c>
      <c r="U1183" s="654">
        <f t="shared" si="1026"/>
        <v>37749.678375000003</v>
      </c>
      <c r="V1183" s="654">
        <f t="shared" si="1026"/>
        <v>38113.344750000004</v>
      </c>
      <c r="W1183" s="654">
        <f t="shared" si="1026"/>
        <v>38477.011125000005</v>
      </c>
      <c r="X1183" s="654">
        <f t="shared" si="1026"/>
        <v>38840.677499999998</v>
      </c>
      <c r="Y1183" s="654">
        <f t="shared" si="1026"/>
        <v>39204.343875000006</v>
      </c>
      <c r="Z1183" s="654">
        <f t="shared" si="1026"/>
        <v>39568.010249999999</v>
      </c>
      <c r="AA1183" s="654">
        <f t="shared" si="1026"/>
        <v>39931.676625</v>
      </c>
      <c r="AB1183" s="654">
        <f t="shared" si="1026"/>
        <v>40295.342999999993</v>
      </c>
      <c r="AC1183" s="654">
        <f t="shared" si="1026"/>
        <v>40659.009375000001</v>
      </c>
      <c r="AD1183" s="654">
        <f t="shared" si="1026"/>
        <v>41022.675750000002</v>
      </c>
      <c r="AE1183" s="654">
        <f t="shared" si="1026"/>
        <v>41386.342125000003</v>
      </c>
      <c r="AF1183" s="654">
        <f t="shared" si="1026"/>
        <v>41750.008500000004</v>
      </c>
      <c r="AH1183" s="538"/>
      <c r="AK1183" s="531"/>
      <c r="AM1183" s="539"/>
      <c r="AN1183" s="540"/>
      <c r="AP1183" s="540"/>
      <c r="AQ1183" s="540"/>
    </row>
    <row r="1184" spans="1:43" s="513" customFormat="1" ht="16.5" hidden="1" customHeight="1" outlineLevel="2">
      <c r="A1184" s="584"/>
      <c r="B1184" s="658" t="s">
        <v>1016</v>
      </c>
      <c r="C1184" s="574">
        <f>C1185*C1186</f>
        <v>31203.683625000001</v>
      </c>
      <c r="D1184" s="574">
        <f>D1185*D1186</f>
        <v>31567.350000000002</v>
      </c>
      <c r="E1184" s="574">
        <f t="shared" ref="E1184:AF1184" si="1027">E1185*E1186</f>
        <v>31931.016374999999</v>
      </c>
      <c r="F1184" s="574">
        <f t="shared" si="1027"/>
        <v>32294.682750000004</v>
      </c>
      <c r="G1184" s="574">
        <f t="shared" si="1027"/>
        <v>32658.349125000001</v>
      </c>
      <c r="H1184" s="574">
        <f t="shared" si="1027"/>
        <v>33022.015500000001</v>
      </c>
      <c r="I1184" s="574">
        <f t="shared" si="1027"/>
        <v>33385.681875000002</v>
      </c>
      <c r="J1184" s="574">
        <f t="shared" si="1027"/>
        <v>33749.348250000003</v>
      </c>
      <c r="K1184" s="574">
        <f t="shared" si="1027"/>
        <v>34113.014624999996</v>
      </c>
      <c r="L1184" s="574">
        <f t="shared" si="1027"/>
        <v>34476.681000000004</v>
      </c>
      <c r="M1184" s="574">
        <f t="shared" si="1027"/>
        <v>34840.347374999998</v>
      </c>
      <c r="N1184" s="574">
        <f t="shared" si="1027"/>
        <v>35204.013749999998</v>
      </c>
      <c r="O1184" s="574">
        <f t="shared" si="1027"/>
        <v>35567.680124999999</v>
      </c>
      <c r="P1184" s="574">
        <f t="shared" si="1027"/>
        <v>35931.3465</v>
      </c>
      <c r="Q1184" s="574">
        <f t="shared" si="1027"/>
        <v>36295.012875</v>
      </c>
      <c r="R1184" s="574">
        <f t="shared" si="1027"/>
        <v>36658.679250000001</v>
      </c>
      <c r="S1184" s="574">
        <f t="shared" si="1027"/>
        <v>37022.345625000002</v>
      </c>
      <c r="T1184" s="574">
        <f t="shared" si="1027"/>
        <v>37386.012000000002</v>
      </c>
      <c r="U1184" s="574">
        <f t="shared" si="1027"/>
        <v>37749.678375000003</v>
      </c>
      <c r="V1184" s="574">
        <f t="shared" si="1027"/>
        <v>38113.344750000004</v>
      </c>
      <c r="W1184" s="574">
        <f t="shared" si="1027"/>
        <v>38477.011125000005</v>
      </c>
      <c r="X1184" s="574">
        <f t="shared" si="1027"/>
        <v>38840.677499999998</v>
      </c>
      <c r="Y1184" s="574">
        <f t="shared" si="1027"/>
        <v>39204.343875000006</v>
      </c>
      <c r="Z1184" s="574">
        <f t="shared" si="1027"/>
        <v>39568.010249999999</v>
      </c>
      <c r="AA1184" s="574">
        <f t="shared" si="1027"/>
        <v>39931.676625</v>
      </c>
      <c r="AB1184" s="574">
        <f t="shared" si="1027"/>
        <v>40295.342999999993</v>
      </c>
      <c r="AC1184" s="574">
        <f t="shared" si="1027"/>
        <v>40659.009375000001</v>
      </c>
      <c r="AD1184" s="574">
        <f t="shared" si="1027"/>
        <v>41022.675750000002</v>
      </c>
      <c r="AE1184" s="574">
        <f t="shared" si="1027"/>
        <v>41386.342125000003</v>
      </c>
      <c r="AF1184" s="574">
        <f t="shared" si="1027"/>
        <v>41750.008500000004</v>
      </c>
      <c r="AH1184" s="538"/>
      <c r="AK1184" s="531"/>
      <c r="AM1184" s="539"/>
      <c r="AN1184" s="540"/>
      <c r="AP1184" s="540"/>
      <c r="AQ1184" s="540"/>
    </row>
    <row r="1185" spans="1:43" s="513" customFormat="1" ht="16.5" hidden="1" customHeight="1" outlineLevel="2">
      <c r="A1185" s="584"/>
      <c r="B1185" s="596" t="s">
        <v>1017</v>
      </c>
      <c r="C1185" s="574">
        <f>Insumos!$E$176</f>
        <v>233.4</v>
      </c>
      <c r="D1185" s="574">
        <f>C1185</f>
        <v>233.4</v>
      </c>
      <c r="E1185" s="574">
        <f t="shared" ref="E1185:AF1185" si="1028">D1185</f>
        <v>233.4</v>
      </c>
      <c r="F1185" s="574">
        <f t="shared" si="1028"/>
        <v>233.4</v>
      </c>
      <c r="G1185" s="574">
        <f t="shared" si="1028"/>
        <v>233.4</v>
      </c>
      <c r="H1185" s="574">
        <f t="shared" si="1028"/>
        <v>233.4</v>
      </c>
      <c r="I1185" s="574">
        <f t="shared" si="1028"/>
        <v>233.4</v>
      </c>
      <c r="J1185" s="574">
        <f t="shared" si="1028"/>
        <v>233.4</v>
      </c>
      <c r="K1185" s="574">
        <f t="shared" si="1028"/>
        <v>233.4</v>
      </c>
      <c r="L1185" s="574">
        <f t="shared" si="1028"/>
        <v>233.4</v>
      </c>
      <c r="M1185" s="574">
        <f t="shared" si="1028"/>
        <v>233.4</v>
      </c>
      <c r="N1185" s="574">
        <f t="shared" si="1028"/>
        <v>233.4</v>
      </c>
      <c r="O1185" s="574">
        <f t="shared" si="1028"/>
        <v>233.4</v>
      </c>
      <c r="P1185" s="574">
        <f t="shared" si="1028"/>
        <v>233.4</v>
      </c>
      <c r="Q1185" s="574">
        <f t="shared" si="1028"/>
        <v>233.4</v>
      </c>
      <c r="R1185" s="574">
        <f t="shared" si="1028"/>
        <v>233.4</v>
      </c>
      <c r="S1185" s="574">
        <f t="shared" si="1028"/>
        <v>233.4</v>
      </c>
      <c r="T1185" s="574">
        <f t="shared" si="1028"/>
        <v>233.4</v>
      </c>
      <c r="U1185" s="574">
        <f t="shared" si="1028"/>
        <v>233.4</v>
      </c>
      <c r="V1185" s="574">
        <f t="shared" si="1028"/>
        <v>233.4</v>
      </c>
      <c r="W1185" s="574">
        <f t="shared" si="1028"/>
        <v>233.4</v>
      </c>
      <c r="X1185" s="574">
        <f t="shared" si="1028"/>
        <v>233.4</v>
      </c>
      <c r="Y1185" s="574">
        <f t="shared" si="1028"/>
        <v>233.4</v>
      </c>
      <c r="Z1185" s="574">
        <f t="shared" si="1028"/>
        <v>233.4</v>
      </c>
      <c r="AA1185" s="574">
        <f t="shared" si="1028"/>
        <v>233.4</v>
      </c>
      <c r="AB1185" s="574">
        <f t="shared" si="1028"/>
        <v>233.4</v>
      </c>
      <c r="AC1185" s="574">
        <f t="shared" si="1028"/>
        <v>233.4</v>
      </c>
      <c r="AD1185" s="574">
        <f t="shared" si="1028"/>
        <v>233.4</v>
      </c>
      <c r="AE1185" s="574">
        <f t="shared" si="1028"/>
        <v>233.4</v>
      </c>
      <c r="AF1185" s="574">
        <f t="shared" si="1028"/>
        <v>233.4</v>
      </c>
      <c r="AH1185" s="538"/>
      <c r="AK1185" s="531"/>
      <c r="AM1185" s="539"/>
      <c r="AN1185" s="540"/>
      <c r="AP1185" s="540"/>
      <c r="AQ1185" s="540"/>
    </row>
    <row r="1186" spans="1:43" s="586" customFormat="1" ht="16.5" hidden="1" customHeight="1" outlineLevel="2">
      <c r="A1186" s="584"/>
      <c r="B1186" s="641" t="s">
        <v>1007</v>
      </c>
      <c r="C1186" s="554">
        <v>133.69187500000001</v>
      </c>
      <c r="D1186" s="554">
        <v>135.25</v>
      </c>
      <c r="E1186" s="554">
        <v>136.80812499999999</v>
      </c>
      <c r="F1186" s="554">
        <v>138.36625000000001</v>
      </c>
      <c r="G1186" s="554">
        <v>139.924375</v>
      </c>
      <c r="H1186" s="554">
        <v>141.48249999999999</v>
      </c>
      <c r="I1186" s="554">
        <v>143.04062500000001</v>
      </c>
      <c r="J1186" s="554">
        <v>144.59875</v>
      </c>
      <c r="K1186" s="554">
        <v>146.15687499999999</v>
      </c>
      <c r="L1186" s="554">
        <v>147.715</v>
      </c>
      <c r="M1186" s="554">
        <v>149.27312499999999</v>
      </c>
      <c r="N1186" s="554">
        <v>150.83124999999998</v>
      </c>
      <c r="O1186" s="554">
        <v>152.389375</v>
      </c>
      <c r="P1186" s="554">
        <v>153.94749999999999</v>
      </c>
      <c r="Q1186" s="554">
        <v>155.50562500000001</v>
      </c>
      <c r="R1186" s="554">
        <v>157.06375</v>
      </c>
      <c r="S1186" s="554">
        <v>158.62187500000002</v>
      </c>
      <c r="T1186" s="554">
        <v>160.18</v>
      </c>
      <c r="U1186" s="554">
        <v>161.738125</v>
      </c>
      <c r="V1186" s="554">
        <v>163.29625000000001</v>
      </c>
      <c r="W1186" s="554">
        <v>164.854375</v>
      </c>
      <c r="X1186" s="554">
        <v>166.41249999999999</v>
      </c>
      <c r="Y1186" s="554">
        <v>167.97062500000001</v>
      </c>
      <c r="Z1186" s="554">
        <v>169.52875</v>
      </c>
      <c r="AA1186" s="554">
        <v>171.08687499999999</v>
      </c>
      <c r="AB1186" s="554">
        <v>172.64499999999998</v>
      </c>
      <c r="AC1186" s="554">
        <v>174.203125</v>
      </c>
      <c r="AD1186" s="554">
        <v>175.76125000000002</v>
      </c>
      <c r="AE1186" s="554">
        <v>177.31937500000001</v>
      </c>
      <c r="AF1186" s="554">
        <v>178.87750000000003</v>
      </c>
      <c r="AG1186" s="586">
        <v>635.91051721644772</v>
      </c>
      <c r="AH1186" s="587"/>
      <c r="AK1186" s="588"/>
      <c r="AM1186" s="589"/>
      <c r="AN1186" s="591"/>
      <c r="AP1186" s="591"/>
      <c r="AQ1186" s="591"/>
    </row>
    <row r="1187" spans="1:43" s="564" customFormat="1" ht="16.5" hidden="1" customHeight="1" outlineLevel="1" collapsed="1">
      <c r="A1187" s="584"/>
      <c r="B1187" s="576" t="s">
        <v>922</v>
      </c>
      <c r="C1187" s="577">
        <f>(C1188+C1192+C1202)*12/10^3</f>
        <v>2.58</v>
      </c>
      <c r="D1187" s="577">
        <f t="shared" ref="D1187:AF1187" si="1029">(D1188+D1192+D1202)*12/10^3</f>
        <v>5.16</v>
      </c>
      <c r="E1187" s="577">
        <f t="shared" si="1029"/>
        <v>6.4102943999999997</v>
      </c>
      <c r="F1187" s="577">
        <f t="shared" si="1029"/>
        <v>6.4102943999999997</v>
      </c>
      <c r="G1187" s="577">
        <f t="shared" si="1029"/>
        <v>6.4102943999999997</v>
      </c>
      <c r="H1187" s="577">
        <f t="shared" si="1029"/>
        <v>8.2723954799999984</v>
      </c>
      <c r="I1187" s="577">
        <f t="shared" si="1029"/>
        <v>17.58290088</v>
      </c>
      <c r="J1187" s="577">
        <f t="shared" si="1029"/>
        <v>17.58290088</v>
      </c>
      <c r="K1187" s="577">
        <f t="shared" si="1029"/>
        <v>17.58290088</v>
      </c>
      <c r="L1187" s="577">
        <f t="shared" si="1029"/>
        <v>17.58290088</v>
      </c>
      <c r="M1187" s="577">
        <f t="shared" si="1029"/>
        <v>17.58290088</v>
      </c>
      <c r="N1187" s="577">
        <f t="shared" si="1029"/>
        <v>17.58290088</v>
      </c>
      <c r="O1187" s="577">
        <f t="shared" si="1029"/>
        <v>17.58290088</v>
      </c>
      <c r="P1187" s="577">
        <f t="shared" si="1029"/>
        <v>17.58290088</v>
      </c>
      <c r="Q1187" s="577">
        <f t="shared" si="1029"/>
        <v>17.58290088</v>
      </c>
      <c r="R1187" s="577">
        <f t="shared" si="1029"/>
        <v>17.58290088</v>
      </c>
      <c r="S1187" s="577">
        <f t="shared" si="1029"/>
        <v>17.58290088</v>
      </c>
      <c r="T1187" s="577">
        <f t="shared" si="1029"/>
        <v>17.58290088</v>
      </c>
      <c r="U1187" s="577">
        <f t="shared" si="1029"/>
        <v>17.58290088</v>
      </c>
      <c r="V1187" s="577">
        <f t="shared" si="1029"/>
        <v>17.58290088</v>
      </c>
      <c r="W1187" s="577">
        <f t="shared" si="1029"/>
        <v>17.58290088</v>
      </c>
      <c r="X1187" s="577">
        <f t="shared" si="1029"/>
        <v>17.58290088</v>
      </c>
      <c r="Y1187" s="577">
        <f t="shared" si="1029"/>
        <v>17.58290088</v>
      </c>
      <c r="Z1187" s="577">
        <f t="shared" si="1029"/>
        <v>17.58290088</v>
      </c>
      <c r="AA1187" s="577">
        <f t="shared" si="1029"/>
        <v>17.58290088</v>
      </c>
      <c r="AB1187" s="577">
        <f t="shared" si="1029"/>
        <v>17.58290088</v>
      </c>
      <c r="AC1187" s="577">
        <f t="shared" si="1029"/>
        <v>17.58290088</v>
      </c>
      <c r="AD1187" s="577">
        <f t="shared" si="1029"/>
        <v>17.58290088</v>
      </c>
      <c r="AE1187" s="577">
        <f t="shared" si="1029"/>
        <v>17.58290088</v>
      </c>
      <c r="AF1187" s="577">
        <f t="shared" si="1029"/>
        <v>17.58290088</v>
      </c>
      <c r="AH1187" s="565">
        <f>SUM(C1187:AF1187)</f>
        <v>457.23289980000015</v>
      </c>
      <c r="AJ1187" s="579"/>
      <c r="AK1187" s="531"/>
      <c r="AM1187" s="594"/>
      <c r="AN1187" s="535"/>
      <c r="AP1187" s="568"/>
      <c r="AQ1187" s="568"/>
    </row>
    <row r="1188" spans="1:43" s="564" customFormat="1" ht="15.75" hidden="1" customHeight="1" outlineLevel="2">
      <c r="A1188" s="584"/>
      <c r="B1188" s="656" t="s">
        <v>852</v>
      </c>
      <c r="C1188" s="555">
        <f>C1189</f>
        <v>215</v>
      </c>
      <c r="D1188" s="555">
        <f>D1189</f>
        <v>430</v>
      </c>
      <c r="E1188" s="555">
        <f t="shared" ref="E1188:AF1188" si="1030">E1189</f>
        <v>430</v>
      </c>
      <c r="F1188" s="555">
        <f t="shared" si="1030"/>
        <v>430</v>
      </c>
      <c r="G1188" s="555">
        <f t="shared" si="1030"/>
        <v>430</v>
      </c>
      <c r="H1188" s="555">
        <f t="shared" si="1030"/>
        <v>430</v>
      </c>
      <c r="I1188" s="555">
        <f t="shared" si="1030"/>
        <v>430</v>
      </c>
      <c r="J1188" s="555">
        <f t="shared" si="1030"/>
        <v>430</v>
      </c>
      <c r="K1188" s="555">
        <f t="shared" si="1030"/>
        <v>430</v>
      </c>
      <c r="L1188" s="555">
        <f t="shared" si="1030"/>
        <v>430</v>
      </c>
      <c r="M1188" s="555">
        <f t="shared" si="1030"/>
        <v>430</v>
      </c>
      <c r="N1188" s="555">
        <f t="shared" si="1030"/>
        <v>430</v>
      </c>
      <c r="O1188" s="555">
        <f t="shared" si="1030"/>
        <v>430</v>
      </c>
      <c r="P1188" s="555">
        <f t="shared" si="1030"/>
        <v>430</v>
      </c>
      <c r="Q1188" s="555">
        <f t="shared" si="1030"/>
        <v>430</v>
      </c>
      <c r="R1188" s="555">
        <f t="shared" si="1030"/>
        <v>430</v>
      </c>
      <c r="S1188" s="555">
        <f t="shared" si="1030"/>
        <v>430</v>
      </c>
      <c r="T1188" s="555">
        <f t="shared" si="1030"/>
        <v>430</v>
      </c>
      <c r="U1188" s="555">
        <f t="shared" si="1030"/>
        <v>430</v>
      </c>
      <c r="V1188" s="555">
        <f t="shared" si="1030"/>
        <v>430</v>
      </c>
      <c r="W1188" s="555">
        <f t="shared" si="1030"/>
        <v>430</v>
      </c>
      <c r="X1188" s="555">
        <f t="shared" si="1030"/>
        <v>430</v>
      </c>
      <c r="Y1188" s="555">
        <f t="shared" si="1030"/>
        <v>430</v>
      </c>
      <c r="Z1188" s="555">
        <f t="shared" si="1030"/>
        <v>430</v>
      </c>
      <c r="AA1188" s="555">
        <f t="shared" si="1030"/>
        <v>430</v>
      </c>
      <c r="AB1188" s="555">
        <f t="shared" si="1030"/>
        <v>430</v>
      </c>
      <c r="AC1188" s="555">
        <f t="shared" si="1030"/>
        <v>430</v>
      </c>
      <c r="AD1188" s="555">
        <f t="shared" si="1030"/>
        <v>430</v>
      </c>
      <c r="AE1188" s="555">
        <f t="shared" si="1030"/>
        <v>430</v>
      </c>
      <c r="AF1188" s="555">
        <f t="shared" si="1030"/>
        <v>430</v>
      </c>
      <c r="AH1188" s="753"/>
      <c r="AK1188" s="531"/>
      <c r="AM1188" s="732"/>
      <c r="AN1188" s="667"/>
      <c r="AP1188" s="568"/>
      <c r="AQ1188" s="568"/>
    </row>
    <row r="1189" spans="1:43" s="513" customFormat="1" ht="16.5" hidden="1" customHeight="1" outlineLevel="2">
      <c r="A1189" s="584"/>
      <c r="B1189" s="603" t="s">
        <v>1018</v>
      </c>
      <c r="C1189" s="570">
        <f>C1190*C1191</f>
        <v>215</v>
      </c>
      <c r="D1189" s="570">
        <f>D1190*D1191</f>
        <v>430</v>
      </c>
      <c r="E1189" s="570">
        <f t="shared" ref="E1189:AF1189" si="1031">E1190*E1191</f>
        <v>430</v>
      </c>
      <c r="F1189" s="570">
        <f t="shared" si="1031"/>
        <v>430</v>
      </c>
      <c r="G1189" s="570">
        <f t="shared" si="1031"/>
        <v>430</v>
      </c>
      <c r="H1189" s="570">
        <f t="shared" si="1031"/>
        <v>430</v>
      </c>
      <c r="I1189" s="570">
        <f t="shared" si="1031"/>
        <v>430</v>
      </c>
      <c r="J1189" s="570">
        <f t="shared" si="1031"/>
        <v>430</v>
      </c>
      <c r="K1189" s="570">
        <f t="shared" si="1031"/>
        <v>430</v>
      </c>
      <c r="L1189" s="570">
        <f t="shared" si="1031"/>
        <v>430</v>
      </c>
      <c r="M1189" s="570">
        <f t="shared" si="1031"/>
        <v>430</v>
      </c>
      <c r="N1189" s="570">
        <f t="shared" si="1031"/>
        <v>430</v>
      </c>
      <c r="O1189" s="570">
        <f t="shared" si="1031"/>
        <v>430</v>
      </c>
      <c r="P1189" s="570">
        <f t="shared" si="1031"/>
        <v>430</v>
      </c>
      <c r="Q1189" s="570">
        <f t="shared" si="1031"/>
        <v>430</v>
      </c>
      <c r="R1189" s="570">
        <f t="shared" si="1031"/>
        <v>430</v>
      </c>
      <c r="S1189" s="570">
        <f t="shared" si="1031"/>
        <v>430</v>
      </c>
      <c r="T1189" s="570">
        <f t="shared" si="1031"/>
        <v>430</v>
      </c>
      <c r="U1189" s="570">
        <f t="shared" si="1031"/>
        <v>430</v>
      </c>
      <c r="V1189" s="570">
        <f t="shared" si="1031"/>
        <v>430</v>
      </c>
      <c r="W1189" s="570">
        <f t="shared" si="1031"/>
        <v>430</v>
      </c>
      <c r="X1189" s="570">
        <f t="shared" si="1031"/>
        <v>430</v>
      </c>
      <c r="Y1189" s="570">
        <f t="shared" si="1031"/>
        <v>430</v>
      </c>
      <c r="Z1189" s="570">
        <f t="shared" si="1031"/>
        <v>430</v>
      </c>
      <c r="AA1189" s="570">
        <f t="shared" si="1031"/>
        <v>430</v>
      </c>
      <c r="AB1189" s="570">
        <f t="shared" si="1031"/>
        <v>430</v>
      </c>
      <c r="AC1189" s="570">
        <f t="shared" si="1031"/>
        <v>430</v>
      </c>
      <c r="AD1189" s="570">
        <f t="shared" si="1031"/>
        <v>430</v>
      </c>
      <c r="AE1189" s="570">
        <f t="shared" si="1031"/>
        <v>430</v>
      </c>
      <c r="AF1189" s="570">
        <f t="shared" si="1031"/>
        <v>430</v>
      </c>
      <c r="AH1189" s="538"/>
      <c r="AK1189" s="531"/>
      <c r="AM1189" s="594"/>
      <c r="AN1189" s="535"/>
      <c r="AP1189" s="540"/>
      <c r="AQ1189" s="540"/>
    </row>
    <row r="1190" spans="1:43" s="513" customFormat="1" ht="16.5" hidden="1" customHeight="1" outlineLevel="2">
      <c r="A1190" s="584"/>
      <c r="B1190" s="596" t="s">
        <v>805</v>
      </c>
      <c r="C1190" s="716">
        <v>500</v>
      </c>
      <c r="D1190" s="716">
        <v>1000</v>
      </c>
      <c r="E1190" s="716">
        <v>1000</v>
      </c>
      <c r="F1190" s="716">
        <v>1000</v>
      </c>
      <c r="G1190" s="721">
        <v>1000</v>
      </c>
      <c r="H1190" s="721">
        <v>1000</v>
      </c>
      <c r="I1190" s="721">
        <v>1000</v>
      </c>
      <c r="J1190" s="721">
        <v>1000</v>
      </c>
      <c r="K1190" s="721">
        <v>1000</v>
      </c>
      <c r="L1190" s="721">
        <v>1000</v>
      </c>
      <c r="M1190" s="721">
        <v>1000</v>
      </c>
      <c r="N1190" s="721">
        <v>1000</v>
      </c>
      <c r="O1190" s="721">
        <v>1000</v>
      </c>
      <c r="P1190" s="721">
        <v>1000</v>
      </c>
      <c r="Q1190" s="721">
        <v>1000</v>
      </c>
      <c r="R1190" s="721">
        <v>1000</v>
      </c>
      <c r="S1190" s="721">
        <v>1000</v>
      </c>
      <c r="T1190" s="721">
        <v>1000</v>
      </c>
      <c r="U1190" s="721">
        <v>1000</v>
      </c>
      <c r="V1190" s="721">
        <v>1000</v>
      </c>
      <c r="W1190" s="721">
        <v>1000</v>
      </c>
      <c r="X1190" s="721">
        <v>1000</v>
      </c>
      <c r="Y1190" s="721">
        <v>1000</v>
      </c>
      <c r="Z1190" s="721">
        <v>1000</v>
      </c>
      <c r="AA1190" s="721">
        <v>1000</v>
      </c>
      <c r="AB1190" s="721">
        <v>1000</v>
      </c>
      <c r="AC1190" s="721">
        <v>1000</v>
      </c>
      <c r="AD1190" s="721">
        <v>1000</v>
      </c>
      <c r="AE1190" s="721">
        <v>1000</v>
      </c>
      <c r="AF1190" s="721">
        <v>1000</v>
      </c>
      <c r="AH1190" s="538"/>
      <c r="AK1190" s="719"/>
      <c r="AM1190" s="594"/>
      <c r="AN1190" s="535"/>
      <c r="AP1190" s="540"/>
      <c r="AQ1190" s="540"/>
    </row>
    <row r="1191" spans="1:43" s="513" customFormat="1" ht="16.5" hidden="1" customHeight="1" outlineLevel="2">
      <c r="A1191" s="584"/>
      <c r="B1191" s="596" t="s">
        <v>924</v>
      </c>
      <c r="C1191" s="676">
        <f>Insumos!$E$66</f>
        <v>0.43</v>
      </c>
      <c r="D1191" s="676">
        <f>C1191</f>
        <v>0.43</v>
      </c>
      <c r="E1191" s="676">
        <f t="shared" ref="E1191:AF1191" si="1032">D1191</f>
        <v>0.43</v>
      </c>
      <c r="F1191" s="676">
        <f t="shared" si="1032"/>
        <v>0.43</v>
      </c>
      <c r="G1191" s="676">
        <f t="shared" si="1032"/>
        <v>0.43</v>
      </c>
      <c r="H1191" s="676">
        <f t="shared" si="1032"/>
        <v>0.43</v>
      </c>
      <c r="I1191" s="676">
        <f t="shared" si="1032"/>
        <v>0.43</v>
      </c>
      <c r="J1191" s="676">
        <f t="shared" si="1032"/>
        <v>0.43</v>
      </c>
      <c r="K1191" s="676">
        <f t="shared" si="1032"/>
        <v>0.43</v>
      </c>
      <c r="L1191" s="676">
        <f t="shared" si="1032"/>
        <v>0.43</v>
      </c>
      <c r="M1191" s="676">
        <f t="shared" si="1032"/>
        <v>0.43</v>
      </c>
      <c r="N1191" s="676">
        <f t="shared" si="1032"/>
        <v>0.43</v>
      </c>
      <c r="O1191" s="676">
        <f t="shared" si="1032"/>
        <v>0.43</v>
      </c>
      <c r="P1191" s="676">
        <f t="shared" si="1032"/>
        <v>0.43</v>
      </c>
      <c r="Q1191" s="676">
        <f t="shared" si="1032"/>
        <v>0.43</v>
      </c>
      <c r="R1191" s="676">
        <f t="shared" si="1032"/>
        <v>0.43</v>
      </c>
      <c r="S1191" s="676">
        <f t="shared" si="1032"/>
        <v>0.43</v>
      </c>
      <c r="T1191" s="676">
        <f t="shared" si="1032"/>
        <v>0.43</v>
      </c>
      <c r="U1191" s="676">
        <f t="shared" si="1032"/>
        <v>0.43</v>
      </c>
      <c r="V1191" s="676">
        <f t="shared" si="1032"/>
        <v>0.43</v>
      </c>
      <c r="W1191" s="676">
        <f t="shared" si="1032"/>
        <v>0.43</v>
      </c>
      <c r="X1191" s="676">
        <f t="shared" si="1032"/>
        <v>0.43</v>
      </c>
      <c r="Y1191" s="676">
        <f t="shared" si="1032"/>
        <v>0.43</v>
      </c>
      <c r="Z1191" s="676">
        <f t="shared" si="1032"/>
        <v>0.43</v>
      </c>
      <c r="AA1191" s="676">
        <f t="shared" si="1032"/>
        <v>0.43</v>
      </c>
      <c r="AB1191" s="676">
        <f t="shared" si="1032"/>
        <v>0.43</v>
      </c>
      <c r="AC1191" s="676">
        <f t="shared" si="1032"/>
        <v>0.43</v>
      </c>
      <c r="AD1191" s="676">
        <f t="shared" si="1032"/>
        <v>0.43</v>
      </c>
      <c r="AE1191" s="676">
        <f t="shared" si="1032"/>
        <v>0.43</v>
      </c>
      <c r="AF1191" s="676">
        <f t="shared" si="1032"/>
        <v>0.43</v>
      </c>
      <c r="AH1191" s="538"/>
      <c r="AK1191" s="719"/>
      <c r="AM1191" s="594"/>
      <c r="AN1191" s="535"/>
      <c r="AP1191" s="540"/>
      <c r="AQ1191" s="540"/>
    </row>
    <row r="1192" spans="1:43" s="564" customFormat="1" ht="16.5" hidden="1" customHeight="1" outlineLevel="2">
      <c r="A1192" s="584"/>
      <c r="B1192" s="656" t="s">
        <v>854</v>
      </c>
      <c r="C1192" s="555">
        <f>C1193+C1196+C1199</f>
        <v>0</v>
      </c>
      <c r="D1192" s="555">
        <f t="shared" ref="D1192:AF1192" si="1033">D1193+D1196+D1199</f>
        <v>0</v>
      </c>
      <c r="E1192" s="555">
        <f t="shared" si="1033"/>
        <v>104.19120000000001</v>
      </c>
      <c r="F1192" s="555">
        <f t="shared" si="1033"/>
        <v>104.19120000000001</v>
      </c>
      <c r="G1192" s="555">
        <f t="shared" si="1033"/>
        <v>104.19120000000001</v>
      </c>
      <c r="H1192" s="555">
        <f t="shared" si="1033"/>
        <v>104.19120000000001</v>
      </c>
      <c r="I1192" s="555">
        <f t="shared" si="1033"/>
        <v>104.19120000000001</v>
      </c>
      <c r="J1192" s="555">
        <f t="shared" si="1033"/>
        <v>104.19120000000001</v>
      </c>
      <c r="K1192" s="555">
        <f t="shared" si="1033"/>
        <v>104.19120000000001</v>
      </c>
      <c r="L1192" s="555">
        <f t="shared" si="1033"/>
        <v>104.19120000000001</v>
      </c>
      <c r="M1192" s="555">
        <f t="shared" si="1033"/>
        <v>104.19120000000001</v>
      </c>
      <c r="N1192" s="555">
        <f t="shared" si="1033"/>
        <v>104.19120000000001</v>
      </c>
      <c r="O1192" s="555">
        <f t="shared" si="1033"/>
        <v>104.19120000000001</v>
      </c>
      <c r="P1192" s="555">
        <f t="shared" si="1033"/>
        <v>104.19120000000001</v>
      </c>
      <c r="Q1192" s="555">
        <f t="shared" si="1033"/>
        <v>104.19120000000001</v>
      </c>
      <c r="R1192" s="555">
        <f t="shared" si="1033"/>
        <v>104.19120000000001</v>
      </c>
      <c r="S1192" s="555">
        <f t="shared" si="1033"/>
        <v>104.19120000000001</v>
      </c>
      <c r="T1192" s="555">
        <f t="shared" si="1033"/>
        <v>104.19120000000001</v>
      </c>
      <c r="U1192" s="555">
        <f t="shared" si="1033"/>
        <v>104.19120000000001</v>
      </c>
      <c r="V1192" s="555">
        <f t="shared" si="1033"/>
        <v>104.19120000000001</v>
      </c>
      <c r="W1192" s="555">
        <f t="shared" si="1033"/>
        <v>104.19120000000001</v>
      </c>
      <c r="X1192" s="555">
        <f t="shared" si="1033"/>
        <v>104.19120000000001</v>
      </c>
      <c r="Y1192" s="555">
        <f t="shared" si="1033"/>
        <v>104.19120000000001</v>
      </c>
      <c r="Z1192" s="555">
        <f t="shared" si="1033"/>
        <v>104.19120000000001</v>
      </c>
      <c r="AA1192" s="555">
        <f t="shared" si="1033"/>
        <v>104.19120000000001</v>
      </c>
      <c r="AB1192" s="555">
        <f t="shared" si="1033"/>
        <v>104.19120000000001</v>
      </c>
      <c r="AC1192" s="555">
        <f t="shared" si="1033"/>
        <v>104.19120000000001</v>
      </c>
      <c r="AD1192" s="555">
        <f t="shared" si="1033"/>
        <v>104.19120000000001</v>
      </c>
      <c r="AE1192" s="555">
        <f t="shared" si="1033"/>
        <v>104.19120000000001</v>
      </c>
      <c r="AF1192" s="555">
        <f t="shared" si="1033"/>
        <v>104.19120000000001</v>
      </c>
      <c r="AH1192" s="753"/>
      <c r="AK1192" s="531"/>
      <c r="AM1192" s="732"/>
      <c r="AN1192" s="667"/>
      <c r="AP1192" s="568"/>
      <c r="AQ1192" s="568"/>
    </row>
    <row r="1193" spans="1:43" s="546" customFormat="1" ht="16.5" hidden="1" customHeight="1" outlineLevel="2">
      <c r="A1193" s="584"/>
      <c r="B1193" s="569" t="s">
        <v>978</v>
      </c>
      <c r="C1193" s="581">
        <f>C1194*C1195</f>
        <v>0</v>
      </c>
      <c r="D1193" s="581">
        <f t="shared" ref="D1193:AF1193" si="1034">D1194*D1195</f>
        <v>0</v>
      </c>
      <c r="E1193" s="581">
        <f t="shared" si="1034"/>
        <v>23</v>
      </c>
      <c r="F1193" s="581">
        <f t="shared" si="1034"/>
        <v>23</v>
      </c>
      <c r="G1193" s="581">
        <f t="shared" si="1034"/>
        <v>23</v>
      </c>
      <c r="H1193" s="581">
        <f t="shared" si="1034"/>
        <v>23</v>
      </c>
      <c r="I1193" s="581">
        <f t="shared" si="1034"/>
        <v>23</v>
      </c>
      <c r="J1193" s="581">
        <f t="shared" si="1034"/>
        <v>23</v>
      </c>
      <c r="K1193" s="581">
        <f t="shared" si="1034"/>
        <v>23</v>
      </c>
      <c r="L1193" s="581">
        <f t="shared" si="1034"/>
        <v>23</v>
      </c>
      <c r="M1193" s="581">
        <f t="shared" si="1034"/>
        <v>23</v>
      </c>
      <c r="N1193" s="581">
        <f t="shared" si="1034"/>
        <v>23</v>
      </c>
      <c r="O1193" s="581">
        <f t="shared" si="1034"/>
        <v>23</v>
      </c>
      <c r="P1193" s="581">
        <f t="shared" si="1034"/>
        <v>23</v>
      </c>
      <c r="Q1193" s="581">
        <f t="shared" si="1034"/>
        <v>23</v>
      </c>
      <c r="R1193" s="581">
        <f t="shared" si="1034"/>
        <v>23</v>
      </c>
      <c r="S1193" s="581">
        <f t="shared" si="1034"/>
        <v>23</v>
      </c>
      <c r="T1193" s="581">
        <f t="shared" si="1034"/>
        <v>23</v>
      </c>
      <c r="U1193" s="581">
        <f t="shared" si="1034"/>
        <v>23</v>
      </c>
      <c r="V1193" s="581">
        <f t="shared" si="1034"/>
        <v>23</v>
      </c>
      <c r="W1193" s="581">
        <f t="shared" si="1034"/>
        <v>23</v>
      </c>
      <c r="X1193" s="581">
        <f t="shared" si="1034"/>
        <v>23</v>
      </c>
      <c r="Y1193" s="581">
        <f t="shared" si="1034"/>
        <v>23</v>
      </c>
      <c r="Z1193" s="581">
        <f t="shared" si="1034"/>
        <v>23</v>
      </c>
      <c r="AA1193" s="581">
        <f t="shared" si="1034"/>
        <v>23</v>
      </c>
      <c r="AB1193" s="581">
        <f t="shared" si="1034"/>
        <v>23</v>
      </c>
      <c r="AC1193" s="581">
        <f t="shared" si="1034"/>
        <v>23</v>
      </c>
      <c r="AD1193" s="581">
        <f t="shared" si="1034"/>
        <v>23</v>
      </c>
      <c r="AE1193" s="581">
        <f t="shared" si="1034"/>
        <v>23</v>
      </c>
      <c r="AF1193" s="581">
        <f t="shared" si="1034"/>
        <v>23</v>
      </c>
      <c r="AH1193" s="571"/>
      <c r="AK1193" s="531"/>
      <c r="AM1193" s="594"/>
      <c r="AN1193" s="535"/>
      <c r="AP1193" s="549"/>
      <c r="AQ1193" s="549"/>
    </row>
    <row r="1194" spans="1:43" s="513" customFormat="1" ht="16.5" hidden="1" customHeight="1" outlineLevel="2">
      <c r="A1194" s="584"/>
      <c r="B1194" s="596" t="s">
        <v>805</v>
      </c>
      <c r="C1194" s="716">
        <v>0</v>
      </c>
      <c r="D1194" s="716">
        <v>0</v>
      </c>
      <c r="E1194" s="716">
        <v>1</v>
      </c>
      <c r="F1194" s="716">
        <f t="shared" ref="F1194:U1195" si="1035">E1194</f>
        <v>1</v>
      </c>
      <c r="G1194" s="721">
        <f t="shared" si="1035"/>
        <v>1</v>
      </c>
      <c r="H1194" s="721">
        <f t="shared" si="1035"/>
        <v>1</v>
      </c>
      <c r="I1194" s="721">
        <f t="shared" si="1035"/>
        <v>1</v>
      </c>
      <c r="J1194" s="721">
        <f t="shared" si="1035"/>
        <v>1</v>
      </c>
      <c r="K1194" s="721">
        <f t="shared" si="1035"/>
        <v>1</v>
      </c>
      <c r="L1194" s="721">
        <f t="shared" si="1035"/>
        <v>1</v>
      </c>
      <c r="M1194" s="721">
        <f t="shared" si="1035"/>
        <v>1</v>
      </c>
      <c r="N1194" s="721">
        <f t="shared" si="1035"/>
        <v>1</v>
      </c>
      <c r="O1194" s="721">
        <f t="shared" si="1035"/>
        <v>1</v>
      </c>
      <c r="P1194" s="721">
        <f t="shared" si="1035"/>
        <v>1</v>
      </c>
      <c r="Q1194" s="721">
        <f t="shared" si="1035"/>
        <v>1</v>
      </c>
      <c r="R1194" s="721">
        <f t="shared" si="1035"/>
        <v>1</v>
      </c>
      <c r="S1194" s="721">
        <f t="shared" si="1035"/>
        <v>1</v>
      </c>
      <c r="T1194" s="721">
        <f t="shared" si="1035"/>
        <v>1</v>
      </c>
      <c r="U1194" s="721">
        <f t="shared" si="1035"/>
        <v>1</v>
      </c>
      <c r="V1194" s="721">
        <f t="shared" ref="V1194:W1195" si="1036">U1194</f>
        <v>1</v>
      </c>
      <c r="W1194" s="721">
        <f>V1194</f>
        <v>1</v>
      </c>
      <c r="X1194" s="721">
        <f t="shared" ref="X1194:AF1195" si="1037">W1194</f>
        <v>1</v>
      </c>
      <c r="Y1194" s="721">
        <f t="shared" si="1037"/>
        <v>1</v>
      </c>
      <c r="Z1194" s="721">
        <f t="shared" si="1037"/>
        <v>1</v>
      </c>
      <c r="AA1194" s="721">
        <f t="shared" si="1037"/>
        <v>1</v>
      </c>
      <c r="AB1194" s="721">
        <f t="shared" si="1037"/>
        <v>1</v>
      </c>
      <c r="AC1194" s="721">
        <f t="shared" si="1037"/>
        <v>1</v>
      </c>
      <c r="AD1194" s="721">
        <f t="shared" si="1037"/>
        <v>1</v>
      </c>
      <c r="AE1194" s="721">
        <f t="shared" si="1037"/>
        <v>1</v>
      </c>
      <c r="AF1194" s="721">
        <f t="shared" si="1037"/>
        <v>1</v>
      </c>
      <c r="AH1194" s="538"/>
      <c r="AK1194" s="719"/>
      <c r="AM1194" s="594"/>
      <c r="AN1194" s="535"/>
      <c r="AP1194" s="540"/>
      <c r="AQ1194" s="540"/>
    </row>
    <row r="1195" spans="1:43" s="513" customFormat="1" ht="16.5" hidden="1" customHeight="1" outlineLevel="2">
      <c r="A1195" s="584"/>
      <c r="B1195" s="572" t="s">
        <v>924</v>
      </c>
      <c r="C1195" s="592">
        <f>Insumos!$E$68</f>
        <v>23</v>
      </c>
      <c r="D1195" s="605">
        <f t="shared" ref="D1195:E1195" si="1038">C1195</f>
        <v>23</v>
      </c>
      <c r="E1195" s="605">
        <f t="shared" si="1038"/>
        <v>23</v>
      </c>
      <c r="F1195" s="605">
        <f t="shared" si="1035"/>
        <v>23</v>
      </c>
      <c r="G1195" s="605">
        <f t="shared" si="1035"/>
        <v>23</v>
      </c>
      <c r="H1195" s="605">
        <f t="shared" si="1035"/>
        <v>23</v>
      </c>
      <c r="I1195" s="605">
        <f t="shared" si="1035"/>
        <v>23</v>
      </c>
      <c r="J1195" s="605">
        <f t="shared" si="1035"/>
        <v>23</v>
      </c>
      <c r="K1195" s="605">
        <f t="shared" si="1035"/>
        <v>23</v>
      </c>
      <c r="L1195" s="605">
        <f t="shared" si="1035"/>
        <v>23</v>
      </c>
      <c r="M1195" s="605">
        <f t="shared" si="1035"/>
        <v>23</v>
      </c>
      <c r="N1195" s="605">
        <f t="shared" si="1035"/>
        <v>23</v>
      </c>
      <c r="O1195" s="605">
        <f t="shared" si="1035"/>
        <v>23</v>
      </c>
      <c r="P1195" s="605">
        <f t="shared" si="1035"/>
        <v>23</v>
      </c>
      <c r="Q1195" s="605">
        <f t="shared" si="1035"/>
        <v>23</v>
      </c>
      <c r="R1195" s="605">
        <f t="shared" si="1035"/>
        <v>23</v>
      </c>
      <c r="S1195" s="605">
        <f t="shared" si="1035"/>
        <v>23</v>
      </c>
      <c r="T1195" s="605">
        <f t="shared" si="1035"/>
        <v>23</v>
      </c>
      <c r="U1195" s="605">
        <f t="shared" si="1035"/>
        <v>23</v>
      </c>
      <c r="V1195" s="605">
        <f t="shared" si="1036"/>
        <v>23</v>
      </c>
      <c r="W1195" s="605">
        <f t="shared" si="1036"/>
        <v>23</v>
      </c>
      <c r="X1195" s="605">
        <f t="shared" si="1037"/>
        <v>23</v>
      </c>
      <c r="Y1195" s="605">
        <f t="shared" si="1037"/>
        <v>23</v>
      </c>
      <c r="Z1195" s="605">
        <f t="shared" si="1037"/>
        <v>23</v>
      </c>
      <c r="AA1195" s="605">
        <f t="shared" si="1037"/>
        <v>23</v>
      </c>
      <c r="AB1195" s="605">
        <f t="shared" si="1037"/>
        <v>23</v>
      </c>
      <c r="AC1195" s="605">
        <f t="shared" si="1037"/>
        <v>23</v>
      </c>
      <c r="AD1195" s="605">
        <f t="shared" si="1037"/>
        <v>23</v>
      </c>
      <c r="AE1195" s="605">
        <f t="shared" si="1037"/>
        <v>23</v>
      </c>
      <c r="AF1195" s="605">
        <f t="shared" si="1037"/>
        <v>23</v>
      </c>
      <c r="AH1195" s="538"/>
      <c r="AK1195" s="531"/>
      <c r="AM1195" s="594"/>
      <c r="AN1195" s="535"/>
      <c r="AP1195" s="540"/>
      <c r="AQ1195" s="540"/>
    </row>
    <row r="1196" spans="1:43" s="546" customFormat="1" ht="16.5" hidden="1" customHeight="1" outlineLevel="2">
      <c r="A1196" s="584"/>
      <c r="B1196" s="569" t="s">
        <v>979</v>
      </c>
      <c r="C1196" s="581">
        <f>C1197*C1198</f>
        <v>0</v>
      </c>
      <c r="D1196" s="581">
        <f>D1197*D1198</f>
        <v>0</v>
      </c>
      <c r="E1196" s="581">
        <f t="shared" ref="E1196:AF1196" si="1039">E1197*E1198</f>
        <v>22.2912</v>
      </c>
      <c r="F1196" s="581">
        <f t="shared" si="1039"/>
        <v>22.2912</v>
      </c>
      <c r="G1196" s="581">
        <f t="shared" si="1039"/>
        <v>22.2912</v>
      </c>
      <c r="H1196" s="581">
        <f t="shared" si="1039"/>
        <v>22.2912</v>
      </c>
      <c r="I1196" s="581">
        <f t="shared" si="1039"/>
        <v>22.2912</v>
      </c>
      <c r="J1196" s="581">
        <f t="shared" si="1039"/>
        <v>22.2912</v>
      </c>
      <c r="K1196" s="581">
        <f t="shared" si="1039"/>
        <v>22.2912</v>
      </c>
      <c r="L1196" s="581">
        <f t="shared" si="1039"/>
        <v>22.2912</v>
      </c>
      <c r="M1196" s="581">
        <f t="shared" si="1039"/>
        <v>22.2912</v>
      </c>
      <c r="N1196" s="581">
        <f t="shared" si="1039"/>
        <v>22.2912</v>
      </c>
      <c r="O1196" s="581">
        <f t="shared" si="1039"/>
        <v>22.2912</v>
      </c>
      <c r="P1196" s="581">
        <f t="shared" si="1039"/>
        <v>22.2912</v>
      </c>
      <c r="Q1196" s="581">
        <f t="shared" si="1039"/>
        <v>22.2912</v>
      </c>
      <c r="R1196" s="581">
        <f t="shared" si="1039"/>
        <v>22.2912</v>
      </c>
      <c r="S1196" s="581">
        <f t="shared" si="1039"/>
        <v>22.2912</v>
      </c>
      <c r="T1196" s="581">
        <f t="shared" si="1039"/>
        <v>22.2912</v>
      </c>
      <c r="U1196" s="581">
        <f t="shared" si="1039"/>
        <v>22.2912</v>
      </c>
      <c r="V1196" s="581">
        <f t="shared" si="1039"/>
        <v>22.2912</v>
      </c>
      <c r="W1196" s="581">
        <f t="shared" si="1039"/>
        <v>22.2912</v>
      </c>
      <c r="X1196" s="581">
        <f t="shared" si="1039"/>
        <v>22.2912</v>
      </c>
      <c r="Y1196" s="581">
        <f t="shared" si="1039"/>
        <v>22.2912</v>
      </c>
      <c r="Z1196" s="581">
        <f t="shared" si="1039"/>
        <v>22.2912</v>
      </c>
      <c r="AA1196" s="581">
        <f t="shared" si="1039"/>
        <v>22.2912</v>
      </c>
      <c r="AB1196" s="581">
        <f t="shared" si="1039"/>
        <v>22.2912</v>
      </c>
      <c r="AC1196" s="581">
        <f t="shared" si="1039"/>
        <v>22.2912</v>
      </c>
      <c r="AD1196" s="581">
        <f t="shared" si="1039"/>
        <v>22.2912</v>
      </c>
      <c r="AE1196" s="581">
        <f t="shared" si="1039"/>
        <v>22.2912</v>
      </c>
      <c r="AF1196" s="581">
        <f t="shared" si="1039"/>
        <v>22.2912</v>
      </c>
      <c r="AH1196" s="571"/>
      <c r="AK1196" s="531"/>
      <c r="AM1196" s="594"/>
      <c r="AN1196" s="535"/>
      <c r="AP1196" s="549"/>
      <c r="AQ1196" s="549"/>
    </row>
    <row r="1197" spans="1:43" s="513" customFormat="1" ht="16.5" hidden="1" customHeight="1" outlineLevel="2">
      <c r="A1197" s="584"/>
      <c r="B1197" s="596" t="s">
        <v>805</v>
      </c>
      <c r="C1197" s="716">
        <v>0</v>
      </c>
      <c r="D1197" s="716">
        <v>0</v>
      </c>
      <c r="E1197" s="716">
        <f>2*25.92</f>
        <v>51.84</v>
      </c>
      <c r="F1197" s="716">
        <f t="shared" ref="F1197:U1198" si="1040">E1197</f>
        <v>51.84</v>
      </c>
      <c r="G1197" s="721">
        <f t="shared" si="1040"/>
        <v>51.84</v>
      </c>
      <c r="H1197" s="721">
        <f t="shared" si="1040"/>
        <v>51.84</v>
      </c>
      <c r="I1197" s="721">
        <f t="shared" si="1040"/>
        <v>51.84</v>
      </c>
      <c r="J1197" s="721">
        <f t="shared" si="1040"/>
        <v>51.84</v>
      </c>
      <c r="K1197" s="721">
        <f t="shared" si="1040"/>
        <v>51.84</v>
      </c>
      <c r="L1197" s="721">
        <f t="shared" si="1040"/>
        <v>51.84</v>
      </c>
      <c r="M1197" s="721">
        <f t="shared" si="1040"/>
        <v>51.84</v>
      </c>
      <c r="N1197" s="721">
        <f t="shared" si="1040"/>
        <v>51.84</v>
      </c>
      <c r="O1197" s="721">
        <f t="shared" si="1040"/>
        <v>51.84</v>
      </c>
      <c r="P1197" s="721">
        <f t="shared" si="1040"/>
        <v>51.84</v>
      </c>
      <c r="Q1197" s="721">
        <f t="shared" si="1040"/>
        <v>51.84</v>
      </c>
      <c r="R1197" s="721">
        <f t="shared" si="1040"/>
        <v>51.84</v>
      </c>
      <c r="S1197" s="721">
        <f t="shared" si="1040"/>
        <v>51.84</v>
      </c>
      <c r="T1197" s="721">
        <f t="shared" si="1040"/>
        <v>51.84</v>
      </c>
      <c r="U1197" s="721">
        <f t="shared" si="1040"/>
        <v>51.84</v>
      </c>
      <c r="V1197" s="721">
        <f t="shared" ref="V1197:W1198" si="1041">U1197</f>
        <v>51.84</v>
      </c>
      <c r="W1197" s="721">
        <f>V1197</f>
        <v>51.84</v>
      </c>
      <c r="X1197" s="721">
        <f t="shared" ref="X1197:AF1198" si="1042">W1197</f>
        <v>51.84</v>
      </c>
      <c r="Y1197" s="721">
        <f t="shared" si="1042"/>
        <v>51.84</v>
      </c>
      <c r="Z1197" s="721">
        <f t="shared" si="1042"/>
        <v>51.84</v>
      </c>
      <c r="AA1197" s="721">
        <f t="shared" si="1042"/>
        <v>51.84</v>
      </c>
      <c r="AB1197" s="721">
        <f t="shared" si="1042"/>
        <v>51.84</v>
      </c>
      <c r="AC1197" s="721">
        <f t="shared" si="1042"/>
        <v>51.84</v>
      </c>
      <c r="AD1197" s="721">
        <f t="shared" si="1042"/>
        <v>51.84</v>
      </c>
      <c r="AE1197" s="721">
        <f t="shared" si="1042"/>
        <v>51.84</v>
      </c>
      <c r="AF1197" s="721">
        <f t="shared" si="1042"/>
        <v>51.84</v>
      </c>
      <c r="AH1197" s="538"/>
      <c r="AK1197" s="719"/>
      <c r="AM1197" s="594"/>
      <c r="AN1197" s="535"/>
      <c r="AP1197" s="540"/>
      <c r="AQ1197" s="540"/>
    </row>
    <row r="1198" spans="1:43" s="513" customFormat="1" ht="16.5" hidden="1" customHeight="1" outlineLevel="2">
      <c r="A1198" s="584"/>
      <c r="B1198" s="572" t="s">
        <v>924</v>
      </c>
      <c r="C1198" s="638">
        <f>Insumos!$E$66</f>
        <v>0.43</v>
      </c>
      <c r="D1198" s="612">
        <f t="shared" ref="D1198:E1198" si="1043">C1198</f>
        <v>0.43</v>
      </c>
      <c r="E1198" s="612">
        <f t="shared" si="1043"/>
        <v>0.43</v>
      </c>
      <c r="F1198" s="612">
        <f t="shared" si="1040"/>
        <v>0.43</v>
      </c>
      <c r="G1198" s="612">
        <f t="shared" si="1040"/>
        <v>0.43</v>
      </c>
      <c r="H1198" s="612">
        <f t="shared" si="1040"/>
        <v>0.43</v>
      </c>
      <c r="I1198" s="612">
        <f t="shared" si="1040"/>
        <v>0.43</v>
      </c>
      <c r="J1198" s="612">
        <f t="shared" si="1040"/>
        <v>0.43</v>
      </c>
      <c r="K1198" s="612">
        <f t="shared" si="1040"/>
        <v>0.43</v>
      </c>
      <c r="L1198" s="612">
        <f t="shared" si="1040"/>
        <v>0.43</v>
      </c>
      <c r="M1198" s="612">
        <f t="shared" si="1040"/>
        <v>0.43</v>
      </c>
      <c r="N1198" s="612">
        <f t="shared" si="1040"/>
        <v>0.43</v>
      </c>
      <c r="O1198" s="612">
        <f t="shared" si="1040"/>
        <v>0.43</v>
      </c>
      <c r="P1198" s="612">
        <f t="shared" si="1040"/>
        <v>0.43</v>
      </c>
      <c r="Q1198" s="612">
        <f t="shared" si="1040"/>
        <v>0.43</v>
      </c>
      <c r="R1198" s="612">
        <f t="shared" si="1040"/>
        <v>0.43</v>
      </c>
      <c r="S1198" s="612">
        <f t="shared" si="1040"/>
        <v>0.43</v>
      </c>
      <c r="T1198" s="612">
        <f t="shared" si="1040"/>
        <v>0.43</v>
      </c>
      <c r="U1198" s="612">
        <f t="shared" si="1040"/>
        <v>0.43</v>
      </c>
      <c r="V1198" s="612">
        <f t="shared" si="1041"/>
        <v>0.43</v>
      </c>
      <c r="W1198" s="612">
        <f t="shared" si="1041"/>
        <v>0.43</v>
      </c>
      <c r="X1198" s="612">
        <f t="shared" si="1042"/>
        <v>0.43</v>
      </c>
      <c r="Y1198" s="612">
        <f t="shared" si="1042"/>
        <v>0.43</v>
      </c>
      <c r="Z1198" s="612">
        <f t="shared" si="1042"/>
        <v>0.43</v>
      </c>
      <c r="AA1198" s="612">
        <f t="shared" si="1042"/>
        <v>0.43</v>
      </c>
      <c r="AB1198" s="612">
        <f t="shared" si="1042"/>
        <v>0.43</v>
      </c>
      <c r="AC1198" s="612">
        <f t="shared" si="1042"/>
        <v>0.43</v>
      </c>
      <c r="AD1198" s="612">
        <f t="shared" si="1042"/>
        <v>0.43</v>
      </c>
      <c r="AE1198" s="612">
        <f t="shared" si="1042"/>
        <v>0.43</v>
      </c>
      <c r="AF1198" s="612">
        <f t="shared" si="1042"/>
        <v>0.43</v>
      </c>
      <c r="AH1198" s="538"/>
      <c r="AK1198" s="531"/>
      <c r="AM1198" s="594"/>
      <c r="AN1198" s="535"/>
      <c r="AP1198" s="540"/>
      <c r="AQ1198" s="540"/>
    </row>
    <row r="1199" spans="1:43" s="546" customFormat="1" ht="16.5" hidden="1" customHeight="1" outlineLevel="2">
      <c r="A1199" s="584"/>
      <c r="B1199" s="569" t="s">
        <v>925</v>
      </c>
      <c r="C1199" s="581">
        <f>C1200*C1201</f>
        <v>0</v>
      </c>
      <c r="D1199" s="581">
        <f t="shared" ref="D1199:AF1199" si="1044">D1200*D1201</f>
        <v>0</v>
      </c>
      <c r="E1199" s="581">
        <f t="shared" si="1044"/>
        <v>58.9</v>
      </c>
      <c r="F1199" s="581">
        <f t="shared" si="1044"/>
        <v>58.9</v>
      </c>
      <c r="G1199" s="581">
        <f t="shared" si="1044"/>
        <v>58.9</v>
      </c>
      <c r="H1199" s="581">
        <f t="shared" si="1044"/>
        <v>58.9</v>
      </c>
      <c r="I1199" s="581">
        <f t="shared" si="1044"/>
        <v>58.9</v>
      </c>
      <c r="J1199" s="581">
        <f t="shared" si="1044"/>
        <v>58.9</v>
      </c>
      <c r="K1199" s="581">
        <f t="shared" si="1044"/>
        <v>58.9</v>
      </c>
      <c r="L1199" s="581">
        <f t="shared" si="1044"/>
        <v>58.9</v>
      </c>
      <c r="M1199" s="581">
        <f t="shared" si="1044"/>
        <v>58.9</v>
      </c>
      <c r="N1199" s="581">
        <f t="shared" si="1044"/>
        <v>58.9</v>
      </c>
      <c r="O1199" s="581">
        <f t="shared" si="1044"/>
        <v>58.9</v>
      </c>
      <c r="P1199" s="581">
        <f t="shared" si="1044"/>
        <v>58.9</v>
      </c>
      <c r="Q1199" s="581">
        <f t="shared" si="1044"/>
        <v>58.9</v>
      </c>
      <c r="R1199" s="581">
        <f t="shared" si="1044"/>
        <v>58.9</v>
      </c>
      <c r="S1199" s="581">
        <f t="shared" si="1044"/>
        <v>58.9</v>
      </c>
      <c r="T1199" s="581">
        <f t="shared" si="1044"/>
        <v>58.9</v>
      </c>
      <c r="U1199" s="581">
        <f t="shared" si="1044"/>
        <v>58.9</v>
      </c>
      <c r="V1199" s="581">
        <f t="shared" si="1044"/>
        <v>58.9</v>
      </c>
      <c r="W1199" s="581">
        <f t="shared" si="1044"/>
        <v>58.9</v>
      </c>
      <c r="X1199" s="581">
        <f t="shared" si="1044"/>
        <v>58.9</v>
      </c>
      <c r="Y1199" s="581">
        <f t="shared" si="1044"/>
        <v>58.9</v>
      </c>
      <c r="Z1199" s="581">
        <f t="shared" si="1044"/>
        <v>58.9</v>
      </c>
      <c r="AA1199" s="581">
        <f t="shared" si="1044"/>
        <v>58.9</v>
      </c>
      <c r="AB1199" s="581">
        <f t="shared" si="1044"/>
        <v>58.9</v>
      </c>
      <c r="AC1199" s="581">
        <f t="shared" si="1044"/>
        <v>58.9</v>
      </c>
      <c r="AD1199" s="581">
        <f t="shared" si="1044"/>
        <v>58.9</v>
      </c>
      <c r="AE1199" s="581">
        <f t="shared" si="1044"/>
        <v>58.9</v>
      </c>
      <c r="AF1199" s="581">
        <f t="shared" si="1044"/>
        <v>58.9</v>
      </c>
      <c r="AH1199" s="571"/>
      <c r="AK1199" s="531"/>
      <c r="AM1199" s="594"/>
      <c r="AN1199" s="535"/>
      <c r="AP1199" s="549"/>
      <c r="AQ1199" s="549"/>
    </row>
    <row r="1200" spans="1:43" s="513" customFormat="1" ht="16.5" hidden="1" customHeight="1" outlineLevel="2">
      <c r="A1200" s="584"/>
      <c r="B1200" s="596" t="s">
        <v>805</v>
      </c>
      <c r="C1200" s="716">
        <v>0</v>
      </c>
      <c r="D1200" s="716">
        <v>0</v>
      </c>
      <c r="E1200" s="716">
        <v>1</v>
      </c>
      <c r="F1200" s="716">
        <f t="shared" ref="F1200:U1201" si="1045">E1200</f>
        <v>1</v>
      </c>
      <c r="G1200" s="721">
        <f t="shared" si="1045"/>
        <v>1</v>
      </c>
      <c r="H1200" s="721">
        <f t="shared" si="1045"/>
        <v>1</v>
      </c>
      <c r="I1200" s="721">
        <f t="shared" si="1045"/>
        <v>1</v>
      </c>
      <c r="J1200" s="721">
        <f t="shared" si="1045"/>
        <v>1</v>
      </c>
      <c r="K1200" s="721">
        <f t="shared" si="1045"/>
        <v>1</v>
      </c>
      <c r="L1200" s="721">
        <f t="shared" si="1045"/>
        <v>1</v>
      </c>
      <c r="M1200" s="721">
        <f t="shared" si="1045"/>
        <v>1</v>
      </c>
      <c r="N1200" s="721">
        <f t="shared" si="1045"/>
        <v>1</v>
      </c>
      <c r="O1200" s="721">
        <f t="shared" si="1045"/>
        <v>1</v>
      </c>
      <c r="P1200" s="721">
        <f t="shared" si="1045"/>
        <v>1</v>
      </c>
      <c r="Q1200" s="721">
        <f t="shared" si="1045"/>
        <v>1</v>
      </c>
      <c r="R1200" s="721">
        <f t="shared" si="1045"/>
        <v>1</v>
      </c>
      <c r="S1200" s="721">
        <f t="shared" si="1045"/>
        <v>1</v>
      </c>
      <c r="T1200" s="721">
        <f t="shared" si="1045"/>
        <v>1</v>
      </c>
      <c r="U1200" s="721">
        <f t="shared" si="1045"/>
        <v>1</v>
      </c>
      <c r="V1200" s="721">
        <f t="shared" ref="V1200:W1201" si="1046">U1200</f>
        <v>1</v>
      </c>
      <c r="W1200" s="721">
        <f>V1200</f>
        <v>1</v>
      </c>
      <c r="X1200" s="721">
        <f t="shared" ref="X1200:AF1201" si="1047">W1200</f>
        <v>1</v>
      </c>
      <c r="Y1200" s="721">
        <f t="shared" si="1047"/>
        <v>1</v>
      </c>
      <c r="Z1200" s="721">
        <f t="shared" si="1047"/>
        <v>1</v>
      </c>
      <c r="AA1200" s="721">
        <f t="shared" si="1047"/>
        <v>1</v>
      </c>
      <c r="AB1200" s="721">
        <f t="shared" si="1047"/>
        <v>1</v>
      </c>
      <c r="AC1200" s="721">
        <f t="shared" si="1047"/>
        <v>1</v>
      </c>
      <c r="AD1200" s="721">
        <f t="shared" si="1047"/>
        <v>1</v>
      </c>
      <c r="AE1200" s="721">
        <f t="shared" si="1047"/>
        <v>1</v>
      </c>
      <c r="AF1200" s="721">
        <f t="shared" si="1047"/>
        <v>1</v>
      </c>
      <c r="AH1200" s="538"/>
      <c r="AK1200" s="719"/>
      <c r="AM1200" s="594"/>
      <c r="AN1200" s="535"/>
      <c r="AP1200" s="540"/>
      <c r="AQ1200" s="540"/>
    </row>
    <row r="1201" spans="1:43" s="513" customFormat="1" ht="16.5" hidden="1" customHeight="1" outlineLevel="2">
      <c r="A1201" s="584"/>
      <c r="B1201" s="572" t="s">
        <v>924</v>
      </c>
      <c r="C1201" s="592">
        <f>Insumos!$E$63</f>
        <v>58.9</v>
      </c>
      <c r="D1201" s="605">
        <f t="shared" ref="D1201:E1201" si="1048">C1201</f>
        <v>58.9</v>
      </c>
      <c r="E1201" s="605">
        <f t="shared" si="1048"/>
        <v>58.9</v>
      </c>
      <c r="F1201" s="605">
        <f t="shared" si="1045"/>
        <v>58.9</v>
      </c>
      <c r="G1201" s="605">
        <f t="shared" si="1045"/>
        <v>58.9</v>
      </c>
      <c r="H1201" s="605">
        <f t="shared" si="1045"/>
        <v>58.9</v>
      </c>
      <c r="I1201" s="605">
        <f t="shared" si="1045"/>
        <v>58.9</v>
      </c>
      <c r="J1201" s="605">
        <f t="shared" si="1045"/>
        <v>58.9</v>
      </c>
      <c r="K1201" s="605">
        <f t="shared" si="1045"/>
        <v>58.9</v>
      </c>
      <c r="L1201" s="605">
        <f t="shared" si="1045"/>
        <v>58.9</v>
      </c>
      <c r="M1201" s="605">
        <f t="shared" si="1045"/>
        <v>58.9</v>
      </c>
      <c r="N1201" s="605">
        <f t="shared" si="1045"/>
        <v>58.9</v>
      </c>
      <c r="O1201" s="605">
        <f t="shared" si="1045"/>
        <v>58.9</v>
      </c>
      <c r="P1201" s="605">
        <f t="shared" si="1045"/>
        <v>58.9</v>
      </c>
      <c r="Q1201" s="605">
        <f t="shared" si="1045"/>
        <v>58.9</v>
      </c>
      <c r="R1201" s="605">
        <f t="shared" si="1045"/>
        <v>58.9</v>
      </c>
      <c r="S1201" s="605">
        <f t="shared" si="1045"/>
        <v>58.9</v>
      </c>
      <c r="T1201" s="605">
        <f t="shared" si="1045"/>
        <v>58.9</v>
      </c>
      <c r="U1201" s="605">
        <f t="shared" si="1045"/>
        <v>58.9</v>
      </c>
      <c r="V1201" s="605">
        <f t="shared" si="1046"/>
        <v>58.9</v>
      </c>
      <c r="W1201" s="605">
        <f t="shared" si="1046"/>
        <v>58.9</v>
      </c>
      <c r="X1201" s="605">
        <f t="shared" si="1047"/>
        <v>58.9</v>
      </c>
      <c r="Y1201" s="605">
        <f t="shared" si="1047"/>
        <v>58.9</v>
      </c>
      <c r="Z1201" s="605">
        <f t="shared" si="1047"/>
        <v>58.9</v>
      </c>
      <c r="AA1201" s="605">
        <f t="shared" si="1047"/>
        <v>58.9</v>
      </c>
      <c r="AB1201" s="605">
        <f t="shared" si="1047"/>
        <v>58.9</v>
      </c>
      <c r="AC1201" s="605">
        <f t="shared" si="1047"/>
        <v>58.9</v>
      </c>
      <c r="AD1201" s="605">
        <f t="shared" si="1047"/>
        <v>58.9</v>
      </c>
      <c r="AE1201" s="605">
        <f t="shared" si="1047"/>
        <v>58.9</v>
      </c>
      <c r="AF1201" s="605">
        <f t="shared" si="1047"/>
        <v>58.9</v>
      </c>
      <c r="AH1201" s="538"/>
      <c r="AK1201" s="531"/>
      <c r="AM1201" s="594"/>
      <c r="AN1201" s="535"/>
      <c r="AP1201" s="540"/>
      <c r="AQ1201" s="540"/>
    </row>
    <row r="1202" spans="1:43" s="564" customFormat="1" ht="16.5" hidden="1" customHeight="1" outlineLevel="2">
      <c r="A1202" s="584"/>
      <c r="B1202" s="656" t="s">
        <v>858</v>
      </c>
      <c r="C1202" s="555">
        <f>C1203+C1206+C1209+C1212</f>
        <v>0</v>
      </c>
      <c r="D1202" s="555">
        <f t="shared" ref="D1202:AF1202" si="1049">D1203+D1206+D1209+D1212</f>
        <v>0</v>
      </c>
      <c r="E1202" s="555">
        <f t="shared" si="1049"/>
        <v>0</v>
      </c>
      <c r="F1202" s="555">
        <f t="shared" si="1049"/>
        <v>0</v>
      </c>
      <c r="G1202" s="555">
        <f t="shared" si="1049"/>
        <v>0</v>
      </c>
      <c r="H1202" s="555">
        <f t="shared" si="1049"/>
        <v>155.17509000000001</v>
      </c>
      <c r="I1202" s="555">
        <f t="shared" si="1049"/>
        <v>931.05054000000007</v>
      </c>
      <c r="J1202" s="555">
        <f t="shared" si="1049"/>
        <v>931.05054000000007</v>
      </c>
      <c r="K1202" s="555">
        <f t="shared" si="1049"/>
        <v>931.05054000000007</v>
      </c>
      <c r="L1202" s="555">
        <f t="shared" si="1049"/>
        <v>931.05054000000007</v>
      </c>
      <c r="M1202" s="555">
        <f t="shared" si="1049"/>
        <v>931.05054000000007</v>
      </c>
      <c r="N1202" s="555">
        <f t="shared" si="1049"/>
        <v>931.05054000000007</v>
      </c>
      <c r="O1202" s="555">
        <f t="shared" si="1049"/>
        <v>931.05054000000007</v>
      </c>
      <c r="P1202" s="555">
        <f t="shared" si="1049"/>
        <v>931.05054000000007</v>
      </c>
      <c r="Q1202" s="555">
        <f t="shared" si="1049"/>
        <v>931.05054000000007</v>
      </c>
      <c r="R1202" s="555">
        <f t="shared" si="1049"/>
        <v>931.05054000000007</v>
      </c>
      <c r="S1202" s="555">
        <f t="shared" si="1049"/>
        <v>931.05054000000007</v>
      </c>
      <c r="T1202" s="555">
        <f t="shared" si="1049"/>
        <v>931.05054000000007</v>
      </c>
      <c r="U1202" s="555">
        <f t="shared" si="1049"/>
        <v>931.05054000000007</v>
      </c>
      <c r="V1202" s="555">
        <f t="shared" si="1049"/>
        <v>931.05054000000007</v>
      </c>
      <c r="W1202" s="555">
        <f t="shared" si="1049"/>
        <v>931.05054000000007</v>
      </c>
      <c r="X1202" s="555">
        <f t="shared" si="1049"/>
        <v>931.05054000000007</v>
      </c>
      <c r="Y1202" s="555">
        <f t="shared" si="1049"/>
        <v>931.05054000000007</v>
      </c>
      <c r="Z1202" s="555">
        <f t="shared" si="1049"/>
        <v>931.05054000000007</v>
      </c>
      <c r="AA1202" s="555">
        <f t="shared" si="1049"/>
        <v>931.05054000000007</v>
      </c>
      <c r="AB1202" s="555">
        <f t="shared" si="1049"/>
        <v>931.05054000000007</v>
      </c>
      <c r="AC1202" s="555">
        <f t="shared" si="1049"/>
        <v>931.05054000000007</v>
      </c>
      <c r="AD1202" s="555">
        <f t="shared" si="1049"/>
        <v>931.05054000000007</v>
      </c>
      <c r="AE1202" s="555">
        <f t="shared" si="1049"/>
        <v>931.05054000000007</v>
      </c>
      <c r="AF1202" s="555">
        <f t="shared" si="1049"/>
        <v>931.05054000000007</v>
      </c>
      <c r="AH1202" s="753"/>
      <c r="AK1202" s="531"/>
      <c r="AM1202" s="732"/>
      <c r="AN1202" s="667"/>
      <c r="AP1202" s="568"/>
      <c r="AQ1202" s="568"/>
    </row>
    <row r="1203" spans="1:43" s="546" customFormat="1" ht="16.5" hidden="1" customHeight="1" outlineLevel="2">
      <c r="A1203" s="584"/>
      <c r="B1203" s="569" t="s">
        <v>1019</v>
      </c>
      <c r="C1203" s="581">
        <f>C1204*C1205</f>
        <v>0</v>
      </c>
      <c r="D1203" s="581">
        <f t="shared" ref="D1203:AF1203" si="1050">D1204*D1205</f>
        <v>0</v>
      </c>
      <c r="E1203" s="581">
        <f t="shared" si="1050"/>
        <v>0</v>
      </c>
      <c r="F1203" s="581">
        <f t="shared" si="1050"/>
        <v>0</v>
      </c>
      <c r="G1203" s="581">
        <f t="shared" si="1050"/>
        <v>0</v>
      </c>
      <c r="H1203" s="581">
        <f t="shared" si="1050"/>
        <v>0</v>
      </c>
      <c r="I1203" s="581">
        <f t="shared" si="1050"/>
        <v>258.62515000000002</v>
      </c>
      <c r="J1203" s="581">
        <f t="shared" si="1050"/>
        <v>258.62515000000002</v>
      </c>
      <c r="K1203" s="581">
        <f t="shared" si="1050"/>
        <v>258.62515000000002</v>
      </c>
      <c r="L1203" s="581">
        <f t="shared" si="1050"/>
        <v>258.62515000000002</v>
      </c>
      <c r="M1203" s="581">
        <f t="shared" si="1050"/>
        <v>258.62515000000002</v>
      </c>
      <c r="N1203" s="581">
        <f t="shared" si="1050"/>
        <v>258.62515000000002</v>
      </c>
      <c r="O1203" s="581">
        <f t="shared" si="1050"/>
        <v>258.62515000000002</v>
      </c>
      <c r="P1203" s="581">
        <f t="shared" si="1050"/>
        <v>258.62515000000002</v>
      </c>
      <c r="Q1203" s="581">
        <f t="shared" si="1050"/>
        <v>258.62515000000002</v>
      </c>
      <c r="R1203" s="581">
        <f t="shared" si="1050"/>
        <v>258.62515000000002</v>
      </c>
      <c r="S1203" s="581">
        <f t="shared" si="1050"/>
        <v>258.62515000000002</v>
      </c>
      <c r="T1203" s="581">
        <f t="shared" si="1050"/>
        <v>258.62515000000002</v>
      </c>
      <c r="U1203" s="581">
        <f t="shared" si="1050"/>
        <v>258.62515000000002</v>
      </c>
      <c r="V1203" s="581">
        <f t="shared" si="1050"/>
        <v>258.62515000000002</v>
      </c>
      <c r="W1203" s="581">
        <f t="shared" si="1050"/>
        <v>258.62515000000002</v>
      </c>
      <c r="X1203" s="581">
        <f t="shared" si="1050"/>
        <v>258.62515000000002</v>
      </c>
      <c r="Y1203" s="581">
        <f t="shared" si="1050"/>
        <v>258.62515000000002</v>
      </c>
      <c r="Z1203" s="581">
        <f t="shared" si="1050"/>
        <v>258.62515000000002</v>
      </c>
      <c r="AA1203" s="581">
        <f t="shared" si="1050"/>
        <v>258.62515000000002</v>
      </c>
      <c r="AB1203" s="581">
        <f t="shared" si="1050"/>
        <v>258.62515000000002</v>
      </c>
      <c r="AC1203" s="581">
        <f t="shared" si="1050"/>
        <v>258.62515000000002</v>
      </c>
      <c r="AD1203" s="581">
        <f t="shared" si="1050"/>
        <v>258.62515000000002</v>
      </c>
      <c r="AE1203" s="581">
        <f t="shared" si="1050"/>
        <v>258.62515000000002</v>
      </c>
      <c r="AF1203" s="581">
        <f t="shared" si="1050"/>
        <v>258.62515000000002</v>
      </c>
      <c r="AH1203" s="571"/>
      <c r="AK1203" s="531"/>
      <c r="AM1203" s="594"/>
      <c r="AN1203" s="535"/>
      <c r="AP1203" s="549"/>
      <c r="AQ1203" s="549"/>
    </row>
    <row r="1204" spans="1:43" s="513" customFormat="1" ht="16.5" hidden="1" customHeight="1" outlineLevel="2">
      <c r="A1204" s="584"/>
      <c r="B1204" s="596" t="s">
        <v>805</v>
      </c>
      <c r="C1204" s="716">
        <v>0</v>
      </c>
      <c r="D1204" s="716">
        <v>0</v>
      </c>
      <c r="E1204" s="716">
        <v>0</v>
      </c>
      <c r="F1204" s="716">
        <f t="shared" ref="F1204:U1205" si="1051">E1204</f>
        <v>0</v>
      </c>
      <c r="G1204" s="721">
        <f t="shared" si="1051"/>
        <v>0</v>
      </c>
      <c r="H1204" s="721">
        <v>0</v>
      </c>
      <c r="I1204" s="721">
        <v>1</v>
      </c>
      <c r="J1204" s="721">
        <f t="shared" si="1051"/>
        <v>1</v>
      </c>
      <c r="K1204" s="721">
        <f t="shared" si="1051"/>
        <v>1</v>
      </c>
      <c r="L1204" s="721">
        <f t="shared" si="1051"/>
        <v>1</v>
      </c>
      <c r="M1204" s="721">
        <f t="shared" si="1051"/>
        <v>1</v>
      </c>
      <c r="N1204" s="721">
        <f t="shared" si="1051"/>
        <v>1</v>
      </c>
      <c r="O1204" s="721">
        <f t="shared" si="1051"/>
        <v>1</v>
      </c>
      <c r="P1204" s="721">
        <f t="shared" si="1051"/>
        <v>1</v>
      </c>
      <c r="Q1204" s="721">
        <f t="shared" si="1051"/>
        <v>1</v>
      </c>
      <c r="R1204" s="721">
        <f t="shared" si="1051"/>
        <v>1</v>
      </c>
      <c r="S1204" s="721">
        <f t="shared" si="1051"/>
        <v>1</v>
      </c>
      <c r="T1204" s="721">
        <f t="shared" si="1051"/>
        <v>1</v>
      </c>
      <c r="U1204" s="721">
        <f t="shared" si="1051"/>
        <v>1</v>
      </c>
      <c r="V1204" s="721">
        <f t="shared" ref="V1204:W1205" si="1052">U1204</f>
        <v>1</v>
      </c>
      <c r="W1204" s="721">
        <f>V1204</f>
        <v>1</v>
      </c>
      <c r="X1204" s="721">
        <f t="shared" ref="X1204:AF1205" si="1053">W1204</f>
        <v>1</v>
      </c>
      <c r="Y1204" s="721">
        <f t="shared" si="1053"/>
        <v>1</v>
      </c>
      <c r="Z1204" s="721">
        <f t="shared" si="1053"/>
        <v>1</v>
      </c>
      <c r="AA1204" s="721">
        <f t="shared" si="1053"/>
        <v>1</v>
      </c>
      <c r="AB1204" s="721">
        <f t="shared" si="1053"/>
        <v>1</v>
      </c>
      <c r="AC1204" s="721">
        <f t="shared" si="1053"/>
        <v>1</v>
      </c>
      <c r="AD1204" s="721">
        <f t="shared" si="1053"/>
        <v>1</v>
      </c>
      <c r="AE1204" s="721">
        <f t="shared" si="1053"/>
        <v>1</v>
      </c>
      <c r="AF1204" s="721">
        <f t="shared" si="1053"/>
        <v>1</v>
      </c>
      <c r="AH1204" s="538"/>
      <c r="AK1204" s="719"/>
      <c r="AM1204" s="594"/>
      <c r="AN1204" s="535"/>
      <c r="AP1204" s="540"/>
      <c r="AQ1204" s="540"/>
    </row>
    <row r="1205" spans="1:43" s="513" customFormat="1" ht="16.5" hidden="1" customHeight="1" outlineLevel="2">
      <c r="A1205" s="584"/>
      <c r="B1205" s="572" t="s">
        <v>924</v>
      </c>
      <c r="C1205" s="592">
        <f>Insumos!$E$193</f>
        <v>258.62515000000002</v>
      </c>
      <c r="D1205" s="592">
        <f>C1205</f>
        <v>258.62515000000002</v>
      </c>
      <c r="E1205" s="605">
        <f t="shared" ref="E1205" si="1054">D1205</f>
        <v>258.62515000000002</v>
      </c>
      <c r="F1205" s="605">
        <f t="shared" si="1051"/>
        <v>258.62515000000002</v>
      </c>
      <c r="G1205" s="605">
        <f t="shared" si="1051"/>
        <v>258.62515000000002</v>
      </c>
      <c r="H1205" s="605">
        <f t="shared" si="1051"/>
        <v>258.62515000000002</v>
      </c>
      <c r="I1205" s="605">
        <f t="shared" si="1051"/>
        <v>258.62515000000002</v>
      </c>
      <c r="J1205" s="605">
        <f t="shared" si="1051"/>
        <v>258.62515000000002</v>
      </c>
      <c r="K1205" s="605">
        <f t="shared" si="1051"/>
        <v>258.62515000000002</v>
      </c>
      <c r="L1205" s="605">
        <f t="shared" si="1051"/>
        <v>258.62515000000002</v>
      </c>
      <c r="M1205" s="605">
        <f t="shared" si="1051"/>
        <v>258.62515000000002</v>
      </c>
      <c r="N1205" s="605">
        <f t="shared" si="1051"/>
        <v>258.62515000000002</v>
      </c>
      <c r="O1205" s="605">
        <f t="shared" si="1051"/>
        <v>258.62515000000002</v>
      </c>
      <c r="P1205" s="605">
        <f t="shared" si="1051"/>
        <v>258.62515000000002</v>
      </c>
      <c r="Q1205" s="605">
        <f t="shared" si="1051"/>
        <v>258.62515000000002</v>
      </c>
      <c r="R1205" s="605">
        <f t="shared" si="1051"/>
        <v>258.62515000000002</v>
      </c>
      <c r="S1205" s="605">
        <f t="shared" si="1051"/>
        <v>258.62515000000002</v>
      </c>
      <c r="T1205" s="605">
        <f t="shared" si="1051"/>
        <v>258.62515000000002</v>
      </c>
      <c r="U1205" s="605">
        <f t="shared" si="1051"/>
        <v>258.62515000000002</v>
      </c>
      <c r="V1205" s="605">
        <f t="shared" si="1052"/>
        <v>258.62515000000002</v>
      </c>
      <c r="W1205" s="605">
        <f t="shared" si="1052"/>
        <v>258.62515000000002</v>
      </c>
      <c r="X1205" s="605">
        <f t="shared" si="1053"/>
        <v>258.62515000000002</v>
      </c>
      <c r="Y1205" s="605">
        <f t="shared" si="1053"/>
        <v>258.62515000000002</v>
      </c>
      <c r="Z1205" s="605">
        <f t="shared" si="1053"/>
        <v>258.62515000000002</v>
      </c>
      <c r="AA1205" s="605">
        <f t="shared" si="1053"/>
        <v>258.62515000000002</v>
      </c>
      <c r="AB1205" s="605">
        <f t="shared" si="1053"/>
        <v>258.62515000000002</v>
      </c>
      <c r="AC1205" s="605">
        <f t="shared" si="1053"/>
        <v>258.62515000000002</v>
      </c>
      <c r="AD1205" s="605">
        <f t="shared" si="1053"/>
        <v>258.62515000000002</v>
      </c>
      <c r="AE1205" s="605">
        <f t="shared" si="1053"/>
        <v>258.62515000000002</v>
      </c>
      <c r="AF1205" s="605">
        <f t="shared" si="1053"/>
        <v>258.62515000000002</v>
      </c>
      <c r="AH1205" s="538"/>
      <c r="AK1205" s="531"/>
      <c r="AM1205" s="594"/>
      <c r="AN1205" s="535"/>
      <c r="AP1205" s="540"/>
      <c r="AQ1205" s="540"/>
    </row>
    <row r="1206" spans="1:43" s="546" customFormat="1" ht="16.5" hidden="1" customHeight="1" outlineLevel="2">
      <c r="A1206" s="584"/>
      <c r="B1206" s="569" t="s">
        <v>1020</v>
      </c>
      <c r="C1206" s="581">
        <f>C1207*C1208</f>
        <v>0</v>
      </c>
      <c r="D1206" s="581">
        <f>D1207*D1208</f>
        <v>0</v>
      </c>
      <c r="E1206" s="581">
        <f t="shared" ref="E1206:AF1206" si="1055">E1207*E1208</f>
        <v>0</v>
      </c>
      <c r="F1206" s="581">
        <f t="shared" si="1055"/>
        <v>0</v>
      </c>
      <c r="G1206" s="581">
        <f t="shared" si="1055"/>
        <v>0</v>
      </c>
      <c r="H1206" s="581">
        <f t="shared" si="1055"/>
        <v>155.17509000000001</v>
      </c>
      <c r="I1206" s="581">
        <f t="shared" si="1055"/>
        <v>155.17509000000001</v>
      </c>
      <c r="J1206" s="581">
        <f t="shared" si="1055"/>
        <v>155.17509000000001</v>
      </c>
      <c r="K1206" s="581">
        <f t="shared" si="1055"/>
        <v>155.17509000000001</v>
      </c>
      <c r="L1206" s="581">
        <f t="shared" si="1055"/>
        <v>155.17509000000001</v>
      </c>
      <c r="M1206" s="581">
        <f t="shared" si="1055"/>
        <v>155.17509000000001</v>
      </c>
      <c r="N1206" s="581">
        <f t="shared" si="1055"/>
        <v>155.17509000000001</v>
      </c>
      <c r="O1206" s="581">
        <f t="shared" si="1055"/>
        <v>155.17509000000001</v>
      </c>
      <c r="P1206" s="581">
        <f t="shared" si="1055"/>
        <v>155.17509000000001</v>
      </c>
      <c r="Q1206" s="581">
        <f t="shared" si="1055"/>
        <v>155.17509000000001</v>
      </c>
      <c r="R1206" s="581">
        <f t="shared" si="1055"/>
        <v>155.17509000000001</v>
      </c>
      <c r="S1206" s="581">
        <f t="shared" si="1055"/>
        <v>155.17509000000001</v>
      </c>
      <c r="T1206" s="581">
        <f t="shared" si="1055"/>
        <v>155.17509000000001</v>
      </c>
      <c r="U1206" s="581">
        <f t="shared" si="1055"/>
        <v>155.17509000000001</v>
      </c>
      <c r="V1206" s="581">
        <f t="shared" si="1055"/>
        <v>155.17509000000001</v>
      </c>
      <c r="W1206" s="581">
        <f t="shared" si="1055"/>
        <v>155.17509000000001</v>
      </c>
      <c r="X1206" s="581">
        <f t="shared" si="1055"/>
        <v>155.17509000000001</v>
      </c>
      <c r="Y1206" s="581">
        <f t="shared" si="1055"/>
        <v>155.17509000000001</v>
      </c>
      <c r="Z1206" s="581">
        <f t="shared" si="1055"/>
        <v>155.17509000000001</v>
      </c>
      <c r="AA1206" s="581">
        <f t="shared" si="1055"/>
        <v>155.17509000000001</v>
      </c>
      <c r="AB1206" s="581">
        <f t="shared" si="1055"/>
        <v>155.17509000000001</v>
      </c>
      <c r="AC1206" s="581">
        <f t="shared" si="1055"/>
        <v>155.17509000000001</v>
      </c>
      <c r="AD1206" s="581">
        <f t="shared" si="1055"/>
        <v>155.17509000000001</v>
      </c>
      <c r="AE1206" s="581">
        <f t="shared" si="1055"/>
        <v>155.17509000000001</v>
      </c>
      <c r="AF1206" s="581">
        <f t="shared" si="1055"/>
        <v>155.17509000000001</v>
      </c>
      <c r="AH1206" s="571"/>
      <c r="AK1206" s="531"/>
      <c r="AM1206" s="594"/>
      <c r="AN1206" s="535"/>
      <c r="AP1206" s="549"/>
      <c r="AQ1206" s="549"/>
    </row>
    <row r="1207" spans="1:43" s="513" customFormat="1" ht="16.5" hidden="1" customHeight="1" outlineLevel="2">
      <c r="A1207" s="584"/>
      <c r="B1207" s="596" t="s">
        <v>805</v>
      </c>
      <c r="C1207" s="716">
        <v>0</v>
      </c>
      <c r="D1207" s="716">
        <v>0</v>
      </c>
      <c r="E1207" s="716">
        <v>0</v>
      </c>
      <c r="F1207" s="716">
        <v>0</v>
      </c>
      <c r="G1207" s="721">
        <v>0</v>
      </c>
      <c r="H1207" s="721">
        <v>1</v>
      </c>
      <c r="I1207" s="721">
        <v>1</v>
      </c>
      <c r="J1207" s="721">
        <f t="shared" ref="I1207:V1208" si="1056">I1207</f>
        <v>1</v>
      </c>
      <c r="K1207" s="721">
        <f t="shared" si="1056"/>
        <v>1</v>
      </c>
      <c r="L1207" s="721">
        <f t="shared" si="1056"/>
        <v>1</v>
      </c>
      <c r="M1207" s="721">
        <f t="shared" si="1056"/>
        <v>1</v>
      </c>
      <c r="N1207" s="721">
        <f t="shared" si="1056"/>
        <v>1</v>
      </c>
      <c r="O1207" s="721">
        <f t="shared" si="1056"/>
        <v>1</v>
      </c>
      <c r="P1207" s="721">
        <f t="shared" si="1056"/>
        <v>1</v>
      </c>
      <c r="Q1207" s="721">
        <f t="shared" si="1056"/>
        <v>1</v>
      </c>
      <c r="R1207" s="721">
        <f t="shared" si="1056"/>
        <v>1</v>
      </c>
      <c r="S1207" s="721">
        <f t="shared" si="1056"/>
        <v>1</v>
      </c>
      <c r="T1207" s="721">
        <f t="shared" si="1056"/>
        <v>1</v>
      </c>
      <c r="U1207" s="721">
        <f t="shared" si="1056"/>
        <v>1</v>
      </c>
      <c r="V1207" s="721">
        <f t="shared" si="1056"/>
        <v>1</v>
      </c>
      <c r="W1207" s="721">
        <f>V1207</f>
        <v>1</v>
      </c>
      <c r="X1207" s="721">
        <f t="shared" ref="X1207:AF1208" si="1057">W1207</f>
        <v>1</v>
      </c>
      <c r="Y1207" s="721">
        <f t="shared" si="1057"/>
        <v>1</v>
      </c>
      <c r="Z1207" s="721">
        <f t="shared" si="1057"/>
        <v>1</v>
      </c>
      <c r="AA1207" s="721">
        <f t="shared" si="1057"/>
        <v>1</v>
      </c>
      <c r="AB1207" s="721">
        <f t="shared" si="1057"/>
        <v>1</v>
      </c>
      <c r="AC1207" s="721">
        <f t="shared" si="1057"/>
        <v>1</v>
      </c>
      <c r="AD1207" s="721">
        <f t="shared" si="1057"/>
        <v>1</v>
      </c>
      <c r="AE1207" s="721">
        <f t="shared" si="1057"/>
        <v>1</v>
      </c>
      <c r="AF1207" s="721">
        <f t="shared" si="1057"/>
        <v>1</v>
      </c>
      <c r="AH1207" s="538"/>
      <c r="AK1207" s="719"/>
      <c r="AM1207" s="594"/>
      <c r="AN1207" s="535"/>
      <c r="AP1207" s="540"/>
      <c r="AQ1207" s="540"/>
    </row>
    <row r="1208" spans="1:43" s="513" customFormat="1" ht="16.5" hidden="1" customHeight="1" outlineLevel="2">
      <c r="A1208" s="584"/>
      <c r="B1208" s="572" t="s">
        <v>924</v>
      </c>
      <c r="C1208" s="592">
        <f>Insumos!$E$194</f>
        <v>155.17509000000001</v>
      </c>
      <c r="D1208" s="592">
        <f>C1208</f>
        <v>155.17509000000001</v>
      </c>
      <c r="E1208" s="592">
        <f t="shared" ref="E1208:H1208" si="1058">D1208</f>
        <v>155.17509000000001</v>
      </c>
      <c r="F1208" s="592">
        <f t="shared" si="1058"/>
        <v>155.17509000000001</v>
      </c>
      <c r="G1208" s="592">
        <f t="shared" si="1058"/>
        <v>155.17509000000001</v>
      </c>
      <c r="H1208" s="592">
        <f t="shared" si="1058"/>
        <v>155.17509000000001</v>
      </c>
      <c r="I1208" s="592">
        <f t="shared" si="1056"/>
        <v>155.17509000000001</v>
      </c>
      <c r="J1208" s="592">
        <f t="shared" si="1056"/>
        <v>155.17509000000001</v>
      </c>
      <c r="K1208" s="592">
        <f t="shared" si="1056"/>
        <v>155.17509000000001</v>
      </c>
      <c r="L1208" s="592">
        <f t="shared" si="1056"/>
        <v>155.17509000000001</v>
      </c>
      <c r="M1208" s="592">
        <f t="shared" si="1056"/>
        <v>155.17509000000001</v>
      </c>
      <c r="N1208" s="592">
        <f t="shared" si="1056"/>
        <v>155.17509000000001</v>
      </c>
      <c r="O1208" s="592">
        <f t="shared" si="1056"/>
        <v>155.17509000000001</v>
      </c>
      <c r="P1208" s="592">
        <f t="shared" si="1056"/>
        <v>155.17509000000001</v>
      </c>
      <c r="Q1208" s="592">
        <f t="shared" si="1056"/>
        <v>155.17509000000001</v>
      </c>
      <c r="R1208" s="592">
        <f t="shared" si="1056"/>
        <v>155.17509000000001</v>
      </c>
      <c r="S1208" s="592">
        <f t="shared" si="1056"/>
        <v>155.17509000000001</v>
      </c>
      <c r="T1208" s="592">
        <f t="shared" si="1056"/>
        <v>155.17509000000001</v>
      </c>
      <c r="U1208" s="592">
        <f t="shared" si="1056"/>
        <v>155.17509000000001</v>
      </c>
      <c r="V1208" s="592">
        <f t="shared" si="1056"/>
        <v>155.17509000000001</v>
      </c>
      <c r="W1208" s="592">
        <f t="shared" ref="W1208" si="1059">V1208</f>
        <v>155.17509000000001</v>
      </c>
      <c r="X1208" s="592">
        <f t="shared" si="1057"/>
        <v>155.17509000000001</v>
      </c>
      <c r="Y1208" s="592">
        <f t="shared" si="1057"/>
        <v>155.17509000000001</v>
      </c>
      <c r="Z1208" s="592">
        <f t="shared" si="1057"/>
        <v>155.17509000000001</v>
      </c>
      <c r="AA1208" s="592">
        <f t="shared" si="1057"/>
        <v>155.17509000000001</v>
      </c>
      <c r="AB1208" s="592">
        <f t="shared" si="1057"/>
        <v>155.17509000000001</v>
      </c>
      <c r="AC1208" s="592">
        <f t="shared" si="1057"/>
        <v>155.17509000000001</v>
      </c>
      <c r="AD1208" s="592">
        <f t="shared" si="1057"/>
        <v>155.17509000000001</v>
      </c>
      <c r="AE1208" s="592">
        <f t="shared" si="1057"/>
        <v>155.17509000000001</v>
      </c>
      <c r="AF1208" s="592">
        <f t="shared" si="1057"/>
        <v>155.17509000000001</v>
      </c>
      <c r="AH1208" s="538"/>
      <c r="AK1208" s="531"/>
      <c r="AM1208" s="594"/>
      <c r="AN1208" s="535"/>
      <c r="AP1208" s="540"/>
      <c r="AQ1208" s="540"/>
    </row>
    <row r="1209" spans="1:43" s="546" customFormat="1" ht="16.5" hidden="1" customHeight="1" outlineLevel="2">
      <c r="A1209" s="584"/>
      <c r="B1209" s="569" t="s">
        <v>1021</v>
      </c>
      <c r="C1209" s="581">
        <f>C1210*C1211</f>
        <v>0</v>
      </c>
      <c r="D1209" s="581">
        <f t="shared" ref="D1209:AF1209" si="1060">D1210*D1211</f>
        <v>0</v>
      </c>
      <c r="E1209" s="581">
        <f t="shared" si="1060"/>
        <v>0</v>
      </c>
      <c r="F1209" s="581">
        <f t="shared" si="1060"/>
        <v>0</v>
      </c>
      <c r="G1209" s="581">
        <f t="shared" si="1060"/>
        <v>0</v>
      </c>
      <c r="H1209" s="581">
        <f t="shared" si="1060"/>
        <v>0</v>
      </c>
      <c r="I1209" s="581">
        <f t="shared" si="1060"/>
        <v>206.90012000000002</v>
      </c>
      <c r="J1209" s="581">
        <f t="shared" si="1060"/>
        <v>206.90012000000002</v>
      </c>
      <c r="K1209" s="581">
        <f t="shared" si="1060"/>
        <v>206.90012000000002</v>
      </c>
      <c r="L1209" s="581">
        <f t="shared" si="1060"/>
        <v>206.90012000000002</v>
      </c>
      <c r="M1209" s="581">
        <f t="shared" si="1060"/>
        <v>206.90012000000002</v>
      </c>
      <c r="N1209" s="581">
        <f t="shared" si="1060"/>
        <v>206.90012000000002</v>
      </c>
      <c r="O1209" s="581">
        <f t="shared" si="1060"/>
        <v>206.90012000000002</v>
      </c>
      <c r="P1209" s="581">
        <f t="shared" si="1060"/>
        <v>206.90012000000002</v>
      </c>
      <c r="Q1209" s="581">
        <f t="shared" si="1060"/>
        <v>206.90012000000002</v>
      </c>
      <c r="R1209" s="581">
        <f t="shared" si="1060"/>
        <v>206.90012000000002</v>
      </c>
      <c r="S1209" s="581">
        <f t="shared" si="1060"/>
        <v>206.90012000000002</v>
      </c>
      <c r="T1209" s="581">
        <f t="shared" si="1060"/>
        <v>206.90012000000002</v>
      </c>
      <c r="U1209" s="581">
        <f t="shared" si="1060"/>
        <v>206.90012000000002</v>
      </c>
      <c r="V1209" s="581">
        <f t="shared" si="1060"/>
        <v>206.90012000000002</v>
      </c>
      <c r="W1209" s="581">
        <f t="shared" si="1060"/>
        <v>206.90012000000002</v>
      </c>
      <c r="X1209" s="581">
        <f t="shared" si="1060"/>
        <v>206.90012000000002</v>
      </c>
      <c r="Y1209" s="581">
        <f t="shared" si="1060"/>
        <v>206.90012000000002</v>
      </c>
      <c r="Z1209" s="581">
        <f t="shared" si="1060"/>
        <v>206.90012000000002</v>
      </c>
      <c r="AA1209" s="581">
        <f t="shared" si="1060"/>
        <v>206.90012000000002</v>
      </c>
      <c r="AB1209" s="581">
        <f t="shared" si="1060"/>
        <v>206.90012000000002</v>
      </c>
      <c r="AC1209" s="581">
        <f t="shared" si="1060"/>
        <v>206.90012000000002</v>
      </c>
      <c r="AD1209" s="581">
        <f t="shared" si="1060"/>
        <v>206.90012000000002</v>
      </c>
      <c r="AE1209" s="581">
        <f t="shared" si="1060"/>
        <v>206.90012000000002</v>
      </c>
      <c r="AF1209" s="581">
        <f t="shared" si="1060"/>
        <v>206.90012000000002</v>
      </c>
      <c r="AH1209" s="571"/>
      <c r="AK1209" s="531"/>
      <c r="AM1209" s="594"/>
      <c r="AN1209" s="535"/>
      <c r="AP1209" s="549"/>
      <c r="AQ1209" s="549"/>
    </row>
    <row r="1210" spans="1:43" s="513" customFormat="1" ht="16.5" hidden="1" customHeight="1" outlineLevel="2">
      <c r="A1210" s="584"/>
      <c r="B1210" s="596" t="s">
        <v>805</v>
      </c>
      <c r="C1210" s="716">
        <v>0</v>
      </c>
      <c r="D1210" s="716">
        <v>0</v>
      </c>
      <c r="E1210" s="716">
        <v>0</v>
      </c>
      <c r="F1210" s="716">
        <f t="shared" ref="F1210:U1211" si="1061">E1210</f>
        <v>0</v>
      </c>
      <c r="G1210" s="721">
        <f t="shared" si="1061"/>
        <v>0</v>
      </c>
      <c r="H1210" s="721">
        <v>0</v>
      </c>
      <c r="I1210" s="721">
        <v>1</v>
      </c>
      <c r="J1210" s="721">
        <f t="shared" si="1061"/>
        <v>1</v>
      </c>
      <c r="K1210" s="721">
        <f t="shared" si="1061"/>
        <v>1</v>
      </c>
      <c r="L1210" s="721">
        <f t="shared" si="1061"/>
        <v>1</v>
      </c>
      <c r="M1210" s="721">
        <f t="shared" si="1061"/>
        <v>1</v>
      </c>
      <c r="N1210" s="721">
        <f t="shared" si="1061"/>
        <v>1</v>
      </c>
      <c r="O1210" s="721">
        <f t="shared" si="1061"/>
        <v>1</v>
      </c>
      <c r="P1210" s="721">
        <f t="shared" si="1061"/>
        <v>1</v>
      </c>
      <c r="Q1210" s="721">
        <f t="shared" si="1061"/>
        <v>1</v>
      </c>
      <c r="R1210" s="721">
        <f t="shared" si="1061"/>
        <v>1</v>
      </c>
      <c r="S1210" s="721">
        <f t="shared" si="1061"/>
        <v>1</v>
      </c>
      <c r="T1210" s="721">
        <f t="shared" si="1061"/>
        <v>1</v>
      </c>
      <c r="U1210" s="721">
        <f t="shared" si="1061"/>
        <v>1</v>
      </c>
      <c r="V1210" s="721">
        <f t="shared" ref="V1210:W1211" si="1062">U1210</f>
        <v>1</v>
      </c>
      <c r="W1210" s="721">
        <f>V1210</f>
        <v>1</v>
      </c>
      <c r="X1210" s="721">
        <f t="shared" ref="X1210:AF1211" si="1063">W1210</f>
        <v>1</v>
      </c>
      <c r="Y1210" s="721">
        <f t="shared" si="1063"/>
        <v>1</v>
      </c>
      <c r="Z1210" s="721">
        <f t="shared" si="1063"/>
        <v>1</v>
      </c>
      <c r="AA1210" s="721">
        <f t="shared" si="1063"/>
        <v>1</v>
      </c>
      <c r="AB1210" s="721">
        <f t="shared" si="1063"/>
        <v>1</v>
      </c>
      <c r="AC1210" s="721">
        <f t="shared" si="1063"/>
        <v>1</v>
      </c>
      <c r="AD1210" s="721">
        <f t="shared" si="1063"/>
        <v>1</v>
      </c>
      <c r="AE1210" s="721">
        <f t="shared" si="1063"/>
        <v>1</v>
      </c>
      <c r="AF1210" s="721">
        <f t="shared" si="1063"/>
        <v>1</v>
      </c>
      <c r="AH1210" s="538"/>
      <c r="AK1210" s="719"/>
      <c r="AM1210" s="594"/>
      <c r="AN1210" s="535"/>
      <c r="AP1210" s="540"/>
      <c r="AQ1210" s="540"/>
    </row>
    <row r="1211" spans="1:43" s="513" customFormat="1" ht="16.5" hidden="1" customHeight="1" outlineLevel="2">
      <c r="A1211" s="584"/>
      <c r="B1211" s="572" t="s">
        <v>924</v>
      </c>
      <c r="C1211" s="592">
        <f>Insumos!$E$195</f>
        <v>206.90012000000002</v>
      </c>
      <c r="D1211" s="605">
        <f t="shared" ref="D1211:E1211" si="1064">C1211</f>
        <v>206.90012000000002</v>
      </c>
      <c r="E1211" s="605">
        <f t="shared" si="1064"/>
        <v>206.90012000000002</v>
      </c>
      <c r="F1211" s="605">
        <f t="shared" si="1061"/>
        <v>206.90012000000002</v>
      </c>
      <c r="G1211" s="605">
        <f t="shared" si="1061"/>
        <v>206.90012000000002</v>
      </c>
      <c r="H1211" s="605">
        <f t="shared" si="1061"/>
        <v>206.90012000000002</v>
      </c>
      <c r="I1211" s="605">
        <f t="shared" si="1061"/>
        <v>206.90012000000002</v>
      </c>
      <c r="J1211" s="605">
        <f t="shared" si="1061"/>
        <v>206.90012000000002</v>
      </c>
      <c r="K1211" s="605">
        <f t="shared" si="1061"/>
        <v>206.90012000000002</v>
      </c>
      <c r="L1211" s="605">
        <f t="shared" si="1061"/>
        <v>206.90012000000002</v>
      </c>
      <c r="M1211" s="605">
        <f t="shared" si="1061"/>
        <v>206.90012000000002</v>
      </c>
      <c r="N1211" s="605">
        <f t="shared" si="1061"/>
        <v>206.90012000000002</v>
      </c>
      <c r="O1211" s="605">
        <f t="shared" si="1061"/>
        <v>206.90012000000002</v>
      </c>
      <c r="P1211" s="605">
        <f t="shared" si="1061"/>
        <v>206.90012000000002</v>
      </c>
      <c r="Q1211" s="605">
        <f t="shared" si="1061"/>
        <v>206.90012000000002</v>
      </c>
      <c r="R1211" s="605">
        <f t="shared" si="1061"/>
        <v>206.90012000000002</v>
      </c>
      <c r="S1211" s="605">
        <f t="shared" si="1061"/>
        <v>206.90012000000002</v>
      </c>
      <c r="T1211" s="605">
        <f t="shared" si="1061"/>
        <v>206.90012000000002</v>
      </c>
      <c r="U1211" s="605">
        <f t="shared" si="1061"/>
        <v>206.90012000000002</v>
      </c>
      <c r="V1211" s="605">
        <f t="shared" si="1062"/>
        <v>206.90012000000002</v>
      </c>
      <c r="W1211" s="605">
        <f t="shared" si="1062"/>
        <v>206.90012000000002</v>
      </c>
      <c r="X1211" s="605">
        <f t="shared" si="1063"/>
        <v>206.90012000000002</v>
      </c>
      <c r="Y1211" s="605">
        <f t="shared" si="1063"/>
        <v>206.90012000000002</v>
      </c>
      <c r="Z1211" s="605">
        <f t="shared" si="1063"/>
        <v>206.90012000000002</v>
      </c>
      <c r="AA1211" s="605">
        <f t="shared" si="1063"/>
        <v>206.90012000000002</v>
      </c>
      <c r="AB1211" s="605">
        <f t="shared" si="1063"/>
        <v>206.90012000000002</v>
      </c>
      <c r="AC1211" s="605">
        <f t="shared" si="1063"/>
        <v>206.90012000000002</v>
      </c>
      <c r="AD1211" s="605">
        <f t="shared" si="1063"/>
        <v>206.90012000000002</v>
      </c>
      <c r="AE1211" s="605">
        <f t="shared" si="1063"/>
        <v>206.90012000000002</v>
      </c>
      <c r="AF1211" s="605">
        <f t="shared" si="1063"/>
        <v>206.90012000000002</v>
      </c>
      <c r="AH1211" s="538"/>
      <c r="AK1211" s="531"/>
      <c r="AM1211" s="594"/>
      <c r="AN1211" s="535"/>
      <c r="AP1211" s="540"/>
      <c r="AQ1211" s="540"/>
    </row>
    <row r="1212" spans="1:43" s="546" customFormat="1" ht="16.5" hidden="1" customHeight="1" outlineLevel="2">
      <c r="A1212" s="584"/>
      <c r="B1212" s="569" t="s">
        <v>1022</v>
      </c>
      <c r="C1212" s="581">
        <f>C1213*C1214</f>
        <v>0</v>
      </c>
      <c r="D1212" s="581">
        <f t="shared" ref="D1212:AF1212" si="1065">D1213*D1214</f>
        <v>0</v>
      </c>
      <c r="E1212" s="581">
        <f t="shared" si="1065"/>
        <v>0</v>
      </c>
      <c r="F1212" s="581">
        <f t="shared" si="1065"/>
        <v>0</v>
      </c>
      <c r="G1212" s="581">
        <f t="shared" si="1065"/>
        <v>0</v>
      </c>
      <c r="H1212" s="581">
        <f t="shared" si="1065"/>
        <v>0</v>
      </c>
      <c r="I1212" s="581">
        <f t="shared" si="1065"/>
        <v>310.35018000000002</v>
      </c>
      <c r="J1212" s="581">
        <f t="shared" si="1065"/>
        <v>310.35018000000002</v>
      </c>
      <c r="K1212" s="581">
        <f t="shared" si="1065"/>
        <v>310.35018000000002</v>
      </c>
      <c r="L1212" s="581">
        <f t="shared" si="1065"/>
        <v>310.35018000000002</v>
      </c>
      <c r="M1212" s="581">
        <f t="shared" si="1065"/>
        <v>310.35018000000002</v>
      </c>
      <c r="N1212" s="581">
        <f t="shared" si="1065"/>
        <v>310.35018000000002</v>
      </c>
      <c r="O1212" s="581">
        <f t="shared" si="1065"/>
        <v>310.35018000000002</v>
      </c>
      <c r="P1212" s="581">
        <f t="shared" si="1065"/>
        <v>310.35018000000002</v>
      </c>
      <c r="Q1212" s="581">
        <f t="shared" si="1065"/>
        <v>310.35018000000002</v>
      </c>
      <c r="R1212" s="581">
        <f t="shared" si="1065"/>
        <v>310.35018000000002</v>
      </c>
      <c r="S1212" s="581">
        <f t="shared" si="1065"/>
        <v>310.35018000000002</v>
      </c>
      <c r="T1212" s="581">
        <f t="shared" si="1065"/>
        <v>310.35018000000002</v>
      </c>
      <c r="U1212" s="581">
        <f t="shared" si="1065"/>
        <v>310.35018000000002</v>
      </c>
      <c r="V1212" s="581">
        <f t="shared" si="1065"/>
        <v>310.35018000000002</v>
      </c>
      <c r="W1212" s="581">
        <f t="shared" si="1065"/>
        <v>310.35018000000002</v>
      </c>
      <c r="X1212" s="581">
        <f t="shared" si="1065"/>
        <v>310.35018000000002</v>
      </c>
      <c r="Y1212" s="581">
        <f t="shared" si="1065"/>
        <v>310.35018000000002</v>
      </c>
      <c r="Z1212" s="581">
        <f t="shared" si="1065"/>
        <v>310.35018000000002</v>
      </c>
      <c r="AA1212" s="581">
        <f t="shared" si="1065"/>
        <v>310.35018000000002</v>
      </c>
      <c r="AB1212" s="581">
        <f t="shared" si="1065"/>
        <v>310.35018000000002</v>
      </c>
      <c r="AC1212" s="581">
        <f t="shared" si="1065"/>
        <v>310.35018000000002</v>
      </c>
      <c r="AD1212" s="581">
        <f t="shared" si="1065"/>
        <v>310.35018000000002</v>
      </c>
      <c r="AE1212" s="581">
        <f t="shared" si="1065"/>
        <v>310.35018000000002</v>
      </c>
      <c r="AF1212" s="581">
        <f t="shared" si="1065"/>
        <v>310.35018000000002</v>
      </c>
      <c r="AH1212" s="571"/>
      <c r="AK1212" s="531"/>
      <c r="AM1212" s="594"/>
      <c r="AN1212" s="535"/>
      <c r="AP1212" s="549"/>
      <c r="AQ1212" s="549"/>
    </row>
    <row r="1213" spans="1:43" s="513" customFormat="1" ht="16.5" hidden="1" customHeight="1" outlineLevel="2">
      <c r="A1213" s="584"/>
      <c r="B1213" s="596" t="s">
        <v>805</v>
      </c>
      <c r="C1213" s="716">
        <v>0</v>
      </c>
      <c r="D1213" s="716">
        <v>0</v>
      </c>
      <c r="E1213" s="716">
        <v>0</v>
      </c>
      <c r="F1213" s="716">
        <f t="shared" ref="F1213:G1214" si="1066">E1213</f>
        <v>0</v>
      </c>
      <c r="G1213" s="721">
        <v>0</v>
      </c>
      <c r="H1213" s="721">
        <v>0</v>
      </c>
      <c r="I1213" s="721">
        <v>1</v>
      </c>
      <c r="J1213" s="721">
        <f t="shared" ref="H1213:W1214" si="1067">I1213</f>
        <v>1</v>
      </c>
      <c r="K1213" s="721">
        <f t="shared" si="1067"/>
        <v>1</v>
      </c>
      <c r="L1213" s="721">
        <f t="shared" si="1067"/>
        <v>1</v>
      </c>
      <c r="M1213" s="721">
        <f t="shared" si="1067"/>
        <v>1</v>
      </c>
      <c r="N1213" s="721">
        <f t="shared" si="1067"/>
        <v>1</v>
      </c>
      <c r="O1213" s="721">
        <f t="shared" si="1067"/>
        <v>1</v>
      </c>
      <c r="P1213" s="721">
        <f t="shared" si="1067"/>
        <v>1</v>
      </c>
      <c r="Q1213" s="721">
        <f t="shared" si="1067"/>
        <v>1</v>
      </c>
      <c r="R1213" s="721">
        <f t="shared" si="1067"/>
        <v>1</v>
      </c>
      <c r="S1213" s="721">
        <f t="shared" si="1067"/>
        <v>1</v>
      </c>
      <c r="T1213" s="721">
        <f t="shared" si="1067"/>
        <v>1</v>
      </c>
      <c r="U1213" s="721">
        <f t="shared" si="1067"/>
        <v>1</v>
      </c>
      <c r="V1213" s="721">
        <f t="shared" si="1067"/>
        <v>1</v>
      </c>
      <c r="W1213" s="721">
        <f>V1213</f>
        <v>1</v>
      </c>
      <c r="X1213" s="721">
        <f t="shared" ref="X1213:AF1214" si="1068">W1213</f>
        <v>1</v>
      </c>
      <c r="Y1213" s="721">
        <f t="shared" si="1068"/>
        <v>1</v>
      </c>
      <c r="Z1213" s="721">
        <f t="shared" si="1068"/>
        <v>1</v>
      </c>
      <c r="AA1213" s="721">
        <f t="shared" si="1068"/>
        <v>1</v>
      </c>
      <c r="AB1213" s="721">
        <f t="shared" si="1068"/>
        <v>1</v>
      </c>
      <c r="AC1213" s="721">
        <f t="shared" si="1068"/>
        <v>1</v>
      </c>
      <c r="AD1213" s="721">
        <f t="shared" si="1068"/>
        <v>1</v>
      </c>
      <c r="AE1213" s="721">
        <f t="shared" si="1068"/>
        <v>1</v>
      </c>
      <c r="AF1213" s="721">
        <f t="shared" si="1068"/>
        <v>1</v>
      </c>
      <c r="AH1213" s="538"/>
      <c r="AK1213" s="719"/>
      <c r="AM1213" s="594"/>
      <c r="AN1213" s="535"/>
      <c r="AP1213" s="540"/>
      <c r="AQ1213" s="540"/>
    </row>
    <row r="1214" spans="1:43" s="513" customFormat="1" ht="16.5" hidden="1" customHeight="1" outlineLevel="2">
      <c r="A1214" s="584"/>
      <c r="B1214" s="572" t="s">
        <v>924</v>
      </c>
      <c r="C1214" s="592">
        <f>Insumos!$E$196</f>
        <v>310.35018000000002</v>
      </c>
      <c r="D1214" s="592">
        <f>C1214</f>
        <v>310.35018000000002</v>
      </c>
      <c r="E1214" s="605">
        <f t="shared" ref="E1214" si="1069">D1214</f>
        <v>310.35018000000002</v>
      </c>
      <c r="F1214" s="605">
        <f t="shared" si="1066"/>
        <v>310.35018000000002</v>
      </c>
      <c r="G1214" s="605">
        <f t="shared" si="1066"/>
        <v>310.35018000000002</v>
      </c>
      <c r="H1214" s="605">
        <f t="shared" si="1067"/>
        <v>310.35018000000002</v>
      </c>
      <c r="I1214" s="605">
        <f t="shared" si="1067"/>
        <v>310.35018000000002</v>
      </c>
      <c r="J1214" s="605">
        <f t="shared" si="1067"/>
        <v>310.35018000000002</v>
      </c>
      <c r="K1214" s="605">
        <f t="shared" si="1067"/>
        <v>310.35018000000002</v>
      </c>
      <c r="L1214" s="605">
        <f t="shared" si="1067"/>
        <v>310.35018000000002</v>
      </c>
      <c r="M1214" s="605">
        <f t="shared" si="1067"/>
        <v>310.35018000000002</v>
      </c>
      <c r="N1214" s="605">
        <f t="shared" si="1067"/>
        <v>310.35018000000002</v>
      </c>
      <c r="O1214" s="605">
        <f t="shared" si="1067"/>
        <v>310.35018000000002</v>
      </c>
      <c r="P1214" s="605">
        <f t="shared" si="1067"/>
        <v>310.35018000000002</v>
      </c>
      <c r="Q1214" s="605">
        <f t="shared" si="1067"/>
        <v>310.35018000000002</v>
      </c>
      <c r="R1214" s="605">
        <f t="shared" si="1067"/>
        <v>310.35018000000002</v>
      </c>
      <c r="S1214" s="605">
        <f t="shared" si="1067"/>
        <v>310.35018000000002</v>
      </c>
      <c r="T1214" s="605">
        <f t="shared" si="1067"/>
        <v>310.35018000000002</v>
      </c>
      <c r="U1214" s="605">
        <f t="shared" si="1067"/>
        <v>310.35018000000002</v>
      </c>
      <c r="V1214" s="605">
        <f t="shared" si="1067"/>
        <v>310.35018000000002</v>
      </c>
      <c r="W1214" s="605">
        <f t="shared" si="1067"/>
        <v>310.35018000000002</v>
      </c>
      <c r="X1214" s="605">
        <f t="shared" si="1068"/>
        <v>310.35018000000002</v>
      </c>
      <c r="Y1214" s="605">
        <f t="shared" si="1068"/>
        <v>310.35018000000002</v>
      </c>
      <c r="Z1214" s="605">
        <f t="shared" si="1068"/>
        <v>310.35018000000002</v>
      </c>
      <c r="AA1214" s="605">
        <f t="shared" si="1068"/>
        <v>310.35018000000002</v>
      </c>
      <c r="AB1214" s="605">
        <f t="shared" si="1068"/>
        <v>310.35018000000002</v>
      </c>
      <c r="AC1214" s="605">
        <f t="shared" si="1068"/>
        <v>310.35018000000002</v>
      </c>
      <c r="AD1214" s="605">
        <f t="shared" si="1068"/>
        <v>310.35018000000002</v>
      </c>
      <c r="AE1214" s="605">
        <f t="shared" si="1068"/>
        <v>310.35018000000002</v>
      </c>
      <c r="AF1214" s="605">
        <f t="shared" si="1068"/>
        <v>310.35018000000002</v>
      </c>
      <c r="AH1214" s="538"/>
      <c r="AK1214" s="531"/>
      <c r="AM1214" s="594"/>
      <c r="AN1214" s="535"/>
      <c r="AP1214" s="540"/>
      <c r="AQ1214" s="540"/>
    </row>
    <row r="1215" spans="1:43" s="564" customFormat="1" ht="16.5" hidden="1" customHeight="1" outlineLevel="1" collapsed="1">
      <c r="A1215" s="584"/>
      <c r="B1215" s="576" t="s">
        <v>926</v>
      </c>
      <c r="C1215" s="577">
        <f>(SUM(C1216,C1224,C1232)*12/10^3)</f>
        <v>0</v>
      </c>
      <c r="D1215" s="577">
        <f>(SUM(D1216,D1224,D1232)*12/10^3)</f>
        <v>29.884800000000002</v>
      </c>
      <c r="E1215" s="577">
        <f t="shared" ref="E1215:AF1215" si="1070">(SUM(E1216,E1224,E1232)*12/10^3)</f>
        <v>59.769600000000004</v>
      </c>
      <c r="F1215" s="577">
        <f t="shared" si="1070"/>
        <v>59.769600000000004</v>
      </c>
      <c r="G1215" s="577">
        <f t="shared" si="1070"/>
        <v>59.769600000000004</v>
      </c>
      <c r="H1215" s="577">
        <f t="shared" si="1070"/>
        <v>59.769600000000004</v>
      </c>
      <c r="I1215" s="577">
        <f t="shared" si="1070"/>
        <v>636.94429056000001</v>
      </c>
      <c r="J1215" s="577">
        <f t="shared" si="1070"/>
        <v>636.94429056000001</v>
      </c>
      <c r="K1215" s="577">
        <f t="shared" si="1070"/>
        <v>636.94429056000001</v>
      </c>
      <c r="L1215" s="577">
        <f t="shared" si="1070"/>
        <v>636.94429056000001</v>
      </c>
      <c r="M1215" s="577">
        <f t="shared" si="1070"/>
        <v>636.94429056000001</v>
      </c>
      <c r="N1215" s="577">
        <f t="shared" si="1070"/>
        <v>636.94429056000001</v>
      </c>
      <c r="O1215" s="577">
        <f t="shared" si="1070"/>
        <v>636.94429056000001</v>
      </c>
      <c r="P1215" s="577">
        <f t="shared" si="1070"/>
        <v>636.94429056000001</v>
      </c>
      <c r="Q1215" s="577">
        <f t="shared" si="1070"/>
        <v>636.94429056000001</v>
      </c>
      <c r="R1215" s="577">
        <f t="shared" si="1070"/>
        <v>636.94429056000001</v>
      </c>
      <c r="S1215" s="577">
        <f t="shared" si="1070"/>
        <v>636.94429056000001</v>
      </c>
      <c r="T1215" s="577">
        <f t="shared" si="1070"/>
        <v>636.94429056000001</v>
      </c>
      <c r="U1215" s="577">
        <f t="shared" si="1070"/>
        <v>636.94429056000001</v>
      </c>
      <c r="V1215" s="577">
        <f t="shared" si="1070"/>
        <v>636.94429056000001</v>
      </c>
      <c r="W1215" s="577">
        <f t="shared" si="1070"/>
        <v>636.94429056000001</v>
      </c>
      <c r="X1215" s="577">
        <f t="shared" si="1070"/>
        <v>636.94429056000001</v>
      </c>
      <c r="Y1215" s="577">
        <f t="shared" si="1070"/>
        <v>636.94429056000001</v>
      </c>
      <c r="Z1215" s="577">
        <f t="shared" si="1070"/>
        <v>636.94429056000001</v>
      </c>
      <c r="AA1215" s="577">
        <f t="shared" si="1070"/>
        <v>636.94429056000001</v>
      </c>
      <c r="AB1215" s="577">
        <f t="shared" si="1070"/>
        <v>636.94429056000001</v>
      </c>
      <c r="AC1215" s="577">
        <f t="shared" si="1070"/>
        <v>636.94429056000001</v>
      </c>
      <c r="AD1215" s="577">
        <f t="shared" si="1070"/>
        <v>636.94429056000001</v>
      </c>
      <c r="AE1215" s="577">
        <f t="shared" si="1070"/>
        <v>636.94429056000001</v>
      </c>
      <c r="AF1215" s="577">
        <f t="shared" si="1070"/>
        <v>636.94429056000001</v>
      </c>
      <c r="AG1215" s="577" t="e">
        <f>(#REF!+AG1216)*12/10^3</f>
        <v>#REF!</v>
      </c>
      <c r="AH1215" s="578">
        <f>SUM(C1215:AF1215)</f>
        <v>15555.626173440009</v>
      </c>
      <c r="AJ1215" s="579"/>
      <c r="AK1215" s="531"/>
      <c r="AM1215" s="594"/>
      <c r="AN1215" s="535"/>
      <c r="AP1215" s="568"/>
      <c r="AQ1215" s="568"/>
    </row>
    <row r="1216" spans="1:43" s="564" customFormat="1" ht="16.5" hidden="1" customHeight="1" outlineLevel="2">
      <c r="A1216" s="584"/>
      <c r="B1216" s="656" t="s">
        <v>854</v>
      </c>
      <c r="C1216" s="653">
        <f>C1217</f>
        <v>0</v>
      </c>
      <c r="D1216" s="653">
        <f t="shared" ref="D1216:Y1216" si="1071">D1217</f>
        <v>0</v>
      </c>
      <c r="E1216" s="653">
        <f t="shared" si="1071"/>
        <v>2490.4</v>
      </c>
      <c r="F1216" s="653">
        <f t="shared" si="1071"/>
        <v>2490.4</v>
      </c>
      <c r="G1216" s="653">
        <f t="shared" si="1071"/>
        <v>2490.4</v>
      </c>
      <c r="H1216" s="653">
        <f t="shared" si="1071"/>
        <v>2490.4</v>
      </c>
      <c r="I1216" s="653">
        <f t="shared" si="1071"/>
        <v>2490.4</v>
      </c>
      <c r="J1216" s="653">
        <f t="shared" si="1071"/>
        <v>2490.4</v>
      </c>
      <c r="K1216" s="653">
        <f t="shared" si="1071"/>
        <v>2490.4</v>
      </c>
      <c r="L1216" s="653">
        <f t="shared" si="1071"/>
        <v>2490.4</v>
      </c>
      <c r="M1216" s="653">
        <f t="shared" si="1071"/>
        <v>2490.4</v>
      </c>
      <c r="N1216" s="653">
        <f t="shared" si="1071"/>
        <v>2490.4</v>
      </c>
      <c r="O1216" s="653">
        <f t="shared" si="1071"/>
        <v>2490.4</v>
      </c>
      <c r="P1216" s="653">
        <f t="shared" si="1071"/>
        <v>2490.4</v>
      </c>
      <c r="Q1216" s="653">
        <f t="shared" si="1071"/>
        <v>2490.4</v>
      </c>
      <c r="R1216" s="653">
        <f t="shared" si="1071"/>
        <v>2490.4</v>
      </c>
      <c r="S1216" s="653">
        <f t="shared" si="1071"/>
        <v>2490.4</v>
      </c>
      <c r="T1216" s="653">
        <f t="shared" si="1071"/>
        <v>2490.4</v>
      </c>
      <c r="U1216" s="653">
        <f t="shared" si="1071"/>
        <v>2490.4</v>
      </c>
      <c r="V1216" s="653">
        <f t="shared" si="1071"/>
        <v>2490.4</v>
      </c>
      <c r="W1216" s="653">
        <f t="shared" si="1071"/>
        <v>2490.4</v>
      </c>
      <c r="X1216" s="653">
        <f t="shared" si="1071"/>
        <v>2490.4</v>
      </c>
      <c r="Y1216" s="653">
        <f t="shared" si="1071"/>
        <v>2490.4</v>
      </c>
      <c r="Z1216" s="653">
        <f>Z1217</f>
        <v>2490.4</v>
      </c>
      <c r="AA1216" s="653">
        <f t="shared" ref="AA1216:AF1216" si="1072">AA1217</f>
        <v>2490.4</v>
      </c>
      <c r="AB1216" s="653">
        <f t="shared" si="1072"/>
        <v>2490.4</v>
      </c>
      <c r="AC1216" s="653">
        <f t="shared" si="1072"/>
        <v>2490.4</v>
      </c>
      <c r="AD1216" s="653">
        <f t="shared" si="1072"/>
        <v>2490.4</v>
      </c>
      <c r="AE1216" s="653">
        <f t="shared" si="1072"/>
        <v>2490.4</v>
      </c>
      <c r="AF1216" s="653">
        <f t="shared" si="1072"/>
        <v>2490.4</v>
      </c>
      <c r="AH1216" s="578">
        <f>SUM(C1216:AF1216)</f>
        <v>69731.200000000012</v>
      </c>
      <c r="AJ1216" s="579"/>
      <c r="AK1216" s="531"/>
      <c r="AM1216" s="594"/>
      <c r="AN1216" s="535"/>
      <c r="AP1216" s="568"/>
      <c r="AQ1216" s="568"/>
    </row>
    <row r="1217" spans="1:43" s="634" customFormat="1" ht="16.5" hidden="1" customHeight="1" outlineLevel="2">
      <c r="A1217" s="584"/>
      <c r="B1217" s="580" t="s">
        <v>931</v>
      </c>
      <c r="C1217" s="583">
        <f>C1218*(C1219+C1221+C1222+C1223)</f>
        <v>0</v>
      </c>
      <c r="D1217" s="583">
        <f t="shared" ref="D1217:AF1217" si="1073">D1218*(D1219+D1221+D1222+D1223)</f>
        <v>0</v>
      </c>
      <c r="E1217" s="583">
        <f t="shared" si="1073"/>
        <v>2490.4</v>
      </c>
      <c r="F1217" s="583">
        <f t="shared" si="1073"/>
        <v>2490.4</v>
      </c>
      <c r="G1217" s="583">
        <f t="shared" si="1073"/>
        <v>2490.4</v>
      </c>
      <c r="H1217" s="583">
        <f t="shared" si="1073"/>
        <v>2490.4</v>
      </c>
      <c r="I1217" s="583">
        <f t="shared" si="1073"/>
        <v>2490.4</v>
      </c>
      <c r="J1217" s="583">
        <f t="shared" si="1073"/>
        <v>2490.4</v>
      </c>
      <c r="K1217" s="583">
        <f t="shared" si="1073"/>
        <v>2490.4</v>
      </c>
      <c r="L1217" s="583">
        <f t="shared" si="1073"/>
        <v>2490.4</v>
      </c>
      <c r="M1217" s="583">
        <f t="shared" si="1073"/>
        <v>2490.4</v>
      </c>
      <c r="N1217" s="583">
        <f t="shared" si="1073"/>
        <v>2490.4</v>
      </c>
      <c r="O1217" s="583">
        <f t="shared" si="1073"/>
        <v>2490.4</v>
      </c>
      <c r="P1217" s="583">
        <f t="shared" si="1073"/>
        <v>2490.4</v>
      </c>
      <c r="Q1217" s="583">
        <f t="shared" si="1073"/>
        <v>2490.4</v>
      </c>
      <c r="R1217" s="583">
        <f t="shared" si="1073"/>
        <v>2490.4</v>
      </c>
      <c r="S1217" s="583">
        <f t="shared" si="1073"/>
        <v>2490.4</v>
      </c>
      <c r="T1217" s="583">
        <f t="shared" si="1073"/>
        <v>2490.4</v>
      </c>
      <c r="U1217" s="583">
        <f t="shared" si="1073"/>
        <v>2490.4</v>
      </c>
      <c r="V1217" s="583">
        <f t="shared" si="1073"/>
        <v>2490.4</v>
      </c>
      <c r="W1217" s="583">
        <f t="shared" si="1073"/>
        <v>2490.4</v>
      </c>
      <c r="X1217" s="583">
        <f t="shared" si="1073"/>
        <v>2490.4</v>
      </c>
      <c r="Y1217" s="583">
        <f t="shared" si="1073"/>
        <v>2490.4</v>
      </c>
      <c r="Z1217" s="583">
        <f t="shared" si="1073"/>
        <v>2490.4</v>
      </c>
      <c r="AA1217" s="583">
        <f t="shared" si="1073"/>
        <v>2490.4</v>
      </c>
      <c r="AB1217" s="583">
        <f t="shared" si="1073"/>
        <v>2490.4</v>
      </c>
      <c r="AC1217" s="583">
        <f t="shared" si="1073"/>
        <v>2490.4</v>
      </c>
      <c r="AD1217" s="583">
        <f t="shared" si="1073"/>
        <v>2490.4</v>
      </c>
      <c r="AE1217" s="583">
        <f t="shared" si="1073"/>
        <v>2490.4</v>
      </c>
      <c r="AF1217" s="583">
        <f t="shared" si="1073"/>
        <v>2490.4</v>
      </c>
      <c r="AH1217" s="635"/>
      <c r="AK1217" s="588"/>
      <c r="AM1217" s="624"/>
      <c r="AN1217" s="590"/>
      <c r="AP1217" s="636"/>
      <c r="AQ1217" s="636"/>
    </row>
    <row r="1218" spans="1:43" s="586" customFormat="1" ht="16.5" hidden="1" customHeight="1" outlineLevel="2">
      <c r="A1218" s="584"/>
      <c r="B1218" s="585" t="s">
        <v>805</v>
      </c>
      <c r="C1218" s="554">
        <v>0</v>
      </c>
      <c r="D1218" s="554">
        <v>0</v>
      </c>
      <c r="E1218" s="554">
        <v>1</v>
      </c>
      <c r="F1218" s="554">
        <v>1</v>
      </c>
      <c r="G1218" s="554">
        <v>1</v>
      </c>
      <c r="H1218" s="554">
        <v>1</v>
      </c>
      <c r="I1218" s="554">
        <v>1</v>
      </c>
      <c r="J1218" s="554">
        <v>1</v>
      </c>
      <c r="K1218" s="554">
        <v>1</v>
      </c>
      <c r="L1218" s="554">
        <v>1</v>
      </c>
      <c r="M1218" s="554">
        <v>1</v>
      </c>
      <c r="N1218" s="554">
        <v>1</v>
      </c>
      <c r="O1218" s="554">
        <v>1</v>
      </c>
      <c r="P1218" s="554">
        <v>1</v>
      </c>
      <c r="Q1218" s="554">
        <v>1</v>
      </c>
      <c r="R1218" s="554">
        <v>1</v>
      </c>
      <c r="S1218" s="554">
        <v>1</v>
      </c>
      <c r="T1218" s="554">
        <v>1</v>
      </c>
      <c r="U1218" s="554">
        <v>1</v>
      </c>
      <c r="V1218" s="554">
        <v>1</v>
      </c>
      <c r="W1218" s="554">
        <v>1</v>
      </c>
      <c r="X1218" s="554">
        <v>1</v>
      </c>
      <c r="Y1218" s="554">
        <v>1</v>
      </c>
      <c r="Z1218" s="554">
        <v>1</v>
      </c>
      <c r="AA1218" s="554">
        <v>1</v>
      </c>
      <c r="AB1218" s="554">
        <v>1</v>
      </c>
      <c r="AC1218" s="554">
        <v>1</v>
      </c>
      <c r="AD1218" s="554">
        <v>1</v>
      </c>
      <c r="AE1218" s="554">
        <v>1</v>
      </c>
      <c r="AF1218" s="554">
        <v>1</v>
      </c>
      <c r="AH1218" s="587"/>
      <c r="AK1218" s="588"/>
      <c r="AM1218" s="624"/>
      <c r="AN1218" s="590"/>
      <c r="AP1218" s="591"/>
      <c r="AQ1218" s="591"/>
    </row>
    <row r="1219" spans="1:43" s="586" customFormat="1" ht="16.5" hidden="1" customHeight="1" outlineLevel="2">
      <c r="A1219" s="584"/>
      <c r="B1219" s="585" t="s">
        <v>928</v>
      </c>
      <c r="C1219" s="574">
        <f>'Sal._benef.'!$D$19</f>
        <v>1842</v>
      </c>
      <c r="D1219" s="632">
        <f>C1219</f>
        <v>1842</v>
      </c>
      <c r="E1219" s="632">
        <f t="shared" ref="E1219:T1223" si="1074">D1219</f>
        <v>1842</v>
      </c>
      <c r="F1219" s="632">
        <f t="shared" si="1074"/>
        <v>1842</v>
      </c>
      <c r="G1219" s="632">
        <f t="shared" si="1074"/>
        <v>1842</v>
      </c>
      <c r="H1219" s="632">
        <f t="shared" si="1074"/>
        <v>1842</v>
      </c>
      <c r="I1219" s="632">
        <f t="shared" si="1074"/>
        <v>1842</v>
      </c>
      <c r="J1219" s="632">
        <f t="shared" si="1074"/>
        <v>1842</v>
      </c>
      <c r="K1219" s="632">
        <f t="shared" si="1074"/>
        <v>1842</v>
      </c>
      <c r="L1219" s="632">
        <f t="shared" si="1074"/>
        <v>1842</v>
      </c>
      <c r="M1219" s="632">
        <f t="shared" si="1074"/>
        <v>1842</v>
      </c>
      <c r="N1219" s="632">
        <f t="shared" si="1074"/>
        <v>1842</v>
      </c>
      <c r="O1219" s="632">
        <f t="shared" si="1074"/>
        <v>1842</v>
      </c>
      <c r="P1219" s="632">
        <f t="shared" si="1074"/>
        <v>1842</v>
      </c>
      <c r="Q1219" s="632">
        <f t="shared" si="1074"/>
        <v>1842</v>
      </c>
      <c r="R1219" s="632">
        <f t="shared" si="1074"/>
        <v>1842</v>
      </c>
      <c r="S1219" s="632">
        <f t="shared" si="1074"/>
        <v>1842</v>
      </c>
      <c r="T1219" s="632">
        <f t="shared" si="1074"/>
        <v>1842</v>
      </c>
      <c r="U1219" s="632">
        <f t="shared" ref="U1219:AF1223" si="1075">T1219</f>
        <v>1842</v>
      </c>
      <c r="V1219" s="632">
        <f t="shared" si="1075"/>
        <v>1842</v>
      </c>
      <c r="W1219" s="632">
        <f t="shared" si="1075"/>
        <v>1842</v>
      </c>
      <c r="X1219" s="632">
        <f t="shared" si="1075"/>
        <v>1842</v>
      </c>
      <c r="Y1219" s="632">
        <f t="shared" si="1075"/>
        <v>1842</v>
      </c>
      <c r="Z1219" s="632">
        <f t="shared" si="1075"/>
        <v>1842</v>
      </c>
      <c r="AA1219" s="632">
        <f t="shared" si="1075"/>
        <v>1842</v>
      </c>
      <c r="AB1219" s="632">
        <f t="shared" si="1075"/>
        <v>1842</v>
      </c>
      <c r="AC1219" s="632">
        <f t="shared" si="1075"/>
        <v>1842</v>
      </c>
      <c r="AD1219" s="632">
        <f t="shared" si="1075"/>
        <v>1842</v>
      </c>
      <c r="AE1219" s="632">
        <f t="shared" si="1075"/>
        <v>1842</v>
      </c>
      <c r="AF1219" s="632">
        <f t="shared" si="1075"/>
        <v>1842</v>
      </c>
      <c r="AH1219" s="587"/>
      <c r="AK1219" s="588"/>
      <c r="AM1219" s="624"/>
      <c r="AN1219" s="590"/>
      <c r="AP1219" s="591"/>
      <c r="AQ1219" s="591"/>
    </row>
    <row r="1220" spans="1:43" s="586" customFormat="1" ht="16.5" hidden="1" customHeight="1" outlineLevel="2">
      <c r="A1220" s="584"/>
      <c r="B1220" s="585" t="s">
        <v>929</v>
      </c>
      <c r="C1220" s="632">
        <f>'Sal._benef.'!$F$10</f>
        <v>1621</v>
      </c>
      <c r="D1220" s="632">
        <f>C1220</f>
        <v>1621</v>
      </c>
      <c r="E1220" s="632">
        <f t="shared" si="1074"/>
        <v>1621</v>
      </c>
      <c r="F1220" s="632">
        <f t="shared" si="1074"/>
        <v>1621</v>
      </c>
      <c r="G1220" s="632">
        <f t="shared" si="1074"/>
        <v>1621</v>
      </c>
      <c r="H1220" s="632">
        <f t="shared" si="1074"/>
        <v>1621</v>
      </c>
      <c r="I1220" s="632">
        <f t="shared" si="1074"/>
        <v>1621</v>
      </c>
      <c r="J1220" s="632">
        <f t="shared" si="1074"/>
        <v>1621</v>
      </c>
      <c r="K1220" s="632">
        <f t="shared" si="1074"/>
        <v>1621</v>
      </c>
      <c r="L1220" s="632">
        <f t="shared" si="1074"/>
        <v>1621</v>
      </c>
      <c r="M1220" s="632">
        <f t="shared" si="1074"/>
        <v>1621</v>
      </c>
      <c r="N1220" s="632">
        <f t="shared" si="1074"/>
        <v>1621</v>
      </c>
      <c r="O1220" s="632">
        <f t="shared" si="1074"/>
        <v>1621</v>
      </c>
      <c r="P1220" s="632">
        <f t="shared" si="1074"/>
        <v>1621</v>
      </c>
      <c r="Q1220" s="632">
        <f t="shared" si="1074"/>
        <v>1621</v>
      </c>
      <c r="R1220" s="632">
        <f t="shared" si="1074"/>
        <v>1621</v>
      </c>
      <c r="S1220" s="632">
        <f t="shared" si="1074"/>
        <v>1621</v>
      </c>
      <c r="T1220" s="632">
        <f t="shared" si="1074"/>
        <v>1621</v>
      </c>
      <c r="U1220" s="632">
        <f t="shared" si="1075"/>
        <v>1621</v>
      </c>
      <c r="V1220" s="632">
        <f t="shared" si="1075"/>
        <v>1621</v>
      </c>
      <c r="W1220" s="632">
        <f t="shared" si="1075"/>
        <v>1621</v>
      </c>
      <c r="X1220" s="632">
        <f t="shared" si="1075"/>
        <v>1621</v>
      </c>
      <c r="Y1220" s="632">
        <f t="shared" si="1075"/>
        <v>1621</v>
      </c>
      <c r="Z1220" s="632">
        <f t="shared" si="1075"/>
        <v>1621</v>
      </c>
      <c r="AA1220" s="632">
        <f t="shared" si="1075"/>
        <v>1621</v>
      </c>
      <c r="AB1220" s="632">
        <f t="shared" si="1075"/>
        <v>1621</v>
      </c>
      <c r="AC1220" s="632">
        <f t="shared" si="1075"/>
        <v>1621</v>
      </c>
      <c r="AD1220" s="632">
        <f t="shared" si="1075"/>
        <v>1621</v>
      </c>
      <c r="AE1220" s="632">
        <f t="shared" si="1075"/>
        <v>1621</v>
      </c>
      <c r="AF1220" s="632">
        <f t="shared" si="1075"/>
        <v>1621</v>
      </c>
      <c r="AH1220" s="587"/>
      <c r="AK1220" s="588"/>
      <c r="AM1220" s="624"/>
      <c r="AN1220" s="590"/>
      <c r="AP1220" s="591"/>
      <c r="AQ1220" s="591"/>
    </row>
    <row r="1221" spans="1:43" s="586" customFormat="1" ht="16.5" hidden="1" customHeight="1" outlineLevel="2">
      <c r="A1221" s="584"/>
      <c r="B1221" s="585" t="s">
        <v>1487</v>
      </c>
      <c r="C1221" s="574">
        <f>'Sal._benef.'!$F$19*'Sal._benef.'!$F$10</f>
        <v>648.40000000000009</v>
      </c>
      <c r="D1221" s="632">
        <f>C1221</f>
        <v>648.40000000000009</v>
      </c>
      <c r="E1221" s="632">
        <f t="shared" si="1074"/>
        <v>648.40000000000009</v>
      </c>
      <c r="F1221" s="632">
        <f t="shared" si="1074"/>
        <v>648.40000000000009</v>
      </c>
      <c r="G1221" s="632">
        <f t="shared" si="1074"/>
        <v>648.40000000000009</v>
      </c>
      <c r="H1221" s="632">
        <f t="shared" si="1074"/>
        <v>648.40000000000009</v>
      </c>
      <c r="I1221" s="632">
        <f t="shared" si="1074"/>
        <v>648.40000000000009</v>
      </c>
      <c r="J1221" s="632">
        <f t="shared" si="1074"/>
        <v>648.40000000000009</v>
      </c>
      <c r="K1221" s="632">
        <f t="shared" si="1074"/>
        <v>648.40000000000009</v>
      </c>
      <c r="L1221" s="632">
        <f t="shared" si="1074"/>
        <v>648.40000000000009</v>
      </c>
      <c r="M1221" s="632">
        <f t="shared" si="1074"/>
        <v>648.40000000000009</v>
      </c>
      <c r="N1221" s="632">
        <f t="shared" si="1074"/>
        <v>648.40000000000009</v>
      </c>
      <c r="O1221" s="632">
        <f t="shared" si="1074"/>
        <v>648.40000000000009</v>
      </c>
      <c r="P1221" s="632">
        <f t="shared" si="1074"/>
        <v>648.40000000000009</v>
      </c>
      <c r="Q1221" s="632">
        <f t="shared" si="1074"/>
        <v>648.40000000000009</v>
      </c>
      <c r="R1221" s="632">
        <f t="shared" si="1074"/>
        <v>648.40000000000009</v>
      </c>
      <c r="S1221" s="632">
        <f t="shared" si="1074"/>
        <v>648.40000000000009</v>
      </c>
      <c r="T1221" s="632">
        <f t="shared" si="1074"/>
        <v>648.40000000000009</v>
      </c>
      <c r="U1221" s="632">
        <f t="shared" si="1075"/>
        <v>648.40000000000009</v>
      </c>
      <c r="V1221" s="632">
        <f t="shared" si="1075"/>
        <v>648.40000000000009</v>
      </c>
      <c r="W1221" s="632">
        <f t="shared" si="1075"/>
        <v>648.40000000000009</v>
      </c>
      <c r="X1221" s="632">
        <f t="shared" si="1075"/>
        <v>648.40000000000009</v>
      </c>
      <c r="Y1221" s="632">
        <f t="shared" si="1075"/>
        <v>648.40000000000009</v>
      </c>
      <c r="Z1221" s="632">
        <f t="shared" si="1075"/>
        <v>648.40000000000009</v>
      </c>
      <c r="AA1221" s="632">
        <f t="shared" si="1075"/>
        <v>648.40000000000009</v>
      </c>
      <c r="AB1221" s="632">
        <f t="shared" si="1075"/>
        <v>648.40000000000009</v>
      </c>
      <c r="AC1221" s="632">
        <f t="shared" si="1075"/>
        <v>648.40000000000009</v>
      </c>
      <c r="AD1221" s="632">
        <f t="shared" si="1075"/>
        <v>648.40000000000009</v>
      </c>
      <c r="AE1221" s="632">
        <f t="shared" si="1075"/>
        <v>648.40000000000009</v>
      </c>
      <c r="AF1221" s="632">
        <f t="shared" si="1075"/>
        <v>648.40000000000009</v>
      </c>
      <c r="AH1221" s="587"/>
      <c r="AK1221" s="588"/>
      <c r="AM1221" s="624"/>
      <c r="AN1221" s="590"/>
      <c r="AP1221" s="591"/>
      <c r="AQ1221" s="591"/>
    </row>
    <row r="1222" spans="1:43" s="586" customFormat="1" ht="16.5" hidden="1" customHeight="1" outlineLevel="2">
      <c r="A1222" s="584"/>
      <c r="B1222" s="585" t="s">
        <v>1486</v>
      </c>
      <c r="C1222" s="632">
        <v>0</v>
      </c>
      <c r="D1222" s="632">
        <f>C1222</f>
        <v>0</v>
      </c>
      <c r="E1222" s="632">
        <f t="shared" si="1074"/>
        <v>0</v>
      </c>
      <c r="F1222" s="632">
        <f t="shared" si="1074"/>
        <v>0</v>
      </c>
      <c r="G1222" s="632">
        <f t="shared" si="1074"/>
        <v>0</v>
      </c>
      <c r="H1222" s="632">
        <f t="shared" si="1074"/>
        <v>0</v>
      </c>
      <c r="I1222" s="632">
        <f t="shared" si="1074"/>
        <v>0</v>
      </c>
      <c r="J1222" s="632">
        <f t="shared" si="1074"/>
        <v>0</v>
      </c>
      <c r="K1222" s="632">
        <f t="shared" si="1074"/>
        <v>0</v>
      </c>
      <c r="L1222" s="632">
        <f t="shared" si="1074"/>
        <v>0</v>
      </c>
      <c r="M1222" s="632">
        <f t="shared" si="1074"/>
        <v>0</v>
      </c>
      <c r="N1222" s="632">
        <f t="shared" si="1074"/>
        <v>0</v>
      </c>
      <c r="O1222" s="632">
        <f t="shared" si="1074"/>
        <v>0</v>
      </c>
      <c r="P1222" s="632">
        <f t="shared" si="1074"/>
        <v>0</v>
      </c>
      <c r="Q1222" s="632">
        <f t="shared" si="1074"/>
        <v>0</v>
      </c>
      <c r="R1222" s="632">
        <f t="shared" si="1074"/>
        <v>0</v>
      </c>
      <c r="S1222" s="632">
        <f t="shared" si="1074"/>
        <v>0</v>
      </c>
      <c r="T1222" s="632">
        <f t="shared" si="1074"/>
        <v>0</v>
      </c>
      <c r="U1222" s="632">
        <f t="shared" si="1075"/>
        <v>0</v>
      </c>
      <c r="V1222" s="632">
        <f t="shared" si="1075"/>
        <v>0</v>
      </c>
      <c r="W1222" s="632">
        <f t="shared" si="1075"/>
        <v>0</v>
      </c>
      <c r="X1222" s="632">
        <f t="shared" si="1075"/>
        <v>0</v>
      </c>
      <c r="Y1222" s="632">
        <f t="shared" si="1075"/>
        <v>0</v>
      </c>
      <c r="Z1222" s="632">
        <f t="shared" si="1075"/>
        <v>0</v>
      </c>
      <c r="AA1222" s="632">
        <f t="shared" si="1075"/>
        <v>0</v>
      </c>
      <c r="AB1222" s="632">
        <f t="shared" si="1075"/>
        <v>0</v>
      </c>
      <c r="AC1222" s="632">
        <f t="shared" si="1075"/>
        <v>0</v>
      </c>
      <c r="AD1222" s="632">
        <f t="shared" si="1075"/>
        <v>0</v>
      </c>
      <c r="AE1222" s="632">
        <f t="shared" si="1075"/>
        <v>0</v>
      </c>
      <c r="AF1222" s="632">
        <f t="shared" si="1075"/>
        <v>0</v>
      </c>
      <c r="AH1222" s="587"/>
      <c r="AK1222" s="588"/>
      <c r="AM1222" s="624"/>
      <c r="AN1222" s="590"/>
      <c r="AP1222" s="591"/>
      <c r="AQ1222" s="591"/>
    </row>
    <row r="1223" spans="1:43" s="586" customFormat="1" ht="16.5" hidden="1" customHeight="1" outlineLevel="2">
      <c r="A1223" s="584"/>
      <c r="B1223" s="572" t="s">
        <v>1367</v>
      </c>
      <c r="C1223" s="632">
        <v>0</v>
      </c>
      <c r="D1223" s="632">
        <f>C1223</f>
        <v>0</v>
      </c>
      <c r="E1223" s="632">
        <f t="shared" si="1074"/>
        <v>0</v>
      </c>
      <c r="F1223" s="632">
        <f t="shared" si="1074"/>
        <v>0</v>
      </c>
      <c r="G1223" s="632">
        <f t="shared" si="1074"/>
        <v>0</v>
      </c>
      <c r="H1223" s="632">
        <f t="shared" si="1074"/>
        <v>0</v>
      </c>
      <c r="I1223" s="632">
        <f t="shared" si="1074"/>
        <v>0</v>
      </c>
      <c r="J1223" s="632">
        <f t="shared" si="1074"/>
        <v>0</v>
      </c>
      <c r="K1223" s="632">
        <f t="shared" si="1074"/>
        <v>0</v>
      </c>
      <c r="L1223" s="632">
        <f t="shared" si="1074"/>
        <v>0</v>
      </c>
      <c r="M1223" s="632">
        <f t="shared" si="1074"/>
        <v>0</v>
      </c>
      <c r="N1223" s="632">
        <f t="shared" si="1074"/>
        <v>0</v>
      </c>
      <c r="O1223" s="632">
        <f t="shared" si="1074"/>
        <v>0</v>
      </c>
      <c r="P1223" s="632">
        <f t="shared" si="1074"/>
        <v>0</v>
      </c>
      <c r="Q1223" s="632">
        <f t="shared" si="1074"/>
        <v>0</v>
      </c>
      <c r="R1223" s="632">
        <f t="shared" si="1074"/>
        <v>0</v>
      </c>
      <c r="S1223" s="632">
        <f t="shared" si="1074"/>
        <v>0</v>
      </c>
      <c r="T1223" s="632">
        <f t="shared" si="1074"/>
        <v>0</v>
      </c>
      <c r="U1223" s="632">
        <f t="shared" si="1075"/>
        <v>0</v>
      </c>
      <c r="V1223" s="632">
        <f t="shared" si="1075"/>
        <v>0</v>
      </c>
      <c r="W1223" s="632">
        <f t="shared" si="1075"/>
        <v>0</v>
      </c>
      <c r="X1223" s="632">
        <f t="shared" si="1075"/>
        <v>0</v>
      </c>
      <c r="Y1223" s="632">
        <f t="shared" si="1075"/>
        <v>0</v>
      </c>
      <c r="Z1223" s="632">
        <f t="shared" si="1075"/>
        <v>0</v>
      </c>
      <c r="AA1223" s="632">
        <f t="shared" si="1075"/>
        <v>0</v>
      </c>
      <c r="AB1223" s="632">
        <f t="shared" si="1075"/>
        <v>0</v>
      </c>
      <c r="AC1223" s="632">
        <f t="shared" si="1075"/>
        <v>0</v>
      </c>
      <c r="AD1223" s="632">
        <f t="shared" si="1075"/>
        <v>0</v>
      </c>
      <c r="AE1223" s="632">
        <f t="shared" si="1075"/>
        <v>0</v>
      </c>
      <c r="AF1223" s="632">
        <f t="shared" si="1075"/>
        <v>0</v>
      </c>
      <c r="AH1223" s="587"/>
      <c r="AK1223" s="588"/>
      <c r="AM1223" s="624"/>
      <c r="AN1223" s="590"/>
      <c r="AP1223" s="591"/>
      <c r="AQ1223" s="591"/>
    </row>
    <row r="1224" spans="1:43" s="726" customFormat="1" ht="16.5" hidden="1" customHeight="1" outlineLevel="2">
      <c r="A1224" s="584"/>
      <c r="B1224" s="723" t="s">
        <v>1023</v>
      </c>
      <c r="C1224" s="727">
        <f>C1225</f>
        <v>0</v>
      </c>
      <c r="D1224" s="727">
        <f t="shared" ref="D1224:Y1224" si="1076">D1225</f>
        <v>2490.4</v>
      </c>
      <c r="E1224" s="727">
        <f t="shared" si="1076"/>
        <v>2490.4</v>
      </c>
      <c r="F1224" s="727">
        <f t="shared" si="1076"/>
        <v>2490.4</v>
      </c>
      <c r="G1224" s="727">
        <f t="shared" si="1076"/>
        <v>2490.4</v>
      </c>
      <c r="H1224" s="727">
        <f t="shared" si="1076"/>
        <v>2490.4</v>
      </c>
      <c r="I1224" s="727">
        <f t="shared" si="1076"/>
        <v>2490.4</v>
      </c>
      <c r="J1224" s="727">
        <f t="shared" si="1076"/>
        <v>2490.4</v>
      </c>
      <c r="K1224" s="727">
        <f t="shared" si="1076"/>
        <v>2490.4</v>
      </c>
      <c r="L1224" s="727">
        <f t="shared" si="1076"/>
        <v>2490.4</v>
      </c>
      <c r="M1224" s="727">
        <f t="shared" si="1076"/>
        <v>2490.4</v>
      </c>
      <c r="N1224" s="727">
        <f t="shared" si="1076"/>
        <v>2490.4</v>
      </c>
      <c r="O1224" s="727">
        <f t="shared" si="1076"/>
        <v>2490.4</v>
      </c>
      <c r="P1224" s="727">
        <f t="shared" si="1076"/>
        <v>2490.4</v>
      </c>
      <c r="Q1224" s="727">
        <f t="shared" si="1076"/>
        <v>2490.4</v>
      </c>
      <c r="R1224" s="727">
        <f t="shared" si="1076"/>
        <v>2490.4</v>
      </c>
      <c r="S1224" s="727">
        <f t="shared" si="1076"/>
        <v>2490.4</v>
      </c>
      <c r="T1224" s="727">
        <f t="shared" si="1076"/>
        <v>2490.4</v>
      </c>
      <c r="U1224" s="727">
        <f t="shared" si="1076"/>
        <v>2490.4</v>
      </c>
      <c r="V1224" s="727">
        <f t="shared" si="1076"/>
        <v>2490.4</v>
      </c>
      <c r="W1224" s="727">
        <f t="shared" si="1076"/>
        <v>2490.4</v>
      </c>
      <c r="X1224" s="727">
        <f t="shared" si="1076"/>
        <v>2490.4</v>
      </c>
      <c r="Y1224" s="727">
        <f t="shared" si="1076"/>
        <v>2490.4</v>
      </c>
      <c r="Z1224" s="727">
        <f>Z1225</f>
        <v>2490.4</v>
      </c>
      <c r="AA1224" s="727">
        <f t="shared" ref="AA1224:AF1224" si="1077">AA1225</f>
        <v>2490.4</v>
      </c>
      <c r="AB1224" s="727">
        <f t="shared" si="1077"/>
        <v>2490.4</v>
      </c>
      <c r="AC1224" s="727">
        <f t="shared" si="1077"/>
        <v>2490.4</v>
      </c>
      <c r="AD1224" s="727">
        <f t="shared" si="1077"/>
        <v>2490.4</v>
      </c>
      <c r="AE1224" s="727">
        <f t="shared" si="1077"/>
        <v>2490.4</v>
      </c>
      <c r="AF1224" s="727">
        <f t="shared" si="1077"/>
        <v>2490.4</v>
      </c>
      <c r="AH1224" s="728">
        <f>SUM(C1224:AF1224)</f>
        <v>72221.600000000006</v>
      </c>
      <c r="AJ1224" s="729"/>
      <c r="AK1224" s="588"/>
      <c r="AM1224" s="624"/>
      <c r="AN1224" s="590"/>
      <c r="AP1224" s="588"/>
      <c r="AQ1224" s="588"/>
    </row>
    <row r="1225" spans="1:43" s="634" customFormat="1" ht="16.5" hidden="1" customHeight="1" outlineLevel="2">
      <c r="A1225" s="584"/>
      <c r="B1225" s="580" t="s">
        <v>931</v>
      </c>
      <c r="C1225" s="583">
        <f>C1226*(C1227+C1229+C1230+C1231)</f>
        <v>0</v>
      </c>
      <c r="D1225" s="583">
        <f t="shared" ref="D1225:AF1225" si="1078">D1226*(D1227+D1229+D1230+D1231)</f>
        <v>2490.4</v>
      </c>
      <c r="E1225" s="583">
        <f t="shared" si="1078"/>
        <v>2490.4</v>
      </c>
      <c r="F1225" s="583">
        <f t="shared" si="1078"/>
        <v>2490.4</v>
      </c>
      <c r="G1225" s="583">
        <f t="shared" si="1078"/>
        <v>2490.4</v>
      </c>
      <c r="H1225" s="583">
        <f t="shared" si="1078"/>
        <v>2490.4</v>
      </c>
      <c r="I1225" s="583">
        <f t="shared" si="1078"/>
        <v>2490.4</v>
      </c>
      <c r="J1225" s="583">
        <f t="shared" si="1078"/>
        <v>2490.4</v>
      </c>
      <c r="K1225" s="583">
        <f t="shared" si="1078"/>
        <v>2490.4</v>
      </c>
      <c r="L1225" s="583">
        <f t="shared" si="1078"/>
        <v>2490.4</v>
      </c>
      <c r="M1225" s="583">
        <f t="shared" si="1078"/>
        <v>2490.4</v>
      </c>
      <c r="N1225" s="583">
        <f t="shared" si="1078"/>
        <v>2490.4</v>
      </c>
      <c r="O1225" s="583">
        <f t="shared" si="1078"/>
        <v>2490.4</v>
      </c>
      <c r="P1225" s="583">
        <f t="shared" si="1078"/>
        <v>2490.4</v>
      </c>
      <c r="Q1225" s="583">
        <f t="shared" si="1078"/>
        <v>2490.4</v>
      </c>
      <c r="R1225" s="583">
        <f t="shared" si="1078"/>
        <v>2490.4</v>
      </c>
      <c r="S1225" s="583">
        <f t="shared" si="1078"/>
        <v>2490.4</v>
      </c>
      <c r="T1225" s="583">
        <f t="shared" si="1078"/>
        <v>2490.4</v>
      </c>
      <c r="U1225" s="583">
        <f t="shared" si="1078"/>
        <v>2490.4</v>
      </c>
      <c r="V1225" s="583">
        <f t="shared" si="1078"/>
        <v>2490.4</v>
      </c>
      <c r="W1225" s="583">
        <f t="shared" si="1078"/>
        <v>2490.4</v>
      </c>
      <c r="X1225" s="583">
        <f t="shared" si="1078"/>
        <v>2490.4</v>
      </c>
      <c r="Y1225" s="583">
        <f t="shared" si="1078"/>
        <v>2490.4</v>
      </c>
      <c r="Z1225" s="583">
        <f t="shared" si="1078"/>
        <v>2490.4</v>
      </c>
      <c r="AA1225" s="583">
        <f t="shared" si="1078"/>
        <v>2490.4</v>
      </c>
      <c r="AB1225" s="583">
        <f t="shared" si="1078"/>
        <v>2490.4</v>
      </c>
      <c r="AC1225" s="583">
        <f t="shared" si="1078"/>
        <v>2490.4</v>
      </c>
      <c r="AD1225" s="583">
        <f t="shared" si="1078"/>
        <v>2490.4</v>
      </c>
      <c r="AE1225" s="583">
        <f t="shared" si="1078"/>
        <v>2490.4</v>
      </c>
      <c r="AF1225" s="583">
        <f t="shared" si="1078"/>
        <v>2490.4</v>
      </c>
      <c r="AH1225" s="635"/>
      <c r="AK1225" s="588"/>
      <c r="AM1225" s="624"/>
      <c r="AN1225" s="590"/>
      <c r="AP1225" s="636"/>
      <c r="AQ1225" s="636"/>
    </row>
    <row r="1226" spans="1:43" s="586" customFormat="1" ht="16.5" hidden="1" customHeight="1" outlineLevel="2">
      <c r="A1226" s="584"/>
      <c r="B1226" s="585" t="s">
        <v>805</v>
      </c>
      <c r="C1226" s="554">
        <v>0</v>
      </c>
      <c r="D1226" s="554">
        <v>1</v>
      </c>
      <c r="E1226" s="554">
        <v>1</v>
      </c>
      <c r="F1226" s="554">
        <v>1</v>
      </c>
      <c r="G1226" s="554">
        <v>1</v>
      </c>
      <c r="H1226" s="554">
        <v>1</v>
      </c>
      <c r="I1226" s="554">
        <v>1</v>
      </c>
      <c r="J1226" s="554">
        <v>1</v>
      </c>
      <c r="K1226" s="554">
        <v>1</v>
      </c>
      <c r="L1226" s="554">
        <v>1</v>
      </c>
      <c r="M1226" s="554">
        <v>1</v>
      </c>
      <c r="N1226" s="554">
        <v>1</v>
      </c>
      <c r="O1226" s="554">
        <v>1</v>
      </c>
      <c r="P1226" s="554">
        <v>1</v>
      </c>
      <c r="Q1226" s="554">
        <v>1</v>
      </c>
      <c r="R1226" s="554">
        <v>1</v>
      </c>
      <c r="S1226" s="554">
        <v>1</v>
      </c>
      <c r="T1226" s="554">
        <v>1</v>
      </c>
      <c r="U1226" s="554">
        <v>1</v>
      </c>
      <c r="V1226" s="554">
        <v>1</v>
      </c>
      <c r="W1226" s="554">
        <v>1</v>
      </c>
      <c r="X1226" s="554">
        <v>1</v>
      </c>
      <c r="Y1226" s="554">
        <v>1</v>
      </c>
      <c r="Z1226" s="554">
        <v>1</v>
      </c>
      <c r="AA1226" s="554">
        <v>1</v>
      </c>
      <c r="AB1226" s="554">
        <v>1</v>
      </c>
      <c r="AC1226" s="554">
        <v>1</v>
      </c>
      <c r="AD1226" s="554">
        <v>1</v>
      </c>
      <c r="AE1226" s="554">
        <v>1</v>
      </c>
      <c r="AF1226" s="554">
        <v>1</v>
      </c>
      <c r="AH1226" s="587"/>
      <c r="AK1226" s="588"/>
      <c r="AM1226" s="624"/>
      <c r="AN1226" s="590"/>
      <c r="AP1226" s="591"/>
      <c r="AQ1226" s="591"/>
    </row>
    <row r="1227" spans="1:43" s="586" customFormat="1" ht="16.5" hidden="1" customHeight="1" outlineLevel="2">
      <c r="A1227" s="584"/>
      <c r="B1227" s="585" t="s">
        <v>928</v>
      </c>
      <c r="C1227" s="574">
        <f>'Sal._benef.'!$D$19</f>
        <v>1842</v>
      </c>
      <c r="D1227" s="632">
        <f>C1227</f>
        <v>1842</v>
      </c>
      <c r="E1227" s="632">
        <f t="shared" ref="E1227:T1231" si="1079">D1227</f>
        <v>1842</v>
      </c>
      <c r="F1227" s="632">
        <f t="shared" si="1079"/>
        <v>1842</v>
      </c>
      <c r="G1227" s="632">
        <f t="shared" si="1079"/>
        <v>1842</v>
      </c>
      <c r="H1227" s="632">
        <f t="shared" si="1079"/>
        <v>1842</v>
      </c>
      <c r="I1227" s="632">
        <f t="shared" si="1079"/>
        <v>1842</v>
      </c>
      <c r="J1227" s="632">
        <f t="shared" si="1079"/>
        <v>1842</v>
      </c>
      <c r="K1227" s="632">
        <f t="shared" si="1079"/>
        <v>1842</v>
      </c>
      <c r="L1227" s="632">
        <f t="shared" si="1079"/>
        <v>1842</v>
      </c>
      <c r="M1227" s="632">
        <f t="shared" si="1079"/>
        <v>1842</v>
      </c>
      <c r="N1227" s="632">
        <f t="shared" si="1079"/>
        <v>1842</v>
      </c>
      <c r="O1227" s="632">
        <f t="shared" si="1079"/>
        <v>1842</v>
      </c>
      <c r="P1227" s="632">
        <f t="shared" si="1079"/>
        <v>1842</v>
      </c>
      <c r="Q1227" s="632">
        <f t="shared" si="1079"/>
        <v>1842</v>
      </c>
      <c r="R1227" s="632">
        <f t="shared" si="1079"/>
        <v>1842</v>
      </c>
      <c r="S1227" s="632">
        <f t="shared" si="1079"/>
        <v>1842</v>
      </c>
      <c r="T1227" s="632">
        <f t="shared" si="1079"/>
        <v>1842</v>
      </c>
      <c r="U1227" s="632">
        <f t="shared" ref="U1227:AF1231" si="1080">T1227</f>
        <v>1842</v>
      </c>
      <c r="V1227" s="632">
        <f t="shared" si="1080"/>
        <v>1842</v>
      </c>
      <c r="W1227" s="632">
        <f t="shared" si="1080"/>
        <v>1842</v>
      </c>
      <c r="X1227" s="632">
        <f t="shared" si="1080"/>
        <v>1842</v>
      </c>
      <c r="Y1227" s="632">
        <f t="shared" si="1080"/>
        <v>1842</v>
      </c>
      <c r="Z1227" s="632">
        <f t="shared" si="1080"/>
        <v>1842</v>
      </c>
      <c r="AA1227" s="632">
        <f t="shared" si="1080"/>
        <v>1842</v>
      </c>
      <c r="AB1227" s="632">
        <f t="shared" si="1080"/>
        <v>1842</v>
      </c>
      <c r="AC1227" s="632">
        <f t="shared" si="1080"/>
        <v>1842</v>
      </c>
      <c r="AD1227" s="632">
        <f t="shared" si="1080"/>
        <v>1842</v>
      </c>
      <c r="AE1227" s="632">
        <f t="shared" si="1080"/>
        <v>1842</v>
      </c>
      <c r="AF1227" s="632">
        <f t="shared" si="1080"/>
        <v>1842</v>
      </c>
      <c r="AH1227" s="587"/>
      <c r="AK1227" s="588"/>
      <c r="AM1227" s="624"/>
      <c r="AN1227" s="590"/>
      <c r="AP1227" s="591"/>
      <c r="AQ1227" s="591"/>
    </row>
    <row r="1228" spans="1:43" s="586" customFormat="1" ht="16.5" hidden="1" customHeight="1" outlineLevel="2">
      <c r="A1228" s="584"/>
      <c r="B1228" s="585" t="s">
        <v>929</v>
      </c>
      <c r="C1228" s="632">
        <f>'Sal._benef.'!$F$10</f>
        <v>1621</v>
      </c>
      <c r="D1228" s="632">
        <f>C1228</f>
        <v>1621</v>
      </c>
      <c r="E1228" s="632">
        <f t="shared" si="1079"/>
        <v>1621</v>
      </c>
      <c r="F1228" s="632">
        <f t="shared" si="1079"/>
        <v>1621</v>
      </c>
      <c r="G1228" s="632">
        <f t="shared" si="1079"/>
        <v>1621</v>
      </c>
      <c r="H1228" s="632">
        <f t="shared" si="1079"/>
        <v>1621</v>
      </c>
      <c r="I1228" s="632">
        <f t="shared" si="1079"/>
        <v>1621</v>
      </c>
      <c r="J1228" s="632">
        <f t="shared" si="1079"/>
        <v>1621</v>
      </c>
      <c r="K1228" s="632">
        <f t="shared" si="1079"/>
        <v>1621</v>
      </c>
      <c r="L1228" s="632">
        <f t="shared" si="1079"/>
        <v>1621</v>
      </c>
      <c r="M1228" s="632">
        <f t="shared" si="1079"/>
        <v>1621</v>
      </c>
      <c r="N1228" s="632">
        <f t="shared" si="1079"/>
        <v>1621</v>
      </c>
      <c r="O1228" s="632">
        <f t="shared" si="1079"/>
        <v>1621</v>
      </c>
      <c r="P1228" s="632">
        <f t="shared" si="1079"/>
        <v>1621</v>
      </c>
      <c r="Q1228" s="632">
        <f t="shared" si="1079"/>
        <v>1621</v>
      </c>
      <c r="R1228" s="632">
        <f t="shared" si="1079"/>
        <v>1621</v>
      </c>
      <c r="S1228" s="632">
        <f t="shared" si="1079"/>
        <v>1621</v>
      </c>
      <c r="T1228" s="632">
        <f t="shared" si="1079"/>
        <v>1621</v>
      </c>
      <c r="U1228" s="632">
        <f t="shared" si="1080"/>
        <v>1621</v>
      </c>
      <c r="V1228" s="632">
        <f t="shared" si="1080"/>
        <v>1621</v>
      </c>
      <c r="W1228" s="632">
        <f t="shared" si="1080"/>
        <v>1621</v>
      </c>
      <c r="X1228" s="632">
        <f t="shared" si="1080"/>
        <v>1621</v>
      </c>
      <c r="Y1228" s="632">
        <f t="shared" si="1080"/>
        <v>1621</v>
      </c>
      <c r="Z1228" s="632">
        <f t="shared" si="1080"/>
        <v>1621</v>
      </c>
      <c r="AA1228" s="632">
        <f t="shared" si="1080"/>
        <v>1621</v>
      </c>
      <c r="AB1228" s="632">
        <f t="shared" si="1080"/>
        <v>1621</v>
      </c>
      <c r="AC1228" s="632">
        <f t="shared" si="1080"/>
        <v>1621</v>
      </c>
      <c r="AD1228" s="632">
        <f t="shared" si="1080"/>
        <v>1621</v>
      </c>
      <c r="AE1228" s="632">
        <f t="shared" si="1080"/>
        <v>1621</v>
      </c>
      <c r="AF1228" s="632">
        <f t="shared" si="1080"/>
        <v>1621</v>
      </c>
      <c r="AH1228" s="587"/>
      <c r="AK1228" s="588"/>
      <c r="AM1228" s="624"/>
      <c r="AN1228" s="590"/>
      <c r="AP1228" s="591"/>
      <c r="AQ1228" s="591"/>
    </row>
    <row r="1229" spans="1:43" s="586" customFormat="1" ht="16.5" hidden="1" customHeight="1" outlineLevel="2">
      <c r="A1229" s="584"/>
      <c r="B1229" s="585" t="s">
        <v>1487</v>
      </c>
      <c r="C1229" s="574">
        <f>'Sal._benef.'!$F$19*'Sal._benef.'!$F$10</f>
        <v>648.40000000000009</v>
      </c>
      <c r="D1229" s="632">
        <f>C1229</f>
        <v>648.40000000000009</v>
      </c>
      <c r="E1229" s="632">
        <f t="shared" si="1079"/>
        <v>648.40000000000009</v>
      </c>
      <c r="F1229" s="632">
        <f t="shared" si="1079"/>
        <v>648.40000000000009</v>
      </c>
      <c r="G1229" s="632">
        <f t="shared" si="1079"/>
        <v>648.40000000000009</v>
      </c>
      <c r="H1229" s="632">
        <f t="shared" si="1079"/>
        <v>648.40000000000009</v>
      </c>
      <c r="I1229" s="632">
        <f t="shared" si="1079"/>
        <v>648.40000000000009</v>
      </c>
      <c r="J1229" s="632">
        <f t="shared" si="1079"/>
        <v>648.40000000000009</v>
      </c>
      <c r="K1229" s="632">
        <f t="shared" si="1079"/>
        <v>648.40000000000009</v>
      </c>
      <c r="L1229" s="632">
        <f t="shared" si="1079"/>
        <v>648.40000000000009</v>
      </c>
      <c r="M1229" s="632">
        <f t="shared" si="1079"/>
        <v>648.40000000000009</v>
      </c>
      <c r="N1229" s="632">
        <f t="shared" si="1079"/>
        <v>648.40000000000009</v>
      </c>
      <c r="O1229" s="632">
        <f t="shared" si="1079"/>
        <v>648.40000000000009</v>
      </c>
      <c r="P1229" s="632">
        <f t="shared" si="1079"/>
        <v>648.40000000000009</v>
      </c>
      <c r="Q1229" s="632">
        <f t="shared" si="1079"/>
        <v>648.40000000000009</v>
      </c>
      <c r="R1229" s="632">
        <f t="shared" si="1079"/>
        <v>648.40000000000009</v>
      </c>
      <c r="S1229" s="632">
        <f t="shared" si="1079"/>
        <v>648.40000000000009</v>
      </c>
      <c r="T1229" s="632">
        <f t="shared" si="1079"/>
        <v>648.40000000000009</v>
      </c>
      <c r="U1229" s="632">
        <f t="shared" si="1080"/>
        <v>648.40000000000009</v>
      </c>
      <c r="V1229" s="632">
        <f t="shared" si="1080"/>
        <v>648.40000000000009</v>
      </c>
      <c r="W1229" s="632">
        <f t="shared" si="1080"/>
        <v>648.40000000000009</v>
      </c>
      <c r="X1229" s="632">
        <f t="shared" si="1080"/>
        <v>648.40000000000009</v>
      </c>
      <c r="Y1229" s="632">
        <f t="shared" si="1080"/>
        <v>648.40000000000009</v>
      </c>
      <c r="Z1229" s="632">
        <f t="shared" si="1080"/>
        <v>648.40000000000009</v>
      </c>
      <c r="AA1229" s="632">
        <f t="shared" si="1080"/>
        <v>648.40000000000009</v>
      </c>
      <c r="AB1229" s="632">
        <f t="shared" si="1080"/>
        <v>648.40000000000009</v>
      </c>
      <c r="AC1229" s="632">
        <f t="shared" si="1080"/>
        <v>648.40000000000009</v>
      </c>
      <c r="AD1229" s="632">
        <f t="shared" si="1080"/>
        <v>648.40000000000009</v>
      </c>
      <c r="AE1229" s="632">
        <f t="shared" si="1080"/>
        <v>648.40000000000009</v>
      </c>
      <c r="AF1229" s="632">
        <f t="shared" si="1080"/>
        <v>648.40000000000009</v>
      </c>
      <c r="AH1229" s="587"/>
      <c r="AK1229" s="588"/>
      <c r="AM1229" s="624"/>
      <c r="AN1229" s="590"/>
      <c r="AP1229" s="591"/>
      <c r="AQ1229" s="591"/>
    </row>
    <row r="1230" spans="1:43" s="586" customFormat="1" ht="16.5" hidden="1" customHeight="1" outlineLevel="2">
      <c r="A1230" s="584"/>
      <c r="B1230" s="585" t="s">
        <v>1486</v>
      </c>
      <c r="C1230" s="632">
        <v>0</v>
      </c>
      <c r="D1230" s="632">
        <f>C1230</f>
        <v>0</v>
      </c>
      <c r="E1230" s="632">
        <f t="shared" si="1079"/>
        <v>0</v>
      </c>
      <c r="F1230" s="632">
        <f t="shared" si="1079"/>
        <v>0</v>
      </c>
      <c r="G1230" s="632">
        <f t="shared" si="1079"/>
        <v>0</v>
      </c>
      <c r="H1230" s="632">
        <f t="shared" si="1079"/>
        <v>0</v>
      </c>
      <c r="I1230" s="632">
        <f t="shared" si="1079"/>
        <v>0</v>
      </c>
      <c r="J1230" s="632">
        <f t="shared" si="1079"/>
        <v>0</v>
      </c>
      <c r="K1230" s="632">
        <f t="shared" si="1079"/>
        <v>0</v>
      </c>
      <c r="L1230" s="632">
        <f t="shared" si="1079"/>
        <v>0</v>
      </c>
      <c r="M1230" s="632">
        <f t="shared" si="1079"/>
        <v>0</v>
      </c>
      <c r="N1230" s="632">
        <f t="shared" si="1079"/>
        <v>0</v>
      </c>
      <c r="O1230" s="632">
        <f t="shared" si="1079"/>
        <v>0</v>
      </c>
      <c r="P1230" s="632">
        <f t="shared" si="1079"/>
        <v>0</v>
      </c>
      <c r="Q1230" s="632">
        <f t="shared" si="1079"/>
        <v>0</v>
      </c>
      <c r="R1230" s="632">
        <f t="shared" si="1079"/>
        <v>0</v>
      </c>
      <c r="S1230" s="632">
        <f t="shared" si="1079"/>
        <v>0</v>
      </c>
      <c r="T1230" s="632">
        <f t="shared" si="1079"/>
        <v>0</v>
      </c>
      <c r="U1230" s="632">
        <f t="shared" si="1080"/>
        <v>0</v>
      </c>
      <c r="V1230" s="632">
        <f t="shared" si="1080"/>
        <v>0</v>
      </c>
      <c r="W1230" s="632">
        <f t="shared" si="1080"/>
        <v>0</v>
      </c>
      <c r="X1230" s="632">
        <f t="shared" si="1080"/>
        <v>0</v>
      </c>
      <c r="Y1230" s="632">
        <f t="shared" si="1080"/>
        <v>0</v>
      </c>
      <c r="Z1230" s="632">
        <f t="shared" si="1080"/>
        <v>0</v>
      </c>
      <c r="AA1230" s="632">
        <f t="shared" si="1080"/>
        <v>0</v>
      </c>
      <c r="AB1230" s="632">
        <f t="shared" si="1080"/>
        <v>0</v>
      </c>
      <c r="AC1230" s="632">
        <f t="shared" si="1080"/>
        <v>0</v>
      </c>
      <c r="AD1230" s="632">
        <f t="shared" si="1080"/>
        <v>0</v>
      </c>
      <c r="AE1230" s="632">
        <f t="shared" si="1080"/>
        <v>0</v>
      </c>
      <c r="AF1230" s="632">
        <f t="shared" si="1080"/>
        <v>0</v>
      </c>
      <c r="AH1230" s="587"/>
      <c r="AK1230" s="588"/>
      <c r="AM1230" s="624"/>
      <c r="AN1230" s="590"/>
      <c r="AP1230" s="591"/>
      <c r="AQ1230" s="591"/>
    </row>
    <row r="1231" spans="1:43" s="586" customFormat="1" ht="16.5" hidden="1" customHeight="1" outlineLevel="2">
      <c r="A1231" s="584"/>
      <c r="B1231" s="572" t="s">
        <v>1367</v>
      </c>
      <c r="C1231" s="632">
        <v>0</v>
      </c>
      <c r="D1231" s="632">
        <f>C1231</f>
        <v>0</v>
      </c>
      <c r="E1231" s="632">
        <f t="shared" si="1079"/>
        <v>0</v>
      </c>
      <c r="F1231" s="632">
        <f t="shared" si="1079"/>
        <v>0</v>
      </c>
      <c r="G1231" s="632">
        <f t="shared" si="1079"/>
        <v>0</v>
      </c>
      <c r="H1231" s="632">
        <f t="shared" si="1079"/>
        <v>0</v>
      </c>
      <c r="I1231" s="632">
        <f t="shared" si="1079"/>
        <v>0</v>
      </c>
      <c r="J1231" s="632">
        <f t="shared" si="1079"/>
        <v>0</v>
      </c>
      <c r="K1231" s="632">
        <f t="shared" si="1079"/>
        <v>0</v>
      </c>
      <c r="L1231" s="632">
        <f t="shared" si="1079"/>
        <v>0</v>
      </c>
      <c r="M1231" s="632">
        <f t="shared" si="1079"/>
        <v>0</v>
      </c>
      <c r="N1231" s="632">
        <f t="shared" si="1079"/>
        <v>0</v>
      </c>
      <c r="O1231" s="632">
        <f t="shared" si="1079"/>
        <v>0</v>
      </c>
      <c r="P1231" s="632">
        <f t="shared" si="1079"/>
        <v>0</v>
      </c>
      <c r="Q1231" s="632">
        <f t="shared" si="1079"/>
        <v>0</v>
      </c>
      <c r="R1231" s="632">
        <f t="shared" si="1079"/>
        <v>0</v>
      </c>
      <c r="S1231" s="632">
        <f t="shared" si="1079"/>
        <v>0</v>
      </c>
      <c r="T1231" s="632">
        <f t="shared" si="1079"/>
        <v>0</v>
      </c>
      <c r="U1231" s="632">
        <f t="shared" si="1080"/>
        <v>0</v>
      </c>
      <c r="V1231" s="632">
        <f t="shared" si="1080"/>
        <v>0</v>
      </c>
      <c r="W1231" s="632">
        <f t="shared" si="1080"/>
        <v>0</v>
      </c>
      <c r="X1231" s="632">
        <f t="shared" si="1080"/>
        <v>0</v>
      </c>
      <c r="Y1231" s="632">
        <f t="shared" si="1080"/>
        <v>0</v>
      </c>
      <c r="Z1231" s="632">
        <f t="shared" si="1080"/>
        <v>0</v>
      </c>
      <c r="AA1231" s="632">
        <f t="shared" si="1080"/>
        <v>0</v>
      </c>
      <c r="AB1231" s="632">
        <f t="shared" si="1080"/>
        <v>0</v>
      </c>
      <c r="AC1231" s="632">
        <f t="shared" si="1080"/>
        <v>0</v>
      </c>
      <c r="AD1231" s="632">
        <f t="shared" si="1080"/>
        <v>0</v>
      </c>
      <c r="AE1231" s="632">
        <f t="shared" si="1080"/>
        <v>0</v>
      </c>
      <c r="AF1231" s="632">
        <f t="shared" si="1080"/>
        <v>0</v>
      </c>
      <c r="AH1231" s="587"/>
      <c r="AK1231" s="588"/>
      <c r="AM1231" s="624"/>
      <c r="AN1231" s="590"/>
      <c r="AP1231" s="591"/>
      <c r="AQ1231" s="591"/>
    </row>
    <row r="1232" spans="1:43" s="726" customFormat="1" ht="16.5" hidden="1" customHeight="1" outlineLevel="2">
      <c r="A1232" s="584"/>
      <c r="B1232" s="723" t="s">
        <v>858</v>
      </c>
      <c r="C1232" s="727">
        <f>C1233+C1240+C1247+C1254+C1261+C1268+C1275+C1278</f>
        <v>0</v>
      </c>
      <c r="D1232" s="727">
        <f t="shared" ref="D1232:AF1232" si="1081">D1233+D1240+D1247+D1254+D1261+D1268+D1275+D1278</f>
        <v>0</v>
      </c>
      <c r="E1232" s="727">
        <f t="shared" si="1081"/>
        <v>0</v>
      </c>
      <c r="F1232" s="727">
        <f t="shared" si="1081"/>
        <v>0</v>
      </c>
      <c r="G1232" s="727">
        <f t="shared" si="1081"/>
        <v>0</v>
      </c>
      <c r="H1232" s="727">
        <f t="shared" si="1081"/>
        <v>0</v>
      </c>
      <c r="I1232" s="727">
        <f t="shared" si="1081"/>
        <v>48097.890879999999</v>
      </c>
      <c r="J1232" s="727">
        <f t="shared" si="1081"/>
        <v>48097.890879999999</v>
      </c>
      <c r="K1232" s="727">
        <f t="shared" si="1081"/>
        <v>48097.890879999999</v>
      </c>
      <c r="L1232" s="727">
        <f t="shared" si="1081"/>
        <v>48097.890879999999</v>
      </c>
      <c r="M1232" s="727">
        <f t="shared" si="1081"/>
        <v>48097.890879999999</v>
      </c>
      <c r="N1232" s="727">
        <f t="shared" si="1081"/>
        <v>48097.890879999999</v>
      </c>
      <c r="O1232" s="727">
        <f t="shared" si="1081"/>
        <v>48097.890879999999</v>
      </c>
      <c r="P1232" s="727">
        <f t="shared" si="1081"/>
        <v>48097.890879999999</v>
      </c>
      <c r="Q1232" s="727">
        <f t="shared" si="1081"/>
        <v>48097.890879999999</v>
      </c>
      <c r="R1232" s="727">
        <f t="shared" si="1081"/>
        <v>48097.890879999999</v>
      </c>
      <c r="S1232" s="727">
        <f t="shared" si="1081"/>
        <v>48097.890879999999</v>
      </c>
      <c r="T1232" s="727">
        <f t="shared" si="1081"/>
        <v>48097.890879999999</v>
      </c>
      <c r="U1232" s="727">
        <f t="shared" si="1081"/>
        <v>48097.890879999999</v>
      </c>
      <c r="V1232" s="727">
        <f t="shared" si="1081"/>
        <v>48097.890879999999</v>
      </c>
      <c r="W1232" s="727">
        <f t="shared" si="1081"/>
        <v>48097.890879999999</v>
      </c>
      <c r="X1232" s="727">
        <f t="shared" si="1081"/>
        <v>48097.890879999999</v>
      </c>
      <c r="Y1232" s="727">
        <f t="shared" si="1081"/>
        <v>48097.890879999999</v>
      </c>
      <c r="Z1232" s="727">
        <f t="shared" si="1081"/>
        <v>48097.890879999999</v>
      </c>
      <c r="AA1232" s="727">
        <f t="shared" si="1081"/>
        <v>48097.890879999999</v>
      </c>
      <c r="AB1232" s="727">
        <f t="shared" si="1081"/>
        <v>48097.890879999999</v>
      </c>
      <c r="AC1232" s="727">
        <f t="shared" si="1081"/>
        <v>48097.890879999999</v>
      </c>
      <c r="AD1232" s="727">
        <f t="shared" si="1081"/>
        <v>48097.890879999999</v>
      </c>
      <c r="AE1232" s="727">
        <f t="shared" si="1081"/>
        <v>48097.890879999999</v>
      </c>
      <c r="AF1232" s="727">
        <f t="shared" si="1081"/>
        <v>48097.890879999999</v>
      </c>
      <c r="AH1232" s="728">
        <f>SUM(C1232:AF1232)</f>
        <v>1154349.3811199998</v>
      </c>
      <c r="AJ1232" s="729"/>
      <c r="AK1232" s="588"/>
      <c r="AM1232" s="624"/>
      <c r="AN1232" s="590"/>
      <c r="AP1232" s="588"/>
      <c r="AQ1232" s="588"/>
    </row>
    <row r="1233" spans="1:43" s="634" customFormat="1" ht="16.5" hidden="1" customHeight="1" outlineLevel="2">
      <c r="A1233" s="584"/>
      <c r="B1233" s="580" t="s">
        <v>931</v>
      </c>
      <c r="C1233" s="583">
        <f>C1234*(C1235+C1237+C1238+C1239)</f>
        <v>0</v>
      </c>
      <c r="D1233" s="583">
        <f>D1234*(D1235+D1237+D1238+D1239)</f>
        <v>0</v>
      </c>
      <c r="E1233" s="583">
        <f t="shared" ref="E1233:AF1233" si="1082">E1234*(E1235+E1237+E1238+E1239)</f>
        <v>0</v>
      </c>
      <c r="F1233" s="583">
        <f t="shared" si="1082"/>
        <v>0</v>
      </c>
      <c r="G1233" s="583">
        <f>G1234*(G1235+G1237+G1238+G1239)</f>
        <v>0</v>
      </c>
      <c r="H1233" s="583">
        <f>H1234*(H1235+H1237+H1238+H1239)</f>
        <v>0</v>
      </c>
      <c r="I1233" s="583">
        <f t="shared" si="1082"/>
        <v>9961.6</v>
      </c>
      <c r="J1233" s="583">
        <f t="shared" si="1082"/>
        <v>9961.6</v>
      </c>
      <c r="K1233" s="583">
        <f t="shared" si="1082"/>
        <v>9961.6</v>
      </c>
      <c r="L1233" s="583">
        <f t="shared" si="1082"/>
        <v>9961.6</v>
      </c>
      <c r="M1233" s="583">
        <f t="shared" si="1082"/>
        <v>9961.6</v>
      </c>
      <c r="N1233" s="583">
        <f t="shared" si="1082"/>
        <v>9961.6</v>
      </c>
      <c r="O1233" s="583">
        <f t="shared" si="1082"/>
        <v>9961.6</v>
      </c>
      <c r="P1233" s="583">
        <f t="shared" si="1082"/>
        <v>9961.6</v>
      </c>
      <c r="Q1233" s="583">
        <f t="shared" si="1082"/>
        <v>9961.6</v>
      </c>
      <c r="R1233" s="583">
        <f t="shared" si="1082"/>
        <v>9961.6</v>
      </c>
      <c r="S1233" s="583">
        <f t="shared" si="1082"/>
        <v>9961.6</v>
      </c>
      <c r="T1233" s="583">
        <f t="shared" si="1082"/>
        <v>9961.6</v>
      </c>
      <c r="U1233" s="583">
        <f t="shared" si="1082"/>
        <v>9961.6</v>
      </c>
      <c r="V1233" s="583">
        <f t="shared" si="1082"/>
        <v>9961.6</v>
      </c>
      <c r="W1233" s="583">
        <f t="shared" si="1082"/>
        <v>9961.6</v>
      </c>
      <c r="X1233" s="583">
        <f t="shared" si="1082"/>
        <v>9961.6</v>
      </c>
      <c r="Y1233" s="583">
        <f t="shared" si="1082"/>
        <v>9961.6</v>
      </c>
      <c r="Z1233" s="583">
        <f t="shared" si="1082"/>
        <v>9961.6</v>
      </c>
      <c r="AA1233" s="583">
        <f t="shared" si="1082"/>
        <v>9961.6</v>
      </c>
      <c r="AB1233" s="583">
        <f t="shared" si="1082"/>
        <v>9961.6</v>
      </c>
      <c r="AC1233" s="583">
        <f t="shared" si="1082"/>
        <v>9961.6</v>
      </c>
      <c r="AD1233" s="583">
        <f t="shared" si="1082"/>
        <v>9961.6</v>
      </c>
      <c r="AE1233" s="583">
        <f t="shared" si="1082"/>
        <v>9961.6</v>
      </c>
      <c r="AF1233" s="583">
        <f t="shared" si="1082"/>
        <v>9961.6</v>
      </c>
      <c r="AH1233" s="635"/>
      <c r="AK1233" s="588"/>
      <c r="AM1233" s="624"/>
      <c r="AN1233" s="590"/>
      <c r="AP1233" s="636"/>
      <c r="AQ1233" s="636"/>
    </row>
    <row r="1234" spans="1:43" s="586" customFormat="1" ht="16.5" hidden="1" customHeight="1" outlineLevel="2">
      <c r="A1234" s="584"/>
      <c r="B1234" s="585" t="s">
        <v>805</v>
      </c>
      <c r="C1234" s="716">
        <v>0</v>
      </c>
      <c r="D1234" s="716">
        <v>0</v>
      </c>
      <c r="E1234" s="716">
        <v>0</v>
      </c>
      <c r="F1234" s="716">
        <v>0</v>
      </c>
      <c r="G1234" s="716">
        <v>0</v>
      </c>
      <c r="H1234" s="716">
        <v>0</v>
      </c>
      <c r="I1234" s="716">
        <v>4</v>
      </c>
      <c r="J1234" s="716">
        <f>I1234</f>
        <v>4</v>
      </c>
      <c r="K1234" s="716">
        <f t="shared" ref="K1234:AF1234" si="1083">J1234</f>
        <v>4</v>
      </c>
      <c r="L1234" s="716">
        <f t="shared" si="1083"/>
        <v>4</v>
      </c>
      <c r="M1234" s="716">
        <f t="shared" si="1083"/>
        <v>4</v>
      </c>
      <c r="N1234" s="716">
        <f t="shared" si="1083"/>
        <v>4</v>
      </c>
      <c r="O1234" s="716">
        <f t="shared" si="1083"/>
        <v>4</v>
      </c>
      <c r="P1234" s="716">
        <f t="shared" si="1083"/>
        <v>4</v>
      </c>
      <c r="Q1234" s="716">
        <f t="shared" si="1083"/>
        <v>4</v>
      </c>
      <c r="R1234" s="716">
        <f t="shared" si="1083"/>
        <v>4</v>
      </c>
      <c r="S1234" s="716">
        <f t="shared" si="1083"/>
        <v>4</v>
      </c>
      <c r="T1234" s="716">
        <f t="shared" si="1083"/>
        <v>4</v>
      </c>
      <c r="U1234" s="716">
        <f t="shared" si="1083"/>
        <v>4</v>
      </c>
      <c r="V1234" s="716">
        <f t="shared" si="1083"/>
        <v>4</v>
      </c>
      <c r="W1234" s="716">
        <f t="shared" si="1083"/>
        <v>4</v>
      </c>
      <c r="X1234" s="716">
        <f t="shared" si="1083"/>
        <v>4</v>
      </c>
      <c r="Y1234" s="716">
        <f t="shared" si="1083"/>
        <v>4</v>
      </c>
      <c r="Z1234" s="716">
        <f t="shared" si="1083"/>
        <v>4</v>
      </c>
      <c r="AA1234" s="716">
        <f t="shared" si="1083"/>
        <v>4</v>
      </c>
      <c r="AB1234" s="716">
        <f t="shared" si="1083"/>
        <v>4</v>
      </c>
      <c r="AC1234" s="716">
        <f t="shared" si="1083"/>
        <v>4</v>
      </c>
      <c r="AD1234" s="716">
        <f t="shared" si="1083"/>
        <v>4</v>
      </c>
      <c r="AE1234" s="716">
        <f t="shared" si="1083"/>
        <v>4</v>
      </c>
      <c r="AF1234" s="716">
        <f t="shared" si="1083"/>
        <v>4</v>
      </c>
      <c r="AH1234" s="587"/>
      <c r="AK1234" s="588"/>
      <c r="AM1234" s="624"/>
      <c r="AN1234" s="590"/>
      <c r="AP1234" s="591"/>
      <c r="AQ1234" s="591"/>
    </row>
    <row r="1235" spans="1:43" s="586" customFormat="1" ht="16.5" hidden="1" customHeight="1" outlineLevel="2">
      <c r="A1235" s="584"/>
      <c r="B1235" s="585" t="s">
        <v>928</v>
      </c>
      <c r="C1235" s="574">
        <f>'Sal._benef.'!$D$19</f>
        <v>1842</v>
      </c>
      <c r="D1235" s="632">
        <f>C1235</f>
        <v>1842</v>
      </c>
      <c r="E1235" s="632">
        <f t="shared" ref="E1235:T1239" si="1084">D1235</f>
        <v>1842</v>
      </c>
      <c r="F1235" s="632">
        <f t="shared" si="1084"/>
        <v>1842</v>
      </c>
      <c r="G1235" s="632">
        <f t="shared" si="1084"/>
        <v>1842</v>
      </c>
      <c r="H1235" s="632">
        <f t="shared" si="1084"/>
        <v>1842</v>
      </c>
      <c r="I1235" s="632">
        <f t="shared" si="1084"/>
        <v>1842</v>
      </c>
      <c r="J1235" s="632">
        <f t="shared" si="1084"/>
        <v>1842</v>
      </c>
      <c r="K1235" s="632">
        <f t="shared" si="1084"/>
        <v>1842</v>
      </c>
      <c r="L1235" s="632">
        <f t="shared" si="1084"/>
        <v>1842</v>
      </c>
      <c r="M1235" s="632">
        <f t="shared" si="1084"/>
        <v>1842</v>
      </c>
      <c r="N1235" s="632">
        <f t="shared" si="1084"/>
        <v>1842</v>
      </c>
      <c r="O1235" s="632">
        <f t="shared" si="1084"/>
        <v>1842</v>
      </c>
      <c r="P1235" s="632">
        <f t="shared" si="1084"/>
        <v>1842</v>
      </c>
      <c r="Q1235" s="632">
        <f t="shared" si="1084"/>
        <v>1842</v>
      </c>
      <c r="R1235" s="632">
        <f t="shared" si="1084"/>
        <v>1842</v>
      </c>
      <c r="S1235" s="632">
        <f t="shared" si="1084"/>
        <v>1842</v>
      </c>
      <c r="T1235" s="632">
        <f t="shared" si="1084"/>
        <v>1842</v>
      </c>
      <c r="U1235" s="632">
        <f t="shared" ref="U1235:AF1239" si="1085">T1235</f>
        <v>1842</v>
      </c>
      <c r="V1235" s="632">
        <f t="shared" si="1085"/>
        <v>1842</v>
      </c>
      <c r="W1235" s="632">
        <f t="shared" si="1085"/>
        <v>1842</v>
      </c>
      <c r="X1235" s="632">
        <f t="shared" si="1085"/>
        <v>1842</v>
      </c>
      <c r="Y1235" s="632">
        <f t="shared" si="1085"/>
        <v>1842</v>
      </c>
      <c r="Z1235" s="632">
        <f t="shared" si="1085"/>
        <v>1842</v>
      </c>
      <c r="AA1235" s="632">
        <f t="shared" si="1085"/>
        <v>1842</v>
      </c>
      <c r="AB1235" s="632">
        <f t="shared" si="1085"/>
        <v>1842</v>
      </c>
      <c r="AC1235" s="632">
        <f t="shared" si="1085"/>
        <v>1842</v>
      </c>
      <c r="AD1235" s="632">
        <f t="shared" si="1085"/>
        <v>1842</v>
      </c>
      <c r="AE1235" s="632">
        <f t="shared" si="1085"/>
        <v>1842</v>
      </c>
      <c r="AF1235" s="632">
        <f t="shared" si="1085"/>
        <v>1842</v>
      </c>
      <c r="AH1235" s="587"/>
      <c r="AK1235" s="588"/>
      <c r="AM1235" s="624"/>
      <c r="AN1235" s="590"/>
      <c r="AP1235" s="591"/>
      <c r="AQ1235" s="591"/>
    </row>
    <row r="1236" spans="1:43" s="586" customFormat="1" ht="16.5" hidden="1" customHeight="1" outlineLevel="2">
      <c r="A1236" s="584"/>
      <c r="B1236" s="585" t="s">
        <v>929</v>
      </c>
      <c r="C1236" s="632">
        <f>'Sal._benef.'!$F$10</f>
        <v>1621</v>
      </c>
      <c r="D1236" s="632">
        <f>C1236</f>
        <v>1621</v>
      </c>
      <c r="E1236" s="632">
        <f t="shared" si="1084"/>
        <v>1621</v>
      </c>
      <c r="F1236" s="632">
        <f t="shared" si="1084"/>
        <v>1621</v>
      </c>
      <c r="G1236" s="632">
        <f t="shared" si="1084"/>
        <v>1621</v>
      </c>
      <c r="H1236" s="632">
        <f t="shared" si="1084"/>
        <v>1621</v>
      </c>
      <c r="I1236" s="632">
        <f t="shared" si="1084"/>
        <v>1621</v>
      </c>
      <c r="J1236" s="632">
        <f t="shared" si="1084"/>
        <v>1621</v>
      </c>
      <c r="K1236" s="632">
        <f t="shared" si="1084"/>
        <v>1621</v>
      </c>
      <c r="L1236" s="632">
        <f t="shared" si="1084"/>
        <v>1621</v>
      </c>
      <c r="M1236" s="632">
        <f t="shared" si="1084"/>
        <v>1621</v>
      </c>
      <c r="N1236" s="632">
        <f t="shared" si="1084"/>
        <v>1621</v>
      </c>
      <c r="O1236" s="632">
        <f t="shared" si="1084"/>
        <v>1621</v>
      </c>
      <c r="P1236" s="632">
        <f t="shared" si="1084"/>
        <v>1621</v>
      </c>
      <c r="Q1236" s="632">
        <f t="shared" si="1084"/>
        <v>1621</v>
      </c>
      <c r="R1236" s="632">
        <f t="shared" si="1084"/>
        <v>1621</v>
      </c>
      <c r="S1236" s="632">
        <f t="shared" si="1084"/>
        <v>1621</v>
      </c>
      <c r="T1236" s="632">
        <f t="shared" si="1084"/>
        <v>1621</v>
      </c>
      <c r="U1236" s="632">
        <f t="shared" si="1085"/>
        <v>1621</v>
      </c>
      <c r="V1236" s="632">
        <f t="shared" si="1085"/>
        <v>1621</v>
      </c>
      <c r="W1236" s="632">
        <f t="shared" si="1085"/>
        <v>1621</v>
      </c>
      <c r="X1236" s="632">
        <f t="shared" si="1085"/>
        <v>1621</v>
      </c>
      <c r="Y1236" s="632">
        <f t="shared" si="1085"/>
        <v>1621</v>
      </c>
      <c r="Z1236" s="632">
        <f t="shared" si="1085"/>
        <v>1621</v>
      </c>
      <c r="AA1236" s="632">
        <f t="shared" si="1085"/>
        <v>1621</v>
      </c>
      <c r="AB1236" s="632">
        <f t="shared" si="1085"/>
        <v>1621</v>
      </c>
      <c r="AC1236" s="632">
        <f t="shared" si="1085"/>
        <v>1621</v>
      </c>
      <c r="AD1236" s="632">
        <f t="shared" si="1085"/>
        <v>1621</v>
      </c>
      <c r="AE1236" s="632">
        <f t="shared" si="1085"/>
        <v>1621</v>
      </c>
      <c r="AF1236" s="632">
        <f t="shared" si="1085"/>
        <v>1621</v>
      </c>
      <c r="AH1236" s="587"/>
      <c r="AK1236" s="588"/>
      <c r="AM1236" s="624"/>
      <c r="AN1236" s="590"/>
      <c r="AP1236" s="591"/>
      <c r="AQ1236" s="591"/>
    </row>
    <row r="1237" spans="1:43" s="586" customFormat="1" ht="16.5" hidden="1" customHeight="1" outlineLevel="2">
      <c r="A1237" s="584"/>
      <c r="B1237" s="585" t="s">
        <v>1487</v>
      </c>
      <c r="C1237" s="574">
        <f>'Sal._benef.'!$F$19*'Sal._benef.'!$F$10</f>
        <v>648.40000000000009</v>
      </c>
      <c r="D1237" s="632">
        <f>C1237</f>
        <v>648.40000000000009</v>
      </c>
      <c r="E1237" s="632">
        <f t="shared" si="1084"/>
        <v>648.40000000000009</v>
      </c>
      <c r="F1237" s="632">
        <f t="shared" si="1084"/>
        <v>648.40000000000009</v>
      </c>
      <c r="G1237" s="632">
        <f t="shared" si="1084"/>
        <v>648.40000000000009</v>
      </c>
      <c r="H1237" s="632">
        <f t="shared" si="1084"/>
        <v>648.40000000000009</v>
      </c>
      <c r="I1237" s="632">
        <f t="shared" si="1084"/>
        <v>648.40000000000009</v>
      </c>
      <c r="J1237" s="632">
        <f t="shared" si="1084"/>
        <v>648.40000000000009</v>
      </c>
      <c r="K1237" s="632">
        <f t="shared" si="1084"/>
        <v>648.40000000000009</v>
      </c>
      <c r="L1237" s="632">
        <f t="shared" si="1084"/>
        <v>648.40000000000009</v>
      </c>
      <c r="M1237" s="632">
        <f t="shared" si="1084"/>
        <v>648.40000000000009</v>
      </c>
      <c r="N1237" s="632">
        <f t="shared" si="1084"/>
        <v>648.40000000000009</v>
      </c>
      <c r="O1237" s="632">
        <f t="shared" si="1084"/>
        <v>648.40000000000009</v>
      </c>
      <c r="P1237" s="632">
        <f t="shared" si="1084"/>
        <v>648.40000000000009</v>
      </c>
      <c r="Q1237" s="632">
        <f t="shared" si="1084"/>
        <v>648.40000000000009</v>
      </c>
      <c r="R1237" s="632">
        <f t="shared" si="1084"/>
        <v>648.40000000000009</v>
      </c>
      <c r="S1237" s="632">
        <f t="shared" si="1084"/>
        <v>648.40000000000009</v>
      </c>
      <c r="T1237" s="632">
        <f t="shared" si="1084"/>
        <v>648.40000000000009</v>
      </c>
      <c r="U1237" s="632">
        <f t="shared" si="1085"/>
        <v>648.40000000000009</v>
      </c>
      <c r="V1237" s="632">
        <f t="shared" si="1085"/>
        <v>648.40000000000009</v>
      </c>
      <c r="W1237" s="632">
        <f t="shared" si="1085"/>
        <v>648.40000000000009</v>
      </c>
      <c r="X1237" s="632">
        <f t="shared" si="1085"/>
        <v>648.40000000000009</v>
      </c>
      <c r="Y1237" s="632">
        <f t="shared" si="1085"/>
        <v>648.40000000000009</v>
      </c>
      <c r="Z1237" s="632">
        <f t="shared" si="1085"/>
        <v>648.40000000000009</v>
      </c>
      <c r="AA1237" s="632">
        <f t="shared" si="1085"/>
        <v>648.40000000000009</v>
      </c>
      <c r="AB1237" s="632">
        <f t="shared" si="1085"/>
        <v>648.40000000000009</v>
      </c>
      <c r="AC1237" s="632">
        <f t="shared" si="1085"/>
        <v>648.40000000000009</v>
      </c>
      <c r="AD1237" s="632">
        <f t="shared" si="1085"/>
        <v>648.40000000000009</v>
      </c>
      <c r="AE1237" s="632">
        <f t="shared" si="1085"/>
        <v>648.40000000000009</v>
      </c>
      <c r="AF1237" s="632">
        <f t="shared" si="1085"/>
        <v>648.40000000000009</v>
      </c>
      <c r="AH1237" s="587"/>
      <c r="AK1237" s="588"/>
      <c r="AM1237" s="624"/>
      <c r="AN1237" s="590"/>
      <c r="AP1237" s="591"/>
      <c r="AQ1237" s="591"/>
    </row>
    <row r="1238" spans="1:43" s="586" customFormat="1" ht="16.5" hidden="1" customHeight="1" outlineLevel="2">
      <c r="A1238" s="584"/>
      <c r="B1238" s="585" t="s">
        <v>1486</v>
      </c>
      <c r="C1238" s="632">
        <v>0</v>
      </c>
      <c r="D1238" s="632">
        <f>C1238</f>
        <v>0</v>
      </c>
      <c r="E1238" s="632">
        <f t="shared" si="1084"/>
        <v>0</v>
      </c>
      <c r="F1238" s="632">
        <f t="shared" si="1084"/>
        <v>0</v>
      </c>
      <c r="G1238" s="632">
        <f t="shared" si="1084"/>
        <v>0</v>
      </c>
      <c r="H1238" s="632">
        <f t="shared" si="1084"/>
        <v>0</v>
      </c>
      <c r="I1238" s="632">
        <f t="shared" si="1084"/>
        <v>0</v>
      </c>
      <c r="J1238" s="632">
        <f t="shared" si="1084"/>
        <v>0</v>
      </c>
      <c r="K1238" s="632">
        <f t="shared" si="1084"/>
        <v>0</v>
      </c>
      <c r="L1238" s="632">
        <f t="shared" si="1084"/>
        <v>0</v>
      </c>
      <c r="M1238" s="632">
        <f t="shared" si="1084"/>
        <v>0</v>
      </c>
      <c r="N1238" s="632">
        <f t="shared" si="1084"/>
        <v>0</v>
      </c>
      <c r="O1238" s="632">
        <f t="shared" si="1084"/>
        <v>0</v>
      </c>
      <c r="P1238" s="632">
        <f t="shared" si="1084"/>
        <v>0</v>
      </c>
      <c r="Q1238" s="632">
        <f t="shared" si="1084"/>
        <v>0</v>
      </c>
      <c r="R1238" s="632">
        <f t="shared" si="1084"/>
        <v>0</v>
      </c>
      <c r="S1238" s="632">
        <f t="shared" si="1084"/>
        <v>0</v>
      </c>
      <c r="T1238" s="632">
        <f t="shared" si="1084"/>
        <v>0</v>
      </c>
      <c r="U1238" s="632">
        <f t="shared" si="1085"/>
        <v>0</v>
      </c>
      <c r="V1238" s="632">
        <f t="shared" si="1085"/>
        <v>0</v>
      </c>
      <c r="W1238" s="632">
        <f t="shared" si="1085"/>
        <v>0</v>
      </c>
      <c r="X1238" s="632">
        <f t="shared" si="1085"/>
        <v>0</v>
      </c>
      <c r="Y1238" s="632">
        <f t="shared" si="1085"/>
        <v>0</v>
      </c>
      <c r="Z1238" s="632">
        <f t="shared" si="1085"/>
        <v>0</v>
      </c>
      <c r="AA1238" s="632">
        <f t="shared" si="1085"/>
        <v>0</v>
      </c>
      <c r="AB1238" s="632">
        <f t="shared" si="1085"/>
        <v>0</v>
      </c>
      <c r="AC1238" s="632">
        <f t="shared" si="1085"/>
        <v>0</v>
      </c>
      <c r="AD1238" s="632">
        <f t="shared" si="1085"/>
        <v>0</v>
      </c>
      <c r="AE1238" s="632">
        <f t="shared" si="1085"/>
        <v>0</v>
      </c>
      <c r="AF1238" s="632">
        <f t="shared" si="1085"/>
        <v>0</v>
      </c>
      <c r="AH1238" s="587"/>
      <c r="AK1238" s="588"/>
      <c r="AM1238" s="624"/>
      <c r="AN1238" s="590"/>
      <c r="AP1238" s="591"/>
      <c r="AQ1238" s="591"/>
    </row>
    <row r="1239" spans="1:43" s="586" customFormat="1" ht="16.5" hidden="1" customHeight="1" outlineLevel="2">
      <c r="A1239" s="584"/>
      <c r="B1239" s="572" t="s">
        <v>1367</v>
      </c>
      <c r="C1239" s="632">
        <v>0</v>
      </c>
      <c r="D1239" s="632">
        <f>C1239</f>
        <v>0</v>
      </c>
      <c r="E1239" s="632">
        <f t="shared" si="1084"/>
        <v>0</v>
      </c>
      <c r="F1239" s="632">
        <f t="shared" si="1084"/>
        <v>0</v>
      </c>
      <c r="G1239" s="632">
        <f t="shared" si="1084"/>
        <v>0</v>
      </c>
      <c r="H1239" s="632">
        <f t="shared" si="1084"/>
        <v>0</v>
      </c>
      <c r="I1239" s="632">
        <f t="shared" si="1084"/>
        <v>0</v>
      </c>
      <c r="J1239" s="632">
        <f t="shared" si="1084"/>
        <v>0</v>
      </c>
      <c r="K1239" s="632">
        <f t="shared" si="1084"/>
        <v>0</v>
      </c>
      <c r="L1239" s="632">
        <f t="shared" si="1084"/>
        <v>0</v>
      </c>
      <c r="M1239" s="632">
        <f t="shared" si="1084"/>
        <v>0</v>
      </c>
      <c r="N1239" s="632">
        <f t="shared" si="1084"/>
        <v>0</v>
      </c>
      <c r="O1239" s="632">
        <f t="shared" si="1084"/>
        <v>0</v>
      </c>
      <c r="P1239" s="632">
        <f t="shared" si="1084"/>
        <v>0</v>
      </c>
      <c r="Q1239" s="632">
        <f t="shared" si="1084"/>
        <v>0</v>
      </c>
      <c r="R1239" s="632">
        <f t="shared" si="1084"/>
        <v>0</v>
      </c>
      <c r="S1239" s="632">
        <f t="shared" si="1084"/>
        <v>0</v>
      </c>
      <c r="T1239" s="632">
        <f t="shared" si="1084"/>
        <v>0</v>
      </c>
      <c r="U1239" s="632">
        <f t="shared" si="1085"/>
        <v>0</v>
      </c>
      <c r="V1239" s="632">
        <f t="shared" si="1085"/>
        <v>0</v>
      </c>
      <c r="W1239" s="632">
        <f t="shared" si="1085"/>
        <v>0</v>
      </c>
      <c r="X1239" s="632">
        <f t="shared" si="1085"/>
        <v>0</v>
      </c>
      <c r="Y1239" s="632">
        <f t="shared" si="1085"/>
        <v>0</v>
      </c>
      <c r="Z1239" s="632">
        <f t="shared" si="1085"/>
        <v>0</v>
      </c>
      <c r="AA1239" s="632">
        <f t="shared" si="1085"/>
        <v>0</v>
      </c>
      <c r="AB1239" s="632">
        <f t="shared" si="1085"/>
        <v>0</v>
      </c>
      <c r="AC1239" s="632">
        <f t="shared" si="1085"/>
        <v>0</v>
      </c>
      <c r="AD1239" s="632">
        <f t="shared" si="1085"/>
        <v>0</v>
      </c>
      <c r="AE1239" s="632">
        <f t="shared" si="1085"/>
        <v>0</v>
      </c>
      <c r="AF1239" s="632">
        <f t="shared" si="1085"/>
        <v>0</v>
      </c>
      <c r="AH1239" s="587"/>
      <c r="AK1239" s="588"/>
      <c r="AM1239" s="624"/>
      <c r="AN1239" s="590"/>
      <c r="AP1239" s="591"/>
      <c r="AQ1239" s="591"/>
    </row>
    <row r="1240" spans="1:43" s="634" customFormat="1" ht="16.5" hidden="1" customHeight="1" outlineLevel="2">
      <c r="A1240" s="584"/>
      <c r="B1240" s="580" t="s">
        <v>932</v>
      </c>
      <c r="C1240" s="583">
        <f>C1241*(C1242+C1244+C1245+C1246)</f>
        <v>0</v>
      </c>
      <c r="D1240" s="583">
        <f>D1241*(D1242+D1244+D1245+D1246)</f>
        <v>0</v>
      </c>
      <c r="E1240" s="583">
        <f t="shared" ref="E1240:AF1240" si="1086">E1241*(E1242+E1244+E1245+E1246)</f>
        <v>0</v>
      </c>
      <c r="F1240" s="583">
        <f t="shared" si="1086"/>
        <v>0</v>
      </c>
      <c r="G1240" s="583">
        <f>G1241*(G1242+G1244+G1245+G1246)</f>
        <v>0</v>
      </c>
      <c r="H1240" s="583">
        <f>H1241*(H1242+H1244+H1245+H1246)</f>
        <v>0</v>
      </c>
      <c r="I1240" s="583">
        <f t="shared" si="1086"/>
        <v>5672.6307200000001</v>
      </c>
      <c r="J1240" s="583">
        <f t="shared" si="1086"/>
        <v>5672.6307200000001</v>
      </c>
      <c r="K1240" s="583">
        <f t="shared" si="1086"/>
        <v>5672.6307200000001</v>
      </c>
      <c r="L1240" s="583">
        <f t="shared" si="1086"/>
        <v>5672.6307200000001</v>
      </c>
      <c r="M1240" s="583">
        <f t="shared" si="1086"/>
        <v>5672.6307200000001</v>
      </c>
      <c r="N1240" s="583">
        <f t="shared" si="1086"/>
        <v>5672.6307200000001</v>
      </c>
      <c r="O1240" s="583">
        <f t="shared" si="1086"/>
        <v>5672.6307200000001</v>
      </c>
      <c r="P1240" s="583">
        <f t="shared" si="1086"/>
        <v>5672.6307200000001</v>
      </c>
      <c r="Q1240" s="583">
        <f t="shared" si="1086"/>
        <v>5672.6307200000001</v>
      </c>
      <c r="R1240" s="583">
        <f t="shared" si="1086"/>
        <v>5672.6307200000001</v>
      </c>
      <c r="S1240" s="583">
        <f t="shared" si="1086"/>
        <v>5672.6307200000001</v>
      </c>
      <c r="T1240" s="583">
        <f t="shared" si="1086"/>
        <v>5672.6307200000001</v>
      </c>
      <c r="U1240" s="583">
        <f t="shared" si="1086"/>
        <v>5672.6307200000001</v>
      </c>
      <c r="V1240" s="583">
        <f t="shared" si="1086"/>
        <v>5672.6307200000001</v>
      </c>
      <c r="W1240" s="583">
        <f t="shared" si="1086"/>
        <v>5672.6307200000001</v>
      </c>
      <c r="X1240" s="583">
        <f t="shared" si="1086"/>
        <v>5672.6307200000001</v>
      </c>
      <c r="Y1240" s="583">
        <f t="shared" si="1086"/>
        <v>5672.6307200000001</v>
      </c>
      <c r="Z1240" s="583">
        <f t="shared" si="1086"/>
        <v>5672.6307200000001</v>
      </c>
      <c r="AA1240" s="583">
        <f t="shared" si="1086"/>
        <v>5672.6307200000001</v>
      </c>
      <c r="AB1240" s="583">
        <f t="shared" si="1086"/>
        <v>5672.6307200000001</v>
      </c>
      <c r="AC1240" s="583">
        <f t="shared" si="1086"/>
        <v>5672.6307200000001</v>
      </c>
      <c r="AD1240" s="583">
        <f t="shared" si="1086"/>
        <v>5672.6307200000001</v>
      </c>
      <c r="AE1240" s="583">
        <f t="shared" si="1086"/>
        <v>5672.6307200000001</v>
      </c>
      <c r="AF1240" s="583">
        <f t="shared" si="1086"/>
        <v>5672.6307200000001</v>
      </c>
      <c r="AH1240" s="635"/>
      <c r="AK1240" s="588"/>
      <c r="AM1240" s="624"/>
      <c r="AN1240" s="590"/>
      <c r="AP1240" s="636"/>
      <c r="AQ1240" s="636"/>
    </row>
    <row r="1241" spans="1:43" s="586" customFormat="1" ht="16.5" hidden="1" customHeight="1" outlineLevel="2">
      <c r="A1241" s="584"/>
      <c r="B1241" s="585" t="s">
        <v>805</v>
      </c>
      <c r="C1241" s="716">
        <v>0</v>
      </c>
      <c r="D1241" s="716">
        <v>0</v>
      </c>
      <c r="E1241" s="716">
        <v>0</v>
      </c>
      <c r="F1241" s="716">
        <v>0</v>
      </c>
      <c r="G1241" s="716">
        <v>0</v>
      </c>
      <c r="H1241" s="716">
        <v>0</v>
      </c>
      <c r="I1241" s="716">
        <v>2</v>
      </c>
      <c r="J1241" s="716">
        <f>I1241</f>
        <v>2</v>
      </c>
      <c r="K1241" s="716">
        <f t="shared" ref="K1241:AF1241" si="1087">J1241</f>
        <v>2</v>
      </c>
      <c r="L1241" s="716">
        <f t="shared" si="1087"/>
        <v>2</v>
      </c>
      <c r="M1241" s="716">
        <f t="shared" si="1087"/>
        <v>2</v>
      </c>
      <c r="N1241" s="716">
        <f t="shared" si="1087"/>
        <v>2</v>
      </c>
      <c r="O1241" s="716">
        <f t="shared" si="1087"/>
        <v>2</v>
      </c>
      <c r="P1241" s="716">
        <f t="shared" si="1087"/>
        <v>2</v>
      </c>
      <c r="Q1241" s="716">
        <f t="shared" si="1087"/>
        <v>2</v>
      </c>
      <c r="R1241" s="716">
        <f t="shared" si="1087"/>
        <v>2</v>
      </c>
      <c r="S1241" s="716">
        <f t="shared" si="1087"/>
        <v>2</v>
      </c>
      <c r="T1241" s="716">
        <f t="shared" si="1087"/>
        <v>2</v>
      </c>
      <c r="U1241" s="716">
        <f t="shared" si="1087"/>
        <v>2</v>
      </c>
      <c r="V1241" s="716">
        <f t="shared" si="1087"/>
        <v>2</v>
      </c>
      <c r="W1241" s="716">
        <f t="shared" si="1087"/>
        <v>2</v>
      </c>
      <c r="X1241" s="716">
        <f t="shared" si="1087"/>
        <v>2</v>
      </c>
      <c r="Y1241" s="716">
        <f t="shared" si="1087"/>
        <v>2</v>
      </c>
      <c r="Z1241" s="716">
        <f t="shared" si="1087"/>
        <v>2</v>
      </c>
      <c r="AA1241" s="716">
        <f t="shared" si="1087"/>
        <v>2</v>
      </c>
      <c r="AB1241" s="716">
        <f t="shared" si="1087"/>
        <v>2</v>
      </c>
      <c r="AC1241" s="716">
        <f t="shared" si="1087"/>
        <v>2</v>
      </c>
      <c r="AD1241" s="716">
        <f t="shared" si="1087"/>
        <v>2</v>
      </c>
      <c r="AE1241" s="716">
        <f t="shared" si="1087"/>
        <v>2</v>
      </c>
      <c r="AF1241" s="716">
        <f t="shared" si="1087"/>
        <v>2</v>
      </c>
      <c r="AH1241" s="587"/>
      <c r="AK1241" s="588"/>
      <c r="AM1241" s="624"/>
      <c r="AN1241" s="590"/>
      <c r="AP1241" s="591"/>
      <c r="AQ1241" s="591"/>
    </row>
    <row r="1242" spans="1:43" s="586" customFormat="1" ht="16.5" hidden="1" customHeight="1" outlineLevel="2">
      <c r="A1242" s="584"/>
      <c r="B1242" s="585" t="s">
        <v>928</v>
      </c>
      <c r="C1242" s="574">
        <f>'Sal._benef.'!$D$19</f>
        <v>1842</v>
      </c>
      <c r="D1242" s="632">
        <f>C1242</f>
        <v>1842</v>
      </c>
      <c r="E1242" s="632">
        <f t="shared" ref="E1242:T1246" si="1088">D1242</f>
        <v>1842</v>
      </c>
      <c r="F1242" s="632">
        <f t="shared" si="1088"/>
        <v>1842</v>
      </c>
      <c r="G1242" s="632">
        <f t="shared" si="1088"/>
        <v>1842</v>
      </c>
      <c r="H1242" s="632">
        <f t="shared" si="1088"/>
        <v>1842</v>
      </c>
      <c r="I1242" s="632">
        <f t="shared" si="1088"/>
        <v>1842</v>
      </c>
      <c r="J1242" s="632">
        <f t="shared" si="1088"/>
        <v>1842</v>
      </c>
      <c r="K1242" s="632">
        <f t="shared" si="1088"/>
        <v>1842</v>
      </c>
      <c r="L1242" s="632">
        <f t="shared" si="1088"/>
        <v>1842</v>
      </c>
      <c r="M1242" s="632">
        <f t="shared" si="1088"/>
        <v>1842</v>
      </c>
      <c r="N1242" s="632">
        <f t="shared" si="1088"/>
        <v>1842</v>
      </c>
      <c r="O1242" s="632">
        <f t="shared" si="1088"/>
        <v>1842</v>
      </c>
      <c r="P1242" s="632">
        <f t="shared" si="1088"/>
        <v>1842</v>
      </c>
      <c r="Q1242" s="632">
        <f t="shared" si="1088"/>
        <v>1842</v>
      </c>
      <c r="R1242" s="632">
        <f t="shared" si="1088"/>
        <v>1842</v>
      </c>
      <c r="S1242" s="632">
        <f t="shared" si="1088"/>
        <v>1842</v>
      </c>
      <c r="T1242" s="632">
        <f t="shared" si="1088"/>
        <v>1842</v>
      </c>
      <c r="U1242" s="632">
        <f t="shared" ref="U1242:AF1246" si="1089">T1242</f>
        <v>1842</v>
      </c>
      <c r="V1242" s="632">
        <f t="shared" si="1089"/>
        <v>1842</v>
      </c>
      <c r="W1242" s="632">
        <f t="shared" si="1089"/>
        <v>1842</v>
      </c>
      <c r="X1242" s="632">
        <f t="shared" si="1089"/>
        <v>1842</v>
      </c>
      <c r="Y1242" s="632">
        <f t="shared" si="1089"/>
        <v>1842</v>
      </c>
      <c r="Z1242" s="632">
        <f t="shared" si="1089"/>
        <v>1842</v>
      </c>
      <c r="AA1242" s="632">
        <f t="shared" si="1089"/>
        <v>1842</v>
      </c>
      <c r="AB1242" s="632">
        <f t="shared" si="1089"/>
        <v>1842</v>
      </c>
      <c r="AC1242" s="632">
        <f t="shared" si="1089"/>
        <v>1842</v>
      </c>
      <c r="AD1242" s="632">
        <f t="shared" si="1089"/>
        <v>1842</v>
      </c>
      <c r="AE1242" s="632">
        <f t="shared" si="1089"/>
        <v>1842</v>
      </c>
      <c r="AF1242" s="632">
        <f t="shared" si="1089"/>
        <v>1842</v>
      </c>
      <c r="AH1242" s="587"/>
      <c r="AK1242" s="588"/>
      <c r="AM1242" s="624"/>
      <c r="AN1242" s="590"/>
      <c r="AP1242" s="591"/>
      <c r="AQ1242" s="591"/>
    </row>
    <row r="1243" spans="1:43" s="586" customFormat="1" ht="16.5" hidden="1" customHeight="1" outlineLevel="2">
      <c r="A1243" s="584"/>
      <c r="B1243" s="585" t="s">
        <v>929</v>
      </c>
      <c r="C1243" s="632">
        <f>'Sal._benef.'!$F$10</f>
        <v>1621</v>
      </c>
      <c r="D1243" s="632">
        <f>C1243</f>
        <v>1621</v>
      </c>
      <c r="E1243" s="632">
        <f t="shared" si="1088"/>
        <v>1621</v>
      </c>
      <c r="F1243" s="632">
        <f t="shared" si="1088"/>
        <v>1621</v>
      </c>
      <c r="G1243" s="632">
        <f t="shared" si="1088"/>
        <v>1621</v>
      </c>
      <c r="H1243" s="632">
        <f t="shared" si="1088"/>
        <v>1621</v>
      </c>
      <c r="I1243" s="632">
        <f t="shared" si="1088"/>
        <v>1621</v>
      </c>
      <c r="J1243" s="632">
        <f t="shared" si="1088"/>
        <v>1621</v>
      </c>
      <c r="K1243" s="632">
        <f t="shared" si="1088"/>
        <v>1621</v>
      </c>
      <c r="L1243" s="632">
        <f t="shared" si="1088"/>
        <v>1621</v>
      </c>
      <c r="M1243" s="632">
        <f t="shared" si="1088"/>
        <v>1621</v>
      </c>
      <c r="N1243" s="632">
        <f t="shared" si="1088"/>
        <v>1621</v>
      </c>
      <c r="O1243" s="632">
        <f t="shared" si="1088"/>
        <v>1621</v>
      </c>
      <c r="P1243" s="632">
        <f t="shared" si="1088"/>
        <v>1621</v>
      </c>
      <c r="Q1243" s="632">
        <f t="shared" si="1088"/>
        <v>1621</v>
      </c>
      <c r="R1243" s="632">
        <f t="shared" si="1088"/>
        <v>1621</v>
      </c>
      <c r="S1243" s="632">
        <f t="shared" si="1088"/>
        <v>1621</v>
      </c>
      <c r="T1243" s="632">
        <f t="shared" si="1088"/>
        <v>1621</v>
      </c>
      <c r="U1243" s="632">
        <f t="shared" si="1089"/>
        <v>1621</v>
      </c>
      <c r="V1243" s="632">
        <f t="shared" si="1089"/>
        <v>1621</v>
      </c>
      <c r="W1243" s="632">
        <f t="shared" si="1089"/>
        <v>1621</v>
      </c>
      <c r="X1243" s="632">
        <f t="shared" si="1089"/>
        <v>1621</v>
      </c>
      <c r="Y1243" s="632">
        <f t="shared" si="1089"/>
        <v>1621</v>
      </c>
      <c r="Z1243" s="632">
        <f t="shared" si="1089"/>
        <v>1621</v>
      </c>
      <c r="AA1243" s="632">
        <f t="shared" si="1089"/>
        <v>1621</v>
      </c>
      <c r="AB1243" s="632">
        <f t="shared" si="1089"/>
        <v>1621</v>
      </c>
      <c r="AC1243" s="632">
        <f t="shared" si="1089"/>
        <v>1621</v>
      </c>
      <c r="AD1243" s="632">
        <f t="shared" si="1089"/>
        <v>1621</v>
      </c>
      <c r="AE1243" s="632">
        <f t="shared" si="1089"/>
        <v>1621</v>
      </c>
      <c r="AF1243" s="632">
        <f t="shared" si="1089"/>
        <v>1621</v>
      </c>
      <c r="AH1243" s="587"/>
      <c r="AK1243" s="588"/>
      <c r="AM1243" s="624"/>
      <c r="AN1243" s="590"/>
      <c r="AP1243" s="591"/>
      <c r="AQ1243" s="591"/>
    </row>
    <row r="1244" spans="1:43" s="586" customFormat="1" ht="16.5" hidden="1" customHeight="1" outlineLevel="2">
      <c r="A1244" s="584"/>
      <c r="B1244" s="585" t="s">
        <v>1487</v>
      </c>
      <c r="C1244" s="574">
        <f>'Sal._benef.'!$F$19*'Sal._benef.'!$F$10</f>
        <v>648.40000000000009</v>
      </c>
      <c r="D1244" s="632">
        <f>C1244</f>
        <v>648.40000000000009</v>
      </c>
      <c r="E1244" s="632">
        <f t="shared" si="1088"/>
        <v>648.40000000000009</v>
      </c>
      <c r="F1244" s="632">
        <f t="shared" si="1088"/>
        <v>648.40000000000009</v>
      </c>
      <c r="G1244" s="632">
        <f t="shared" si="1088"/>
        <v>648.40000000000009</v>
      </c>
      <c r="H1244" s="632">
        <f t="shared" si="1088"/>
        <v>648.40000000000009</v>
      </c>
      <c r="I1244" s="632">
        <f t="shared" si="1088"/>
        <v>648.40000000000009</v>
      </c>
      <c r="J1244" s="632">
        <f t="shared" si="1088"/>
        <v>648.40000000000009</v>
      </c>
      <c r="K1244" s="632">
        <f t="shared" si="1088"/>
        <v>648.40000000000009</v>
      </c>
      <c r="L1244" s="632">
        <f t="shared" si="1088"/>
        <v>648.40000000000009</v>
      </c>
      <c r="M1244" s="632">
        <f t="shared" si="1088"/>
        <v>648.40000000000009</v>
      </c>
      <c r="N1244" s="632">
        <f t="shared" si="1088"/>
        <v>648.40000000000009</v>
      </c>
      <c r="O1244" s="632">
        <f t="shared" si="1088"/>
        <v>648.40000000000009</v>
      </c>
      <c r="P1244" s="632">
        <f t="shared" si="1088"/>
        <v>648.40000000000009</v>
      </c>
      <c r="Q1244" s="632">
        <f t="shared" si="1088"/>
        <v>648.40000000000009</v>
      </c>
      <c r="R1244" s="632">
        <f t="shared" si="1088"/>
        <v>648.40000000000009</v>
      </c>
      <c r="S1244" s="632">
        <f t="shared" si="1088"/>
        <v>648.40000000000009</v>
      </c>
      <c r="T1244" s="632">
        <f t="shared" si="1088"/>
        <v>648.40000000000009</v>
      </c>
      <c r="U1244" s="632">
        <f t="shared" si="1089"/>
        <v>648.40000000000009</v>
      </c>
      <c r="V1244" s="632">
        <f t="shared" si="1089"/>
        <v>648.40000000000009</v>
      </c>
      <c r="W1244" s="632">
        <f t="shared" si="1089"/>
        <v>648.40000000000009</v>
      </c>
      <c r="X1244" s="632">
        <f t="shared" si="1089"/>
        <v>648.40000000000009</v>
      </c>
      <c r="Y1244" s="632">
        <f t="shared" si="1089"/>
        <v>648.40000000000009</v>
      </c>
      <c r="Z1244" s="632">
        <f t="shared" si="1089"/>
        <v>648.40000000000009</v>
      </c>
      <c r="AA1244" s="632">
        <f t="shared" si="1089"/>
        <v>648.40000000000009</v>
      </c>
      <c r="AB1244" s="632">
        <f t="shared" si="1089"/>
        <v>648.40000000000009</v>
      </c>
      <c r="AC1244" s="632">
        <f t="shared" si="1089"/>
        <v>648.40000000000009</v>
      </c>
      <c r="AD1244" s="632">
        <f t="shared" si="1089"/>
        <v>648.40000000000009</v>
      </c>
      <c r="AE1244" s="632">
        <f t="shared" si="1089"/>
        <v>648.40000000000009</v>
      </c>
      <c r="AF1244" s="632">
        <f t="shared" si="1089"/>
        <v>648.40000000000009</v>
      </c>
      <c r="AH1244" s="587"/>
      <c r="AK1244" s="588"/>
      <c r="AM1244" s="624"/>
      <c r="AN1244" s="590"/>
      <c r="AP1244" s="591"/>
      <c r="AQ1244" s="591"/>
    </row>
    <row r="1245" spans="1:43" s="586" customFormat="1" ht="16.5" hidden="1" customHeight="1" outlineLevel="2">
      <c r="A1245" s="584"/>
      <c r="B1245" s="585" t="s">
        <v>1486</v>
      </c>
      <c r="C1245" s="632">
        <v>0</v>
      </c>
      <c r="D1245" s="632">
        <f>C1245</f>
        <v>0</v>
      </c>
      <c r="E1245" s="632">
        <f t="shared" si="1088"/>
        <v>0</v>
      </c>
      <c r="F1245" s="632">
        <f t="shared" si="1088"/>
        <v>0</v>
      </c>
      <c r="G1245" s="632">
        <f t="shared" si="1088"/>
        <v>0</v>
      </c>
      <c r="H1245" s="632">
        <f t="shared" si="1088"/>
        <v>0</v>
      </c>
      <c r="I1245" s="632">
        <f t="shared" si="1088"/>
        <v>0</v>
      </c>
      <c r="J1245" s="632">
        <f t="shared" si="1088"/>
        <v>0</v>
      </c>
      <c r="K1245" s="632">
        <f t="shared" si="1088"/>
        <v>0</v>
      </c>
      <c r="L1245" s="632">
        <f t="shared" si="1088"/>
        <v>0</v>
      </c>
      <c r="M1245" s="632">
        <f t="shared" si="1088"/>
        <v>0</v>
      </c>
      <c r="N1245" s="632">
        <f t="shared" si="1088"/>
        <v>0</v>
      </c>
      <c r="O1245" s="632">
        <f t="shared" si="1088"/>
        <v>0</v>
      </c>
      <c r="P1245" s="632">
        <f t="shared" si="1088"/>
        <v>0</v>
      </c>
      <c r="Q1245" s="632">
        <f t="shared" si="1088"/>
        <v>0</v>
      </c>
      <c r="R1245" s="632">
        <f t="shared" si="1088"/>
        <v>0</v>
      </c>
      <c r="S1245" s="632">
        <f t="shared" si="1088"/>
        <v>0</v>
      </c>
      <c r="T1245" s="632">
        <f t="shared" si="1088"/>
        <v>0</v>
      </c>
      <c r="U1245" s="632">
        <f t="shared" si="1089"/>
        <v>0</v>
      </c>
      <c r="V1245" s="632">
        <f t="shared" si="1089"/>
        <v>0</v>
      </c>
      <c r="W1245" s="632">
        <f t="shared" si="1089"/>
        <v>0</v>
      </c>
      <c r="X1245" s="632">
        <f t="shared" si="1089"/>
        <v>0</v>
      </c>
      <c r="Y1245" s="632">
        <f t="shared" si="1089"/>
        <v>0</v>
      </c>
      <c r="Z1245" s="632">
        <f t="shared" si="1089"/>
        <v>0</v>
      </c>
      <c r="AA1245" s="632">
        <f t="shared" si="1089"/>
        <v>0</v>
      </c>
      <c r="AB1245" s="632">
        <f t="shared" si="1089"/>
        <v>0</v>
      </c>
      <c r="AC1245" s="632">
        <f t="shared" si="1089"/>
        <v>0</v>
      </c>
      <c r="AD1245" s="632">
        <f t="shared" si="1089"/>
        <v>0</v>
      </c>
      <c r="AE1245" s="632">
        <f t="shared" si="1089"/>
        <v>0</v>
      </c>
      <c r="AF1245" s="632">
        <f t="shared" si="1089"/>
        <v>0</v>
      </c>
      <c r="AH1245" s="587"/>
      <c r="AK1245" s="588"/>
      <c r="AM1245" s="624"/>
      <c r="AN1245" s="590"/>
      <c r="AP1245" s="591"/>
      <c r="AQ1245" s="591"/>
    </row>
    <row r="1246" spans="1:43" s="586" customFormat="1" ht="16.5" hidden="1" customHeight="1" outlineLevel="2">
      <c r="A1246" s="584"/>
      <c r="B1246" s="572" t="s">
        <v>1367</v>
      </c>
      <c r="C1246" s="632">
        <f>'Sal._benef.'!$E$19*'Sal._benef.'!$H$19</f>
        <v>345.91535999999996</v>
      </c>
      <c r="D1246" s="632">
        <f>C1246</f>
        <v>345.91535999999996</v>
      </c>
      <c r="E1246" s="632">
        <f t="shared" si="1088"/>
        <v>345.91535999999996</v>
      </c>
      <c r="F1246" s="632">
        <f t="shared" si="1088"/>
        <v>345.91535999999996</v>
      </c>
      <c r="G1246" s="632">
        <f t="shared" si="1088"/>
        <v>345.91535999999996</v>
      </c>
      <c r="H1246" s="632">
        <f t="shared" si="1088"/>
        <v>345.91535999999996</v>
      </c>
      <c r="I1246" s="632">
        <f t="shared" si="1088"/>
        <v>345.91535999999996</v>
      </c>
      <c r="J1246" s="632">
        <f t="shared" si="1088"/>
        <v>345.91535999999996</v>
      </c>
      <c r="K1246" s="632">
        <f t="shared" si="1088"/>
        <v>345.91535999999996</v>
      </c>
      <c r="L1246" s="632">
        <f t="shared" si="1088"/>
        <v>345.91535999999996</v>
      </c>
      <c r="M1246" s="632">
        <f t="shared" si="1088"/>
        <v>345.91535999999996</v>
      </c>
      <c r="N1246" s="632">
        <f t="shared" si="1088"/>
        <v>345.91535999999996</v>
      </c>
      <c r="O1246" s="632">
        <f t="shared" si="1088"/>
        <v>345.91535999999996</v>
      </c>
      <c r="P1246" s="632">
        <f t="shared" si="1088"/>
        <v>345.91535999999996</v>
      </c>
      <c r="Q1246" s="632">
        <f t="shared" si="1088"/>
        <v>345.91535999999996</v>
      </c>
      <c r="R1246" s="632">
        <f t="shared" si="1088"/>
        <v>345.91535999999996</v>
      </c>
      <c r="S1246" s="632">
        <f t="shared" si="1088"/>
        <v>345.91535999999996</v>
      </c>
      <c r="T1246" s="632">
        <f t="shared" si="1088"/>
        <v>345.91535999999996</v>
      </c>
      <c r="U1246" s="632">
        <f t="shared" si="1089"/>
        <v>345.91535999999996</v>
      </c>
      <c r="V1246" s="632">
        <f t="shared" si="1089"/>
        <v>345.91535999999996</v>
      </c>
      <c r="W1246" s="632">
        <f t="shared" si="1089"/>
        <v>345.91535999999996</v>
      </c>
      <c r="X1246" s="632">
        <f t="shared" si="1089"/>
        <v>345.91535999999996</v>
      </c>
      <c r="Y1246" s="632">
        <f t="shared" si="1089"/>
        <v>345.91535999999996</v>
      </c>
      <c r="Z1246" s="632">
        <f t="shared" si="1089"/>
        <v>345.91535999999996</v>
      </c>
      <c r="AA1246" s="632">
        <f t="shared" si="1089"/>
        <v>345.91535999999996</v>
      </c>
      <c r="AB1246" s="632">
        <f t="shared" si="1089"/>
        <v>345.91535999999996</v>
      </c>
      <c r="AC1246" s="632">
        <f t="shared" si="1089"/>
        <v>345.91535999999996</v>
      </c>
      <c r="AD1246" s="632">
        <f t="shared" si="1089"/>
        <v>345.91535999999996</v>
      </c>
      <c r="AE1246" s="632">
        <f t="shared" si="1089"/>
        <v>345.91535999999996</v>
      </c>
      <c r="AF1246" s="632">
        <f t="shared" si="1089"/>
        <v>345.91535999999996</v>
      </c>
      <c r="AH1246" s="587"/>
      <c r="AK1246" s="588"/>
      <c r="AM1246" s="624"/>
      <c r="AN1246" s="590"/>
      <c r="AP1246" s="591"/>
      <c r="AQ1246" s="591"/>
    </row>
    <row r="1247" spans="1:43" s="634" customFormat="1" ht="16.5" hidden="1" customHeight="1" outlineLevel="2">
      <c r="A1247" s="584"/>
      <c r="B1247" s="580" t="s">
        <v>1024</v>
      </c>
      <c r="C1247" s="583">
        <f>C1248*(C1249+C1251+C1252+C1253)</f>
        <v>0</v>
      </c>
      <c r="D1247" s="583">
        <f>D1248*(D1249+D1251+D1252+D1253)</f>
        <v>0</v>
      </c>
      <c r="E1247" s="583">
        <f t="shared" ref="E1247:AF1247" si="1090">E1248*(E1249+E1251+E1252+E1253)</f>
        <v>0</v>
      </c>
      <c r="F1247" s="583">
        <f t="shared" si="1090"/>
        <v>0</v>
      </c>
      <c r="G1247" s="583">
        <f>G1248*(G1249+G1251+G1252+G1253)</f>
        <v>0</v>
      </c>
      <c r="H1247" s="583">
        <f>H1248*(H1249+H1251+H1252+H1253)</f>
        <v>0</v>
      </c>
      <c r="I1247" s="583">
        <f t="shared" si="1090"/>
        <v>9444.0300000000007</v>
      </c>
      <c r="J1247" s="583">
        <f t="shared" si="1090"/>
        <v>9444.0300000000007</v>
      </c>
      <c r="K1247" s="583">
        <f t="shared" si="1090"/>
        <v>9444.0300000000007</v>
      </c>
      <c r="L1247" s="583">
        <f t="shared" si="1090"/>
        <v>9444.0300000000007</v>
      </c>
      <c r="M1247" s="583">
        <f t="shared" si="1090"/>
        <v>9444.0300000000007</v>
      </c>
      <c r="N1247" s="583">
        <f t="shared" si="1090"/>
        <v>9444.0300000000007</v>
      </c>
      <c r="O1247" s="583">
        <f t="shared" si="1090"/>
        <v>9444.0300000000007</v>
      </c>
      <c r="P1247" s="583">
        <f t="shared" si="1090"/>
        <v>9444.0300000000007</v>
      </c>
      <c r="Q1247" s="583">
        <f t="shared" si="1090"/>
        <v>9444.0300000000007</v>
      </c>
      <c r="R1247" s="583">
        <f t="shared" si="1090"/>
        <v>9444.0300000000007</v>
      </c>
      <c r="S1247" s="583">
        <f t="shared" si="1090"/>
        <v>9444.0300000000007</v>
      </c>
      <c r="T1247" s="583">
        <f t="shared" si="1090"/>
        <v>9444.0300000000007</v>
      </c>
      <c r="U1247" s="583">
        <f t="shared" si="1090"/>
        <v>9444.0300000000007</v>
      </c>
      <c r="V1247" s="583">
        <f t="shared" si="1090"/>
        <v>9444.0300000000007</v>
      </c>
      <c r="W1247" s="583">
        <f t="shared" si="1090"/>
        <v>9444.0300000000007</v>
      </c>
      <c r="X1247" s="583">
        <f t="shared" si="1090"/>
        <v>9444.0300000000007</v>
      </c>
      <c r="Y1247" s="583">
        <f t="shared" si="1090"/>
        <v>9444.0300000000007</v>
      </c>
      <c r="Z1247" s="583">
        <f t="shared" si="1090"/>
        <v>9444.0300000000007</v>
      </c>
      <c r="AA1247" s="583">
        <f t="shared" si="1090"/>
        <v>9444.0300000000007</v>
      </c>
      <c r="AB1247" s="583">
        <f t="shared" si="1090"/>
        <v>9444.0300000000007</v>
      </c>
      <c r="AC1247" s="583">
        <f t="shared" si="1090"/>
        <v>9444.0300000000007</v>
      </c>
      <c r="AD1247" s="583">
        <f t="shared" si="1090"/>
        <v>9444.0300000000007</v>
      </c>
      <c r="AE1247" s="583">
        <f t="shared" si="1090"/>
        <v>9444.0300000000007</v>
      </c>
      <c r="AF1247" s="583">
        <f t="shared" si="1090"/>
        <v>9444.0300000000007</v>
      </c>
      <c r="AH1247" s="635"/>
      <c r="AK1247" s="588"/>
      <c r="AM1247" s="624"/>
      <c r="AN1247" s="590"/>
      <c r="AP1247" s="636"/>
      <c r="AQ1247" s="636"/>
    </row>
    <row r="1248" spans="1:43" s="586" customFormat="1" ht="16.5" hidden="1" customHeight="1" outlineLevel="2">
      <c r="A1248" s="584"/>
      <c r="B1248" s="585" t="s">
        <v>805</v>
      </c>
      <c r="C1248" s="716">
        <v>0</v>
      </c>
      <c r="D1248" s="716">
        <v>0</v>
      </c>
      <c r="E1248" s="716">
        <v>0</v>
      </c>
      <c r="F1248" s="716">
        <v>0</v>
      </c>
      <c r="G1248" s="716">
        <v>0</v>
      </c>
      <c r="H1248" s="716">
        <v>0</v>
      </c>
      <c r="I1248" s="716">
        <v>3</v>
      </c>
      <c r="J1248" s="716">
        <f>I1248</f>
        <v>3</v>
      </c>
      <c r="K1248" s="716">
        <f t="shared" ref="K1248:AF1248" si="1091">J1248</f>
        <v>3</v>
      </c>
      <c r="L1248" s="716">
        <f t="shared" si="1091"/>
        <v>3</v>
      </c>
      <c r="M1248" s="716">
        <f t="shared" si="1091"/>
        <v>3</v>
      </c>
      <c r="N1248" s="716">
        <f t="shared" si="1091"/>
        <v>3</v>
      </c>
      <c r="O1248" s="716">
        <f t="shared" si="1091"/>
        <v>3</v>
      </c>
      <c r="P1248" s="716">
        <f t="shared" si="1091"/>
        <v>3</v>
      </c>
      <c r="Q1248" s="716">
        <f t="shared" si="1091"/>
        <v>3</v>
      </c>
      <c r="R1248" s="716">
        <f t="shared" si="1091"/>
        <v>3</v>
      </c>
      <c r="S1248" s="716">
        <f t="shared" si="1091"/>
        <v>3</v>
      </c>
      <c r="T1248" s="716">
        <f t="shared" si="1091"/>
        <v>3</v>
      </c>
      <c r="U1248" s="716">
        <f t="shared" si="1091"/>
        <v>3</v>
      </c>
      <c r="V1248" s="716">
        <f t="shared" si="1091"/>
        <v>3</v>
      </c>
      <c r="W1248" s="716">
        <f t="shared" si="1091"/>
        <v>3</v>
      </c>
      <c r="X1248" s="716">
        <f t="shared" si="1091"/>
        <v>3</v>
      </c>
      <c r="Y1248" s="716">
        <f t="shared" si="1091"/>
        <v>3</v>
      </c>
      <c r="Z1248" s="716">
        <f t="shared" si="1091"/>
        <v>3</v>
      </c>
      <c r="AA1248" s="716">
        <f t="shared" si="1091"/>
        <v>3</v>
      </c>
      <c r="AB1248" s="716">
        <f t="shared" si="1091"/>
        <v>3</v>
      </c>
      <c r="AC1248" s="716">
        <f t="shared" si="1091"/>
        <v>3</v>
      </c>
      <c r="AD1248" s="716">
        <f t="shared" si="1091"/>
        <v>3</v>
      </c>
      <c r="AE1248" s="716">
        <f t="shared" si="1091"/>
        <v>3</v>
      </c>
      <c r="AF1248" s="716">
        <f t="shared" si="1091"/>
        <v>3</v>
      </c>
      <c r="AH1248" s="587"/>
      <c r="AK1248" s="588"/>
      <c r="AM1248" s="624"/>
      <c r="AN1248" s="590"/>
      <c r="AP1248" s="591"/>
      <c r="AQ1248" s="591"/>
    </row>
    <row r="1249" spans="1:43" s="586" customFormat="1" ht="16.5" hidden="1" customHeight="1" outlineLevel="2">
      <c r="A1249" s="584"/>
      <c r="B1249" s="585" t="s">
        <v>928</v>
      </c>
      <c r="C1249" s="632">
        <f>'Sal._benef.'!$D$25</f>
        <v>2499.61</v>
      </c>
      <c r="D1249" s="632">
        <f>C1249</f>
        <v>2499.61</v>
      </c>
      <c r="E1249" s="632">
        <f t="shared" ref="E1249:T1253" si="1092">D1249</f>
        <v>2499.61</v>
      </c>
      <c r="F1249" s="632">
        <f t="shared" si="1092"/>
        <v>2499.61</v>
      </c>
      <c r="G1249" s="632">
        <f t="shared" si="1092"/>
        <v>2499.61</v>
      </c>
      <c r="H1249" s="632">
        <f t="shared" si="1092"/>
        <v>2499.61</v>
      </c>
      <c r="I1249" s="632">
        <f t="shared" si="1092"/>
        <v>2499.61</v>
      </c>
      <c r="J1249" s="632">
        <f t="shared" si="1092"/>
        <v>2499.61</v>
      </c>
      <c r="K1249" s="632">
        <f t="shared" si="1092"/>
        <v>2499.61</v>
      </c>
      <c r="L1249" s="632">
        <f t="shared" si="1092"/>
        <v>2499.61</v>
      </c>
      <c r="M1249" s="632">
        <f t="shared" si="1092"/>
        <v>2499.61</v>
      </c>
      <c r="N1249" s="632">
        <f t="shared" si="1092"/>
        <v>2499.61</v>
      </c>
      <c r="O1249" s="632">
        <f t="shared" si="1092"/>
        <v>2499.61</v>
      </c>
      <c r="P1249" s="632">
        <f t="shared" si="1092"/>
        <v>2499.61</v>
      </c>
      <c r="Q1249" s="632">
        <f t="shared" si="1092"/>
        <v>2499.61</v>
      </c>
      <c r="R1249" s="632">
        <f t="shared" si="1092"/>
        <v>2499.61</v>
      </c>
      <c r="S1249" s="632">
        <f t="shared" si="1092"/>
        <v>2499.61</v>
      </c>
      <c r="T1249" s="632">
        <f t="shared" si="1092"/>
        <v>2499.61</v>
      </c>
      <c r="U1249" s="632">
        <f t="shared" ref="U1249:AF1253" si="1093">T1249</f>
        <v>2499.61</v>
      </c>
      <c r="V1249" s="632">
        <f t="shared" si="1093"/>
        <v>2499.61</v>
      </c>
      <c r="W1249" s="632">
        <f t="shared" si="1093"/>
        <v>2499.61</v>
      </c>
      <c r="X1249" s="632">
        <f t="shared" si="1093"/>
        <v>2499.61</v>
      </c>
      <c r="Y1249" s="632">
        <f t="shared" si="1093"/>
        <v>2499.61</v>
      </c>
      <c r="Z1249" s="632">
        <f t="shared" si="1093"/>
        <v>2499.61</v>
      </c>
      <c r="AA1249" s="632">
        <f t="shared" si="1093"/>
        <v>2499.61</v>
      </c>
      <c r="AB1249" s="632">
        <f t="shared" si="1093"/>
        <v>2499.61</v>
      </c>
      <c r="AC1249" s="632">
        <f t="shared" si="1093"/>
        <v>2499.61</v>
      </c>
      <c r="AD1249" s="632">
        <f t="shared" si="1093"/>
        <v>2499.61</v>
      </c>
      <c r="AE1249" s="632">
        <f t="shared" si="1093"/>
        <v>2499.61</v>
      </c>
      <c r="AF1249" s="632">
        <f t="shared" si="1093"/>
        <v>2499.61</v>
      </c>
      <c r="AH1249" s="587"/>
      <c r="AK1249" s="588"/>
      <c r="AM1249" s="624"/>
      <c r="AN1249" s="590"/>
      <c r="AP1249" s="591"/>
      <c r="AQ1249" s="591"/>
    </row>
    <row r="1250" spans="1:43" s="586" customFormat="1" ht="16.5" hidden="1" customHeight="1" outlineLevel="2">
      <c r="A1250" s="584"/>
      <c r="B1250" s="585" t="s">
        <v>929</v>
      </c>
      <c r="C1250" s="632">
        <f>'Sal._benef.'!$F$10</f>
        <v>1621</v>
      </c>
      <c r="D1250" s="632">
        <f>C1250</f>
        <v>1621</v>
      </c>
      <c r="E1250" s="632">
        <f t="shared" si="1092"/>
        <v>1621</v>
      </c>
      <c r="F1250" s="632">
        <f t="shared" si="1092"/>
        <v>1621</v>
      </c>
      <c r="G1250" s="632">
        <f t="shared" si="1092"/>
        <v>1621</v>
      </c>
      <c r="H1250" s="632">
        <f t="shared" si="1092"/>
        <v>1621</v>
      </c>
      <c r="I1250" s="632">
        <f t="shared" si="1092"/>
        <v>1621</v>
      </c>
      <c r="J1250" s="632">
        <f t="shared" si="1092"/>
        <v>1621</v>
      </c>
      <c r="K1250" s="632">
        <f t="shared" si="1092"/>
        <v>1621</v>
      </c>
      <c r="L1250" s="632">
        <f t="shared" si="1092"/>
        <v>1621</v>
      </c>
      <c r="M1250" s="632">
        <f t="shared" si="1092"/>
        <v>1621</v>
      </c>
      <c r="N1250" s="632">
        <f t="shared" si="1092"/>
        <v>1621</v>
      </c>
      <c r="O1250" s="632">
        <f t="shared" si="1092"/>
        <v>1621</v>
      </c>
      <c r="P1250" s="632">
        <f t="shared" si="1092"/>
        <v>1621</v>
      </c>
      <c r="Q1250" s="632">
        <f t="shared" si="1092"/>
        <v>1621</v>
      </c>
      <c r="R1250" s="632">
        <f t="shared" si="1092"/>
        <v>1621</v>
      </c>
      <c r="S1250" s="632">
        <f t="shared" si="1092"/>
        <v>1621</v>
      </c>
      <c r="T1250" s="632">
        <f t="shared" si="1092"/>
        <v>1621</v>
      </c>
      <c r="U1250" s="632">
        <f t="shared" si="1093"/>
        <v>1621</v>
      </c>
      <c r="V1250" s="632">
        <f t="shared" si="1093"/>
        <v>1621</v>
      </c>
      <c r="W1250" s="632">
        <f t="shared" si="1093"/>
        <v>1621</v>
      </c>
      <c r="X1250" s="632">
        <f t="shared" si="1093"/>
        <v>1621</v>
      </c>
      <c r="Y1250" s="632">
        <f t="shared" si="1093"/>
        <v>1621</v>
      </c>
      <c r="Z1250" s="632">
        <f t="shared" si="1093"/>
        <v>1621</v>
      </c>
      <c r="AA1250" s="632">
        <f t="shared" si="1093"/>
        <v>1621</v>
      </c>
      <c r="AB1250" s="632">
        <f t="shared" si="1093"/>
        <v>1621</v>
      </c>
      <c r="AC1250" s="632">
        <f t="shared" si="1093"/>
        <v>1621</v>
      </c>
      <c r="AD1250" s="632">
        <f t="shared" si="1093"/>
        <v>1621</v>
      </c>
      <c r="AE1250" s="632">
        <f t="shared" si="1093"/>
        <v>1621</v>
      </c>
      <c r="AF1250" s="632">
        <f t="shared" si="1093"/>
        <v>1621</v>
      </c>
      <c r="AH1250" s="587"/>
      <c r="AK1250" s="588"/>
      <c r="AM1250" s="624"/>
      <c r="AN1250" s="590"/>
      <c r="AP1250" s="591"/>
      <c r="AQ1250" s="591"/>
    </row>
    <row r="1251" spans="1:43" s="586" customFormat="1" ht="16.5" hidden="1" customHeight="1" outlineLevel="2">
      <c r="A1251" s="584"/>
      <c r="B1251" s="585" t="s">
        <v>1487</v>
      </c>
      <c r="C1251" s="632">
        <f>'Sal._benef.'!$F$25*'Sal._benef.'!$F$10</f>
        <v>648.40000000000009</v>
      </c>
      <c r="D1251" s="632">
        <f>C1251</f>
        <v>648.40000000000009</v>
      </c>
      <c r="E1251" s="632">
        <f t="shared" si="1092"/>
        <v>648.40000000000009</v>
      </c>
      <c r="F1251" s="632">
        <f t="shared" si="1092"/>
        <v>648.40000000000009</v>
      </c>
      <c r="G1251" s="632">
        <f t="shared" si="1092"/>
        <v>648.40000000000009</v>
      </c>
      <c r="H1251" s="632">
        <f t="shared" si="1092"/>
        <v>648.40000000000009</v>
      </c>
      <c r="I1251" s="632">
        <f t="shared" si="1092"/>
        <v>648.40000000000009</v>
      </c>
      <c r="J1251" s="632">
        <f t="shared" si="1092"/>
        <v>648.40000000000009</v>
      </c>
      <c r="K1251" s="632">
        <f t="shared" si="1092"/>
        <v>648.40000000000009</v>
      </c>
      <c r="L1251" s="632">
        <f t="shared" si="1092"/>
        <v>648.40000000000009</v>
      </c>
      <c r="M1251" s="632">
        <f t="shared" si="1092"/>
        <v>648.40000000000009</v>
      </c>
      <c r="N1251" s="632">
        <f t="shared" si="1092"/>
        <v>648.40000000000009</v>
      </c>
      <c r="O1251" s="632">
        <f t="shared" si="1092"/>
        <v>648.40000000000009</v>
      </c>
      <c r="P1251" s="632">
        <f t="shared" si="1092"/>
        <v>648.40000000000009</v>
      </c>
      <c r="Q1251" s="632">
        <f t="shared" si="1092"/>
        <v>648.40000000000009</v>
      </c>
      <c r="R1251" s="632">
        <f t="shared" si="1092"/>
        <v>648.40000000000009</v>
      </c>
      <c r="S1251" s="632">
        <f t="shared" si="1092"/>
        <v>648.40000000000009</v>
      </c>
      <c r="T1251" s="632">
        <f t="shared" si="1092"/>
        <v>648.40000000000009</v>
      </c>
      <c r="U1251" s="632">
        <f t="shared" si="1093"/>
        <v>648.40000000000009</v>
      </c>
      <c r="V1251" s="632">
        <f t="shared" si="1093"/>
        <v>648.40000000000009</v>
      </c>
      <c r="W1251" s="632">
        <f t="shared" si="1093"/>
        <v>648.40000000000009</v>
      </c>
      <c r="X1251" s="632">
        <f t="shared" si="1093"/>
        <v>648.40000000000009</v>
      </c>
      <c r="Y1251" s="632">
        <f t="shared" si="1093"/>
        <v>648.40000000000009</v>
      </c>
      <c r="Z1251" s="632">
        <f t="shared" si="1093"/>
        <v>648.40000000000009</v>
      </c>
      <c r="AA1251" s="632">
        <f t="shared" si="1093"/>
        <v>648.40000000000009</v>
      </c>
      <c r="AB1251" s="632">
        <f t="shared" si="1093"/>
        <v>648.40000000000009</v>
      </c>
      <c r="AC1251" s="632">
        <f t="shared" si="1093"/>
        <v>648.40000000000009</v>
      </c>
      <c r="AD1251" s="632">
        <f t="shared" si="1093"/>
        <v>648.40000000000009</v>
      </c>
      <c r="AE1251" s="632">
        <f t="shared" si="1093"/>
        <v>648.40000000000009</v>
      </c>
      <c r="AF1251" s="632">
        <f t="shared" si="1093"/>
        <v>648.40000000000009</v>
      </c>
      <c r="AH1251" s="587"/>
      <c r="AK1251" s="588"/>
      <c r="AM1251" s="624"/>
      <c r="AN1251" s="590"/>
      <c r="AP1251" s="591"/>
      <c r="AQ1251" s="591"/>
    </row>
    <row r="1252" spans="1:43" s="586" customFormat="1" ht="16.5" hidden="1" customHeight="1" outlineLevel="2">
      <c r="A1252" s="584"/>
      <c r="B1252" s="585" t="s">
        <v>1486</v>
      </c>
      <c r="C1252" s="632">
        <v>0</v>
      </c>
      <c r="D1252" s="632">
        <f>C1252</f>
        <v>0</v>
      </c>
      <c r="E1252" s="632">
        <f t="shared" si="1092"/>
        <v>0</v>
      </c>
      <c r="F1252" s="632">
        <f t="shared" si="1092"/>
        <v>0</v>
      </c>
      <c r="G1252" s="632">
        <f t="shared" si="1092"/>
        <v>0</v>
      </c>
      <c r="H1252" s="632">
        <f t="shared" si="1092"/>
        <v>0</v>
      </c>
      <c r="I1252" s="632">
        <f t="shared" si="1092"/>
        <v>0</v>
      </c>
      <c r="J1252" s="632">
        <f t="shared" si="1092"/>
        <v>0</v>
      </c>
      <c r="K1252" s="632">
        <f t="shared" si="1092"/>
        <v>0</v>
      </c>
      <c r="L1252" s="632">
        <f t="shared" si="1092"/>
        <v>0</v>
      </c>
      <c r="M1252" s="632">
        <f t="shared" si="1092"/>
        <v>0</v>
      </c>
      <c r="N1252" s="632">
        <f t="shared" si="1092"/>
        <v>0</v>
      </c>
      <c r="O1252" s="632">
        <f t="shared" si="1092"/>
        <v>0</v>
      </c>
      <c r="P1252" s="632">
        <f t="shared" si="1092"/>
        <v>0</v>
      </c>
      <c r="Q1252" s="632">
        <f t="shared" si="1092"/>
        <v>0</v>
      </c>
      <c r="R1252" s="632">
        <f t="shared" si="1092"/>
        <v>0</v>
      </c>
      <c r="S1252" s="632">
        <f t="shared" si="1092"/>
        <v>0</v>
      </c>
      <c r="T1252" s="632">
        <f t="shared" si="1092"/>
        <v>0</v>
      </c>
      <c r="U1252" s="632">
        <f t="shared" si="1093"/>
        <v>0</v>
      </c>
      <c r="V1252" s="632">
        <f t="shared" si="1093"/>
        <v>0</v>
      </c>
      <c r="W1252" s="632">
        <f t="shared" si="1093"/>
        <v>0</v>
      </c>
      <c r="X1252" s="632">
        <f t="shared" si="1093"/>
        <v>0</v>
      </c>
      <c r="Y1252" s="632">
        <f t="shared" si="1093"/>
        <v>0</v>
      </c>
      <c r="Z1252" s="632">
        <f t="shared" si="1093"/>
        <v>0</v>
      </c>
      <c r="AA1252" s="632">
        <f t="shared" si="1093"/>
        <v>0</v>
      </c>
      <c r="AB1252" s="632">
        <f t="shared" si="1093"/>
        <v>0</v>
      </c>
      <c r="AC1252" s="632">
        <f t="shared" si="1093"/>
        <v>0</v>
      </c>
      <c r="AD1252" s="632">
        <f t="shared" si="1093"/>
        <v>0</v>
      </c>
      <c r="AE1252" s="632">
        <f t="shared" si="1093"/>
        <v>0</v>
      </c>
      <c r="AF1252" s="632">
        <f t="shared" si="1093"/>
        <v>0</v>
      </c>
      <c r="AH1252" s="587"/>
      <c r="AK1252" s="588"/>
      <c r="AM1252" s="624"/>
      <c r="AN1252" s="590"/>
      <c r="AP1252" s="591"/>
      <c r="AQ1252" s="591"/>
    </row>
    <row r="1253" spans="1:43" s="586" customFormat="1" ht="16.5" hidden="1" customHeight="1" outlineLevel="2">
      <c r="A1253" s="584"/>
      <c r="B1253" s="572" t="s">
        <v>1367</v>
      </c>
      <c r="C1253" s="632">
        <v>0</v>
      </c>
      <c r="D1253" s="632">
        <f>C1253</f>
        <v>0</v>
      </c>
      <c r="E1253" s="632">
        <f t="shared" si="1092"/>
        <v>0</v>
      </c>
      <c r="F1253" s="632">
        <f t="shared" si="1092"/>
        <v>0</v>
      </c>
      <c r="G1253" s="632">
        <f t="shared" si="1092"/>
        <v>0</v>
      </c>
      <c r="H1253" s="632">
        <f t="shared" si="1092"/>
        <v>0</v>
      </c>
      <c r="I1253" s="632">
        <f t="shared" si="1092"/>
        <v>0</v>
      </c>
      <c r="J1253" s="632">
        <f t="shared" si="1092"/>
        <v>0</v>
      </c>
      <c r="K1253" s="632">
        <f t="shared" si="1092"/>
        <v>0</v>
      </c>
      <c r="L1253" s="632">
        <f t="shared" si="1092"/>
        <v>0</v>
      </c>
      <c r="M1253" s="632">
        <f t="shared" si="1092"/>
        <v>0</v>
      </c>
      <c r="N1253" s="632">
        <f t="shared" si="1092"/>
        <v>0</v>
      </c>
      <c r="O1253" s="632">
        <f t="shared" si="1092"/>
        <v>0</v>
      </c>
      <c r="P1253" s="632">
        <f t="shared" si="1092"/>
        <v>0</v>
      </c>
      <c r="Q1253" s="632">
        <f t="shared" si="1092"/>
        <v>0</v>
      </c>
      <c r="R1253" s="632">
        <f t="shared" si="1092"/>
        <v>0</v>
      </c>
      <c r="S1253" s="632">
        <f t="shared" si="1092"/>
        <v>0</v>
      </c>
      <c r="T1253" s="632">
        <f t="shared" si="1092"/>
        <v>0</v>
      </c>
      <c r="U1253" s="632">
        <f t="shared" si="1093"/>
        <v>0</v>
      </c>
      <c r="V1253" s="632">
        <f t="shared" si="1093"/>
        <v>0</v>
      </c>
      <c r="W1253" s="632">
        <f t="shared" si="1093"/>
        <v>0</v>
      </c>
      <c r="X1253" s="632">
        <f t="shared" si="1093"/>
        <v>0</v>
      </c>
      <c r="Y1253" s="632">
        <f t="shared" si="1093"/>
        <v>0</v>
      </c>
      <c r="Z1253" s="632">
        <f t="shared" si="1093"/>
        <v>0</v>
      </c>
      <c r="AA1253" s="632">
        <f t="shared" si="1093"/>
        <v>0</v>
      </c>
      <c r="AB1253" s="632">
        <f t="shared" si="1093"/>
        <v>0</v>
      </c>
      <c r="AC1253" s="632">
        <f t="shared" si="1093"/>
        <v>0</v>
      </c>
      <c r="AD1253" s="632">
        <f t="shared" si="1093"/>
        <v>0</v>
      </c>
      <c r="AE1253" s="632">
        <f t="shared" si="1093"/>
        <v>0</v>
      </c>
      <c r="AF1253" s="632">
        <f t="shared" si="1093"/>
        <v>0</v>
      </c>
      <c r="AH1253" s="587"/>
      <c r="AK1253" s="588"/>
      <c r="AM1253" s="624"/>
      <c r="AN1253" s="590"/>
      <c r="AP1253" s="591"/>
      <c r="AQ1253" s="591"/>
    </row>
    <row r="1254" spans="1:43" s="634" customFormat="1" ht="16.5" hidden="1" customHeight="1" outlineLevel="2">
      <c r="A1254" s="584"/>
      <c r="B1254" s="580" t="s">
        <v>1025</v>
      </c>
      <c r="C1254" s="583">
        <f>C1255*(C1256+C1258+C1259+C1260)</f>
        <v>0</v>
      </c>
      <c r="D1254" s="583">
        <f>D1255*(D1256+D1258+D1259+D1260)</f>
        <v>0</v>
      </c>
      <c r="E1254" s="583">
        <f t="shared" ref="E1254:AF1254" si="1094">E1255*(E1256+E1258+E1259+E1260)</f>
        <v>0</v>
      </c>
      <c r="F1254" s="583">
        <f t="shared" si="1094"/>
        <v>0</v>
      </c>
      <c r="G1254" s="583">
        <f>G1255*(G1256+G1258+G1259+G1260)</f>
        <v>0</v>
      </c>
      <c r="H1254" s="583">
        <f>H1255*(H1256+H1258+H1259+H1260)</f>
        <v>0</v>
      </c>
      <c r="I1254" s="583">
        <f t="shared" si="1094"/>
        <v>7234.9921600000007</v>
      </c>
      <c r="J1254" s="583">
        <f t="shared" si="1094"/>
        <v>7234.9921600000007</v>
      </c>
      <c r="K1254" s="583">
        <f t="shared" si="1094"/>
        <v>7234.9921600000007</v>
      </c>
      <c r="L1254" s="583">
        <f t="shared" si="1094"/>
        <v>7234.9921600000007</v>
      </c>
      <c r="M1254" s="583">
        <f t="shared" si="1094"/>
        <v>7234.9921600000007</v>
      </c>
      <c r="N1254" s="583">
        <f t="shared" si="1094"/>
        <v>7234.9921600000007</v>
      </c>
      <c r="O1254" s="583">
        <f t="shared" si="1094"/>
        <v>7234.9921600000007</v>
      </c>
      <c r="P1254" s="583">
        <f t="shared" si="1094"/>
        <v>7234.9921600000007</v>
      </c>
      <c r="Q1254" s="583">
        <f t="shared" si="1094"/>
        <v>7234.9921600000007</v>
      </c>
      <c r="R1254" s="583">
        <f t="shared" si="1094"/>
        <v>7234.9921600000007</v>
      </c>
      <c r="S1254" s="583">
        <f t="shared" si="1094"/>
        <v>7234.9921600000007</v>
      </c>
      <c r="T1254" s="583">
        <f t="shared" si="1094"/>
        <v>7234.9921600000007</v>
      </c>
      <c r="U1254" s="583">
        <f t="shared" si="1094"/>
        <v>7234.9921600000007</v>
      </c>
      <c r="V1254" s="583">
        <f t="shared" si="1094"/>
        <v>7234.9921600000007</v>
      </c>
      <c r="W1254" s="583">
        <f t="shared" si="1094"/>
        <v>7234.9921600000007</v>
      </c>
      <c r="X1254" s="583">
        <f t="shared" si="1094"/>
        <v>7234.9921600000007</v>
      </c>
      <c r="Y1254" s="583">
        <f t="shared" si="1094"/>
        <v>7234.9921600000007</v>
      </c>
      <c r="Z1254" s="583">
        <f t="shared" si="1094"/>
        <v>7234.9921600000007</v>
      </c>
      <c r="AA1254" s="583">
        <f t="shared" si="1094"/>
        <v>7234.9921600000007</v>
      </c>
      <c r="AB1254" s="583">
        <f t="shared" si="1094"/>
        <v>7234.9921600000007</v>
      </c>
      <c r="AC1254" s="583">
        <f t="shared" si="1094"/>
        <v>7234.9921600000007</v>
      </c>
      <c r="AD1254" s="583">
        <f t="shared" si="1094"/>
        <v>7234.9921600000007</v>
      </c>
      <c r="AE1254" s="583">
        <f t="shared" si="1094"/>
        <v>7234.9921600000007</v>
      </c>
      <c r="AF1254" s="583">
        <f t="shared" si="1094"/>
        <v>7234.9921600000007</v>
      </c>
      <c r="AH1254" s="635"/>
      <c r="AK1254" s="588"/>
      <c r="AM1254" s="624"/>
      <c r="AN1254" s="590"/>
      <c r="AP1254" s="636"/>
      <c r="AQ1254" s="636"/>
    </row>
    <row r="1255" spans="1:43" s="586" customFormat="1" ht="16.5" hidden="1" customHeight="1" outlineLevel="2">
      <c r="A1255" s="584"/>
      <c r="B1255" s="585" t="s">
        <v>805</v>
      </c>
      <c r="C1255" s="716">
        <v>0</v>
      </c>
      <c r="D1255" s="716">
        <v>0</v>
      </c>
      <c r="E1255" s="716">
        <v>0</v>
      </c>
      <c r="F1255" s="716">
        <v>0</v>
      </c>
      <c r="G1255" s="716">
        <v>0</v>
      </c>
      <c r="H1255" s="716">
        <v>0</v>
      </c>
      <c r="I1255" s="716">
        <v>2</v>
      </c>
      <c r="J1255" s="716">
        <f>I1255</f>
        <v>2</v>
      </c>
      <c r="K1255" s="716">
        <f t="shared" ref="K1255:AF1255" si="1095">J1255</f>
        <v>2</v>
      </c>
      <c r="L1255" s="716">
        <f t="shared" si="1095"/>
        <v>2</v>
      </c>
      <c r="M1255" s="716">
        <f t="shared" si="1095"/>
        <v>2</v>
      </c>
      <c r="N1255" s="716">
        <f t="shared" si="1095"/>
        <v>2</v>
      </c>
      <c r="O1255" s="716">
        <f t="shared" si="1095"/>
        <v>2</v>
      </c>
      <c r="P1255" s="716">
        <f t="shared" si="1095"/>
        <v>2</v>
      </c>
      <c r="Q1255" s="716">
        <f t="shared" si="1095"/>
        <v>2</v>
      </c>
      <c r="R1255" s="716">
        <f t="shared" si="1095"/>
        <v>2</v>
      </c>
      <c r="S1255" s="716">
        <f t="shared" si="1095"/>
        <v>2</v>
      </c>
      <c r="T1255" s="716">
        <f t="shared" si="1095"/>
        <v>2</v>
      </c>
      <c r="U1255" s="716">
        <f t="shared" si="1095"/>
        <v>2</v>
      </c>
      <c r="V1255" s="716">
        <f t="shared" si="1095"/>
        <v>2</v>
      </c>
      <c r="W1255" s="716">
        <f t="shared" si="1095"/>
        <v>2</v>
      </c>
      <c r="X1255" s="716">
        <f t="shared" si="1095"/>
        <v>2</v>
      </c>
      <c r="Y1255" s="716">
        <f t="shared" si="1095"/>
        <v>2</v>
      </c>
      <c r="Z1255" s="716">
        <f t="shared" si="1095"/>
        <v>2</v>
      </c>
      <c r="AA1255" s="716">
        <f t="shared" si="1095"/>
        <v>2</v>
      </c>
      <c r="AB1255" s="716">
        <f t="shared" si="1095"/>
        <v>2</v>
      </c>
      <c r="AC1255" s="716">
        <f t="shared" si="1095"/>
        <v>2</v>
      </c>
      <c r="AD1255" s="716">
        <f t="shared" si="1095"/>
        <v>2</v>
      </c>
      <c r="AE1255" s="716">
        <f t="shared" si="1095"/>
        <v>2</v>
      </c>
      <c r="AF1255" s="716">
        <f t="shared" si="1095"/>
        <v>2</v>
      </c>
      <c r="AH1255" s="587"/>
      <c r="AK1255" s="588"/>
      <c r="AM1255" s="624"/>
      <c r="AN1255" s="590"/>
      <c r="AP1255" s="591"/>
      <c r="AQ1255" s="591"/>
    </row>
    <row r="1256" spans="1:43" s="586" customFormat="1" ht="16.5" hidden="1" customHeight="1" outlineLevel="2">
      <c r="A1256" s="584"/>
      <c r="B1256" s="585" t="s">
        <v>928</v>
      </c>
      <c r="C1256" s="632">
        <f>'Sal._benef.'!$D$25</f>
        <v>2499.61</v>
      </c>
      <c r="D1256" s="632">
        <f>C1256</f>
        <v>2499.61</v>
      </c>
      <c r="E1256" s="632">
        <f t="shared" ref="E1256:T1260" si="1096">D1256</f>
        <v>2499.61</v>
      </c>
      <c r="F1256" s="632">
        <f t="shared" si="1096"/>
        <v>2499.61</v>
      </c>
      <c r="G1256" s="632">
        <f t="shared" si="1096"/>
        <v>2499.61</v>
      </c>
      <c r="H1256" s="632">
        <f t="shared" si="1096"/>
        <v>2499.61</v>
      </c>
      <c r="I1256" s="632">
        <f t="shared" si="1096"/>
        <v>2499.61</v>
      </c>
      <c r="J1256" s="632">
        <f t="shared" si="1096"/>
        <v>2499.61</v>
      </c>
      <c r="K1256" s="632">
        <f t="shared" si="1096"/>
        <v>2499.61</v>
      </c>
      <c r="L1256" s="632">
        <f t="shared" si="1096"/>
        <v>2499.61</v>
      </c>
      <c r="M1256" s="632">
        <f t="shared" si="1096"/>
        <v>2499.61</v>
      </c>
      <c r="N1256" s="632">
        <f t="shared" si="1096"/>
        <v>2499.61</v>
      </c>
      <c r="O1256" s="632">
        <f t="shared" si="1096"/>
        <v>2499.61</v>
      </c>
      <c r="P1256" s="632">
        <f t="shared" si="1096"/>
        <v>2499.61</v>
      </c>
      <c r="Q1256" s="632">
        <f t="shared" si="1096"/>
        <v>2499.61</v>
      </c>
      <c r="R1256" s="632">
        <f t="shared" si="1096"/>
        <v>2499.61</v>
      </c>
      <c r="S1256" s="632">
        <f t="shared" si="1096"/>
        <v>2499.61</v>
      </c>
      <c r="T1256" s="632">
        <f t="shared" si="1096"/>
        <v>2499.61</v>
      </c>
      <c r="U1256" s="632">
        <f t="shared" ref="U1256:AF1260" si="1097">T1256</f>
        <v>2499.61</v>
      </c>
      <c r="V1256" s="632">
        <f t="shared" si="1097"/>
        <v>2499.61</v>
      </c>
      <c r="W1256" s="632">
        <f t="shared" si="1097"/>
        <v>2499.61</v>
      </c>
      <c r="X1256" s="632">
        <f t="shared" si="1097"/>
        <v>2499.61</v>
      </c>
      <c r="Y1256" s="632">
        <f t="shared" si="1097"/>
        <v>2499.61</v>
      </c>
      <c r="Z1256" s="632">
        <f t="shared" si="1097"/>
        <v>2499.61</v>
      </c>
      <c r="AA1256" s="632">
        <f t="shared" si="1097"/>
        <v>2499.61</v>
      </c>
      <c r="AB1256" s="632">
        <f t="shared" si="1097"/>
        <v>2499.61</v>
      </c>
      <c r="AC1256" s="632">
        <f t="shared" si="1097"/>
        <v>2499.61</v>
      </c>
      <c r="AD1256" s="632">
        <f t="shared" si="1097"/>
        <v>2499.61</v>
      </c>
      <c r="AE1256" s="632">
        <f t="shared" si="1097"/>
        <v>2499.61</v>
      </c>
      <c r="AF1256" s="632">
        <f t="shared" si="1097"/>
        <v>2499.61</v>
      </c>
      <c r="AH1256" s="587"/>
      <c r="AK1256" s="588"/>
      <c r="AM1256" s="624"/>
      <c r="AN1256" s="590"/>
      <c r="AP1256" s="591"/>
      <c r="AQ1256" s="591"/>
    </row>
    <row r="1257" spans="1:43" s="586" customFormat="1" ht="16.5" hidden="1" customHeight="1" outlineLevel="2">
      <c r="A1257" s="584"/>
      <c r="B1257" s="585" t="s">
        <v>929</v>
      </c>
      <c r="C1257" s="632">
        <f>'Sal._benef.'!$F$10</f>
        <v>1621</v>
      </c>
      <c r="D1257" s="632">
        <f>C1257</f>
        <v>1621</v>
      </c>
      <c r="E1257" s="632">
        <f t="shared" si="1096"/>
        <v>1621</v>
      </c>
      <c r="F1257" s="632">
        <f t="shared" si="1096"/>
        <v>1621</v>
      </c>
      <c r="G1257" s="632">
        <f t="shared" si="1096"/>
        <v>1621</v>
      </c>
      <c r="H1257" s="632">
        <f t="shared" si="1096"/>
        <v>1621</v>
      </c>
      <c r="I1257" s="632">
        <f t="shared" si="1096"/>
        <v>1621</v>
      </c>
      <c r="J1257" s="632">
        <f t="shared" si="1096"/>
        <v>1621</v>
      </c>
      <c r="K1257" s="632">
        <f t="shared" si="1096"/>
        <v>1621</v>
      </c>
      <c r="L1257" s="632">
        <f t="shared" si="1096"/>
        <v>1621</v>
      </c>
      <c r="M1257" s="632">
        <f t="shared" si="1096"/>
        <v>1621</v>
      </c>
      <c r="N1257" s="632">
        <f t="shared" si="1096"/>
        <v>1621</v>
      </c>
      <c r="O1257" s="632">
        <f t="shared" si="1096"/>
        <v>1621</v>
      </c>
      <c r="P1257" s="632">
        <f t="shared" si="1096"/>
        <v>1621</v>
      </c>
      <c r="Q1257" s="632">
        <f t="shared" si="1096"/>
        <v>1621</v>
      </c>
      <c r="R1257" s="632">
        <f t="shared" si="1096"/>
        <v>1621</v>
      </c>
      <c r="S1257" s="632">
        <f t="shared" si="1096"/>
        <v>1621</v>
      </c>
      <c r="T1257" s="632">
        <f t="shared" si="1096"/>
        <v>1621</v>
      </c>
      <c r="U1257" s="632">
        <f t="shared" si="1097"/>
        <v>1621</v>
      </c>
      <c r="V1257" s="632">
        <f t="shared" si="1097"/>
        <v>1621</v>
      </c>
      <c r="W1257" s="632">
        <f t="shared" si="1097"/>
        <v>1621</v>
      </c>
      <c r="X1257" s="632">
        <f t="shared" si="1097"/>
        <v>1621</v>
      </c>
      <c r="Y1257" s="632">
        <f t="shared" si="1097"/>
        <v>1621</v>
      </c>
      <c r="Z1257" s="632">
        <f t="shared" si="1097"/>
        <v>1621</v>
      </c>
      <c r="AA1257" s="632">
        <f t="shared" si="1097"/>
        <v>1621</v>
      </c>
      <c r="AB1257" s="632">
        <f t="shared" si="1097"/>
        <v>1621</v>
      </c>
      <c r="AC1257" s="632">
        <f t="shared" si="1097"/>
        <v>1621</v>
      </c>
      <c r="AD1257" s="632">
        <f t="shared" si="1097"/>
        <v>1621</v>
      </c>
      <c r="AE1257" s="632">
        <f t="shared" si="1097"/>
        <v>1621</v>
      </c>
      <c r="AF1257" s="632">
        <f t="shared" si="1097"/>
        <v>1621</v>
      </c>
      <c r="AH1257" s="587"/>
      <c r="AK1257" s="588"/>
      <c r="AM1257" s="624"/>
      <c r="AN1257" s="590"/>
      <c r="AP1257" s="591"/>
      <c r="AQ1257" s="591"/>
    </row>
    <row r="1258" spans="1:43" s="586" customFormat="1" ht="16.5" hidden="1" customHeight="1" outlineLevel="2">
      <c r="A1258" s="584"/>
      <c r="B1258" s="585" t="s">
        <v>1487</v>
      </c>
      <c r="C1258" s="632">
        <f>'Sal._benef.'!$F$25*'Sal._benef.'!$F$10</f>
        <v>648.40000000000009</v>
      </c>
      <c r="D1258" s="632">
        <f>C1258</f>
        <v>648.40000000000009</v>
      </c>
      <c r="E1258" s="632">
        <f t="shared" si="1096"/>
        <v>648.40000000000009</v>
      </c>
      <c r="F1258" s="632">
        <f t="shared" si="1096"/>
        <v>648.40000000000009</v>
      </c>
      <c r="G1258" s="632">
        <f t="shared" si="1096"/>
        <v>648.40000000000009</v>
      </c>
      <c r="H1258" s="632">
        <f t="shared" si="1096"/>
        <v>648.40000000000009</v>
      </c>
      <c r="I1258" s="632">
        <f t="shared" si="1096"/>
        <v>648.40000000000009</v>
      </c>
      <c r="J1258" s="632">
        <f t="shared" si="1096"/>
        <v>648.40000000000009</v>
      </c>
      <c r="K1258" s="632">
        <f t="shared" si="1096"/>
        <v>648.40000000000009</v>
      </c>
      <c r="L1258" s="632">
        <f t="shared" si="1096"/>
        <v>648.40000000000009</v>
      </c>
      <c r="M1258" s="632">
        <f t="shared" si="1096"/>
        <v>648.40000000000009</v>
      </c>
      <c r="N1258" s="632">
        <f t="shared" si="1096"/>
        <v>648.40000000000009</v>
      </c>
      <c r="O1258" s="632">
        <f t="shared" si="1096"/>
        <v>648.40000000000009</v>
      </c>
      <c r="P1258" s="632">
        <f t="shared" si="1096"/>
        <v>648.40000000000009</v>
      </c>
      <c r="Q1258" s="632">
        <f t="shared" si="1096"/>
        <v>648.40000000000009</v>
      </c>
      <c r="R1258" s="632">
        <f t="shared" si="1096"/>
        <v>648.40000000000009</v>
      </c>
      <c r="S1258" s="632">
        <f t="shared" si="1096"/>
        <v>648.40000000000009</v>
      </c>
      <c r="T1258" s="632">
        <f t="shared" si="1096"/>
        <v>648.40000000000009</v>
      </c>
      <c r="U1258" s="632">
        <f t="shared" si="1097"/>
        <v>648.40000000000009</v>
      </c>
      <c r="V1258" s="632">
        <f t="shared" si="1097"/>
        <v>648.40000000000009</v>
      </c>
      <c r="W1258" s="632">
        <f t="shared" si="1097"/>
        <v>648.40000000000009</v>
      </c>
      <c r="X1258" s="632">
        <f t="shared" si="1097"/>
        <v>648.40000000000009</v>
      </c>
      <c r="Y1258" s="632">
        <f t="shared" si="1097"/>
        <v>648.40000000000009</v>
      </c>
      <c r="Z1258" s="632">
        <f t="shared" si="1097"/>
        <v>648.40000000000009</v>
      </c>
      <c r="AA1258" s="632">
        <f t="shared" si="1097"/>
        <v>648.40000000000009</v>
      </c>
      <c r="AB1258" s="632">
        <f t="shared" si="1097"/>
        <v>648.40000000000009</v>
      </c>
      <c r="AC1258" s="632">
        <f t="shared" si="1097"/>
        <v>648.40000000000009</v>
      </c>
      <c r="AD1258" s="632">
        <f t="shared" si="1097"/>
        <v>648.40000000000009</v>
      </c>
      <c r="AE1258" s="632">
        <f t="shared" si="1097"/>
        <v>648.40000000000009</v>
      </c>
      <c r="AF1258" s="632">
        <f t="shared" si="1097"/>
        <v>648.40000000000009</v>
      </c>
      <c r="AH1258" s="587"/>
      <c r="AK1258" s="588"/>
      <c r="AM1258" s="624"/>
      <c r="AN1258" s="590"/>
      <c r="AP1258" s="591"/>
      <c r="AQ1258" s="591"/>
    </row>
    <row r="1259" spans="1:43" s="586" customFormat="1" ht="16.5" hidden="1" customHeight="1" outlineLevel="2">
      <c r="A1259" s="584"/>
      <c r="B1259" s="585" t="s">
        <v>1486</v>
      </c>
      <c r="C1259" s="632">
        <v>0</v>
      </c>
      <c r="D1259" s="632">
        <f>C1259</f>
        <v>0</v>
      </c>
      <c r="E1259" s="632">
        <f t="shared" si="1096"/>
        <v>0</v>
      </c>
      <c r="F1259" s="632">
        <f t="shared" si="1096"/>
        <v>0</v>
      </c>
      <c r="G1259" s="632">
        <f t="shared" si="1096"/>
        <v>0</v>
      </c>
      <c r="H1259" s="632">
        <f t="shared" si="1096"/>
        <v>0</v>
      </c>
      <c r="I1259" s="632">
        <f t="shared" si="1096"/>
        <v>0</v>
      </c>
      <c r="J1259" s="632">
        <f t="shared" si="1096"/>
        <v>0</v>
      </c>
      <c r="K1259" s="632">
        <f t="shared" si="1096"/>
        <v>0</v>
      </c>
      <c r="L1259" s="632">
        <f t="shared" si="1096"/>
        <v>0</v>
      </c>
      <c r="M1259" s="632">
        <f t="shared" si="1096"/>
        <v>0</v>
      </c>
      <c r="N1259" s="632">
        <f t="shared" si="1096"/>
        <v>0</v>
      </c>
      <c r="O1259" s="632">
        <f t="shared" si="1096"/>
        <v>0</v>
      </c>
      <c r="P1259" s="632">
        <f t="shared" si="1096"/>
        <v>0</v>
      </c>
      <c r="Q1259" s="632">
        <f t="shared" si="1096"/>
        <v>0</v>
      </c>
      <c r="R1259" s="632">
        <f t="shared" si="1096"/>
        <v>0</v>
      </c>
      <c r="S1259" s="632">
        <f t="shared" si="1096"/>
        <v>0</v>
      </c>
      <c r="T1259" s="632">
        <f t="shared" si="1096"/>
        <v>0</v>
      </c>
      <c r="U1259" s="632">
        <f t="shared" si="1097"/>
        <v>0</v>
      </c>
      <c r="V1259" s="632">
        <f t="shared" si="1097"/>
        <v>0</v>
      </c>
      <c r="W1259" s="632">
        <f t="shared" si="1097"/>
        <v>0</v>
      </c>
      <c r="X1259" s="632">
        <f t="shared" si="1097"/>
        <v>0</v>
      </c>
      <c r="Y1259" s="632">
        <f t="shared" si="1097"/>
        <v>0</v>
      </c>
      <c r="Z1259" s="632">
        <f t="shared" si="1097"/>
        <v>0</v>
      </c>
      <c r="AA1259" s="632">
        <f t="shared" si="1097"/>
        <v>0</v>
      </c>
      <c r="AB1259" s="632">
        <f t="shared" si="1097"/>
        <v>0</v>
      </c>
      <c r="AC1259" s="632">
        <f t="shared" si="1097"/>
        <v>0</v>
      </c>
      <c r="AD1259" s="632">
        <f t="shared" si="1097"/>
        <v>0</v>
      </c>
      <c r="AE1259" s="632">
        <f t="shared" si="1097"/>
        <v>0</v>
      </c>
      <c r="AF1259" s="632">
        <f t="shared" si="1097"/>
        <v>0</v>
      </c>
      <c r="AH1259" s="587"/>
      <c r="AK1259" s="588"/>
      <c r="AM1259" s="624"/>
      <c r="AN1259" s="590"/>
      <c r="AP1259" s="591"/>
      <c r="AQ1259" s="591"/>
    </row>
    <row r="1260" spans="1:43" s="586" customFormat="1" ht="16.5" hidden="1" customHeight="1" outlineLevel="2">
      <c r="A1260" s="584"/>
      <c r="B1260" s="572" t="s">
        <v>1367</v>
      </c>
      <c r="C1260" s="632">
        <f>'Sal._benef.'!$E$25*'Sal._benef.'!$H$25</f>
        <v>469.48608000000002</v>
      </c>
      <c r="D1260" s="632">
        <f>C1260</f>
        <v>469.48608000000002</v>
      </c>
      <c r="E1260" s="632">
        <f t="shared" si="1096"/>
        <v>469.48608000000002</v>
      </c>
      <c r="F1260" s="632">
        <f t="shared" si="1096"/>
        <v>469.48608000000002</v>
      </c>
      <c r="G1260" s="632">
        <f t="shared" si="1096"/>
        <v>469.48608000000002</v>
      </c>
      <c r="H1260" s="632">
        <f t="shared" si="1096"/>
        <v>469.48608000000002</v>
      </c>
      <c r="I1260" s="632">
        <f t="shared" si="1096"/>
        <v>469.48608000000002</v>
      </c>
      <c r="J1260" s="632">
        <f t="shared" si="1096"/>
        <v>469.48608000000002</v>
      </c>
      <c r="K1260" s="632">
        <f t="shared" si="1096"/>
        <v>469.48608000000002</v>
      </c>
      <c r="L1260" s="632">
        <f t="shared" si="1096"/>
        <v>469.48608000000002</v>
      </c>
      <c r="M1260" s="632">
        <f t="shared" si="1096"/>
        <v>469.48608000000002</v>
      </c>
      <c r="N1260" s="632">
        <f t="shared" si="1096"/>
        <v>469.48608000000002</v>
      </c>
      <c r="O1260" s="632">
        <f t="shared" si="1096"/>
        <v>469.48608000000002</v>
      </c>
      <c r="P1260" s="632">
        <f t="shared" si="1096"/>
        <v>469.48608000000002</v>
      </c>
      <c r="Q1260" s="632">
        <f t="shared" si="1096"/>
        <v>469.48608000000002</v>
      </c>
      <c r="R1260" s="632">
        <f t="shared" si="1096"/>
        <v>469.48608000000002</v>
      </c>
      <c r="S1260" s="632">
        <f t="shared" si="1096"/>
        <v>469.48608000000002</v>
      </c>
      <c r="T1260" s="632">
        <f t="shared" si="1096"/>
        <v>469.48608000000002</v>
      </c>
      <c r="U1260" s="632">
        <f t="shared" si="1097"/>
        <v>469.48608000000002</v>
      </c>
      <c r="V1260" s="632">
        <f t="shared" si="1097"/>
        <v>469.48608000000002</v>
      </c>
      <c r="W1260" s="632">
        <f t="shared" si="1097"/>
        <v>469.48608000000002</v>
      </c>
      <c r="X1260" s="632">
        <f t="shared" si="1097"/>
        <v>469.48608000000002</v>
      </c>
      <c r="Y1260" s="632">
        <f t="shared" si="1097"/>
        <v>469.48608000000002</v>
      </c>
      <c r="Z1260" s="632">
        <f t="shared" si="1097"/>
        <v>469.48608000000002</v>
      </c>
      <c r="AA1260" s="632">
        <f t="shared" si="1097"/>
        <v>469.48608000000002</v>
      </c>
      <c r="AB1260" s="632">
        <f t="shared" si="1097"/>
        <v>469.48608000000002</v>
      </c>
      <c r="AC1260" s="632">
        <f t="shared" si="1097"/>
        <v>469.48608000000002</v>
      </c>
      <c r="AD1260" s="632">
        <f t="shared" si="1097"/>
        <v>469.48608000000002</v>
      </c>
      <c r="AE1260" s="632">
        <f t="shared" si="1097"/>
        <v>469.48608000000002</v>
      </c>
      <c r="AF1260" s="632">
        <f t="shared" si="1097"/>
        <v>469.48608000000002</v>
      </c>
      <c r="AH1260" s="587"/>
      <c r="AK1260" s="588"/>
      <c r="AM1260" s="624"/>
      <c r="AN1260" s="590"/>
      <c r="AP1260" s="591"/>
      <c r="AQ1260" s="591"/>
    </row>
    <row r="1261" spans="1:43" s="546" customFormat="1" ht="16.5" hidden="1" customHeight="1" outlineLevel="2">
      <c r="A1261" s="584"/>
      <c r="B1261" s="569" t="s">
        <v>933</v>
      </c>
      <c r="C1261" s="581">
        <f>C1262*(C1263+C1265+C1266+C1267)</f>
        <v>0</v>
      </c>
      <c r="D1261" s="581">
        <f t="shared" ref="D1261:AF1261" si="1098">D1262*(D1263+D1265+D1266+D1267)</f>
        <v>0</v>
      </c>
      <c r="E1261" s="581">
        <f t="shared" si="1098"/>
        <v>0</v>
      </c>
      <c r="F1261" s="581">
        <f t="shared" si="1098"/>
        <v>0</v>
      </c>
      <c r="G1261" s="581">
        <f t="shared" si="1098"/>
        <v>0</v>
      </c>
      <c r="H1261" s="581">
        <f t="shared" si="1098"/>
        <v>0</v>
      </c>
      <c r="I1261" s="581">
        <f t="shared" si="1098"/>
        <v>4217.92</v>
      </c>
      <c r="J1261" s="581">
        <f t="shared" si="1098"/>
        <v>4217.92</v>
      </c>
      <c r="K1261" s="581">
        <f t="shared" si="1098"/>
        <v>4217.92</v>
      </c>
      <c r="L1261" s="581">
        <f t="shared" si="1098"/>
        <v>4217.92</v>
      </c>
      <c r="M1261" s="581">
        <f t="shared" si="1098"/>
        <v>4217.92</v>
      </c>
      <c r="N1261" s="581">
        <f t="shared" si="1098"/>
        <v>4217.92</v>
      </c>
      <c r="O1261" s="581">
        <f t="shared" si="1098"/>
        <v>4217.92</v>
      </c>
      <c r="P1261" s="581">
        <f t="shared" si="1098"/>
        <v>4217.92</v>
      </c>
      <c r="Q1261" s="581">
        <f t="shared" si="1098"/>
        <v>4217.92</v>
      </c>
      <c r="R1261" s="581">
        <f t="shared" si="1098"/>
        <v>4217.92</v>
      </c>
      <c r="S1261" s="581">
        <f t="shared" si="1098"/>
        <v>4217.92</v>
      </c>
      <c r="T1261" s="581">
        <f t="shared" si="1098"/>
        <v>4217.92</v>
      </c>
      <c r="U1261" s="581">
        <f t="shared" si="1098"/>
        <v>4217.92</v>
      </c>
      <c r="V1261" s="581">
        <f t="shared" si="1098"/>
        <v>4217.92</v>
      </c>
      <c r="W1261" s="581">
        <f t="shared" si="1098"/>
        <v>4217.92</v>
      </c>
      <c r="X1261" s="581">
        <f t="shared" si="1098"/>
        <v>4217.92</v>
      </c>
      <c r="Y1261" s="581">
        <f t="shared" si="1098"/>
        <v>4217.92</v>
      </c>
      <c r="Z1261" s="581">
        <f t="shared" si="1098"/>
        <v>4217.92</v>
      </c>
      <c r="AA1261" s="581">
        <f t="shared" si="1098"/>
        <v>4217.92</v>
      </c>
      <c r="AB1261" s="581">
        <f t="shared" si="1098"/>
        <v>4217.92</v>
      </c>
      <c r="AC1261" s="581">
        <f t="shared" si="1098"/>
        <v>4217.92</v>
      </c>
      <c r="AD1261" s="581">
        <f t="shared" si="1098"/>
        <v>4217.92</v>
      </c>
      <c r="AE1261" s="581">
        <f t="shared" si="1098"/>
        <v>4217.92</v>
      </c>
      <c r="AF1261" s="581">
        <f t="shared" si="1098"/>
        <v>4217.92</v>
      </c>
      <c r="AH1261" s="571"/>
      <c r="AK1261" s="531"/>
      <c r="AM1261" s="594"/>
      <c r="AN1261" s="535"/>
      <c r="AP1261" s="549"/>
      <c r="AQ1261" s="549"/>
    </row>
    <row r="1262" spans="1:43" s="513" customFormat="1" ht="16.5" hidden="1" customHeight="1" outlineLevel="2">
      <c r="A1262" s="584"/>
      <c r="B1262" s="572" t="s">
        <v>805</v>
      </c>
      <c r="C1262" s="553">
        <v>0</v>
      </c>
      <c r="D1262" s="553">
        <v>0</v>
      </c>
      <c r="E1262" s="573">
        <v>0</v>
      </c>
      <c r="F1262" s="573">
        <v>0</v>
      </c>
      <c r="G1262" s="573">
        <v>0</v>
      </c>
      <c r="H1262" s="573">
        <v>0</v>
      </c>
      <c r="I1262" s="573">
        <v>1</v>
      </c>
      <c r="J1262" s="573">
        <v>1</v>
      </c>
      <c r="K1262" s="573">
        <v>1</v>
      </c>
      <c r="L1262" s="573">
        <v>1</v>
      </c>
      <c r="M1262" s="573">
        <v>1</v>
      </c>
      <c r="N1262" s="573">
        <v>1</v>
      </c>
      <c r="O1262" s="573">
        <v>1</v>
      </c>
      <c r="P1262" s="573">
        <v>1</v>
      </c>
      <c r="Q1262" s="573">
        <v>1</v>
      </c>
      <c r="R1262" s="573">
        <v>1</v>
      </c>
      <c r="S1262" s="573">
        <v>1</v>
      </c>
      <c r="T1262" s="573">
        <v>1</v>
      </c>
      <c r="U1262" s="573">
        <v>1</v>
      </c>
      <c r="V1262" s="573">
        <v>1</v>
      </c>
      <c r="W1262" s="573">
        <v>1</v>
      </c>
      <c r="X1262" s="573">
        <v>1</v>
      </c>
      <c r="Y1262" s="573">
        <v>1</v>
      </c>
      <c r="Z1262" s="573">
        <v>1</v>
      </c>
      <c r="AA1262" s="573">
        <v>1</v>
      </c>
      <c r="AB1262" s="573">
        <v>1</v>
      </c>
      <c r="AC1262" s="573">
        <v>1</v>
      </c>
      <c r="AD1262" s="573">
        <v>1</v>
      </c>
      <c r="AE1262" s="573">
        <v>1</v>
      </c>
      <c r="AF1262" s="573">
        <v>1</v>
      </c>
      <c r="AH1262" s="538"/>
      <c r="AK1262" s="531"/>
      <c r="AM1262" s="594"/>
      <c r="AN1262" s="535"/>
      <c r="AP1262" s="540"/>
      <c r="AQ1262" s="540"/>
    </row>
    <row r="1263" spans="1:43" s="513" customFormat="1" ht="16.5" hidden="1" customHeight="1" outlineLevel="2">
      <c r="A1263" s="584"/>
      <c r="B1263" s="572" t="s">
        <v>928</v>
      </c>
      <c r="C1263" s="574">
        <f>'Sal._benef.'!$D$21</f>
        <v>3245.32</v>
      </c>
      <c r="D1263" s="574">
        <f>C1263</f>
        <v>3245.32</v>
      </c>
      <c r="E1263" s="574">
        <f t="shared" ref="E1263:T1267" si="1099">D1263</f>
        <v>3245.32</v>
      </c>
      <c r="F1263" s="574">
        <f t="shared" si="1099"/>
        <v>3245.32</v>
      </c>
      <c r="G1263" s="574">
        <f t="shared" si="1099"/>
        <v>3245.32</v>
      </c>
      <c r="H1263" s="574">
        <f t="shared" si="1099"/>
        <v>3245.32</v>
      </c>
      <c r="I1263" s="574">
        <f t="shared" si="1099"/>
        <v>3245.32</v>
      </c>
      <c r="J1263" s="574">
        <f t="shared" si="1099"/>
        <v>3245.32</v>
      </c>
      <c r="K1263" s="574">
        <f t="shared" si="1099"/>
        <v>3245.32</v>
      </c>
      <c r="L1263" s="574">
        <f t="shared" si="1099"/>
        <v>3245.32</v>
      </c>
      <c r="M1263" s="574">
        <f t="shared" si="1099"/>
        <v>3245.32</v>
      </c>
      <c r="N1263" s="574">
        <f t="shared" si="1099"/>
        <v>3245.32</v>
      </c>
      <c r="O1263" s="574">
        <f t="shared" si="1099"/>
        <v>3245.32</v>
      </c>
      <c r="P1263" s="574">
        <f t="shared" si="1099"/>
        <v>3245.32</v>
      </c>
      <c r="Q1263" s="574">
        <f t="shared" si="1099"/>
        <v>3245.32</v>
      </c>
      <c r="R1263" s="574">
        <f t="shared" si="1099"/>
        <v>3245.32</v>
      </c>
      <c r="S1263" s="574">
        <f t="shared" si="1099"/>
        <v>3245.32</v>
      </c>
      <c r="T1263" s="574">
        <f t="shared" si="1099"/>
        <v>3245.32</v>
      </c>
      <c r="U1263" s="574">
        <f t="shared" ref="U1263:AF1267" si="1100">T1263</f>
        <v>3245.32</v>
      </c>
      <c r="V1263" s="574">
        <f t="shared" si="1100"/>
        <v>3245.32</v>
      </c>
      <c r="W1263" s="574">
        <f t="shared" si="1100"/>
        <v>3245.32</v>
      </c>
      <c r="X1263" s="574">
        <f t="shared" si="1100"/>
        <v>3245.32</v>
      </c>
      <c r="Y1263" s="574">
        <f t="shared" si="1100"/>
        <v>3245.32</v>
      </c>
      <c r="Z1263" s="574">
        <f t="shared" si="1100"/>
        <v>3245.32</v>
      </c>
      <c r="AA1263" s="574">
        <f t="shared" si="1100"/>
        <v>3245.32</v>
      </c>
      <c r="AB1263" s="574">
        <f t="shared" si="1100"/>
        <v>3245.32</v>
      </c>
      <c r="AC1263" s="574">
        <f t="shared" si="1100"/>
        <v>3245.32</v>
      </c>
      <c r="AD1263" s="574">
        <f t="shared" si="1100"/>
        <v>3245.32</v>
      </c>
      <c r="AE1263" s="574">
        <f t="shared" si="1100"/>
        <v>3245.32</v>
      </c>
      <c r="AF1263" s="574">
        <f t="shared" si="1100"/>
        <v>3245.32</v>
      </c>
      <c r="AH1263" s="538"/>
      <c r="AK1263" s="531"/>
      <c r="AM1263" s="594"/>
      <c r="AN1263" s="535"/>
      <c r="AP1263" s="540"/>
      <c r="AQ1263" s="540"/>
    </row>
    <row r="1264" spans="1:43" s="513" customFormat="1" ht="16.5" hidden="1" customHeight="1" outlineLevel="2">
      <c r="A1264" s="584"/>
      <c r="B1264" s="572" t="s">
        <v>929</v>
      </c>
      <c r="C1264" s="632">
        <f>'Sal._benef.'!$F$10</f>
        <v>1621</v>
      </c>
      <c r="D1264" s="574">
        <f>C1264</f>
        <v>1621</v>
      </c>
      <c r="E1264" s="574">
        <f t="shared" si="1099"/>
        <v>1621</v>
      </c>
      <c r="F1264" s="574">
        <f t="shared" si="1099"/>
        <v>1621</v>
      </c>
      <c r="G1264" s="574">
        <f t="shared" si="1099"/>
        <v>1621</v>
      </c>
      <c r="H1264" s="574">
        <f t="shared" si="1099"/>
        <v>1621</v>
      </c>
      <c r="I1264" s="574">
        <f t="shared" si="1099"/>
        <v>1621</v>
      </c>
      <c r="J1264" s="574">
        <f t="shared" si="1099"/>
        <v>1621</v>
      </c>
      <c r="K1264" s="574">
        <f t="shared" si="1099"/>
        <v>1621</v>
      </c>
      <c r="L1264" s="574">
        <f t="shared" si="1099"/>
        <v>1621</v>
      </c>
      <c r="M1264" s="574">
        <f t="shared" si="1099"/>
        <v>1621</v>
      </c>
      <c r="N1264" s="574">
        <f t="shared" si="1099"/>
        <v>1621</v>
      </c>
      <c r="O1264" s="574">
        <f t="shared" si="1099"/>
        <v>1621</v>
      </c>
      <c r="P1264" s="574">
        <f t="shared" si="1099"/>
        <v>1621</v>
      </c>
      <c r="Q1264" s="574">
        <f t="shared" si="1099"/>
        <v>1621</v>
      </c>
      <c r="R1264" s="574">
        <f t="shared" si="1099"/>
        <v>1621</v>
      </c>
      <c r="S1264" s="574">
        <f t="shared" si="1099"/>
        <v>1621</v>
      </c>
      <c r="T1264" s="574">
        <f t="shared" si="1099"/>
        <v>1621</v>
      </c>
      <c r="U1264" s="574">
        <f t="shared" si="1100"/>
        <v>1621</v>
      </c>
      <c r="V1264" s="574">
        <f t="shared" si="1100"/>
        <v>1621</v>
      </c>
      <c r="W1264" s="574">
        <f t="shared" si="1100"/>
        <v>1621</v>
      </c>
      <c r="X1264" s="574">
        <f t="shared" si="1100"/>
        <v>1621</v>
      </c>
      <c r="Y1264" s="574">
        <f t="shared" si="1100"/>
        <v>1621</v>
      </c>
      <c r="Z1264" s="574">
        <f t="shared" si="1100"/>
        <v>1621</v>
      </c>
      <c r="AA1264" s="574">
        <f t="shared" si="1100"/>
        <v>1621</v>
      </c>
      <c r="AB1264" s="574">
        <f t="shared" si="1100"/>
        <v>1621</v>
      </c>
      <c r="AC1264" s="574">
        <f t="shared" si="1100"/>
        <v>1621</v>
      </c>
      <c r="AD1264" s="574">
        <f t="shared" si="1100"/>
        <v>1621</v>
      </c>
      <c r="AE1264" s="574">
        <f t="shared" si="1100"/>
        <v>1621</v>
      </c>
      <c r="AF1264" s="574">
        <f t="shared" si="1100"/>
        <v>1621</v>
      </c>
      <c r="AH1264" s="538"/>
      <c r="AK1264" s="531"/>
      <c r="AM1264" s="594"/>
      <c r="AN1264" s="535"/>
      <c r="AP1264" s="540"/>
      <c r="AQ1264" s="540"/>
    </row>
    <row r="1265" spans="1:43" s="513" customFormat="1" ht="16.5" hidden="1" customHeight="1" outlineLevel="2">
      <c r="A1265" s="584"/>
      <c r="B1265" s="585" t="s">
        <v>1487</v>
      </c>
      <c r="C1265" s="574">
        <f>C1264*'Sal._benef.'!F21</f>
        <v>648.40000000000009</v>
      </c>
      <c r="D1265" s="574">
        <f>C1265</f>
        <v>648.40000000000009</v>
      </c>
      <c r="E1265" s="574">
        <f t="shared" si="1099"/>
        <v>648.40000000000009</v>
      </c>
      <c r="F1265" s="574">
        <f t="shared" si="1099"/>
        <v>648.40000000000009</v>
      </c>
      <c r="G1265" s="574">
        <f t="shared" si="1099"/>
        <v>648.40000000000009</v>
      </c>
      <c r="H1265" s="574">
        <f t="shared" si="1099"/>
        <v>648.40000000000009</v>
      </c>
      <c r="I1265" s="574">
        <f t="shared" si="1099"/>
        <v>648.40000000000009</v>
      </c>
      <c r="J1265" s="574">
        <f t="shared" si="1099"/>
        <v>648.40000000000009</v>
      </c>
      <c r="K1265" s="574">
        <f t="shared" si="1099"/>
        <v>648.40000000000009</v>
      </c>
      <c r="L1265" s="574">
        <f t="shared" si="1099"/>
        <v>648.40000000000009</v>
      </c>
      <c r="M1265" s="574">
        <f t="shared" si="1099"/>
        <v>648.40000000000009</v>
      </c>
      <c r="N1265" s="574">
        <f t="shared" si="1099"/>
        <v>648.40000000000009</v>
      </c>
      <c r="O1265" s="574">
        <f t="shared" si="1099"/>
        <v>648.40000000000009</v>
      </c>
      <c r="P1265" s="574">
        <f t="shared" si="1099"/>
        <v>648.40000000000009</v>
      </c>
      <c r="Q1265" s="574">
        <f t="shared" si="1099"/>
        <v>648.40000000000009</v>
      </c>
      <c r="R1265" s="574">
        <f t="shared" si="1099"/>
        <v>648.40000000000009</v>
      </c>
      <c r="S1265" s="574">
        <f t="shared" si="1099"/>
        <v>648.40000000000009</v>
      </c>
      <c r="T1265" s="574">
        <f t="shared" si="1099"/>
        <v>648.40000000000009</v>
      </c>
      <c r="U1265" s="574">
        <f t="shared" si="1100"/>
        <v>648.40000000000009</v>
      </c>
      <c r="V1265" s="574">
        <f t="shared" si="1100"/>
        <v>648.40000000000009</v>
      </c>
      <c r="W1265" s="574">
        <f t="shared" si="1100"/>
        <v>648.40000000000009</v>
      </c>
      <c r="X1265" s="574">
        <f t="shared" si="1100"/>
        <v>648.40000000000009</v>
      </c>
      <c r="Y1265" s="574">
        <f t="shared" si="1100"/>
        <v>648.40000000000009</v>
      </c>
      <c r="Z1265" s="574">
        <f t="shared" si="1100"/>
        <v>648.40000000000009</v>
      </c>
      <c r="AA1265" s="574">
        <f t="shared" si="1100"/>
        <v>648.40000000000009</v>
      </c>
      <c r="AB1265" s="574">
        <f t="shared" si="1100"/>
        <v>648.40000000000009</v>
      </c>
      <c r="AC1265" s="574">
        <f t="shared" si="1100"/>
        <v>648.40000000000009</v>
      </c>
      <c r="AD1265" s="574">
        <f t="shared" si="1100"/>
        <v>648.40000000000009</v>
      </c>
      <c r="AE1265" s="574">
        <f t="shared" si="1100"/>
        <v>648.40000000000009</v>
      </c>
      <c r="AF1265" s="574">
        <f t="shared" si="1100"/>
        <v>648.40000000000009</v>
      </c>
      <c r="AH1265" s="538"/>
      <c r="AK1265" s="531"/>
      <c r="AM1265" s="594"/>
      <c r="AN1265" s="535"/>
      <c r="AP1265" s="540"/>
      <c r="AQ1265" s="540"/>
    </row>
    <row r="1266" spans="1:43" s="513" customFormat="1" ht="16.5" hidden="1" customHeight="1" outlineLevel="2">
      <c r="A1266" s="584"/>
      <c r="B1266" s="585" t="s">
        <v>1486</v>
      </c>
      <c r="C1266" s="574">
        <f>C1264*'Sal._benef.'!G21</f>
        <v>324.20000000000005</v>
      </c>
      <c r="D1266" s="574">
        <f>C1266</f>
        <v>324.20000000000005</v>
      </c>
      <c r="E1266" s="574">
        <f t="shared" si="1099"/>
        <v>324.20000000000005</v>
      </c>
      <c r="F1266" s="574">
        <f t="shared" si="1099"/>
        <v>324.20000000000005</v>
      </c>
      <c r="G1266" s="574">
        <f t="shared" si="1099"/>
        <v>324.20000000000005</v>
      </c>
      <c r="H1266" s="574">
        <f t="shared" si="1099"/>
        <v>324.20000000000005</v>
      </c>
      <c r="I1266" s="574">
        <f t="shared" si="1099"/>
        <v>324.20000000000005</v>
      </c>
      <c r="J1266" s="574">
        <f t="shared" si="1099"/>
        <v>324.20000000000005</v>
      </c>
      <c r="K1266" s="574">
        <f t="shared" si="1099"/>
        <v>324.20000000000005</v>
      </c>
      <c r="L1266" s="574">
        <f t="shared" si="1099"/>
        <v>324.20000000000005</v>
      </c>
      <c r="M1266" s="574">
        <f t="shared" si="1099"/>
        <v>324.20000000000005</v>
      </c>
      <c r="N1266" s="574">
        <f t="shared" si="1099"/>
        <v>324.20000000000005</v>
      </c>
      <c r="O1266" s="574">
        <f t="shared" si="1099"/>
        <v>324.20000000000005</v>
      </c>
      <c r="P1266" s="574">
        <f t="shared" si="1099"/>
        <v>324.20000000000005</v>
      </c>
      <c r="Q1266" s="574">
        <f t="shared" si="1099"/>
        <v>324.20000000000005</v>
      </c>
      <c r="R1266" s="574">
        <f t="shared" si="1099"/>
        <v>324.20000000000005</v>
      </c>
      <c r="S1266" s="574">
        <f t="shared" si="1099"/>
        <v>324.20000000000005</v>
      </c>
      <c r="T1266" s="574">
        <f t="shared" si="1099"/>
        <v>324.20000000000005</v>
      </c>
      <c r="U1266" s="574">
        <f t="shared" si="1100"/>
        <v>324.20000000000005</v>
      </c>
      <c r="V1266" s="574">
        <f t="shared" si="1100"/>
        <v>324.20000000000005</v>
      </c>
      <c r="W1266" s="574">
        <f t="shared" si="1100"/>
        <v>324.20000000000005</v>
      </c>
      <c r="X1266" s="574">
        <f t="shared" si="1100"/>
        <v>324.20000000000005</v>
      </c>
      <c r="Y1266" s="574">
        <f t="shared" si="1100"/>
        <v>324.20000000000005</v>
      </c>
      <c r="Z1266" s="574">
        <f t="shared" si="1100"/>
        <v>324.20000000000005</v>
      </c>
      <c r="AA1266" s="574">
        <f t="shared" si="1100"/>
        <v>324.20000000000005</v>
      </c>
      <c r="AB1266" s="574">
        <f t="shared" si="1100"/>
        <v>324.20000000000005</v>
      </c>
      <c r="AC1266" s="574">
        <f t="shared" si="1100"/>
        <v>324.20000000000005</v>
      </c>
      <c r="AD1266" s="574">
        <f t="shared" si="1100"/>
        <v>324.20000000000005</v>
      </c>
      <c r="AE1266" s="574">
        <f t="shared" si="1100"/>
        <v>324.20000000000005</v>
      </c>
      <c r="AF1266" s="574">
        <f t="shared" si="1100"/>
        <v>324.20000000000005</v>
      </c>
      <c r="AH1266" s="538"/>
      <c r="AK1266" s="531"/>
      <c r="AM1266" s="594"/>
      <c r="AN1266" s="535"/>
      <c r="AP1266" s="540"/>
      <c r="AQ1266" s="540"/>
    </row>
    <row r="1267" spans="1:43" s="513" customFormat="1" ht="16.5" hidden="1" customHeight="1" outlineLevel="2">
      <c r="A1267" s="584"/>
      <c r="B1267" s="572" t="s">
        <v>1367</v>
      </c>
      <c r="C1267" s="574">
        <v>0</v>
      </c>
      <c r="D1267" s="574">
        <f>C1267</f>
        <v>0</v>
      </c>
      <c r="E1267" s="574">
        <f t="shared" si="1099"/>
        <v>0</v>
      </c>
      <c r="F1267" s="574">
        <f t="shared" si="1099"/>
        <v>0</v>
      </c>
      <c r="G1267" s="574">
        <f t="shared" si="1099"/>
        <v>0</v>
      </c>
      <c r="H1267" s="574">
        <f t="shared" si="1099"/>
        <v>0</v>
      </c>
      <c r="I1267" s="574">
        <f t="shared" si="1099"/>
        <v>0</v>
      </c>
      <c r="J1267" s="574">
        <f t="shared" si="1099"/>
        <v>0</v>
      </c>
      <c r="K1267" s="574">
        <f t="shared" si="1099"/>
        <v>0</v>
      </c>
      <c r="L1267" s="574">
        <f t="shared" si="1099"/>
        <v>0</v>
      </c>
      <c r="M1267" s="574">
        <f t="shared" si="1099"/>
        <v>0</v>
      </c>
      <c r="N1267" s="574">
        <f t="shared" si="1099"/>
        <v>0</v>
      </c>
      <c r="O1267" s="574">
        <f t="shared" si="1099"/>
        <v>0</v>
      </c>
      <c r="P1267" s="574">
        <f t="shared" si="1099"/>
        <v>0</v>
      </c>
      <c r="Q1267" s="574">
        <f t="shared" si="1099"/>
        <v>0</v>
      </c>
      <c r="R1267" s="574">
        <f t="shared" si="1099"/>
        <v>0</v>
      </c>
      <c r="S1267" s="574">
        <f t="shared" si="1099"/>
        <v>0</v>
      </c>
      <c r="T1267" s="574">
        <f t="shared" si="1099"/>
        <v>0</v>
      </c>
      <c r="U1267" s="574">
        <f t="shared" si="1100"/>
        <v>0</v>
      </c>
      <c r="V1267" s="574">
        <f t="shared" si="1100"/>
        <v>0</v>
      </c>
      <c r="W1267" s="574">
        <f t="shared" si="1100"/>
        <v>0</v>
      </c>
      <c r="X1267" s="574">
        <f t="shared" si="1100"/>
        <v>0</v>
      </c>
      <c r="Y1267" s="574">
        <f t="shared" si="1100"/>
        <v>0</v>
      </c>
      <c r="Z1267" s="574">
        <f t="shared" si="1100"/>
        <v>0</v>
      </c>
      <c r="AA1267" s="574">
        <f t="shared" si="1100"/>
        <v>0</v>
      </c>
      <c r="AB1267" s="574">
        <f t="shared" si="1100"/>
        <v>0</v>
      </c>
      <c r="AC1267" s="574">
        <f t="shared" si="1100"/>
        <v>0</v>
      </c>
      <c r="AD1267" s="574">
        <f t="shared" si="1100"/>
        <v>0</v>
      </c>
      <c r="AE1267" s="574">
        <f t="shared" si="1100"/>
        <v>0</v>
      </c>
      <c r="AF1267" s="574">
        <f t="shared" si="1100"/>
        <v>0</v>
      </c>
      <c r="AH1267" s="538"/>
      <c r="AK1267" s="531"/>
      <c r="AM1267" s="594"/>
      <c r="AN1267" s="535"/>
      <c r="AP1267" s="540"/>
      <c r="AQ1267" s="540"/>
    </row>
    <row r="1268" spans="1:43" s="546" customFormat="1" ht="16.5" hidden="1" customHeight="1" outlineLevel="2">
      <c r="A1268" s="584"/>
      <c r="B1268" s="569" t="s">
        <v>934</v>
      </c>
      <c r="C1268" s="581">
        <f>C1269*(C1270+C1272+C1273+C1274)</f>
        <v>0</v>
      </c>
      <c r="D1268" s="581">
        <f t="shared" ref="D1268:AF1268" si="1101">D1269*(D1270+D1272+D1273+D1274)</f>
        <v>0</v>
      </c>
      <c r="E1268" s="581">
        <f t="shared" si="1101"/>
        <v>0</v>
      </c>
      <c r="F1268" s="581">
        <f t="shared" si="1101"/>
        <v>0</v>
      </c>
      <c r="G1268" s="581">
        <f t="shared" si="1101"/>
        <v>0</v>
      </c>
      <c r="H1268" s="581">
        <f t="shared" si="1101"/>
        <v>0</v>
      </c>
      <c r="I1268" s="581">
        <f t="shared" si="1101"/>
        <v>4827.5079999999998</v>
      </c>
      <c r="J1268" s="581">
        <f t="shared" si="1101"/>
        <v>4827.5079999999998</v>
      </c>
      <c r="K1268" s="581">
        <f t="shared" si="1101"/>
        <v>4827.5079999999998</v>
      </c>
      <c r="L1268" s="581">
        <f t="shared" si="1101"/>
        <v>4827.5079999999998</v>
      </c>
      <c r="M1268" s="581">
        <f t="shared" si="1101"/>
        <v>4827.5079999999998</v>
      </c>
      <c r="N1268" s="581">
        <f t="shared" si="1101"/>
        <v>4827.5079999999998</v>
      </c>
      <c r="O1268" s="581">
        <f t="shared" si="1101"/>
        <v>4827.5079999999998</v>
      </c>
      <c r="P1268" s="581">
        <f t="shared" si="1101"/>
        <v>4827.5079999999998</v>
      </c>
      <c r="Q1268" s="581">
        <f t="shared" si="1101"/>
        <v>4827.5079999999998</v>
      </c>
      <c r="R1268" s="581">
        <f t="shared" si="1101"/>
        <v>4827.5079999999998</v>
      </c>
      <c r="S1268" s="581">
        <f t="shared" si="1101"/>
        <v>4827.5079999999998</v>
      </c>
      <c r="T1268" s="581">
        <f t="shared" si="1101"/>
        <v>4827.5079999999998</v>
      </c>
      <c r="U1268" s="581">
        <f t="shared" si="1101"/>
        <v>4827.5079999999998</v>
      </c>
      <c r="V1268" s="581">
        <f t="shared" si="1101"/>
        <v>4827.5079999999998</v>
      </c>
      <c r="W1268" s="581">
        <f t="shared" si="1101"/>
        <v>4827.5079999999998</v>
      </c>
      <c r="X1268" s="581">
        <f t="shared" si="1101"/>
        <v>4827.5079999999998</v>
      </c>
      <c r="Y1268" s="581">
        <f t="shared" si="1101"/>
        <v>4827.5079999999998</v>
      </c>
      <c r="Z1268" s="581">
        <f t="shared" si="1101"/>
        <v>4827.5079999999998</v>
      </c>
      <c r="AA1268" s="581">
        <f t="shared" si="1101"/>
        <v>4827.5079999999998</v>
      </c>
      <c r="AB1268" s="581">
        <f t="shared" si="1101"/>
        <v>4827.5079999999998</v>
      </c>
      <c r="AC1268" s="581">
        <f t="shared" si="1101"/>
        <v>4827.5079999999998</v>
      </c>
      <c r="AD1268" s="581">
        <f t="shared" si="1101"/>
        <v>4827.5079999999998</v>
      </c>
      <c r="AE1268" s="581">
        <f t="shared" si="1101"/>
        <v>4827.5079999999998</v>
      </c>
      <c r="AF1268" s="581">
        <f t="shared" si="1101"/>
        <v>4827.5079999999998</v>
      </c>
      <c r="AH1268" s="571"/>
      <c r="AK1268" s="531"/>
      <c r="AM1268" s="594"/>
      <c r="AN1268" s="535"/>
      <c r="AP1268" s="549"/>
      <c r="AQ1268" s="549"/>
    </row>
    <row r="1269" spans="1:43" s="513" customFormat="1" ht="16.5" hidden="1" customHeight="1" outlineLevel="2">
      <c r="A1269" s="584"/>
      <c r="B1269" s="572" t="s">
        <v>805</v>
      </c>
      <c r="C1269" s="553">
        <v>0</v>
      </c>
      <c r="D1269" s="553">
        <v>0</v>
      </c>
      <c r="E1269" s="573">
        <v>0</v>
      </c>
      <c r="F1269" s="573">
        <v>0</v>
      </c>
      <c r="G1269" s="573">
        <v>0</v>
      </c>
      <c r="H1269" s="573">
        <v>0</v>
      </c>
      <c r="I1269" s="573">
        <v>1</v>
      </c>
      <c r="J1269" s="573">
        <f>I1269</f>
        <v>1</v>
      </c>
      <c r="K1269" s="573">
        <f t="shared" ref="K1269:AF1269" si="1102">J1269</f>
        <v>1</v>
      </c>
      <c r="L1269" s="573">
        <f t="shared" si="1102"/>
        <v>1</v>
      </c>
      <c r="M1269" s="573">
        <f t="shared" si="1102"/>
        <v>1</v>
      </c>
      <c r="N1269" s="573">
        <f t="shared" si="1102"/>
        <v>1</v>
      </c>
      <c r="O1269" s="573">
        <f t="shared" si="1102"/>
        <v>1</v>
      </c>
      <c r="P1269" s="573">
        <f t="shared" si="1102"/>
        <v>1</v>
      </c>
      <c r="Q1269" s="573">
        <f t="shared" si="1102"/>
        <v>1</v>
      </c>
      <c r="R1269" s="573">
        <f t="shared" si="1102"/>
        <v>1</v>
      </c>
      <c r="S1269" s="573">
        <f t="shared" si="1102"/>
        <v>1</v>
      </c>
      <c r="T1269" s="573">
        <f t="shared" si="1102"/>
        <v>1</v>
      </c>
      <c r="U1269" s="573">
        <f t="shared" si="1102"/>
        <v>1</v>
      </c>
      <c r="V1269" s="573">
        <f t="shared" si="1102"/>
        <v>1</v>
      </c>
      <c r="W1269" s="573">
        <f t="shared" si="1102"/>
        <v>1</v>
      </c>
      <c r="X1269" s="573">
        <f t="shared" si="1102"/>
        <v>1</v>
      </c>
      <c r="Y1269" s="573">
        <f t="shared" si="1102"/>
        <v>1</v>
      </c>
      <c r="Z1269" s="573">
        <f t="shared" si="1102"/>
        <v>1</v>
      </c>
      <c r="AA1269" s="573">
        <f t="shared" si="1102"/>
        <v>1</v>
      </c>
      <c r="AB1269" s="573">
        <f t="shared" si="1102"/>
        <v>1</v>
      </c>
      <c r="AC1269" s="573">
        <f t="shared" si="1102"/>
        <v>1</v>
      </c>
      <c r="AD1269" s="573">
        <f t="shared" si="1102"/>
        <v>1</v>
      </c>
      <c r="AE1269" s="573">
        <f t="shared" si="1102"/>
        <v>1</v>
      </c>
      <c r="AF1269" s="573">
        <f t="shared" si="1102"/>
        <v>1</v>
      </c>
      <c r="AH1269" s="538"/>
      <c r="AK1269" s="531"/>
      <c r="AM1269" s="594"/>
      <c r="AN1269" s="535"/>
      <c r="AP1269" s="540"/>
      <c r="AQ1269" s="540"/>
    </row>
    <row r="1270" spans="1:43" s="513" customFormat="1" ht="16.5" hidden="1" customHeight="1" outlineLevel="2">
      <c r="A1270" s="584"/>
      <c r="B1270" s="572" t="s">
        <v>928</v>
      </c>
      <c r="C1270" s="574">
        <f>'Sal._benef.'!$D$21</f>
        <v>3245.32</v>
      </c>
      <c r="D1270" s="574">
        <f>C1270</f>
        <v>3245.32</v>
      </c>
      <c r="E1270" s="574">
        <f t="shared" ref="E1270:T1274" si="1103">D1270</f>
        <v>3245.32</v>
      </c>
      <c r="F1270" s="574">
        <f t="shared" si="1103"/>
        <v>3245.32</v>
      </c>
      <c r="G1270" s="574">
        <f t="shared" si="1103"/>
        <v>3245.32</v>
      </c>
      <c r="H1270" s="574">
        <f t="shared" si="1103"/>
        <v>3245.32</v>
      </c>
      <c r="I1270" s="574">
        <f t="shared" si="1103"/>
        <v>3245.32</v>
      </c>
      <c r="J1270" s="574">
        <f t="shared" si="1103"/>
        <v>3245.32</v>
      </c>
      <c r="K1270" s="574">
        <f t="shared" si="1103"/>
        <v>3245.32</v>
      </c>
      <c r="L1270" s="574">
        <f t="shared" si="1103"/>
        <v>3245.32</v>
      </c>
      <c r="M1270" s="574">
        <f t="shared" si="1103"/>
        <v>3245.32</v>
      </c>
      <c r="N1270" s="574">
        <f t="shared" si="1103"/>
        <v>3245.32</v>
      </c>
      <c r="O1270" s="574">
        <f t="shared" si="1103"/>
        <v>3245.32</v>
      </c>
      <c r="P1270" s="574">
        <f t="shared" si="1103"/>
        <v>3245.32</v>
      </c>
      <c r="Q1270" s="574">
        <f t="shared" si="1103"/>
        <v>3245.32</v>
      </c>
      <c r="R1270" s="574">
        <f t="shared" si="1103"/>
        <v>3245.32</v>
      </c>
      <c r="S1270" s="574">
        <f t="shared" si="1103"/>
        <v>3245.32</v>
      </c>
      <c r="T1270" s="574">
        <f t="shared" si="1103"/>
        <v>3245.32</v>
      </c>
      <c r="U1270" s="574">
        <f t="shared" ref="U1270:AF1274" si="1104">T1270</f>
        <v>3245.32</v>
      </c>
      <c r="V1270" s="574">
        <f t="shared" si="1104"/>
        <v>3245.32</v>
      </c>
      <c r="W1270" s="574">
        <f t="shared" si="1104"/>
        <v>3245.32</v>
      </c>
      <c r="X1270" s="574">
        <f t="shared" si="1104"/>
        <v>3245.32</v>
      </c>
      <c r="Y1270" s="574">
        <f t="shared" si="1104"/>
        <v>3245.32</v>
      </c>
      <c r="Z1270" s="574">
        <f t="shared" si="1104"/>
        <v>3245.32</v>
      </c>
      <c r="AA1270" s="574">
        <f t="shared" si="1104"/>
        <v>3245.32</v>
      </c>
      <c r="AB1270" s="574">
        <f t="shared" si="1104"/>
        <v>3245.32</v>
      </c>
      <c r="AC1270" s="574">
        <f t="shared" si="1104"/>
        <v>3245.32</v>
      </c>
      <c r="AD1270" s="574">
        <f t="shared" si="1104"/>
        <v>3245.32</v>
      </c>
      <c r="AE1270" s="574">
        <f t="shared" si="1104"/>
        <v>3245.32</v>
      </c>
      <c r="AF1270" s="574">
        <f t="shared" si="1104"/>
        <v>3245.32</v>
      </c>
      <c r="AH1270" s="538"/>
      <c r="AK1270" s="531"/>
      <c r="AM1270" s="594"/>
      <c r="AN1270" s="535"/>
      <c r="AP1270" s="540"/>
      <c r="AQ1270" s="540"/>
    </row>
    <row r="1271" spans="1:43" s="513" customFormat="1" ht="16.5" hidden="1" customHeight="1" outlineLevel="2">
      <c r="A1271" s="584"/>
      <c r="B1271" s="572" t="s">
        <v>929</v>
      </c>
      <c r="C1271" s="632">
        <f>'Sal._benef.'!$F$10</f>
        <v>1621</v>
      </c>
      <c r="D1271" s="574">
        <f>C1271</f>
        <v>1621</v>
      </c>
      <c r="E1271" s="574">
        <f t="shared" si="1103"/>
        <v>1621</v>
      </c>
      <c r="F1271" s="574">
        <f t="shared" si="1103"/>
        <v>1621</v>
      </c>
      <c r="G1271" s="574">
        <f t="shared" si="1103"/>
        <v>1621</v>
      </c>
      <c r="H1271" s="574">
        <f t="shared" si="1103"/>
        <v>1621</v>
      </c>
      <c r="I1271" s="574">
        <f t="shared" si="1103"/>
        <v>1621</v>
      </c>
      <c r="J1271" s="574">
        <f t="shared" si="1103"/>
        <v>1621</v>
      </c>
      <c r="K1271" s="574">
        <f t="shared" si="1103"/>
        <v>1621</v>
      </c>
      <c r="L1271" s="574">
        <f t="shared" si="1103"/>
        <v>1621</v>
      </c>
      <c r="M1271" s="574">
        <f t="shared" si="1103"/>
        <v>1621</v>
      </c>
      <c r="N1271" s="574">
        <f t="shared" si="1103"/>
        <v>1621</v>
      </c>
      <c r="O1271" s="574">
        <f t="shared" si="1103"/>
        <v>1621</v>
      </c>
      <c r="P1271" s="574">
        <f t="shared" si="1103"/>
        <v>1621</v>
      </c>
      <c r="Q1271" s="574">
        <f t="shared" si="1103"/>
        <v>1621</v>
      </c>
      <c r="R1271" s="574">
        <f t="shared" si="1103"/>
        <v>1621</v>
      </c>
      <c r="S1271" s="574">
        <f t="shared" si="1103"/>
        <v>1621</v>
      </c>
      <c r="T1271" s="574">
        <f t="shared" si="1103"/>
        <v>1621</v>
      </c>
      <c r="U1271" s="574">
        <f t="shared" si="1104"/>
        <v>1621</v>
      </c>
      <c r="V1271" s="574">
        <f t="shared" si="1104"/>
        <v>1621</v>
      </c>
      <c r="W1271" s="574">
        <f t="shared" si="1104"/>
        <v>1621</v>
      </c>
      <c r="X1271" s="574">
        <f t="shared" si="1104"/>
        <v>1621</v>
      </c>
      <c r="Y1271" s="574">
        <f t="shared" si="1104"/>
        <v>1621</v>
      </c>
      <c r="Z1271" s="574">
        <f t="shared" si="1104"/>
        <v>1621</v>
      </c>
      <c r="AA1271" s="574">
        <f t="shared" si="1104"/>
        <v>1621</v>
      </c>
      <c r="AB1271" s="574">
        <f t="shared" si="1104"/>
        <v>1621</v>
      </c>
      <c r="AC1271" s="574">
        <f t="shared" si="1104"/>
        <v>1621</v>
      </c>
      <c r="AD1271" s="574">
        <f t="shared" si="1104"/>
        <v>1621</v>
      </c>
      <c r="AE1271" s="574">
        <f t="shared" si="1104"/>
        <v>1621</v>
      </c>
      <c r="AF1271" s="574">
        <f t="shared" si="1104"/>
        <v>1621</v>
      </c>
      <c r="AH1271" s="538"/>
      <c r="AK1271" s="531"/>
      <c r="AM1271" s="594"/>
      <c r="AN1271" s="535"/>
      <c r="AP1271" s="540"/>
      <c r="AQ1271" s="540"/>
    </row>
    <row r="1272" spans="1:43" s="513" customFormat="1" ht="16.5" hidden="1" customHeight="1" outlineLevel="2">
      <c r="A1272" s="584"/>
      <c r="B1272" s="585" t="s">
        <v>1487</v>
      </c>
      <c r="C1272" s="574">
        <f>C1271*'Sal._benef.'!F21</f>
        <v>648.40000000000009</v>
      </c>
      <c r="D1272" s="574">
        <f>C1272</f>
        <v>648.40000000000009</v>
      </c>
      <c r="E1272" s="574">
        <f t="shared" si="1103"/>
        <v>648.40000000000009</v>
      </c>
      <c r="F1272" s="574">
        <f t="shared" si="1103"/>
        <v>648.40000000000009</v>
      </c>
      <c r="G1272" s="574">
        <f t="shared" si="1103"/>
        <v>648.40000000000009</v>
      </c>
      <c r="H1272" s="574">
        <f t="shared" si="1103"/>
        <v>648.40000000000009</v>
      </c>
      <c r="I1272" s="574">
        <f t="shared" si="1103"/>
        <v>648.40000000000009</v>
      </c>
      <c r="J1272" s="574">
        <f t="shared" si="1103"/>
        <v>648.40000000000009</v>
      </c>
      <c r="K1272" s="574">
        <f t="shared" si="1103"/>
        <v>648.40000000000009</v>
      </c>
      <c r="L1272" s="574">
        <f t="shared" si="1103"/>
        <v>648.40000000000009</v>
      </c>
      <c r="M1272" s="574">
        <f t="shared" si="1103"/>
        <v>648.40000000000009</v>
      </c>
      <c r="N1272" s="574">
        <f t="shared" si="1103"/>
        <v>648.40000000000009</v>
      </c>
      <c r="O1272" s="574">
        <f t="shared" si="1103"/>
        <v>648.40000000000009</v>
      </c>
      <c r="P1272" s="574">
        <f t="shared" si="1103"/>
        <v>648.40000000000009</v>
      </c>
      <c r="Q1272" s="574">
        <f t="shared" si="1103"/>
        <v>648.40000000000009</v>
      </c>
      <c r="R1272" s="574">
        <f t="shared" si="1103"/>
        <v>648.40000000000009</v>
      </c>
      <c r="S1272" s="574">
        <f t="shared" si="1103"/>
        <v>648.40000000000009</v>
      </c>
      <c r="T1272" s="574">
        <f t="shared" si="1103"/>
        <v>648.40000000000009</v>
      </c>
      <c r="U1272" s="574">
        <f t="shared" si="1104"/>
        <v>648.40000000000009</v>
      </c>
      <c r="V1272" s="574">
        <f t="shared" si="1104"/>
        <v>648.40000000000009</v>
      </c>
      <c r="W1272" s="574">
        <f t="shared" si="1104"/>
        <v>648.40000000000009</v>
      </c>
      <c r="X1272" s="574">
        <f t="shared" si="1104"/>
        <v>648.40000000000009</v>
      </c>
      <c r="Y1272" s="574">
        <f t="shared" si="1104"/>
        <v>648.40000000000009</v>
      </c>
      <c r="Z1272" s="574">
        <f t="shared" si="1104"/>
        <v>648.40000000000009</v>
      </c>
      <c r="AA1272" s="574">
        <f t="shared" si="1104"/>
        <v>648.40000000000009</v>
      </c>
      <c r="AB1272" s="574">
        <f t="shared" si="1104"/>
        <v>648.40000000000009</v>
      </c>
      <c r="AC1272" s="574">
        <f t="shared" si="1104"/>
        <v>648.40000000000009</v>
      </c>
      <c r="AD1272" s="574">
        <f t="shared" si="1104"/>
        <v>648.40000000000009</v>
      </c>
      <c r="AE1272" s="574">
        <f t="shared" si="1104"/>
        <v>648.40000000000009</v>
      </c>
      <c r="AF1272" s="574">
        <f t="shared" si="1104"/>
        <v>648.40000000000009</v>
      </c>
      <c r="AH1272" s="538"/>
      <c r="AK1272" s="531"/>
      <c r="AM1272" s="594"/>
      <c r="AN1272" s="535"/>
      <c r="AP1272" s="540"/>
      <c r="AQ1272" s="540"/>
    </row>
    <row r="1273" spans="1:43" s="513" customFormat="1" ht="16.5" hidden="1" customHeight="1" outlineLevel="2">
      <c r="A1273" s="584"/>
      <c r="B1273" s="585" t="s">
        <v>1486</v>
      </c>
      <c r="C1273" s="574">
        <f>C1271*'Sal._benef.'!G21</f>
        <v>324.20000000000005</v>
      </c>
      <c r="D1273" s="574">
        <f>C1273</f>
        <v>324.20000000000005</v>
      </c>
      <c r="E1273" s="574">
        <f t="shared" si="1103"/>
        <v>324.20000000000005</v>
      </c>
      <c r="F1273" s="574">
        <f t="shared" si="1103"/>
        <v>324.20000000000005</v>
      </c>
      <c r="G1273" s="574">
        <f t="shared" si="1103"/>
        <v>324.20000000000005</v>
      </c>
      <c r="H1273" s="574">
        <f t="shared" si="1103"/>
        <v>324.20000000000005</v>
      </c>
      <c r="I1273" s="574">
        <f t="shared" si="1103"/>
        <v>324.20000000000005</v>
      </c>
      <c r="J1273" s="574">
        <f t="shared" si="1103"/>
        <v>324.20000000000005</v>
      </c>
      <c r="K1273" s="574">
        <f t="shared" si="1103"/>
        <v>324.20000000000005</v>
      </c>
      <c r="L1273" s="574">
        <f t="shared" si="1103"/>
        <v>324.20000000000005</v>
      </c>
      <c r="M1273" s="574">
        <f t="shared" si="1103"/>
        <v>324.20000000000005</v>
      </c>
      <c r="N1273" s="574">
        <f t="shared" si="1103"/>
        <v>324.20000000000005</v>
      </c>
      <c r="O1273" s="574">
        <f t="shared" si="1103"/>
        <v>324.20000000000005</v>
      </c>
      <c r="P1273" s="574">
        <f t="shared" si="1103"/>
        <v>324.20000000000005</v>
      </c>
      <c r="Q1273" s="574">
        <f t="shared" si="1103"/>
        <v>324.20000000000005</v>
      </c>
      <c r="R1273" s="574">
        <f t="shared" si="1103"/>
        <v>324.20000000000005</v>
      </c>
      <c r="S1273" s="574">
        <f t="shared" si="1103"/>
        <v>324.20000000000005</v>
      </c>
      <c r="T1273" s="574">
        <f t="shared" si="1103"/>
        <v>324.20000000000005</v>
      </c>
      <c r="U1273" s="574">
        <f t="shared" si="1104"/>
        <v>324.20000000000005</v>
      </c>
      <c r="V1273" s="574">
        <f t="shared" si="1104"/>
        <v>324.20000000000005</v>
      </c>
      <c r="W1273" s="574">
        <f t="shared" si="1104"/>
        <v>324.20000000000005</v>
      </c>
      <c r="X1273" s="574">
        <f t="shared" si="1104"/>
        <v>324.20000000000005</v>
      </c>
      <c r="Y1273" s="574">
        <f t="shared" si="1104"/>
        <v>324.20000000000005</v>
      </c>
      <c r="Z1273" s="574">
        <f t="shared" si="1104"/>
        <v>324.20000000000005</v>
      </c>
      <c r="AA1273" s="574">
        <f t="shared" si="1104"/>
        <v>324.20000000000005</v>
      </c>
      <c r="AB1273" s="574">
        <f t="shared" si="1104"/>
        <v>324.20000000000005</v>
      </c>
      <c r="AC1273" s="574">
        <f t="shared" si="1104"/>
        <v>324.20000000000005</v>
      </c>
      <c r="AD1273" s="574">
        <f t="shared" si="1104"/>
        <v>324.20000000000005</v>
      </c>
      <c r="AE1273" s="574">
        <f t="shared" si="1104"/>
        <v>324.20000000000005</v>
      </c>
      <c r="AF1273" s="574">
        <f t="shared" si="1104"/>
        <v>324.20000000000005</v>
      </c>
      <c r="AH1273" s="538"/>
      <c r="AK1273" s="531"/>
      <c r="AM1273" s="594"/>
      <c r="AN1273" s="535"/>
      <c r="AP1273" s="540"/>
      <c r="AQ1273" s="540"/>
    </row>
    <row r="1274" spans="1:43" s="513" customFormat="1" ht="16.5" hidden="1" customHeight="1" outlineLevel="2">
      <c r="A1274" s="584"/>
      <c r="B1274" s="572" t="s">
        <v>1367</v>
      </c>
      <c r="C1274" s="574">
        <f>'Sal._benef.'!$E$21*'Sal._benef.'!$H$21</f>
        <v>609.58800000000008</v>
      </c>
      <c r="D1274" s="574">
        <f>C1274</f>
        <v>609.58800000000008</v>
      </c>
      <c r="E1274" s="574">
        <f t="shared" si="1103"/>
        <v>609.58800000000008</v>
      </c>
      <c r="F1274" s="574">
        <f t="shared" si="1103"/>
        <v>609.58800000000008</v>
      </c>
      <c r="G1274" s="574">
        <f t="shared" si="1103"/>
        <v>609.58800000000008</v>
      </c>
      <c r="H1274" s="574">
        <f t="shared" si="1103"/>
        <v>609.58800000000008</v>
      </c>
      <c r="I1274" s="574">
        <f t="shared" si="1103"/>
        <v>609.58800000000008</v>
      </c>
      <c r="J1274" s="574">
        <f t="shared" si="1103"/>
        <v>609.58800000000008</v>
      </c>
      <c r="K1274" s="574">
        <f t="shared" si="1103"/>
        <v>609.58800000000008</v>
      </c>
      <c r="L1274" s="574">
        <f t="shared" si="1103"/>
        <v>609.58800000000008</v>
      </c>
      <c r="M1274" s="574">
        <f t="shared" si="1103"/>
        <v>609.58800000000008</v>
      </c>
      <c r="N1274" s="574">
        <f t="shared" si="1103"/>
        <v>609.58800000000008</v>
      </c>
      <c r="O1274" s="574">
        <f t="shared" si="1103"/>
        <v>609.58800000000008</v>
      </c>
      <c r="P1274" s="574">
        <f t="shared" si="1103"/>
        <v>609.58800000000008</v>
      </c>
      <c r="Q1274" s="574">
        <f t="shared" si="1103"/>
        <v>609.58800000000008</v>
      </c>
      <c r="R1274" s="574">
        <f t="shared" si="1103"/>
        <v>609.58800000000008</v>
      </c>
      <c r="S1274" s="574">
        <f t="shared" si="1103"/>
        <v>609.58800000000008</v>
      </c>
      <c r="T1274" s="574">
        <f t="shared" si="1103"/>
        <v>609.58800000000008</v>
      </c>
      <c r="U1274" s="574">
        <f t="shared" si="1104"/>
        <v>609.58800000000008</v>
      </c>
      <c r="V1274" s="574">
        <f t="shared" si="1104"/>
        <v>609.58800000000008</v>
      </c>
      <c r="W1274" s="574">
        <f t="shared" si="1104"/>
        <v>609.58800000000008</v>
      </c>
      <c r="X1274" s="574">
        <f t="shared" si="1104"/>
        <v>609.58800000000008</v>
      </c>
      <c r="Y1274" s="574">
        <f t="shared" si="1104"/>
        <v>609.58800000000008</v>
      </c>
      <c r="Z1274" s="574">
        <f t="shared" si="1104"/>
        <v>609.58800000000008</v>
      </c>
      <c r="AA1274" s="574">
        <f t="shared" si="1104"/>
        <v>609.58800000000008</v>
      </c>
      <c r="AB1274" s="574">
        <f t="shared" si="1104"/>
        <v>609.58800000000008</v>
      </c>
      <c r="AC1274" s="574">
        <f t="shared" si="1104"/>
        <v>609.58800000000008</v>
      </c>
      <c r="AD1274" s="574">
        <f t="shared" si="1104"/>
        <v>609.58800000000008</v>
      </c>
      <c r="AE1274" s="574">
        <f t="shared" si="1104"/>
        <v>609.58800000000008</v>
      </c>
      <c r="AF1274" s="574">
        <f t="shared" si="1104"/>
        <v>609.58800000000008</v>
      </c>
      <c r="AH1274" s="538"/>
      <c r="AK1274" s="531"/>
      <c r="AM1274" s="594"/>
      <c r="AN1274" s="535"/>
      <c r="AP1274" s="540"/>
      <c r="AQ1274" s="540"/>
    </row>
    <row r="1275" spans="1:43" s="730" customFormat="1" ht="16.5" hidden="1" customHeight="1" outlineLevel="2">
      <c r="A1275" s="584"/>
      <c r="B1275" s="580" t="s">
        <v>1026</v>
      </c>
      <c r="C1275" s="583">
        <f>C1276*C1277</f>
        <v>0</v>
      </c>
      <c r="D1275" s="583">
        <f t="shared" ref="D1275:AF1275" si="1105">D1276*D1277</f>
        <v>0</v>
      </c>
      <c r="E1275" s="583">
        <f t="shared" si="1105"/>
        <v>0</v>
      </c>
      <c r="F1275" s="583">
        <f t="shared" si="1105"/>
        <v>0</v>
      </c>
      <c r="G1275" s="583">
        <f t="shared" si="1105"/>
        <v>0</v>
      </c>
      <c r="H1275" s="583">
        <f t="shared" si="1105"/>
        <v>0</v>
      </c>
      <c r="I1275" s="583">
        <f t="shared" si="1105"/>
        <v>3052.01</v>
      </c>
      <c r="J1275" s="583">
        <f t="shared" si="1105"/>
        <v>3052.01</v>
      </c>
      <c r="K1275" s="583">
        <f t="shared" si="1105"/>
        <v>3052.01</v>
      </c>
      <c r="L1275" s="583">
        <f t="shared" si="1105"/>
        <v>3052.01</v>
      </c>
      <c r="M1275" s="583">
        <f t="shared" si="1105"/>
        <v>3052.01</v>
      </c>
      <c r="N1275" s="583">
        <f t="shared" si="1105"/>
        <v>3052.01</v>
      </c>
      <c r="O1275" s="583">
        <f t="shared" si="1105"/>
        <v>3052.01</v>
      </c>
      <c r="P1275" s="583">
        <f t="shared" si="1105"/>
        <v>3052.01</v>
      </c>
      <c r="Q1275" s="583">
        <f t="shared" si="1105"/>
        <v>3052.01</v>
      </c>
      <c r="R1275" s="583">
        <f t="shared" si="1105"/>
        <v>3052.01</v>
      </c>
      <c r="S1275" s="583">
        <f t="shared" si="1105"/>
        <v>3052.01</v>
      </c>
      <c r="T1275" s="583">
        <f t="shared" si="1105"/>
        <v>3052.01</v>
      </c>
      <c r="U1275" s="583">
        <f t="shared" si="1105"/>
        <v>3052.01</v>
      </c>
      <c r="V1275" s="583">
        <f t="shared" si="1105"/>
        <v>3052.01</v>
      </c>
      <c r="W1275" s="583">
        <f t="shared" si="1105"/>
        <v>3052.01</v>
      </c>
      <c r="X1275" s="583">
        <f t="shared" si="1105"/>
        <v>3052.01</v>
      </c>
      <c r="Y1275" s="583">
        <f t="shared" si="1105"/>
        <v>3052.01</v>
      </c>
      <c r="Z1275" s="583">
        <f t="shared" si="1105"/>
        <v>3052.01</v>
      </c>
      <c r="AA1275" s="583">
        <f t="shared" si="1105"/>
        <v>3052.01</v>
      </c>
      <c r="AB1275" s="583">
        <f t="shared" si="1105"/>
        <v>3052.01</v>
      </c>
      <c r="AC1275" s="583">
        <f t="shared" si="1105"/>
        <v>3052.01</v>
      </c>
      <c r="AD1275" s="583">
        <f t="shared" si="1105"/>
        <v>3052.01</v>
      </c>
      <c r="AE1275" s="583">
        <f t="shared" si="1105"/>
        <v>3052.01</v>
      </c>
      <c r="AF1275" s="583">
        <f t="shared" si="1105"/>
        <v>3052.01</v>
      </c>
      <c r="AG1275" s="634"/>
      <c r="AH1275" s="635"/>
      <c r="AK1275" s="588"/>
      <c r="AM1275" s="624"/>
      <c r="AN1275" s="590"/>
      <c r="AP1275" s="731"/>
      <c r="AQ1275" s="731"/>
    </row>
    <row r="1276" spans="1:43" s="586" customFormat="1" ht="16.5" hidden="1" customHeight="1" outlineLevel="2">
      <c r="A1276" s="584"/>
      <c r="B1276" s="641" t="s">
        <v>805</v>
      </c>
      <c r="C1276" s="554">
        <v>0</v>
      </c>
      <c r="D1276" s="554">
        <v>0</v>
      </c>
      <c r="E1276" s="554">
        <v>0</v>
      </c>
      <c r="F1276" s="716">
        <v>0</v>
      </c>
      <c r="G1276" s="742">
        <v>0</v>
      </c>
      <c r="H1276" s="742">
        <v>0</v>
      </c>
      <c r="I1276" s="742">
        <v>0.5</v>
      </c>
      <c r="J1276" s="742">
        <v>0.5</v>
      </c>
      <c r="K1276" s="742">
        <v>0.5</v>
      </c>
      <c r="L1276" s="742">
        <v>0.5</v>
      </c>
      <c r="M1276" s="742">
        <v>0.5</v>
      </c>
      <c r="N1276" s="742">
        <v>0.5</v>
      </c>
      <c r="O1276" s="742">
        <v>0.5</v>
      </c>
      <c r="P1276" s="742">
        <v>0.5</v>
      </c>
      <c r="Q1276" s="742">
        <v>0.5</v>
      </c>
      <c r="R1276" s="742">
        <v>0.5</v>
      </c>
      <c r="S1276" s="742">
        <v>0.5</v>
      </c>
      <c r="T1276" s="742">
        <v>0.5</v>
      </c>
      <c r="U1276" s="742">
        <v>0.5</v>
      </c>
      <c r="V1276" s="742">
        <v>0.5</v>
      </c>
      <c r="W1276" s="742">
        <v>0.5</v>
      </c>
      <c r="X1276" s="742">
        <v>0.5</v>
      </c>
      <c r="Y1276" s="742">
        <v>0.5</v>
      </c>
      <c r="Z1276" s="742">
        <v>0.5</v>
      </c>
      <c r="AA1276" s="742">
        <v>0.5</v>
      </c>
      <c r="AB1276" s="742">
        <v>0.5</v>
      </c>
      <c r="AC1276" s="742">
        <v>0.5</v>
      </c>
      <c r="AD1276" s="742">
        <v>0.5</v>
      </c>
      <c r="AE1276" s="742">
        <v>0.5</v>
      </c>
      <c r="AF1276" s="742">
        <v>0.5</v>
      </c>
      <c r="AH1276" s="587"/>
      <c r="AK1276" s="588"/>
      <c r="AM1276" s="624"/>
      <c r="AN1276" s="590"/>
      <c r="AP1276" s="591"/>
      <c r="AQ1276" s="591"/>
    </row>
    <row r="1277" spans="1:43" s="725" customFormat="1" ht="16.5" hidden="1" customHeight="1" outlineLevel="2">
      <c r="A1277" s="584"/>
      <c r="B1277" s="641" t="s">
        <v>928</v>
      </c>
      <c r="C1277" s="642">
        <f>'Sal._benef.'!$D$30</f>
        <v>6104.02</v>
      </c>
      <c r="D1277" s="642">
        <f>C1277</f>
        <v>6104.02</v>
      </c>
      <c r="E1277" s="642">
        <f t="shared" ref="E1277:AF1277" si="1106">D1277</f>
        <v>6104.02</v>
      </c>
      <c r="F1277" s="642">
        <f t="shared" si="1106"/>
        <v>6104.02</v>
      </c>
      <c r="G1277" s="642">
        <f t="shared" si="1106"/>
        <v>6104.02</v>
      </c>
      <c r="H1277" s="642">
        <f t="shared" si="1106"/>
        <v>6104.02</v>
      </c>
      <c r="I1277" s="642">
        <f t="shared" si="1106"/>
        <v>6104.02</v>
      </c>
      <c r="J1277" s="642">
        <f t="shared" si="1106"/>
        <v>6104.02</v>
      </c>
      <c r="K1277" s="642">
        <f t="shared" si="1106"/>
        <v>6104.02</v>
      </c>
      <c r="L1277" s="642">
        <f t="shared" si="1106"/>
        <v>6104.02</v>
      </c>
      <c r="M1277" s="642">
        <f t="shared" si="1106"/>
        <v>6104.02</v>
      </c>
      <c r="N1277" s="642">
        <f t="shared" si="1106"/>
        <v>6104.02</v>
      </c>
      <c r="O1277" s="642">
        <f t="shared" si="1106"/>
        <v>6104.02</v>
      </c>
      <c r="P1277" s="642">
        <f t="shared" si="1106"/>
        <v>6104.02</v>
      </c>
      <c r="Q1277" s="642">
        <f t="shared" si="1106"/>
        <v>6104.02</v>
      </c>
      <c r="R1277" s="642">
        <f t="shared" si="1106"/>
        <v>6104.02</v>
      </c>
      <c r="S1277" s="642">
        <f t="shared" si="1106"/>
        <v>6104.02</v>
      </c>
      <c r="T1277" s="642">
        <f t="shared" si="1106"/>
        <v>6104.02</v>
      </c>
      <c r="U1277" s="642">
        <f t="shared" si="1106"/>
        <v>6104.02</v>
      </c>
      <c r="V1277" s="642">
        <f t="shared" si="1106"/>
        <v>6104.02</v>
      </c>
      <c r="W1277" s="642">
        <f t="shared" si="1106"/>
        <v>6104.02</v>
      </c>
      <c r="X1277" s="642">
        <f t="shared" si="1106"/>
        <v>6104.02</v>
      </c>
      <c r="Y1277" s="642">
        <f t="shared" si="1106"/>
        <v>6104.02</v>
      </c>
      <c r="Z1277" s="642">
        <f t="shared" si="1106"/>
        <v>6104.02</v>
      </c>
      <c r="AA1277" s="642">
        <f t="shared" si="1106"/>
        <v>6104.02</v>
      </c>
      <c r="AB1277" s="642">
        <f t="shared" si="1106"/>
        <v>6104.02</v>
      </c>
      <c r="AC1277" s="642">
        <f t="shared" si="1106"/>
        <v>6104.02</v>
      </c>
      <c r="AD1277" s="642">
        <f t="shared" si="1106"/>
        <v>6104.02</v>
      </c>
      <c r="AE1277" s="642">
        <f t="shared" si="1106"/>
        <v>6104.02</v>
      </c>
      <c r="AF1277" s="642">
        <f t="shared" si="1106"/>
        <v>6104.02</v>
      </c>
      <c r="AG1277" s="586"/>
      <c r="AH1277" s="587"/>
      <c r="AK1277" s="588"/>
      <c r="AM1277" s="624"/>
      <c r="AN1277" s="590"/>
      <c r="AP1277" s="590"/>
      <c r="AQ1277" s="590"/>
    </row>
    <row r="1278" spans="1:43" s="730" customFormat="1" ht="16.5" hidden="1" customHeight="1" outlineLevel="2">
      <c r="A1278" s="584"/>
      <c r="B1278" s="580" t="s">
        <v>1027</v>
      </c>
      <c r="C1278" s="583">
        <f>C1279*C1280</f>
        <v>0</v>
      </c>
      <c r="D1278" s="583">
        <f t="shared" ref="D1278:AF1278" si="1107">D1279*D1280</f>
        <v>0</v>
      </c>
      <c r="E1278" s="583">
        <f t="shared" si="1107"/>
        <v>0</v>
      </c>
      <c r="F1278" s="583">
        <f t="shared" si="1107"/>
        <v>0</v>
      </c>
      <c r="G1278" s="583">
        <f t="shared" si="1107"/>
        <v>0</v>
      </c>
      <c r="H1278" s="583">
        <f t="shared" si="1107"/>
        <v>0</v>
      </c>
      <c r="I1278" s="583">
        <f t="shared" si="1107"/>
        <v>3687.2</v>
      </c>
      <c r="J1278" s="583">
        <f t="shared" si="1107"/>
        <v>3687.2</v>
      </c>
      <c r="K1278" s="583">
        <f t="shared" si="1107"/>
        <v>3687.2</v>
      </c>
      <c r="L1278" s="583">
        <f t="shared" si="1107"/>
        <v>3687.2</v>
      </c>
      <c r="M1278" s="583">
        <f t="shared" si="1107"/>
        <v>3687.2</v>
      </c>
      <c r="N1278" s="583">
        <f t="shared" si="1107"/>
        <v>3687.2</v>
      </c>
      <c r="O1278" s="583">
        <f t="shared" si="1107"/>
        <v>3687.2</v>
      </c>
      <c r="P1278" s="583">
        <f t="shared" si="1107"/>
        <v>3687.2</v>
      </c>
      <c r="Q1278" s="583">
        <f t="shared" si="1107"/>
        <v>3687.2</v>
      </c>
      <c r="R1278" s="583">
        <f t="shared" si="1107"/>
        <v>3687.2</v>
      </c>
      <c r="S1278" s="583">
        <f t="shared" si="1107"/>
        <v>3687.2</v>
      </c>
      <c r="T1278" s="583">
        <f t="shared" si="1107"/>
        <v>3687.2</v>
      </c>
      <c r="U1278" s="583">
        <f t="shared" si="1107"/>
        <v>3687.2</v>
      </c>
      <c r="V1278" s="583">
        <f t="shared" si="1107"/>
        <v>3687.2</v>
      </c>
      <c r="W1278" s="583">
        <f t="shared" si="1107"/>
        <v>3687.2</v>
      </c>
      <c r="X1278" s="583">
        <f t="shared" si="1107"/>
        <v>3687.2</v>
      </c>
      <c r="Y1278" s="583">
        <f t="shared" si="1107"/>
        <v>3687.2</v>
      </c>
      <c r="Z1278" s="583">
        <f t="shared" si="1107"/>
        <v>3687.2</v>
      </c>
      <c r="AA1278" s="583">
        <f t="shared" si="1107"/>
        <v>3687.2</v>
      </c>
      <c r="AB1278" s="583">
        <f t="shared" si="1107"/>
        <v>3687.2</v>
      </c>
      <c r="AC1278" s="583">
        <f t="shared" si="1107"/>
        <v>3687.2</v>
      </c>
      <c r="AD1278" s="583">
        <f t="shared" si="1107"/>
        <v>3687.2</v>
      </c>
      <c r="AE1278" s="583">
        <f t="shared" si="1107"/>
        <v>3687.2</v>
      </c>
      <c r="AF1278" s="583">
        <f t="shared" si="1107"/>
        <v>3687.2</v>
      </c>
      <c r="AG1278" s="634"/>
      <c r="AH1278" s="635"/>
      <c r="AK1278" s="588"/>
      <c r="AM1278" s="624"/>
      <c r="AN1278" s="590"/>
      <c r="AP1278" s="731"/>
      <c r="AQ1278" s="731"/>
    </row>
    <row r="1279" spans="1:43" s="586" customFormat="1" ht="16.5" hidden="1" customHeight="1" outlineLevel="2">
      <c r="A1279" s="584"/>
      <c r="B1279" s="641" t="s">
        <v>805</v>
      </c>
      <c r="C1279" s="554">
        <v>0</v>
      </c>
      <c r="D1279" s="554">
        <v>0</v>
      </c>
      <c r="E1279" s="554">
        <v>0</v>
      </c>
      <c r="F1279" s="716">
        <v>0</v>
      </c>
      <c r="G1279" s="742">
        <v>0</v>
      </c>
      <c r="H1279" s="742">
        <v>0</v>
      </c>
      <c r="I1279" s="716">
        <v>2</v>
      </c>
      <c r="J1279" s="716">
        <v>2</v>
      </c>
      <c r="K1279" s="716">
        <v>2</v>
      </c>
      <c r="L1279" s="716">
        <v>2</v>
      </c>
      <c r="M1279" s="716">
        <v>2</v>
      </c>
      <c r="N1279" s="716">
        <v>2</v>
      </c>
      <c r="O1279" s="716">
        <v>2</v>
      </c>
      <c r="P1279" s="716">
        <v>2</v>
      </c>
      <c r="Q1279" s="716">
        <v>2</v>
      </c>
      <c r="R1279" s="716">
        <v>2</v>
      </c>
      <c r="S1279" s="716">
        <v>2</v>
      </c>
      <c r="T1279" s="716">
        <v>2</v>
      </c>
      <c r="U1279" s="716">
        <v>2</v>
      </c>
      <c r="V1279" s="716">
        <v>2</v>
      </c>
      <c r="W1279" s="716">
        <v>2</v>
      </c>
      <c r="X1279" s="716">
        <v>2</v>
      </c>
      <c r="Y1279" s="716">
        <v>2</v>
      </c>
      <c r="Z1279" s="716">
        <v>2</v>
      </c>
      <c r="AA1279" s="716">
        <v>2</v>
      </c>
      <c r="AB1279" s="716">
        <v>2</v>
      </c>
      <c r="AC1279" s="716">
        <v>2</v>
      </c>
      <c r="AD1279" s="716">
        <v>2</v>
      </c>
      <c r="AE1279" s="716">
        <v>2</v>
      </c>
      <c r="AF1279" s="716">
        <v>2</v>
      </c>
      <c r="AH1279" s="587"/>
      <c r="AK1279" s="588"/>
      <c r="AM1279" s="624"/>
      <c r="AN1279" s="590"/>
      <c r="AP1279" s="591"/>
      <c r="AQ1279" s="591"/>
    </row>
    <row r="1280" spans="1:43" s="725" customFormat="1" ht="16.5" hidden="1" customHeight="1" outlineLevel="2">
      <c r="A1280" s="584"/>
      <c r="B1280" s="641" t="s">
        <v>928</v>
      </c>
      <c r="C1280" s="642">
        <f>'Sal._benef.'!$D$26</f>
        <v>1843.6</v>
      </c>
      <c r="D1280" s="642">
        <f>C1280</f>
        <v>1843.6</v>
      </c>
      <c r="E1280" s="642">
        <f t="shared" ref="E1280:AF1280" si="1108">D1280</f>
        <v>1843.6</v>
      </c>
      <c r="F1280" s="642">
        <f t="shared" si="1108"/>
        <v>1843.6</v>
      </c>
      <c r="G1280" s="642">
        <f t="shared" si="1108"/>
        <v>1843.6</v>
      </c>
      <c r="H1280" s="642">
        <f t="shared" si="1108"/>
        <v>1843.6</v>
      </c>
      <c r="I1280" s="642">
        <f t="shared" si="1108"/>
        <v>1843.6</v>
      </c>
      <c r="J1280" s="642">
        <f t="shared" si="1108"/>
        <v>1843.6</v>
      </c>
      <c r="K1280" s="642">
        <f t="shared" si="1108"/>
        <v>1843.6</v>
      </c>
      <c r="L1280" s="642">
        <f t="shared" si="1108"/>
        <v>1843.6</v>
      </c>
      <c r="M1280" s="642">
        <f t="shared" si="1108"/>
        <v>1843.6</v>
      </c>
      <c r="N1280" s="642">
        <f t="shared" si="1108"/>
        <v>1843.6</v>
      </c>
      <c r="O1280" s="642">
        <f t="shared" si="1108"/>
        <v>1843.6</v>
      </c>
      <c r="P1280" s="642">
        <f t="shared" si="1108"/>
        <v>1843.6</v>
      </c>
      <c r="Q1280" s="642">
        <f t="shared" si="1108"/>
        <v>1843.6</v>
      </c>
      <c r="R1280" s="642">
        <f t="shared" si="1108"/>
        <v>1843.6</v>
      </c>
      <c r="S1280" s="642">
        <f t="shared" si="1108"/>
        <v>1843.6</v>
      </c>
      <c r="T1280" s="642">
        <f t="shared" si="1108"/>
        <v>1843.6</v>
      </c>
      <c r="U1280" s="642">
        <f t="shared" si="1108"/>
        <v>1843.6</v>
      </c>
      <c r="V1280" s="642">
        <f t="shared" si="1108"/>
        <v>1843.6</v>
      </c>
      <c r="W1280" s="642">
        <f t="shared" si="1108"/>
        <v>1843.6</v>
      </c>
      <c r="X1280" s="642">
        <f t="shared" si="1108"/>
        <v>1843.6</v>
      </c>
      <c r="Y1280" s="642">
        <f t="shared" si="1108"/>
        <v>1843.6</v>
      </c>
      <c r="Z1280" s="642">
        <f t="shared" si="1108"/>
        <v>1843.6</v>
      </c>
      <c r="AA1280" s="642">
        <f t="shared" si="1108"/>
        <v>1843.6</v>
      </c>
      <c r="AB1280" s="642">
        <f t="shared" si="1108"/>
        <v>1843.6</v>
      </c>
      <c r="AC1280" s="642">
        <f t="shared" si="1108"/>
        <v>1843.6</v>
      </c>
      <c r="AD1280" s="642">
        <f t="shared" si="1108"/>
        <v>1843.6</v>
      </c>
      <c r="AE1280" s="642">
        <f t="shared" si="1108"/>
        <v>1843.6</v>
      </c>
      <c r="AF1280" s="642">
        <f t="shared" si="1108"/>
        <v>1843.6</v>
      </c>
      <c r="AG1280" s="586"/>
      <c r="AH1280" s="587"/>
      <c r="AK1280" s="588"/>
      <c r="AM1280" s="624"/>
      <c r="AN1280" s="590"/>
      <c r="AP1280" s="590"/>
      <c r="AQ1280" s="590"/>
    </row>
    <row r="1281" spans="1:43" s="513" customFormat="1" ht="8.25" hidden="1" customHeight="1" outlineLevel="2">
      <c r="A1281" s="584"/>
      <c r="B1281" s="572"/>
      <c r="C1281" s="574"/>
      <c r="D1281" s="574"/>
      <c r="E1281" s="574"/>
      <c r="F1281" s="574"/>
      <c r="G1281" s="574"/>
      <c r="H1281" s="574"/>
      <c r="I1281" s="574"/>
      <c r="J1281" s="574"/>
      <c r="K1281" s="574"/>
      <c r="L1281" s="574"/>
      <c r="M1281" s="574"/>
      <c r="N1281" s="574"/>
      <c r="O1281" s="574"/>
      <c r="P1281" s="574"/>
      <c r="Q1281" s="574"/>
      <c r="R1281" s="574"/>
      <c r="S1281" s="574"/>
      <c r="T1281" s="574"/>
      <c r="U1281" s="574"/>
      <c r="V1281" s="574"/>
      <c r="W1281" s="574"/>
      <c r="X1281" s="574"/>
      <c r="Y1281" s="574"/>
      <c r="Z1281" s="574"/>
      <c r="AA1281" s="574"/>
      <c r="AB1281" s="574"/>
      <c r="AC1281" s="574"/>
      <c r="AD1281" s="574"/>
      <c r="AE1281" s="574"/>
      <c r="AF1281" s="574"/>
      <c r="AH1281" s="538"/>
      <c r="AK1281" s="531"/>
      <c r="AM1281" s="594"/>
      <c r="AN1281" s="535"/>
      <c r="AP1281" s="540"/>
      <c r="AQ1281" s="540"/>
    </row>
    <row r="1282" spans="1:43" s="564" customFormat="1" ht="16.5" hidden="1" customHeight="1" outlineLevel="1" collapsed="1">
      <c r="A1282" s="584"/>
      <c r="B1282" s="576" t="s">
        <v>936</v>
      </c>
      <c r="C1282" s="577">
        <f>C1283</f>
        <v>0</v>
      </c>
      <c r="D1282" s="577">
        <f>D1283</f>
        <v>21.227173440000001</v>
      </c>
      <c r="E1282" s="577">
        <f t="shared" ref="E1282:AF1282" si="1109">E1283</f>
        <v>42.454346880000003</v>
      </c>
      <c r="F1282" s="577">
        <f t="shared" si="1109"/>
        <v>42.454346880000003</v>
      </c>
      <c r="G1282" s="577">
        <f t="shared" si="1109"/>
        <v>42.454346880000003</v>
      </c>
      <c r="H1282" s="577">
        <f t="shared" si="1109"/>
        <v>42.454346880000003</v>
      </c>
      <c r="I1282" s="577">
        <f t="shared" si="1109"/>
        <v>452.42152958476805</v>
      </c>
      <c r="J1282" s="577">
        <f t="shared" si="1109"/>
        <v>452.42152958476805</v>
      </c>
      <c r="K1282" s="577">
        <f t="shared" si="1109"/>
        <v>452.42152958476805</v>
      </c>
      <c r="L1282" s="577">
        <f t="shared" si="1109"/>
        <v>452.42152958476805</v>
      </c>
      <c r="M1282" s="577">
        <f t="shared" si="1109"/>
        <v>452.42152958476805</v>
      </c>
      <c r="N1282" s="577">
        <f t="shared" si="1109"/>
        <v>452.42152958476805</v>
      </c>
      <c r="O1282" s="577">
        <f t="shared" si="1109"/>
        <v>452.42152958476805</v>
      </c>
      <c r="P1282" s="577">
        <f t="shared" si="1109"/>
        <v>452.42152958476805</v>
      </c>
      <c r="Q1282" s="577">
        <f t="shared" si="1109"/>
        <v>452.42152958476805</v>
      </c>
      <c r="R1282" s="577">
        <f t="shared" si="1109"/>
        <v>452.42152958476805</v>
      </c>
      <c r="S1282" s="577">
        <f t="shared" si="1109"/>
        <v>452.42152958476805</v>
      </c>
      <c r="T1282" s="577">
        <f t="shared" si="1109"/>
        <v>452.42152958476805</v>
      </c>
      <c r="U1282" s="577">
        <f t="shared" si="1109"/>
        <v>452.42152958476805</v>
      </c>
      <c r="V1282" s="577">
        <f t="shared" si="1109"/>
        <v>452.42152958476805</v>
      </c>
      <c r="W1282" s="577">
        <f t="shared" si="1109"/>
        <v>452.42152958476805</v>
      </c>
      <c r="X1282" s="577">
        <f t="shared" si="1109"/>
        <v>452.42152958476805</v>
      </c>
      <c r="Y1282" s="577">
        <f t="shared" si="1109"/>
        <v>452.42152958476805</v>
      </c>
      <c r="Z1282" s="577">
        <f t="shared" si="1109"/>
        <v>452.42152958476805</v>
      </c>
      <c r="AA1282" s="577">
        <f t="shared" si="1109"/>
        <v>452.42152958476805</v>
      </c>
      <c r="AB1282" s="577">
        <f t="shared" si="1109"/>
        <v>452.42152958476805</v>
      </c>
      <c r="AC1282" s="577">
        <f t="shared" si="1109"/>
        <v>452.42152958476805</v>
      </c>
      <c r="AD1282" s="577">
        <f t="shared" si="1109"/>
        <v>452.42152958476805</v>
      </c>
      <c r="AE1282" s="577">
        <f t="shared" si="1109"/>
        <v>452.42152958476805</v>
      </c>
      <c r="AF1282" s="577">
        <f t="shared" si="1109"/>
        <v>452.42152958476805</v>
      </c>
      <c r="AH1282" s="578">
        <f>SUM(C1282:AF1282)</f>
        <v>11049.161270994433</v>
      </c>
      <c r="AJ1282" s="579"/>
      <c r="AK1282" s="531"/>
      <c r="AM1282" s="594"/>
      <c r="AN1282" s="535"/>
      <c r="AP1282" s="568"/>
      <c r="AQ1282" s="568"/>
    </row>
    <row r="1283" spans="1:43" s="546" customFormat="1" ht="16.5" hidden="1" customHeight="1" outlineLevel="2">
      <c r="A1283" s="584"/>
      <c r="B1283" s="569" t="s">
        <v>937</v>
      </c>
      <c r="C1283" s="570">
        <f>C1215*C1284</f>
        <v>0</v>
      </c>
      <c r="D1283" s="570">
        <f t="shared" ref="D1283:AF1283" si="1110">D1215*D1284</f>
        <v>21.227173440000001</v>
      </c>
      <c r="E1283" s="570">
        <f t="shared" si="1110"/>
        <v>42.454346880000003</v>
      </c>
      <c r="F1283" s="570">
        <f t="shared" si="1110"/>
        <v>42.454346880000003</v>
      </c>
      <c r="G1283" s="570">
        <f t="shared" si="1110"/>
        <v>42.454346880000003</v>
      </c>
      <c r="H1283" s="570">
        <f t="shared" si="1110"/>
        <v>42.454346880000003</v>
      </c>
      <c r="I1283" s="570">
        <f t="shared" si="1110"/>
        <v>452.42152958476805</v>
      </c>
      <c r="J1283" s="570">
        <f t="shared" si="1110"/>
        <v>452.42152958476805</v>
      </c>
      <c r="K1283" s="570">
        <f t="shared" si="1110"/>
        <v>452.42152958476805</v>
      </c>
      <c r="L1283" s="570">
        <f t="shared" si="1110"/>
        <v>452.42152958476805</v>
      </c>
      <c r="M1283" s="570">
        <f t="shared" si="1110"/>
        <v>452.42152958476805</v>
      </c>
      <c r="N1283" s="570">
        <f t="shared" si="1110"/>
        <v>452.42152958476805</v>
      </c>
      <c r="O1283" s="570">
        <f t="shared" si="1110"/>
        <v>452.42152958476805</v>
      </c>
      <c r="P1283" s="570">
        <f t="shared" si="1110"/>
        <v>452.42152958476805</v>
      </c>
      <c r="Q1283" s="570">
        <f t="shared" si="1110"/>
        <v>452.42152958476805</v>
      </c>
      <c r="R1283" s="570">
        <f t="shared" si="1110"/>
        <v>452.42152958476805</v>
      </c>
      <c r="S1283" s="570">
        <f t="shared" si="1110"/>
        <v>452.42152958476805</v>
      </c>
      <c r="T1283" s="570">
        <f t="shared" si="1110"/>
        <v>452.42152958476805</v>
      </c>
      <c r="U1283" s="570">
        <f t="shared" si="1110"/>
        <v>452.42152958476805</v>
      </c>
      <c r="V1283" s="570">
        <f t="shared" si="1110"/>
        <v>452.42152958476805</v>
      </c>
      <c r="W1283" s="570">
        <f t="shared" si="1110"/>
        <v>452.42152958476805</v>
      </c>
      <c r="X1283" s="570">
        <f t="shared" si="1110"/>
        <v>452.42152958476805</v>
      </c>
      <c r="Y1283" s="570">
        <f t="shared" si="1110"/>
        <v>452.42152958476805</v>
      </c>
      <c r="Z1283" s="570">
        <f t="shared" si="1110"/>
        <v>452.42152958476805</v>
      </c>
      <c r="AA1283" s="570">
        <f t="shared" si="1110"/>
        <v>452.42152958476805</v>
      </c>
      <c r="AB1283" s="570">
        <f t="shared" si="1110"/>
        <v>452.42152958476805</v>
      </c>
      <c r="AC1283" s="570">
        <f t="shared" si="1110"/>
        <v>452.42152958476805</v>
      </c>
      <c r="AD1283" s="570">
        <f t="shared" si="1110"/>
        <v>452.42152958476805</v>
      </c>
      <c r="AE1283" s="570">
        <f t="shared" si="1110"/>
        <v>452.42152958476805</v>
      </c>
      <c r="AF1283" s="570">
        <f t="shared" si="1110"/>
        <v>452.42152958476805</v>
      </c>
      <c r="AH1283" s="571"/>
      <c r="AK1283" s="531"/>
      <c r="AM1283" s="594"/>
      <c r="AN1283" s="535"/>
      <c r="AP1283" s="549"/>
      <c r="AQ1283" s="549"/>
    </row>
    <row r="1284" spans="1:43" s="513" customFormat="1" ht="16.5" hidden="1" customHeight="1" outlineLevel="2">
      <c r="A1284" s="584"/>
      <c r="B1284" s="572" t="s">
        <v>938</v>
      </c>
      <c r="C1284" s="378">
        <f>'Sal._benef.'!$F$11</f>
        <v>0.71030000000000004</v>
      </c>
      <c r="D1284" s="378">
        <f>C1284</f>
        <v>0.71030000000000004</v>
      </c>
      <c r="E1284" s="378">
        <f>D1284</f>
        <v>0.71030000000000004</v>
      </c>
      <c r="F1284" s="378">
        <f t="shared" ref="F1284:AF1284" si="1111">E1284</f>
        <v>0.71030000000000004</v>
      </c>
      <c r="G1284" s="378">
        <f t="shared" si="1111"/>
        <v>0.71030000000000004</v>
      </c>
      <c r="H1284" s="378">
        <f t="shared" si="1111"/>
        <v>0.71030000000000004</v>
      </c>
      <c r="I1284" s="378">
        <f t="shared" si="1111"/>
        <v>0.71030000000000004</v>
      </c>
      <c r="J1284" s="378">
        <f t="shared" si="1111"/>
        <v>0.71030000000000004</v>
      </c>
      <c r="K1284" s="378">
        <f t="shared" si="1111"/>
        <v>0.71030000000000004</v>
      </c>
      <c r="L1284" s="378">
        <f t="shared" si="1111"/>
        <v>0.71030000000000004</v>
      </c>
      <c r="M1284" s="378">
        <f t="shared" si="1111"/>
        <v>0.71030000000000004</v>
      </c>
      <c r="N1284" s="378">
        <f t="shared" si="1111"/>
        <v>0.71030000000000004</v>
      </c>
      <c r="O1284" s="378">
        <f t="shared" si="1111"/>
        <v>0.71030000000000004</v>
      </c>
      <c r="P1284" s="378">
        <f t="shared" si="1111"/>
        <v>0.71030000000000004</v>
      </c>
      <c r="Q1284" s="378">
        <f t="shared" si="1111"/>
        <v>0.71030000000000004</v>
      </c>
      <c r="R1284" s="378">
        <f t="shared" si="1111"/>
        <v>0.71030000000000004</v>
      </c>
      <c r="S1284" s="378">
        <f t="shared" si="1111"/>
        <v>0.71030000000000004</v>
      </c>
      <c r="T1284" s="378">
        <f t="shared" si="1111"/>
        <v>0.71030000000000004</v>
      </c>
      <c r="U1284" s="378">
        <f t="shared" si="1111"/>
        <v>0.71030000000000004</v>
      </c>
      <c r="V1284" s="378">
        <f t="shared" si="1111"/>
        <v>0.71030000000000004</v>
      </c>
      <c r="W1284" s="378">
        <f t="shared" si="1111"/>
        <v>0.71030000000000004</v>
      </c>
      <c r="X1284" s="378">
        <f t="shared" si="1111"/>
        <v>0.71030000000000004</v>
      </c>
      <c r="Y1284" s="378">
        <f t="shared" si="1111"/>
        <v>0.71030000000000004</v>
      </c>
      <c r="Z1284" s="378">
        <f t="shared" si="1111"/>
        <v>0.71030000000000004</v>
      </c>
      <c r="AA1284" s="378">
        <f t="shared" si="1111"/>
        <v>0.71030000000000004</v>
      </c>
      <c r="AB1284" s="378">
        <f t="shared" si="1111"/>
        <v>0.71030000000000004</v>
      </c>
      <c r="AC1284" s="378">
        <f t="shared" si="1111"/>
        <v>0.71030000000000004</v>
      </c>
      <c r="AD1284" s="378">
        <f t="shared" si="1111"/>
        <v>0.71030000000000004</v>
      </c>
      <c r="AE1284" s="378">
        <f t="shared" si="1111"/>
        <v>0.71030000000000004</v>
      </c>
      <c r="AF1284" s="378">
        <f t="shared" si="1111"/>
        <v>0.71030000000000004</v>
      </c>
      <c r="AH1284" s="538"/>
      <c r="AK1284" s="531"/>
      <c r="AM1284" s="594"/>
      <c r="AN1284" s="535"/>
      <c r="AP1284" s="540"/>
      <c r="AQ1284" s="540"/>
    </row>
    <row r="1285" spans="1:43" s="564" customFormat="1" ht="16.5" hidden="1" customHeight="1" outlineLevel="1" collapsed="1">
      <c r="A1285" s="584"/>
      <c r="B1285" s="576" t="s">
        <v>939</v>
      </c>
      <c r="C1285" s="577">
        <f>(SUM(C1286,C1293,C1300)*12/10^3)</f>
        <v>0</v>
      </c>
      <c r="D1285" s="577">
        <f>(SUM(D1286,D1293,D1300)*12/10^3)</f>
        <v>7.7605200000000005</v>
      </c>
      <c r="E1285" s="577">
        <f>(SUM(E1286,E1293,E1300)*12/10^3)</f>
        <v>15.521040000000001</v>
      </c>
      <c r="F1285" s="577">
        <f t="shared" ref="F1285:AF1285" si="1112">(SUM(F1286,F1293,F1300)*12/10^3)</f>
        <v>15.521040000000001</v>
      </c>
      <c r="G1285" s="577">
        <f t="shared" si="1112"/>
        <v>15.521040000000001</v>
      </c>
      <c r="H1285" s="577">
        <f t="shared" si="1112"/>
        <v>15.521040000000001</v>
      </c>
      <c r="I1285" s="577">
        <f t="shared" si="1112"/>
        <v>127.18552320000001</v>
      </c>
      <c r="J1285" s="577">
        <f t="shared" si="1112"/>
        <v>127.18552320000001</v>
      </c>
      <c r="K1285" s="577">
        <f t="shared" si="1112"/>
        <v>127.18552320000001</v>
      </c>
      <c r="L1285" s="577">
        <f t="shared" si="1112"/>
        <v>127.18552320000001</v>
      </c>
      <c r="M1285" s="577">
        <f t="shared" si="1112"/>
        <v>127.18552320000001</v>
      </c>
      <c r="N1285" s="577">
        <f t="shared" si="1112"/>
        <v>127.18552320000001</v>
      </c>
      <c r="O1285" s="577">
        <f t="shared" si="1112"/>
        <v>127.18552320000001</v>
      </c>
      <c r="P1285" s="577">
        <f t="shared" si="1112"/>
        <v>127.18552320000001</v>
      </c>
      <c r="Q1285" s="577">
        <f t="shared" si="1112"/>
        <v>127.18552320000001</v>
      </c>
      <c r="R1285" s="577">
        <f t="shared" si="1112"/>
        <v>127.18552320000001</v>
      </c>
      <c r="S1285" s="577">
        <f t="shared" si="1112"/>
        <v>127.18552320000001</v>
      </c>
      <c r="T1285" s="577">
        <f t="shared" si="1112"/>
        <v>127.18552320000001</v>
      </c>
      <c r="U1285" s="577">
        <f t="shared" si="1112"/>
        <v>127.18552320000001</v>
      </c>
      <c r="V1285" s="577">
        <f t="shared" si="1112"/>
        <v>127.18552320000001</v>
      </c>
      <c r="W1285" s="577">
        <f t="shared" si="1112"/>
        <v>127.18552320000001</v>
      </c>
      <c r="X1285" s="577">
        <f t="shared" si="1112"/>
        <v>127.18552320000001</v>
      </c>
      <c r="Y1285" s="577">
        <f t="shared" si="1112"/>
        <v>127.18552320000001</v>
      </c>
      <c r="Z1285" s="577">
        <f t="shared" si="1112"/>
        <v>127.18552320000001</v>
      </c>
      <c r="AA1285" s="577">
        <f t="shared" si="1112"/>
        <v>127.18552320000001</v>
      </c>
      <c r="AB1285" s="577">
        <f t="shared" si="1112"/>
        <v>127.18552320000001</v>
      </c>
      <c r="AC1285" s="577">
        <f t="shared" si="1112"/>
        <v>127.18552320000001</v>
      </c>
      <c r="AD1285" s="577">
        <f t="shared" si="1112"/>
        <v>127.18552320000001</v>
      </c>
      <c r="AE1285" s="577">
        <f t="shared" si="1112"/>
        <v>127.18552320000001</v>
      </c>
      <c r="AF1285" s="577">
        <f t="shared" si="1112"/>
        <v>127.18552320000001</v>
      </c>
      <c r="AG1285" s="652" t="e">
        <f>(#REF!+#REF!+#REF!+#REF!+AG1286)*12/10^3</f>
        <v>#REF!</v>
      </c>
      <c r="AH1285" s="578">
        <f>SUM(C1285:AF1285)</f>
        <v>3122.2972367999987</v>
      </c>
      <c r="AJ1285" s="579"/>
      <c r="AK1285" s="531"/>
      <c r="AM1285" s="594"/>
      <c r="AN1285" s="535"/>
      <c r="AP1285" s="568"/>
      <c r="AQ1285" s="568"/>
    </row>
    <row r="1286" spans="1:43" s="513" customFormat="1" ht="16.5" hidden="1" customHeight="1" outlineLevel="2">
      <c r="A1286" s="584"/>
      <c r="B1286" s="650" t="s">
        <v>990</v>
      </c>
      <c r="C1286" s="659">
        <f>C1287</f>
        <v>0</v>
      </c>
      <c r="D1286" s="659">
        <f>D1287</f>
        <v>0</v>
      </c>
      <c r="E1286" s="659">
        <f>E1287</f>
        <v>646.71</v>
      </c>
      <c r="F1286" s="659">
        <f t="shared" ref="F1286:AF1286" si="1113">F1287</f>
        <v>646.71</v>
      </c>
      <c r="G1286" s="659">
        <f t="shared" si="1113"/>
        <v>646.71</v>
      </c>
      <c r="H1286" s="659">
        <f t="shared" si="1113"/>
        <v>646.71</v>
      </c>
      <c r="I1286" s="659">
        <f t="shared" si="1113"/>
        <v>646.71</v>
      </c>
      <c r="J1286" s="659">
        <f t="shared" si="1113"/>
        <v>646.71</v>
      </c>
      <c r="K1286" s="659">
        <f t="shared" si="1113"/>
        <v>646.71</v>
      </c>
      <c r="L1286" s="659">
        <f t="shared" si="1113"/>
        <v>646.71</v>
      </c>
      <c r="M1286" s="659">
        <f t="shared" si="1113"/>
        <v>646.71</v>
      </c>
      <c r="N1286" s="659">
        <f t="shared" si="1113"/>
        <v>646.71</v>
      </c>
      <c r="O1286" s="659">
        <f t="shared" si="1113"/>
        <v>646.71</v>
      </c>
      <c r="P1286" s="659">
        <f t="shared" si="1113"/>
        <v>646.71</v>
      </c>
      <c r="Q1286" s="659">
        <f t="shared" si="1113"/>
        <v>646.71</v>
      </c>
      <c r="R1286" s="659">
        <f t="shared" si="1113"/>
        <v>646.71</v>
      </c>
      <c r="S1286" s="659">
        <f t="shared" si="1113"/>
        <v>646.71</v>
      </c>
      <c r="T1286" s="659">
        <f t="shared" si="1113"/>
        <v>646.71</v>
      </c>
      <c r="U1286" s="659">
        <f t="shared" si="1113"/>
        <v>646.71</v>
      </c>
      <c r="V1286" s="659">
        <f t="shared" si="1113"/>
        <v>646.71</v>
      </c>
      <c r="W1286" s="659">
        <f t="shared" si="1113"/>
        <v>646.71</v>
      </c>
      <c r="X1286" s="659">
        <f t="shared" si="1113"/>
        <v>646.71</v>
      </c>
      <c r="Y1286" s="659">
        <f t="shared" si="1113"/>
        <v>646.71</v>
      </c>
      <c r="Z1286" s="659">
        <f t="shared" si="1113"/>
        <v>646.71</v>
      </c>
      <c r="AA1286" s="659">
        <f t="shared" si="1113"/>
        <v>646.71</v>
      </c>
      <c r="AB1286" s="659">
        <f t="shared" si="1113"/>
        <v>646.71</v>
      </c>
      <c r="AC1286" s="659">
        <f t="shared" si="1113"/>
        <v>646.71</v>
      </c>
      <c r="AD1286" s="659">
        <f t="shared" si="1113"/>
        <v>646.71</v>
      </c>
      <c r="AE1286" s="659">
        <f t="shared" si="1113"/>
        <v>646.71</v>
      </c>
      <c r="AF1286" s="659">
        <f t="shared" si="1113"/>
        <v>646.71</v>
      </c>
      <c r="AG1286" s="614"/>
      <c r="AH1286" s="538"/>
      <c r="AK1286" s="531"/>
      <c r="AM1286" s="594"/>
      <c r="AN1286" s="535"/>
      <c r="AP1286" s="540"/>
      <c r="AQ1286" s="540"/>
    </row>
    <row r="1287" spans="1:43" s="546" customFormat="1" ht="16.5" hidden="1" customHeight="1" outlineLevel="2">
      <c r="A1287" s="584"/>
      <c r="B1287" s="580" t="s">
        <v>931</v>
      </c>
      <c r="C1287" s="570">
        <f>C1288*(C1289+C1290+C1291+C1292)</f>
        <v>0</v>
      </c>
      <c r="D1287" s="570">
        <f t="shared" ref="D1287:AF1287" si="1114">D1288*(D1289+D1290+D1291+D1292)</f>
        <v>0</v>
      </c>
      <c r="E1287" s="570">
        <f>E1288*(E1289+E1290+E1291+E1292)</f>
        <v>646.71</v>
      </c>
      <c r="F1287" s="570">
        <f t="shared" si="1114"/>
        <v>646.71</v>
      </c>
      <c r="G1287" s="570">
        <f t="shared" si="1114"/>
        <v>646.71</v>
      </c>
      <c r="H1287" s="570">
        <f t="shared" si="1114"/>
        <v>646.71</v>
      </c>
      <c r="I1287" s="570">
        <f t="shared" si="1114"/>
        <v>646.71</v>
      </c>
      <c r="J1287" s="570">
        <f t="shared" si="1114"/>
        <v>646.71</v>
      </c>
      <c r="K1287" s="570">
        <f t="shared" si="1114"/>
        <v>646.71</v>
      </c>
      <c r="L1287" s="570">
        <f t="shared" si="1114"/>
        <v>646.71</v>
      </c>
      <c r="M1287" s="570">
        <f t="shared" si="1114"/>
        <v>646.71</v>
      </c>
      <c r="N1287" s="570">
        <f t="shared" si="1114"/>
        <v>646.71</v>
      </c>
      <c r="O1287" s="570">
        <f t="shared" si="1114"/>
        <v>646.71</v>
      </c>
      <c r="P1287" s="570">
        <f t="shared" si="1114"/>
        <v>646.71</v>
      </c>
      <c r="Q1287" s="570">
        <f t="shared" si="1114"/>
        <v>646.71</v>
      </c>
      <c r="R1287" s="570">
        <f t="shared" si="1114"/>
        <v>646.71</v>
      </c>
      <c r="S1287" s="570">
        <f t="shared" si="1114"/>
        <v>646.71</v>
      </c>
      <c r="T1287" s="570">
        <f t="shared" si="1114"/>
        <v>646.71</v>
      </c>
      <c r="U1287" s="570">
        <f t="shared" si="1114"/>
        <v>646.71</v>
      </c>
      <c r="V1287" s="570">
        <f t="shared" si="1114"/>
        <v>646.71</v>
      </c>
      <c r="W1287" s="570">
        <f t="shared" si="1114"/>
        <v>646.71</v>
      </c>
      <c r="X1287" s="570">
        <f t="shared" si="1114"/>
        <v>646.71</v>
      </c>
      <c r="Y1287" s="570">
        <f t="shared" si="1114"/>
        <v>646.71</v>
      </c>
      <c r="Z1287" s="570">
        <f t="shared" si="1114"/>
        <v>646.71</v>
      </c>
      <c r="AA1287" s="570">
        <f t="shared" si="1114"/>
        <v>646.71</v>
      </c>
      <c r="AB1287" s="570">
        <f t="shared" si="1114"/>
        <v>646.71</v>
      </c>
      <c r="AC1287" s="570">
        <f t="shared" si="1114"/>
        <v>646.71</v>
      </c>
      <c r="AD1287" s="570">
        <f t="shared" si="1114"/>
        <v>646.71</v>
      </c>
      <c r="AE1287" s="570">
        <f t="shared" si="1114"/>
        <v>646.71</v>
      </c>
      <c r="AF1287" s="570">
        <f t="shared" si="1114"/>
        <v>646.71</v>
      </c>
      <c r="AH1287" s="571"/>
      <c r="AK1287" s="531"/>
      <c r="AM1287" s="594"/>
      <c r="AN1287" s="535"/>
      <c r="AP1287" s="549"/>
      <c r="AQ1287" s="549"/>
    </row>
    <row r="1288" spans="1:43" s="586" customFormat="1" ht="16.5" hidden="1" customHeight="1" outlineLevel="2">
      <c r="A1288" s="584"/>
      <c r="B1288" s="585" t="s">
        <v>805</v>
      </c>
      <c r="C1288" s="716">
        <f>C1218</f>
        <v>0</v>
      </c>
      <c r="D1288" s="716">
        <f t="shared" ref="D1288:AF1288" si="1115">D1218</f>
        <v>0</v>
      </c>
      <c r="E1288" s="716">
        <f t="shared" si="1115"/>
        <v>1</v>
      </c>
      <c r="F1288" s="716">
        <f t="shared" si="1115"/>
        <v>1</v>
      </c>
      <c r="G1288" s="716">
        <f t="shared" si="1115"/>
        <v>1</v>
      </c>
      <c r="H1288" s="716">
        <f t="shared" si="1115"/>
        <v>1</v>
      </c>
      <c r="I1288" s="716">
        <f t="shared" si="1115"/>
        <v>1</v>
      </c>
      <c r="J1288" s="716">
        <f t="shared" si="1115"/>
        <v>1</v>
      </c>
      <c r="K1288" s="716">
        <f t="shared" si="1115"/>
        <v>1</v>
      </c>
      <c r="L1288" s="716">
        <f t="shared" si="1115"/>
        <v>1</v>
      </c>
      <c r="M1288" s="716">
        <f t="shared" si="1115"/>
        <v>1</v>
      </c>
      <c r="N1288" s="716">
        <f t="shared" si="1115"/>
        <v>1</v>
      </c>
      <c r="O1288" s="716">
        <f t="shared" si="1115"/>
        <v>1</v>
      </c>
      <c r="P1288" s="716">
        <f t="shared" si="1115"/>
        <v>1</v>
      </c>
      <c r="Q1288" s="716">
        <f t="shared" si="1115"/>
        <v>1</v>
      </c>
      <c r="R1288" s="716">
        <f t="shared" si="1115"/>
        <v>1</v>
      </c>
      <c r="S1288" s="716">
        <f t="shared" si="1115"/>
        <v>1</v>
      </c>
      <c r="T1288" s="716">
        <f t="shared" si="1115"/>
        <v>1</v>
      </c>
      <c r="U1288" s="716">
        <f t="shared" si="1115"/>
        <v>1</v>
      </c>
      <c r="V1288" s="716">
        <f t="shared" si="1115"/>
        <v>1</v>
      </c>
      <c r="W1288" s="716">
        <f t="shared" si="1115"/>
        <v>1</v>
      </c>
      <c r="X1288" s="716">
        <f t="shared" si="1115"/>
        <v>1</v>
      </c>
      <c r="Y1288" s="716">
        <f t="shared" si="1115"/>
        <v>1</v>
      </c>
      <c r="Z1288" s="716">
        <f t="shared" si="1115"/>
        <v>1</v>
      </c>
      <c r="AA1288" s="716">
        <f t="shared" si="1115"/>
        <v>1</v>
      </c>
      <c r="AB1288" s="716">
        <f t="shared" si="1115"/>
        <v>1</v>
      </c>
      <c r="AC1288" s="716">
        <f t="shared" si="1115"/>
        <v>1</v>
      </c>
      <c r="AD1288" s="716">
        <f t="shared" si="1115"/>
        <v>1</v>
      </c>
      <c r="AE1288" s="716">
        <f t="shared" si="1115"/>
        <v>1</v>
      </c>
      <c r="AF1288" s="716">
        <f t="shared" si="1115"/>
        <v>1</v>
      </c>
      <c r="AH1288" s="587"/>
      <c r="AK1288" s="588"/>
      <c r="AM1288" s="624"/>
      <c r="AN1288" s="590"/>
      <c r="AP1288" s="591"/>
      <c r="AQ1288" s="591"/>
    </row>
    <row r="1289" spans="1:43" s="513" customFormat="1" ht="16.5" hidden="1" customHeight="1" outlineLevel="2">
      <c r="A1289" s="584"/>
      <c r="B1289" s="572" t="s">
        <v>940</v>
      </c>
      <c r="C1289" s="592">
        <f>'Sal._benef.'!$I$19</f>
        <v>500</v>
      </c>
      <c r="D1289" s="592">
        <f>C1289</f>
        <v>500</v>
      </c>
      <c r="E1289" s="592">
        <f t="shared" ref="E1289:T1292" si="1116">D1289</f>
        <v>500</v>
      </c>
      <c r="F1289" s="592">
        <f t="shared" si="1116"/>
        <v>500</v>
      </c>
      <c r="G1289" s="592">
        <f t="shared" si="1116"/>
        <v>500</v>
      </c>
      <c r="H1289" s="592">
        <f t="shared" si="1116"/>
        <v>500</v>
      </c>
      <c r="I1289" s="592">
        <f t="shared" si="1116"/>
        <v>500</v>
      </c>
      <c r="J1289" s="592">
        <f t="shared" si="1116"/>
        <v>500</v>
      </c>
      <c r="K1289" s="592">
        <f t="shared" si="1116"/>
        <v>500</v>
      </c>
      <c r="L1289" s="592">
        <f t="shared" si="1116"/>
        <v>500</v>
      </c>
      <c r="M1289" s="592">
        <f t="shared" si="1116"/>
        <v>500</v>
      </c>
      <c r="N1289" s="592">
        <f t="shared" si="1116"/>
        <v>500</v>
      </c>
      <c r="O1289" s="592">
        <f t="shared" si="1116"/>
        <v>500</v>
      </c>
      <c r="P1289" s="592">
        <f t="shared" si="1116"/>
        <v>500</v>
      </c>
      <c r="Q1289" s="592">
        <f t="shared" si="1116"/>
        <v>500</v>
      </c>
      <c r="R1289" s="592">
        <f t="shared" si="1116"/>
        <v>500</v>
      </c>
      <c r="S1289" s="592">
        <f t="shared" si="1116"/>
        <v>500</v>
      </c>
      <c r="T1289" s="592">
        <f t="shared" si="1116"/>
        <v>500</v>
      </c>
      <c r="U1289" s="592">
        <f t="shared" ref="U1289:AF1292" si="1117">T1289</f>
        <v>500</v>
      </c>
      <c r="V1289" s="592">
        <f t="shared" si="1117"/>
        <v>500</v>
      </c>
      <c r="W1289" s="592">
        <f t="shared" si="1117"/>
        <v>500</v>
      </c>
      <c r="X1289" s="592">
        <f t="shared" si="1117"/>
        <v>500</v>
      </c>
      <c r="Y1289" s="592">
        <f t="shared" si="1117"/>
        <v>500</v>
      </c>
      <c r="Z1289" s="592">
        <f t="shared" si="1117"/>
        <v>500</v>
      </c>
      <c r="AA1289" s="592">
        <f t="shared" si="1117"/>
        <v>500</v>
      </c>
      <c r="AB1289" s="592">
        <f t="shared" si="1117"/>
        <v>500</v>
      </c>
      <c r="AC1289" s="592">
        <f t="shared" si="1117"/>
        <v>500</v>
      </c>
      <c r="AD1289" s="592">
        <f t="shared" si="1117"/>
        <v>500</v>
      </c>
      <c r="AE1289" s="592">
        <f t="shared" si="1117"/>
        <v>500</v>
      </c>
      <c r="AF1289" s="592">
        <f t="shared" si="1117"/>
        <v>500</v>
      </c>
      <c r="AH1289" s="538"/>
      <c r="AK1289" s="531"/>
      <c r="AM1289" s="594"/>
      <c r="AN1289" s="535"/>
      <c r="AP1289" s="540"/>
      <c r="AQ1289" s="540"/>
    </row>
    <row r="1290" spans="1:43" s="513" customFormat="1" ht="16.5" hidden="1" customHeight="1" outlineLevel="2">
      <c r="A1290" s="584"/>
      <c r="B1290" s="572" t="s">
        <v>941</v>
      </c>
      <c r="C1290" s="592">
        <f>'Sal._benef.'!$K$19</f>
        <v>5.53</v>
      </c>
      <c r="D1290" s="592">
        <f>C1290</f>
        <v>5.53</v>
      </c>
      <c r="E1290" s="592">
        <f t="shared" si="1116"/>
        <v>5.53</v>
      </c>
      <c r="F1290" s="592">
        <f t="shared" si="1116"/>
        <v>5.53</v>
      </c>
      <c r="G1290" s="592">
        <f t="shared" si="1116"/>
        <v>5.53</v>
      </c>
      <c r="H1290" s="592">
        <f t="shared" si="1116"/>
        <v>5.53</v>
      </c>
      <c r="I1290" s="592">
        <f t="shared" si="1116"/>
        <v>5.53</v>
      </c>
      <c r="J1290" s="592">
        <f t="shared" si="1116"/>
        <v>5.53</v>
      </c>
      <c r="K1290" s="592">
        <f t="shared" si="1116"/>
        <v>5.53</v>
      </c>
      <c r="L1290" s="592">
        <f t="shared" si="1116"/>
        <v>5.53</v>
      </c>
      <c r="M1290" s="592">
        <f t="shared" si="1116"/>
        <v>5.53</v>
      </c>
      <c r="N1290" s="592">
        <f t="shared" si="1116"/>
        <v>5.53</v>
      </c>
      <c r="O1290" s="592">
        <f t="shared" si="1116"/>
        <v>5.53</v>
      </c>
      <c r="P1290" s="592">
        <f t="shared" si="1116"/>
        <v>5.53</v>
      </c>
      <c r="Q1290" s="592">
        <f t="shared" si="1116"/>
        <v>5.53</v>
      </c>
      <c r="R1290" s="592">
        <f t="shared" si="1116"/>
        <v>5.53</v>
      </c>
      <c r="S1290" s="592">
        <f t="shared" si="1116"/>
        <v>5.53</v>
      </c>
      <c r="T1290" s="592">
        <f t="shared" si="1116"/>
        <v>5.53</v>
      </c>
      <c r="U1290" s="592">
        <f t="shared" si="1117"/>
        <v>5.53</v>
      </c>
      <c r="V1290" s="592">
        <f t="shared" si="1117"/>
        <v>5.53</v>
      </c>
      <c r="W1290" s="592">
        <f t="shared" si="1117"/>
        <v>5.53</v>
      </c>
      <c r="X1290" s="592">
        <f t="shared" si="1117"/>
        <v>5.53</v>
      </c>
      <c r="Y1290" s="592">
        <f t="shared" si="1117"/>
        <v>5.53</v>
      </c>
      <c r="Z1290" s="592">
        <f t="shared" si="1117"/>
        <v>5.53</v>
      </c>
      <c r="AA1290" s="592">
        <f t="shared" si="1117"/>
        <v>5.53</v>
      </c>
      <c r="AB1290" s="592">
        <f t="shared" si="1117"/>
        <v>5.53</v>
      </c>
      <c r="AC1290" s="592">
        <f t="shared" si="1117"/>
        <v>5.53</v>
      </c>
      <c r="AD1290" s="592">
        <f t="shared" si="1117"/>
        <v>5.53</v>
      </c>
      <c r="AE1290" s="592">
        <f t="shared" si="1117"/>
        <v>5.53</v>
      </c>
      <c r="AF1290" s="592">
        <f t="shared" si="1117"/>
        <v>5.53</v>
      </c>
      <c r="AH1290" s="538"/>
      <c r="AK1290" s="531"/>
      <c r="AM1290" s="594"/>
      <c r="AN1290" s="535"/>
      <c r="AP1290" s="540"/>
      <c r="AQ1290" s="540"/>
    </row>
    <row r="1291" spans="1:43" s="513" customFormat="1" ht="16.5" hidden="1" customHeight="1" outlineLevel="2">
      <c r="A1291" s="584"/>
      <c r="B1291" s="572" t="s">
        <v>942</v>
      </c>
      <c r="C1291" s="592">
        <f>'Sal._benef.'!$J$19</f>
        <v>141.18</v>
      </c>
      <c r="D1291" s="592">
        <f>C1291</f>
        <v>141.18</v>
      </c>
      <c r="E1291" s="592">
        <f t="shared" si="1116"/>
        <v>141.18</v>
      </c>
      <c r="F1291" s="592">
        <f t="shared" si="1116"/>
        <v>141.18</v>
      </c>
      <c r="G1291" s="592">
        <f t="shared" si="1116"/>
        <v>141.18</v>
      </c>
      <c r="H1291" s="592">
        <f t="shared" si="1116"/>
        <v>141.18</v>
      </c>
      <c r="I1291" s="592">
        <f t="shared" si="1116"/>
        <v>141.18</v>
      </c>
      <c r="J1291" s="592">
        <f t="shared" si="1116"/>
        <v>141.18</v>
      </c>
      <c r="K1291" s="592">
        <f t="shared" si="1116"/>
        <v>141.18</v>
      </c>
      <c r="L1291" s="592">
        <f t="shared" si="1116"/>
        <v>141.18</v>
      </c>
      <c r="M1291" s="592">
        <f t="shared" si="1116"/>
        <v>141.18</v>
      </c>
      <c r="N1291" s="592">
        <f t="shared" si="1116"/>
        <v>141.18</v>
      </c>
      <c r="O1291" s="592">
        <f t="shared" si="1116"/>
        <v>141.18</v>
      </c>
      <c r="P1291" s="592">
        <f t="shared" si="1116"/>
        <v>141.18</v>
      </c>
      <c r="Q1291" s="592">
        <f t="shared" si="1116"/>
        <v>141.18</v>
      </c>
      <c r="R1291" s="592">
        <f t="shared" si="1116"/>
        <v>141.18</v>
      </c>
      <c r="S1291" s="592">
        <f t="shared" si="1116"/>
        <v>141.18</v>
      </c>
      <c r="T1291" s="592">
        <f t="shared" si="1116"/>
        <v>141.18</v>
      </c>
      <c r="U1291" s="592">
        <f t="shared" si="1117"/>
        <v>141.18</v>
      </c>
      <c r="V1291" s="592">
        <f t="shared" si="1117"/>
        <v>141.18</v>
      </c>
      <c r="W1291" s="592">
        <f t="shared" si="1117"/>
        <v>141.18</v>
      </c>
      <c r="X1291" s="592">
        <f t="shared" si="1117"/>
        <v>141.18</v>
      </c>
      <c r="Y1291" s="592">
        <f t="shared" si="1117"/>
        <v>141.18</v>
      </c>
      <c r="Z1291" s="592">
        <f t="shared" si="1117"/>
        <v>141.18</v>
      </c>
      <c r="AA1291" s="592">
        <f t="shared" si="1117"/>
        <v>141.18</v>
      </c>
      <c r="AB1291" s="592">
        <f t="shared" si="1117"/>
        <v>141.18</v>
      </c>
      <c r="AC1291" s="592">
        <f t="shared" si="1117"/>
        <v>141.18</v>
      </c>
      <c r="AD1291" s="592">
        <f t="shared" si="1117"/>
        <v>141.18</v>
      </c>
      <c r="AE1291" s="592">
        <f t="shared" si="1117"/>
        <v>141.18</v>
      </c>
      <c r="AF1291" s="592">
        <f t="shared" si="1117"/>
        <v>141.18</v>
      </c>
      <c r="AH1291" s="538"/>
      <c r="AK1291" s="531"/>
      <c r="AM1291" s="594"/>
      <c r="AN1291" s="535"/>
      <c r="AP1291" s="540"/>
      <c r="AQ1291" s="540"/>
    </row>
    <row r="1292" spans="1:43" s="513" customFormat="1" ht="16.5" hidden="1" customHeight="1" outlineLevel="2">
      <c r="A1292" s="584"/>
      <c r="B1292" s="572" t="s">
        <v>862</v>
      </c>
      <c r="C1292" s="592">
        <v>0</v>
      </c>
      <c r="D1292" s="592">
        <f t="shared" ref="D1292" si="1118">C1292</f>
        <v>0</v>
      </c>
      <c r="E1292" s="592">
        <f t="shared" si="1116"/>
        <v>0</v>
      </c>
      <c r="F1292" s="592">
        <f t="shared" si="1116"/>
        <v>0</v>
      </c>
      <c r="G1292" s="592">
        <f t="shared" si="1116"/>
        <v>0</v>
      </c>
      <c r="H1292" s="592">
        <f t="shared" si="1116"/>
        <v>0</v>
      </c>
      <c r="I1292" s="592">
        <f t="shared" si="1116"/>
        <v>0</v>
      </c>
      <c r="J1292" s="592">
        <f t="shared" si="1116"/>
        <v>0</v>
      </c>
      <c r="K1292" s="592">
        <f t="shared" si="1116"/>
        <v>0</v>
      </c>
      <c r="L1292" s="592">
        <f t="shared" si="1116"/>
        <v>0</v>
      </c>
      <c r="M1292" s="592">
        <f t="shared" si="1116"/>
        <v>0</v>
      </c>
      <c r="N1292" s="592">
        <f t="shared" si="1116"/>
        <v>0</v>
      </c>
      <c r="O1292" s="592">
        <f t="shared" si="1116"/>
        <v>0</v>
      </c>
      <c r="P1292" s="592">
        <f t="shared" si="1116"/>
        <v>0</v>
      </c>
      <c r="Q1292" s="592">
        <f t="shared" si="1116"/>
        <v>0</v>
      </c>
      <c r="R1292" s="592">
        <f t="shared" si="1116"/>
        <v>0</v>
      </c>
      <c r="S1292" s="592">
        <f t="shared" si="1116"/>
        <v>0</v>
      </c>
      <c r="T1292" s="592">
        <f t="shared" si="1116"/>
        <v>0</v>
      </c>
      <c r="U1292" s="592">
        <f t="shared" si="1117"/>
        <v>0</v>
      </c>
      <c r="V1292" s="592">
        <f t="shared" si="1117"/>
        <v>0</v>
      </c>
      <c r="W1292" s="592">
        <f t="shared" si="1117"/>
        <v>0</v>
      </c>
      <c r="X1292" s="592">
        <f t="shared" si="1117"/>
        <v>0</v>
      </c>
      <c r="Y1292" s="592">
        <f t="shared" si="1117"/>
        <v>0</v>
      </c>
      <c r="Z1292" s="592">
        <f t="shared" si="1117"/>
        <v>0</v>
      </c>
      <c r="AA1292" s="592">
        <f t="shared" si="1117"/>
        <v>0</v>
      </c>
      <c r="AB1292" s="592">
        <f t="shared" si="1117"/>
        <v>0</v>
      </c>
      <c r="AC1292" s="592">
        <f t="shared" si="1117"/>
        <v>0</v>
      </c>
      <c r="AD1292" s="592">
        <f t="shared" si="1117"/>
        <v>0</v>
      </c>
      <c r="AE1292" s="592">
        <f t="shared" si="1117"/>
        <v>0</v>
      </c>
      <c r="AF1292" s="592">
        <f t="shared" si="1117"/>
        <v>0</v>
      </c>
      <c r="AH1292" s="538"/>
      <c r="AK1292" s="531"/>
      <c r="AM1292" s="594"/>
      <c r="AN1292" s="535"/>
      <c r="AP1292" s="540"/>
      <c r="AQ1292" s="540"/>
    </row>
    <row r="1293" spans="1:43" s="513" customFormat="1" ht="16.5" hidden="1" customHeight="1" outlineLevel="2">
      <c r="A1293" s="584"/>
      <c r="B1293" s="650" t="s">
        <v>1023</v>
      </c>
      <c r="C1293" s="659">
        <f>C1294</f>
        <v>0</v>
      </c>
      <c r="D1293" s="659">
        <f>D1294</f>
        <v>646.71</v>
      </c>
      <c r="E1293" s="659">
        <f t="shared" ref="E1293:AF1293" si="1119">E1294</f>
        <v>646.71</v>
      </c>
      <c r="F1293" s="659">
        <f t="shared" si="1119"/>
        <v>646.71</v>
      </c>
      <c r="G1293" s="659">
        <f t="shared" si="1119"/>
        <v>646.71</v>
      </c>
      <c r="H1293" s="659">
        <f t="shared" si="1119"/>
        <v>646.71</v>
      </c>
      <c r="I1293" s="659">
        <f t="shared" si="1119"/>
        <v>646.71</v>
      </c>
      <c r="J1293" s="659">
        <f t="shared" si="1119"/>
        <v>646.71</v>
      </c>
      <c r="K1293" s="659">
        <f t="shared" si="1119"/>
        <v>646.71</v>
      </c>
      <c r="L1293" s="659">
        <f t="shared" si="1119"/>
        <v>646.71</v>
      </c>
      <c r="M1293" s="659">
        <f t="shared" si="1119"/>
        <v>646.71</v>
      </c>
      <c r="N1293" s="659">
        <f t="shared" si="1119"/>
        <v>646.71</v>
      </c>
      <c r="O1293" s="659">
        <f t="shared" si="1119"/>
        <v>646.71</v>
      </c>
      <c r="P1293" s="659">
        <f t="shared" si="1119"/>
        <v>646.71</v>
      </c>
      <c r="Q1293" s="659">
        <f t="shared" si="1119"/>
        <v>646.71</v>
      </c>
      <c r="R1293" s="659">
        <f t="shared" si="1119"/>
        <v>646.71</v>
      </c>
      <c r="S1293" s="659">
        <f t="shared" si="1119"/>
        <v>646.71</v>
      </c>
      <c r="T1293" s="659">
        <f t="shared" si="1119"/>
        <v>646.71</v>
      </c>
      <c r="U1293" s="659">
        <f t="shared" si="1119"/>
        <v>646.71</v>
      </c>
      <c r="V1293" s="659">
        <f t="shared" si="1119"/>
        <v>646.71</v>
      </c>
      <c r="W1293" s="659">
        <f t="shared" si="1119"/>
        <v>646.71</v>
      </c>
      <c r="X1293" s="659">
        <f t="shared" si="1119"/>
        <v>646.71</v>
      </c>
      <c r="Y1293" s="659">
        <f t="shared" si="1119"/>
        <v>646.71</v>
      </c>
      <c r="Z1293" s="659">
        <f t="shared" si="1119"/>
        <v>646.71</v>
      </c>
      <c r="AA1293" s="659">
        <f t="shared" si="1119"/>
        <v>646.71</v>
      </c>
      <c r="AB1293" s="659">
        <f t="shared" si="1119"/>
        <v>646.71</v>
      </c>
      <c r="AC1293" s="659">
        <f t="shared" si="1119"/>
        <v>646.71</v>
      </c>
      <c r="AD1293" s="659">
        <f t="shared" si="1119"/>
        <v>646.71</v>
      </c>
      <c r="AE1293" s="659">
        <f t="shared" si="1119"/>
        <v>646.71</v>
      </c>
      <c r="AF1293" s="659">
        <f t="shared" si="1119"/>
        <v>646.71</v>
      </c>
      <c r="AG1293" s="614"/>
      <c r="AH1293" s="538"/>
      <c r="AK1293" s="531"/>
      <c r="AM1293" s="594"/>
      <c r="AN1293" s="535"/>
      <c r="AP1293" s="540"/>
      <c r="AQ1293" s="540"/>
    </row>
    <row r="1294" spans="1:43" s="546" customFormat="1" ht="16.5" hidden="1" customHeight="1" outlineLevel="2">
      <c r="A1294" s="584"/>
      <c r="B1294" s="580" t="s">
        <v>931</v>
      </c>
      <c r="C1294" s="570">
        <f>C1295*(C1296+C1297+C1298+C1299)</f>
        <v>0</v>
      </c>
      <c r="D1294" s="570">
        <f>D1295*(D1296+D1297+D1298+D1299)</f>
        <v>646.71</v>
      </c>
      <c r="E1294" s="570">
        <f t="shared" ref="E1294:AF1294" si="1120">E1295*(E1296+E1297+E1298+E1299)</f>
        <v>646.71</v>
      </c>
      <c r="F1294" s="570">
        <f t="shared" si="1120"/>
        <v>646.71</v>
      </c>
      <c r="G1294" s="570">
        <f t="shared" si="1120"/>
        <v>646.71</v>
      </c>
      <c r="H1294" s="570">
        <f t="shared" si="1120"/>
        <v>646.71</v>
      </c>
      <c r="I1294" s="570">
        <f t="shared" si="1120"/>
        <v>646.71</v>
      </c>
      <c r="J1294" s="570">
        <f t="shared" si="1120"/>
        <v>646.71</v>
      </c>
      <c r="K1294" s="570">
        <f t="shared" si="1120"/>
        <v>646.71</v>
      </c>
      <c r="L1294" s="570">
        <f t="shared" si="1120"/>
        <v>646.71</v>
      </c>
      <c r="M1294" s="570">
        <f t="shared" si="1120"/>
        <v>646.71</v>
      </c>
      <c r="N1294" s="570">
        <f t="shared" si="1120"/>
        <v>646.71</v>
      </c>
      <c r="O1294" s="570">
        <f t="shared" si="1120"/>
        <v>646.71</v>
      </c>
      <c r="P1294" s="570">
        <f t="shared" si="1120"/>
        <v>646.71</v>
      </c>
      <c r="Q1294" s="570">
        <f t="shared" si="1120"/>
        <v>646.71</v>
      </c>
      <c r="R1294" s="570">
        <f t="shared" si="1120"/>
        <v>646.71</v>
      </c>
      <c r="S1294" s="570">
        <f t="shared" si="1120"/>
        <v>646.71</v>
      </c>
      <c r="T1294" s="570">
        <f t="shared" si="1120"/>
        <v>646.71</v>
      </c>
      <c r="U1294" s="570">
        <f t="shared" si="1120"/>
        <v>646.71</v>
      </c>
      <c r="V1294" s="570">
        <f t="shared" si="1120"/>
        <v>646.71</v>
      </c>
      <c r="W1294" s="570">
        <f t="shared" si="1120"/>
        <v>646.71</v>
      </c>
      <c r="X1294" s="570">
        <f t="shared" si="1120"/>
        <v>646.71</v>
      </c>
      <c r="Y1294" s="570">
        <f t="shared" si="1120"/>
        <v>646.71</v>
      </c>
      <c r="Z1294" s="570">
        <f t="shared" si="1120"/>
        <v>646.71</v>
      </c>
      <c r="AA1294" s="570">
        <f t="shared" si="1120"/>
        <v>646.71</v>
      </c>
      <c r="AB1294" s="570">
        <f t="shared" si="1120"/>
        <v>646.71</v>
      </c>
      <c r="AC1294" s="570">
        <f t="shared" si="1120"/>
        <v>646.71</v>
      </c>
      <c r="AD1294" s="570">
        <f t="shared" si="1120"/>
        <v>646.71</v>
      </c>
      <c r="AE1294" s="570">
        <f t="shared" si="1120"/>
        <v>646.71</v>
      </c>
      <c r="AF1294" s="570">
        <f t="shared" si="1120"/>
        <v>646.71</v>
      </c>
      <c r="AH1294" s="571"/>
      <c r="AK1294" s="531"/>
      <c r="AM1294" s="594"/>
      <c r="AN1294" s="535"/>
      <c r="AP1294" s="549"/>
      <c r="AQ1294" s="549"/>
    </row>
    <row r="1295" spans="1:43" s="586" customFormat="1" ht="16.5" hidden="1" customHeight="1" outlineLevel="2">
      <c r="A1295" s="584"/>
      <c r="B1295" s="585" t="s">
        <v>805</v>
      </c>
      <c r="C1295" s="716">
        <f>C1226</f>
        <v>0</v>
      </c>
      <c r="D1295" s="716">
        <f t="shared" ref="D1295:AF1295" si="1121">D1226</f>
        <v>1</v>
      </c>
      <c r="E1295" s="716">
        <f t="shared" si="1121"/>
        <v>1</v>
      </c>
      <c r="F1295" s="716">
        <f t="shared" si="1121"/>
        <v>1</v>
      </c>
      <c r="G1295" s="716">
        <f t="shared" si="1121"/>
        <v>1</v>
      </c>
      <c r="H1295" s="716">
        <f t="shared" si="1121"/>
        <v>1</v>
      </c>
      <c r="I1295" s="716">
        <f t="shared" si="1121"/>
        <v>1</v>
      </c>
      <c r="J1295" s="716">
        <f t="shared" si="1121"/>
        <v>1</v>
      </c>
      <c r="K1295" s="716">
        <f t="shared" si="1121"/>
        <v>1</v>
      </c>
      <c r="L1295" s="716">
        <f t="shared" si="1121"/>
        <v>1</v>
      </c>
      <c r="M1295" s="716">
        <f t="shared" si="1121"/>
        <v>1</v>
      </c>
      <c r="N1295" s="716">
        <f t="shared" si="1121"/>
        <v>1</v>
      </c>
      <c r="O1295" s="716">
        <f t="shared" si="1121"/>
        <v>1</v>
      </c>
      <c r="P1295" s="716">
        <f t="shared" si="1121"/>
        <v>1</v>
      </c>
      <c r="Q1295" s="716">
        <f t="shared" si="1121"/>
        <v>1</v>
      </c>
      <c r="R1295" s="716">
        <f t="shared" si="1121"/>
        <v>1</v>
      </c>
      <c r="S1295" s="716">
        <f t="shared" si="1121"/>
        <v>1</v>
      </c>
      <c r="T1295" s="716">
        <f t="shared" si="1121"/>
        <v>1</v>
      </c>
      <c r="U1295" s="716">
        <f t="shared" si="1121"/>
        <v>1</v>
      </c>
      <c r="V1295" s="716">
        <f t="shared" si="1121"/>
        <v>1</v>
      </c>
      <c r="W1295" s="716">
        <f t="shared" si="1121"/>
        <v>1</v>
      </c>
      <c r="X1295" s="716">
        <f t="shared" si="1121"/>
        <v>1</v>
      </c>
      <c r="Y1295" s="716">
        <f t="shared" si="1121"/>
        <v>1</v>
      </c>
      <c r="Z1295" s="716">
        <f t="shared" si="1121"/>
        <v>1</v>
      </c>
      <c r="AA1295" s="716">
        <f t="shared" si="1121"/>
        <v>1</v>
      </c>
      <c r="AB1295" s="716">
        <f t="shared" si="1121"/>
        <v>1</v>
      </c>
      <c r="AC1295" s="716">
        <f t="shared" si="1121"/>
        <v>1</v>
      </c>
      <c r="AD1295" s="716">
        <f t="shared" si="1121"/>
        <v>1</v>
      </c>
      <c r="AE1295" s="716">
        <f t="shared" si="1121"/>
        <v>1</v>
      </c>
      <c r="AF1295" s="716">
        <f t="shared" si="1121"/>
        <v>1</v>
      </c>
      <c r="AH1295" s="587"/>
      <c r="AK1295" s="588"/>
      <c r="AM1295" s="624"/>
      <c r="AN1295" s="590"/>
      <c r="AP1295" s="591"/>
      <c r="AQ1295" s="591"/>
    </row>
    <row r="1296" spans="1:43" s="513" customFormat="1" ht="16.5" hidden="1" customHeight="1" outlineLevel="2">
      <c r="A1296" s="584"/>
      <c r="B1296" s="572" t="s">
        <v>940</v>
      </c>
      <c r="C1296" s="592">
        <f>'Sal._benef.'!$I$19</f>
        <v>500</v>
      </c>
      <c r="D1296" s="592">
        <f>C1296</f>
        <v>500</v>
      </c>
      <c r="E1296" s="592">
        <f t="shared" ref="E1296:T1299" si="1122">D1296</f>
        <v>500</v>
      </c>
      <c r="F1296" s="592">
        <f t="shared" si="1122"/>
        <v>500</v>
      </c>
      <c r="G1296" s="592">
        <f t="shared" si="1122"/>
        <v>500</v>
      </c>
      <c r="H1296" s="592">
        <f t="shared" si="1122"/>
        <v>500</v>
      </c>
      <c r="I1296" s="592">
        <f t="shared" si="1122"/>
        <v>500</v>
      </c>
      <c r="J1296" s="592">
        <f t="shared" si="1122"/>
        <v>500</v>
      </c>
      <c r="K1296" s="592">
        <f t="shared" si="1122"/>
        <v>500</v>
      </c>
      <c r="L1296" s="592">
        <f t="shared" si="1122"/>
        <v>500</v>
      </c>
      <c r="M1296" s="592">
        <f t="shared" si="1122"/>
        <v>500</v>
      </c>
      <c r="N1296" s="592">
        <f t="shared" si="1122"/>
        <v>500</v>
      </c>
      <c r="O1296" s="592">
        <f t="shared" si="1122"/>
        <v>500</v>
      </c>
      <c r="P1296" s="592">
        <f t="shared" si="1122"/>
        <v>500</v>
      </c>
      <c r="Q1296" s="592">
        <f t="shared" si="1122"/>
        <v>500</v>
      </c>
      <c r="R1296" s="592">
        <f t="shared" si="1122"/>
        <v>500</v>
      </c>
      <c r="S1296" s="592">
        <f t="shared" si="1122"/>
        <v>500</v>
      </c>
      <c r="T1296" s="592">
        <f t="shared" si="1122"/>
        <v>500</v>
      </c>
      <c r="U1296" s="592">
        <f t="shared" ref="U1296:AF1299" si="1123">T1296</f>
        <v>500</v>
      </c>
      <c r="V1296" s="592">
        <f t="shared" si="1123"/>
        <v>500</v>
      </c>
      <c r="W1296" s="592">
        <f t="shared" si="1123"/>
        <v>500</v>
      </c>
      <c r="X1296" s="592">
        <f t="shared" si="1123"/>
        <v>500</v>
      </c>
      <c r="Y1296" s="592">
        <f t="shared" si="1123"/>
        <v>500</v>
      </c>
      <c r="Z1296" s="592">
        <f t="shared" si="1123"/>
        <v>500</v>
      </c>
      <c r="AA1296" s="592">
        <f t="shared" si="1123"/>
        <v>500</v>
      </c>
      <c r="AB1296" s="592">
        <f t="shared" si="1123"/>
        <v>500</v>
      </c>
      <c r="AC1296" s="592">
        <f t="shared" si="1123"/>
        <v>500</v>
      </c>
      <c r="AD1296" s="592">
        <f t="shared" si="1123"/>
        <v>500</v>
      </c>
      <c r="AE1296" s="592">
        <f t="shared" si="1123"/>
        <v>500</v>
      </c>
      <c r="AF1296" s="592">
        <f t="shared" si="1123"/>
        <v>500</v>
      </c>
      <c r="AH1296" s="538"/>
      <c r="AK1296" s="531"/>
      <c r="AM1296" s="594"/>
      <c r="AN1296" s="535"/>
      <c r="AP1296" s="540"/>
      <c r="AQ1296" s="540"/>
    </row>
    <row r="1297" spans="1:43" s="513" customFormat="1" ht="16.5" hidden="1" customHeight="1" outlineLevel="2">
      <c r="A1297" s="584"/>
      <c r="B1297" s="572" t="s">
        <v>941</v>
      </c>
      <c r="C1297" s="592">
        <f>'Sal._benef.'!$K$19</f>
        <v>5.53</v>
      </c>
      <c r="D1297" s="592">
        <f>C1297</f>
        <v>5.53</v>
      </c>
      <c r="E1297" s="592">
        <f t="shared" si="1122"/>
        <v>5.53</v>
      </c>
      <c r="F1297" s="592">
        <f t="shared" si="1122"/>
        <v>5.53</v>
      </c>
      <c r="G1297" s="592">
        <f t="shared" si="1122"/>
        <v>5.53</v>
      </c>
      <c r="H1297" s="592">
        <f t="shared" si="1122"/>
        <v>5.53</v>
      </c>
      <c r="I1297" s="592">
        <f t="shared" si="1122"/>
        <v>5.53</v>
      </c>
      <c r="J1297" s="592">
        <f t="shared" si="1122"/>
        <v>5.53</v>
      </c>
      <c r="K1297" s="592">
        <f t="shared" si="1122"/>
        <v>5.53</v>
      </c>
      <c r="L1297" s="592">
        <f t="shared" si="1122"/>
        <v>5.53</v>
      </c>
      <c r="M1297" s="592">
        <f t="shared" si="1122"/>
        <v>5.53</v>
      </c>
      <c r="N1297" s="592">
        <f t="shared" si="1122"/>
        <v>5.53</v>
      </c>
      <c r="O1297" s="592">
        <f t="shared" si="1122"/>
        <v>5.53</v>
      </c>
      <c r="P1297" s="592">
        <f t="shared" si="1122"/>
        <v>5.53</v>
      </c>
      <c r="Q1297" s="592">
        <f t="shared" si="1122"/>
        <v>5.53</v>
      </c>
      <c r="R1297" s="592">
        <f t="shared" si="1122"/>
        <v>5.53</v>
      </c>
      <c r="S1297" s="592">
        <f t="shared" si="1122"/>
        <v>5.53</v>
      </c>
      <c r="T1297" s="592">
        <f t="shared" si="1122"/>
        <v>5.53</v>
      </c>
      <c r="U1297" s="592">
        <f t="shared" si="1123"/>
        <v>5.53</v>
      </c>
      <c r="V1297" s="592">
        <f t="shared" si="1123"/>
        <v>5.53</v>
      </c>
      <c r="W1297" s="592">
        <f t="shared" si="1123"/>
        <v>5.53</v>
      </c>
      <c r="X1297" s="592">
        <f t="shared" si="1123"/>
        <v>5.53</v>
      </c>
      <c r="Y1297" s="592">
        <f t="shared" si="1123"/>
        <v>5.53</v>
      </c>
      <c r="Z1297" s="592">
        <f t="shared" si="1123"/>
        <v>5.53</v>
      </c>
      <c r="AA1297" s="592">
        <f t="shared" si="1123"/>
        <v>5.53</v>
      </c>
      <c r="AB1297" s="592">
        <f t="shared" si="1123"/>
        <v>5.53</v>
      </c>
      <c r="AC1297" s="592">
        <f t="shared" si="1123"/>
        <v>5.53</v>
      </c>
      <c r="AD1297" s="592">
        <f t="shared" si="1123"/>
        <v>5.53</v>
      </c>
      <c r="AE1297" s="592">
        <f t="shared" si="1123"/>
        <v>5.53</v>
      </c>
      <c r="AF1297" s="592">
        <f t="shared" si="1123"/>
        <v>5.53</v>
      </c>
      <c r="AH1297" s="538"/>
      <c r="AK1297" s="531"/>
      <c r="AM1297" s="594"/>
      <c r="AN1297" s="535"/>
      <c r="AP1297" s="540"/>
      <c r="AQ1297" s="540"/>
    </row>
    <row r="1298" spans="1:43" s="513" customFormat="1" ht="16.5" hidden="1" customHeight="1" outlineLevel="2">
      <c r="A1298" s="584"/>
      <c r="B1298" s="572" t="s">
        <v>942</v>
      </c>
      <c r="C1298" s="592">
        <f>'Sal._benef.'!$J$19</f>
        <v>141.18</v>
      </c>
      <c r="D1298" s="592">
        <f>C1298</f>
        <v>141.18</v>
      </c>
      <c r="E1298" s="592">
        <f t="shared" si="1122"/>
        <v>141.18</v>
      </c>
      <c r="F1298" s="592">
        <f t="shared" si="1122"/>
        <v>141.18</v>
      </c>
      <c r="G1298" s="592">
        <f t="shared" si="1122"/>
        <v>141.18</v>
      </c>
      <c r="H1298" s="592">
        <f t="shared" si="1122"/>
        <v>141.18</v>
      </c>
      <c r="I1298" s="592">
        <f t="shared" si="1122"/>
        <v>141.18</v>
      </c>
      <c r="J1298" s="592">
        <f t="shared" si="1122"/>
        <v>141.18</v>
      </c>
      <c r="K1298" s="592">
        <f t="shared" si="1122"/>
        <v>141.18</v>
      </c>
      <c r="L1298" s="592">
        <f t="shared" si="1122"/>
        <v>141.18</v>
      </c>
      <c r="M1298" s="592">
        <f t="shared" si="1122"/>
        <v>141.18</v>
      </c>
      <c r="N1298" s="592">
        <f t="shared" si="1122"/>
        <v>141.18</v>
      </c>
      <c r="O1298" s="592">
        <f t="shared" si="1122"/>
        <v>141.18</v>
      </c>
      <c r="P1298" s="592">
        <f t="shared" si="1122"/>
        <v>141.18</v>
      </c>
      <c r="Q1298" s="592">
        <f t="shared" si="1122"/>
        <v>141.18</v>
      </c>
      <c r="R1298" s="592">
        <f t="shared" si="1122"/>
        <v>141.18</v>
      </c>
      <c r="S1298" s="592">
        <f t="shared" si="1122"/>
        <v>141.18</v>
      </c>
      <c r="T1298" s="592">
        <f t="shared" si="1122"/>
        <v>141.18</v>
      </c>
      <c r="U1298" s="592">
        <f t="shared" si="1123"/>
        <v>141.18</v>
      </c>
      <c r="V1298" s="592">
        <f t="shared" si="1123"/>
        <v>141.18</v>
      </c>
      <c r="W1298" s="592">
        <f t="shared" si="1123"/>
        <v>141.18</v>
      </c>
      <c r="X1298" s="592">
        <f t="shared" si="1123"/>
        <v>141.18</v>
      </c>
      <c r="Y1298" s="592">
        <f t="shared" si="1123"/>
        <v>141.18</v>
      </c>
      <c r="Z1298" s="592">
        <f t="shared" si="1123"/>
        <v>141.18</v>
      </c>
      <c r="AA1298" s="592">
        <f t="shared" si="1123"/>
        <v>141.18</v>
      </c>
      <c r="AB1298" s="592">
        <f t="shared" si="1123"/>
        <v>141.18</v>
      </c>
      <c r="AC1298" s="592">
        <f t="shared" si="1123"/>
        <v>141.18</v>
      </c>
      <c r="AD1298" s="592">
        <f t="shared" si="1123"/>
        <v>141.18</v>
      </c>
      <c r="AE1298" s="592">
        <f t="shared" si="1123"/>
        <v>141.18</v>
      </c>
      <c r="AF1298" s="592">
        <f t="shared" si="1123"/>
        <v>141.18</v>
      </c>
      <c r="AH1298" s="538"/>
      <c r="AK1298" s="531"/>
      <c r="AM1298" s="594"/>
      <c r="AN1298" s="535"/>
      <c r="AP1298" s="540"/>
      <c r="AQ1298" s="540"/>
    </row>
    <row r="1299" spans="1:43" s="513" customFormat="1" ht="16.5" hidden="1" customHeight="1" outlineLevel="2">
      <c r="A1299" s="584"/>
      <c r="B1299" s="572" t="s">
        <v>862</v>
      </c>
      <c r="C1299" s="592">
        <v>0</v>
      </c>
      <c r="D1299" s="592">
        <f t="shared" ref="D1299" si="1124">C1299</f>
        <v>0</v>
      </c>
      <c r="E1299" s="592">
        <f t="shared" si="1122"/>
        <v>0</v>
      </c>
      <c r="F1299" s="592">
        <f t="shared" si="1122"/>
        <v>0</v>
      </c>
      <c r="G1299" s="592">
        <f t="shared" si="1122"/>
        <v>0</v>
      </c>
      <c r="H1299" s="592">
        <f t="shared" si="1122"/>
        <v>0</v>
      </c>
      <c r="I1299" s="592">
        <f t="shared" si="1122"/>
        <v>0</v>
      </c>
      <c r="J1299" s="592">
        <f t="shared" si="1122"/>
        <v>0</v>
      </c>
      <c r="K1299" s="592">
        <f t="shared" si="1122"/>
        <v>0</v>
      </c>
      <c r="L1299" s="592">
        <f t="shared" si="1122"/>
        <v>0</v>
      </c>
      <c r="M1299" s="592">
        <f t="shared" si="1122"/>
        <v>0</v>
      </c>
      <c r="N1299" s="592">
        <f t="shared" si="1122"/>
        <v>0</v>
      </c>
      <c r="O1299" s="592">
        <f t="shared" si="1122"/>
        <v>0</v>
      </c>
      <c r="P1299" s="592">
        <f t="shared" si="1122"/>
        <v>0</v>
      </c>
      <c r="Q1299" s="592">
        <f t="shared" si="1122"/>
        <v>0</v>
      </c>
      <c r="R1299" s="592">
        <f t="shared" si="1122"/>
        <v>0</v>
      </c>
      <c r="S1299" s="592">
        <f t="shared" si="1122"/>
        <v>0</v>
      </c>
      <c r="T1299" s="592">
        <f t="shared" si="1122"/>
        <v>0</v>
      </c>
      <c r="U1299" s="592">
        <f t="shared" si="1123"/>
        <v>0</v>
      </c>
      <c r="V1299" s="592">
        <f t="shared" si="1123"/>
        <v>0</v>
      </c>
      <c r="W1299" s="592">
        <f t="shared" si="1123"/>
        <v>0</v>
      </c>
      <c r="X1299" s="592">
        <f t="shared" si="1123"/>
        <v>0</v>
      </c>
      <c r="Y1299" s="592">
        <f t="shared" si="1123"/>
        <v>0</v>
      </c>
      <c r="Z1299" s="592">
        <f t="shared" si="1123"/>
        <v>0</v>
      </c>
      <c r="AA1299" s="592">
        <f t="shared" si="1123"/>
        <v>0</v>
      </c>
      <c r="AB1299" s="592">
        <f t="shared" si="1123"/>
        <v>0</v>
      </c>
      <c r="AC1299" s="592">
        <f t="shared" si="1123"/>
        <v>0</v>
      </c>
      <c r="AD1299" s="592">
        <f t="shared" si="1123"/>
        <v>0</v>
      </c>
      <c r="AE1299" s="592">
        <f t="shared" si="1123"/>
        <v>0</v>
      </c>
      <c r="AF1299" s="592">
        <f t="shared" si="1123"/>
        <v>0</v>
      </c>
      <c r="AH1299" s="538"/>
      <c r="AK1299" s="531"/>
      <c r="AM1299" s="594"/>
      <c r="AN1299" s="535"/>
      <c r="AP1299" s="540"/>
      <c r="AQ1299" s="540"/>
    </row>
    <row r="1300" spans="1:43" s="513" customFormat="1" ht="16.5" hidden="1" customHeight="1" outlineLevel="2">
      <c r="A1300" s="584"/>
      <c r="B1300" s="650" t="s">
        <v>858</v>
      </c>
      <c r="C1300" s="659">
        <f>C1301+C1307+C1313+C1319+C1325+C1331+C1337+C1342</f>
        <v>0</v>
      </c>
      <c r="D1300" s="659">
        <f t="shared" ref="D1300:AF1300" si="1125">D1301+D1307+D1313+D1319+D1325+D1331+D1337+D1342</f>
        <v>0</v>
      </c>
      <c r="E1300" s="659">
        <f t="shared" si="1125"/>
        <v>0</v>
      </c>
      <c r="F1300" s="659">
        <f t="shared" si="1125"/>
        <v>0</v>
      </c>
      <c r="G1300" s="659">
        <f t="shared" si="1125"/>
        <v>0</v>
      </c>
      <c r="H1300" s="659">
        <f t="shared" si="1125"/>
        <v>0</v>
      </c>
      <c r="I1300" s="659">
        <f t="shared" si="1125"/>
        <v>9305.3736000000008</v>
      </c>
      <c r="J1300" s="659">
        <f t="shared" si="1125"/>
        <v>9305.3736000000008</v>
      </c>
      <c r="K1300" s="659">
        <f t="shared" si="1125"/>
        <v>9305.3736000000008</v>
      </c>
      <c r="L1300" s="659">
        <f t="shared" si="1125"/>
        <v>9305.3736000000008</v>
      </c>
      <c r="M1300" s="659">
        <f t="shared" si="1125"/>
        <v>9305.3736000000008</v>
      </c>
      <c r="N1300" s="659">
        <f t="shared" si="1125"/>
        <v>9305.3736000000008</v>
      </c>
      <c r="O1300" s="659">
        <f t="shared" si="1125"/>
        <v>9305.3736000000008</v>
      </c>
      <c r="P1300" s="659">
        <f t="shared" si="1125"/>
        <v>9305.3736000000008</v>
      </c>
      <c r="Q1300" s="659">
        <f t="shared" si="1125"/>
        <v>9305.3736000000008</v>
      </c>
      <c r="R1300" s="659">
        <f t="shared" si="1125"/>
        <v>9305.3736000000008</v>
      </c>
      <c r="S1300" s="659">
        <f t="shared" si="1125"/>
        <v>9305.3736000000008</v>
      </c>
      <c r="T1300" s="659">
        <f t="shared" si="1125"/>
        <v>9305.3736000000008</v>
      </c>
      <c r="U1300" s="659">
        <f t="shared" si="1125"/>
        <v>9305.3736000000008</v>
      </c>
      <c r="V1300" s="659">
        <f t="shared" si="1125"/>
        <v>9305.3736000000008</v>
      </c>
      <c r="W1300" s="659">
        <f t="shared" si="1125"/>
        <v>9305.3736000000008</v>
      </c>
      <c r="X1300" s="659">
        <f t="shared" si="1125"/>
        <v>9305.3736000000008</v>
      </c>
      <c r="Y1300" s="659">
        <f t="shared" si="1125"/>
        <v>9305.3736000000008</v>
      </c>
      <c r="Z1300" s="659">
        <f t="shared" si="1125"/>
        <v>9305.3736000000008</v>
      </c>
      <c r="AA1300" s="659">
        <f t="shared" si="1125"/>
        <v>9305.3736000000008</v>
      </c>
      <c r="AB1300" s="659">
        <f t="shared" si="1125"/>
        <v>9305.3736000000008</v>
      </c>
      <c r="AC1300" s="659">
        <f t="shared" si="1125"/>
        <v>9305.3736000000008</v>
      </c>
      <c r="AD1300" s="659">
        <f t="shared" si="1125"/>
        <v>9305.3736000000008</v>
      </c>
      <c r="AE1300" s="659">
        <f t="shared" si="1125"/>
        <v>9305.3736000000008</v>
      </c>
      <c r="AF1300" s="659">
        <f t="shared" si="1125"/>
        <v>9305.3736000000008</v>
      </c>
      <c r="AG1300" s="614"/>
      <c r="AH1300" s="538"/>
      <c r="AK1300" s="531"/>
      <c r="AM1300" s="594"/>
      <c r="AN1300" s="535"/>
      <c r="AP1300" s="540"/>
      <c r="AQ1300" s="540"/>
    </row>
    <row r="1301" spans="1:43" s="546" customFormat="1" ht="16.5" hidden="1" customHeight="1" outlineLevel="2">
      <c r="A1301" s="584"/>
      <c r="B1301" s="580" t="str">
        <f>B1233</f>
        <v>Coletor diurno e vespertino</v>
      </c>
      <c r="C1301" s="570">
        <f>C1302*(C1303+C1304+C1305+C1306)</f>
        <v>0</v>
      </c>
      <c r="D1301" s="570">
        <f t="shared" ref="D1301:AF1301" si="1126">D1302*(D1303+D1304+D1305+D1306)</f>
        <v>0</v>
      </c>
      <c r="E1301" s="570">
        <f t="shared" si="1126"/>
        <v>0</v>
      </c>
      <c r="F1301" s="570">
        <f t="shared" si="1126"/>
        <v>0</v>
      </c>
      <c r="G1301" s="570">
        <f t="shared" si="1126"/>
        <v>0</v>
      </c>
      <c r="H1301" s="570">
        <f t="shared" si="1126"/>
        <v>0</v>
      </c>
      <c r="I1301" s="570">
        <f t="shared" si="1126"/>
        <v>2586.84</v>
      </c>
      <c r="J1301" s="570">
        <f t="shared" si="1126"/>
        <v>2586.84</v>
      </c>
      <c r="K1301" s="570">
        <f t="shared" si="1126"/>
        <v>2586.84</v>
      </c>
      <c r="L1301" s="570">
        <f t="shared" si="1126"/>
        <v>2586.84</v>
      </c>
      <c r="M1301" s="570">
        <f t="shared" si="1126"/>
        <v>2586.84</v>
      </c>
      <c r="N1301" s="570">
        <f t="shared" si="1126"/>
        <v>2586.84</v>
      </c>
      <c r="O1301" s="570">
        <f t="shared" si="1126"/>
        <v>2586.84</v>
      </c>
      <c r="P1301" s="570">
        <f t="shared" si="1126"/>
        <v>2586.84</v>
      </c>
      <c r="Q1301" s="570">
        <f t="shared" si="1126"/>
        <v>2586.84</v>
      </c>
      <c r="R1301" s="570">
        <f t="shared" si="1126"/>
        <v>2586.84</v>
      </c>
      <c r="S1301" s="570">
        <f t="shared" si="1126"/>
        <v>2586.84</v>
      </c>
      <c r="T1301" s="570">
        <f t="shared" si="1126"/>
        <v>2586.84</v>
      </c>
      <c r="U1301" s="570">
        <f t="shared" si="1126"/>
        <v>2586.84</v>
      </c>
      <c r="V1301" s="570">
        <f t="shared" si="1126"/>
        <v>2586.84</v>
      </c>
      <c r="W1301" s="570">
        <f t="shared" si="1126"/>
        <v>2586.84</v>
      </c>
      <c r="X1301" s="570">
        <f t="shared" si="1126"/>
        <v>2586.84</v>
      </c>
      <c r="Y1301" s="570">
        <f t="shared" si="1126"/>
        <v>2586.84</v>
      </c>
      <c r="Z1301" s="570">
        <f t="shared" si="1126"/>
        <v>2586.84</v>
      </c>
      <c r="AA1301" s="570">
        <f t="shared" si="1126"/>
        <v>2586.84</v>
      </c>
      <c r="AB1301" s="570">
        <f t="shared" si="1126"/>
        <v>2586.84</v>
      </c>
      <c r="AC1301" s="570">
        <f t="shared" si="1126"/>
        <v>2586.84</v>
      </c>
      <c r="AD1301" s="570">
        <f t="shared" si="1126"/>
        <v>2586.84</v>
      </c>
      <c r="AE1301" s="570">
        <f t="shared" si="1126"/>
        <v>2586.84</v>
      </c>
      <c r="AF1301" s="570">
        <f t="shared" si="1126"/>
        <v>2586.84</v>
      </c>
      <c r="AH1301" s="571"/>
      <c r="AK1301" s="531"/>
      <c r="AM1301" s="594"/>
      <c r="AN1301" s="535"/>
      <c r="AP1301" s="549"/>
      <c r="AQ1301" s="549"/>
    </row>
    <row r="1302" spans="1:43" s="586" customFormat="1" ht="16.5" hidden="1" customHeight="1" outlineLevel="2">
      <c r="A1302" s="584"/>
      <c r="B1302" s="585" t="s">
        <v>805</v>
      </c>
      <c r="C1302" s="716">
        <f>C1234</f>
        <v>0</v>
      </c>
      <c r="D1302" s="716">
        <f t="shared" ref="D1302:AF1302" si="1127">D1234</f>
        <v>0</v>
      </c>
      <c r="E1302" s="716">
        <f t="shared" si="1127"/>
        <v>0</v>
      </c>
      <c r="F1302" s="716">
        <f t="shared" si="1127"/>
        <v>0</v>
      </c>
      <c r="G1302" s="716">
        <f>G1234</f>
        <v>0</v>
      </c>
      <c r="H1302" s="716">
        <f>H1234</f>
        <v>0</v>
      </c>
      <c r="I1302" s="716">
        <f t="shared" si="1127"/>
        <v>4</v>
      </c>
      <c r="J1302" s="716">
        <f t="shared" si="1127"/>
        <v>4</v>
      </c>
      <c r="K1302" s="716">
        <f t="shared" si="1127"/>
        <v>4</v>
      </c>
      <c r="L1302" s="716">
        <f t="shared" si="1127"/>
        <v>4</v>
      </c>
      <c r="M1302" s="716">
        <f t="shared" si="1127"/>
        <v>4</v>
      </c>
      <c r="N1302" s="716">
        <f t="shared" si="1127"/>
        <v>4</v>
      </c>
      <c r="O1302" s="716">
        <f t="shared" si="1127"/>
        <v>4</v>
      </c>
      <c r="P1302" s="716">
        <f t="shared" si="1127"/>
        <v>4</v>
      </c>
      <c r="Q1302" s="716">
        <f t="shared" si="1127"/>
        <v>4</v>
      </c>
      <c r="R1302" s="716">
        <f t="shared" si="1127"/>
        <v>4</v>
      </c>
      <c r="S1302" s="716">
        <f t="shared" si="1127"/>
        <v>4</v>
      </c>
      <c r="T1302" s="716">
        <f t="shared" si="1127"/>
        <v>4</v>
      </c>
      <c r="U1302" s="716">
        <f t="shared" si="1127"/>
        <v>4</v>
      </c>
      <c r="V1302" s="716">
        <f t="shared" si="1127"/>
        <v>4</v>
      </c>
      <c r="W1302" s="716">
        <f t="shared" si="1127"/>
        <v>4</v>
      </c>
      <c r="X1302" s="716">
        <f t="shared" si="1127"/>
        <v>4</v>
      </c>
      <c r="Y1302" s="716">
        <f t="shared" si="1127"/>
        <v>4</v>
      </c>
      <c r="Z1302" s="716">
        <f t="shared" si="1127"/>
        <v>4</v>
      </c>
      <c r="AA1302" s="716">
        <f t="shared" si="1127"/>
        <v>4</v>
      </c>
      <c r="AB1302" s="716">
        <f t="shared" si="1127"/>
        <v>4</v>
      </c>
      <c r="AC1302" s="716">
        <f t="shared" si="1127"/>
        <v>4</v>
      </c>
      <c r="AD1302" s="716">
        <f t="shared" si="1127"/>
        <v>4</v>
      </c>
      <c r="AE1302" s="716">
        <f t="shared" si="1127"/>
        <v>4</v>
      </c>
      <c r="AF1302" s="716">
        <f t="shared" si="1127"/>
        <v>4</v>
      </c>
      <c r="AH1302" s="587"/>
      <c r="AK1302" s="588"/>
      <c r="AM1302" s="624"/>
      <c r="AN1302" s="590"/>
      <c r="AP1302" s="591"/>
      <c r="AQ1302" s="591"/>
    </row>
    <row r="1303" spans="1:43" s="513" customFormat="1" ht="16.5" hidden="1" customHeight="1" outlineLevel="2">
      <c r="A1303" s="584"/>
      <c r="B1303" s="585" t="s">
        <v>940</v>
      </c>
      <c r="C1303" s="592">
        <f>'Sal._benef.'!$I$19</f>
        <v>500</v>
      </c>
      <c r="D1303" s="592">
        <f>C1303</f>
        <v>500</v>
      </c>
      <c r="E1303" s="592">
        <f t="shared" ref="E1303:T1306" si="1128">D1303</f>
        <v>500</v>
      </c>
      <c r="F1303" s="592">
        <f t="shared" si="1128"/>
        <v>500</v>
      </c>
      <c r="G1303" s="592">
        <f t="shared" si="1128"/>
        <v>500</v>
      </c>
      <c r="H1303" s="592">
        <f t="shared" si="1128"/>
        <v>500</v>
      </c>
      <c r="I1303" s="592">
        <f t="shared" si="1128"/>
        <v>500</v>
      </c>
      <c r="J1303" s="592">
        <f t="shared" si="1128"/>
        <v>500</v>
      </c>
      <c r="K1303" s="592">
        <f t="shared" si="1128"/>
        <v>500</v>
      </c>
      <c r="L1303" s="592">
        <f t="shared" si="1128"/>
        <v>500</v>
      </c>
      <c r="M1303" s="592">
        <f t="shared" si="1128"/>
        <v>500</v>
      </c>
      <c r="N1303" s="592">
        <f t="shared" si="1128"/>
        <v>500</v>
      </c>
      <c r="O1303" s="592">
        <f t="shared" si="1128"/>
        <v>500</v>
      </c>
      <c r="P1303" s="592">
        <f t="shared" si="1128"/>
        <v>500</v>
      </c>
      <c r="Q1303" s="592">
        <f t="shared" si="1128"/>
        <v>500</v>
      </c>
      <c r="R1303" s="592">
        <f t="shared" si="1128"/>
        <v>500</v>
      </c>
      <c r="S1303" s="592">
        <f t="shared" si="1128"/>
        <v>500</v>
      </c>
      <c r="T1303" s="592">
        <f t="shared" si="1128"/>
        <v>500</v>
      </c>
      <c r="U1303" s="592">
        <f t="shared" ref="U1303:AF1306" si="1129">T1303</f>
        <v>500</v>
      </c>
      <c r="V1303" s="592">
        <f t="shared" si="1129"/>
        <v>500</v>
      </c>
      <c r="W1303" s="592">
        <f t="shared" si="1129"/>
        <v>500</v>
      </c>
      <c r="X1303" s="592">
        <f t="shared" si="1129"/>
        <v>500</v>
      </c>
      <c r="Y1303" s="592">
        <f t="shared" si="1129"/>
        <v>500</v>
      </c>
      <c r="Z1303" s="592">
        <f t="shared" si="1129"/>
        <v>500</v>
      </c>
      <c r="AA1303" s="592">
        <f t="shared" si="1129"/>
        <v>500</v>
      </c>
      <c r="AB1303" s="592">
        <f t="shared" si="1129"/>
        <v>500</v>
      </c>
      <c r="AC1303" s="592">
        <f t="shared" si="1129"/>
        <v>500</v>
      </c>
      <c r="AD1303" s="592">
        <f t="shared" si="1129"/>
        <v>500</v>
      </c>
      <c r="AE1303" s="592">
        <f t="shared" si="1129"/>
        <v>500</v>
      </c>
      <c r="AF1303" s="592">
        <f t="shared" si="1129"/>
        <v>500</v>
      </c>
      <c r="AH1303" s="538"/>
      <c r="AK1303" s="531"/>
      <c r="AM1303" s="594"/>
      <c r="AN1303" s="535"/>
      <c r="AP1303" s="540"/>
      <c r="AQ1303" s="540"/>
    </row>
    <row r="1304" spans="1:43" s="513" customFormat="1" ht="16.5" hidden="1" customHeight="1" outlineLevel="2">
      <c r="A1304" s="584"/>
      <c r="B1304" s="585" t="s">
        <v>941</v>
      </c>
      <c r="C1304" s="592">
        <f>'Sal._benef.'!$K$19</f>
        <v>5.53</v>
      </c>
      <c r="D1304" s="592">
        <f>C1304</f>
        <v>5.53</v>
      </c>
      <c r="E1304" s="592">
        <f t="shared" si="1128"/>
        <v>5.53</v>
      </c>
      <c r="F1304" s="592">
        <f t="shared" si="1128"/>
        <v>5.53</v>
      </c>
      <c r="G1304" s="592">
        <f t="shared" si="1128"/>
        <v>5.53</v>
      </c>
      <c r="H1304" s="592">
        <f t="shared" si="1128"/>
        <v>5.53</v>
      </c>
      <c r="I1304" s="592">
        <f t="shared" si="1128"/>
        <v>5.53</v>
      </c>
      <c r="J1304" s="592">
        <f t="shared" si="1128"/>
        <v>5.53</v>
      </c>
      <c r="K1304" s="592">
        <f t="shared" si="1128"/>
        <v>5.53</v>
      </c>
      <c r="L1304" s="592">
        <f t="shared" si="1128"/>
        <v>5.53</v>
      </c>
      <c r="M1304" s="592">
        <f t="shared" si="1128"/>
        <v>5.53</v>
      </c>
      <c r="N1304" s="592">
        <f t="shared" si="1128"/>
        <v>5.53</v>
      </c>
      <c r="O1304" s="592">
        <f t="shared" si="1128"/>
        <v>5.53</v>
      </c>
      <c r="P1304" s="592">
        <f t="shared" si="1128"/>
        <v>5.53</v>
      </c>
      <c r="Q1304" s="592">
        <f t="shared" si="1128"/>
        <v>5.53</v>
      </c>
      <c r="R1304" s="592">
        <f t="shared" si="1128"/>
        <v>5.53</v>
      </c>
      <c r="S1304" s="592">
        <f t="shared" si="1128"/>
        <v>5.53</v>
      </c>
      <c r="T1304" s="592">
        <f t="shared" si="1128"/>
        <v>5.53</v>
      </c>
      <c r="U1304" s="592">
        <f t="shared" si="1129"/>
        <v>5.53</v>
      </c>
      <c r="V1304" s="592">
        <f t="shared" si="1129"/>
        <v>5.53</v>
      </c>
      <c r="W1304" s="592">
        <f t="shared" si="1129"/>
        <v>5.53</v>
      </c>
      <c r="X1304" s="592">
        <f t="shared" si="1129"/>
        <v>5.53</v>
      </c>
      <c r="Y1304" s="592">
        <f t="shared" si="1129"/>
        <v>5.53</v>
      </c>
      <c r="Z1304" s="592">
        <f t="shared" si="1129"/>
        <v>5.53</v>
      </c>
      <c r="AA1304" s="592">
        <f t="shared" si="1129"/>
        <v>5.53</v>
      </c>
      <c r="AB1304" s="592">
        <f t="shared" si="1129"/>
        <v>5.53</v>
      </c>
      <c r="AC1304" s="592">
        <f t="shared" si="1129"/>
        <v>5.53</v>
      </c>
      <c r="AD1304" s="592">
        <f t="shared" si="1129"/>
        <v>5.53</v>
      </c>
      <c r="AE1304" s="592">
        <f t="shared" si="1129"/>
        <v>5.53</v>
      </c>
      <c r="AF1304" s="592">
        <f t="shared" si="1129"/>
        <v>5.53</v>
      </c>
      <c r="AH1304" s="538"/>
      <c r="AK1304" s="531"/>
      <c r="AM1304" s="594"/>
      <c r="AN1304" s="535"/>
      <c r="AP1304" s="540"/>
      <c r="AQ1304" s="540"/>
    </row>
    <row r="1305" spans="1:43" s="513" customFormat="1" ht="16.5" hidden="1" customHeight="1" outlineLevel="2">
      <c r="A1305" s="584"/>
      <c r="B1305" s="585" t="s">
        <v>942</v>
      </c>
      <c r="C1305" s="592">
        <f>'Sal._benef.'!$J$19</f>
        <v>141.18</v>
      </c>
      <c r="D1305" s="592">
        <f>C1305</f>
        <v>141.18</v>
      </c>
      <c r="E1305" s="592">
        <f t="shared" si="1128"/>
        <v>141.18</v>
      </c>
      <c r="F1305" s="592">
        <f t="shared" si="1128"/>
        <v>141.18</v>
      </c>
      <c r="G1305" s="592">
        <f t="shared" si="1128"/>
        <v>141.18</v>
      </c>
      <c r="H1305" s="592">
        <f t="shared" si="1128"/>
        <v>141.18</v>
      </c>
      <c r="I1305" s="592">
        <f t="shared" si="1128"/>
        <v>141.18</v>
      </c>
      <c r="J1305" s="592">
        <f t="shared" si="1128"/>
        <v>141.18</v>
      </c>
      <c r="K1305" s="592">
        <f t="shared" si="1128"/>
        <v>141.18</v>
      </c>
      <c r="L1305" s="592">
        <f t="shared" si="1128"/>
        <v>141.18</v>
      </c>
      <c r="M1305" s="592">
        <f t="shared" si="1128"/>
        <v>141.18</v>
      </c>
      <c r="N1305" s="592">
        <f t="shared" si="1128"/>
        <v>141.18</v>
      </c>
      <c r="O1305" s="592">
        <f t="shared" si="1128"/>
        <v>141.18</v>
      </c>
      <c r="P1305" s="592">
        <f t="shared" si="1128"/>
        <v>141.18</v>
      </c>
      <c r="Q1305" s="592">
        <f t="shared" si="1128"/>
        <v>141.18</v>
      </c>
      <c r="R1305" s="592">
        <f t="shared" si="1128"/>
        <v>141.18</v>
      </c>
      <c r="S1305" s="592">
        <f t="shared" si="1128"/>
        <v>141.18</v>
      </c>
      <c r="T1305" s="592">
        <f t="shared" si="1128"/>
        <v>141.18</v>
      </c>
      <c r="U1305" s="592">
        <f t="shared" si="1129"/>
        <v>141.18</v>
      </c>
      <c r="V1305" s="592">
        <f t="shared" si="1129"/>
        <v>141.18</v>
      </c>
      <c r="W1305" s="592">
        <f t="shared" si="1129"/>
        <v>141.18</v>
      </c>
      <c r="X1305" s="592">
        <f t="shared" si="1129"/>
        <v>141.18</v>
      </c>
      <c r="Y1305" s="592">
        <f t="shared" si="1129"/>
        <v>141.18</v>
      </c>
      <c r="Z1305" s="592">
        <f t="shared" si="1129"/>
        <v>141.18</v>
      </c>
      <c r="AA1305" s="592">
        <f t="shared" si="1129"/>
        <v>141.18</v>
      </c>
      <c r="AB1305" s="592">
        <f t="shared" si="1129"/>
        <v>141.18</v>
      </c>
      <c r="AC1305" s="592">
        <f t="shared" si="1129"/>
        <v>141.18</v>
      </c>
      <c r="AD1305" s="592">
        <f t="shared" si="1129"/>
        <v>141.18</v>
      </c>
      <c r="AE1305" s="592">
        <f t="shared" si="1129"/>
        <v>141.18</v>
      </c>
      <c r="AF1305" s="592">
        <f t="shared" si="1129"/>
        <v>141.18</v>
      </c>
      <c r="AH1305" s="538"/>
      <c r="AK1305" s="531"/>
      <c r="AM1305" s="594"/>
      <c r="AN1305" s="535"/>
      <c r="AP1305" s="540"/>
      <c r="AQ1305" s="540"/>
    </row>
    <row r="1306" spans="1:43" s="513" customFormat="1" ht="16.5" hidden="1" customHeight="1" outlineLevel="2">
      <c r="A1306" s="584"/>
      <c r="B1306" s="585" t="s">
        <v>862</v>
      </c>
      <c r="C1306" s="592">
        <v>0</v>
      </c>
      <c r="D1306" s="592">
        <f t="shared" ref="D1306" si="1130">C1306</f>
        <v>0</v>
      </c>
      <c r="E1306" s="592">
        <f t="shared" si="1128"/>
        <v>0</v>
      </c>
      <c r="F1306" s="592">
        <f t="shared" si="1128"/>
        <v>0</v>
      </c>
      <c r="G1306" s="592">
        <f t="shared" si="1128"/>
        <v>0</v>
      </c>
      <c r="H1306" s="592">
        <f t="shared" si="1128"/>
        <v>0</v>
      </c>
      <c r="I1306" s="592">
        <f t="shared" si="1128"/>
        <v>0</v>
      </c>
      <c r="J1306" s="592">
        <f t="shared" si="1128"/>
        <v>0</v>
      </c>
      <c r="K1306" s="592">
        <f t="shared" si="1128"/>
        <v>0</v>
      </c>
      <c r="L1306" s="592">
        <f t="shared" si="1128"/>
        <v>0</v>
      </c>
      <c r="M1306" s="592">
        <f t="shared" si="1128"/>
        <v>0</v>
      </c>
      <c r="N1306" s="592">
        <f t="shared" si="1128"/>
        <v>0</v>
      </c>
      <c r="O1306" s="592">
        <f t="shared" si="1128"/>
        <v>0</v>
      </c>
      <c r="P1306" s="592">
        <f t="shared" si="1128"/>
        <v>0</v>
      </c>
      <c r="Q1306" s="592">
        <f t="shared" si="1128"/>
        <v>0</v>
      </c>
      <c r="R1306" s="592">
        <f t="shared" si="1128"/>
        <v>0</v>
      </c>
      <c r="S1306" s="592">
        <f t="shared" si="1128"/>
        <v>0</v>
      </c>
      <c r="T1306" s="592">
        <f t="shared" si="1128"/>
        <v>0</v>
      </c>
      <c r="U1306" s="592">
        <f t="shared" si="1129"/>
        <v>0</v>
      </c>
      <c r="V1306" s="592">
        <f t="shared" si="1129"/>
        <v>0</v>
      </c>
      <c r="W1306" s="592">
        <f t="shared" si="1129"/>
        <v>0</v>
      </c>
      <c r="X1306" s="592">
        <f t="shared" si="1129"/>
        <v>0</v>
      </c>
      <c r="Y1306" s="592">
        <f t="shared" si="1129"/>
        <v>0</v>
      </c>
      <c r="Z1306" s="592">
        <f t="shared" si="1129"/>
        <v>0</v>
      </c>
      <c r="AA1306" s="592">
        <f t="shared" si="1129"/>
        <v>0</v>
      </c>
      <c r="AB1306" s="592">
        <f t="shared" si="1129"/>
        <v>0</v>
      </c>
      <c r="AC1306" s="592">
        <f t="shared" si="1129"/>
        <v>0</v>
      </c>
      <c r="AD1306" s="592">
        <f t="shared" si="1129"/>
        <v>0</v>
      </c>
      <c r="AE1306" s="592">
        <f t="shared" si="1129"/>
        <v>0</v>
      </c>
      <c r="AF1306" s="592">
        <f t="shared" si="1129"/>
        <v>0</v>
      </c>
      <c r="AH1306" s="538"/>
      <c r="AK1306" s="531"/>
      <c r="AM1306" s="594"/>
      <c r="AN1306" s="535"/>
      <c r="AP1306" s="540"/>
      <c r="AQ1306" s="540"/>
    </row>
    <row r="1307" spans="1:43" s="546" customFormat="1" ht="16.5" hidden="1" customHeight="1" outlineLevel="2">
      <c r="A1307" s="584"/>
      <c r="B1307" s="580" t="str">
        <f>B1240</f>
        <v>Coletor noturno</v>
      </c>
      <c r="C1307" s="570">
        <f>C1308*(C1309+C1310+C1311+C1312)</f>
        <v>0</v>
      </c>
      <c r="D1307" s="570">
        <f t="shared" ref="D1307:AF1307" si="1131">D1308*(D1309+D1310+D1311+D1312)</f>
        <v>0</v>
      </c>
      <c r="E1307" s="570">
        <f t="shared" si="1131"/>
        <v>0</v>
      </c>
      <c r="F1307" s="570">
        <f t="shared" si="1131"/>
        <v>0</v>
      </c>
      <c r="G1307" s="570">
        <f t="shared" si="1131"/>
        <v>0</v>
      </c>
      <c r="H1307" s="570">
        <f t="shared" si="1131"/>
        <v>0</v>
      </c>
      <c r="I1307" s="570">
        <f t="shared" si="1131"/>
        <v>1293.42</v>
      </c>
      <c r="J1307" s="570">
        <f t="shared" si="1131"/>
        <v>1293.42</v>
      </c>
      <c r="K1307" s="570">
        <f t="shared" si="1131"/>
        <v>1293.42</v>
      </c>
      <c r="L1307" s="570">
        <f t="shared" si="1131"/>
        <v>1293.42</v>
      </c>
      <c r="M1307" s="570">
        <f t="shared" si="1131"/>
        <v>1293.42</v>
      </c>
      <c r="N1307" s="570">
        <f t="shared" si="1131"/>
        <v>1293.42</v>
      </c>
      <c r="O1307" s="570">
        <f t="shared" si="1131"/>
        <v>1293.42</v>
      </c>
      <c r="P1307" s="570">
        <f t="shared" si="1131"/>
        <v>1293.42</v>
      </c>
      <c r="Q1307" s="570">
        <f t="shared" si="1131"/>
        <v>1293.42</v>
      </c>
      <c r="R1307" s="570">
        <f t="shared" si="1131"/>
        <v>1293.42</v>
      </c>
      <c r="S1307" s="570">
        <f t="shared" si="1131"/>
        <v>1293.42</v>
      </c>
      <c r="T1307" s="570">
        <f t="shared" si="1131"/>
        <v>1293.42</v>
      </c>
      <c r="U1307" s="570">
        <f t="shared" si="1131"/>
        <v>1293.42</v>
      </c>
      <c r="V1307" s="570">
        <f t="shared" si="1131"/>
        <v>1293.42</v>
      </c>
      <c r="W1307" s="570">
        <f t="shared" si="1131"/>
        <v>1293.42</v>
      </c>
      <c r="X1307" s="570">
        <f t="shared" si="1131"/>
        <v>1293.42</v>
      </c>
      <c r="Y1307" s="570">
        <f t="shared" si="1131"/>
        <v>1293.42</v>
      </c>
      <c r="Z1307" s="570">
        <f t="shared" si="1131"/>
        <v>1293.42</v>
      </c>
      <c r="AA1307" s="570">
        <f t="shared" si="1131"/>
        <v>1293.42</v>
      </c>
      <c r="AB1307" s="570">
        <f t="shared" si="1131"/>
        <v>1293.42</v>
      </c>
      <c r="AC1307" s="570">
        <f t="shared" si="1131"/>
        <v>1293.42</v>
      </c>
      <c r="AD1307" s="570">
        <f t="shared" si="1131"/>
        <v>1293.42</v>
      </c>
      <c r="AE1307" s="570">
        <f t="shared" si="1131"/>
        <v>1293.42</v>
      </c>
      <c r="AF1307" s="570">
        <f t="shared" si="1131"/>
        <v>1293.42</v>
      </c>
      <c r="AH1307" s="571"/>
      <c r="AK1307" s="531"/>
      <c r="AM1307" s="594"/>
      <c r="AN1307" s="535"/>
      <c r="AP1307" s="549"/>
      <c r="AQ1307" s="549"/>
    </row>
    <row r="1308" spans="1:43" s="586" customFormat="1" ht="16.5" hidden="1" customHeight="1" outlineLevel="2">
      <c r="A1308" s="584"/>
      <c r="B1308" s="585" t="s">
        <v>805</v>
      </c>
      <c r="C1308" s="716">
        <f>C1241</f>
        <v>0</v>
      </c>
      <c r="D1308" s="716">
        <f t="shared" ref="D1308:AF1308" si="1132">D1241</f>
        <v>0</v>
      </c>
      <c r="E1308" s="716">
        <f t="shared" si="1132"/>
        <v>0</v>
      </c>
      <c r="F1308" s="716">
        <f t="shared" si="1132"/>
        <v>0</v>
      </c>
      <c r="G1308" s="716">
        <f>G1241</f>
        <v>0</v>
      </c>
      <c r="H1308" s="716">
        <f>H1241</f>
        <v>0</v>
      </c>
      <c r="I1308" s="716">
        <f t="shared" si="1132"/>
        <v>2</v>
      </c>
      <c r="J1308" s="716">
        <f t="shared" si="1132"/>
        <v>2</v>
      </c>
      <c r="K1308" s="716">
        <f t="shared" si="1132"/>
        <v>2</v>
      </c>
      <c r="L1308" s="716">
        <f t="shared" si="1132"/>
        <v>2</v>
      </c>
      <c r="M1308" s="716">
        <f t="shared" si="1132"/>
        <v>2</v>
      </c>
      <c r="N1308" s="716">
        <f t="shared" si="1132"/>
        <v>2</v>
      </c>
      <c r="O1308" s="716">
        <f t="shared" si="1132"/>
        <v>2</v>
      </c>
      <c r="P1308" s="716">
        <f t="shared" si="1132"/>
        <v>2</v>
      </c>
      <c r="Q1308" s="716">
        <f t="shared" si="1132"/>
        <v>2</v>
      </c>
      <c r="R1308" s="716">
        <f t="shared" si="1132"/>
        <v>2</v>
      </c>
      <c r="S1308" s="716">
        <f t="shared" si="1132"/>
        <v>2</v>
      </c>
      <c r="T1308" s="716">
        <f t="shared" si="1132"/>
        <v>2</v>
      </c>
      <c r="U1308" s="716">
        <f t="shared" si="1132"/>
        <v>2</v>
      </c>
      <c r="V1308" s="716">
        <f t="shared" si="1132"/>
        <v>2</v>
      </c>
      <c r="W1308" s="716">
        <f t="shared" si="1132"/>
        <v>2</v>
      </c>
      <c r="X1308" s="716">
        <f t="shared" si="1132"/>
        <v>2</v>
      </c>
      <c r="Y1308" s="716">
        <f t="shared" si="1132"/>
        <v>2</v>
      </c>
      <c r="Z1308" s="716">
        <f t="shared" si="1132"/>
        <v>2</v>
      </c>
      <c r="AA1308" s="716">
        <f t="shared" si="1132"/>
        <v>2</v>
      </c>
      <c r="AB1308" s="716">
        <f t="shared" si="1132"/>
        <v>2</v>
      </c>
      <c r="AC1308" s="716">
        <f t="shared" si="1132"/>
        <v>2</v>
      </c>
      <c r="AD1308" s="716">
        <f t="shared" si="1132"/>
        <v>2</v>
      </c>
      <c r="AE1308" s="716">
        <f t="shared" si="1132"/>
        <v>2</v>
      </c>
      <c r="AF1308" s="716">
        <f t="shared" si="1132"/>
        <v>2</v>
      </c>
      <c r="AH1308" s="587"/>
      <c r="AK1308" s="588"/>
      <c r="AM1308" s="624"/>
      <c r="AN1308" s="590"/>
      <c r="AP1308" s="591"/>
      <c r="AQ1308" s="591"/>
    </row>
    <row r="1309" spans="1:43" s="513" customFormat="1" ht="16.5" hidden="1" customHeight="1" outlineLevel="2">
      <c r="A1309" s="584"/>
      <c r="B1309" s="585" t="s">
        <v>940</v>
      </c>
      <c r="C1309" s="592">
        <f>'Sal._benef.'!$I$19</f>
        <v>500</v>
      </c>
      <c r="D1309" s="592">
        <f>C1309</f>
        <v>500</v>
      </c>
      <c r="E1309" s="592">
        <f t="shared" ref="E1309:T1312" si="1133">D1309</f>
        <v>500</v>
      </c>
      <c r="F1309" s="592">
        <f t="shared" si="1133"/>
        <v>500</v>
      </c>
      <c r="G1309" s="592">
        <f t="shared" si="1133"/>
        <v>500</v>
      </c>
      <c r="H1309" s="592">
        <f t="shared" si="1133"/>
        <v>500</v>
      </c>
      <c r="I1309" s="592">
        <f t="shared" si="1133"/>
        <v>500</v>
      </c>
      <c r="J1309" s="592">
        <f t="shared" si="1133"/>
        <v>500</v>
      </c>
      <c r="K1309" s="592">
        <f t="shared" si="1133"/>
        <v>500</v>
      </c>
      <c r="L1309" s="592">
        <f t="shared" si="1133"/>
        <v>500</v>
      </c>
      <c r="M1309" s="592">
        <f t="shared" si="1133"/>
        <v>500</v>
      </c>
      <c r="N1309" s="592">
        <f t="shared" si="1133"/>
        <v>500</v>
      </c>
      <c r="O1309" s="592">
        <f t="shared" si="1133"/>
        <v>500</v>
      </c>
      <c r="P1309" s="592">
        <f t="shared" si="1133"/>
        <v>500</v>
      </c>
      <c r="Q1309" s="592">
        <f t="shared" si="1133"/>
        <v>500</v>
      </c>
      <c r="R1309" s="592">
        <f t="shared" si="1133"/>
        <v>500</v>
      </c>
      <c r="S1309" s="592">
        <f t="shared" si="1133"/>
        <v>500</v>
      </c>
      <c r="T1309" s="592">
        <f t="shared" si="1133"/>
        <v>500</v>
      </c>
      <c r="U1309" s="592">
        <f t="shared" ref="U1309:AF1312" si="1134">T1309</f>
        <v>500</v>
      </c>
      <c r="V1309" s="592">
        <f t="shared" si="1134"/>
        <v>500</v>
      </c>
      <c r="W1309" s="592">
        <f t="shared" si="1134"/>
        <v>500</v>
      </c>
      <c r="X1309" s="592">
        <f t="shared" si="1134"/>
        <v>500</v>
      </c>
      <c r="Y1309" s="592">
        <f t="shared" si="1134"/>
        <v>500</v>
      </c>
      <c r="Z1309" s="592">
        <f t="shared" si="1134"/>
        <v>500</v>
      </c>
      <c r="AA1309" s="592">
        <f t="shared" si="1134"/>
        <v>500</v>
      </c>
      <c r="AB1309" s="592">
        <f t="shared" si="1134"/>
        <v>500</v>
      </c>
      <c r="AC1309" s="592">
        <f t="shared" si="1134"/>
        <v>500</v>
      </c>
      <c r="AD1309" s="592">
        <f t="shared" si="1134"/>
        <v>500</v>
      </c>
      <c r="AE1309" s="592">
        <f t="shared" si="1134"/>
        <v>500</v>
      </c>
      <c r="AF1309" s="592">
        <f t="shared" si="1134"/>
        <v>500</v>
      </c>
      <c r="AH1309" s="538"/>
      <c r="AK1309" s="531"/>
      <c r="AM1309" s="594"/>
      <c r="AN1309" s="535"/>
      <c r="AP1309" s="540"/>
      <c r="AQ1309" s="540"/>
    </row>
    <row r="1310" spans="1:43" s="513" customFormat="1" ht="16.5" hidden="1" customHeight="1" outlineLevel="2">
      <c r="A1310" s="584"/>
      <c r="B1310" s="585" t="s">
        <v>941</v>
      </c>
      <c r="C1310" s="592">
        <f>'Sal._benef.'!$K$19</f>
        <v>5.53</v>
      </c>
      <c r="D1310" s="592">
        <f>C1310</f>
        <v>5.53</v>
      </c>
      <c r="E1310" s="592">
        <f t="shared" si="1133"/>
        <v>5.53</v>
      </c>
      <c r="F1310" s="592">
        <f t="shared" si="1133"/>
        <v>5.53</v>
      </c>
      <c r="G1310" s="592">
        <f t="shared" si="1133"/>
        <v>5.53</v>
      </c>
      <c r="H1310" s="592">
        <f t="shared" si="1133"/>
        <v>5.53</v>
      </c>
      <c r="I1310" s="592">
        <f t="shared" si="1133"/>
        <v>5.53</v>
      </c>
      <c r="J1310" s="592">
        <f t="shared" si="1133"/>
        <v>5.53</v>
      </c>
      <c r="K1310" s="592">
        <f t="shared" si="1133"/>
        <v>5.53</v>
      </c>
      <c r="L1310" s="592">
        <f t="shared" si="1133"/>
        <v>5.53</v>
      </c>
      <c r="M1310" s="592">
        <f t="shared" si="1133"/>
        <v>5.53</v>
      </c>
      <c r="N1310" s="592">
        <f t="shared" si="1133"/>
        <v>5.53</v>
      </c>
      <c r="O1310" s="592">
        <f t="shared" si="1133"/>
        <v>5.53</v>
      </c>
      <c r="P1310" s="592">
        <f t="shared" si="1133"/>
        <v>5.53</v>
      </c>
      <c r="Q1310" s="592">
        <f t="shared" si="1133"/>
        <v>5.53</v>
      </c>
      <c r="R1310" s="592">
        <f t="shared" si="1133"/>
        <v>5.53</v>
      </c>
      <c r="S1310" s="592">
        <f t="shared" si="1133"/>
        <v>5.53</v>
      </c>
      <c r="T1310" s="592">
        <f t="shared" si="1133"/>
        <v>5.53</v>
      </c>
      <c r="U1310" s="592">
        <f t="shared" si="1134"/>
        <v>5.53</v>
      </c>
      <c r="V1310" s="592">
        <f t="shared" si="1134"/>
        <v>5.53</v>
      </c>
      <c r="W1310" s="592">
        <f t="shared" si="1134"/>
        <v>5.53</v>
      </c>
      <c r="X1310" s="592">
        <f t="shared" si="1134"/>
        <v>5.53</v>
      </c>
      <c r="Y1310" s="592">
        <f t="shared" si="1134"/>
        <v>5.53</v>
      </c>
      <c r="Z1310" s="592">
        <f t="shared" si="1134"/>
        <v>5.53</v>
      </c>
      <c r="AA1310" s="592">
        <f t="shared" si="1134"/>
        <v>5.53</v>
      </c>
      <c r="AB1310" s="592">
        <f t="shared" si="1134"/>
        <v>5.53</v>
      </c>
      <c r="AC1310" s="592">
        <f t="shared" si="1134"/>
        <v>5.53</v>
      </c>
      <c r="AD1310" s="592">
        <f t="shared" si="1134"/>
        <v>5.53</v>
      </c>
      <c r="AE1310" s="592">
        <f t="shared" si="1134"/>
        <v>5.53</v>
      </c>
      <c r="AF1310" s="592">
        <f t="shared" si="1134"/>
        <v>5.53</v>
      </c>
      <c r="AH1310" s="538"/>
      <c r="AK1310" s="531"/>
      <c r="AM1310" s="594"/>
      <c r="AN1310" s="535"/>
      <c r="AP1310" s="540"/>
      <c r="AQ1310" s="540"/>
    </row>
    <row r="1311" spans="1:43" s="513" customFormat="1" ht="16.5" hidden="1" customHeight="1" outlineLevel="2">
      <c r="A1311" s="584"/>
      <c r="B1311" s="585" t="s">
        <v>942</v>
      </c>
      <c r="C1311" s="592">
        <f>'Sal._benef.'!$J$19</f>
        <v>141.18</v>
      </c>
      <c r="D1311" s="592">
        <f>C1311</f>
        <v>141.18</v>
      </c>
      <c r="E1311" s="592">
        <f t="shared" si="1133"/>
        <v>141.18</v>
      </c>
      <c r="F1311" s="592">
        <f t="shared" si="1133"/>
        <v>141.18</v>
      </c>
      <c r="G1311" s="592">
        <f t="shared" si="1133"/>
        <v>141.18</v>
      </c>
      <c r="H1311" s="592">
        <f t="shared" si="1133"/>
        <v>141.18</v>
      </c>
      <c r="I1311" s="592">
        <f t="shared" si="1133"/>
        <v>141.18</v>
      </c>
      <c r="J1311" s="592">
        <f t="shared" si="1133"/>
        <v>141.18</v>
      </c>
      <c r="K1311" s="592">
        <f t="shared" si="1133"/>
        <v>141.18</v>
      </c>
      <c r="L1311" s="592">
        <f t="shared" si="1133"/>
        <v>141.18</v>
      </c>
      <c r="M1311" s="592">
        <f t="shared" si="1133"/>
        <v>141.18</v>
      </c>
      <c r="N1311" s="592">
        <f t="shared" si="1133"/>
        <v>141.18</v>
      </c>
      <c r="O1311" s="592">
        <f t="shared" si="1133"/>
        <v>141.18</v>
      </c>
      <c r="P1311" s="592">
        <f t="shared" si="1133"/>
        <v>141.18</v>
      </c>
      <c r="Q1311" s="592">
        <f t="shared" si="1133"/>
        <v>141.18</v>
      </c>
      <c r="R1311" s="592">
        <f t="shared" si="1133"/>
        <v>141.18</v>
      </c>
      <c r="S1311" s="592">
        <f t="shared" si="1133"/>
        <v>141.18</v>
      </c>
      <c r="T1311" s="592">
        <f t="shared" si="1133"/>
        <v>141.18</v>
      </c>
      <c r="U1311" s="592">
        <f t="shared" si="1134"/>
        <v>141.18</v>
      </c>
      <c r="V1311" s="592">
        <f t="shared" si="1134"/>
        <v>141.18</v>
      </c>
      <c r="W1311" s="592">
        <f t="shared" si="1134"/>
        <v>141.18</v>
      </c>
      <c r="X1311" s="592">
        <f t="shared" si="1134"/>
        <v>141.18</v>
      </c>
      <c r="Y1311" s="592">
        <f t="shared" si="1134"/>
        <v>141.18</v>
      </c>
      <c r="Z1311" s="592">
        <f t="shared" si="1134"/>
        <v>141.18</v>
      </c>
      <c r="AA1311" s="592">
        <f t="shared" si="1134"/>
        <v>141.18</v>
      </c>
      <c r="AB1311" s="592">
        <f t="shared" si="1134"/>
        <v>141.18</v>
      </c>
      <c r="AC1311" s="592">
        <f t="shared" si="1134"/>
        <v>141.18</v>
      </c>
      <c r="AD1311" s="592">
        <f t="shared" si="1134"/>
        <v>141.18</v>
      </c>
      <c r="AE1311" s="592">
        <f t="shared" si="1134"/>
        <v>141.18</v>
      </c>
      <c r="AF1311" s="592">
        <f t="shared" si="1134"/>
        <v>141.18</v>
      </c>
      <c r="AH1311" s="538"/>
      <c r="AK1311" s="531"/>
      <c r="AM1311" s="594"/>
      <c r="AN1311" s="535"/>
      <c r="AP1311" s="540"/>
      <c r="AQ1311" s="540"/>
    </row>
    <row r="1312" spans="1:43" s="513" customFormat="1" ht="16.5" hidden="1" customHeight="1" outlineLevel="2">
      <c r="A1312" s="584"/>
      <c r="B1312" s="585" t="s">
        <v>862</v>
      </c>
      <c r="C1312" s="592">
        <v>0</v>
      </c>
      <c r="D1312" s="592">
        <f t="shared" ref="D1312" si="1135">C1312</f>
        <v>0</v>
      </c>
      <c r="E1312" s="592">
        <f t="shared" si="1133"/>
        <v>0</v>
      </c>
      <c r="F1312" s="592">
        <f t="shared" si="1133"/>
        <v>0</v>
      </c>
      <c r="G1312" s="592">
        <f t="shared" si="1133"/>
        <v>0</v>
      </c>
      <c r="H1312" s="592">
        <f t="shared" si="1133"/>
        <v>0</v>
      </c>
      <c r="I1312" s="592">
        <f t="shared" si="1133"/>
        <v>0</v>
      </c>
      <c r="J1312" s="592">
        <f t="shared" si="1133"/>
        <v>0</v>
      </c>
      <c r="K1312" s="592">
        <f t="shared" si="1133"/>
        <v>0</v>
      </c>
      <c r="L1312" s="592">
        <f t="shared" si="1133"/>
        <v>0</v>
      </c>
      <c r="M1312" s="592">
        <f t="shared" si="1133"/>
        <v>0</v>
      </c>
      <c r="N1312" s="592">
        <f t="shared" si="1133"/>
        <v>0</v>
      </c>
      <c r="O1312" s="592">
        <f t="shared" si="1133"/>
        <v>0</v>
      </c>
      <c r="P1312" s="592">
        <f t="shared" si="1133"/>
        <v>0</v>
      </c>
      <c r="Q1312" s="592">
        <f t="shared" si="1133"/>
        <v>0</v>
      </c>
      <c r="R1312" s="592">
        <f t="shared" si="1133"/>
        <v>0</v>
      </c>
      <c r="S1312" s="592">
        <f t="shared" si="1133"/>
        <v>0</v>
      </c>
      <c r="T1312" s="592">
        <f t="shared" si="1133"/>
        <v>0</v>
      </c>
      <c r="U1312" s="592">
        <f t="shared" si="1134"/>
        <v>0</v>
      </c>
      <c r="V1312" s="592">
        <f t="shared" si="1134"/>
        <v>0</v>
      </c>
      <c r="W1312" s="592">
        <f t="shared" si="1134"/>
        <v>0</v>
      </c>
      <c r="X1312" s="592">
        <f t="shared" si="1134"/>
        <v>0</v>
      </c>
      <c r="Y1312" s="592">
        <f t="shared" si="1134"/>
        <v>0</v>
      </c>
      <c r="Z1312" s="592">
        <f t="shared" si="1134"/>
        <v>0</v>
      </c>
      <c r="AA1312" s="592">
        <f t="shared" si="1134"/>
        <v>0</v>
      </c>
      <c r="AB1312" s="592">
        <f t="shared" si="1134"/>
        <v>0</v>
      </c>
      <c r="AC1312" s="592">
        <f t="shared" si="1134"/>
        <v>0</v>
      </c>
      <c r="AD1312" s="592">
        <f t="shared" si="1134"/>
        <v>0</v>
      </c>
      <c r="AE1312" s="592">
        <f t="shared" si="1134"/>
        <v>0</v>
      </c>
      <c r="AF1312" s="592">
        <f t="shared" si="1134"/>
        <v>0</v>
      </c>
      <c r="AH1312" s="538"/>
      <c r="AK1312" s="531"/>
      <c r="AM1312" s="594"/>
      <c r="AN1312" s="535"/>
      <c r="AP1312" s="540"/>
      <c r="AQ1312" s="540"/>
    </row>
    <row r="1313" spans="1:43" s="546" customFormat="1" ht="16.5" hidden="1" customHeight="1" outlineLevel="2">
      <c r="A1313" s="584"/>
      <c r="B1313" s="580" t="str">
        <f>B1247</f>
        <v>Operador de empilhadeira diurno e vespertino</v>
      </c>
      <c r="C1313" s="570">
        <f>C1314*(C1315+C1316+C1317+C1318)</f>
        <v>0</v>
      </c>
      <c r="D1313" s="570">
        <f t="shared" ref="D1313:AF1313" si="1136">D1314*(D1315+D1316+D1317+D1318)</f>
        <v>0</v>
      </c>
      <c r="E1313" s="570">
        <f t="shared" si="1136"/>
        <v>0</v>
      </c>
      <c r="F1313" s="570">
        <f t="shared" si="1136"/>
        <v>0</v>
      </c>
      <c r="G1313" s="570">
        <f t="shared" si="1136"/>
        <v>0</v>
      </c>
      <c r="H1313" s="570">
        <f t="shared" si="1136"/>
        <v>0</v>
      </c>
      <c r="I1313" s="570">
        <f t="shared" si="1136"/>
        <v>1821.7602000000002</v>
      </c>
      <c r="J1313" s="570">
        <f t="shared" si="1136"/>
        <v>1821.7602000000002</v>
      </c>
      <c r="K1313" s="570">
        <f t="shared" si="1136"/>
        <v>1821.7602000000002</v>
      </c>
      <c r="L1313" s="570">
        <f t="shared" si="1136"/>
        <v>1821.7602000000002</v>
      </c>
      <c r="M1313" s="570">
        <f t="shared" si="1136"/>
        <v>1821.7602000000002</v>
      </c>
      <c r="N1313" s="570">
        <f t="shared" si="1136"/>
        <v>1821.7602000000002</v>
      </c>
      <c r="O1313" s="570">
        <f t="shared" si="1136"/>
        <v>1821.7602000000002</v>
      </c>
      <c r="P1313" s="570">
        <f t="shared" si="1136"/>
        <v>1821.7602000000002</v>
      </c>
      <c r="Q1313" s="570">
        <f t="shared" si="1136"/>
        <v>1821.7602000000002</v>
      </c>
      <c r="R1313" s="570">
        <f t="shared" si="1136"/>
        <v>1821.7602000000002</v>
      </c>
      <c r="S1313" s="570">
        <f t="shared" si="1136"/>
        <v>1821.7602000000002</v>
      </c>
      <c r="T1313" s="570">
        <f t="shared" si="1136"/>
        <v>1821.7602000000002</v>
      </c>
      <c r="U1313" s="570">
        <f t="shared" si="1136"/>
        <v>1821.7602000000002</v>
      </c>
      <c r="V1313" s="570">
        <f t="shared" si="1136"/>
        <v>1821.7602000000002</v>
      </c>
      <c r="W1313" s="570">
        <f t="shared" si="1136"/>
        <v>1821.7602000000002</v>
      </c>
      <c r="X1313" s="570">
        <f t="shared" si="1136"/>
        <v>1821.7602000000002</v>
      </c>
      <c r="Y1313" s="570">
        <f t="shared" si="1136"/>
        <v>1821.7602000000002</v>
      </c>
      <c r="Z1313" s="570">
        <f t="shared" si="1136"/>
        <v>1821.7602000000002</v>
      </c>
      <c r="AA1313" s="570">
        <f t="shared" si="1136"/>
        <v>1821.7602000000002</v>
      </c>
      <c r="AB1313" s="570">
        <f t="shared" si="1136"/>
        <v>1821.7602000000002</v>
      </c>
      <c r="AC1313" s="570">
        <f t="shared" si="1136"/>
        <v>1821.7602000000002</v>
      </c>
      <c r="AD1313" s="570">
        <f t="shared" si="1136"/>
        <v>1821.7602000000002</v>
      </c>
      <c r="AE1313" s="570">
        <f t="shared" si="1136"/>
        <v>1821.7602000000002</v>
      </c>
      <c r="AF1313" s="570">
        <f t="shared" si="1136"/>
        <v>1821.7602000000002</v>
      </c>
      <c r="AH1313" s="571"/>
      <c r="AK1313" s="531"/>
      <c r="AM1313" s="594"/>
      <c r="AN1313" s="535"/>
      <c r="AP1313" s="549"/>
      <c r="AQ1313" s="549"/>
    </row>
    <row r="1314" spans="1:43" s="586" customFormat="1" ht="16.5" hidden="1" customHeight="1" outlineLevel="2">
      <c r="A1314" s="584"/>
      <c r="B1314" s="585" t="s">
        <v>805</v>
      </c>
      <c r="C1314" s="716">
        <f>C1248</f>
        <v>0</v>
      </c>
      <c r="D1314" s="716">
        <f t="shared" ref="D1314:AF1314" si="1137">D1248</f>
        <v>0</v>
      </c>
      <c r="E1314" s="716">
        <f t="shared" si="1137"/>
        <v>0</v>
      </c>
      <c r="F1314" s="716">
        <f t="shared" si="1137"/>
        <v>0</v>
      </c>
      <c r="G1314" s="716">
        <f>G1248</f>
        <v>0</v>
      </c>
      <c r="H1314" s="716">
        <f>H1248</f>
        <v>0</v>
      </c>
      <c r="I1314" s="716">
        <f t="shared" si="1137"/>
        <v>3</v>
      </c>
      <c r="J1314" s="716">
        <f t="shared" si="1137"/>
        <v>3</v>
      </c>
      <c r="K1314" s="716">
        <f t="shared" si="1137"/>
        <v>3</v>
      </c>
      <c r="L1314" s="716">
        <f t="shared" si="1137"/>
        <v>3</v>
      </c>
      <c r="M1314" s="716">
        <f t="shared" si="1137"/>
        <v>3</v>
      </c>
      <c r="N1314" s="716">
        <f t="shared" si="1137"/>
        <v>3</v>
      </c>
      <c r="O1314" s="716">
        <f t="shared" si="1137"/>
        <v>3</v>
      </c>
      <c r="P1314" s="716">
        <f t="shared" si="1137"/>
        <v>3</v>
      </c>
      <c r="Q1314" s="716">
        <f t="shared" si="1137"/>
        <v>3</v>
      </c>
      <c r="R1314" s="716">
        <f t="shared" si="1137"/>
        <v>3</v>
      </c>
      <c r="S1314" s="716">
        <f t="shared" si="1137"/>
        <v>3</v>
      </c>
      <c r="T1314" s="716">
        <f t="shared" si="1137"/>
        <v>3</v>
      </c>
      <c r="U1314" s="716">
        <f t="shared" si="1137"/>
        <v>3</v>
      </c>
      <c r="V1314" s="716">
        <f t="shared" si="1137"/>
        <v>3</v>
      </c>
      <c r="W1314" s="716">
        <f t="shared" si="1137"/>
        <v>3</v>
      </c>
      <c r="X1314" s="716">
        <f t="shared" si="1137"/>
        <v>3</v>
      </c>
      <c r="Y1314" s="716">
        <f t="shared" si="1137"/>
        <v>3</v>
      </c>
      <c r="Z1314" s="716">
        <f t="shared" si="1137"/>
        <v>3</v>
      </c>
      <c r="AA1314" s="716">
        <f t="shared" si="1137"/>
        <v>3</v>
      </c>
      <c r="AB1314" s="716">
        <f t="shared" si="1137"/>
        <v>3</v>
      </c>
      <c r="AC1314" s="716">
        <f t="shared" si="1137"/>
        <v>3</v>
      </c>
      <c r="AD1314" s="716">
        <f t="shared" si="1137"/>
        <v>3</v>
      </c>
      <c r="AE1314" s="716">
        <f t="shared" si="1137"/>
        <v>3</v>
      </c>
      <c r="AF1314" s="716">
        <f t="shared" si="1137"/>
        <v>3</v>
      </c>
      <c r="AH1314" s="587"/>
      <c r="AK1314" s="588"/>
      <c r="AM1314" s="624"/>
      <c r="AN1314" s="590"/>
      <c r="AP1314" s="591"/>
      <c r="AQ1314" s="591"/>
    </row>
    <row r="1315" spans="1:43" s="513" customFormat="1" ht="16.5" hidden="1" customHeight="1" outlineLevel="2">
      <c r="A1315" s="584"/>
      <c r="B1315" s="585" t="s">
        <v>940</v>
      </c>
      <c r="C1315" s="592">
        <f>'Sal._benef.'!$I$25</f>
        <v>500</v>
      </c>
      <c r="D1315" s="592">
        <f>C1315</f>
        <v>500</v>
      </c>
      <c r="E1315" s="592">
        <f t="shared" ref="E1315:T1318" si="1138">D1315</f>
        <v>500</v>
      </c>
      <c r="F1315" s="592">
        <f t="shared" si="1138"/>
        <v>500</v>
      </c>
      <c r="G1315" s="592">
        <f t="shared" si="1138"/>
        <v>500</v>
      </c>
      <c r="H1315" s="592">
        <f t="shared" si="1138"/>
        <v>500</v>
      </c>
      <c r="I1315" s="592">
        <f t="shared" si="1138"/>
        <v>500</v>
      </c>
      <c r="J1315" s="592">
        <f t="shared" si="1138"/>
        <v>500</v>
      </c>
      <c r="K1315" s="592">
        <f t="shared" si="1138"/>
        <v>500</v>
      </c>
      <c r="L1315" s="592">
        <f t="shared" si="1138"/>
        <v>500</v>
      </c>
      <c r="M1315" s="592">
        <f t="shared" si="1138"/>
        <v>500</v>
      </c>
      <c r="N1315" s="592">
        <f t="shared" si="1138"/>
        <v>500</v>
      </c>
      <c r="O1315" s="592">
        <f t="shared" si="1138"/>
        <v>500</v>
      </c>
      <c r="P1315" s="592">
        <f t="shared" si="1138"/>
        <v>500</v>
      </c>
      <c r="Q1315" s="592">
        <f t="shared" si="1138"/>
        <v>500</v>
      </c>
      <c r="R1315" s="592">
        <f t="shared" si="1138"/>
        <v>500</v>
      </c>
      <c r="S1315" s="592">
        <f t="shared" si="1138"/>
        <v>500</v>
      </c>
      <c r="T1315" s="592">
        <f t="shared" si="1138"/>
        <v>500</v>
      </c>
      <c r="U1315" s="592">
        <f t="shared" ref="U1315:AF1318" si="1139">T1315</f>
        <v>500</v>
      </c>
      <c r="V1315" s="592">
        <f t="shared" si="1139"/>
        <v>500</v>
      </c>
      <c r="W1315" s="592">
        <f t="shared" si="1139"/>
        <v>500</v>
      </c>
      <c r="X1315" s="592">
        <f t="shared" si="1139"/>
        <v>500</v>
      </c>
      <c r="Y1315" s="592">
        <f t="shared" si="1139"/>
        <v>500</v>
      </c>
      <c r="Z1315" s="592">
        <f t="shared" si="1139"/>
        <v>500</v>
      </c>
      <c r="AA1315" s="592">
        <f t="shared" si="1139"/>
        <v>500</v>
      </c>
      <c r="AB1315" s="592">
        <f t="shared" si="1139"/>
        <v>500</v>
      </c>
      <c r="AC1315" s="592">
        <f t="shared" si="1139"/>
        <v>500</v>
      </c>
      <c r="AD1315" s="592">
        <f t="shared" si="1139"/>
        <v>500</v>
      </c>
      <c r="AE1315" s="592">
        <f t="shared" si="1139"/>
        <v>500</v>
      </c>
      <c r="AF1315" s="592">
        <f t="shared" si="1139"/>
        <v>500</v>
      </c>
      <c r="AH1315" s="538"/>
      <c r="AK1315" s="531"/>
      <c r="AM1315" s="594"/>
      <c r="AN1315" s="535"/>
      <c r="AP1315" s="540"/>
      <c r="AQ1315" s="540"/>
    </row>
    <row r="1316" spans="1:43" s="513" customFormat="1" ht="16.5" hidden="1" customHeight="1" outlineLevel="2">
      <c r="A1316" s="584"/>
      <c r="B1316" s="585" t="s">
        <v>941</v>
      </c>
      <c r="C1316" s="592">
        <f>'Sal._benef.'!$K$25</f>
        <v>5.53</v>
      </c>
      <c r="D1316" s="592">
        <f>C1316</f>
        <v>5.53</v>
      </c>
      <c r="E1316" s="592">
        <f t="shared" si="1138"/>
        <v>5.53</v>
      </c>
      <c r="F1316" s="592">
        <f t="shared" si="1138"/>
        <v>5.53</v>
      </c>
      <c r="G1316" s="592">
        <f t="shared" si="1138"/>
        <v>5.53</v>
      </c>
      <c r="H1316" s="592">
        <f t="shared" si="1138"/>
        <v>5.53</v>
      </c>
      <c r="I1316" s="592">
        <f t="shared" si="1138"/>
        <v>5.53</v>
      </c>
      <c r="J1316" s="592">
        <f t="shared" si="1138"/>
        <v>5.53</v>
      </c>
      <c r="K1316" s="592">
        <f t="shared" si="1138"/>
        <v>5.53</v>
      </c>
      <c r="L1316" s="592">
        <f t="shared" si="1138"/>
        <v>5.53</v>
      </c>
      <c r="M1316" s="592">
        <f t="shared" si="1138"/>
        <v>5.53</v>
      </c>
      <c r="N1316" s="592">
        <f t="shared" si="1138"/>
        <v>5.53</v>
      </c>
      <c r="O1316" s="592">
        <f t="shared" si="1138"/>
        <v>5.53</v>
      </c>
      <c r="P1316" s="592">
        <f t="shared" si="1138"/>
        <v>5.53</v>
      </c>
      <c r="Q1316" s="592">
        <f t="shared" si="1138"/>
        <v>5.53</v>
      </c>
      <c r="R1316" s="592">
        <f t="shared" si="1138"/>
        <v>5.53</v>
      </c>
      <c r="S1316" s="592">
        <f t="shared" si="1138"/>
        <v>5.53</v>
      </c>
      <c r="T1316" s="592">
        <f t="shared" si="1138"/>
        <v>5.53</v>
      </c>
      <c r="U1316" s="592">
        <f t="shared" si="1139"/>
        <v>5.53</v>
      </c>
      <c r="V1316" s="592">
        <f t="shared" si="1139"/>
        <v>5.53</v>
      </c>
      <c r="W1316" s="592">
        <f t="shared" si="1139"/>
        <v>5.53</v>
      </c>
      <c r="X1316" s="592">
        <f t="shared" si="1139"/>
        <v>5.53</v>
      </c>
      <c r="Y1316" s="592">
        <f t="shared" si="1139"/>
        <v>5.53</v>
      </c>
      <c r="Z1316" s="592">
        <f t="shared" si="1139"/>
        <v>5.53</v>
      </c>
      <c r="AA1316" s="592">
        <f t="shared" si="1139"/>
        <v>5.53</v>
      </c>
      <c r="AB1316" s="592">
        <f t="shared" si="1139"/>
        <v>5.53</v>
      </c>
      <c r="AC1316" s="592">
        <f t="shared" si="1139"/>
        <v>5.53</v>
      </c>
      <c r="AD1316" s="592">
        <f t="shared" si="1139"/>
        <v>5.53</v>
      </c>
      <c r="AE1316" s="592">
        <f t="shared" si="1139"/>
        <v>5.53</v>
      </c>
      <c r="AF1316" s="592">
        <f t="shared" si="1139"/>
        <v>5.53</v>
      </c>
      <c r="AH1316" s="538"/>
      <c r="AK1316" s="531"/>
      <c r="AM1316" s="594"/>
      <c r="AN1316" s="535"/>
      <c r="AP1316" s="540"/>
      <c r="AQ1316" s="540"/>
    </row>
    <row r="1317" spans="1:43" s="513" customFormat="1" ht="16.5" hidden="1" customHeight="1" outlineLevel="2">
      <c r="A1317" s="584"/>
      <c r="B1317" s="585" t="s">
        <v>942</v>
      </c>
      <c r="C1317" s="592">
        <f>'Sal._benef.'!$J$25</f>
        <v>101.72340000000003</v>
      </c>
      <c r="D1317" s="592">
        <f>C1317</f>
        <v>101.72340000000003</v>
      </c>
      <c r="E1317" s="592">
        <f t="shared" si="1138"/>
        <v>101.72340000000003</v>
      </c>
      <c r="F1317" s="592">
        <f t="shared" si="1138"/>
        <v>101.72340000000003</v>
      </c>
      <c r="G1317" s="592">
        <f t="shared" si="1138"/>
        <v>101.72340000000003</v>
      </c>
      <c r="H1317" s="592">
        <f t="shared" si="1138"/>
        <v>101.72340000000003</v>
      </c>
      <c r="I1317" s="592">
        <f t="shared" si="1138"/>
        <v>101.72340000000003</v>
      </c>
      <c r="J1317" s="592">
        <f t="shared" si="1138"/>
        <v>101.72340000000003</v>
      </c>
      <c r="K1317" s="592">
        <f t="shared" si="1138"/>
        <v>101.72340000000003</v>
      </c>
      <c r="L1317" s="592">
        <f t="shared" si="1138"/>
        <v>101.72340000000003</v>
      </c>
      <c r="M1317" s="592">
        <f t="shared" si="1138"/>
        <v>101.72340000000003</v>
      </c>
      <c r="N1317" s="592">
        <f t="shared" si="1138"/>
        <v>101.72340000000003</v>
      </c>
      <c r="O1317" s="592">
        <f t="shared" si="1138"/>
        <v>101.72340000000003</v>
      </c>
      <c r="P1317" s="592">
        <f t="shared" si="1138"/>
        <v>101.72340000000003</v>
      </c>
      <c r="Q1317" s="592">
        <f t="shared" si="1138"/>
        <v>101.72340000000003</v>
      </c>
      <c r="R1317" s="592">
        <f t="shared" si="1138"/>
        <v>101.72340000000003</v>
      </c>
      <c r="S1317" s="592">
        <f t="shared" si="1138"/>
        <v>101.72340000000003</v>
      </c>
      <c r="T1317" s="592">
        <f t="shared" si="1138"/>
        <v>101.72340000000003</v>
      </c>
      <c r="U1317" s="592">
        <f t="shared" si="1139"/>
        <v>101.72340000000003</v>
      </c>
      <c r="V1317" s="592">
        <f t="shared" si="1139"/>
        <v>101.72340000000003</v>
      </c>
      <c r="W1317" s="592">
        <f t="shared" si="1139"/>
        <v>101.72340000000003</v>
      </c>
      <c r="X1317" s="592">
        <f t="shared" si="1139"/>
        <v>101.72340000000003</v>
      </c>
      <c r="Y1317" s="592">
        <f t="shared" si="1139"/>
        <v>101.72340000000003</v>
      </c>
      <c r="Z1317" s="592">
        <f t="shared" si="1139"/>
        <v>101.72340000000003</v>
      </c>
      <c r="AA1317" s="592">
        <f t="shared" si="1139"/>
        <v>101.72340000000003</v>
      </c>
      <c r="AB1317" s="592">
        <f t="shared" si="1139"/>
        <v>101.72340000000003</v>
      </c>
      <c r="AC1317" s="592">
        <f t="shared" si="1139"/>
        <v>101.72340000000003</v>
      </c>
      <c r="AD1317" s="592">
        <f t="shared" si="1139"/>
        <v>101.72340000000003</v>
      </c>
      <c r="AE1317" s="592">
        <f t="shared" si="1139"/>
        <v>101.72340000000003</v>
      </c>
      <c r="AF1317" s="592">
        <f t="shared" si="1139"/>
        <v>101.72340000000003</v>
      </c>
      <c r="AH1317" s="538"/>
      <c r="AK1317" s="531"/>
      <c r="AM1317" s="594"/>
      <c r="AN1317" s="535"/>
      <c r="AP1317" s="540"/>
      <c r="AQ1317" s="540"/>
    </row>
    <row r="1318" spans="1:43" s="513" customFormat="1" ht="16.5" hidden="1" customHeight="1" outlineLevel="2">
      <c r="A1318" s="584"/>
      <c r="B1318" s="585" t="s">
        <v>862</v>
      </c>
      <c r="C1318" s="592">
        <v>0</v>
      </c>
      <c r="D1318" s="592">
        <f t="shared" ref="D1318" si="1140">C1318</f>
        <v>0</v>
      </c>
      <c r="E1318" s="592">
        <f t="shared" si="1138"/>
        <v>0</v>
      </c>
      <c r="F1318" s="592">
        <f t="shared" si="1138"/>
        <v>0</v>
      </c>
      <c r="G1318" s="592">
        <f t="shared" si="1138"/>
        <v>0</v>
      </c>
      <c r="H1318" s="592">
        <f t="shared" si="1138"/>
        <v>0</v>
      </c>
      <c r="I1318" s="592">
        <f t="shared" si="1138"/>
        <v>0</v>
      </c>
      <c r="J1318" s="592">
        <f t="shared" si="1138"/>
        <v>0</v>
      </c>
      <c r="K1318" s="592">
        <f t="shared" si="1138"/>
        <v>0</v>
      </c>
      <c r="L1318" s="592">
        <f t="shared" si="1138"/>
        <v>0</v>
      </c>
      <c r="M1318" s="592">
        <f t="shared" si="1138"/>
        <v>0</v>
      </c>
      <c r="N1318" s="592">
        <f t="shared" si="1138"/>
        <v>0</v>
      </c>
      <c r="O1318" s="592">
        <f t="shared" si="1138"/>
        <v>0</v>
      </c>
      <c r="P1318" s="592">
        <f t="shared" si="1138"/>
        <v>0</v>
      </c>
      <c r="Q1318" s="592">
        <f t="shared" si="1138"/>
        <v>0</v>
      </c>
      <c r="R1318" s="592">
        <f t="shared" si="1138"/>
        <v>0</v>
      </c>
      <c r="S1318" s="592">
        <f t="shared" si="1138"/>
        <v>0</v>
      </c>
      <c r="T1318" s="592">
        <f t="shared" si="1138"/>
        <v>0</v>
      </c>
      <c r="U1318" s="592">
        <f t="shared" si="1139"/>
        <v>0</v>
      </c>
      <c r="V1318" s="592">
        <f t="shared" si="1139"/>
        <v>0</v>
      </c>
      <c r="W1318" s="592">
        <f t="shared" si="1139"/>
        <v>0</v>
      </c>
      <c r="X1318" s="592">
        <f t="shared" si="1139"/>
        <v>0</v>
      </c>
      <c r="Y1318" s="592">
        <f t="shared" si="1139"/>
        <v>0</v>
      </c>
      <c r="Z1318" s="592">
        <f t="shared" si="1139"/>
        <v>0</v>
      </c>
      <c r="AA1318" s="592">
        <f t="shared" si="1139"/>
        <v>0</v>
      </c>
      <c r="AB1318" s="592">
        <f t="shared" si="1139"/>
        <v>0</v>
      </c>
      <c r="AC1318" s="592">
        <f t="shared" si="1139"/>
        <v>0</v>
      </c>
      <c r="AD1318" s="592">
        <f t="shared" si="1139"/>
        <v>0</v>
      </c>
      <c r="AE1318" s="592">
        <f t="shared" si="1139"/>
        <v>0</v>
      </c>
      <c r="AF1318" s="592">
        <f t="shared" si="1139"/>
        <v>0</v>
      </c>
      <c r="AH1318" s="538"/>
      <c r="AK1318" s="531"/>
      <c r="AM1318" s="594"/>
      <c r="AN1318" s="535"/>
      <c r="AP1318" s="540"/>
      <c r="AQ1318" s="540"/>
    </row>
    <row r="1319" spans="1:43" s="546" customFormat="1" ht="16.5" hidden="1" customHeight="1" outlineLevel="2">
      <c r="A1319" s="584"/>
      <c r="B1319" s="580" t="str">
        <f>B1254</f>
        <v>Operador de empilhadeira noturno</v>
      </c>
      <c r="C1319" s="570">
        <f>C1320*(C1321+C1322+C1323+C1324)</f>
        <v>0</v>
      </c>
      <c r="D1319" s="570">
        <f t="shared" ref="D1319:AF1319" si="1141">D1320*(D1321+D1322+D1323+D1324)</f>
        <v>0</v>
      </c>
      <c r="E1319" s="570">
        <f t="shared" si="1141"/>
        <v>0</v>
      </c>
      <c r="F1319" s="570">
        <f t="shared" si="1141"/>
        <v>0</v>
      </c>
      <c r="G1319" s="570">
        <f t="shared" si="1141"/>
        <v>0</v>
      </c>
      <c r="H1319" s="570">
        <f t="shared" si="1141"/>
        <v>0</v>
      </c>
      <c r="I1319" s="570">
        <f t="shared" si="1141"/>
        <v>1214.5068000000001</v>
      </c>
      <c r="J1319" s="570">
        <f t="shared" si="1141"/>
        <v>1214.5068000000001</v>
      </c>
      <c r="K1319" s="570">
        <f t="shared" si="1141"/>
        <v>1214.5068000000001</v>
      </c>
      <c r="L1319" s="570">
        <f t="shared" si="1141"/>
        <v>1214.5068000000001</v>
      </c>
      <c r="M1319" s="570">
        <f t="shared" si="1141"/>
        <v>1214.5068000000001</v>
      </c>
      <c r="N1319" s="570">
        <f t="shared" si="1141"/>
        <v>1214.5068000000001</v>
      </c>
      <c r="O1319" s="570">
        <f t="shared" si="1141"/>
        <v>1214.5068000000001</v>
      </c>
      <c r="P1319" s="570">
        <f t="shared" si="1141"/>
        <v>1214.5068000000001</v>
      </c>
      <c r="Q1319" s="570">
        <f t="shared" si="1141"/>
        <v>1214.5068000000001</v>
      </c>
      <c r="R1319" s="570">
        <f t="shared" si="1141"/>
        <v>1214.5068000000001</v>
      </c>
      <c r="S1319" s="570">
        <f t="shared" si="1141"/>
        <v>1214.5068000000001</v>
      </c>
      <c r="T1319" s="570">
        <f t="shared" si="1141"/>
        <v>1214.5068000000001</v>
      </c>
      <c r="U1319" s="570">
        <f t="shared" si="1141"/>
        <v>1214.5068000000001</v>
      </c>
      <c r="V1319" s="570">
        <f t="shared" si="1141"/>
        <v>1214.5068000000001</v>
      </c>
      <c r="W1319" s="570">
        <f t="shared" si="1141"/>
        <v>1214.5068000000001</v>
      </c>
      <c r="X1319" s="570">
        <f t="shared" si="1141"/>
        <v>1214.5068000000001</v>
      </c>
      <c r="Y1319" s="570">
        <f t="shared" si="1141"/>
        <v>1214.5068000000001</v>
      </c>
      <c r="Z1319" s="570">
        <f t="shared" si="1141"/>
        <v>1214.5068000000001</v>
      </c>
      <c r="AA1319" s="570">
        <f t="shared" si="1141"/>
        <v>1214.5068000000001</v>
      </c>
      <c r="AB1319" s="570">
        <f t="shared" si="1141"/>
        <v>1214.5068000000001</v>
      </c>
      <c r="AC1319" s="570">
        <f t="shared" si="1141"/>
        <v>1214.5068000000001</v>
      </c>
      <c r="AD1319" s="570">
        <f t="shared" si="1141"/>
        <v>1214.5068000000001</v>
      </c>
      <c r="AE1319" s="570">
        <f t="shared" si="1141"/>
        <v>1214.5068000000001</v>
      </c>
      <c r="AF1319" s="570">
        <f t="shared" si="1141"/>
        <v>1214.5068000000001</v>
      </c>
      <c r="AH1319" s="571"/>
      <c r="AK1319" s="531"/>
      <c r="AM1319" s="594"/>
      <c r="AN1319" s="535"/>
      <c r="AP1319" s="549"/>
      <c r="AQ1319" s="549"/>
    </row>
    <row r="1320" spans="1:43" s="586" customFormat="1" ht="16.5" hidden="1" customHeight="1" outlineLevel="2">
      <c r="A1320" s="584"/>
      <c r="B1320" s="585" t="s">
        <v>805</v>
      </c>
      <c r="C1320" s="716">
        <f>C1255</f>
        <v>0</v>
      </c>
      <c r="D1320" s="716">
        <f t="shared" ref="D1320:AF1320" si="1142">D1255</f>
        <v>0</v>
      </c>
      <c r="E1320" s="716">
        <f t="shared" si="1142"/>
        <v>0</v>
      </c>
      <c r="F1320" s="716">
        <f t="shared" si="1142"/>
        <v>0</v>
      </c>
      <c r="G1320" s="716">
        <f>G1255</f>
        <v>0</v>
      </c>
      <c r="H1320" s="716">
        <f>H1255</f>
        <v>0</v>
      </c>
      <c r="I1320" s="716">
        <f t="shared" si="1142"/>
        <v>2</v>
      </c>
      <c r="J1320" s="716">
        <f t="shared" si="1142"/>
        <v>2</v>
      </c>
      <c r="K1320" s="716">
        <f t="shared" si="1142"/>
        <v>2</v>
      </c>
      <c r="L1320" s="716">
        <f t="shared" si="1142"/>
        <v>2</v>
      </c>
      <c r="M1320" s="716">
        <f t="shared" si="1142"/>
        <v>2</v>
      </c>
      <c r="N1320" s="716">
        <f t="shared" si="1142"/>
        <v>2</v>
      </c>
      <c r="O1320" s="716">
        <f t="shared" si="1142"/>
        <v>2</v>
      </c>
      <c r="P1320" s="716">
        <f t="shared" si="1142"/>
        <v>2</v>
      </c>
      <c r="Q1320" s="716">
        <f t="shared" si="1142"/>
        <v>2</v>
      </c>
      <c r="R1320" s="716">
        <f t="shared" si="1142"/>
        <v>2</v>
      </c>
      <c r="S1320" s="716">
        <f t="shared" si="1142"/>
        <v>2</v>
      </c>
      <c r="T1320" s="716">
        <f t="shared" si="1142"/>
        <v>2</v>
      </c>
      <c r="U1320" s="716">
        <f t="shared" si="1142"/>
        <v>2</v>
      </c>
      <c r="V1320" s="716">
        <f t="shared" si="1142"/>
        <v>2</v>
      </c>
      <c r="W1320" s="716">
        <f t="shared" si="1142"/>
        <v>2</v>
      </c>
      <c r="X1320" s="716">
        <f t="shared" si="1142"/>
        <v>2</v>
      </c>
      <c r="Y1320" s="716">
        <f t="shared" si="1142"/>
        <v>2</v>
      </c>
      <c r="Z1320" s="716">
        <f t="shared" si="1142"/>
        <v>2</v>
      </c>
      <c r="AA1320" s="716">
        <f t="shared" si="1142"/>
        <v>2</v>
      </c>
      <c r="AB1320" s="716">
        <f t="shared" si="1142"/>
        <v>2</v>
      </c>
      <c r="AC1320" s="716">
        <f t="shared" si="1142"/>
        <v>2</v>
      </c>
      <c r="AD1320" s="716">
        <f t="shared" si="1142"/>
        <v>2</v>
      </c>
      <c r="AE1320" s="716">
        <f t="shared" si="1142"/>
        <v>2</v>
      </c>
      <c r="AF1320" s="716">
        <f t="shared" si="1142"/>
        <v>2</v>
      </c>
      <c r="AH1320" s="587"/>
      <c r="AK1320" s="588"/>
      <c r="AM1320" s="624"/>
      <c r="AN1320" s="590"/>
      <c r="AP1320" s="591"/>
      <c r="AQ1320" s="591"/>
    </row>
    <row r="1321" spans="1:43" s="513" customFormat="1" ht="16.5" hidden="1" customHeight="1" outlineLevel="2">
      <c r="A1321" s="584"/>
      <c r="B1321" s="585" t="s">
        <v>940</v>
      </c>
      <c r="C1321" s="592">
        <f>'Sal._benef.'!$I$25</f>
        <v>500</v>
      </c>
      <c r="D1321" s="592">
        <f>C1321</f>
        <v>500</v>
      </c>
      <c r="E1321" s="592">
        <f t="shared" ref="E1321:T1324" si="1143">D1321</f>
        <v>500</v>
      </c>
      <c r="F1321" s="592">
        <f t="shared" si="1143"/>
        <v>500</v>
      </c>
      <c r="G1321" s="592">
        <f t="shared" si="1143"/>
        <v>500</v>
      </c>
      <c r="H1321" s="592">
        <f t="shared" si="1143"/>
        <v>500</v>
      </c>
      <c r="I1321" s="592">
        <f t="shared" si="1143"/>
        <v>500</v>
      </c>
      <c r="J1321" s="592">
        <f t="shared" si="1143"/>
        <v>500</v>
      </c>
      <c r="K1321" s="592">
        <f t="shared" si="1143"/>
        <v>500</v>
      </c>
      <c r="L1321" s="592">
        <f t="shared" si="1143"/>
        <v>500</v>
      </c>
      <c r="M1321" s="592">
        <f t="shared" si="1143"/>
        <v>500</v>
      </c>
      <c r="N1321" s="592">
        <f t="shared" si="1143"/>
        <v>500</v>
      </c>
      <c r="O1321" s="592">
        <f t="shared" si="1143"/>
        <v>500</v>
      </c>
      <c r="P1321" s="592">
        <f t="shared" si="1143"/>
        <v>500</v>
      </c>
      <c r="Q1321" s="592">
        <f t="shared" si="1143"/>
        <v>500</v>
      </c>
      <c r="R1321" s="592">
        <f t="shared" si="1143"/>
        <v>500</v>
      </c>
      <c r="S1321" s="592">
        <f t="shared" si="1143"/>
        <v>500</v>
      </c>
      <c r="T1321" s="592">
        <f t="shared" si="1143"/>
        <v>500</v>
      </c>
      <c r="U1321" s="592">
        <f t="shared" ref="U1321:AF1324" si="1144">T1321</f>
        <v>500</v>
      </c>
      <c r="V1321" s="592">
        <f t="shared" si="1144"/>
        <v>500</v>
      </c>
      <c r="W1321" s="592">
        <f t="shared" si="1144"/>
        <v>500</v>
      </c>
      <c r="X1321" s="592">
        <f t="shared" si="1144"/>
        <v>500</v>
      </c>
      <c r="Y1321" s="592">
        <f t="shared" si="1144"/>
        <v>500</v>
      </c>
      <c r="Z1321" s="592">
        <f t="shared" si="1144"/>
        <v>500</v>
      </c>
      <c r="AA1321" s="592">
        <f t="shared" si="1144"/>
        <v>500</v>
      </c>
      <c r="AB1321" s="592">
        <f t="shared" si="1144"/>
        <v>500</v>
      </c>
      <c r="AC1321" s="592">
        <f t="shared" si="1144"/>
        <v>500</v>
      </c>
      <c r="AD1321" s="592">
        <f t="shared" si="1144"/>
        <v>500</v>
      </c>
      <c r="AE1321" s="592">
        <f t="shared" si="1144"/>
        <v>500</v>
      </c>
      <c r="AF1321" s="592">
        <f t="shared" si="1144"/>
        <v>500</v>
      </c>
      <c r="AH1321" s="538"/>
      <c r="AK1321" s="531"/>
      <c r="AM1321" s="594"/>
      <c r="AN1321" s="535"/>
      <c r="AP1321" s="540"/>
      <c r="AQ1321" s="540"/>
    </row>
    <row r="1322" spans="1:43" s="513" customFormat="1" ht="16.5" hidden="1" customHeight="1" outlineLevel="2">
      <c r="A1322" s="584"/>
      <c r="B1322" s="585" t="s">
        <v>941</v>
      </c>
      <c r="C1322" s="592">
        <f>'Sal._benef.'!$K$25</f>
        <v>5.53</v>
      </c>
      <c r="D1322" s="592">
        <f>C1322</f>
        <v>5.53</v>
      </c>
      <c r="E1322" s="592">
        <f t="shared" si="1143"/>
        <v>5.53</v>
      </c>
      <c r="F1322" s="592">
        <f t="shared" si="1143"/>
        <v>5.53</v>
      </c>
      <c r="G1322" s="592">
        <f t="shared" si="1143"/>
        <v>5.53</v>
      </c>
      <c r="H1322" s="592">
        <f t="shared" si="1143"/>
        <v>5.53</v>
      </c>
      <c r="I1322" s="592">
        <f t="shared" si="1143"/>
        <v>5.53</v>
      </c>
      <c r="J1322" s="592">
        <f t="shared" si="1143"/>
        <v>5.53</v>
      </c>
      <c r="K1322" s="592">
        <f t="shared" si="1143"/>
        <v>5.53</v>
      </c>
      <c r="L1322" s="592">
        <f t="shared" si="1143"/>
        <v>5.53</v>
      </c>
      <c r="M1322" s="592">
        <f t="shared" si="1143"/>
        <v>5.53</v>
      </c>
      <c r="N1322" s="592">
        <f t="shared" si="1143"/>
        <v>5.53</v>
      </c>
      <c r="O1322" s="592">
        <f t="shared" si="1143"/>
        <v>5.53</v>
      </c>
      <c r="P1322" s="592">
        <f t="shared" si="1143"/>
        <v>5.53</v>
      </c>
      <c r="Q1322" s="592">
        <f t="shared" si="1143"/>
        <v>5.53</v>
      </c>
      <c r="R1322" s="592">
        <f t="shared" si="1143"/>
        <v>5.53</v>
      </c>
      <c r="S1322" s="592">
        <f t="shared" si="1143"/>
        <v>5.53</v>
      </c>
      <c r="T1322" s="592">
        <f t="shared" si="1143"/>
        <v>5.53</v>
      </c>
      <c r="U1322" s="592">
        <f t="shared" si="1144"/>
        <v>5.53</v>
      </c>
      <c r="V1322" s="592">
        <f t="shared" si="1144"/>
        <v>5.53</v>
      </c>
      <c r="W1322" s="592">
        <f t="shared" si="1144"/>
        <v>5.53</v>
      </c>
      <c r="X1322" s="592">
        <f t="shared" si="1144"/>
        <v>5.53</v>
      </c>
      <c r="Y1322" s="592">
        <f t="shared" si="1144"/>
        <v>5.53</v>
      </c>
      <c r="Z1322" s="592">
        <f t="shared" si="1144"/>
        <v>5.53</v>
      </c>
      <c r="AA1322" s="592">
        <f t="shared" si="1144"/>
        <v>5.53</v>
      </c>
      <c r="AB1322" s="592">
        <f t="shared" si="1144"/>
        <v>5.53</v>
      </c>
      <c r="AC1322" s="592">
        <f t="shared" si="1144"/>
        <v>5.53</v>
      </c>
      <c r="AD1322" s="592">
        <f t="shared" si="1144"/>
        <v>5.53</v>
      </c>
      <c r="AE1322" s="592">
        <f t="shared" si="1144"/>
        <v>5.53</v>
      </c>
      <c r="AF1322" s="592">
        <f t="shared" si="1144"/>
        <v>5.53</v>
      </c>
      <c r="AH1322" s="538"/>
      <c r="AK1322" s="531"/>
      <c r="AM1322" s="594"/>
      <c r="AN1322" s="535"/>
      <c r="AP1322" s="540"/>
      <c r="AQ1322" s="540"/>
    </row>
    <row r="1323" spans="1:43" s="513" customFormat="1" ht="16.5" hidden="1" customHeight="1" outlineLevel="2">
      <c r="A1323" s="584"/>
      <c r="B1323" s="585" t="s">
        <v>942</v>
      </c>
      <c r="C1323" s="592">
        <f>'Sal._benef.'!$J$25</f>
        <v>101.72340000000003</v>
      </c>
      <c r="D1323" s="592">
        <f>C1323</f>
        <v>101.72340000000003</v>
      </c>
      <c r="E1323" s="592">
        <f t="shared" si="1143"/>
        <v>101.72340000000003</v>
      </c>
      <c r="F1323" s="592">
        <f t="shared" si="1143"/>
        <v>101.72340000000003</v>
      </c>
      <c r="G1323" s="592">
        <f t="shared" si="1143"/>
        <v>101.72340000000003</v>
      </c>
      <c r="H1323" s="592">
        <f t="shared" si="1143"/>
        <v>101.72340000000003</v>
      </c>
      <c r="I1323" s="592">
        <f t="shared" si="1143"/>
        <v>101.72340000000003</v>
      </c>
      <c r="J1323" s="592">
        <f t="shared" si="1143"/>
        <v>101.72340000000003</v>
      </c>
      <c r="K1323" s="592">
        <f t="shared" si="1143"/>
        <v>101.72340000000003</v>
      </c>
      <c r="L1323" s="592">
        <f t="shared" si="1143"/>
        <v>101.72340000000003</v>
      </c>
      <c r="M1323" s="592">
        <f t="shared" si="1143"/>
        <v>101.72340000000003</v>
      </c>
      <c r="N1323" s="592">
        <f t="shared" si="1143"/>
        <v>101.72340000000003</v>
      </c>
      <c r="O1323" s="592">
        <f t="shared" si="1143"/>
        <v>101.72340000000003</v>
      </c>
      <c r="P1323" s="592">
        <f t="shared" si="1143"/>
        <v>101.72340000000003</v>
      </c>
      <c r="Q1323" s="592">
        <f t="shared" si="1143"/>
        <v>101.72340000000003</v>
      </c>
      <c r="R1323" s="592">
        <f t="shared" si="1143"/>
        <v>101.72340000000003</v>
      </c>
      <c r="S1323" s="592">
        <f t="shared" si="1143"/>
        <v>101.72340000000003</v>
      </c>
      <c r="T1323" s="592">
        <f t="shared" si="1143"/>
        <v>101.72340000000003</v>
      </c>
      <c r="U1323" s="592">
        <f t="shared" si="1144"/>
        <v>101.72340000000003</v>
      </c>
      <c r="V1323" s="592">
        <f t="shared" si="1144"/>
        <v>101.72340000000003</v>
      </c>
      <c r="W1323" s="592">
        <f t="shared" si="1144"/>
        <v>101.72340000000003</v>
      </c>
      <c r="X1323" s="592">
        <f t="shared" si="1144"/>
        <v>101.72340000000003</v>
      </c>
      <c r="Y1323" s="592">
        <f t="shared" si="1144"/>
        <v>101.72340000000003</v>
      </c>
      <c r="Z1323" s="592">
        <f t="shared" si="1144"/>
        <v>101.72340000000003</v>
      </c>
      <c r="AA1323" s="592">
        <f t="shared" si="1144"/>
        <v>101.72340000000003</v>
      </c>
      <c r="AB1323" s="592">
        <f t="shared" si="1144"/>
        <v>101.72340000000003</v>
      </c>
      <c r="AC1323" s="592">
        <f t="shared" si="1144"/>
        <v>101.72340000000003</v>
      </c>
      <c r="AD1323" s="592">
        <f t="shared" si="1144"/>
        <v>101.72340000000003</v>
      </c>
      <c r="AE1323" s="592">
        <f t="shared" si="1144"/>
        <v>101.72340000000003</v>
      </c>
      <c r="AF1323" s="592">
        <f t="shared" si="1144"/>
        <v>101.72340000000003</v>
      </c>
      <c r="AH1323" s="538"/>
      <c r="AK1323" s="531"/>
      <c r="AM1323" s="594"/>
      <c r="AN1323" s="535"/>
      <c r="AP1323" s="540"/>
      <c r="AQ1323" s="540"/>
    </row>
    <row r="1324" spans="1:43" s="513" customFormat="1" ht="16.5" hidden="1" customHeight="1" outlineLevel="2">
      <c r="A1324" s="584"/>
      <c r="B1324" s="585" t="s">
        <v>862</v>
      </c>
      <c r="C1324" s="592">
        <v>0</v>
      </c>
      <c r="D1324" s="592">
        <f t="shared" ref="D1324" si="1145">C1324</f>
        <v>0</v>
      </c>
      <c r="E1324" s="592">
        <f t="shared" si="1143"/>
        <v>0</v>
      </c>
      <c r="F1324" s="592">
        <f t="shared" si="1143"/>
        <v>0</v>
      </c>
      <c r="G1324" s="592">
        <f t="shared" si="1143"/>
        <v>0</v>
      </c>
      <c r="H1324" s="592">
        <f t="shared" si="1143"/>
        <v>0</v>
      </c>
      <c r="I1324" s="592">
        <f t="shared" si="1143"/>
        <v>0</v>
      </c>
      <c r="J1324" s="592">
        <f t="shared" si="1143"/>
        <v>0</v>
      </c>
      <c r="K1324" s="592">
        <f t="shared" si="1143"/>
        <v>0</v>
      </c>
      <c r="L1324" s="592">
        <f t="shared" si="1143"/>
        <v>0</v>
      </c>
      <c r="M1324" s="592">
        <f t="shared" si="1143"/>
        <v>0</v>
      </c>
      <c r="N1324" s="592">
        <f t="shared" si="1143"/>
        <v>0</v>
      </c>
      <c r="O1324" s="592">
        <f t="shared" si="1143"/>
        <v>0</v>
      </c>
      <c r="P1324" s="592">
        <f t="shared" si="1143"/>
        <v>0</v>
      </c>
      <c r="Q1324" s="592">
        <f t="shared" si="1143"/>
        <v>0</v>
      </c>
      <c r="R1324" s="592">
        <f t="shared" si="1143"/>
        <v>0</v>
      </c>
      <c r="S1324" s="592">
        <f t="shared" si="1143"/>
        <v>0</v>
      </c>
      <c r="T1324" s="592">
        <f t="shared" si="1143"/>
        <v>0</v>
      </c>
      <c r="U1324" s="592">
        <f t="shared" si="1144"/>
        <v>0</v>
      </c>
      <c r="V1324" s="592">
        <f t="shared" si="1144"/>
        <v>0</v>
      </c>
      <c r="W1324" s="592">
        <f t="shared" si="1144"/>
        <v>0</v>
      </c>
      <c r="X1324" s="592">
        <f t="shared" si="1144"/>
        <v>0</v>
      </c>
      <c r="Y1324" s="592">
        <f t="shared" si="1144"/>
        <v>0</v>
      </c>
      <c r="Z1324" s="592">
        <f t="shared" si="1144"/>
        <v>0</v>
      </c>
      <c r="AA1324" s="592">
        <f t="shared" si="1144"/>
        <v>0</v>
      </c>
      <c r="AB1324" s="592">
        <f t="shared" si="1144"/>
        <v>0</v>
      </c>
      <c r="AC1324" s="592">
        <f t="shared" si="1144"/>
        <v>0</v>
      </c>
      <c r="AD1324" s="592">
        <f t="shared" si="1144"/>
        <v>0</v>
      </c>
      <c r="AE1324" s="592">
        <f t="shared" si="1144"/>
        <v>0</v>
      </c>
      <c r="AF1324" s="592">
        <f t="shared" si="1144"/>
        <v>0</v>
      </c>
      <c r="AH1324" s="538"/>
      <c r="AK1324" s="531"/>
      <c r="AM1324" s="594"/>
      <c r="AN1324" s="535"/>
      <c r="AP1324" s="540"/>
      <c r="AQ1324" s="540"/>
    </row>
    <row r="1325" spans="1:43" s="546" customFormat="1" ht="16.5" hidden="1" customHeight="1" outlineLevel="2">
      <c r="A1325" s="584"/>
      <c r="B1325" s="580" t="s">
        <v>933</v>
      </c>
      <c r="C1325" s="570">
        <f>C1326*(C1327+C1328+C1329+C1330)</f>
        <v>0</v>
      </c>
      <c r="D1325" s="570">
        <f t="shared" ref="D1325:AF1325" si="1146">D1326*(D1327+D1328+D1329+D1330)</f>
        <v>0</v>
      </c>
      <c r="E1325" s="570">
        <f t="shared" si="1146"/>
        <v>0</v>
      </c>
      <c r="F1325" s="570">
        <f t="shared" si="1146"/>
        <v>0</v>
      </c>
      <c r="G1325" s="570">
        <f t="shared" si="1146"/>
        <v>0</v>
      </c>
      <c r="H1325" s="570">
        <f t="shared" si="1146"/>
        <v>0</v>
      </c>
      <c r="I1325" s="570">
        <f t="shared" si="1146"/>
        <v>562.51080000000002</v>
      </c>
      <c r="J1325" s="570">
        <f t="shared" si="1146"/>
        <v>562.51080000000002</v>
      </c>
      <c r="K1325" s="570">
        <f t="shared" si="1146"/>
        <v>562.51080000000002</v>
      </c>
      <c r="L1325" s="570">
        <f t="shared" si="1146"/>
        <v>562.51080000000002</v>
      </c>
      <c r="M1325" s="570">
        <f t="shared" si="1146"/>
        <v>562.51080000000002</v>
      </c>
      <c r="N1325" s="570">
        <f t="shared" si="1146"/>
        <v>562.51080000000002</v>
      </c>
      <c r="O1325" s="570">
        <f t="shared" si="1146"/>
        <v>562.51080000000002</v>
      </c>
      <c r="P1325" s="570">
        <f t="shared" si="1146"/>
        <v>562.51080000000002</v>
      </c>
      <c r="Q1325" s="570">
        <f t="shared" si="1146"/>
        <v>562.51080000000002</v>
      </c>
      <c r="R1325" s="570">
        <f t="shared" si="1146"/>
        <v>562.51080000000002</v>
      </c>
      <c r="S1325" s="570">
        <f t="shared" si="1146"/>
        <v>562.51080000000002</v>
      </c>
      <c r="T1325" s="570">
        <f t="shared" si="1146"/>
        <v>562.51080000000002</v>
      </c>
      <c r="U1325" s="570">
        <f t="shared" si="1146"/>
        <v>562.51080000000002</v>
      </c>
      <c r="V1325" s="570">
        <f t="shared" si="1146"/>
        <v>562.51080000000002</v>
      </c>
      <c r="W1325" s="570">
        <f t="shared" si="1146"/>
        <v>562.51080000000002</v>
      </c>
      <c r="X1325" s="570">
        <f t="shared" si="1146"/>
        <v>562.51080000000002</v>
      </c>
      <c r="Y1325" s="570">
        <f t="shared" si="1146"/>
        <v>562.51080000000002</v>
      </c>
      <c r="Z1325" s="570">
        <f t="shared" si="1146"/>
        <v>562.51080000000002</v>
      </c>
      <c r="AA1325" s="570">
        <f t="shared" si="1146"/>
        <v>562.51080000000002</v>
      </c>
      <c r="AB1325" s="570">
        <f t="shared" si="1146"/>
        <v>562.51080000000002</v>
      </c>
      <c r="AC1325" s="570">
        <f t="shared" si="1146"/>
        <v>562.51080000000002</v>
      </c>
      <c r="AD1325" s="570">
        <f t="shared" si="1146"/>
        <v>562.51080000000002</v>
      </c>
      <c r="AE1325" s="570">
        <f t="shared" si="1146"/>
        <v>562.51080000000002</v>
      </c>
      <c r="AF1325" s="570">
        <f t="shared" si="1146"/>
        <v>562.51080000000002</v>
      </c>
      <c r="AH1325" s="571"/>
      <c r="AK1325" s="531"/>
      <c r="AM1325" s="594"/>
      <c r="AN1325" s="535"/>
      <c r="AP1325" s="549"/>
      <c r="AQ1325" s="549"/>
    </row>
    <row r="1326" spans="1:43" s="586" customFormat="1" ht="16.5" hidden="1" customHeight="1" outlineLevel="2">
      <c r="A1326" s="584"/>
      <c r="B1326" s="585" t="s">
        <v>805</v>
      </c>
      <c r="C1326" s="716">
        <f>C1262</f>
        <v>0</v>
      </c>
      <c r="D1326" s="716">
        <f t="shared" ref="D1326:AF1326" si="1147">D1262</f>
        <v>0</v>
      </c>
      <c r="E1326" s="716">
        <f t="shared" si="1147"/>
        <v>0</v>
      </c>
      <c r="F1326" s="716">
        <f t="shared" si="1147"/>
        <v>0</v>
      </c>
      <c r="G1326" s="716">
        <f t="shared" si="1147"/>
        <v>0</v>
      </c>
      <c r="H1326" s="716">
        <f t="shared" si="1147"/>
        <v>0</v>
      </c>
      <c r="I1326" s="716">
        <f t="shared" si="1147"/>
        <v>1</v>
      </c>
      <c r="J1326" s="716">
        <f t="shared" si="1147"/>
        <v>1</v>
      </c>
      <c r="K1326" s="716">
        <f t="shared" si="1147"/>
        <v>1</v>
      </c>
      <c r="L1326" s="716">
        <f t="shared" si="1147"/>
        <v>1</v>
      </c>
      <c r="M1326" s="716">
        <f t="shared" si="1147"/>
        <v>1</v>
      </c>
      <c r="N1326" s="716">
        <f t="shared" si="1147"/>
        <v>1</v>
      </c>
      <c r="O1326" s="716">
        <f t="shared" si="1147"/>
        <v>1</v>
      </c>
      <c r="P1326" s="716">
        <f t="shared" si="1147"/>
        <v>1</v>
      </c>
      <c r="Q1326" s="716">
        <f t="shared" si="1147"/>
        <v>1</v>
      </c>
      <c r="R1326" s="716">
        <f t="shared" si="1147"/>
        <v>1</v>
      </c>
      <c r="S1326" s="716">
        <f t="shared" si="1147"/>
        <v>1</v>
      </c>
      <c r="T1326" s="716">
        <f t="shared" si="1147"/>
        <v>1</v>
      </c>
      <c r="U1326" s="716">
        <f t="shared" si="1147"/>
        <v>1</v>
      </c>
      <c r="V1326" s="716">
        <f t="shared" si="1147"/>
        <v>1</v>
      </c>
      <c r="W1326" s="716">
        <f t="shared" si="1147"/>
        <v>1</v>
      </c>
      <c r="X1326" s="716">
        <f t="shared" si="1147"/>
        <v>1</v>
      </c>
      <c r="Y1326" s="716">
        <f t="shared" si="1147"/>
        <v>1</v>
      </c>
      <c r="Z1326" s="716">
        <f t="shared" si="1147"/>
        <v>1</v>
      </c>
      <c r="AA1326" s="716">
        <f t="shared" si="1147"/>
        <v>1</v>
      </c>
      <c r="AB1326" s="716">
        <f t="shared" si="1147"/>
        <v>1</v>
      </c>
      <c r="AC1326" s="716">
        <f t="shared" si="1147"/>
        <v>1</v>
      </c>
      <c r="AD1326" s="716">
        <f t="shared" si="1147"/>
        <v>1</v>
      </c>
      <c r="AE1326" s="716">
        <f t="shared" si="1147"/>
        <v>1</v>
      </c>
      <c r="AF1326" s="716">
        <f t="shared" si="1147"/>
        <v>1</v>
      </c>
      <c r="AH1326" s="587"/>
      <c r="AK1326" s="588"/>
      <c r="AM1326" s="624"/>
      <c r="AN1326" s="590"/>
      <c r="AP1326" s="591"/>
      <c r="AQ1326" s="591"/>
    </row>
    <row r="1327" spans="1:43" s="513" customFormat="1" ht="16.5" hidden="1" customHeight="1" outlineLevel="2">
      <c r="A1327" s="584"/>
      <c r="B1327" s="585" t="s">
        <v>940</v>
      </c>
      <c r="C1327" s="592">
        <f>'Sal._benef.'!$I$21</f>
        <v>500</v>
      </c>
      <c r="D1327" s="592">
        <f>C1327</f>
        <v>500</v>
      </c>
      <c r="E1327" s="592">
        <f t="shared" ref="E1327:T1330" si="1148">D1327</f>
        <v>500</v>
      </c>
      <c r="F1327" s="592">
        <f t="shared" si="1148"/>
        <v>500</v>
      </c>
      <c r="G1327" s="592">
        <f t="shared" si="1148"/>
        <v>500</v>
      </c>
      <c r="H1327" s="592">
        <f t="shared" si="1148"/>
        <v>500</v>
      </c>
      <c r="I1327" s="592">
        <f t="shared" si="1148"/>
        <v>500</v>
      </c>
      <c r="J1327" s="592">
        <f t="shared" si="1148"/>
        <v>500</v>
      </c>
      <c r="K1327" s="592">
        <f t="shared" si="1148"/>
        <v>500</v>
      </c>
      <c r="L1327" s="592">
        <f t="shared" si="1148"/>
        <v>500</v>
      </c>
      <c r="M1327" s="592">
        <f t="shared" si="1148"/>
        <v>500</v>
      </c>
      <c r="N1327" s="592">
        <f t="shared" si="1148"/>
        <v>500</v>
      </c>
      <c r="O1327" s="592">
        <f t="shared" si="1148"/>
        <v>500</v>
      </c>
      <c r="P1327" s="592">
        <f t="shared" si="1148"/>
        <v>500</v>
      </c>
      <c r="Q1327" s="592">
        <f t="shared" si="1148"/>
        <v>500</v>
      </c>
      <c r="R1327" s="592">
        <f t="shared" si="1148"/>
        <v>500</v>
      </c>
      <c r="S1327" s="592">
        <f t="shared" si="1148"/>
        <v>500</v>
      </c>
      <c r="T1327" s="592">
        <f t="shared" si="1148"/>
        <v>500</v>
      </c>
      <c r="U1327" s="592">
        <f t="shared" ref="U1327:AF1330" si="1149">T1327</f>
        <v>500</v>
      </c>
      <c r="V1327" s="592">
        <f t="shared" si="1149"/>
        <v>500</v>
      </c>
      <c r="W1327" s="592">
        <f t="shared" si="1149"/>
        <v>500</v>
      </c>
      <c r="X1327" s="592">
        <f t="shared" si="1149"/>
        <v>500</v>
      </c>
      <c r="Y1327" s="592">
        <f t="shared" si="1149"/>
        <v>500</v>
      </c>
      <c r="Z1327" s="592">
        <f t="shared" si="1149"/>
        <v>500</v>
      </c>
      <c r="AA1327" s="592">
        <f t="shared" si="1149"/>
        <v>500</v>
      </c>
      <c r="AB1327" s="592">
        <f t="shared" si="1149"/>
        <v>500</v>
      </c>
      <c r="AC1327" s="592">
        <f t="shared" si="1149"/>
        <v>500</v>
      </c>
      <c r="AD1327" s="592">
        <f t="shared" si="1149"/>
        <v>500</v>
      </c>
      <c r="AE1327" s="592">
        <f t="shared" si="1149"/>
        <v>500</v>
      </c>
      <c r="AF1327" s="592">
        <f t="shared" si="1149"/>
        <v>500</v>
      </c>
      <c r="AH1327" s="538"/>
      <c r="AK1327" s="531"/>
      <c r="AM1327" s="594"/>
      <c r="AN1327" s="535"/>
      <c r="AP1327" s="540"/>
      <c r="AQ1327" s="540"/>
    </row>
    <row r="1328" spans="1:43" s="513" customFormat="1" ht="16.5" hidden="1" customHeight="1" outlineLevel="2">
      <c r="A1328" s="584"/>
      <c r="B1328" s="585" t="s">
        <v>941</v>
      </c>
      <c r="C1328" s="592">
        <f>'Sal._benef.'!$K$21</f>
        <v>5.53</v>
      </c>
      <c r="D1328" s="592">
        <f>C1328</f>
        <v>5.53</v>
      </c>
      <c r="E1328" s="592">
        <f t="shared" si="1148"/>
        <v>5.53</v>
      </c>
      <c r="F1328" s="592">
        <f t="shared" si="1148"/>
        <v>5.53</v>
      </c>
      <c r="G1328" s="592">
        <f t="shared" si="1148"/>
        <v>5.53</v>
      </c>
      <c r="H1328" s="592">
        <f t="shared" si="1148"/>
        <v>5.53</v>
      </c>
      <c r="I1328" s="592">
        <f t="shared" si="1148"/>
        <v>5.53</v>
      </c>
      <c r="J1328" s="592">
        <f t="shared" si="1148"/>
        <v>5.53</v>
      </c>
      <c r="K1328" s="592">
        <f t="shared" si="1148"/>
        <v>5.53</v>
      </c>
      <c r="L1328" s="592">
        <f t="shared" si="1148"/>
        <v>5.53</v>
      </c>
      <c r="M1328" s="592">
        <f t="shared" si="1148"/>
        <v>5.53</v>
      </c>
      <c r="N1328" s="592">
        <f t="shared" si="1148"/>
        <v>5.53</v>
      </c>
      <c r="O1328" s="592">
        <f t="shared" si="1148"/>
        <v>5.53</v>
      </c>
      <c r="P1328" s="592">
        <f t="shared" si="1148"/>
        <v>5.53</v>
      </c>
      <c r="Q1328" s="592">
        <f t="shared" si="1148"/>
        <v>5.53</v>
      </c>
      <c r="R1328" s="592">
        <f t="shared" si="1148"/>
        <v>5.53</v>
      </c>
      <c r="S1328" s="592">
        <f t="shared" si="1148"/>
        <v>5.53</v>
      </c>
      <c r="T1328" s="592">
        <f t="shared" si="1148"/>
        <v>5.53</v>
      </c>
      <c r="U1328" s="592">
        <f t="shared" si="1149"/>
        <v>5.53</v>
      </c>
      <c r="V1328" s="592">
        <f t="shared" si="1149"/>
        <v>5.53</v>
      </c>
      <c r="W1328" s="592">
        <f t="shared" si="1149"/>
        <v>5.53</v>
      </c>
      <c r="X1328" s="592">
        <f t="shared" si="1149"/>
        <v>5.53</v>
      </c>
      <c r="Y1328" s="592">
        <f t="shared" si="1149"/>
        <v>5.53</v>
      </c>
      <c r="Z1328" s="592">
        <f t="shared" si="1149"/>
        <v>5.53</v>
      </c>
      <c r="AA1328" s="592">
        <f t="shared" si="1149"/>
        <v>5.53</v>
      </c>
      <c r="AB1328" s="592">
        <f t="shared" si="1149"/>
        <v>5.53</v>
      </c>
      <c r="AC1328" s="592">
        <f t="shared" si="1149"/>
        <v>5.53</v>
      </c>
      <c r="AD1328" s="592">
        <f t="shared" si="1149"/>
        <v>5.53</v>
      </c>
      <c r="AE1328" s="592">
        <f t="shared" si="1149"/>
        <v>5.53</v>
      </c>
      <c r="AF1328" s="592">
        <f t="shared" si="1149"/>
        <v>5.53</v>
      </c>
      <c r="AH1328" s="538"/>
      <c r="AK1328" s="531"/>
      <c r="AM1328" s="594"/>
      <c r="AN1328" s="535"/>
      <c r="AP1328" s="540"/>
      <c r="AQ1328" s="540"/>
    </row>
    <row r="1329" spans="1:43" s="513" customFormat="1" ht="16.5" hidden="1" customHeight="1" outlineLevel="2">
      <c r="A1329" s="584"/>
      <c r="B1329" s="585" t="s">
        <v>942</v>
      </c>
      <c r="C1329" s="592">
        <f>'Sal._benef.'!$J$21</f>
        <v>56.980800000000016</v>
      </c>
      <c r="D1329" s="592">
        <f>C1329</f>
        <v>56.980800000000016</v>
      </c>
      <c r="E1329" s="592">
        <f t="shared" si="1148"/>
        <v>56.980800000000016</v>
      </c>
      <c r="F1329" s="592">
        <f t="shared" si="1148"/>
        <v>56.980800000000016</v>
      </c>
      <c r="G1329" s="592">
        <f t="shared" si="1148"/>
        <v>56.980800000000016</v>
      </c>
      <c r="H1329" s="592">
        <f t="shared" si="1148"/>
        <v>56.980800000000016</v>
      </c>
      <c r="I1329" s="592">
        <f t="shared" si="1148"/>
        <v>56.980800000000016</v>
      </c>
      <c r="J1329" s="592">
        <f t="shared" si="1148"/>
        <v>56.980800000000016</v>
      </c>
      <c r="K1329" s="592">
        <f t="shared" si="1148"/>
        <v>56.980800000000016</v>
      </c>
      <c r="L1329" s="592">
        <f t="shared" si="1148"/>
        <v>56.980800000000016</v>
      </c>
      <c r="M1329" s="592">
        <f t="shared" si="1148"/>
        <v>56.980800000000016</v>
      </c>
      <c r="N1329" s="592">
        <f t="shared" si="1148"/>
        <v>56.980800000000016</v>
      </c>
      <c r="O1329" s="592">
        <f t="shared" si="1148"/>
        <v>56.980800000000016</v>
      </c>
      <c r="P1329" s="592">
        <f t="shared" si="1148"/>
        <v>56.980800000000016</v>
      </c>
      <c r="Q1329" s="592">
        <f t="shared" si="1148"/>
        <v>56.980800000000016</v>
      </c>
      <c r="R1329" s="592">
        <f t="shared" si="1148"/>
        <v>56.980800000000016</v>
      </c>
      <c r="S1329" s="592">
        <f t="shared" si="1148"/>
        <v>56.980800000000016</v>
      </c>
      <c r="T1329" s="592">
        <f t="shared" si="1148"/>
        <v>56.980800000000016</v>
      </c>
      <c r="U1329" s="592">
        <f t="shared" si="1149"/>
        <v>56.980800000000016</v>
      </c>
      <c r="V1329" s="592">
        <f t="shared" si="1149"/>
        <v>56.980800000000016</v>
      </c>
      <c r="W1329" s="592">
        <f t="shared" si="1149"/>
        <v>56.980800000000016</v>
      </c>
      <c r="X1329" s="592">
        <f t="shared" si="1149"/>
        <v>56.980800000000016</v>
      </c>
      <c r="Y1329" s="592">
        <f t="shared" si="1149"/>
        <v>56.980800000000016</v>
      </c>
      <c r="Z1329" s="592">
        <f t="shared" si="1149"/>
        <v>56.980800000000016</v>
      </c>
      <c r="AA1329" s="592">
        <f t="shared" si="1149"/>
        <v>56.980800000000016</v>
      </c>
      <c r="AB1329" s="592">
        <f t="shared" si="1149"/>
        <v>56.980800000000016</v>
      </c>
      <c r="AC1329" s="592">
        <f t="shared" si="1149"/>
        <v>56.980800000000016</v>
      </c>
      <c r="AD1329" s="592">
        <f t="shared" si="1149"/>
        <v>56.980800000000016</v>
      </c>
      <c r="AE1329" s="592">
        <f t="shared" si="1149"/>
        <v>56.980800000000016</v>
      </c>
      <c r="AF1329" s="592">
        <f t="shared" si="1149"/>
        <v>56.980800000000016</v>
      </c>
      <c r="AH1329" s="538"/>
      <c r="AK1329" s="531"/>
      <c r="AM1329" s="594"/>
      <c r="AN1329" s="535"/>
      <c r="AP1329" s="540"/>
      <c r="AQ1329" s="540"/>
    </row>
    <row r="1330" spans="1:43" s="513" customFormat="1" ht="16.5" hidden="1" customHeight="1" outlineLevel="2">
      <c r="A1330" s="584"/>
      <c r="B1330" s="585" t="s">
        <v>862</v>
      </c>
      <c r="C1330" s="592">
        <v>0</v>
      </c>
      <c r="D1330" s="592">
        <f t="shared" ref="D1330" si="1150">C1330</f>
        <v>0</v>
      </c>
      <c r="E1330" s="592">
        <f t="shared" si="1148"/>
        <v>0</v>
      </c>
      <c r="F1330" s="592">
        <f t="shared" si="1148"/>
        <v>0</v>
      </c>
      <c r="G1330" s="592">
        <f t="shared" si="1148"/>
        <v>0</v>
      </c>
      <c r="H1330" s="592">
        <f t="shared" si="1148"/>
        <v>0</v>
      </c>
      <c r="I1330" s="592">
        <f t="shared" si="1148"/>
        <v>0</v>
      </c>
      <c r="J1330" s="592">
        <f t="shared" si="1148"/>
        <v>0</v>
      </c>
      <c r="K1330" s="592">
        <f t="shared" si="1148"/>
        <v>0</v>
      </c>
      <c r="L1330" s="592">
        <f t="shared" si="1148"/>
        <v>0</v>
      </c>
      <c r="M1330" s="592">
        <f t="shared" si="1148"/>
        <v>0</v>
      </c>
      <c r="N1330" s="592">
        <f t="shared" si="1148"/>
        <v>0</v>
      </c>
      <c r="O1330" s="592">
        <f t="shared" si="1148"/>
        <v>0</v>
      </c>
      <c r="P1330" s="592">
        <f t="shared" si="1148"/>
        <v>0</v>
      </c>
      <c r="Q1330" s="592">
        <f t="shared" si="1148"/>
        <v>0</v>
      </c>
      <c r="R1330" s="592">
        <f t="shared" si="1148"/>
        <v>0</v>
      </c>
      <c r="S1330" s="592">
        <f t="shared" si="1148"/>
        <v>0</v>
      </c>
      <c r="T1330" s="592">
        <f t="shared" si="1148"/>
        <v>0</v>
      </c>
      <c r="U1330" s="592">
        <f t="shared" si="1149"/>
        <v>0</v>
      </c>
      <c r="V1330" s="592">
        <f t="shared" si="1149"/>
        <v>0</v>
      </c>
      <c r="W1330" s="592">
        <f t="shared" si="1149"/>
        <v>0</v>
      </c>
      <c r="X1330" s="592">
        <f t="shared" si="1149"/>
        <v>0</v>
      </c>
      <c r="Y1330" s="592">
        <f t="shared" si="1149"/>
        <v>0</v>
      </c>
      <c r="Z1330" s="592">
        <f t="shared" si="1149"/>
        <v>0</v>
      </c>
      <c r="AA1330" s="592">
        <f t="shared" si="1149"/>
        <v>0</v>
      </c>
      <c r="AB1330" s="592">
        <f t="shared" si="1149"/>
        <v>0</v>
      </c>
      <c r="AC1330" s="592">
        <f t="shared" si="1149"/>
        <v>0</v>
      </c>
      <c r="AD1330" s="592">
        <f t="shared" si="1149"/>
        <v>0</v>
      </c>
      <c r="AE1330" s="592">
        <f t="shared" si="1149"/>
        <v>0</v>
      </c>
      <c r="AF1330" s="592">
        <f t="shared" si="1149"/>
        <v>0</v>
      </c>
      <c r="AH1330" s="538"/>
      <c r="AK1330" s="531"/>
      <c r="AM1330" s="594"/>
      <c r="AN1330" s="535"/>
      <c r="AP1330" s="540"/>
      <c r="AQ1330" s="540"/>
    </row>
    <row r="1331" spans="1:43" s="546" customFormat="1" ht="16.5" hidden="1" customHeight="1" outlineLevel="2">
      <c r="A1331" s="584"/>
      <c r="B1331" s="580" t="s">
        <v>934</v>
      </c>
      <c r="C1331" s="570">
        <f>C1332*(C1333+C1334+C1335+C1336)</f>
        <v>0</v>
      </c>
      <c r="D1331" s="570">
        <f t="shared" ref="D1331:AF1331" si="1151">D1332*(D1333+D1334+D1335+D1336)</f>
        <v>0</v>
      </c>
      <c r="E1331" s="570">
        <f t="shared" si="1151"/>
        <v>0</v>
      </c>
      <c r="F1331" s="570">
        <f t="shared" si="1151"/>
        <v>0</v>
      </c>
      <c r="G1331" s="570">
        <f t="shared" si="1151"/>
        <v>0</v>
      </c>
      <c r="H1331" s="570">
        <f t="shared" si="1151"/>
        <v>0</v>
      </c>
      <c r="I1331" s="570">
        <f t="shared" si="1151"/>
        <v>562.51080000000002</v>
      </c>
      <c r="J1331" s="570">
        <f t="shared" si="1151"/>
        <v>562.51080000000002</v>
      </c>
      <c r="K1331" s="570">
        <f t="shared" si="1151"/>
        <v>562.51080000000002</v>
      </c>
      <c r="L1331" s="570">
        <f t="shared" si="1151"/>
        <v>562.51080000000002</v>
      </c>
      <c r="M1331" s="570">
        <f t="shared" si="1151"/>
        <v>562.51080000000002</v>
      </c>
      <c r="N1331" s="570">
        <f t="shared" si="1151"/>
        <v>562.51080000000002</v>
      </c>
      <c r="O1331" s="570">
        <f t="shared" si="1151"/>
        <v>562.51080000000002</v>
      </c>
      <c r="P1331" s="570">
        <f t="shared" si="1151"/>
        <v>562.51080000000002</v>
      </c>
      <c r="Q1331" s="570">
        <f t="shared" si="1151"/>
        <v>562.51080000000002</v>
      </c>
      <c r="R1331" s="570">
        <f t="shared" si="1151"/>
        <v>562.51080000000002</v>
      </c>
      <c r="S1331" s="570">
        <f t="shared" si="1151"/>
        <v>562.51080000000002</v>
      </c>
      <c r="T1331" s="570">
        <f t="shared" si="1151"/>
        <v>562.51080000000002</v>
      </c>
      <c r="U1331" s="570">
        <f t="shared" si="1151"/>
        <v>562.51080000000002</v>
      </c>
      <c r="V1331" s="570">
        <f t="shared" si="1151"/>
        <v>562.51080000000002</v>
      </c>
      <c r="W1331" s="570">
        <f t="shared" si="1151"/>
        <v>562.51080000000002</v>
      </c>
      <c r="X1331" s="570">
        <f t="shared" si="1151"/>
        <v>562.51080000000002</v>
      </c>
      <c r="Y1331" s="570">
        <f t="shared" si="1151"/>
        <v>562.51080000000002</v>
      </c>
      <c r="Z1331" s="570">
        <f t="shared" si="1151"/>
        <v>562.51080000000002</v>
      </c>
      <c r="AA1331" s="570">
        <f t="shared" si="1151"/>
        <v>562.51080000000002</v>
      </c>
      <c r="AB1331" s="570">
        <f t="shared" si="1151"/>
        <v>562.51080000000002</v>
      </c>
      <c r="AC1331" s="570">
        <f t="shared" si="1151"/>
        <v>562.51080000000002</v>
      </c>
      <c r="AD1331" s="570">
        <f t="shared" si="1151"/>
        <v>562.51080000000002</v>
      </c>
      <c r="AE1331" s="570">
        <f t="shared" si="1151"/>
        <v>562.51080000000002</v>
      </c>
      <c r="AF1331" s="570">
        <f t="shared" si="1151"/>
        <v>562.51080000000002</v>
      </c>
      <c r="AH1331" s="571"/>
      <c r="AK1331" s="531"/>
      <c r="AM1331" s="594"/>
      <c r="AN1331" s="535"/>
      <c r="AP1331" s="549"/>
      <c r="AQ1331" s="549"/>
    </row>
    <row r="1332" spans="1:43" s="586" customFormat="1" ht="16.5" hidden="1" customHeight="1" outlineLevel="2">
      <c r="A1332" s="584"/>
      <c r="B1332" s="585" t="s">
        <v>805</v>
      </c>
      <c r="C1332" s="716">
        <f>C1269</f>
        <v>0</v>
      </c>
      <c r="D1332" s="716">
        <f t="shared" ref="D1332:AF1332" si="1152">D1269</f>
        <v>0</v>
      </c>
      <c r="E1332" s="716">
        <f t="shared" si="1152"/>
        <v>0</v>
      </c>
      <c r="F1332" s="716">
        <f t="shared" si="1152"/>
        <v>0</v>
      </c>
      <c r="G1332" s="716">
        <f t="shared" si="1152"/>
        <v>0</v>
      </c>
      <c r="H1332" s="716">
        <f t="shared" si="1152"/>
        <v>0</v>
      </c>
      <c r="I1332" s="716">
        <f t="shared" si="1152"/>
        <v>1</v>
      </c>
      <c r="J1332" s="716">
        <f t="shared" si="1152"/>
        <v>1</v>
      </c>
      <c r="K1332" s="716">
        <f t="shared" si="1152"/>
        <v>1</v>
      </c>
      <c r="L1332" s="716">
        <f t="shared" si="1152"/>
        <v>1</v>
      </c>
      <c r="M1332" s="716">
        <f t="shared" si="1152"/>
        <v>1</v>
      </c>
      <c r="N1332" s="716">
        <f t="shared" si="1152"/>
        <v>1</v>
      </c>
      <c r="O1332" s="716">
        <f t="shared" si="1152"/>
        <v>1</v>
      </c>
      <c r="P1332" s="716">
        <f t="shared" si="1152"/>
        <v>1</v>
      </c>
      <c r="Q1332" s="716">
        <f t="shared" si="1152"/>
        <v>1</v>
      </c>
      <c r="R1332" s="716">
        <f t="shared" si="1152"/>
        <v>1</v>
      </c>
      <c r="S1332" s="716">
        <f t="shared" si="1152"/>
        <v>1</v>
      </c>
      <c r="T1332" s="716">
        <f t="shared" si="1152"/>
        <v>1</v>
      </c>
      <c r="U1332" s="716">
        <f t="shared" si="1152"/>
        <v>1</v>
      </c>
      <c r="V1332" s="716">
        <f t="shared" si="1152"/>
        <v>1</v>
      </c>
      <c r="W1332" s="716">
        <f t="shared" si="1152"/>
        <v>1</v>
      </c>
      <c r="X1332" s="716">
        <f t="shared" si="1152"/>
        <v>1</v>
      </c>
      <c r="Y1332" s="716">
        <f t="shared" si="1152"/>
        <v>1</v>
      </c>
      <c r="Z1332" s="716">
        <f t="shared" si="1152"/>
        <v>1</v>
      </c>
      <c r="AA1332" s="716">
        <f t="shared" si="1152"/>
        <v>1</v>
      </c>
      <c r="AB1332" s="716">
        <f t="shared" si="1152"/>
        <v>1</v>
      </c>
      <c r="AC1332" s="716">
        <f t="shared" si="1152"/>
        <v>1</v>
      </c>
      <c r="AD1332" s="716">
        <f t="shared" si="1152"/>
        <v>1</v>
      </c>
      <c r="AE1332" s="716">
        <f t="shared" si="1152"/>
        <v>1</v>
      </c>
      <c r="AF1332" s="716">
        <f t="shared" si="1152"/>
        <v>1</v>
      </c>
      <c r="AH1332" s="587"/>
      <c r="AK1332" s="588"/>
      <c r="AM1332" s="624"/>
      <c r="AN1332" s="590"/>
      <c r="AP1332" s="591"/>
      <c r="AQ1332" s="591"/>
    </row>
    <row r="1333" spans="1:43" s="513" customFormat="1" ht="16.5" hidden="1" customHeight="1" outlineLevel="2">
      <c r="A1333" s="584"/>
      <c r="B1333" s="585" t="s">
        <v>940</v>
      </c>
      <c r="C1333" s="592">
        <f>'Sal._benef.'!$I$21</f>
        <v>500</v>
      </c>
      <c r="D1333" s="592">
        <f>C1333</f>
        <v>500</v>
      </c>
      <c r="E1333" s="592">
        <f t="shared" ref="E1333:T1336" si="1153">D1333</f>
        <v>500</v>
      </c>
      <c r="F1333" s="592">
        <f t="shared" si="1153"/>
        <v>500</v>
      </c>
      <c r="G1333" s="592">
        <f t="shared" si="1153"/>
        <v>500</v>
      </c>
      <c r="H1333" s="592">
        <f t="shared" si="1153"/>
        <v>500</v>
      </c>
      <c r="I1333" s="592">
        <f t="shared" si="1153"/>
        <v>500</v>
      </c>
      <c r="J1333" s="592">
        <f t="shared" si="1153"/>
        <v>500</v>
      </c>
      <c r="K1333" s="592">
        <f t="shared" si="1153"/>
        <v>500</v>
      </c>
      <c r="L1333" s="592">
        <f t="shared" si="1153"/>
        <v>500</v>
      </c>
      <c r="M1333" s="592">
        <f t="shared" si="1153"/>
        <v>500</v>
      </c>
      <c r="N1333" s="592">
        <f t="shared" si="1153"/>
        <v>500</v>
      </c>
      <c r="O1333" s="592">
        <f t="shared" si="1153"/>
        <v>500</v>
      </c>
      <c r="P1333" s="592">
        <f t="shared" si="1153"/>
        <v>500</v>
      </c>
      <c r="Q1333" s="592">
        <f t="shared" si="1153"/>
        <v>500</v>
      </c>
      <c r="R1333" s="592">
        <f t="shared" si="1153"/>
        <v>500</v>
      </c>
      <c r="S1333" s="592">
        <f t="shared" si="1153"/>
        <v>500</v>
      </c>
      <c r="T1333" s="592">
        <f t="shared" si="1153"/>
        <v>500</v>
      </c>
      <c r="U1333" s="592">
        <f t="shared" ref="U1333:AF1336" si="1154">T1333</f>
        <v>500</v>
      </c>
      <c r="V1333" s="592">
        <f t="shared" si="1154"/>
        <v>500</v>
      </c>
      <c r="W1333" s="592">
        <f t="shared" si="1154"/>
        <v>500</v>
      </c>
      <c r="X1333" s="592">
        <f t="shared" si="1154"/>
        <v>500</v>
      </c>
      <c r="Y1333" s="592">
        <f t="shared" si="1154"/>
        <v>500</v>
      </c>
      <c r="Z1333" s="592">
        <f t="shared" si="1154"/>
        <v>500</v>
      </c>
      <c r="AA1333" s="592">
        <f t="shared" si="1154"/>
        <v>500</v>
      </c>
      <c r="AB1333" s="592">
        <f t="shared" si="1154"/>
        <v>500</v>
      </c>
      <c r="AC1333" s="592">
        <f t="shared" si="1154"/>
        <v>500</v>
      </c>
      <c r="AD1333" s="592">
        <f t="shared" si="1154"/>
        <v>500</v>
      </c>
      <c r="AE1333" s="592">
        <f t="shared" si="1154"/>
        <v>500</v>
      </c>
      <c r="AF1333" s="592">
        <f t="shared" si="1154"/>
        <v>500</v>
      </c>
      <c r="AH1333" s="538"/>
      <c r="AK1333" s="531"/>
      <c r="AM1333" s="594"/>
      <c r="AN1333" s="535"/>
      <c r="AP1333" s="540"/>
      <c r="AQ1333" s="540"/>
    </row>
    <row r="1334" spans="1:43" s="513" customFormat="1" ht="16.5" hidden="1" customHeight="1" outlineLevel="2">
      <c r="A1334" s="584"/>
      <c r="B1334" s="585" t="s">
        <v>941</v>
      </c>
      <c r="C1334" s="592">
        <f>'Sal._benef.'!$K$21</f>
        <v>5.53</v>
      </c>
      <c r="D1334" s="592">
        <f>C1334</f>
        <v>5.53</v>
      </c>
      <c r="E1334" s="592">
        <f t="shared" si="1153"/>
        <v>5.53</v>
      </c>
      <c r="F1334" s="592">
        <f t="shared" si="1153"/>
        <v>5.53</v>
      </c>
      <c r="G1334" s="592">
        <f t="shared" si="1153"/>
        <v>5.53</v>
      </c>
      <c r="H1334" s="592">
        <f t="shared" si="1153"/>
        <v>5.53</v>
      </c>
      <c r="I1334" s="592">
        <f t="shared" si="1153"/>
        <v>5.53</v>
      </c>
      <c r="J1334" s="592">
        <f t="shared" si="1153"/>
        <v>5.53</v>
      </c>
      <c r="K1334" s="592">
        <f t="shared" si="1153"/>
        <v>5.53</v>
      </c>
      <c r="L1334" s="592">
        <f t="shared" si="1153"/>
        <v>5.53</v>
      </c>
      <c r="M1334" s="592">
        <f t="shared" si="1153"/>
        <v>5.53</v>
      </c>
      <c r="N1334" s="592">
        <f t="shared" si="1153"/>
        <v>5.53</v>
      </c>
      <c r="O1334" s="592">
        <f t="shared" si="1153"/>
        <v>5.53</v>
      </c>
      <c r="P1334" s="592">
        <f t="shared" si="1153"/>
        <v>5.53</v>
      </c>
      <c r="Q1334" s="592">
        <f t="shared" si="1153"/>
        <v>5.53</v>
      </c>
      <c r="R1334" s="592">
        <f t="shared" si="1153"/>
        <v>5.53</v>
      </c>
      <c r="S1334" s="592">
        <f t="shared" si="1153"/>
        <v>5.53</v>
      </c>
      <c r="T1334" s="592">
        <f t="shared" si="1153"/>
        <v>5.53</v>
      </c>
      <c r="U1334" s="592">
        <f t="shared" si="1154"/>
        <v>5.53</v>
      </c>
      <c r="V1334" s="592">
        <f t="shared" si="1154"/>
        <v>5.53</v>
      </c>
      <c r="W1334" s="592">
        <f t="shared" si="1154"/>
        <v>5.53</v>
      </c>
      <c r="X1334" s="592">
        <f t="shared" si="1154"/>
        <v>5.53</v>
      </c>
      <c r="Y1334" s="592">
        <f t="shared" si="1154"/>
        <v>5.53</v>
      </c>
      <c r="Z1334" s="592">
        <f t="shared" si="1154"/>
        <v>5.53</v>
      </c>
      <c r="AA1334" s="592">
        <f t="shared" si="1154"/>
        <v>5.53</v>
      </c>
      <c r="AB1334" s="592">
        <f t="shared" si="1154"/>
        <v>5.53</v>
      </c>
      <c r="AC1334" s="592">
        <f t="shared" si="1154"/>
        <v>5.53</v>
      </c>
      <c r="AD1334" s="592">
        <f t="shared" si="1154"/>
        <v>5.53</v>
      </c>
      <c r="AE1334" s="592">
        <f t="shared" si="1154"/>
        <v>5.53</v>
      </c>
      <c r="AF1334" s="592">
        <f t="shared" si="1154"/>
        <v>5.53</v>
      </c>
      <c r="AH1334" s="538"/>
      <c r="AK1334" s="531"/>
      <c r="AM1334" s="594"/>
      <c r="AN1334" s="535"/>
      <c r="AP1334" s="540"/>
      <c r="AQ1334" s="540"/>
    </row>
    <row r="1335" spans="1:43" s="513" customFormat="1" ht="16.5" hidden="1" customHeight="1" outlineLevel="2">
      <c r="A1335" s="584"/>
      <c r="B1335" s="585" t="s">
        <v>942</v>
      </c>
      <c r="C1335" s="592">
        <f>'Sal._benef.'!$J$21</f>
        <v>56.980800000000016</v>
      </c>
      <c r="D1335" s="592">
        <f>C1335</f>
        <v>56.980800000000016</v>
      </c>
      <c r="E1335" s="592">
        <f t="shared" si="1153"/>
        <v>56.980800000000016</v>
      </c>
      <c r="F1335" s="592">
        <f t="shared" si="1153"/>
        <v>56.980800000000016</v>
      </c>
      <c r="G1335" s="592">
        <f t="shared" si="1153"/>
        <v>56.980800000000016</v>
      </c>
      <c r="H1335" s="592">
        <f t="shared" si="1153"/>
        <v>56.980800000000016</v>
      </c>
      <c r="I1335" s="592">
        <f t="shared" si="1153"/>
        <v>56.980800000000016</v>
      </c>
      <c r="J1335" s="592">
        <f t="shared" si="1153"/>
        <v>56.980800000000016</v>
      </c>
      <c r="K1335" s="592">
        <f t="shared" si="1153"/>
        <v>56.980800000000016</v>
      </c>
      <c r="L1335" s="592">
        <f t="shared" si="1153"/>
        <v>56.980800000000016</v>
      </c>
      <c r="M1335" s="592">
        <f t="shared" si="1153"/>
        <v>56.980800000000016</v>
      </c>
      <c r="N1335" s="592">
        <f t="shared" si="1153"/>
        <v>56.980800000000016</v>
      </c>
      <c r="O1335" s="592">
        <f t="shared" si="1153"/>
        <v>56.980800000000016</v>
      </c>
      <c r="P1335" s="592">
        <f t="shared" si="1153"/>
        <v>56.980800000000016</v>
      </c>
      <c r="Q1335" s="592">
        <f t="shared" si="1153"/>
        <v>56.980800000000016</v>
      </c>
      <c r="R1335" s="592">
        <f t="shared" si="1153"/>
        <v>56.980800000000016</v>
      </c>
      <c r="S1335" s="592">
        <f t="shared" si="1153"/>
        <v>56.980800000000016</v>
      </c>
      <c r="T1335" s="592">
        <f t="shared" si="1153"/>
        <v>56.980800000000016</v>
      </c>
      <c r="U1335" s="592">
        <f t="shared" si="1154"/>
        <v>56.980800000000016</v>
      </c>
      <c r="V1335" s="592">
        <f t="shared" si="1154"/>
        <v>56.980800000000016</v>
      </c>
      <c r="W1335" s="592">
        <f t="shared" si="1154"/>
        <v>56.980800000000016</v>
      </c>
      <c r="X1335" s="592">
        <f t="shared" si="1154"/>
        <v>56.980800000000016</v>
      </c>
      <c r="Y1335" s="592">
        <f t="shared" si="1154"/>
        <v>56.980800000000016</v>
      </c>
      <c r="Z1335" s="592">
        <f t="shared" si="1154"/>
        <v>56.980800000000016</v>
      </c>
      <c r="AA1335" s="592">
        <f t="shared" si="1154"/>
        <v>56.980800000000016</v>
      </c>
      <c r="AB1335" s="592">
        <f t="shared" si="1154"/>
        <v>56.980800000000016</v>
      </c>
      <c r="AC1335" s="592">
        <f t="shared" si="1154"/>
        <v>56.980800000000016</v>
      </c>
      <c r="AD1335" s="592">
        <f t="shared" si="1154"/>
        <v>56.980800000000016</v>
      </c>
      <c r="AE1335" s="592">
        <f t="shared" si="1154"/>
        <v>56.980800000000016</v>
      </c>
      <c r="AF1335" s="592">
        <f t="shared" si="1154"/>
        <v>56.980800000000016</v>
      </c>
      <c r="AH1335" s="538"/>
      <c r="AK1335" s="531"/>
      <c r="AM1335" s="594"/>
      <c r="AN1335" s="535"/>
      <c r="AP1335" s="540"/>
      <c r="AQ1335" s="540"/>
    </row>
    <row r="1336" spans="1:43" s="513" customFormat="1" ht="16.5" hidden="1" customHeight="1" outlineLevel="2">
      <c r="A1336" s="584"/>
      <c r="B1336" s="585" t="s">
        <v>862</v>
      </c>
      <c r="C1336" s="592">
        <v>0</v>
      </c>
      <c r="D1336" s="592">
        <f t="shared" ref="D1336" si="1155">C1336</f>
        <v>0</v>
      </c>
      <c r="E1336" s="592">
        <f t="shared" si="1153"/>
        <v>0</v>
      </c>
      <c r="F1336" s="592">
        <f t="shared" si="1153"/>
        <v>0</v>
      </c>
      <c r="G1336" s="592">
        <f t="shared" si="1153"/>
        <v>0</v>
      </c>
      <c r="H1336" s="592">
        <f t="shared" si="1153"/>
        <v>0</v>
      </c>
      <c r="I1336" s="592">
        <f t="shared" si="1153"/>
        <v>0</v>
      </c>
      <c r="J1336" s="592">
        <f t="shared" si="1153"/>
        <v>0</v>
      </c>
      <c r="K1336" s="592">
        <f t="shared" si="1153"/>
        <v>0</v>
      </c>
      <c r="L1336" s="592">
        <f t="shared" si="1153"/>
        <v>0</v>
      </c>
      <c r="M1336" s="592">
        <f t="shared" si="1153"/>
        <v>0</v>
      </c>
      <c r="N1336" s="592">
        <f t="shared" si="1153"/>
        <v>0</v>
      </c>
      <c r="O1336" s="592">
        <f t="shared" si="1153"/>
        <v>0</v>
      </c>
      <c r="P1336" s="592">
        <f t="shared" si="1153"/>
        <v>0</v>
      </c>
      <c r="Q1336" s="592">
        <f t="shared" si="1153"/>
        <v>0</v>
      </c>
      <c r="R1336" s="592">
        <f t="shared" si="1153"/>
        <v>0</v>
      </c>
      <c r="S1336" s="592">
        <f t="shared" si="1153"/>
        <v>0</v>
      </c>
      <c r="T1336" s="592">
        <f t="shared" si="1153"/>
        <v>0</v>
      </c>
      <c r="U1336" s="592">
        <f t="shared" si="1154"/>
        <v>0</v>
      </c>
      <c r="V1336" s="592">
        <f t="shared" si="1154"/>
        <v>0</v>
      </c>
      <c r="W1336" s="592">
        <f t="shared" si="1154"/>
        <v>0</v>
      </c>
      <c r="X1336" s="592">
        <f t="shared" si="1154"/>
        <v>0</v>
      </c>
      <c r="Y1336" s="592">
        <f t="shared" si="1154"/>
        <v>0</v>
      </c>
      <c r="Z1336" s="592">
        <f t="shared" si="1154"/>
        <v>0</v>
      </c>
      <c r="AA1336" s="592">
        <f t="shared" si="1154"/>
        <v>0</v>
      </c>
      <c r="AB1336" s="592">
        <f t="shared" si="1154"/>
        <v>0</v>
      </c>
      <c r="AC1336" s="592">
        <f t="shared" si="1154"/>
        <v>0</v>
      </c>
      <c r="AD1336" s="592">
        <f t="shared" si="1154"/>
        <v>0</v>
      </c>
      <c r="AE1336" s="592">
        <f t="shared" si="1154"/>
        <v>0</v>
      </c>
      <c r="AF1336" s="592">
        <f t="shared" si="1154"/>
        <v>0</v>
      </c>
      <c r="AH1336" s="538"/>
      <c r="AK1336" s="531"/>
      <c r="AM1336" s="594"/>
      <c r="AN1336" s="535"/>
      <c r="AP1336" s="540"/>
      <c r="AQ1336" s="540"/>
    </row>
    <row r="1337" spans="1:43" s="668" customFormat="1" ht="16.5" hidden="1" customHeight="1" outlineLevel="2">
      <c r="A1337" s="584"/>
      <c r="B1337" s="671" t="s">
        <v>1026</v>
      </c>
      <c r="C1337" s="570">
        <f>C1338*(C1339+C1340+C1341)</f>
        <v>0</v>
      </c>
      <c r="D1337" s="570">
        <f t="shared" ref="D1337:AF1337" si="1156">D1338*(D1339+D1340+D1341)</f>
        <v>0</v>
      </c>
      <c r="E1337" s="570">
        <f t="shared" si="1156"/>
        <v>0</v>
      </c>
      <c r="F1337" s="570">
        <f t="shared" si="1156"/>
        <v>0</v>
      </c>
      <c r="G1337" s="570">
        <f t="shared" si="1156"/>
        <v>0</v>
      </c>
      <c r="H1337" s="570">
        <f t="shared" si="1156"/>
        <v>0</v>
      </c>
      <c r="I1337" s="570">
        <f t="shared" si="1156"/>
        <v>252.76499999999999</v>
      </c>
      <c r="J1337" s="570">
        <f t="shared" si="1156"/>
        <v>252.76499999999999</v>
      </c>
      <c r="K1337" s="570">
        <f t="shared" si="1156"/>
        <v>252.76499999999999</v>
      </c>
      <c r="L1337" s="570">
        <f t="shared" si="1156"/>
        <v>252.76499999999999</v>
      </c>
      <c r="M1337" s="570">
        <f t="shared" si="1156"/>
        <v>252.76499999999999</v>
      </c>
      <c r="N1337" s="570">
        <f t="shared" si="1156"/>
        <v>252.76499999999999</v>
      </c>
      <c r="O1337" s="570">
        <f t="shared" si="1156"/>
        <v>252.76499999999999</v>
      </c>
      <c r="P1337" s="570">
        <f t="shared" si="1156"/>
        <v>252.76499999999999</v>
      </c>
      <c r="Q1337" s="570">
        <f t="shared" si="1156"/>
        <v>252.76499999999999</v>
      </c>
      <c r="R1337" s="570">
        <f t="shared" si="1156"/>
        <v>252.76499999999999</v>
      </c>
      <c r="S1337" s="570">
        <f t="shared" si="1156"/>
        <v>252.76499999999999</v>
      </c>
      <c r="T1337" s="570">
        <f t="shared" si="1156"/>
        <v>252.76499999999999</v>
      </c>
      <c r="U1337" s="570">
        <f t="shared" si="1156"/>
        <v>252.76499999999999</v>
      </c>
      <c r="V1337" s="570">
        <f t="shared" si="1156"/>
        <v>252.76499999999999</v>
      </c>
      <c r="W1337" s="570">
        <f t="shared" si="1156"/>
        <v>252.76499999999999</v>
      </c>
      <c r="X1337" s="570">
        <f t="shared" si="1156"/>
        <v>252.76499999999999</v>
      </c>
      <c r="Y1337" s="570">
        <f t="shared" si="1156"/>
        <v>252.76499999999999</v>
      </c>
      <c r="Z1337" s="570">
        <f t="shared" si="1156"/>
        <v>252.76499999999999</v>
      </c>
      <c r="AA1337" s="570">
        <f t="shared" si="1156"/>
        <v>252.76499999999999</v>
      </c>
      <c r="AB1337" s="570">
        <f t="shared" si="1156"/>
        <v>252.76499999999999</v>
      </c>
      <c r="AC1337" s="570">
        <f t="shared" si="1156"/>
        <v>252.76499999999999</v>
      </c>
      <c r="AD1337" s="570">
        <f t="shared" si="1156"/>
        <v>252.76499999999999</v>
      </c>
      <c r="AE1337" s="570">
        <f t="shared" si="1156"/>
        <v>252.76499999999999</v>
      </c>
      <c r="AF1337" s="570">
        <f t="shared" si="1156"/>
        <v>252.76499999999999</v>
      </c>
      <c r="AG1337" s="546"/>
      <c r="AH1337" s="571"/>
      <c r="AK1337" s="531"/>
      <c r="AM1337" s="594"/>
      <c r="AN1337" s="535"/>
      <c r="AP1337" s="669"/>
      <c r="AQ1337" s="669"/>
    </row>
    <row r="1338" spans="1:43" s="586" customFormat="1" ht="16.5" hidden="1" customHeight="1" outlineLevel="2">
      <c r="A1338" s="584"/>
      <c r="B1338" s="585" t="s">
        <v>805</v>
      </c>
      <c r="C1338" s="716">
        <f>C1276</f>
        <v>0</v>
      </c>
      <c r="D1338" s="716">
        <f t="shared" ref="D1338:AF1338" si="1157">D1276</f>
        <v>0</v>
      </c>
      <c r="E1338" s="716">
        <f t="shared" si="1157"/>
        <v>0</v>
      </c>
      <c r="F1338" s="716">
        <f t="shared" si="1157"/>
        <v>0</v>
      </c>
      <c r="G1338" s="716">
        <f t="shared" si="1157"/>
        <v>0</v>
      </c>
      <c r="H1338" s="716">
        <f t="shared" si="1157"/>
        <v>0</v>
      </c>
      <c r="I1338" s="742">
        <f t="shared" si="1157"/>
        <v>0.5</v>
      </c>
      <c r="J1338" s="742">
        <f t="shared" si="1157"/>
        <v>0.5</v>
      </c>
      <c r="K1338" s="742">
        <f t="shared" si="1157"/>
        <v>0.5</v>
      </c>
      <c r="L1338" s="742">
        <f t="shared" si="1157"/>
        <v>0.5</v>
      </c>
      <c r="M1338" s="742">
        <f t="shared" si="1157"/>
        <v>0.5</v>
      </c>
      <c r="N1338" s="742">
        <f t="shared" si="1157"/>
        <v>0.5</v>
      </c>
      <c r="O1338" s="742">
        <f t="shared" si="1157"/>
        <v>0.5</v>
      </c>
      <c r="P1338" s="742">
        <f t="shared" si="1157"/>
        <v>0.5</v>
      </c>
      <c r="Q1338" s="742">
        <f t="shared" si="1157"/>
        <v>0.5</v>
      </c>
      <c r="R1338" s="742">
        <f t="shared" si="1157"/>
        <v>0.5</v>
      </c>
      <c r="S1338" s="742">
        <f t="shared" si="1157"/>
        <v>0.5</v>
      </c>
      <c r="T1338" s="742">
        <f t="shared" si="1157"/>
        <v>0.5</v>
      </c>
      <c r="U1338" s="742">
        <f t="shared" si="1157"/>
        <v>0.5</v>
      </c>
      <c r="V1338" s="742">
        <f t="shared" si="1157"/>
        <v>0.5</v>
      </c>
      <c r="W1338" s="742">
        <f t="shared" si="1157"/>
        <v>0.5</v>
      </c>
      <c r="X1338" s="742">
        <f t="shared" si="1157"/>
        <v>0.5</v>
      </c>
      <c r="Y1338" s="742">
        <f t="shared" si="1157"/>
        <v>0.5</v>
      </c>
      <c r="Z1338" s="742">
        <f t="shared" si="1157"/>
        <v>0.5</v>
      </c>
      <c r="AA1338" s="742">
        <f t="shared" si="1157"/>
        <v>0.5</v>
      </c>
      <c r="AB1338" s="742">
        <f t="shared" si="1157"/>
        <v>0.5</v>
      </c>
      <c r="AC1338" s="742">
        <f t="shared" si="1157"/>
        <v>0.5</v>
      </c>
      <c r="AD1338" s="742">
        <f t="shared" si="1157"/>
        <v>0.5</v>
      </c>
      <c r="AE1338" s="742">
        <f t="shared" si="1157"/>
        <v>0.5</v>
      </c>
      <c r="AF1338" s="742">
        <f t="shared" si="1157"/>
        <v>0.5</v>
      </c>
      <c r="AH1338" s="587"/>
      <c r="AK1338" s="588"/>
      <c r="AM1338" s="624"/>
      <c r="AN1338" s="590"/>
      <c r="AP1338" s="591"/>
      <c r="AQ1338" s="591"/>
    </row>
    <row r="1339" spans="1:43" s="513" customFormat="1" ht="16.5" hidden="1" customHeight="1" outlineLevel="2">
      <c r="A1339" s="584"/>
      <c r="B1339" s="585" t="s">
        <v>940</v>
      </c>
      <c r="C1339" s="592">
        <f>'Sal._benef.'!$I$30</f>
        <v>500</v>
      </c>
      <c r="D1339" s="592">
        <f>C1339</f>
        <v>500</v>
      </c>
      <c r="E1339" s="592">
        <f t="shared" ref="E1339:G1341" si="1158">D1339</f>
        <v>500</v>
      </c>
      <c r="F1339" s="592">
        <f t="shared" si="1158"/>
        <v>500</v>
      </c>
      <c r="G1339" s="592">
        <f>F1339</f>
        <v>500</v>
      </c>
      <c r="H1339" s="592">
        <f t="shared" ref="H1339:W1341" si="1159">G1339</f>
        <v>500</v>
      </c>
      <c r="I1339" s="592">
        <f t="shared" si="1159"/>
        <v>500</v>
      </c>
      <c r="J1339" s="592">
        <f t="shared" si="1159"/>
        <v>500</v>
      </c>
      <c r="K1339" s="592">
        <f t="shared" si="1159"/>
        <v>500</v>
      </c>
      <c r="L1339" s="592">
        <f t="shared" si="1159"/>
        <v>500</v>
      </c>
      <c r="M1339" s="592">
        <f t="shared" si="1159"/>
        <v>500</v>
      </c>
      <c r="N1339" s="592">
        <f t="shared" si="1159"/>
        <v>500</v>
      </c>
      <c r="O1339" s="592">
        <f t="shared" si="1159"/>
        <v>500</v>
      </c>
      <c r="P1339" s="592">
        <f t="shared" si="1159"/>
        <v>500</v>
      </c>
      <c r="Q1339" s="592">
        <f t="shared" si="1159"/>
        <v>500</v>
      </c>
      <c r="R1339" s="592">
        <f t="shared" si="1159"/>
        <v>500</v>
      </c>
      <c r="S1339" s="592">
        <f t="shared" si="1159"/>
        <v>500</v>
      </c>
      <c r="T1339" s="592">
        <f t="shared" si="1159"/>
        <v>500</v>
      </c>
      <c r="U1339" s="592">
        <f t="shared" si="1159"/>
        <v>500</v>
      </c>
      <c r="V1339" s="592">
        <f t="shared" si="1159"/>
        <v>500</v>
      </c>
      <c r="W1339" s="592">
        <f t="shared" si="1159"/>
        <v>500</v>
      </c>
      <c r="X1339" s="592">
        <f t="shared" ref="X1339:AF1341" si="1160">W1339</f>
        <v>500</v>
      </c>
      <c r="Y1339" s="592">
        <f t="shared" si="1160"/>
        <v>500</v>
      </c>
      <c r="Z1339" s="592">
        <f t="shared" si="1160"/>
        <v>500</v>
      </c>
      <c r="AA1339" s="592">
        <f t="shared" si="1160"/>
        <v>500</v>
      </c>
      <c r="AB1339" s="592">
        <f t="shared" si="1160"/>
        <v>500</v>
      </c>
      <c r="AC1339" s="592">
        <f t="shared" si="1160"/>
        <v>500</v>
      </c>
      <c r="AD1339" s="592">
        <f t="shared" si="1160"/>
        <v>500</v>
      </c>
      <c r="AE1339" s="592">
        <f t="shared" si="1160"/>
        <v>500</v>
      </c>
      <c r="AF1339" s="592">
        <f t="shared" si="1160"/>
        <v>500</v>
      </c>
      <c r="AH1339" s="538"/>
      <c r="AK1339" s="531"/>
      <c r="AM1339" s="594"/>
      <c r="AN1339" s="535"/>
      <c r="AP1339" s="540"/>
      <c r="AQ1339" s="540"/>
    </row>
    <row r="1340" spans="1:43" s="513" customFormat="1" ht="16.5" hidden="1" customHeight="1" outlineLevel="2">
      <c r="A1340" s="584"/>
      <c r="B1340" s="585" t="s">
        <v>941</v>
      </c>
      <c r="C1340" s="592">
        <f>'Sal._benef.'!$K$30</f>
        <v>5.53</v>
      </c>
      <c r="D1340" s="592">
        <f>C1340</f>
        <v>5.53</v>
      </c>
      <c r="E1340" s="592">
        <f t="shared" si="1158"/>
        <v>5.53</v>
      </c>
      <c r="F1340" s="592">
        <f t="shared" si="1158"/>
        <v>5.53</v>
      </c>
      <c r="G1340" s="592">
        <f t="shared" si="1158"/>
        <v>5.53</v>
      </c>
      <c r="H1340" s="592">
        <f t="shared" si="1159"/>
        <v>5.53</v>
      </c>
      <c r="I1340" s="592">
        <f t="shared" si="1159"/>
        <v>5.53</v>
      </c>
      <c r="J1340" s="592">
        <f t="shared" si="1159"/>
        <v>5.53</v>
      </c>
      <c r="K1340" s="592">
        <f t="shared" si="1159"/>
        <v>5.53</v>
      </c>
      <c r="L1340" s="592">
        <f t="shared" si="1159"/>
        <v>5.53</v>
      </c>
      <c r="M1340" s="592">
        <f t="shared" si="1159"/>
        <v>5.53</v>
      </c>
      <c r="N1340" s="592">
        <f t="shared" si="1159"/>
        <v>5.53</v>
      </c>
      <c r="O1340" s="592">
        <f t="shared" si="1159"/>
        <v>5.53</v>
      </c>
      <c r="P1340" s="592">
        <f t="shared" si="1159"/>
        <v>5.53</v>
      </c>
      <c r="Q1340" s="592">
        <f t="shared" si="1159"/>
        <v>5.53</v>
      </c>
      <c r="R1340" s="592">
        <f t="shared" si="1159"/>
        <v>5.53</v>
      </c>
      <c r="S1340" s="592">
        <f t="shared" si="1159"/>
        <v>5.53</v>
      </c>
      <c r="T1340" s="592">
        <f t="shared" si="1159"/>
        <v>5.53</v>
      </c>
      <c r="U1340" s="592">
        <f t="shared" si="1159"/>
        <v>5.53</v>
      </c>
      <c r="V1340" s="592">
        <f t="shared" si="1159"/>
        <v>5.53</v>
      </c>
      <c r="W1340" s="592">
        <f t="shared" si="1159"/>
        <v>5.53</v>
      </c>
      <c r="X1340" s="592">
        <f t="shared" si="1160"/>
        <v>5.53</v>
      </c>
      <c r="Y1340" s="592">
        <f t="shared" si="1160"/>
        <v>5.53</v>
      </c>
      <c r="Z1340" s="592">
        <f t="shared" si="1160"/>
        <v>5.53</v>
      </c>
      <c r="AA1340" s="592">
        <f t="shared" si="1160"/>
        <v>5.53</v>
      </c>
      <c r="AB1340" s="592">
        <f t="shared" si="1160"/>
        <v>5.53</v>
      </c>
      <c r="AC1340" s="592">
        <f t="shared" si="1160"/>
        <v>5.53</v>
      </c>
      <c r="AD1340" s="592">
        <f t="shared" si="1160"/>
        <v>5.53</v>
      </c>
      <c r="AE1340" s="592">
        <f t="shared" si="1160"/>
        <v>5.53</v>
      </c>
      <c r="AF1340" s="592">
        <f t="shared" si="1160"/>
        <v>5.53</v>
      </c>
      <c r="AH1340" s="538"/>
      <c r="AK1340" s="531"/>
      <c r="AM1340" s="594"/>
      <c r="AN1340" s="535"/>
      <c r="AP1340" s="540"/>
      <c r="AQ1340" s="540"/>
    </row>
    <row r="1341" spans="1:43" s="513" customFormat="1" ht="16.5" hidden="1" customHeight="1" outlineLevel="2">
      <c r="A1341" s="584"/>
      <c r="B1341" s="572" t="s">
        <v>862</v>
      </c>
      <c r="C1341" s="592">
        <v>0</v>
      </c>
      <c r="D1341" s="592">
        <f t="shared" ref="D1341" si="1161">C1341</f>
        <v>0</v>
      </c>
      <c r="E1341" s="592">
        <f t="shared" si="1158"/>
        <v>0</v>
      </c>
      <c r="F1341" s="592">
        <f t="shared" si="1158"/>
        <v>0</v>
      </c>
      <c r="G1341" s="592">
        <f t="shared" si="1158"/>
        <v>0</v>
      </c>
      <c r="H1341" s="592">
        <f t="shared" si="1159"/>
        <v>0</v>
      </c>
      <c r="I1341" s="592">
        <f t="shared" si="1159"/>
        <v>0</v>
      </c>
      <c r="J1341" s="592">
        <f t="shared" si="1159"/>
        <v>0</v>
      </c>
      <c r="K1341" s="592">
        <f t="shared" si="1159"/>
        <v>0</v>
      </c>
      <c r="L1341" s="592">
        <f t="shared" si="1159"/>
        <v>0</v>
      </c>
      <c r="M1341" s="592">
        <f t="shared" si="1159"/>
        <v>0</v>
      </c>
      <c r="N1341" s="592">
        <f t="shared" si="1159"/>
        <v>0</v>
      </c>
      <c r="O1341" s="592">
        <f t="shared" si="1159"/>
        <v>0</v>
      </c>
      <c r="P1341" s="592">
        <f t="shared" si="1159"/>
        <v>0</v>
      </c>
      <c r="Q1341" s="592">
        <f t="shared" si="1159"/>
        <v>0</v>
      </c>
      <c r="R1341" s="592">
        <f t="shared" si="1159"/>
        <v>0</v>
      </c>
      <c r="S1341" s="592">
        <f t="shared" si="1159"/>
        <v>0</v>
      </c>
      <c r="T1341" s="592">
        <f t="shared" si="1159"/>
        <v>0</v>
      </c>
      <c r="U1341" s="592">
        <f t="shared" si="1159"/>
        <v>0</v>
      </c>
      <c r="V1341" s="592">
        <f t="shared" si="1159"/>
        <v>0</v>
      </c>
      <c r="W1341" s="592">
        <f t="shared" si="1159"/>
        <v>0</v>
      </c>
      <c r="X1341" s="592">
        <f t="shared" si="1160"/>
        <v>0</v>
      </c>
      <c r="Y1341" s="592">
        <f t="shared" si="1160"/>
        <v>0</v>
      </c>
      <c r="Z1341" s="592">
        <f t="shared" si="1160"/>
        <v>0</v>
      </c>
      <c r="AA1341" s="592">
        <f t="shared" si="1160"/>
        <v>0</v>
      </c>
      <c r="AB1341" s="592">
        <f t="shared" si="1160"/>
        <v>0</v>
      </c>
      <c r="AC1341" s="592">
        <f t="shared" si="1160"/>
        <v>0</v>
      </c>
      <c r="AD1341" s="592">
        <f t="shared" si="1160"/>
        <v>0</v>
      </c>
      <c r="AE1341" s="592">
        <f t="shared" si="1160"/>
        <v>0</v>
      </c>
      <c r="AF1341" s="592">
        <f t="shared" si="1160"/>
        <v>0</v>
      </c>
      <c r="AH1341" s="538"/>
      <c r="AK1341" s="531"/>
      <c r="AM1341" s="594"/>
      <c r="AN1341" s="535"/>
      <c r="AP1341" s="540"/>
      <c r="AQ1341" s="540"/>
    </row>
    <row r="1342" spans="1:43" s="668" customFormat="1" ht="16.5" hidden="1" customHeight="1" outlineLevel="2">
      <c r="A1342" s="584"/>
      <c r="B1342" s="671" t="str">
        <f>B1278</f>
        <v>Porteiro</v>
      </c>
      <c r="C1342" s="570">
        <f>C1343*(C1344+C1345+C1346)</f>
        <v>0</v>
      </c>
      <c r="D1342" s="570">
        <f t="shared" ref="D1342:AF1342" si="1162">D1343*(D1344+D1345+D1346)</f>
        <v>0</v>
      </c>
      <c r="E1342" s="570">
        <f t="shared" si="1162"/>
        <v>0</v>
      </c>
      <c r="F1342" s="570">
        <f t="shared" si="1162"/>
        <v>0</v>
      </c>
      <c r="G1342" s="570">
        <f t="shared" si="1162"/>
        <v>0</v>
      </c>
      <c r="H1342" s="570">
        <f t="shared" si="1162"/>
        <v>0</v>
      </c>
      <c r="I1342" s="570">
        <f t="shared" si="1162"/>
        <v>1011.06</v>
      </c>
      <c r="J1342" s="570">
        <f t="shared" si="1162"/>
        <v>1011.06</v>
      </c>
      <c r="K1342" s="570">
        <f t="shared" si="1162"/>
        <v>1011.06</v>
      </c>
      <c r="L1342" s="570">
        <f t="shared" si="1162"/>
        <v>1011.06</v>
      </c>
      <c r="M1342" s="570">
        <f t="shared" si="1162"/>
        <v>1011.06</v>
      </c>
      <c r="N1342" s="570">
        <f t="shared" si="1162"/>
        <v>1011.06</v>
      </c>
      <c r="O1342" s="570">
        <f t="shared" si="1162"/>
        <v>1011.06</v>
      </c>
      <c r="P1342" s="570">
        <f t="shared" si="1162"/>
        <v>1011.06</v>
      </c>
      <c r="Q1342" s="570">
        <f t="shared" si="1162"/>
        <v>1011.06</v>
      </c>
      <c r="R1342" s="570">
        <f t="shared" si="1162"/>
        <v>1011.06</v>
      </c>
      <c r="S1342" s="570">
        <f t="shared" si="1162"/>
        <v>1011.06</v>
      </c>
      <c r="T1342" s="570">
        <f t="shared" si="1162"/>
        <v>1011.06</v>
      </c>
      <c r="U1342" s="570">
        <f t="shared" si="1162"/>
        <v>1011.06</v>
      </c>
      <c r="V1342" s="570">
        <f t="shared" si="1162"/>
        <v>1011.06</v>
      </c>
      <c r="W1342" s="570">
        <f t="shared" si="1162"/>
        <v>1011.06</v>
      </c>
      <c r="X1342" s="570">
        <f t="shared" si="1162"/>
        <v>1011.06</v>
      </c>
      <c r="Y1342" s="570">
        <f t="shared" si="1162"/>
        <v>1011.06</v>
      </c>
      <c r="Z1342" s="570">
        <f t="shared" si="1162"/>
        <v>1011.06</v>
      </c>
      <c r="AA1342" s="570">
        <f t="shared" si="1162"/>
        <v>1011.06</v>
      </c>
      <c r="AB1342" s="570">
        <f t="shared" si="1162"/>
        <v>1011.06</v>
      </c>
      <c r="AC1342" s="570">
        <f t="shared" si="1162"/>
        <v>1011.06</v>
      </c>
      <c r="AD1342" s="570">
        <f t="shared" si="1162"/>
        <v>1011.06</v>
      </c>
      <c r="AE1342" s="570">
        <f t="shared" si="1162"/>
        <v>1011.06</v>
      </c>
      <c r="AF1342" s="570">
        <f t="shared" si="1162"/>
        <v>1011.06</v>
      </c>
      <c r="AG1342" s="546"/>
      <c r="AH1342" s="571"/>
      <c r="AK1342" s="531"/>
      <c r="AM1342" s="594"/>
      <c r="AN1342" s="535"/>
      <c r="AP1342" s="669"/>
      <c r="AQ1342" s="669"/>
    </row>
    <row r="1343" spans="1:43" s="586" customFormat="1" ht="16.5" hidden="1" customHeight="1" outlineLevel="2">
      <c r="A1343" s="584"/>
      <c r="B1343" s="585" t="s">
        <v>805</v>
      </c>
      <c r="C1343" s="716">
        <f>C1281</f>
        <v>0</v>
      </c>
      <c r="D1343" s="716">
        <f t="shared" ref="D1343:H1343" si="1163">D1281</f>
        <v>0</v>
      </c>
      <c r="E1343" s="716">
        <f t="shared" si="1163"/>
        <v>0</v>
      </c>
      <c r="F1343" s="716">
        <f t="shared" si="1163"/>
        <v>0</v>
      </c>
      <c r="G1343" s="716">
        <f t="shared" si="1163"/>
        <v>0</v>
      </c>
      <c r="H1343" s="716">
        <f t="shared" si="1163"/>
        <v>0</v>
      </c>
      <c r="I1343" s="716">
        <f>I1279</f>
        <v>2</v>
      </c>
      <c r="J1343" s="716">
        <f t="shared" ref="J1343:AF1343" si="1164">J1279</f>
        <v>2</v>
      </c>
      <c r="K1343" s="716">
        <f t="shared" si="1164"/>
        <v>2</v>
      </c>
      <c r="L1343" s="716">
        <f t="shared" si="1164"/>
        <v>2</v>
      </c>
      <c r="M1343" s="716">
        <f t="shared" si="1164"/>
        <v>2</v>
      </c>
      <c r="N1343" s="716">
        <f t="shared" si="1164"/>
        <v>2</v>
      </c>
      <c r="O1343" s="716">
        <f t="shared" si="1164"/>
        <v>2</v>
      </c>
      <c r="P1343" s="716">
        <f t="shared" si="1164"/>
        <v>2</v>
      </c>
      <c r="Q1343" s="716">
        <f t="shared" si="1164"/>
        <v>2</v>
      </c>
      <c r="R1343" s="716">
        <f t="shared" si="1164"/>
        <v>2</v>
      </c>
      <c r="S1343" s="716">
        <f t="shared" si="1164"/>
        <v>2</v>
      </c>
      <c r="T1343" s="716">
        <f t="shared" si="1164"/>
        <v>2</v>
      </c>
      <c r="U1343" s="716">
        <f t="shared" si="1164"/>
        <v>2</v>
      </c>
      <c r="V1343" s="716">
        <f t="shared" si="1164"/>
        <v>2</v>
      </c>
      <c r="W1343" s="716">
        <f t="shared" si="1164"/>
        <v>2</v>
      </c>
      <c r="X1343" s="716">
        <f t="shared" si="1164"/>
        <v>2</v>
      </c>
      <c r="Y1343" s="716">
        <f t="shared" si="1164"/>
        <v>2</v>
      </c>
      <c r="Z1343" s="716">
        <f t="shared" si="1164"/>
        <v>2</v>
      </c>
      <c r="AA1343" s="716">
        <f t="shared" si="1164"/>
        <v>2</v>
      </c>
      <c r="AB1343" s="716">
        <f t="shared" si="1164"/>
        <v>2</v>
      </c>
      <c r="AC1343" s="716">
        <f t="shared" si="1164"/>
        <v>2</v>
      </c>
      <c r="AD1343" s="716">
        <f t="shared" si="1164"/>
        <v>2</v>
      </c>
      <c r="AE1343" s="716">
        <f t="shared" si="1164"/>
        <v>2</v>
      </c>
      <c r="AF1343" s="716">
        <f t="shared" si="1164"/>
        <v>2</v>
      </c>
      <c r="AH1343" s="587"/>
      <c r="AK1343" s="588"/>
      <c r="AM1343" s="624"/>
      <c r="AN1343" s="590"/>
      <c r="AP1343" s="591"/>
      <c r="AQ1343" s="591"/>
    </row>
    <row r="1344" spans="1:43" s="513" customFormat="1" ht="16.5" hidden="1" customHeight="1" outlineLevel="2">
      <c r="A1344" s="584"/>
      <c r="B1344" s="585" t="s">
        <v>940</v>
      </c>
      <c r="C1344" s="592">
        <f>'Sal._benef.'!$I$26</f>
        <v>500</v>
      </c>
      <c r="D1344" s="592">
        <f>C1344</f>
        <v>500</v>
      </c>
      <c r="E1344" s="592">
        <f t="shared" ref="E1344:E1346" si="1165">D1344</f>
        <v>500</v>
      </c>
      <c r="F1344" s="592">
        <f t="shared" ref="F1344:F1346" si="1166">E1344</f>
        <v>500</v>
      </c>
      <c r="G1344" s="592">
        <f>F1344</f>
        <v>500</v>
      </c>
      <c r="H1344" s="592">
        <f t="shared" ref="H1344:H1346" si="1167">G1344</f>
        <v>500</v>
      </c>
      <c r="I1344" s="592">
        <f t="shared" ref="I1344:I1346" si="1168">H1344</f>
        <v>500</v>
      </c>
      <c r="J1344" s="592">
        <f t="shared" ref="J1344:J1346" si="1169">I1344</f>
        <v>500</v>
      </c>
      <c r="K1344" s="592">
        <f t="shared" ref="K1344:K1346" si="1170">J1344</f>
        <v>500</v>
      </c>
      <c r="L1344" s="592">
        <f t="shared" ref="L1344:L1346" si="1171">K1344</f>
        <v>500</v>
      </c>
      <c r="M1344" s="592">
        <f t="shared" ref="M1344:M1346" si="1172">L1344</f>
        <v>500</v>
      </c>
      <c r="N1344" s="592">
        <f t="shared" ref="N1344:N1346" si="1173">M1344</f>
        <v>500</v>
      </c>
      <c r="O1344" s="592">
        <f t="shared" ref="O1344:O1346" si="1174">N1344</f>
        <v>500</v>
      </c>
      <c r="P1344" s="592">
        <f t="shared" ref="P1344:P1346" si="1175">O1344</f>
        <v>500</v>
      </c>
      <c r="Q1344" s="592">
        <f t="shared" ref="Q1344:Q1346" si="1176">P1344</f>
        <v>500</v>
      </c>
      <c r="R1344" s="592">
        <f t="shared" ref="R1344:R1346" si="1177">Q1344</f>
        <v>500</v>
      </c>
      <c r="S1344" s="592">
        <f t="shared" ref="S1344:S1346" si="1178">R1344</f>
        <v>500</v>
      </c>
      <c r="T1344" s="592">
        <f t="shared" ref="T1344:T1346" si="1179">S1344</f>
        <v>500</v>
      </c>
      <c r="U1344" s="592">
        <f t="shared" ref="U1344:U1346" si="1180">T1344</f>
        <v>500</v>
      </c>
      <c r="V1344" s="592">
        <f t="shared" ref="V1344:V1346" si="1181">U1344</f>
        <v>500</v>
      </c>
      <c r="W1344" s="592">
        <f t="shared" ref="W1344:W1346" si="1182">V1344</f>
        <v>500</v>
      </c>
      <c r="X1344" s="592">
        <f t="shared" ref="X1344:X1346" si="1183">W1344</f>
        <v>500</v>
      </c>
      <c r="Y1344" s="592">
        <f t="shared" ref="Y1344:Y1346" si="1184">X1344</f>
        <v>500</v>
      </c>
      <c r="Z1344" s="592">
        <f t="shared" ref="Z1344:Z1346" si="1185">Y1344</f>
        <v>500</v>
      </c>
      <c r="AA1344" s="592">
        <f t="shared" ref="AA1344:AA1346" si="1186">Z1344</f>
        <v>500</v>
      </c>
      <c r="AB1344" s="592">
        <f t="shared" ref="AB1344:AB1346" si="1187">AA1344</f>
        <v>500</v>
      </c>
      <c r="AC1344" s="592">
        <f t="shared" ref="AC1344:AC1346" si="1188">AB1344</f>
        <v>500</v>
      </c>
      <c r="AD1344" s="592">
        <f t="shared" ref="AD1344:AD1346" si="1189">AC1344</f>
        <v>500</v>
      </c>
      <c r="AE1344" s="592">
        <f t="shared" ref="AE1344:AE1346" si="1190">AD1344</f>
        <v>500</v>
      </c>
      <c r="AF1344" s="592">
        <f t="shared" ref="AF1344:AF1346" si="1191">AE1344</f>
        <v>500</v>
      </c>
      <c r="AH1344" s="538"/>
      <c r="AK1344" s="531"/>
      <c r="AM1344" s="594"/>
      <c r="AN1344" s="535"/>
      <c r="AP1344" s="540"/>
      <c r="AQ1344" s="540"/>
    </row>
    <row r="1345" spans="1:43" s="513" customFormat="1" ht="16.5" hidden="1" customHeight="1" outlineLevel="2">
      <c r="A1345" s="584"/>
      <c r="B1345" s="585" t="s">
        <v>941</v>
      </c>
      <c r="C1345" s="592">
        <f>'Sal._benef.'!$K$26</f>
        <v>5.53</v>
      </c>
      <c r="D1345" s="592">
        <f>C1345</f>
        <v>5.53</v>
      </c>
      <c r="E1345" s="592">
        <f t="shared" si="1165"/>
        <v>5.53</v>
      </c>
      <c r="F1345" s="592">
        <f t="shared" si="1166"/>
        <v>5.53</v>
      </c>
      <c r="G1345" s="592">
        <f t="shared" ref="G1345:G1346" si="1192">F1345</f>
        <v>5.53</v>
      </c>
      <c r="H1345" s="592">
        <f t="shared" si="1167"/>
        <v>5.53</v>
      </c>
      <c r="I1345" s="592">
        <f t="shared" si="1168"/>
        <v>5.53</v>
      </c>
      <c r="J1345" s="592">
        <f t="shared" si="1169"/>
        <v>5.53</v>
      </c>
      <c r="K1345" s="592">
        <f t="shared" si="1170"/>
        <v>5.53</v>
      </c>
      <c r="L1345" s="592">
        <f t="shared" si="1171"/>
        <v>5.53</v>
      </c>
      <c r="M1345" s="592">
        <f t="shared" si="1172"/>
        <v>5.53</v>
      </c>
      <c r="N1345" s="592">
        <f t="shared" si="1173"/>
        <v>5.53</v>
      </c>
      <c r="O1345" s="592">
        <f t="shared" si="1174"/>
        <v>5.53</v>
      </c>
      <c r="P1345" s="592">
        <f t="shared" si="1175"/>
        <v>5.53</v>
      </c>
      <c r="Q1345" s="592">
        <f t="shared" si="1176"/>
        <v>5.53</v>
      </c>
      <c r="R1345" s="592">
        <f t="shared" si="1177"/>
        <v>5.53</v>
      </c>
      <c r="S1345" s="592">
        <f t="shared" si="1178"/>
        <v>5.53</v>
      </c>
      <c r="T1345" s="592">
        <f t="shared" si="1179"/>
        <v>5.53</v>
      </c>
      <c r="U1345" s="592">
        <f t="shared" si="1180"/>
        <v>5.53</v>
      </c>
      <c r="V1345" s="592">
        <f t="shared" si="1181"/>
        <v>5.53</v>
      </c>
      <c r="W1345" s="592">
        <f t="shared" si="1182"/>
        <v>5.53</v>
      </c>
      <c r="X1345" s="592">
        <f t="shared" si="1183"/>
        <v>5.53</v>
      </c>
      <c r="Y1345" s="592">
        <f t="shared" si="1184"/>
        <v>5.53</v>
      </c>
      <c r="Z1345" s="592">
        <f t="shared" si="1185"/>
        <v>5.53</v>
      </c>
      <c r="AA1345" s="592">
        <f t="shared" si="1186"/>
        <v>5.53</v>
      </c>
      <c r="AB1345" s="592">
        <f t="shared" si="1187"/>
        <v>5.53</v>
      </c>
      <c r="AC1345" s="592">
        <f t="shared" si="1188"/>
        <v>5.53</v>
      </c>
      <c r="AD1345" s="592">
        <f t="shared" si="1189"/>
        <v>5.53</v>
      </c>
      <c r="AE1345" s="592">
        <f t="shared" si="1190"/>
        <v>5.53</v>
      </c>
      <c r="AF1345" s="592">
        <f t="shared" si="1191"/>
        <v>5.53</v>
      </c>
      <c r="AH1345" s="538"/>
      <c r="AK1345" s="531"/>
      <c r="AM1345" s="594"/>
      <c r="AN1345" s="535"/>
      <c r="AP1345" s="540"/>
      <c r="AQ1345" s="540"/>
    </row>
    <row r="1346" spans="1:43" s="513" customFormat="1" ht="16.5" hidden="1" customHeight="1" outlineLevel="2">
      <c r="A1346" s="584"/>
      <c r="B1346" s="572" t="s">
        <v>862</v>
      </c>
      <c r="C1346" s="592">
        <v>0</v>
      </c>
      <c r="D1346" s="592">
        <f t="shared" ref="D1346" si="1193">C1346</f>
        <v>0</v>
      </c>
      <c r="E1346" s="592">
        <f t="shared" si="1165"/>
        <v>0</v>
      </c>
      <c r="F1346" s="592">
        <f t="shared" si="1166"/>
        <v>0</v>
      </c>
      <c r="G1346" s="592">
        <f t="shared" si="1192"/>
        <v>0</v>
      </c>
      <c r="H1346" s="592">
        <f t="shared" si="1167"/>
        <v>0</v>
      </c>
      <c r="I1346" s="592">
        <f t="shared" si="1168"/>
        <v>0</v>
      </c>
      <c r="J1346" s="592">
        <f t="shared" si="1169"/>
        <v>0</v>
      </c>
      <c r="K1346" s="592">
        <f t="shared" si="1170"/>
        <v>0</v>
      </c>
      <c r="L1346" s="592">
        <f t="shared" si="1171"/>
        <v>0</v>
      </c>
      <c r="M1346" s="592">
        <f t="shared" si="1172"/>
        <v>0</v>
      </c>
      <c r="N1346" s="592">
        <f t="shared" si="1173"/>
        <v>0</v>
      </c>
      <c r="O1346" s="592">
        <f t="shared" si="1174"/>
        <v>0</v>
      </c>
      <c r="P1346" s="592">
        <f t="shared" si="1175"/>
        <v>0</v>
      </c>
      <c r="Q1346" s="592">
        <f t="shared" si="1176"/>
        <v>0</v>
      </c>
      <c r="R1346" s="592">
        <f t="shared" si="1177"/>
        <v>0</v>
      </c>
      <c r="S1346" s="592">
        <f t="shared" si="1178"/>
        <v>0</v>
      </c>
      <c r="T1346" s="592">
        <f t="shared" si="1179"/>
        <v>0</v>
      </c>
      <c r="U1346" s="592">
        <f t="shared" si="1180"/>
        <v>0</v>
      </c>
      <c r="V1346" s="592">
        <f t="shared" si="1181"/>
        <v>0</v>
      </c>
      <c r="W1346" s="592">
        <f t="shared" si="1182"/>
        <v>0</v>
      </c>
      <c r="X1346" s="592">
        <f t="shared" si="1183"/>
        <v>0</v>
      </c>
      <c r="Y1346" s="592">
        <f t="shared" si="1184"/>
        <v>0</v>
      </c>
      <c r="Z1346" s="592">
        <f t="shared" si="1185"/>
        <v>0</v>
      </c>
      <c r="AA1346" s="592">
        <f t="shared" si="1186"/>
        <v>0</v>
      </c>
      <c r="AB1346" s="592">
        <f t="shared" si="1187"/>
        <v>0</v>
      </c>
      <c r="AC1346" s="592">
        <f t="shared" si="1188"/>
        <v>0</v>
      </c>
      <c r="AD1346" s="592">
        <f t="shared" si="1189"/>
        <v>0</v>
      </c>
      <c r="AE1346" s="592">
        <f t="shared" si="1190"/>
        <v>0</v>
      </c>
      <c r="AF1346" s="592">
        <f t="shared" si="1191"/>
        <v>0</v>
      </c>
      <c r="AH1346" s="538"/>
      <c r="AK1346" s="531"/>
      <c r="AM1346" s="594"/>
      <c r="AN1346" s="535"/>
      <c r="AP1346" s="540"/>
      <c r="AQ1346" s="540"/>
    </row>
    <row r="1347" spans="1:43" s="513" customFormat="1" ht="6" hidden="1" customHeight="1" outlineLevel="2">
      <c r="A1347" s="584"/>
      <c r="B1347" s="572"/>
      <c r="C1347" s="592"/>
      <c r="D1347" s="592"/>
      <c r="E1347" s="592"/>
      <c r="F1347" s="592"/>
      <c r="G1347" s="592"/>
      <c r="H1347" s="592"/>
      <c r="I1347" s="592"/>
      <c r="J1347" s="592"/>
      <c r="K1347" s="592"/>
      <c r="L1347" s="592"/>
      <c r="M1347" s="592"/>
      <c r="N1347" s="592"/>
      <c r="O1347" s="592"/>
      <c r="P1347" s="592"/>
      <c r="Q1347" s="592"/>
      <c r="R1347" s="592"/>
      <c r="S1347" s="592"/>
      <c r="T1347" s="592"/>
      <c r="U1347" s="592"/>
      <c r="V1347" s="592"/>
      <c r="W1347" s="592"/>
      <c r="X1347" s="592"/>
      <c r="Y1347" s="592"/>
      <c r="Z1347" s="592"/>
      <c r="AA1347" s="592"/>
      <c r="AB1347" s="592"/>
      <c r="AC1347" s="592"/>
      <c r="AD1347" s="592"/>
      <c r="AE1347" s="592"/>
      <c r="AF1347" s="592"/>
      <c r="AH1347" s="538"/>
      <c r="AK1347" s="531"/>
      <c r="AM1347" s="594"/>
      <c r="AN1347" s="535"/>
      <c r="AP1347" s="540"/>
      <c r="AQ1347" s="540"/>
    </row>
    <row r="1348" spans="1:43" s="564" customFormat="1" ht="16.5" hidden="1" customHeight="1" outlineLevel="1" collapsed="1">
      <c r="A1348" s="584"/>
      <c r="B1348" s="576" t="s">
        <v>943</v>
      </c>
      <c r="C1348" s="577">
        <f>(SUM(C1349,C1353,C1357)/10^3)</f>
        <v>0</v>
      </c>
      <c r="D1348" s="577">
        <f t="shared" ref="D1348:AF1348" si="1194">(SUM(D1349,D1353,D1357)/10^3)</f>
        <v>5.1547400000000003</v>
      </c>
      <c r="E1348" s="577">
        <f t="shared" si="1194"/>
        <v>10.309480000000001</v>
      </c>
      <c r="F1348" s="577">
        <f t="shared" si="1194"/>
        <v>10.309480000000001</v>
      </c>
      <c r="G1348" s="577">
        <f t="shared" si="1194"/>
        <v>10.309480000000001</v>
      </c>
      <c r="H1348" s="577">
        <f t="shared" si="1194"/>
        <v>10.309480000000001</v>
      </c>
      <c r="I1348" s="577">
        <f t="shared" si="1194"/>
        <v>63.326105000000013</v>
      </c>
      <c r="J1348" s="577">
        <f t="shared" si="1194"/>
        <v>63.326105000000013</v>
      </c>
      <c r="K1348" s="577">
        <f t="shared" si="1194"/>
        <v>63.326105000000013</v>
      </c>
      <c r="L1348" s="577">
        <f t="shared" si="1194"/>
        <v>63.326105000000013</v>
      </c>
      <c r="M1348" s="577">
        <f t="shared" si="1194"/>
        <v>63.326105000000013</v>
      </c>
      <c r="N1348" s="577">
        <f t="shared" si="1194"/>
        <v>63.326105000000013</v>
      </c>
      <c r="O1348" s="577">
        <f t="shared" si="1194"/>
        <v>63.326105000000013</v>
      </c>
      <c r="P1348" s="577">
        <f t="shared" si="1194"/>
        <v>63.326105000000013</v>
      </c>
      <c r="Q1348" s="577">
        <f t="shared" si="1194"/>
        <v>63.326105000000013</v>
      </c>
      <c r="R1348" s="577">
        <f t="shared" si="1194"/>
        <v>63.326105000000013</v>
      </c>
      <c r="S1348" s="577">
        <f t="shared" si="1194"/>
        <v>63.326105000000013</v>
      </c>
      <c r="T1348" s="577">
        <f t="shared" si="1194"/>
        <v>63.326105000000013</v>
      </c>
      <c r="U1348" s="577">
        <f t="shared" si="1194"/>
        <v>63.326105000000013</v>
      </c>
      <c r="V1348" s="577">
        <f t="shared" si="1194"/>
        <v>63.326105000000013</v>
      </c>
      <c r="W1348" s="577">
        <f t="shared" si="1194"/>
        <v>63.326105000000013</v>
      </c>
      <c r="X1348" s="577">
        <f t="shared" si="1194"/>
        <v>63.326105000000013</v>
      </c>
      <c r="Y1348" s="577">
        <f t="shared" si="1194"/>
        <v>63.326105000000013</v>
      </c>
      <c r="Z1348" s="577">
        <f t="shared" si="1194"/>
        <v>63.326105000000013</v>
      </c>
      <c r="AA1348" s="577">
        <f t="shared" si="1194"/>
        <v>63.326105000000013</v>
      </c>
      <c r="AB1348" s="577">
        <f t="shared" si="1194"/>
        <v>63.326105000000013</v>
      </c>
      <c r="AC1348" s="577">
        <f t="shared" si="1194"/>
        <v>63.326105000000013</v>
      </c>
      <c r="AD1348" s="577">
        <f t="shared" si="1194"/>
        <v>63.326105000000013</v>
      </c>
      <c r="AE1348" s="577">
        <f t="shared" si="1194"/>
        <v>63.326105000000013</v>
      </c>
      <c r="AF1348" s="577">
        <f t="shared" si="1194"/>
        <v>63.326105000000013</v>
      </c>
      <c r="AH1348" s="578">
        <f>SUM(C1348:AF1348)</f>
        <v>1566.2191800000007</v>
      </c>
      <c r="AJ1348" s="579"/>
      <c r="AK1348" s="531"/>
      <c r="AM1348" s="594"/>
      <c r="AN1348" s="535"/>
      <c r="AP1348" s="568"/>
      <c r="AQ1348" s="568"/>
    </row>
    <row r="1349" spans="1:43" s="564" customFormat="1" ht="16.5" hidden="1" customHeight="1" outlineLevel="2">
      <c r="A1349" s="584"/>
      <c r="B1349" s="656" t="s">
        <v>990</v>
      </c>
      <c r="C1349" s="653">
        <f>C1350</f>
        <v>0</v>
      </c>
      <c r="D1349" s="653">
        <f t="shared" ref="D1349:AE1349" si="1195">D1350</f>
        <v>0</v>
      </c>
      <c r="E1349" s="653">
        <f t="shared" si="1195"/>
        <v>5154.7400000000007</v>
      </c>
      <c r="F1349" s="653">
        <f t="shared" si="1195"/>
        <v>5154.7400000000007</v>
      </c>
      <c r="G1349" s="653">
        <f t="shared" si="1195"/>
        <v>5154.7400000000007</v>
      </c>
      <c r="H1349" s="653">
        <f t="shared" si="1195"/>
        <v>5154.7400000000007</v>
      </c>
      <c r="I1349" s="653">
        <f t="shared" si="1195"/>
        <v>5154.7400000000007</v>
      </c>
      <c r="J1349" s="653">
        <f t="shared" si="1195"/>
        <v>5154.7400000000007</v>
      </c>
      <c r="K1349" s="653">
        <f t="shared" si="1195"/>
        <v>5154.7400000000007</v>
      </c>
      <c r="L1349" s="653">
        <f t="shared" si="1195"/>
        <v>5154.7400000000007</v>
      </c>
      <c r="M1349" s="653">
        <f t="shared" si="1195"/>
        <v>5154.7400000000007</v>
      </c>
      <c r="N1349" s="653">
        <f t="shared" si="1195"/>
        <v>5154.7400000000007</v>
      </c>
      <c r="O1349" s="653">
        <f t="shared" si="1195"/>
        <v>5154.7400000000007</v>
      </c>
      <c r="P1349" s="653">
        <f t="shared" si="1195"/>
        <v>5154.7400000000007</v>
      </c>
      <c r="Q1349" s="653">
        <f t="shared" si="1195"/>
        <v>5154.7400000000007</v>
      </c>
      <c r="R1349" s="653">
        <f t="shared" si="1195"/>
        <v>5154.7400000000007</v>
      </c>
      <c r="S1349" s="653">
        <f t="shared" si="1195"/>
        <v>5154.7400000000007</v>
      </c>
      <c r="T1349" s="653">
        <f t="shared" si="1195"/>
        <v>5154.7400000000007</v>
      </c>
      <c r="U1349" s="653">
        <f t="shared" si="1195"/>
        <v>5154.7400000000007</v>
      </c>
      <c r="V1349" s="653">
        <f t="shared" si="1195"/>
        <v>5154.7400000000007</v>
      </c>
      <c r="W1349" s="653">
        <f t="shared" si="1195"/>
        <v>5154.7400000000007</v>
      </c>
      <c r="X1349" s="653">
        <f t="shared" si="1195"/>
        <v>5154.7400000000007</v>
      </c>
      <c r="Y1349" s="653">
        <f t="shared" si="1195"/>
        <v>5154.7400000000007</v>
      </c>
      <c r="Z1349" s="653">
        <f t="shared" si="1195"/>
        <v>5154.7400000000007</v>
      </c>
      <c r="AA1349" s="653">
        <f t="shared" si="1195"/>
        <v>5154.7400000000007</v>
      </c>
      <c r="AB1349" s="653">
        <f t="shared" si="1195"/>
        <v>5154.7400000000007</v>
      </c>
      <c r="AC1349" s="653">
        <f t="shared" si="1195"/>
        <v>5154.7400000000007</v>
      </c>
      <c r="AD1349" s="653">
        <f t="shared" si="1195"/>
        <v>5154.7400000000007</v>
      </c>
      <c r="AE1349" s="653">
        <f t="shared" si="1195"/>
        <v>5154.7400000000007</v>
      </c>
      <c r="AF1349" s="653">
        <f>AF1350</f>
        <v>5154.7400000000007</v>
      </c>
      <c r="AH1349" s="601"/>
      <c r="AJ1349" s="579"/>
      <c r="AK1349" s="531"/>
      <c r="AM1349" s="594"/>
      <c r="AN1349" s="535"/>
      <c r="AP1349" s="568"/>
      <c r="AQ1349" s="568"/>
    </row>
    <row r="1350" spans="1:43" s="634" customFormat="1" ht="16.5" hidden="1" customHeight="1" outlineLevel="2">
      <c r="A1350" s="584"/>
      <c r="B1350" s="580" t="s">
        <v>931</v>
      </c>
      <c r="C1350" s="637">
        <f>C1351*C1352</f>
        <v>0</v>
      </c>
      <c r="D1350" s="637">
        <f t="shared" ref="D1350:AE1350" si="1196">D1351*D1352</f>
        <v>0</v>
      </c>
      <c r="E1350" s="637">
        <f t="shared" si="1196"/>
        <v>5154.7400000000007</v>
      </c>
      <c r="F1350" s="637">
        <f t="shared" si="1196"/>
        <v>5154.7400000000007</v>
      </c>
      <c r="G1350" s="637">
        <f t="shared" si="1196"/>
        <v>5154.7400000000007</v>
      </c>
      <c r="H1350" s="637">
        <f t="shared" si="1196"/>
        <v>5154.7400000000007</v>
      </c>
      <c r="I1350" s="637">
        <f t="shared" si="1196"/>
        <v>5154.7400000000007</v>
      </c>
      <c r="J1350" s="637">
        <f t="shared" si="1196"/>
        <v>5154.7400000000007</v>
      </c>
      <c r="K1350" s="637">
        <f t="shared" si="1196"/>
        <v>5154.7400000000007</v>
      </c>
      <c r="L1350" s="637">
        <f t="shared" si="1196"/>
        <v>5154.7400000000007</v>
      </c>
      <c r="M1350" s="637">
        <f t="shared" si="1196"/>
        <v>5154.7400000000007</v>
      </c>
      <c r="N1350" s="637">
        <f t="shared" si="1196"/>
        <v>5154.7400000000007</v>
      </c>
      <c r="O1350" s="637">
        <f t="shared" si="1196"/>
        <v>5154.7400000000007</v>
      </c>
      <c r="P1350" s="637">
        <f t="shared" si="1196"/>
        <v>5154.7400000000007</v>
      </c>
      <c r="Q1350" s="637">
        <f t="shared" si="1196"/>
        <v>5154.7400000000007</v>
      </c>
      <c r="R1350" s="637">
        <f t="shared" si="1196"/>
        <v>5154.7400000000007</v>
      </c>
      <c r="S1350" s="637">
        <f t="shared" si="1196"/>
        <v>5154.7400000000007</v>
      </c>
      <c r="T1350" s="637">
        <f t="shared" si="1196"/>
        <v>5154.7400000000007</v>
      </c>
      <c r="U1350" s="637">
        <f t="shared" si="1196"/>
        <v>5154.7400000000007</v>
      </c>
      <c r="V1350" s="637">
        <f t="shared" si="1196"/>
        <v>5154.7400000000007</v>
      </c>
      <c r="W1350" s="637">
        <f t="shared" si="1196"/>
        <v>5154.7400000000007</v>
      </c>
      <c r="X1350" s="637">
        <f t="shared" si="1196"/>
        <v>5154.7400000000007</v>
      </c>
      <c r="Y1350" s="637">
        <f t="shared" si="1196"/>
        <v>5154.7400000000007</v>
      </c>
      <c r="Z1350" s="637">
        <f t="shared" si="1196"/>
        <v>5154.7400000000007</v>
      </c>
      <c r="AA1350" s="637">
        <f t="shared" si="1196"/>
        <v>5154.7400000000007</v>
      </c>
      <c r="AB1350" s="637">
        <f t="shared" si="1196"/>
        <v>5154.7400000000007</v>
      </c>
      <c r="AC1350" s="637">
        <f t="shared" si="1196"/>
        <v>5154.7400000000007</v>
      </c>
      <c r="AD1350" s="637">
        <f t="shared" si="1196"/>
        <v>5154.7400000000007</v>
      </c>
      <c r="AE1350" s="637">
        <f t="shared" si="1196"/>
        <v>5154.7400000000007</v>
      </c>
      <c r="AF1350" s="637">
        <f>AF1351*AF1352</f>
        <v>5154.7400000000007</v>
      </c>
      <c r="AK1350" s="588"/>
      <c r="AM1350" s="624"/>
      <c r="AN1350" s="590"/>
      <c r="AP1350" s="636"/>
      <c r="AQ1350" s="636"/>
    </row>
    <row r="1351" spans="1:43" s="586" customFormat="1" ht="16.5" hidden="1" customHeight="1" outlineLevel="2">
      <c r="A1351" s="584"/>
      <c r="B1351" s="585" t="s">
        <v>805</v>
      </c>
      <c r="C1351" s="716">
        <f>C1288</f>
        <v>0</v>
      </c>
      <c r="D1351" s="716">
        <f t="shared" ref="D1351" si="1197">D1288</f>
        <v>0</v>
      </c>
      <c r="E1351" s="716">
        <f>E1288</f>
        <v>1</v>
      </c>
      <c r="F1351" s="716">
        <f t="shared" ref="F1351:AF1351" si="1198">F1288</f>
        <v>1</v>
      </c>
      <c r="G1351" s="716">
        <f t="shared" si="1198"/>
        <v>1</v>
      </c>
      <c r="H1351" s="716">
        <f t="shared" si="1198"/>
        <v>1</v>
      </c>
      <c r="I1351" s="716">
        <f t="shared" si="1198"/>
        <v>1</v>
      </c>
      <c r="J1351" s="716">
        <f t="shared" si="1198"/>
        <v>1</v>
      </c>
      <c r="K1351" s="716">
        <f t="shared" si="1198"/>
        <v>1</v>
      </c>
      <c r="L1351" s="716">
        <f t="shared" si="1198"/>
        <v>1</v>
      </c>
      <c r="M1351" s="716">
        <f t="shared" si="1198"/>
        <v>1</v>
      </c>
      <c r="N1351" s="716">
        <f t="shared" si="1198"/>
        <v>1</v>
      </c>
      <c r="O1351" s="716">
        <f t="shared" si="1198"/>
        <v>1</v>
      </c>
      <c r="P1351" s="716">
        <f t="shared" si="1198"/>
        <v>1</v>
      </c>
      <c r="Q1351" s="716">
        <f t="shared" si="1198"/>
        <v>1</v>
      </c>
      <c r="R1351" s="716">
        <f t="shared" si="1198"/>
        <v>1</v>
      </c>
      <c r="S1351" s="716">
        <f t="shared" si="1198"/>
        <v>1</v>
      </c>
      <c r="T1351" s="716">
        <f t="shared" si="1198"/>
        <v>1</v>
      </c>
      <c r="U1351" s="716">
        <f t="shared" si="1198"/>
        <v>1</v>
      </c>
      <c r="V1351" s="716">
        <f t="shared" si="1198"/>
        <v>1</v>
      </c>
      <c r="W1351" s="716">
        <f t="shared" si="1198"/>
        <v>1</v>
      </c>
      <c r="X1351" s="716">
        <f t="shared" si="1198"/>
        <v>1</v>
      </c>
      <c r="Y1351" s="716">
        <f t="shared" si="1198"/>
        <v>1</v>
      </c>
      <c r="Z1351" s="716">
        <f t="shared" si="1198"/>
        <v>1</v>
      </c>
      <c r="AA1351" s="716">
        <f t="shared" si="1198"/>
        <v>1</v>
      </c>
      <c r="AB1351" s="716">
        <f t="shared" si="1198"/>
        <v>1</v>
      </c>
      <c r="AC1351" s="716">
        <f t="shared" si="1198"/>
        <v>1</v>
      </c>
      <c r="AD1351" s="716">
        <f t="shared" si="1198"/>
        <v>1</v>
      </c>
      <c r="AE1351" s="716">
        <f t="shared" si="1198"/>
        <v>1</v>
      </c>
      <c r="AF1351" s="716">
        <f t="shared" si="1198"/>
        <v>1</v>
      </c>
      <c r="AK1351" s="588"/>
      <c r="AM1351" s="624"/>
      <c r="AN1351" s="590"/>
      <c r="AP1351" s="591"/>
      <c r="AQ1351" s="591"/>
    </row>
    <row r="1352" spans="1:43" s="586" customFormat="1" ht="16.5" hidden="1" customHeight="1" outlineLevel="2">
      <c r="A1352" s="584"/>
      <c r="B1352" s="585" t="s">
        <v>888</v>
      </c>
      <c r="C1352" s="592">
        <f>EPIs_unif.!$D$10+EPIs_unif.!$D$36</f>
        <v>5154.7400000000007</v>
      </c>
      <c r="D1352" s="642">
        <f>C1352</f>
        <v>5154.7400000000007</v>
      </c>
      <c r="E1352" s="642">
        <f t="shared" ref="E1352:AF1352" si="1199">D1352</f>
        <v>5154.7400000000007</v>
      </c>
      <c r="F1352" s="642">
        <f t="shared" si="1199"/>
        <v>5154.7400000000007</v>
      </c>
      <c r="G1352" s="642">
        <f t="shared" si="1199"/>
        <v>5154.7400000000007</v>
      </c>
      <c r="H1352" s="642">
        <f t="shared" si="1199"/>
        <v>5154.7400000000007</v>
      </c>
      <c r="I1352" s="642">
        <f t="shared" si="1199"/>
        <v>5154.7400000000007</v>
      </c>
      <c r="J1352" s="642">
        <f t="shared" si="1199"/>
        <v>5154.7400000000007</v>
      </c>
      <c r="K1352" s="642">
        <f t="shared" si="1199"/>
        <v>5154.7400000000007</v>
      </c>
      <c r="L1352" s="642">
        <f t="shared" si="1199"/>
        <v>5154.7400000000007</v>
      </c>
      <c r="M1352" s="642">
        <f t="shared" si="1199"/>
        <v>5154.7400000000007</v>
      </c>
      <c r="N1352" s="642">
        <f t="shared" si="1199"/>
        <v>5154.7400000000007</v>
      </c>
      <c r="O1352" s="642">
        <f t="shared" si="1199"/>
        <v>5154.7400000000007</v>
      </c>
      <c r="P1352" s="642">
        <f t="shared" si="1199"/>
        <v>5154.7400000000007</v>
      </c>
      <c r="Q1352" s="642">
        <f t="shared" si="1199"/>
        <v>5154.7400000000007</v>
      </c>
      <c r="R1352" s="642">
        <f t="shared" si="1199"/>
        <v>5154.7400000000007</v>
      </c>
      <c r="S1352" s="642">
        <f t="shared" si="1199"/>
        <v>5154.7400000000007</v>
      </c>
      <c r="T1352" s="642">
        <f t="shared" si="1199"/>
        <v>5154.7400000000007</v>
      </c>
      <c r="U1352" s="642">
        <f t="shared" si="1199"/>
        <v>5154.7400000000007</v>
      </c>
      <c r="V1352" s="642">
        <f t="shared" si="1199"/>
        <v>5154.7400000000007</v>
      </c>
      <c r="W1352" s="642">
        <f t="shared" si="1199"/>
        <v>5154.7400000000007</v>
      </c>
      <c r="X1352" s="642">
        <f t="shared" si="1199"/>
        <v>5154.7400000000007</v>
      </c>
      <c r="Y1352" s="642">
        <f t="shared" si="1199"/>
        <v>5154.7400000000007</v>
      </c>
      <c r="Z1352" s="642">
        <f t="shared" si="1199"/>
        <v>5154.7400000000007</v>
      </c>
      <c r="AA1352" s="642">
        <f t="shared" si="1199"/>
        <v>5154.7400000000007</v>
      </c>
      <c r="AB1352" s="642">
        <f t="shared" si="1199"/>
        <v>5154.7400000000007</v>
      </c>
      <c r="AC1352" s="642">
        <f t="shared" si="1199"/>
        <v>5154.7400000000007</v>
      </c>
      <c r="AD1352" s="642">
        <f t="shared" si="1199"/>
        <v>5154.7400000000007</v>
      </c>
      <c r="AE1352" s="642">
        <f t="shared" si="1199"/>
        <v>5154.7400000000007</v>
      </c>
      <c r="AF1352" s="642">
        <f t="shared" si="1199"/>
        <v>5154.7400000000007</v>
      </c>
      <c r="AK1352" s="588"/>
      <c r="AM1352" s="624"/>
      <c r="AN1352" s="590"/>
      <c r="AP1352" s="591"/>
      <c r="AQ1352" s="591"/>
    </row>
    <row r="1353" spans="1:43" s="564" customFormat="1" ht="16.5" hidden="1" customHeight="1" outlineLevel="2">
      <c r="A1353" s="584"/>
      <c r="B1353" s="650" t="s">
        <v>1023</v>
      </c>
      <c r="C1353" s="652">
        <f>C1354</f>
        <v>0</v>
      </c>
      <c r="D1353" s="652">
        <f t="shared" ref="D1353:AF1353" si="1200">D1354</f>
        <v>5154.7400000000007</v>
      </c>
      <c r="E1353" s="652">
        <f t="shared" si="1200"/>
        <v>5154.7400000000007</v>
      </c>
      <c r="F1353" s="652">
        <f t="shared" si="1200"/>
        <v>5154.7400000000007</v>
      </c>
      <c r="G1353" s="652">
        <f t="shared" si="1200"/>
        <v>5154.7400000000007</v>
      </c>
      <c r="H1353" s="652">
        <f t="shared" si="1200"/>
        <v>5154.7400000000007</v>
      </c>
      <c r="I1353" s="652">
        <f t="shared" si="1200"/>
        <v>5154.7400000000007</v>
      </c>
      <c r="J1353" s="652">
        <f t="shared" si="1200"/>
        <v>5154.7400000000007</v>
      </c>
      <c r="K1353" s="652">
        <f t="shared" si="1200"/>
        <v>5154.7400000000007</v>
      </c>
      <c r="L1353" s="652">
        <f t="shared" si="1200"/>
        <v>5154.7400000000007</v>
      </c>
      <c r="M1353" s="652">
        <f t="shared" si="1200"/>
        <v>5154.7400000000007</v>
      </c>
      <c r="N1353" s="652">
        <f t="shared" si="1200"/>
        <v>5154.7400000000007</v>
      </c>
      <c r="O1353" s="652">
        <f t="shared" si="1200"/>
        <v>5154.7400000000007</v>
      </c>
      <c r="P1353" s="652">
        <f t="shared" si="1200"/>
        <v>5154.7400000000007</v>
      </c>
      <c r="Q1353" s="652">
        <f t="shared" si="1200"/>
        <v>5154.7400000000007</v>
      </c>
      <c r="R1353" s="652">
        <f t="shared" si="1200"/>
        <v>5154.7400000000007</v>
      </c>
      <c r="S1353" s="652">
        <f t="shared" si="1200"/>
        <v>5154.7400000000007</v>
      </c>
      <c r="T1353" s="652">
        <f t="shared" si="1200"/>
        <v>5154.7400000000007</v>
      </c>
      <c r="U1353" s="652">
        <f t="shared" si="1200"/>
        <v>5154.7400000000007</v>
      </c>
      <c r="V1353" s="652">
        <f t="shared" si="1200"/>
        <v>5154.7400000000007</v>
      </c>
      <c r="W1353" s="652">
        <f t="shared" si="1200"/>
        <v>5154.7400000000007</v>
      </c>
      <c r="X1353" s="652">
        <f t="shared" si="1200"/>
        <v>5154.7400000000007</v>
      </c>
      <c r="Y1353" s="652">
        <f t="shared" si="1200"/>
        <v>5154.7400000000007</v>
      </c>
      <c r="Z1353" s="652">
        <f t="shared" si="1200"/>
        <v>5154.7400000000007</v>
      </c>
      <c r="AA1353" s="652">
        <f t="shared" si="1200"/>
        <v>5154.7400000000007</v>
      </c>
      <c r="AB1353" s="652">
        <f t="shared" si="1200"/>
        <v>5154.7400000000007</v>
      </c>
      <c r="AC1353" s="652">
        <f t="shared" si="1200"/>
        <v>5154.7400000000007</v>
      </c>
      <c r="AD1353" s="652">
        <f t="shared" si="1200"/>
        <v>5154.7400000000007</v>
      </c>
      <c r="AE1353" s="652">
        <f t="shared" si="1200"/>
        <v>5154.7400000000007</v>
      </c>
      <c r="AF1353" s="652">
        <f t="shared" si="1200"/>
        <v>5154.7400000000007</v>
      </c>
      <c r="AH1353" s="601"/>
      <c r="AJ1353" s="579"/>
      <c r="AK1353" s="531"/>
      <c r="AM1353" s="732"/>
      <c r="AN1353" s="667"/>
      <c r="AP1353" s="568"/>
      <c r="AQ1353" s="568"/>
    </row>
    <row r="1354" spans="1:43" s="634" customFormat="1" ht="16.5" hidden="1" customHeight="1" outlineLevel="2">
      <c r="A1354" s="584"/>
      <c r="B1354" s="580" t="s">
        <v>931</v>
      </c>
      <c r="C1354" s="637">
        <f>C1355*C1356</f>
        <v>0</v>
      </c>
      <c r="D1354" s="637">
        <f t="shared" ref="D1354:AE1354" si="1201">D1355*D1356</f>
        <v>5154.7400000000007</v>
      </c>
      <c r="E1354" s="637">
        <f t="shared" si="1201"/>
        <v>5154.7400000000007</v>
      </c>
      <c r="F1354" s="637">
        <f t="shared" si="1201"/>
        <v>5154.7400000000007</v>
      </c>
      <c r="G1354" s="637">
        <f t="shared" si="1201"/>
        <v>5154.7400000000007</v>
      </c>
      <c r="H1354" s="637">
        <f t="shared" si="1201"/>
        <v>5154.7400000000007</v>
      </c>
      <c r="I1354" s="637">
        <f t="shared" si="1201"/>
        <v>5154.7400000000007</v>
      </c>
      <c r="J1354" s="637">
        <f t="shared" si="1201"/>
        <v>5154.7400000000007</v>
      </c>
      <c r="K1354" s="637">
        <f t="shared" si="1201"/>
        <v>5154.7400000000007</v>
      </c>
      <c r="L1354" s="637">
        <f t="shared" si="1201"/>
        <v>5154.7400000000007</v>
      </c>
      <c r="M1354" s="637">
        <f t="shared" si="1201"/>
        <v>5154.7400000000007</v>
      </c>
      <c r="N1354" s="637">
        <f t="shared" si="1201"/>
        <v>5154.7400000000007</v>
      </c>
      <c r="O1354" s="637">
        <f t="shared" si="1201"/>
        <v>5154.7400000000007</v>
      </c>
      <c r="P1354" s="637">
        <f t="shared" si="1201"/>
        <v>5154.7400000000007</v>
      </c>
      <c r="Q1354" s="637">
        <f t="shared" si="1201"/>
        <v>5154.7400000000007</v>
      </c>
      <c r="R1354" s="637">
        <f t="shared" si="1201"/>
        <v>5154.7400000000007</v>
      </c>
      <c r="S1354" s="637">
        <f t="shared" si="1201"/>
        <v>5154.7400000000007</v>
      </c>
      <c r="T1354" s="637">
        <f t="shared" si="1201"/>
        <v>5154.7400000000007</v>
      </c>
      <c r="U1354" s="637">
        <f t="shared" si="1201"/>
        <v>5154.7400000000007</v>
      </c>
      <c r="V1354" s="637">
        <f t="shared" si="1201"/>
        <v>5154.7400000000007</v>
      </c>
      <c r="W1354" s="637">
        <f t="shared" si="1201"/>
        <v>5154.7400000000007</v>
      </c>
      <c r="X1354" s="637">
        <f t="shared" si="1201"/>
        <v>5154.7400000000007</v>
      </c>
      <c r="Y1354" s="637">
        <f t="shared" si="1201"/>
        <v>5154.7400000000007</v>
      </c>
      <c r="Z1354" s="637">
        <f t="shared" si="1201"/>
        <v>5154.7400000000007</v>
      </c>
      <c r="AA1354" s="637">
        <f t="shared" si="1201"/>
        <v>5154.7400000000007</v>
      </c>
      <c r="AB1354" s="637">
        <f t="shared" si="1201"/>
        <v>5154.7400000000007</v>
      </c>
      <c r="AC1354" s="637">
        <f t="shared" si="1201"/>
        <v>5154.7400000000007</v>
      </c>
      <c r="AD1354" s="637">
        <f t="shared" si="1201"/>
        <v>5154.7400000000007</v>
      </c>
      <c r="AE1354" s="637">
        <f t="shared" si="1201"/>
        <v>5154.7400000000007</v>
      </c>
      <c r="AF1354" s="637">
        <f>AF1355*AF1356</f>
        <v>5154.7400000000007</v>
      </c>
      <c r="AK1354" s="588"/>
      <c r="AM1354" s="624"/>
      <c r="AN1354" s="590"/>
      <c r="AP1354" s="636"/>
      <c r="AQ1354" s="636"/>
    </row>
    <row r="1355" spans="1:43" s="586" customFormat="1" ht="16.5" hidden="1" customHeight="1" outlineLevel="2">
      <c r="A1355" s="584"/>
      <c r="B1355" s="585" t="s">
        <v>805</v>
      </c>
      <c r="C1355" s="716">
        <f>C1295</f>
        <v>0</v>
      </c>
      <c r="D1355" s="716">
        <f t="shared" ref="D1355:AF1355" si="1202">D1295</f>
        <v>1</v>
      </c>
      <c r="E1355" s="716">
        <f t="shared" si="1202"/>
        <v>1</v>
      </c>
      <c r="F1355" s="716">
        <f t="shared" si="1202"/>
        <v>1</v>
      </c>
      <c r="G1355" s="716">
        <f t="shared" si="1202"/>
        <v>1</v>
      </c>
      <c r="H1355" s="716">
        <f t="shared" si="1202"/>
        <v>1</v>
      </c>
      <c r="I1355" s="716">
        <f t="shared" si="1202"/>
        <v>1</v>
      </c>
      <c r="J1355" s="716">
        <f t="shared" si="1202"/>
        <v>1</v>
      </c>
      <c r="K1355" s="716">
        <f t="shared" si="1202"/>
        <v>1</v>
      </c>
      <c r="L1355" s="716">
        <f t="shared" si="1202"/>
        <v>1</v>
      </c>
      <c r="M1355" s="716">
        <f t="shared" si="1202"/>
        <v>1</v>
      </c>
      <c r="N1355" s="716">
        <f t="shared" si="1202"/>
        <v>1</v>
      </c>
      <c r="O1355" s="716">
        <f t="shared" si="1202"/>
        <v>1</v>
      </c>
      <c r="P1355" s="716">
        <f t="shared" si="1202"/>
        <v>1</v>
      </c>
      <c r="Q1355" s="716">
        <f t="shared" si="1202"/>
        <v>1</v>
      </c>
      <c r="R1355" s="716">
        <f t="shared" si="1202"/>
        <v>1</v>
      </c>
      <c r="S1355" s="716">
        <f t="shared" si="1202"/>
        <v>1</v>
      </c>
      <c r="T1355" s="716">
        <f t="shared" si="1202"/>
        <v>1</v>
      </c>
      <c r="U1355" s="716">
        <f t="shared" si="1202"/>
        <v>1</v>
      </c>
      <c r="V1355" s="716">
        <f t="shared" si="1202"/>
        <v>1</v>
      </c>
      <c r="W1355" s="716">
        <f t="shared" si="1202"/>
        <v>1</v>
      </c>
      <c r="X1355" s="716">
        <f t="shared" si="1202"/>
        <v>1</v>
      </c>
      <c r="Y1355" s="716">
        <f t="shared" si="1202"/>
        <v>1</v>
      </c>
      <c r="Z1355" s="716">
        <f t="shared" si="1202"/>
        <v>1</v>
      </c>
      <c r="AA1355" s="716">
        <f t="shared" si="1202"/>
        <v>1</v>
      </c>
      <c r="AB1355" s="716">
        <f t="shared" si="1202"/>
        <v>1</v>
      </c>
      <c r="AC1355" s="716">
        <f t="shared" si="1202"/>
        <v>1</v>
      </c>
      <c r="AD1355" s="716">
        <f t="shared" si="1202"/>
        <v>1</v>
      </c>
      <c r="AE1355" s="716">
        <f t="shared" si="1202"/>
        <v>1</v>
      </c>
      <c r="AF1355" s="716">
        <f t="shared" si="1202"/>
        <v>1</v>
      </c>
      <c r="AK1355" s="588"/>
      <c r="AM1355" s="624"/>
      <c r="AN1355" s="590"/>
      <c r="AP1355" s="591"/>
      <c r="AQ1355" s="591"/>
    </row>
    <row r="1356" spans="1:43" s="586" customFormat="1" ht="16.5" hidden="1" customHeight="1" outlineLevel="2">
      <c r="A1356" s="584"/>
      <c r="B1356" s="585" t="s">
        <v>888</v>
      </c>
      <c r="C1356" s="592">
        <f>EPIs_unif.!$D$10+EPIs_unif.!$D$36</f>
        <v>5154.7400000000007</v>
      </c>
      <c r="D1356" s="642">
        <f>C1356</f>
        <v>5154.7400000000007</v>
      </c>
      <c r="E1356" s="642">
        <f t="shared" ref="E1356:AF1356" si="1203">D1356</f>
        <v>5154.7400000000007</v>
      </c>
      <c r="F1356" s="642">
        <f t="shared" si="1203"/>
        <v>5154.7400000000007</v>
      </c>
      <c r="G1356" s="642">
        <f t="shared" si="1203"/>
        <v>5154.7400000000007</v>
      </c>
      <c r="H1356" s="642">
        <f t="shared" si="1203"/>
        <v>5154.7400000000007</v>
      </c>
      <c r="I1356" s="642">
        <f t="shared" si="1203"/>
        <v>5154.7400000000007</v>
      </c>
      <c r="J1356" s="642">
        <f t="shared" si="1203"/>
        <v>5154.7400000000007</v>
      </c>
      <c r="K1356" s="642">
        <f t="shared" si="1203"/>
        <v>5154.7400000000007</v>
      </c>
      <c r="L1356" s="642">
        <f t="shared" si="1203"/>
        <v>5154.7400000000007</v>
      </c>
      <c r="M1356" s="642">
        <f t="shared" si="1203"/>
        <v>5154.7400000000007</v>
      </c>
      <c r="N1356" s="642">
        <f t="shared" si="1203"/>
        <v>5154.7400000000007</v>
      </c>
      <c r="O1356" s="642">
        <f t="shared" si="1203"/>
        <v>5154.7400000000007</v>
      </c>
      <c r="P1356" s="642">
        <f t="shared" si="1203"/>
        <v>5154.7400000000007</v>
      </c>
      <c r="Q1356" s="642">
        <f t="shared" si="1203"/>
        <v>5154.7400000000007</v>
      </c>
      <c r="R1356" s="642">
        <f t="shared" si="1203"/>
        <v>5154.7400000000007</v>
      </c>
      <c r="S1356" s="642">
        <f t="shared" si="1203"/>
        <v>5154.7400000000007</v>
      </c>
      <c r="T1356" s="642">
        <f t="shared" si="1203"/>
        <v>5154.7400000000007</v>
      </c>
      <c r="U1356" s="642">
        <f t="shared" si="1203"/>
        <v>5154.7400000000007</v>
      </c>
      <c r="V1356" s="642">
        <f t="shared" si="1203"/>
        <v>5154.7400000000007</v>
      </c>
      <c r="W1356" s="642">
        <f t="shared" si="1203"/>
        <v>5154.7400000000007</v>
      </c>
      <c r="X1356" s="642">
        <f t="shared" si="1203"/>
        <v>5154.7400000000007</v>
      </c>
      <c r="Y1356" s="642">
        <f t="shared" si="1203"/>
        <v>5154.7400000000007</v>
      </c>
      <c r="Z1356" s="642">
        <f t="shared" si="1203"/>
        <v>5154.7400000000007</v>
      </c>
      <c r="AA1356" s="642">
        <f t="shared" si="1203"/>
        <v>5154.7400000000007</v>
      </c>
      <c r="AB1356" s="642">
        <f t="shared" si="1203"/>
        <v>5154.7400000000007</v>
      </c>
      <c r="AC1356" s="642">
        <f t="shared" si="1203"/>
        <v>5154.7400000000007</v>
      </c>
      <c r="AD1356" s="642">
        <f t="shared" si="1203"/>
        <v>5154.7400000000007</v>
      </c>
      <c r="AE1356" s="642">
        <f t="shared" si="1203"/>
        <v>5154.7400000000007</v>
      </c>
      <c r="AF1356" s="642">
        <f t="shared" si="1203"/>
        <v>5154.7400000000007</v>
      </c>
      <c r="AK1356" s="588"/>
      <c r="AM1356" s="624"/>
      <c r="AN1356" s="590"/>
      <c r="AP1356" s="591"/>
      <c r="AQ1356" s="591"/>
    </row>
    <row r="1357" spans="1:43" s="564" customFormat="1" ht="16.5" hidden="1" customHeight="1" outlineLevel="2">
      <c r="A1357" s="584"/>
      <c r="B1357" s="650" t="s">
        <v>858</v>
      </c>
      <c r="C1357" s="652">
        <f>SUM(C1358,C1361,C1364,C1367,C1370,C1373,C1376)</f>
        <v>0</v>
      </c>
      <c r="D1357" s="652">
        <f t="shared" ref="D1357:AF1357" si="1204">SUM(D1358,D1361,D1364,D1367,D1370,D1373,D1376)</f>
        <v>0</v>
      </c>
      <c r="E1357" s="652">
        <f t="shared" si="1204"/>
        <v>0</v>
      </c>
      <c r="F1357" s="652">
        <f t="shared" si="1204"/>
        <v>0</v>
      </c>
      <c r="G1357" s="652">
        <f t="shared" si="1204"/>
        <v>0</v>
      </c>
      <c r="H1357" s="652">
        <f t="shared" si="1204"/>
        <v>0</v>
      </c>
      <c r="I1357" s="652">
        <f t="shared" si="1204"/>
        <v>53016.625000000007</v>
      </c>
      <c r="J1357" s="652">
        <f t="shared" si="1204"/>
        <v>53016.625000000007</v>
      </c>
      <c r="K1357" s="652">
        <f t="shared" si="1204"/>
        <v>53016.625000000007</v>
      </c>
      <c r="L1357" s="652">
        <f t="shared" si="1204"/>
        <v>53016.625000000007</v>
      </c>
      <c r="M1357" s="652">
        <f t="shared" si="1204"/>
        <v>53016.625000000007</v>
      </c>
      <c r="N1357" s="652">
        <f t="shared" si="1204"/>
        <v>53016.625000000007</v>
      </c>
      <c r="O1357" s="652">
        <f t="shared" si="1204"/>
        <v>53016.625000000007</v>
      </c>
      <c r="P1357" s="652">
        <f t="shared" si="1204"/>
        <v>53016.625000000007</v>
      </c>
      <c r="Q1357" s="652">
        <f t="shared" si="1204"/>
        <v>53016.625000000007</v>
      </c>
      <c r="R1357" s="652">
        <f t="shared" si="1204"/>
        <v>53016.625000000007</v>
      </c>
      <c r="S1357" s="652">
        <f t="shared" si="1204"/>
        <v>53016.625000000007</v>
      </c>
      <c r="T1357" s="652">
        <f t="shared" si="1204"/>
        <v>53016.625000000007</v>
      </c>
      <c r="U1357" s="652">
        <f t="shared" si="1204"/>
        <v>53016.625000000007</v>
      </c>
      <c r="V1357" s="652">
        <f t="shared" si="1204"/>
        <v>53016.625000000007</v>
      </c>
      <c r="W1357" s="652">
        <f t="shared" si="1204"/>
        <v>53016.625000000007</v>
      </c>
      <c r="X1357" s="652">
        <f t="shared" si="1204"/>
        <v>53016.625000000007</v>
      </c>
      <c r="Y1357" s="652">
        <f t="shared" si="1204"/>
        <v>53016.625000000007</v>
      </c>
      <c r="Z1357" s="652">
        <f t="shared" si="1204"/>
        <v>53016.625000000007</v>
      </c>
      <c r="AA1357" s="652">
        <f t="shared" si="1204"/>
        <v>53016.625000000007</v>
      </c>
      <c r="AB1357" s="652">
        <f t="shared" si="1204"/>
        <v>53016.625000000007</v>
      </c>
      <c r="AC1357" s="652">
        <f t="shared" si="1204"/>
        <v>53016.625000000007</v>
      </c>
      <c r="AD1357" s="652">
        <f t="shared" si="1204"/>
        <v>53016.625000000007</v>
      </c>
      <c r="AE1357" s="652">
        <f t="shared" si="1204"/>
        <v>53016.625000000007</v>
      </c>
      <c r="AF1357" s="652">
        <f t="shared" si="1204"/>
        <v>53016.625000000007</v>
      </c>
      <c r="AH1357" s="601"/>
      <c r="AJ1357" s="579"/>
      <c r="AK1357" s="531"/>
      <c r="AM1357" s="732"/>
      <c r="AN1357" s="667"/>
      <c r="AP1357" s="568"/>
      <c r="AQ1357" s="568"/>
    </row>
    <row r="1358" spans="1:43" s="546" customFormat="1" ht="16.5" hidden="1" customHeight="1" outlineLevel="2">
      <c r="A1358" s="584"/>
      <c r="B1358" s="580" t="str">
        <f>B1233</f>
        <v>Coletor diurno e vespertino</v>
      </c>
      <c r="C1358" s="570">
        <f>C1359*C1360</f>
        <v>0</v>
      </c>
      <c r="D1358" s="570">
        <f t="shared" ref="D1358:AF1358" si="1205">D1359*D1360</f>
        <v>0</v>
      </c>
      <c r="E1358" s="570">
        <f t="shared" si="1205"/>
        <v>0</v>
      </c>
      <c r="F1358" s="570">
        <f t="shared" si="1205"/>
        <v>0</v>
      </c>
      <c r="G1358" s="570">
        <f t="shared" si="1205"/>
        <v>0</v>
      </c>
      <c r="H1358" s="570">
        <f t="shared" si="1205"/>
        <v>0</v>
      </c>
      <c r="I1358" s="570">
        <f t="shared" si="1205"/>
        <v>20618.960000000003</v>
      </c>
      <c r="J1358" s="570">
        <f t="shared" si="1205"/>
        <v>20618.960000000003</v>
      </c>
      <c r="K1358" s="570">
        <f t="shared" si="1205"/>
        <v>20618.960000000003</v>
      </c>
      <c r="L1358" s="570">
        <f t="shared" si="1205"/>
        <v>20618.960000000003</v>
      </c>
      <c r="M1358" s="570">
        <f t="shared" si="1205"/>
        <v>20618.960000000003</v>
      </c>
      <c r="N1358" s="570">
        <f t="shared" si="1205"/>
        <v>20618.960000000003</v>
      </c>
      <c r="O1358" s="570">
        <f t="shared" si="1205"/>
        <v>20618.960000000003</v>
      </c>
      <c r="P1358" s="570">
        <f t="shared" si="1205"/>
        <v>20618.960000000003</v>
      </c>
      <c r="Q1358" s="570">
        <f t="shared" si="1205"/>
        <v>20618.960000000003</v>
      </c>
      <c r="R1358" s="570">
        <f t="shared" si="1205"/>
        <v>20618.960000000003</v>
      </c>
      <c r="S1358" s="570">
        <f t="shared" si="1205"/>
        <v>20618.960000000003</v>
      </c>
      <c r="T1358" s="570">
        <f t="shared" si="1205"/>
        <v>20618.960000000003</v>
      </c>
      <c r="U1358" s="570">
        <f t="shared" si="1205"/>
        <v>20618.960000000003</v>
      </c>
      <c r="V1358" s="570">
        <f t="shared" si="1205"/>
        <v>20618.960000000003</v>
      </c>
      <c r="W1358" s="570">
        <f t="shared" si="1205"/>
        <v>20618.960000000003</v>
      </c>
      <c r="X1358" s="570">
        <f t="shared" si="1205"/>
        <v>20618.960000000003</v>
      </c>
      <c r="Y1358" s="570">
        <f t="shared" si="1205"/>
        <v>20618.960000000003</v>
      </c>
      <c r="Z1358" s="570">
        <f t="shared" si="1205"/>
        <v>20618.960000000003</v>
      </c>
      <c r="AA1358" s="570">
        <f t="shared" si="1205"/>
        <v>20618.960000000003</v>
      </c>
      <c r="AB1358" s="570">
        <f t="shared" si="1205"/>
        <v>20618.960000000003</v>
      </c>
      <c r="AC1358" s="570">
        <f t="shared" si="1205"/>
        <v>20618.960000000003</v>
      </c>
      <c r="AD1358" s="570">
        <f t="shared" si="1205"/>
        <v>20618.960000000003</v>
      </c>
      <c r="AE1358" s="570">
        <f t="shared" si="1205"/>
        <v>20618.960000000003</v>
      </c>
      <c r="AF1358" s="570">
        <f t="shared" si="1205"/>
        <v>20618.960000000003</v>
      </c>
      <c r="AH1358" s="571"/>
      <c r="AK1358" s="531"/>
      <c r="AM1358" s="594"/>
      <c r="AN1358" s="535"/>
      <c r="AP1358" s="549"/>
      <c r="AQ1358" s="549"/>
    </row>
    <row r="1359" spans="1:43" s="586" customFormat="1" ht="16.5" hidden="1" customHeight="1" outlineLevel="2">
      <c r="A1359" s="584"/>
      <c r="B1359" s="585" t="s">
        <v>805</v>
      </c>
      <c r="C1359" s="716">
        <f>C1302</f>
        <v>0</v>
      </c>
      <c r="D1359" s="716">
        <f t="shared" ref="D1359:AF1359" si="1206">D1302</f>
        <v>0</v>
      </c>
      <c r="E1359" s="716">
        <f t="shared" si="1206"/>
        <v>0</v>
      </c>
      <c r="F1359" s="716">
        <f t="shared" si="1206"/>
        <v>0</v>
      </c>
      <c r="G1359" s="716">
        <f t="shared" si="1206"/>
        <v>0</v>
      </c>
      <c r="H1359" s="716">
        <f t="shared" si="1206"/>
        <v>0</v>
      </c>
      <c r="I1359" s="716">
        <f t="shared" si="1206"/>
        <v>4</v>
      </c>
      <c r="J1359" s="716">
        <f t="shared" si="1206"/>
        <v>4</v>
      </c>
      <c r="K1359" s="716">
        <f t="shared" si="1206"/>
        <v>4</v>
      </c>
      <c r="L1359" s="716">
        <f t="shared" si="1206"/>
        <v>4</v>
      </c>
      <c r="M1359" s="716">
        <f t="shared" si="1206"/>
        <v>4</v>
      </c>
      <c r="N1359" s="716">
        <f t="shared" si="1206"/>
        <v>4</v>
      </c>
      <c r="O1359" s="716">
        <f t="shared" si="1206"/>
        <v>4</v>
      </c>
      <c r="P1359" s="716">
        <f t="shared" si="1206"/>
        <v>4</v>
      </c>
      <c r="Q1359" s="716">
        <f t="shared" si="1206"/>
        <v>4</v>
      </c>
      <c r="R1359" s="716">
        <f t="shared" si="1206"/>
        <v>4</v>
      </c>
      <c r="S1359" s="716">
        <f t="shared" si="1206"/>
        <v>4</v>
      </c>
      <c r="T1359" s="716">
        <f t="shared" si="1206"/>
        <v>4</v>
      </c>
      <c r="U1359" s="716">
        <f t="shared" si="1206"/>
        <v>4</v>
      </c>
      <c r="V1359" s="716">
        <f t="shared" si="1206"/>
        <v>4</v>
      </c>
      <c r="W1359" s="716">
        <f t="shared" si="1206"/>
        <v>4</v>
      </c>
      <c r="X1359" s="716">
        <f t="shared" si="1206"/>
        <v>4</v>
      </c>
      <c r="Y1359" s="716">
        <f t="shared" si="1206"/>
        <v>4</v>
      </c>
      <c r="Z1359" s="716">
        <f t="shared" si="1206"/>
        <v>4</v>
      </c>
      <c r="AA1359" s="716">
        <f t="shared" si="1206"/>
        <v>4</v>
      </c>
      <c r="AB1359" s="716">
        <f t="shared" si="1206"/>
        <v>4</v>
      </c>
      <c r="AC1359" s="716">
        <f t="shared" si="1206"/>
        <v>4</v>
      </c>
      <c r="AD1359" s="716">
        <f t="shared" si="1206"/>
        <v>4</v>
      </c>
      <c r="AE1359" s="716">
        <f t="shared" si="1206"/>
        <v>4</v>
      </c>
      <c r="AF1359" s="716">
        <f t="shared" si="1206"/>
        <v>4</v>
      </c>
      <c r="AK1359" s="588"/>
      <c r="AM1359" s="624"/>
      <c r="AN1359" s="590"/>
      <c r="AP1359" s="591"/>
      <c r="AQ1359" s="591"/>
    </row>
    <row r="1360" spans="1:43" s="513" customFormat="1" ht="16.5" hidden="1" customHeight="1" outlineLevel="2">
      <c r="A1360" s="584"/>
      <c r="B1360" s="585" t="s">
        <v>888</v>
      </c>
      <c r="C1360" s="592">
        <f>EPIs_unif.!$D$10+EPIs_unif.!$D$36</f>
        <v>5154.7400000000007</v>
      </c>
      <c r="D1360" s="592">
        <f>C1360</f>
        <v>5154.7400000000007</v>
      </c>
      <c r="E1360" s="592">
        <f t="shared" ref="E1360:AF1360" si="1207">D1360</f>
        <v>5154.7400000000007</v>
      </c>
      <c r="F1360" s="592">
        <f t="shared" si="1207"/>
        <v>5154.7400000000007</v>
      </c>
      <c r="G1360" s="592">
        <f t="shared" si="1207"/>
        <v>5154.7400000000007</v>
      </c>
      <c r="H1360" s="592">
        <f t="shared" si="1207"/>
        <v>5154.7400000000007</v>
      </c>
      <c r="I1360" s="592">
        <f t="shared" si="1207"/>
        <v>5154.7400000000007</v>
      </c>
      <c r="J1360" s="592">
        <f t="shared" si="1207"/>
        <v>5154.7400000000007</v>
      </c>
      <c r="K1360" s="592">
        <f t="shared" si="1207"/>
        <v>5154.7400000000007</v>
      </c>
      <c r="L1360" s="592">
        <f t="shared" si="1207"/>
        <v>5154.7400000000007</v>
      </c>
      <c r="M1360" s="592">
        <f t="shared" si="1207"/>
        <v>5154.7400000000007</v>
      </c>
      <c r="N1360" s="592">
        <f t="shared" si="1207"/>
        <v>5154.7400000000007</v>
      </c>
      <c r="O1360" s="592">
        <f t="shared" si="1207"/>
        <v>5154.7400000000007</v>
      </c>
      <c r="P1360" s="592">
        <f t="shared" si="1207"/>
        <v>5154.7400000000007</v>
      </c>
      <c r="Q1360" s="592">
        <f t="shared" si="1207"/>
        <v>5154.7400000000007</v>
      </c>
      <c r="R1360" s="592">
        <f t="shared" si="1207"/>
        <v>5154.7400000000007</v>
      </c>
      <c r="S1360" s="592">
        <f t="shared" si="1207"/>
        <v>5154.7400000000007</v>
      </c>
      <c r="T1360" s="592">
        <f t="shared" si="1207"/>
        <v>5154.7400000000007</v>
      </c>
      <c r="U1360" s="592">
        <f t="shared" si="1207"/>
        <v>5154.7400000000007</v>
      </c>
      <c r="V1360" s="592">
        <f t="shared" si="1207"/>
        <v>5154.7400000000007</v>
      </c>
      <c r="W1360" s="592">
        <f t="shared" si="1207"/>
        <v>5154.7400000000007</v>
      </c>
      <c r="X1360" s="592">
        <f t="shared" si="1207"/>
        <v>5154.7400000000007</v>
      </c>
      <c r="Y1360" s="592">
        <f t="shared" si="1207"/>
        <v>5154.7400000000007</v>
      </c>
      <c r="Z1360" s="592">
        <f t="shared" si="1207"/>
        <v>5154.7400000000007</v>
      </c>
      <c r="AA1360" s="592">
        <f t="shared" si="1207"/>
        <v>5154.7400000000007</v>
      </c>
      <c r="AB1360" s="592">
        <f t="shared" si="1207"/>
        <v>5154.7400000000007</v>
      </c>
      <c r="AC1360" s="592">
        <f t="shared" si="1207"/>
        <v>5154.7400000000007</v>
      </c>
      <c r="AD1360" s="592">
        <f t="shared" si="1207"/>
        <v>5154.7400000000007</v>
      </c>
      <c r="AE1360" s="592">
        <f t="shared" si="1207"/>
        <v>5154.7400000000007</v>
      </c>
      <c r="AF1360" s="592">
        <f t="shared" si="1207"/>
        <v>5154.7400000000007</v>
      </c>
      <c r="AH1360" s="538"/>
      <c r="AK1360" s="531"/>
      <c r="AM1360" s="594"/>
      <c r="AN1360" s="535"/>
      <c r="AP1360" s="540"/>
      <c r="AQ1360" s="540"/>
    </row>
    <row r="1361" spans="1:43" s="546" customFormat="1" ht="16.5" hidden="1" customHeight="1" outlineLevel="2">
      <c r="A1361" s="584"/>
      <c r="B1361" s="580" t="str">
        <f>B1240</f>
        <v>Coletor noturno</v>
      </c>
      <c r="C1361" s="570">
        <f>C1362*C1363</f>
        <v>0</v>
      </c>
      <c r="D1361" s="570">
        <f t="shared" ref="D1361:AF1361" si="1208">D1362*D1363</f>
        <v>0</v>
      </c>
      <c r="E1361" s="570">
        <f t="shared" si="1208"/>
        <v>0</v>
      </c>
      <c r="F1361" s="570">
        <f t="shared" si="1208"/>
        <v>0</v>
      </c>
      <c r="G1361" s="570">
        <f t="shared" si="1208"/>
        <v>0</v>
      </c>
      <c r="H1361" s="570">
        <f t="shared" si="1208"/>
        <v>0</v>
      </c>
      <c r="I1361" s="570">
        <f t="shared" si="1208"/>
        <v>9859</v>
      </c>
      <c r="J1361" s="570">
        <f t="shared" si="1208"/>
        <v>9859</v>
      </c>
      <c r="K1361" s="570">
        <f t="shared" si="1208"/>
        <v>9859</v>
      </c>
      <c r="L1361" s="570">
        <f t="shared" si="1208"/>
        <v>9859</v>
      </c>
      <c r="M1361" s="570">
        <f t="shared" si="1208"/>
        <v>9859</v>
      </c>
      <c r="N1361" s="570">
        <f t="shared" si="1208"/>
        <v>9859</v>
      </c>
      <c r="O1361" s="570">
        <f t="shared" si="1208"/>
        <v>9859</v>
      </c>
      <c r="P1361" s="570">
        <f t="shared" si="1208"/>
        <v>9859</v>
      </c>
      <c r="Q1361" s="570">
        <f t="shared" si="1208"/>
        <v>9859</v>
      </c>
      <c r="R1361" s="570">
        <f t="shared" si="1208"/>
        <v>9859</v>
      </c>
      <c r="S1361" s="570">
        <f t="shared" si="1208"/>
        <v>9859</v>
      </c>
      <c r="T1361" s="570">
        <f t="shared" si="1208"/>
        <v>9859</v>
      </c>
      <c r="U1361" s="570">
        <f t="shared" si="1208"/>
        <v>9859</v>
      </c>
      <c r="V1361" s="570">
        <f t="shared" si="1208"/>
        <v>9859</v>
      </c>
      <c r="W1361" s="570">
        <f t="shared" si="1208"/>
        <v>9859</v>
      </c>
      <c r="X1361" s="570">
        <f t="shared" si="1208"/>
        <v>9859</v>
      </c>
      <c r="Y1361" s="570">
        <f t="shared" si="1208"/>
        <v>9859</v>
      </c>
      <c r="Z1361" s="570">
        <f t="shared" si="1208"/>
        <v>9859</v>
      </c>
      <c r="AA1361" s="570">
        <f t="shared" si="1208"/>
        <v>9859</v>
      </c>
      <c r="AB1361" s="570">
        <f t="shared" si="1208"/>
        <v>9859</v>
      </c>
      <c r="AC1361" s="570">
        <f t="shared" si="1208"/>
        <v>9859</v>
      </c>
      <c r="AD1361" s="570">
        <f t="shared" si="1208"/>
        <v>9859</v>
      </c>
      <c r="AE1361" s="570">
        <f t="shared" si="1208"/>
        <v>9859</v>
      </c>
      <c r="AF1361" s="570">
        <f t="shared" si="1208"/>
        <v>9859</v>
      </c>
      <c r="AH1361" s="571"/>
      <c r="AK1361" s="531"/>
      <c r="AM1361" s="594"/>
      <c r="AN1361" s="535"/>
      <c r="AP1361" s="549"/>
      <c r="AQ1361" s="549"/>
    </row>
    <row r="1362" spans="1:43" s="586" customFormat="1" ht="16.5" hidden="1" customHeight="1" outlineLevel="2">
      <c r="A1362" s="584"/>
      <c r="B1362" s="585" t="s">
        <v>805</v>
      </c>
      <c r="C1362" s="716">
        <f>C1308</f>
        <v>0</v>
      </c>
      <c r="D1362" s="716">
        <f t="shared" ref="D1362:AE1362" si="1209">D1308</f>
        <v>0</v>
      </c>
      <c r="E1362" s="716">
        <f t="shared" si="1209"/>
        <v>0</v>
      </c>
      <c r="F1362" s="716">
        <f t="shared" si="1209"/>
        <v>0</v>
      </c>
      <c r="G1362" s="716">
        <f t="shared" si="1209"/>
        <v>0</v>
      </c>
      <c r="H1362" s="716">
        <f t="shared" si="1209"/>
        <v>0</v>
      </c>
      <c r="I1362" s="716">
        <f t="shared" si="1209"/>
        <v>2</v>
      </c>
      <c r="J1362" s="716">
        <f t="shared" si="1209"/>
        <v>2</v>
      </c>
      <c r="K1362" s="716">
        <f t="shared" si="1209"/>
        <v>2</v>
      </c>
      <c r="L1362" s="716">
        <f t="shared" si="1209"/>
        <v>2</v>
      </c>
      <c r="M1362" s="716">
        <f t="shared" si="1209"/>
        <v>2</v>
      </c>
      <c r="N1362" s="716">
        <f t="shared" si="1209"/>
        <v>2</v>
      </c>
      <c r="O1362" s="716">
        <f t="shared" si="1209"/>
        <v>2</v>
      </c>
      <c r="P1362" s="716">
        <f t="shared" si="1209"/>
        <v>2</v>
      </c>
      <c r="Q1362" s="716">
        <f t="shared" si="1209"/>
        <v>2</v>
      </c>
      <c r="R1362" s="716">
        <f t="shared" si="1209"/>
        <v>2</v>
      </c>
      <c r="S1362" s="716">
        <f t="shared" si="1209"/>
        <v>2</v>
      </c>
      <c r="T1362" s="716">
        <f t="shared" si="1209"/>
        <v>2</v>
      </c>
      <c r="U1362" s="716">
        <f t="shared" si="1209"/>
        <v>2</v>
      </c>
      <c r="V1362" s="716">
        <f t="shared" si="1209"/>
        <v>2</v>
      </c>
      <c r="W1362" s="716">
        <f t="shared" si="1209"/>
        <v>2</v>
      </c>
      <c r="X1362" s="716">
        <f t="shared" si="1209"/>
        <v>2</v>
      </c>
      <c r="Y1362" s="716">
        <f t="shared" si="1209"/>
        <v>2</v>
      </c>
      <c r="Z1362" s="716">
        <f t="shared" si="1209"/>
        <v>2</v>
      </c>
      <c r="AA1362" s="716">
        <f t="shared" si="1209"/>
        <v>2</v>
      </c>
      <c r="AB1362" s="716">
        <f t="shared" si="1209"/>
        <v>2</v>
      </c>
      <c r="AC1362" s="716">
        <f t="shared" si="1209"/>
        <v>2</v>
      </c>
      <c r="AD1362" s="716">
        <f t="shared" si="1209"/>
        <v>2</v>
      </c>
      <c r="AE1362" s="716">
        <f t="shared" si="1209"/>
        <v>2</v>
      </c>
      <c r="AF1362" s="716">
        <f>AF1308</f>
        <v>2</v>
      </c>
      <c r="AK1362" s="588"/>
      <c r="AM1362" s="624"/>
      <c r="AN1362" s="590"/>
      <c r="AP1362" s="591"/>
      <c r="AQ1362" s="591"/>
    </row>
    <row r="1363" spans="1:43" s="513" customFormat="1" ht="16.5" hidden="1" customHeight="1" outlineLevel="2">
      <c r="A1363" s="584"/>
      <c r="B1363" s="585" t="s">
        <v>888</v>
      </c>
      <c r="C1363" s="592">
        <f>EPIs_unif.!$D$11+EPIs_unif.!$D$37</f>
        <v>4929.5</v>
      </c>
      <c r="D1363" s="592">
        <f>C1363</f>
        <v>4929.5</v>
      </c>
      <c r="E1363" s="592">
        <f t="shared" ref="E1363:AF1363" si="1210">D1363</f>
        <v>4929.5</v>
      </c>
      <c r="F1363" s="592">
        <f t="shared" si="1210"/>
        <v>4929.5</v>
      </c>
      <c r="G1363" s="592">
        <f t="shared" si="1210"/>
        <v>4929.5</v>
      </c>
      <c r="H1363" s="592">
        <f t="shared" si="1210"/>
        <v>4929.5</v>
      </c>
      <c r="I1363" s="592">
        <f t="shared" si="1210"/>
        <v>4929.5</v>
      </c>
      <c r="J1363" s="592">
        <f t="shared" si="1210"/>
        <v>4929.5</v>
      </c>
      <c r="K1363" s="592">
        <f t="shared" si="1210"/>
        <v>4929.5</v>
      </c>
      <c r="L1363" s="592">
        <f t="shared" si="1210"/>
        <v>4929.5</v>
      </c>
      <c r="M1363" s="592">
        <f t="shared" si="1210"/>
        <v>4929.5</v>
      </c>
      <c r="N1363" s="592">
        <f t="shared" si="1210"/>
        <v>4929.5</v>
      </c>
      <c r="O1363" s="592">
        <f t="shared" si="1210"/>
        <v>4929.5</v>
      </c>
      <c r="P1363" s="592">
        <f t="shared" si="1210"/>
        <v>4929.5</v>
      </c>
      <c r="Q1363" s="592">
        <f t="shared" si="1210"/>
        <v>4929.5</v>
      </c>
      <c r="R1363" s="592">
        <f t="shared" si="1210"/>
        <v>4929.5</v>
      </c>
      <c r="S1363" s="592">
        <f t="shared" si="1210"/>
        <v>4929.5</v>
      </c>
      <c r="T1363" s="592">
        <f t="shared" si="1210"/>
        <v>4929.5</v>
      </c>
      <c r="U1363" s="592">
        <f t="shared" si="1210"/>
        <v>4929.5</v>
      </c>
      <c r="V1363" s="592">
        <f t="shared" si="1210"/>
        <v>4929.5</v>
      </c>
      <c r="W1363" s="592">
        <f t="shared" si="1210"/>
        <v>4929.5</v>
      </c>
      <c r="X1363" s="592">
        <f t="shared" si="1210"/>
        <v>4929.5</v>
      </c>
      <c r="Y1363" s="592">
        <f t="shared" si="1210"/>
        <v>4929.5</v>
      </c>
      <c r="Z1363" s="592">
        <f t="shared" si="1210"/>
        <v>4929.5</v>
      </c>
      <c r="AA1363" s="592">
        <f t="shared" si="1210"/>
        <v>4929.5</v>
      </c>
      <c r="AB1363" s="592">
        <f t="shared" si="1210"/>
        <v>4929.5</v>
      </c>
      <c r="AC1363" s="592">
        <f t="shared" si="1210"/>
        <v>4929.5</v>
      </c>
      <c r="AD1363" s="592">
        <f t="shared" si="1210"/>
        <v>4929.5</v>
      </c>
      <c r="AE1363" s="592">
        <f t="shared" si="1210"/>
        <v>4929.5</v>
      </c>
      <c r="AF1363" s="592">
        <f t="shared" si="1210"/>
        <v>4929.5</v>
      </c>
      <c r="AH1363" s="538"/>
      <c r="AK1363" s="531"/>
      <c r="AM1363" s="594"/>
      <c r="AN1363" s="535"/>
      <c r="AP1363" s="540"/>
      <c r="AQ1363" s="540"/>
    </row>
    <row r="1364" spans="1:43" s="546" customFormat="1" ht="16.5" hidden="1" customHeight="1" outlineLevel="2">
      <c r="A1364" s="584"/>
      <c r="B1364" s="580" t="str">
        <f>B1247</f>
        <v>Operador de empilhadeira diurno e vespertino</v>
      </c>
      <c r="C1364" s="570">
        <f>C1365*C1366</f>
        <v>0</v>
      </c>
      <c r="D1364" s="570">
        <f t="shared" ref="D1364:AF1364" si="1211">D1365*D1366</f>
        <v>0</v>
      </c>
      <c r="E1364" s="570">
        <f t="shared" si="1211"/>
        <v>0</v>
      </c>
      <c r="F1364" s="570">
        <f t="shared" si="1211"/>
        <v>0</v>
      </c>
      <c r="G1364" s="570">
        <f t="shared" si="1211"/>
        <v>0</v>
      </c>
      <c r="H1364" s="570">
        <f t="shared" si="1211"/>
        <v>0</v>
      </c>
      <c r="I1364" s="570">
        <f t="shared" si="1211"/>
        <v>9941.16</v>
      </c>
      <c r="J1364" s="570">
        <f t="shared" si="1211"/>
        <v>9941.16</v>
      </c>
      <c r="K1364" s="570">
        <f t="shared" si="1211"/>
        <v>9941.16</v>
      </c>
      <c r="L1364" s="570">
        <f t="shared" si="1211"/>
        <v>9941.16</v>
      </c>
      <c r="M1364" s="570">
        <f t="shared" si="1211"/>
        <v>9941.16</v>
      </c>
      <c r="N1364" s="570">
        <f t="shared" si="1211"/>
        <v>9941.16</v>
      </c>
      <c r="O1364" s="570">
        <f t="shared" si="1211"/>
        <v>9941.16</v>
      </c>
      <c r="P1364" s="570">
        <f t="shared" si="1211"/>
        <v>9941.16</v>
      </c>
      <c r="Q1364" s="570">
        <f t="shared" si="1211"/>
        <v>9941.16</v>
      </c>
      <c r="R1364" s="570">
        <f t="shared" si="1211"/>
        <v>9941.16</v>
      </c>
      <c r="S1364" s="570">
        <f t="shared" si="1211"/>
        <v>9941.16</v>
      </c>
      <c r="T1364" s="570">
        <f t="shared" si="1211"/>
        <v>9941.16</v>
      </c>
      <c r="U1364" s="570">
        <f t="shared" si="1211"/>
        <v>9941.16</v>
      </c>
      <c r="V1364" s="570">
        <f t="shared" si="1211"/>
        <v>9941.16</v>
      </c>
      <c r="W1364" s="570">
        <f t="shared" si="1211"/>
        <v>9941.16</v>
      </c>
      <c r="X1364" s="570">
        <f t="shared" si="1211"/>
        <v>9941.16</v>
      </c>
      <c r="Y1364" s="570">
        <f t="shared" si="1211"/>
        <v>9941.16</v>
      </c>
      <c r="Z1364" s="570">
        <f t="shared" si="1211"/>
        <v>9941.16</v>
      </c>
      <c r="AA1364" s="570">
        <f t="shared" si="1211"/>
        <v>9941.16</v>
      </c>
      <c r="AB1364" s="570">
        <f t="shared" si="1211"/>
        <v>9941.16</v>
      </c>
      <c r="AC1364" s="570">
        <f t="shared" si="1211"/>
        <v>9941.16</v>
      </c>
      <c r="AD1364" s="570">
        <f t="shared" si="1211"/>
        <v>9941.16</v>
      </c>
      <c r="AE1364" s="570">
        <f t="shared" si="1211"/>
        <v>9941.16</v>
      </c>
      <c r="AF1364" s="570">
        <f t="shared" si="1211"/>
        <v>9941.16</v>
      </c>
      <c r="AH1364" s="571"/>
      <c r="AK1364" s="531"/>
      <c r="AM1364" s="594"/>
      <c r="AN1364" s="535"/>
      <c r="AP1364" s="549"/>
      <c r="AQ1364" s="549"/>
    </row>
    <row r="1365" spans="1:43" s="586" customFormat="1" ht="16.5" hidden="1" customHeight="1" outlineLevel="2">
      <c r="A1365" s="584"/>
      <c r="B1365" s="585" t="s">
        <v>805</v>
      </c>
      <c r="C1365" s="716">
        <f>C1248</f>
        <v>0</v>
      </c>
      <c r="D1365" s="716">
        <f t="shared" ref="D1365:AF1365" si="1212">D1248</f>
        <v>0</v>
      </c>
      <c r="E1365" s="716">
        <f t="shared" si="1212"/>
        <v>0</v>
      </c>
      <c r="F1365" s="716">
        <f t="shared" si="1212"/>
        <v>0</v>
      </c>
      <c r="G1365" s="716">
        <f>G1248</f>
        <v>0</v>
      </c>
      <c r="H1365" s="716">
        <f>H1248</f>
        <v>0</v>
      </c>
      <c r="I1365" s="716">
        <f t="shared" si="1212"/>
        <v>3</v>
      </c>
      <c r="J1365" s="716">
        <f t="shared" si="1212"/>
        <v>3</v>
      </c>
      <c r="K1365" s="716">
        <f t="shared" si="1212"/>
        <v>3</v>
      </c>
      <c r="L1365" s="716">
        <f t="shared" si="1212"/>
        <v>3</v>
      </c>
      <c r="M1365" s="716">
        <f t="shared" si="1212"/>
        <v>3</v>
      </c>
      <c r="N1365" s="716">
        <f t="shared" si="1212"/>
        <v>3</v>
      </c>
      <c r="O1365" s="716">
        <f t="shared" si="1212"/>
        <v>3</v>
      </c>
      <c r="P1365" s="716">
        <f t="shared" si="1212"/>
        <v>3</v>
      </c>
      <c r="Q1365" s="716">
        <f t="shared" si="1212"/>
        <v>3</v>
      </c>
      <c r="R1365" s="716">
        <f t="shared" si="1212"/>
        <v>3</v>
      </c>
      <c r="S1365" s="716">
        <f t="shared" si="1212"/>
        <v>3</v>
      </c>
      <c r="T1365" s="716">
        <f t="shared" si="1212"/>
        <v>3</v>
      </c>
      <c r="U1365" s="716">
        <f t="shared" si="1212"/>
        <v>3</v>
      </c>
      <c r="V1365" s="716">
        <f t="shared" si="1212"/>
        <v>3</v>
      </c>
      <c r="W1365" s="716">
        <f t="shared" si="1212"/>
        <v>3</v>
      </c>
      <c r="X1365" s="716">
        <f t="shared" si="1212"/>
        <v>3</v>
      </c>
      <c r="Y1365" s="716">
        <f t="shared" si="1212"/>
        <v>3</v>
      </c>
      <c r="Z1365" s="716">
        <f t="shared" si="1212"/>
        <v>3</v>
      </c>
      <c r="AA1365" s="716">
        <f t="shared" si="1212"/>
        <v>3</v>
      </c>
      <c r="AB1365" s="716">
        <f t="shared" si="1212"/>
        <v>3</v>
      </c>
      <c r="AC1365" s="716">
        <f t="shared" si="1212"/>
        <v>3</v>
      </c>
      <c r="AD1365" s="716">
        <f t="shared" si="1212"/>
        <v>3</v>
      </c>
      <c r="AE1365" s="716">
        <f t="shared" si="1212"/>
        <v>3</v>
      </c>
      <c r="AF1365" s="716">
        <f t="shared" si="1212"/>
        <v>3</v>
      </c>
      <c r="AK1365" s="588"/>
      <c r="AM1365" s="624"/>
      <c r="AN1365" s="590"/>
      <c r="AP1365" s="591"/>
      <c r="AQ1365" s="591"/>
    </row>
    <row r="1366" spans="1:43" s="513" customFormat="1" ht="16.5" hidden="1" customHeight="1" outlineLevel="2">
      <c r="A1366" s="584"/>
      <c r="B1366" s="585" t="s">
        <v>888</v>
      </c>
      <c r="C1366" s="592">
        <f>EPIs_unif.!$D$19+EPIs_unif.!$D$45</f>
        <v>3313.72</v>
      </c>
      <c r="D1366" s="592">
        <f>C1366</f>
        <v>3313.72</v>
      </c>
      <c r="E1366" s="592">
        <f t="shared" ref="E1366:AF1366" si="1213">D1366</f>
        <v>3313.72</v>
      </c>
      <c r="F1366" s="592">
        <f t="shared" si="1213"/>
        <v>3313.72</v>
      </c>
      <c r="G1366" s="592">
        <f t="shared" si="1213"/>
        <v>3313.72</v>
      </c>
      <c r="H1366" s="592">
        <f t="shared" si="1213"/>
        <v>3313.72</v>
      </c>
      <c r="I1366" s="592">
        <f t="shared" si="1213"/>
        <v>3313.72</v>
      </c>
      <c r="J1366" s="592">
        <f t="shared" si="1213"/>
        <v>3313.72</v>
      </c>
      <c r="K1366" s="592">
        <f t="shared" si="1213"/>
        <v>3313.72</v>
      </c>
      <c r="L1366" s="592">
        <f t="shared" si="1213"/>
        <v>3313.72</v>
      </c>
      <c r="M1366" s="592">
        <f t="shared" si="1213"/>
        <v>3313.72</v>
      </c>
      <c r="N1366" s="592">
        <f t="shared" si="1213"/>
        <v>3313.72</v>
      </c>
      <c r="O1366" s="592">
        <f t="shared" si="1213"/>
        <v>3313.72</v>
      </c>
      <c r="P1366" s="592">
        <f t="shared" si="1213"/>
        <v>3313.72</v>
      </c>
      <c r="Q1366" s="592">
        <f t="shared" si="1213"/>
        <v>3313.72</v>
      </c>
      <c r="R1366" s="592">
        <f t="shared" si="1213"/>
        <v>3313.72</v>
      </c>
      <c r="S1366" s="592">
        <f t="shared" si="1213"/>
        <v>3313.72</v>
      </c>
      <c r="T1366" s="592">
        <f t="shared" si="1213"/>
        <v>3313.72</v>
      </c>
      <c r="U1366" s="592">
        <f t="shared" si="1213"/>
        <v>3313.72</v>
      </c>
      <c r="V1366" s="592">
        <f t="shared" si="1213"/>
        <v>3313.72</v>
      </c>
      <c r="W1366" s="592">
        <f t="shared" si="1213"/>
        <v>3313.72</v>
      </c>
      <c r="X1366" s="592">
        <f t="shared" si="1213"/>
        <v>3313.72</v>
      </c>
      <c r="Y1366" s="592">
        <f t="shared" si="1213"/>
        <v>3313.72</v>
      </c>
      <c r="Z1366" s="592">
        <f t="shared" si="1213"/>
        <v>3313.72</v>
      </c>
      <c r="AA1366" s="592">
        <f t="shared" si="1213"/>
        <v>3313.72</v>
      </c>
      <c r="AB1366" s="592">
        <f t="shared" si="1213"/>
        <v>3313.72</v>
      </c>
      <c r="AC1366" s="592">
        <f t="shared" si="1213"/>
        <v>3313.72</v>
      </c>
      <c r="AD1366" s="592">
        <f t="shared" si="1213"/>
        <v>3313.72</v>
      </c>
      <c r="AE1366" s="592">
        <f t="shared" si="1213"/>
        <v>3313.72</v>
      </c>
      <c r="AF1366" s="592">
        <f t="shared" si="1213"/>
        <v>3313.72</v>
      </c>
      <c r="AH1366" s="538"/>
      <c r="AK1366" s="531"/>
      <c r="AM1366" s="594"/>
      <c r="AN1366" s="535"/>
      <c r="AP1366" s="540"/>
      <c r="AQ1366" s="540"/>
    </row>
    <row r="1367" spans="1:43" s="546" customFormat="1" ht="16.5" hidden="1" customHeight="1" outlineLevel="2">
      <c r="A1367" s="584"/>
      <c r="B1367" s="580" t="str">
        <f>B1254</f>
        <v>Operador de empilhadeira noturno</v>
      </c>
      <c r="C1367" s="570">
        <f>C1368*C1369</f>
        <v>0</v>
      </c>
      <c r="D1367" s="570">
        <f t="shared" ref="D1367:AF1367" si="1214">D1368*D1369</f>
        <v>0</v>
      </c>
      <c r="E1367" s="570">
        <f t="shared" si="1214"/>
        <v>0</v>
      </c>
      <c r="F1367" s="570">
        <f t="shared" si="1214"/>
        <v>0</v>
      </c>
      <c r="G1367" s="570">
        <f t="shared" si="1214"/>
        <v>0</v>
      </c>
      <c r="H1367" s="570">
        <f t="shared" si="1214"/>
        <v>0</v>
      </c>
      <c r="I1367" s="570">
        <f t="shared" si="1214"/>
        <v>6294.7999999999993</v>
      </c>
      <c r="J1367" s="570">
        <f t="shared" si="1214"/>
        <v>6294.7999999999993</v>
      </c>
      <c r="K1367" s="570">
        <f t="shared" si="1214"/>
        <v>6294.7999999999993</v>
      </c>
      <c r="L1367" s="570">
        <f t="shared" si="1214"/>
        <v>6294.7999999999993</v>
      </c>
      <c r="M1367" s="570">
        <f t="shared" si="1214"/>
        <v>6294.7999999999993</v>
      </c>
      <c r="N1367" s="570">
        <f t="shared" si="1214"/>
        <v>6294.7999999999993</v>
      </c>
      <c r="O1367" s="570">
        <f t="shared" si="1214"/>
        <v>6294.7999999999993</v>
      </c>
      <c r="P1367" s="570">
        <f t="shared" si="1214"/>
        <v>6294.7999999999993</v>
      </c>
      <c r="Q1367" s="570">
        <f t="shared" si="1214"/>
        <v>6294.7999999999993</v>
      </c>
      <c r="R1367" s="570">
        <f t="shared" si="1214"/>
        <v>6294.7999999999993</v>
      </c>
      <c r="S1367" s="570">
        <f t="shared" si="1214"/>
        <v>6294.7999999999993</v>
      </c>
      <c r="T1367" s="570">
        <f t="shared" si="1214"/>
        <v>6294.7999999999993</v>
      </c>
      <c r="U1367" s="570">
        <f t="shared" si="1214"/>
        <v>6294.7999999999993</v>
      </c>
      <c r="V1367" s="570">
        <f t="shared" si="1214"/>
        <v>6294.7999999999993</v>
      </c>
      <c r="W1367" s="570">
        <f t="shared" si="1214"/>
        <v>6294.7999999999993</v>
      </c>
      <c r="X1367" s="570">
        <f t="shared" si="1214"/>
        <v>6294.7999999999993</v>
      </c>
      <c r="Y1367" s="570">
        <f t="shared" si="1214"/>
        <v>6294.7999999999993</v>
      </c>
      <c r="Z1367" s="570">
        <f t="shared" si="1214"/>
        <v>6294.7999999999993</v>
      </c>
      <c r="AA1367" s="570">
        <f t="shared" si="1214"/>
        <v>6294.7999999999993</v>
      </c>
      <c r="AB1367" s="570">
        <f t="shared" si="1214"/>
        <v>6294.7999999999993</v>
      </c>
      <c r="AC1367" s="570">
        <f t="shared" si="1214"/>
        <v>6294.7999999999993</v>
      </c>
      <c r="AD1367" s="570">
        <f t="shared" si="1214"/>
        <v>6294.7999999999993</v>
      </c>
      <c r="AE1367" s="570">
        <f t="shared" si="1214"/>
        <v>6294.7999999999993</v>
      </c>
      <c r="AF1367" s="570">
        <f t="shared" si="1214"/>
        <v>6294.7999999999993</v>
      </c>
      <c r="AH1367" s="571"/>
      <c r="AK1367" s="531"/>
      <c r="AM1367" s="594"/>
      <c r="AN1367" s="535"/>
      <c r="AP1367" s="549"/>
      <c r="AQ1367" s="549"/>
    </row>
    <row r="1368" spans="1:43" s="586" customFormat="1" ht="16.5" hidden="1" customHeight="1" outlineLevel="2">
      <c r="A1368" s="584"/>
      <c r="B1368" s="585" t="s">
        <v>805</v>
      </c>
      <c r="C1368" s="716">
        <f>C1255</f>
        <v>0</v>
      </c>
      <c r="D1368" s="716">
        <f t="shared" ref="D1368:AF1368" si="1215">D1255</f>
        <v>0</v>
      </c>
      <c r="E1368" s="716">
        <f t="shared" si="1215"/>
        <v>0</v>
      </c>
      <c r="F1368" s="716">
        <f t="shared" si="1215"/>
        <v>0</v>
      </c>
      <c r="G1368" s="716">
        <f>G1255</f>
        <v>0</v>
      </c>
      <c r="H1368" s="716">
        <f>H1255</f>
        <v>0</v>
      </c>
      <c r="I1368" s="716">
        <f t="shared" si="1215"/>
        <v>2</v>
      </c>
      <c r="J1368" s="716">
        <f t="shared" si="1215"/>
        <v>2</v>
      </c>
      <c r="K1368" s="716">
        <f t="shared" si="1215"/>
        <v>2</v>
      </c>
      <c r="L1368" s="716">
        <f t="shared" si="1215"/>
        <v>2</v>
      </c>
      <c r="M1368" s="716">
        <f t="shared" si="1215"/>
        <v>2</v>
      </c>
      <c r="N1368" s="716">
        <f t="shared" si="1215"/>
        <v>2</v>
      </c>
      <c r="O1368" s="716">
        <f t="shared" si="1215"/>
        <v>2</v>
      </c>
      <c r="P1368" s="716">
        <f t="shared" si="1215"/>
        <v>2</v>
      </c>
      <c r="Q1368" s="716">
        <f t="shared" si="1215"/>
        <v>2</v>
      </c>
      <c r="R1368" s="716">
        <f t="shared" si="1215"/>
        <v>2</v>
      </c>
      <c r="S1368" s="716">
        <f t="shared" si="1215"/>
        <v>2</v>
      </c>
      <c r="T1368" s="716">
        <f t="shared" si="1215"/>
        <v>2</v>
      </c>
      <c r="U1368" s="716">
        <f t="shared" si="1215"/>
        <v>2</v>
      </c>
      <c r="V1368" s="716">
        <f t="shared" si="1215"/>
        <v>2</v>
      </c>
      <c r="W1368" s="716">
        <f t="shared" si="1215"/>
        <v>2</v>
      </c>
      <c r="X1368" s="716">
        <f t="shared" si="1215"/>
        <v>2</v>
      </c>
      <c r="Y1368" s="716">
        <f t="shared" si="1215"/>
        <v>2</v>
      </c>
      <c r="Z1368" s="716">
        <f t="shared" si="1215"/>
        <v>2</v>
      </c>
      <c r="AA1368" s="716">
        <f t="shared" si="1215"/>
        <v>2</v>
      </c>
      <c r="AB1368" s="716">
        <f t="shared" si="1215"/>
        <v>2</v>
      </c>
      <c r="AC1368" s="716">
        <f t="shared" si="1215"/>
        <v>2</v>
      </c>
      <c r="AD1368" s="716">
        <f t="shared" si="1215"/>
        <v>2</v>
      </c>
      <c r="AE1368" s="716">
        <f t="shared" si="1215"/>
        <v>2</v>
      </c>
      <c r="AF1368" s="716">
        <f t="shared" si="1215"/>
        <v>2</v>
      </c>
      <c r="AK1368" s="588"/>
      <c r="AM1368" s="624"/>
      <c r="AN1368" s="590"/>
      <c r="AP1368" s="591"/>
      <c r="AQ1368" s="591"/>
    </row>
    <row r="1369" spans="1:43" s="513" customFormat="1" ht="16.5" hidden="1" customHeight="1" outlineLevel="2">
      <c r="A1369" s="584"/>
      <c r="B1369" s="585" t="s">
        <v>888</v>
      </c>
      <c r="C1369" s="592">
        <f>EPIs_unif.!$D$20+EPIs_unif.!$D$46</f>
        <v>3147.3999999999996</v>
      </c>
      <c r="D1369" s="592">
        <f>C1369</f>
        <v>3147.3999999999996</v>
      </c>
      <c r="E1369" s="592">
        <f t="shared" ref="E1369:AF1369" si="1216">D1369</f>
        <v>3147.3999999999996</v>
      </c>
      <c r="F1369" s="592">
        <f t="shared" si="1216"/>
        <v>3147.3999999999996</v>
      </c>
      <c r="G1369" s="592">
        <f t="shared" si="1216"/>
        <v>3147.3999999999996</v>
      </c>
      <c r="H1369" s="592">
        <f t="shared" si="1216"/>
        <v>3147.3999999999996</v>
      </c>
      <c r="I1369" s="592">
        <f t="shared" si="1216"/>
        <v>3147.3999999999996</v>
      </c>
      <c r="J1369" s="592">
        <f t="shared" si="1216"/>
        <v>3147.3999999999996</v>
      </c>
      <c r="K1369" s="592">
        <f t="shared" si="1216"/>
        <v>3147.3999999999996</v>
      </c>
      <c r="L1369" s="592">
        <f t="shared" si="1216"/>
        <v>3147.3999999999996</v>
      </c>
      <c r="M1369" s="592">
        <f t="shared" si="1216"/>
        <v>3147.3999999999996</v>
      </c>
      <c r="N1369" s="592">
        <f t="shared" si="1216"/>
        <v>3147.3999999999996</v>
      </c>
      <c r="O1369" s="592">
        <f t="shared" si="1216"/>
        <v>3147.3999999999996</v>
      </c>
      <c r="P1369" s="592">
        <f t="shared" si="1216"/>
        <v>3147.3999999999996</v>
      </c>
      <c r="Q1369" s="592">
        <f t="shared" si="1216"/>
        <v>3147.3999999999996</v>
      </c>
      <c r="R1369" s="592">
        <f t="shared" si="1216"/>
        <v>3147.3999999999996</v>
      </c>
      <c r="S1369" s="592">
        <f t="shared" si="1216"/>
        <v>3147.3999999999996</v>
      </c>
      <c r="T1369" s="592">
        <f t="shared" si="1216"/>
        <v>3147.3999999999996</v>
      </c>
      <c r="U1369" s="592">
        <f t="shared" si="1216"/>
        <v>3147.3999999999996</v>
      </c>
      <c r="V1369" s="592">
        <f t="shared" si="1216"/>
        <v>3147.3999999999996</v>
      </c>
      <c r="W1369" s="592">
        <f t="shared" si="1216"/>
        <v>3147.3999999999996</v>
      </c>
      <c r="X1369" s="592">
        <f t="shared" si="1216"/>
        <v>3147.3999999999996</v>
      </c>
      <c r="Y1369" s="592">
        <f t="shared" si="1216"/>
        <v>3147.3999999999996</v>
      </c>
      <c r="Z1369" s="592">
        <f t="shared" si="1216"/>
        <v>3147.3999999999996</v>
      </c>
      <c r="AA1369" s="592">
        <f t="shared" si="1216"/>
        <v>3147.3999999999996</v>
      </c>
      <c r="AB1369" s="592">
        <f t="shared" si="1216"/>
        <v>3147.3999999999996</v>
      </c>
      <c r="AC1369" s="592">
        <f t="shared" si="1216"/>
        <v>3147.3999999999996</v>
      </c>
      <c r="AD1369" s="592">
        <f t="shared" si="1216"/>
        <v>3147.3999999999996</v>
      </c>
      <c r="AE1369" s="592">
        <f t="shared" si="1216"/>
        <v>3147.3999999999996</v>
      </c>
      <c r="AF1369" s="592">
        <f t="shared" si="1216"/>
        <v>3147.3999999999996</v>
      </c>
      <c r="AH1369" s="538"/>
      <c r="AK1369" s="531"/>
      <c r="AM1369" s="594"/>
      <c r="AN1369" s="535"/>
      <c r="AP1369" s="540"/>
      <c r="AQ1369" s="540"/>
    </row>
    <row r="1370" spans="1:43" s="546" customFormat="1" ht="16.5" hidden="1" customHeight="1" outlineLevel="2">
      <c r="A1370" s="584"/>
      <c r="B1370" s="580" t="s">
        <v>944</v>
      </c>
      <c r="C1370" s="570">
        <f>C1371*C1372</f>
        <v>0</v>
      </c>
      <c r="D1370" s="570">
        <f t="shared" ref="D1370:AF1370" si="1217">D1371*D1372</f>
        <v>0</v>
      </c>
      <c r="E1370" s="570">
        <f t="shared" si="1217"/>
        <v>0</v>
      </c>
      <c r="F1370" s="570">
        <f t="shared" si="1217"/>
        <v>0</v>
      </c>
      <c r="G1370" s="570">
        <f t="shared" si="1217"/>
        <v>0</v>
      </c>
      <c r="H1370" s="570">
        <f t="shared" si="1217"/>
        <v>0</v>
      </c>
      <c r="I1370" s="570">
        <f t="shared" si="1217"/>
        <v>2941.62</v>
      </c>
      <c r="J1370" s="570">
        <f t="shared" si="1217"/>
        <v>2941.62</v>
      </c>
      <c r="K1370" s="570">
        <f t="shared" si="1217"/>
        <v>2941.62</v>
      </c>
      <c r="L1370" s="570">
        <f t="shared" si="1217"/>
        <v>2941.62</v>
      </c>
      <c r="M1370" s="570">
        <f t="shared" si="1217"/>
        <v>2941.62</v>
      </c>
      <c r="N1370" s="570">
        <f t="shared" si="1217"/>
        <v>2941.62</v>
      </c>
      <c r="O1370" s="570">
        <f t="shared" si="1217"/>
        <v>2941.62</v>
      </c>
      <c r="P1370" s="570">
        <f t="shared" si="1217"/>
        <v>2941.62</v>
      </c>
      <c r="Q1370" s="570">
        <f t="shared" si="1217"/>
        <v>2941.62</v>
      </c>
      <c r="R1370" s="570">
        <f t="shared" si="1217"/>
        <v>2941.62</v>
      </c>
      <c r="S1370" s="570">
        <f t="shared" si="1217"/>
        <v>2941.62</v>
      </c>
      <c r="T1370" s="570">
        <f t="shared" si="1217"/>
        <v>2941.62</v>
      </c>
      <c r="U1370" s="570">
        <f t="shared" si="1217"/>
        <v>2941.62</v>
      </c>
      <c r="V1370" s="570">
        <f t="shared" si="1217"/>
        <v>2941.62</v>
      </c>
      <c r="W1370" s="570">
        <f t="shared" si="1217"/>
        <v>2941.62</v>
      </c>
      <c r="X1370" s="570">
        <f t="shared" si="1217"/>
        <v>2941.62</v>
      </c>
      <c r="Y1370" s="570">
        <f t="shared" si="1217"/>
        <v>2941.62</v>
      </c>
      <c r="Z1370" s="570">
        <f t="shared" si="1217"/>
        <v>2941.62</v>
      </c>
      <c r="AA1370" s="570">
        <f t="shared" si="1217"/>
        <v>2941.62</v>
      </c>
      <c r="AB1370" s="570">
        <f t="shared" si="1217"/>
        <v>2941.62</v>
      </c>
      <c r="AC1370" s="570">
        <f t="shared" si="1217"/>
        <v>2941.62</v>
      </c>
      <c r="AD1370" s="570">
        <f t="shared" si="1217"/>
        <v>2941.62</v>
      </c>
      <c r="AE1370" s="570">
        <f t="shared" si="1217"/>
        <v>2941.62</v>
      </c>
      <c r="AF1370" s="570">
        <f t="shared" si="1217"/>
        <v>2941.62</v>
      </c>
      <c r="AH1370" s="571"/>
      <c r="AK1370" s="531"/>
      <c r="AM1370" s="594"/>
      <c r="AN1370" s="535"/>
      <c r="AP1370" s="549"/>
      <c r="AQ1370" s="549"/>
    </row>
    <row r="1371" spans="1:43" s="513" customFormat="1" ht="16.5" hidden="1" customHeight="1" outlineLevel="2">
      <c r="A1371" s="584"/>
      <c r="B1371" s="585" t="s">
        <v>805</v>
      </c>
      <c r="C1371" s="573">
        <f t="shared" ref="C1371:AF1371" si="1218">C1326</f>
        <v>0</v>
      </c>
      <c r="D1371" s="573">
        <f t="shared" si="1218"/>
        <v>0</v>
      </c>
      <c r="E1371" s="573">
        <f t="shared" si="1218"/>
        <v>0</v>
      </c>
      <c r="F1371" s="573">
        <f t="shared" si="1218"/>
        <v>0</v>
      </c>
      <c r="G1371" s="573">
        <f t="shared" si="1218"/>
        <v>0</v>
      </c>
      <c r="H1371" s="573">
        <f t="shared" si="1218"/>
        <v>0</v>
      </c>
      <c r="I1371" s="573">
        <f t="shared" si="1218"/>
        <v>1</v>
      </c>
      <c r="J1371" s="573">
        <f t="shared" si="1218"/>
        <v>1</v>
      </c>
      <c r="K1371" s="573">
        <f t="shared" si="1218"/>
        <v>1</v>
      </c>
      <c r="L1371" s="573">
        <f t="shared" si="1218"/>
        <v>1</v>
      </c>
      <c r="M1371" s="573">
        <f t="shared" si="1218"/>
        <v>1</v>
      </c>
      <c r="N1371" s="573">
        <f t="shared" si="1218"/>
        <v>1</v>
      </c>
      <c r="O1371" s="573">
        <f t="shared" si="1218"/>
        <v>1</v>
      </c>
      <c r="P1371" s="573">
        <f t="shared" si="1218"/>
        <v>1</v>
      </c>
      <c r="Q1371" s="573">
        <f t="shared" si="1218"/>
        <v>1</v>
      </c>
      <c r="R1371" s="573">
        <f t="shared" si="1218"/>
        <v>1</v>
      </c>
      <c r="S1371" s="573">
        <f t="shared" si="1218"/>
        <v>1</v>
      </c>
      <c r="T1371" s="573">
        <f t="shared" si="1218"/>
        <v>1</v>
      </c>
      <c r="U1371" s="573">
        <f t="shared" si="1218"/>
        <v>1</v>
      </c>
      <c r="V1371" s="573">
        <f t="shared" si="1218"/>
        <v>1</v>
      </c>
      <c r="W1371" s="573">
        <f t="shared" si="1218"/>
        <v>1</v>
      </c>
      <c r="X1371" s="573">
        <f t="shared" si="1218"/>
        <v>1</v>
      </c>
      <c r="Y1371" s="573">
        <f t="shared" si="1218"/>
        <v>1</v>
      </c>
      <c r="Z1371" s="573">
        <f t="shared" si="1218"/>
        <v>1</v>
      </c>
      <c r="AA1371" s="573">
        <f t="shared" si="1218"/>
        <v>1</v>
      </c>
      <c r="AB1371" s="573">
        <f t="shared" si="1218"/>
        <v>1</v>
      </c>
      <c r="AC1371" s="573">
        <f t="shared" si="1218"/>
        <v>1</v>
      </c>
      <c r="AD1371" s="573">
        <f t="shared" si="1218"/>
        <v>1</v>
      </c>
      <c r="AE1371" s="573">
        <f t="shared" si="1218"/>
        <v>1</v>
      </c>
      <c r="AF1371" s="573">
        <f t="shared" si="1218"/>
        <v>1</v>
      </c>
      <c r="AH1371" s="538"/>
      <c r="AK1371" s="531"/>
      <c r="AM1371" s="594"/>
      <c r="AN1371" s="535"/>
      <c r="AP1371" s="540"/>
      <c r="AQ1371" s="540"/>
    </row>
    <row r="1372" spans="1:43" s="513" customFormat="1" ht="16.5" hidden="1" customHeight="1" outlineLevel="2">
      <c r="A1372" s="584"/>
      <c r="B1372" s="585" t="s">
        <v>888</v>
      </c>
      <c r="C1372" s="592">
        <f>EPIs_unif.!$D$13+EPIs_unif.!$D$39</f>
        <v>2941.62</v>
      </c>
      <c r="D1372" s="592">
        <f>C1372</f>
        <v>2941.62</v>
      </c>
      <c r="E1372" s="592">
        <f t="shared" ref="E1372:AF1372" si="1219">D1372</f>
        <v>2941.62</v>
      </c>
      <c r="F1372" s="592">
        <f t="shared" si="1219"/>
        <v>2941.62</v>
      </c>
      <c r="G1372" s="592">
        <f t="shared" si="1219"/>
        <v>2941.62</v>
      </c>
      <c r="H1372" s="592">
        <f t="shared" si="1219"/>
        <v>2941.62</v>
      </c>
      <c r="I1372" s="592">
        <f t="shared" si="1219"/>
        <v>2941.62</v>
      </c>
      <c r="J1372" s="592">
        <f t="shared" si="1219"/>
        <v>2941.62</v>
      </c>
      <c r="K1372" s="592">
        <f t="shared" si="1219"/>
        <v>2941.62</v>
      </c>
      <c r="L1372" s="592">
        <f t="shared" si="1219"/>
        <v>2941.62</v>
      </c>
      <c r="M1372" s="592">
        <f t="shared" si="1219"/>
        <v>2941.62</v>
      </c>
      <c r="N1372" s="592">
        <f t="shared" si="1219"/>
        <v>2941.62</v>
      </c>
      <c r="O1372" s="592">
        <f t="shared" si="1219"/>
        <v>2941.62</v>
      </c>
      <c r="P1372" s="592">
        <f t="shared" si="1219"/>
        <v>2941.62</v>
      </c>
      <c r="Q1372" s="592">
        <f t="shared" si="1219"/>
        <v>2941.62</v>
      </c>
      <c r="R1372" s="592">
        <f t="shared" si="1219"/>
        <v>2941.62</v>
      </c>
      <c r="S1372" s="592">
        <f t="shared" si="1219"/>
        <v>2941.62</v>
      </c>
      <c r="T1372" s="592">
        <f t="shared" si="1219"/>
        <v>2941.62</v>
      </c>
      <c r="U1372" s="592">
        <f t="shared" si="1219"/>
        <v>2941.62</v>
      </c>
      <c r="V1372" s="592">
        <f t="shared" si="1219"/>
        <v>2941.62</v>
      </c>
      <c r="W1372" s="592">
        <f t="shared" si="1219"/>
        <v>2941.62</v>
      </c>
      <c r="X1372" s="592">
        <f t="shared" si="1219"/>
        <v>2941.62</v>
      </c>
      <c r="Y1372" s="592">
        <f t="shared" si="1219"/>
        <v>2941.62</v>
      </c>
      <c r="Z1372" s="592">
        <f t="shared" si="1219"/>
        <v>2941.62</v>
      </c>
      <c r="AA1372" s="592">
        <f t="shared" si="1219"/>
        <v>2941.62</v>
      </c>
      <c r="AB1372" s="592">
        <f t="shared" si="1219"/>
        <v>2941.62</v>
      </c>
      <c r="AC1372" s="592">
        <f t="shared" si="1219"/>
        <v>2941.62</v>
      </c>
      <c r="AD1372" s="592">
        <f t="shared" si="1219"/>
        <v>2941.62</v>
      </c>
      <c r="AE1372" s="592">
        <f t="shared" si="1219"/>
        <v>2941.62</v>
      </c>
      <c r="AF1372" s="592">
        <f t="shared" si="1219"/>
        <v>2941.62</v>
      </c>
      <c r="AH1372" s="538"/>
      <c r="AK1372" s="531"/>
      <c r="AM1372" s="594"/>
      <c r="AN1372" s="535"/>
      <c r="AP1372" s="540"/>
      <c r="AQ1372" s="540"/>
    </row>
    <row r="1373" spans="1:43" s="546" customFormat="1" ht="16.5" hidden="1" customHeight="1" outlineLevel="2">
      <c r="A1373" s="584"/>
      <c r="B1373" s="580" t="s">
        <v>934</v>
      </c>
      <c r="C1373" s="570">
        <f>C1374*C1375</f>
        <v>0</v>
      </c>
      <c r="D1373" s="570">
        <f t="shared" ref="D1373:AF1373" si="1220">D1374*D1375</f>
        <v>0</v>
      </c>
      <c r="E1373" s="570">
        <f t="shared" si="1220"/>
        <v>0</v>
      </c>
      <c r="F1373" s="570">
        <f t="shared" si="1220"/>
        <v>0</v>
      </c>
      <c r="G1373" s="570">
        <f t="shared" si="1220"/>
        <v>0</v>
      </c>
      <c r="H1373" s="570">
        <f t="shared" si="1220"/>
        <v>0</v>
      </c>
      <c r="I1373" s="570">
        <f t="shared" si="1220"/>
        <v>2775.2999999999997</v>
      </c>
      <c r="J1373" s="570">
        <f t="shared" si="1220"/>
        <v>2775.2999999999997</v>
      </c>
      <c r="K1373" s="570">
        <f t="shared" si="1220"/>
        <v>2775.2999999999997</v>
      </c>
      <c r="L1373" s="570">
        <f t="shared" si="1220"/>
        <v>2775.2999999999997</v>
      </c>
      <c r="M1373" s="570">
        <f t="shared" si="1220"/>
        <v>2775.2999999999997</v>
      </c>
      <c r="N1373" s="570">
        <f t="shared" si="1220"/>
        <v>2775.2999999999997</v>
      </c>
      <c r="O1373" s="570">
        <f t="shared" si="1220"/>
        <v>2775.2999999999997</v>
      </c>
      <c r="P1373" s="570">
        <f t="shared" si="1220"/>
        <v>2775.2999999999997</v>
      </c>
      <c r="Q1373" s="570">
        <f t="shared" si="1220"/>
        <v>2775.2999999999997</v>
      </c>
      <c r="R1373" s="570">
        <f t="shared" si="1220"/>
        <v>2775.2999999999997</v>
      </c>
      <c r="S1373" s="570">
        <f t="shared" si="1220"/>
        <v>2775.2999999999997</v>
      </c>
      <c r="T1373" s="570">
        <f t="shared" si="1220"/>
        <v>2775.2999999999997</v>
      </c>
      <c r="U1373" s="570">
        <f t="shared" si="1220"/>
        <v>2775.2999999999997</v>
      </c>
      <c r="V1373" s="570">
        <f t="shared" si="1220"/>
        <v>2775.2999999999997</v>
      </c>
      <c r="W1373" s="570">
        <f t="shared" si="1220"/>
        <v>2775.2999999999997</v>
      </c>
      <c r="X1373" s="570">
        <f t="shared" si="1220"/>
        <v>2775.2999999999997</v>
      </c>
      <c r="Y1373" s="570">
        <f t="shared" si="1220"/>
        <v>2775.2999999999997</v>
      </c>
      <c r="Z1373" s="570">
        <f t="shared" si="1220"/>
        <v>2775.2999999999997</v>
      </c>
      <c r="AA1373" s="570">
        <f t="shared" si="1220"/>
        <v>2775.2999999999997</v>
      </c>
      <c r="AB1373" s="570">
        <f t="shared" si="1220"/>
        <v>2775.2999999999997</v>
      </c>
      <c r="AC1373" s="570">
        <f t="shared" si="1220"/>
        <v>2775.2999999999997</v>
      </c>
      <c r="AD1373" s="570">
        <f t="shared" si="1220"/>
        <v>2775.2999999999997</v>
      </c>
      <c r="AE1373" s="570">
        <f t="shared" si="1220"/>
        <v>2775.2999999999997</v>
      </c>
      <c r="AF1373" s="570">
        <f t="shared" si="1220"/>
        <v>2775.2999999999997</v>
      </c>
      <c r="AH1373" s="571"/>
      <c r="AK1373" s="531"/>
      <c r="AM1373" s="594"/>
      <c r="AN1373" s="535"/>
      <c r="AP1373" s="549"/>
      <c r="AQ1373" s="549"/>
    </row>
    <row r="1374" spans="1:43" s="513" customFormat="1" ht="16.5" hidden="1" customHeight="1" outlineLevel="2">
      <c r="A1374" s="584"/>
      <c r="B1374" s="585" t="s">
        <v>805</v>
      </c>
      <c r="C1374" s="573">
        <f t="shared" ref="C1374:AF1374" si="1221">C1332</f>
        <v>0</v>
      </c>
      <c r="D1374" s="573">
        <f t="shared" si="1221"/>
        <v>0</v>
      </c>
      <c r="E1374" s="573">
        <f t="shared" si="1221"/>
        <v>0</v>
      </c>
      <c r="F1374" s="573">
        <f t="shared" si="1221"/>
        <v>0</v>
      </c>
      <c r="G1374" s="573">
        <f t="shared" si="1221"/>
        <v>0</v>
      </c>
      <c r="H1374" s="573">
        <f t="shared" si="1221"/>
        <v>0</v>
      </c>
      <c r="I1374" s="573">
        <f t="shared" si="1221"/>
        <v>1</v>
      </c>
      <c r="J1374" s="573">
        <f t="shared" si="1221"/>
        <v>1</v>
      </c>
      <c r="K1374" s="573">
        <f t="shared" si="1221"/>
        <v>1</v>
      </c>
      <c r="L1374" s="573">
        <f t="shared" si="1221"/>
        <v>1</v>
      </c>
      <c r="M1374" s="573">
        <f t="shared" si="1221"/>
        <v>1</v>
      </c>
      <c r="N1374" s="573">
        <f t="shared" si="1221"/>
        <v>1</v>
      </c>
      <c r="O1374" s="573">
        <f t="shared" si="1221"/>
        <v>1</v>
      </c>
      <c r="P1374" s="573">
        <f t="shared" si="1221"/>
        <v>1</v>
      </c>
      <c r="Q1374" s="573">
        <f t="shared" si="1221"/>
        <v>1</v>
      </c>
      <c r="R1374" s="573">
        <f t="shared" si="1221"/>
        <v>1</v>
      </c>
      <c r="S1374" s="573">
        <f t="shared" si="1221"/>
        <v>1</v>
      </c>
      <c r="T1374" s="573">
        <f t="shared" si="1221"/>
        <v>1</v>
      </c>
      <c r="U1374" s="573">
        <f t="shared" si="1221"/>
        <v>1</v>
      </c>
      <c r="V1374" s="573">
        <f t="shared" si="1221"/>
        <v>1</v>
      </c>
      <c r="W1374" s="573">
        <f t="shared" si="1221"/>
        <v>1</v>
      </c>
      <c r="X1374" s="573">
        <f t="shared" si="1221"/>
        <v>1</v>
      </c>
      <c r="Y1374" s="573">
        <f t="shared" si="1221"/>
        <v>1</v>
      </c>
      <c r="Z1374" s="573">
        <f t="shared" si="1221"/>
        <v>1</v>
      </c>
      <c r="AA1374" s="573">
        <f t="shared" si="1221"/>
        <v>1</v>
      </c>
      <c r="AB1374" s="573">
        <f t="shared" si="1221"/>
        <v>1</v>
      </c>
      <c r="AC1374" s="573">
        <f t="shared" si="1221"/>
        <v>1</v>
      </c>
      <c r="AD1374" s="573">
        <f t="shared" si="1221"/>
        <v>1</v>
      </c>
      <c r="AE1374" s="573">
        <f t="shared" si="1221"/>
        <v>1</v>
      </c>
      <c r="AF1374" s="573">
        <f t="shared" si="1221"/>
        <v>1</v>
      </c>
      <c r="AH1374" s="538"/>
      <c r="AK1374" s="531"/>
      <c r="AM1374" s="594"/>
      <c r="AN1374" s="535"/>
      <c r="AP1374" s="540"/>
      <c r="AQ1374" s="540"/>
    </row>
    <row r="1375" spans="1:43" s="513" customFormat="1" ht="16.5" hidden="1" customHeight="1" outlineLevel="2">
      <c r="A1375" s="584"/>
      <c r="B1375" s="585" t="s">
        <v>888</v>
      </c>
      <c r="C1375" s="592">
        <f>EPIs_unif.!$D$14+EPIs_unif.!$D$40</f>
        <v>2775.2999999999997</v>
      </c>
      <c r="D1375" s="592">
        <f>C1375</f>
        <v>2775.2999999999997</v>
      </c>
      <c r="E1375" s="592">
        <f t="shared" ref="E1375:AF1375" si="1222">D1375</f>
        <v>2775.2999999999997</v>
      </c>
      <c r="F1375" s="592">
        <f t="shared" si="1222"/>
        <v>2775.2999999999997</v>
      </c>
      <c r="G1375" s="592">
        <f t="shared" si="1222"/>
        <v>2775.2999999999997</v>
      </c>
      <c r="H1375" s="592">
        <f t="shared" si="1222"/>
        <v>2775.2999999999997</v>
      </c>
      <c r="I1375" s="592">
        <f t="shared" si="1222"/>
        <v>2775.2999999999997</v>
      </c>
      <c r="J1375" s="592">
        <f t="shared" si="1222"/>
        <v>2775.2999999999997</v>
      </c>
      <c r="K1375" s="592">
        <f t="shared" si="1222"/>
        <v>2775.2999999999997</v>
      </c>
      <c r="L1375" s="592">
        <f t="shared" si="1222"/>
        <v>2775.2999999999997</v>
      </c>
      <c r="M1375" s="592">
        <f t="shared" si="1222"/>
        <v>2775.2999999999997</v>
      </c>
      <c r="N1375" s="592">
        <f t="shared" si="1222"/>
        <v>2775.2999999999997</v>
      </c>
      <c r="O1375" s="592">
        <f t="shared" si="1222"/>
        <v>2775.2999999999997</v>
      </c>
      <c r="P1375" s="592">
        <f t="shared" si="1222"/>
        <v>2775.2999999999997</v>
      </c>
      <c r="Q1375" s="592">
        <f t="shared" si="1222"/>
        <v>2775.2999999999997</v>
      </c>
      <c r="R1375" s="592">
        <f t="shared" si="1222"/>
        <v>2775.2999999999997</v>
      </c>
      <c r="S1375" s="592">
        <f t="shared" si="1222"/>
        <v>2775.2999999999997</v>
      </c>
      <c r="T1375" s="592">
        <f t="shared" si="1222"/>
        <v>2775.2999999999997</v>
      </c>
      <c r="U1375" s="592">
        <f t="shared" si="1222"/>
        <v>2775.2999999999997</v>
      </c>
      <c r="V1375" s="592">
        <f t="shared" si="1222"/>
        <v>2775.2999999999997</v>
      </c>
      <c r="W1375" s="592">
        <f t="shared" si="1222"/>
        <v>2775.2999999999997</v>
      </c>
      <c r="X1375" s="592">
        <f t="shared" si="1222"/>
        <v>2775.2999999999997</v>
      </c>
      <c r="Y1375" s="592">
        <f t="shared" si="1222"/>
        <v>2775.2999999999997</v>
      </c>
      <c r="Z1375" s="592">
        <f t="shared" si="1222"/>
        <v>2775.2999999999997</v>
      </c>
      <c r="AA1375" s="592">
        <f t="shared" si="1222"/>
        <v>2775.2999999999997</v>
      </c>
      <c r="AB1375" s="592">
        <f t="shared" si="1222"/>
        <v>2775.2999999999997</v>
      </c>
      <c r="AC1375" s="592">
        <f t="shared" si="1222"/>
        <v>2775.2999999999997</v>
      </c>
      <c r="AD1375" s="592">
        <f t="shared" si="1222"/>
        <v>2775.2999999999997</v>
      </c>
      <c r="AE1375" s="592">
        <f t="shared" si="1222"/>
        <v>2775.2999999999997</v>
      </c>
      <c r="AF1375" s="592">
        <f t="shared" si="1222"/>
        <v>2775.2999999999997</v>
      </c>
      <c r="AH1375" s="538"/>
      <c r="AK1375" s="531"/>
      <c r="AM1375" s="594"/>
      <c r="AN1375" s="535"/>
      <c r="AP1375" s="540"/>
      <c r="AQ1375" s="540"/>
    </row>
    <row r="1376" spans="1:43" s="546" customFormat="1" ht="16.5" hidden="1" customHeight="1" outlineLevel="2">
      <c r="A1376" s="584"/>
      <c r="B1376" s="580" t="s">
        <v>1026</v>
      </c>
      <c r="C1376" s="570">
        <f>C1377*C1378</f>
        <v>0</v>
      </c>
      <c r="D1376" s="570">
        <f t="shared" ref="D1376:AF1376" si="1223">D1377*D1378</f>
        <v>0</v>
      </c>
      <c r="E1376" s="570">
        <f t="shared" si="1223"/>
        <v>0</v>
      </c>
      <c r="F1376" s="570">
        <f t="shared" si="1223"/>
        <v>0</v>
      </c>
      <c r="G1376" s="570">
        <f t="shared" si="1223"/>
        <v>0</v>
      </c>
      <c r="H1376" s="570">
        <f t="shared" si="1223"/>
        <v>0</v>
      </c>
      <c r="I1376" s="570">
        <f t="shared" si="1223"/>
        <v>585.78499999999997</v>
      </c>
      <c r="J1376" s="570">
        <f t="shared" si="1223"/>
        <v>585.78499999999997</v>
      </c>
      <c r="K1376" s="570">
        <f t="shared" si="1223"/>
        <v>585.78499999999997</v>
      </c>
      <c r="L1376" s="570">
        <f t="shared" si="1223"/>
        <v>585.78499999999997</v>
      </c>
      <c r="M1376" s="570">
        <f t="shared" si="1223"/>
        <v>585.78499999999997</v>
      </c>
      <c r="N1376" s="570">
        <f t="shared" si="1223"/>
        <v>585.78499999999997</v>
      </c>
      <c r="O1376" s="570">
        <f t="shared" si="1223"/>
        <v>585.78499999999997</v>
      </c>
      <c r="P1376" s="570">
        <f t="shared" si="1223"/>
        <v>585.78499999999997</v>
      </c>
      <c r="Q1376" s="570">
        <f t="shared" si="1223"/>
        <v>585.78499999999997</v>
      </c>
      <c r="R1376" s="570">
        <f t="shared" si="1223"/>
        <v>585.78499999999997</v>
      </c>
      <c r="S1376" s="570">
        <f t="shared" si="1223"/>
        <v>585.78499999999997</v>
      </c>
      <c r="T1376" s="570">
        <f t="shared" si="1223"/>
        <v>585.78499999999997</v>
      </c>
      <c r="U1376" s="570">
        <f t="shared" si="1223"/>
        <v>585.78499999999997</v>
      </c>
      <c r="V1376" s="570">
        <f t="shared" si="1223"/>
        <v>585.78499999999997</v>
      </c>
      <c r="W1376" s="570">
        <f t="shared" si="1223"/>
        <v>585.78499999999997</v>
      </c>
      <c r="X1376" s="570">
        <f t="shared" si="1223"/>
        <v>585.78499999999997</v>
      </c>
      <c r="Y1376" s="570">
        <f t="shared" si="1223"/>
        <v>585.78499999999997</v>
      </c>
      <c r="Z1376" s="570">
        <f t="shared" si="1223"/>
        <v>585.78499999999997</v>
      </c>
      <c r="AA1376" s="570">
        <f t="shared" si="1223"/>
        <v>585.78499999999997</v>
      </c>
      <c r="AB1376" s="570">
        <f t="shared" si="1223"/>
        <v>585.78499999999997</v>
      </c>
      <c r="AC1376" s="570">
        <f t="shared" si="1223"/>
        <v>585.78499999999997</v>
      </c>
      <c r="AD1376" s="570">
        <f t="shared" si="1223"/>
        <v>585.78499999999997</v>
      </c>
      <c r="AE1376" s="570">
        <f t="shared" si="1223"/>
        <v>585.78499999999997</v>
      </c>
      <c r="AF1376" s="570">
        <f t="shared" si="1223"/>
        <v>585.78499999999997</v>
      </c>
      <c r="AH1376" s="571"/>
      <c r="AK1376" s="531"/>
      <c r="AM1376" s="594"/>
      <c r="AN1376" s="535"/>
      <c r="AP1376" s="549"/>
      <c r="AQ1376" s="549"/>
    </row>
    <row r="1377" spans="1:43" s="513" customFormat="1" ht="16.5" hidden="1" customHeight="1" outlineLevel="2">
      <c r="A1377" s="584"/>
      <c r="B1377" s="585" t="s">
        <v>805</v>
      </c>
      <c r="C1377" s="573">
        <f t="shared" ref="C1377:AF1377" si="1224">C1338</f>
        <v>0</v>
      </c>
      <c r="D1377" s="573">
        <f t="shared" si="1224"/>
        <v>0</v>
      </c>
      <c r="E1377" s="573">
        <f t="shared" si="1224"/>
        <v>0</v>
      </c>
      <c r="F1377" s="573">
        <f t="shared" si="1224"/>
        <v>0</v>
      </c>
      <c r="G1377" s="742">
        <f t="shared" si="1224"/>
        <v>0</v>
      </c>
      <c r="H1377" s="742">
        <f t="shared" si="1224"/>
        <v>0</v>
      </c>
      <c r="I1377" s="742">
        <f t="shared" si="1224"/>
        <v>0.5</v>
      </c>
      <c r="J1377" s="742">
        <f t="shared" si="1224"/>
        <v>0.5</v>
      </c>
      <c r="K1377" s="742">
        <f t="shared" si="1224"/>
        <v>0.5</v>
      </c>
      <c r="L1377" s="742">
        <f t="shared" si="1224"/>
        <v>0.5</v>
      </c>
      <c r="M1377" s="742">
        <f t="shared" si="1224"/>
        <v>0.5</v>
      </c>
      <c r="N1377" s="742">
        <f t="shared" si="1224"/>
        <v>0.5</v>
      </c>
      <c r="O1377" s="742">
        <f t="shared" si="1224"/>
        <v>0.5</v>
      </c>
      <c r="P1377" s="742">
        <f t="shared" si="1224"/>
        <v>0.5</v>
      </c>
      <c r="Q1377" s="742">
        <f t="shared" si="1224"/>
        <v>0.5</v>
      </c>
      <c r="R1377" s="742">
        <f t="shared" si="1224"/>
        <v>0.5</v>
      </c>
      <c r="S1377" s="742">
        <f t="shared" si="1224"/>
        <v>0.5</v>
      </c>
      <c r="T1377" s="742">
        <f t="shared" si="1224"/>
        <v>0.5</v>
      </c>
      <c r="U1377" s="742">
        <f t="shared" si="1224"/>
        <v>0.5</v>
      </c>
      <c r="V1377" s="742">
        <f t="shared" si="1224"/>
        <v>0.5</v>
      </c>
      <c r="W1377" s="742">
        <f t="shared" si="1224"/>
        <v>0.5</v>
      </c>
      <c r="X1377" s="742">
        <f t="shared" si="1224"/>
        <v>0.5</v>
      </c>
      <c r="Y1377" s="742">
        <f t="shared" si="1224"/>
        <v>0.5</v>
      </c>
      <c r="Z1377" s="742">
        <f t="shared" si="1224"/>
        <v>0.5</v>
      </c>
      <c r="AA1377" s="742">
        <f t="shared" si="1224"/>
        <v>0.5</v>
      </c>
      <c r="AB1377" s="742">
        <f t="shared" si="1224"/>
        <v>0.5</v>
      </c>
      <c r="AC1377" s="742">
        <f t="shared" si="1224"/>
        <v>0.5</v>
      </c>
      <c r="AD1377" s="742">
        <f t="shared" si="1224"/>
        <v>0.5</v>
      </c>
      <c r="AE1377" s="742">
        <f t="shared" si="1224"/>
        <v>0.5</v>
      </c>
      <c r="AF1377" s="742">
        <f t="shared" si="1224"/>
        <v>0.5</v>
      </c>
      <c r="AH1377" s="538"/>
      <c r="AK1377" s="531"/>
      <c r="AM1377" s="594"/>
      <c r="AN1377" s="535"/>
      <c r="AP1377" s="540"/>
      <c r="AQ1377" s="540"/>
    </row>
    <row r="1378" spans="1:43" s="513" customFormat="1" ht="16.5" hidden="1" customHeight="1" outlineLevel="2">
      <c r="A1378" s="584"/>
      <c r="B1378" s="585" t="s">
        <v>888</v>
      </c>
      <c r="C1378" s="592">
        <f>EPIs_unif.!$D$27+EPIs_unif.!$D$54</f>
        <v>1171.57</v>
      </c>
      <c r="D1378" s="592">
        <f>C1378</f>
        <v>1171.57</v>
      </c>
      <c r="E1378" s="592">
        <f t="shared" ref="E1378:AF1378" si="1225">D1378</f>
        <v>1171.57</v>
      </c>
      <c r="F1378" s="592">
        <f t="shared" si="1225"/>
        <v>1171.57</v>
      </c>
      <c r="G1378" s="592">
        <f t="shared" si="1225"/>
        <v>1171.57</v>
      </c>
      <c r="H1378" s="592">
        <f t="shared" si="1225"/>
        <v>1171.57</v>
      </c>
      <c r="I1378" s="592">
        <f t="shared" si="1225"/>
        <v>1171.57</v>
      </c>
      <c r="J1378" s="592">
        <f t="shared" si="1225"/>
        <v>1171.57</v>
      </c>
      <c r="K1378" s="592">
        <f t="shared" si="1225"/>
        <v>1171.57</v>
      </c>
      <c r="L1378" s="592">
        <f t="shared" si="1225"/>
        <v>1171.57</v>
      </c>
      <c r="M1378" s="592">
        <f t="shared" si="1225"/>
        <v>1171.57</v>
      </c>
      <c r="N1378" s="592">
        <f t="shared" si="1225"/>
        <v>1171.57</v>
      </c>
      <c r="O1378" s="592">
        <f t="shared" si="1225"/>
        <v>1171.57</v>
      </c>
      <c r="P1378" s="592">
        <f t="shared" si="1225"/>
        <v>1171.57</v>
      </c>
      <c r="Q1378" s="592">
        <f t="shared" si="1225"/>
        <v>1171.57</v>
      </c>
      <c r="R1378" s="592">
        <f t="shared" si="1225"/>
        <v>1171.57</v>
      </c>
      <c r="S1378" s="592">
        <f t="shared" si="1225"/>
        <v>1171.57</v>
      </c>
      <c r="T1378" s="592">
        <f t="shared" si="1225"/>
        <v>1171.57</v>
      </c>
      <c r="U1378" s="592">
        <f t="shared" si="1225"/>
        <v>1171.57</v>
      </c>
      <c r="V1378" s="592">
        <f t="shared" si="1225"/>
        <v>1171.57</v>
      </c>
      <c r="W1378" s="592">
        <f t="shared" si="1225"/>
        <v>1171.57</v>
      </c>
      <c r="X1378" s="592">
        <f t="shared" si="1225"/>
        <v>1171.57</v>
      </c>
      <c r="Y1378" s="592">
        <f t="shared" si="1225"/>
        <v>1171.57</v>
      </c>
      <c r="Z1378" s="592">
        <f t="shared" si="1225"/>
        <v>1171.57</v>
      </c>
      <c r="AA1378" s="592">
        <f t="shared" si="1225"/>
        <v>1171.57</v>
      </c>
      <c r="AB1378" s="592">
        <f t="shared" si="1225"/>
        <v>1171.57</v>
      </c>
      <c r="AC1378" s="592">
        <f t="shared" si="1225"/>
        <v>1171.57</v>
      </c>
      <c r="AD1378" s="592">
        <f t="shared" si="1225"/>
        <v>1171.57</v>
      </c>
      <c r="AE1378" s="592">
        <f t="shared" si="1225"/>
        <v>1171.57</v>
      </c>
      <c r="AF1378" s="592">
        <f t="shared" si="1225"/>
        <v>1171.57</v>
      </c>
      <c r="AH1378" s="538"/>
      <c r="AK1378" s="531"/>
      <c r="AM1378" s="594"/>
      <c r="AN1378" s="535"/>
      <c r="AP1378" s="540"/>
      <c r="AQ1378" s="540"/>
    </row>
    <row r="1379" spans="1:43" s="513" customFormat="1" ht="6.75" customHeight="1">
      <c r="A1379" s="584"/>
      <c r="B1379" s="379"/>
      <c r="C1379" s="661"/>
      <c r="D1379" s="661"/>
      <c r="E1379" s="661"/>
      <c r="F1379" s="661"/>
      <c r="G1379" s="661"/>
      <c r="H1379" s="661"/>
      <c r="I1379" s="661"/>
      <c r="J1379" s="661"/>
      <c r="K1379" s="661"/>
      <c r="L1379" s="661"/>
      <c r="M1379" s="661"/>
      <c r="N1379" s="661"/>
      <c r="O1379" s="661"/>
      <c r="P1379" s="661"/>
      <c r="Q1379" s="661"/>
      <c r="R1379" s="661"/>
      <c r="S1379" s="661"/>
      <c r="T1379" s="661"/>
      <c r="U1379" s="661"/>
      <c r="V1379" s="661"/>
      <c r="W1379" s="661"/>
      <c r="X1379" s="661"/>
      <c r="Y1379" s="661"/>
      <c r="Z1379" s="661"/>
      <c r="AA1379" s="661"/>
      <c r="AB1379" s="661"/>
      <c r="AC1379" s="661"/>
      <c r="AD1379" s="661"/>
      <c r="AE1379" s="661"/>
      <c r="AF1379" s="661"/>
      <c r="AH1379" s="662"/>
      <c r="AK1379" s="531"/>
      <c r="AM1379" s="594"/>
      <c r="AN1379" s="535"/>
      <c r="AP1379" s="540"/>
      <c r="AQ1379" s="540"/>
    </row>
    <row r="1380" spans="1:43" ht="16.5" customHeight="1">
      <c r="A1380" s="584"/>
      <c r="B1380" s="749" t="s">
        <v>1028</v>
      </c>
      <c r="C1380" s="710">
        <f t="shared" ref="C1380:AF1380" si="1226">SUM(C1385,C1389,C1394,C1400,C1404,C1413,C1417,C1424,C1427,C1440,C1450,C1453,C1469)*C3</f>
        <v>266.27880593759994</v>
      </c>
      <c r="D1380" s="710">
        <f t="shared" si="1226"/>
        <v>266.27880593759994</v>
      </c>
      <c r="E1380" s="710">
        <f t="shared" si="1226"/>
        <v>266.27880593759994</v>
      </c>
      <c r="F1380" s="710">
        <f t="shared" si="1226"/>
        <v>266.27880593759994</v>
      </c>
      <c r="G1380" s="710">
        <f t="shared" si="1226"/>
        <v>266.27880593759994</v>
      </c>
      <c r="H1380" s="710">
        <f t="shared" si="1226"/>
        <v>266.27880593759994</v>
      </c>
      <c r="I1380" s="710">
        <f t="shared" si="1226"/>
        <v>200.02160850159999</v>
      </c>
      <c r="J1380" s="710">
        <f t="shared" si="1226"/>
        <v>200.02160850159999</v>
      </c>
      <c r="K1380" s="710">
        <f t="shared" si="1226"/>
        <v>200.02160850159999</v>
      </c>
      <c r="L1380" s="710">
        <f t="shared" si="1226"/>
        <v>200.02160850159999</v>
      </c>
      <c r="M1380" s="710">
        <f t="shared" si="1226"/>
        <v>200.02160850159999</v>
      </c>
      <c r="N1380" s="710">
        <f t="shared" si="1226"/>
        <v>200.02160850159999</v>
      </c>
      <c r="O1380" s="710">
        <f t="shared" si="1226"/>
        <v>200.02160850159999</v>
      </c>
      <c r="P1380" s="710">
        <f t="shared" si="1226"/>
        <v>200.02160850159999</v>
      </c>
      <c r="Q1380" s="710">
        <f t="shared" si="1226"/>
        <v>200.02160850159999</v>
      </c>
      <c r="R1380" s="710">
        <f t="shared" si="1226"/>
        <v>200.02160850159999</v>
      </c>
      <c r="S1380" s="710">
        <f t="shared" si="1226"/>
        <v>200.02160850159999</v>
      </c>
      <c r="T1380" s="710">
        <f t="shared" si="1226"/>
        <v>200.02160850159999</v>
      </c>
      <c r="U1380" s="710">
        <f t="shared" si="1226"/>
        <v>200.02160850159999</v>
      </c>
      <c r="V1380" s="710">
        <f t="shared" si="1226"/>
        <v>200.02160850159999</v>
      </c>
      <c r="W1380" s="710">
        <f t="shared" si="1226"/>
        <v>200.02160850159999</v>
      </c>
      <c r="X1380" s="710">
        <f t="shared" si="1226"/>
        <v>200.02160850159999</v>
      </c>
      <c r="Y1380" s="710">
        <f t="shared" si="1226"/>
        <v>200.02160850159999</v>
      </c>
      <c r="Z1380" s="710">
        <f t="shared" si="1226"/>
        <v>200.02160850159999</v>
      </c>
      <c r="AA1380" s="710">
        <f t="shared" si="1226"/>
        <v>200.02160850159999</v>
      </c>
      <c r="AB1380" s="710">
        <f t="shared" si="1226"/>
        <v>200.02160850159999</v>
      </c>
      <c r="AC1380" s="710">
        <f t="shared" si="1226"/>
        <v>200.02160850159999</v>
      </c>
      <c r="AD1380" s="710">
        <f t="shared" si="1226"/>
        <v>200.02160850159999</v>
      </c>
      <c r="AE1380" s="710">
        <f t="shared" si="1226"/>
        <v>200.02160850159999</v>
      </c>
      <c r="AF1380" s="710">
        <f t="shared" si="1226"/>
        <v>200.02160850159999</v>
      </c>
      <c r="AG1380" s="750"/>
      <c r="AH1380" s="751">
        <f>SUM(C1380:AF1380)</f>
        <v>6398.1914396639986</v>
      </c>
      <c r="AK1380" s="531"/>
      <c r="AM1380" s="533"/>
      <c r="AN1380" s="535"/>
      <c r="AP1380" s="535"/>
      <c r="AQ1380" s="534"/>
    </row>
    <row r="1381" spans="1:43" ht="3" customHeight="1" collapsed="1">
      <c r="A1381" s="584"/>
      <c r="B1381" s="379"/>
      <c r="C1381" s="661"/>
      <c r="D1381" s="661"/>
      <c r="E1381" s="661"/>
      <c r="F1381" s="661"/>
      <c r="G1381" s="661"/>
      <c r="H1381" s="661"/>
      <c r="I1381" s="661"/>
      <c r="J1381" s="661"/>
      <c r="K1381" s="661"/>
      <c r="L1381" s="661"/>
      <c r="M1381" s="661"/>
      <c r="N1381" s="661"/>
      <c r="O1381" s="661"/>
      <c r="P1381" s="661"/>
      <c r="Q1381" s="661"/>
      <c r="R1381" s="661"/>
      <c r="S1381" s="661"/>
      <c r="T1381" s="661"/>
      <c r="U1381" s="661"/>
      <c r="V1381" s="661"/>
      <c r="W1381" s="661"/>
      <c r="X1381" s="661"/>
      <c r="Y1381" s="661"/>
      <c r="Z1381" s="661"/>
      <c r="AA1381" s="661"/>
      <c r="AB1381" s="661"/>
      <c r="AC1381" s="661"/>
      <c r="AD1381" s="661"/>
      <c r="AE1381" s="661"/>
      <c r="AF1381" s="661"/>
      <c r="AH1381" s="664"/>
      <c r="AK1381" s="531"/>
      <c r="AM1381" s="594"/>
      <c r="AN1381" s="535"/>
      <c r="AP1381" s="535"/>
      <c r="AQ1381" s="535"/>
    </row>
    <row r="1382" spans="1:43" s="546" customFormat="1" ht="16.5" hidden="1" customHeight="1" outlineLevel="1" collapsed="1">
      <c r="A1382" s="584"/>
      <c r="B1382" s="544" t="s">
        <v>880</v>
      </c>
      <c r="C1382" s="545"/>
      <c r="D1382" s="545"/>
      <c r="E1382" s="545"/>
      <c r="F1382" s="545"/>
      <c r="G1382" s="545"/>
      <c r="H1382" s="545"/>
      <c r="I1382" s="545"/>
      <c r="J1382" s="545"/>
      <c r="K1382" s="545"/>
      <c r="L1382" s="545"/>
      <c r="M1382" s="545"/>
      <c r="N1382" s="545"/>
      <c r="O1382" s="545"/>
      <c r="P1382" s="545"/>
      <c r="Q1382" s="545"/>
      <c r="R1382" s="545"/>
      <c r="S1382" s="545"/>
      <c r="T1382" s="545"/>
      <c r="U1382" s="545"/>
      <c r="V1382" s="545"/>
      <c r="W1382" s="545"/>
      <c r="X1382" s="545"/>
      <c r="Y1382" s="545"/>
      <c r="Z1382" s="545"/>
      <c r="AA1382" s="545"/>
      <c r="AB1382" s="545"/>
      <c r="AC1382" s="545"/>
      <c r="AD1382" s="545"/>
      <c r="AE1382" s="545"/>
      <c r="AF1382" s="545"/>
      <c r="AH1382" s="571"/>
      <c r="AK1382" s="531"/>
      <c r="AM1382" s="594"/>
      <c r="AN1382" s="535"/>
      <c r="AP1382" s="549"/>
      <c r="AQ1382" s="549"/>
    </row>
    <row r="1383" spans="1:43" s="513" customFormat="1" ht="16.5" hidden="1" customHeight="1" outlineLevel="2">
      <c r="A1383" s="584"/>
      <c r="B1383" s="569" t="s">
        <v>882</v>
      </c>
      <c r="C1383" s="553">
        <v>1</v>
      </c>
      <c r="D1383" s="553">
        <f t="shared" ref="D1383:AF1383" si="1227">C1383</f>
        <v>1</v>
      </c>
      <c r="E1383" s="553">
        <f t="shared" si="1227"/>
        <v>1</v>
      </c>
      <c r="F1383" s="553">
        <f t="shared" si="1227"/>
        <v>1</v>
      </c>
      <c r="G1383" s="553">
        <f t="shared" si="1227"/>
        <v>1</v>
      </c>
      <c r="H1383" s="553">
        <f t="shared" si="1227"/>
        <v>1</v>
      </c>
      <c r="I1383" s="553">
        <f t="shared" si="1227"/>
        <v>1</v>
      </c>
      <c r="J1383" s="553">
        <f t="shared" si="1227"/>
        <v>1</v>
      </c>
      <c r="K1383" s="553">
        <f t="shared" si="1227"/>
        <v>1</v>
      </c>
      <c r="L1383" s="553">
        <f t="shared" si="1227"/>
        <v>1</v>
      </c>
      <c r="M1383" s="553">
        <f t="shared" si="1227"/>
        <v>1</v>
      </c>
      <c r="N1383" s="553">
        <f t="shared" si="1227"/>
        <v>1</v>
      </c>
      <c r="O1383" s="553">
        <f t="shared" si="1227"/>
        <v>1</v>
      </c>
      <c r="P1383" s="553">
        <f t="shared" si="1227"/>
        <v>1</v>
      </c>
      <c r="Q1383" s="553">
        <f t="shared" si="1227"/>
        <v>1</v>
      </c>
      <c r="R1383" s="553">
        <f t="shared" si="1227"/>
        <v>1</v>
      </c>
      <c r="S1383" s="553">
        <f t="shared" si="1227"/>
        <v>1</v>
      </c>
      <c r="T1383" s="553">
        <f t="shared" si="1227"/>
        <v>1</v>
      </c>
      <c r="U1383" s="553">
        <f t="shared" si="1227"/>
        <v>1</v>
      </c>
      <c r="V1383" s="553">
        <f t="shared" si="1227"/>
        <v>1</v>
      </c>
      <c r="W1383" s="553">
        <f t="shared" si="1227"/>
        <v>1</v>
      </c>
      <c r="X1383" s="553">
        <f t="shared" si="1227"/>
        <v>1</v>
      </c>
      <c r="Y1383" s="553">
        <f t="shared" si="1227"/>
        <v>1</v>
      </c>
      <c r="Z1383" s="553">
        <f t="shared" si="1227"/>
        <v>1</v>
      </c>
      <c r="AA1383" s="553">
        <f t="shared" si="1227"/>
        <v>1</v>
      </c>
      <c r="AB1383" s="553">
        <f t="shared" si="1227"/>
        <v>1</v>
      </c>
      <c r="AC1383" s="553">
        <f t="shared" si="1227"/>
        <v>1</v>
      </c>
      <c r="AD1383" s="553">
        <f t="shared" si="1227"/>
        <v>1</v>
      </c>
      <c r="AE1383" s="553">
        <f t="shared" si="1227"/>
        <v>1</v>
      </c>
      <c r="AF1383" s="553">
        <f t="shared" si="1227"/>
        <v>1</v>
      </c>
      <c r="AH1383" s="538"/>
      <c r="AK1383" s="531"/>
      <c r="AM1383" s="594"/>
      <c r="AN1383" s="535"/>
      <c r="AP1383" s="540"/>
      <c r="AQ1383" s="540"/>
    </row>
    <row r="1384" spans="1:43" s="620" customFormat="1" ht="14.4" collapsed="1">
      <c r="A1384" s="584"/>
      <c r="B1384" s="618" t="s">
        <v>886</v>
      </c>
      <c r="C1384" s="545">
        <f>SUM(C1442,C1445,C1448)</f>
        <v>3</v>
      </c>
      <c r="D1384" s="545">
        <f t="shared" ref="D1384:AF1384" si="1228">SUM(D1442,D1445,D1448)</f>
        <v>3</v>
      </c>
      <c r="E1384" s="545">
        <f t="shared" si="1228"/>
        <v>3</v>
      </c>
      <c r="F1384" s="545">
        <f t="shared" si="1228"/>
        <v>3</v>
      </c>
      <c r="G1384" s="545">
        <f t="shared" si="1228"/>
        <v>3</v>
      </c>
      <c r="H1384" s="545">
        <f t="shared" si="1228"/>
        <v>3</v>
      </c>
      <c r="I1384" s="545">
        <f t="shared" si="1228"/>
        <v>2.5</v>
      </c>
      <c r="J1384" s="545">
        <f t="shared" si="1228"/>
        <v>2.5</v>
      </c>
      <c r="K1384" s="545">
        <f t="shared" si="1228"/>
        <v>2.5</v>
      </c>
      <c r="L1384" s="545">
        <f t="shared" si="1228"/>
        <v>2.5</v>
      </c>
      <c r="M1384" s="545">
        <f t="shared" si="1228"/>
        <v>2.5</v>
      </c>
      <c r="N1384" s="545">
        <f t="shared" si="1228"/>
        <v>2.5</v>
      </c>
      <c r="O1384" s="545">
        <f t="shared" si="1228"/>
        <v>2.5</v>
      </c>
      <c r="P1384" s="545">
        <f t="shared" si="1228"/>
        <v>2.5</v>
      </c>
      <c r="Q1384" s="545">
        <f t="shared" si="1228"/>
        <v>2.5</v>
      </c>
      <c r="R1384" s="545">
        <f t="shared" si="1228"/>
        <v>2.5</v>
      </c>
      <c r="S1384" s="545">
        <f t="shared" si="1228"/>
        <v>2.5</v>
      </c>
      <c r="T1384" s="545">
        <f t="shared" si="1228"/>
        <v>2.5</v>
      </c>
      <c r="U1384" s="545">
        <f t="shared" si="1228"/>
        <v>2.5</v>
      </c>
      <c r="V1384" s="545">
        <f t="shared" si="1228"/>
        <v>2.5</v>
      </c>
      <c r="W1384" s="545">
        <f t="shared" si="1228"/>
        <v>2.5</v>
      </c>
      <c r="X1384" s="545">
        <f t="shared" si="1228"/>
        <v>2.5</v>
      </c>
      <c r="Y1384" s="545">
        <f t="shared" si="1228"/>
        <v>2.5</v>
      </c>
      <c r="Z1384" s="545">
        <f t="shared" si="1228"/>
        <v>2.5</v>
      </c>
      <c r="AA1384" s="545">
        <f t="shared" si="1228"/>
        <v>2.5</v>
      </c>
      <c r="AB1384" s="545">
        <f t="shared" si="1228"/>
        <v>2.5</v>
      </c>
      <c r="AC1384" s="545">
        <f t="shared" si="1228"/>
        <v>2.5</v>
      </c>
      <c r="AD1384" s="545">
        <f t="shared" si="1228"/>
        <v>2.5</v>
      </c>
      <c r="AE1384" s="545">
        <f t="shared" si="1228"/>
        <v>2.5</v>
      </c>
      <c r="AF1384" s="545">
        <f t="shared" si="1228"/>
        <v>2.5</v>
      </c>
      <c r="AG1384" s="546"/>
      <c r="AH1384" s="619"/>
      <c r="AI1384" s="546"/>
      <c r="AJ1384" s="546"/>
      <c r="AK1384" s="531"/>
      <c r="AL1384" s="546"/>
      <c r="AM1384" s="548"/>
      <c r="AN1384" s="540"/>
      <c r="AO1384" s="546"/>
      <c r="AP1384" s="549"/>
      <c r="AQ1384" s="549"/>
    </row>
    <row r="1385" spans="1:43" s="564" customFormat="1" ht="16.5" hidden="1" customHeight="1" outlineLevel="1" collapsed="1">
      <c r="A1385" s="584"/>
      <c r="B1385" s="576" t="s">
        <v>887</v>
      </c>
      <c r="C1385" s="577">
        <f>SUM(C1386)*12/10^3</f>
        <v>23.810065809600005</v>
      </c>
      <c r="D1385" s="577">
        <f t="shared" ref="D1385" si="1229">SUM(D1386)*12/10^3</f>
        <v>23.810065809600005</v>
      </c>
      <c r="E1385" s="577">
        <f t="shared" ref="E1385:AF1385" si="1230">SUM(E1386)*12/10^3</f>
        <v>23.810065809600005</v>
      </c>
      <c r="F1385" s="577">
        <f t="shared" si="1230"/>
        <v>23.810065809600005</v>
      </c>
      <c r="G1385" s="577">
        <f t="shared" si="1230"/>
        <v>23.810065809600005</v>
      </c>
      <c r="H1385" s="577">
        <f t="shared" si="1230"/>
        <v>23.810065809600005</v>
      </c>
      <c r="I1385" s="577">
        <f t="shared" si="1230"/>
        <v>23.810065809600005</v>
      </c>
      <c r="J1385" s="577">
        <f t="shared" si="1230"/>
        <v>23.810065809600005</v>
      </c>
      <c r="K1385" s="577">
        <f t="shared" si="1230"/>
        <v>23.810065809600005</v>
      </c>
      <c r="L1385" s="577">
        <f t="shared" si="1230"/>
        <v>23.810065809600005</v>
      </c>
      <c r="M1385" s="577">
        <f t="shared" si="1230"/>
        <v>23.810065809600005</v>
      </c>
      <c r="N1385" s="577">
        <f t="shared" si="1230"/>
        <v>23.810065809600005</v>
      </c>
      <c r="O1385" s="577">
        <f t="shared" si="1230"/>
        <v>23.810065809600005</v>
      </c>
      <c r="P1385" s="577">
        <f t="shared" si="1230"/>
        <v>23.810065809600005</v>
      </c>
      <c r="Q1385" s="577">
        <f t="shared" si="1230"/>
        <v>23.810065809600005</v>
      </c>
      <c r="R1385" s="577">
        <f t="shared" si="1230"/>
        <v>23.810065809600005</v>
      </c>
      <c r="S1385" s="577">
        <f t="shared" si="1230"/>
        <v>23.810065809600005</v>
      </c>
      <c r="T1385" s="577">
        <f t="shared" si="1230"/>
        <v>23.810065809600005</v>
      </c>
      <c r="U1385" s="577">
        <f t="shared" si="1230"/>
        <v>23.810065809600005</v>
      </c>
      <c r="V1385" s="577">
        <f t="shared" si="1230"/>
        <v>23.810065809600005</v>
      </c>
      <c r="W1385" s="577">
        <f t="shared" si="1230"/>
        <v>23.810065809600005</v>
      </c>
      <c r="X1385" s="577">
        <f t="shared" si="1230"/>
        <v>23.810065809600005</v>
      </c>
      <c r="Y1385" s="577">
        <f t="shared" si="1230"/>
        <v>23.810065809600005</v>
      </c>
      <c r="Z1385" s="577">
        <f t="shared" si="1230"/>
        <v>23.810065809600005</v>
      </c>
      <c r="AA1385" s="577">
        <f t="shared" si="1230"/>
        <v>23.810065809600005</v>
      </c>
      <c r="AB1385" s="577">
        <f t="shared" si="1230"/>
        <v>23.810065809600005</v>
      </c>
      <c r="AC1385" s="577">
        <f t="shared" si="1230"/>
        <v>23.810065809600005</v>
      </c>
      <c r="AD1385" s="577">
        <f t="shared" si="1230"/>
        <v>23.810065809600005</v>
      </c>
      <c r="AE1385" s="577">
        <f t="shared" si="1230"/>
        <v>23.810065809600005</v>
      </c>
      <c r="AF1385" s="577">
        <f t="shared" si="1230"/>
        <v>23.810065809600005</v>
      </c>
      <c r="AH1385" s="578">
        <f>SUM(C1385:AF1385)</f>
        <v>714.30197428800045</v>
      </c>
      <c r="AJ1385" s="566"/>
      <c r="AK1385" s="531"/>
      <c r="AM1385" s="594"/>
      <c r="AN1385" s="535"/>
      <c r="AP1385" s="568"/>
      <c r="AQ1385" s="568"/>
    </row>
    <row r="1386" spans="1:43" s="634" customFormat="1" ht="16.5" hidden="1" customHeight="1" outlineLevel="2">
      <c r="A1386" s="584"/>
      <c r="B1386" s="580" t="s">
        <v>882</v>
      </c>
      <c r="C1386" s="637">
        <f>C1387*C1388</f>
        <v>1984.1721508000003</v>
      </c>
      <c r="D1386" s="637">
        <f t="shared" ref="D1386:AF1386" si="1231">D1387*D1388</f>
        <v>1984.1721508000003</v>
      </c>
      <c r="E1386" s="637">
        <f t="shared" si="1231"/>
        <v>1984.1721508000003</v>
      </c>
      <c r="F1386" s="637">
        <f t="shared" si="1231"/>
        <v>1984.1721508000003</v>
      </c>
      <c r="G1386" s="637">
        <f t="shared" si="1231"/>
        <v>1984.1721508000003</v>
      </c>
      <c r="H1386" s="637">
        <f t="shared" si="1231"/>
        <v>1984.1721508000003</v>
      </c>
      <c r="I1386" s="637">
        <f t="shared" si="1231"/>
        <v>1984.1721508000003</v>
      </c>
      <c r="J1386" s="637">
        <f t="shared" si="1231"/>
        <v>1984.1721508000003</v>
      </c>
      <c r="K1386" s="637">
        <f t="shared" si="1231"/>
        <v>1984.1721508000003</v>
      </c>
      <c r="L1386" s="637">
        <f t="shared" si="1231"/>
        <v>1984.1721508000003</v>
      </c>
      <c r="M1386" s="637">
        <f t="shared" si="1231"/>
        <v>1984.1721508000003</v>
      </c>
      <c r="N1386" s="637">
        <f t="shared" si="1231"/>
        <v>1984.1721508000003</v>
      </c>
      <c r="O1386" s="637">
        <f t="shared" si="1231"/>
        <v>1984.1721508000003</v>
      </c>
      <c r="P1386" s="637">
        <f t="shared" si="1231"/>
        <v>1984.1721508000003</v>
      </c>
      <c r="Q1386" s="637">
        <f t="shared" si="1231"/>
        <v>1984.1721508000003</v>
      </c>
      <c r="R1386" s="637">
        <f t="shared" si="1231"/>
        <v>1984.1721508000003</v>
      </c>
      <c r="S1386" s="637">
        <f t="shared" si="1231"/>
        <v>1984.1721508000003</v>
      </c>
      <c r="T1386" s="637">
        <f t="shared" si="1231"/>
        <v>1984.1721508000003</v>
      </c>
      <c r="U1386" s="637">
        <f t="shared" si="1231"/>
        <v>1984.1721508000003</v>
      </c>
      <c r="V1386" s="637">
        <f t="shared" si="1231"/>
        <v>1984.1721508000003</v>
      </c>
      <c r="W1386" s="637">
        <f t="shared" si="1231"/>
        <v>1984.1721508000003</v>
      </c>
      <c r="X1386" s="637">
        <f t="shared" si="1231"/>
        <v>1984.1721508000003</v>
      </c>
      <c r="Y1386" s="637">
        <f t="shared" si="1231"/>
        <v>1984.1721508000003</v>
      </c>
      <c r="Z1386" s="637">
        <f t="shared" si="1231"/>
        <v>1984.1721508000003</v>
      </c>
      <c r="AA1386" s="637">
        <f t="shared" si="1231"/>
        <v>1984.1721508000003</v>
      </c>
      <c r="AB1386" s="637">
        <f t="shared" si="1231"/>
        <v>1984.1721508000003</v>
      </c>
      <c r="AC1386" s="637">
        <f t="shared" si="1231"/>
        <v>1984.1721508000003</v>
      </c>
      <c r="AD1386" s="637">
        <f t="shared" si="1231"/>
        <v>1984.1721508000003</v>
      </c>
      <c r="AE1386" s="637">
        <f t="shared" si="1231"/>
        <v>1984.1721508000003</v>
      </c>
      <c r="AF1386" s="637">
        <f t="shared" si="1231"/>
        <v>1984.1721508000003</v>
      </c>
      <c r="AH1386" s="635"/>
      <c r="AK1386" s="588"/>
      <c r="AM1386" s="624"/>
      <c r="AN1386" s="590"/>
      <c r="AP1386" s="636"/>
      <c r="AQ1386" s="636"/>
    </row>
    <row r="1387" spans="1:43" s="586" customFormat="1" ht="16.5" hidden="1" customHeight="1" outlineLevel="2">
      <c r="A1387" s="584"/>
      <c r="B1387" s="585" t="s">
        <v>805</v>
      </c>
      <c r="C1387" s="721">
        <f>C1383</f>
        <v>1</v>
      </c>
      <c r="D1387" s="721">
        <f t="shared" ref="D1387:AG1387" si="1232">D1383</f>
        <v>1</v>
      </c>
      <c r="E1387" s="721">
        <f t="shared" si="1232"/>
        <v>1</v>
      </c>
      <c r="F1387" s="721">
        <f t="shared" si="1232"/>
        <v>1</v>
      </c>
      <c r="G1387" s="721">
        <f t="shared" si="1232"/>
        <v>1</v>
      </c>
      <c r="H1387" s="721">
        <f t="shared" si="1232"/>
        <v>1</v>
      </c>
      <c r="I1387" s="721">
        <f t="shared" si="1232"/>
        <v>1</v>
      </c>
      <c r="J1387" s="721">
        <f t="shared" si="1232"/>
        <v>1</v>
      </c>
      <c r="K1387" s="721">
        <f t="shared" si="1232"/>
        <v>1</v>
      </c>
      <c r="L1387" s="721">
        <f t="shared" si="1232"/>
        <v>1</v>
      </c>
      <c r="M1387" s="721">
        <f t="shared" si="1232"/>
        <v>1</v>
      </c>
      <c r="N1387" s="721">
        <f t="shared" si="1232"/>
        <v>1</v>
      </c>
      <c r="O1387" s="721">
        <f t="shared" si="1232"/>
        <v>1</v>
      </c>
      <c r="P1387" s="721">
        <f t="shared" si="1232"/>
        <v>1</v>
      </c>
      <c r="Q1387" s="721">
        <f t="shared" si="1232"/>
        <v>1</v>
      </c>
      <c r="R1387" s="721">
        <f t="shared" si="1232"/>
        <v>1</v>
      </c>
      <c r="S1387" s="721">
        <f t="shared" si="1232"/>
        <v>1</v>
      </c>
      <c r="T1387" s="721">
        <f t="shared" si="1232"/>
        <v>1</v>
      </c>
      <c r="U1387" s="721">
        <f t="shared" si="1232"/>
        <v>1</v>
      </c>
      <c r="V1387" s="721">
        <f t="shared" si="1232"/>
        <v>1</v>
      </c>
      <c r="W1387" s="721">
        <f t="shared" si="1232"/>
        <v>1</v>
      </c>
      <c r="X1387" s="721">
        <f t="shared" si="1232"/>
        <v>1</v>
      </c>
      <c r="Y1387" s="721">
        <f t="shared" si="1232"/>
        <v>1</v>
      </c>
      <c r="Z1387" s="721">
        <f t="shared" si="1232"/>
        <v>1</v>
      </c>
      <c r="AA1387" s="721">
        <f t="shared" si="1232"/>
        <v>1</v>
      </c>
      <c r="AB1387" s="721">
        <f t="shared" si="1232"/>
        <v>1</v>
      </c>
      <c r="AC1387" s="721">
        <f>AC1383</f>
        <v>1</v>
      </c>
      <c r="AD1387" s="721">
        <f t="shared" si="1232"/>
        <v>1</v>
      </c>
      <c r="AE1387" s="721">
        <f t="shared" si="1232"/>
        <v>1</v>
      </c>
      <c r="AF1387" s="721">
        <f t="shared" si="1232"/>
        <v>1</v>
      </c>
      <c r="AG1387" s="632">
        <f t="shared" si="1232"/>
        <v>0</v>
      </c>
      <c r="AH1387" s="587"/>
      <c r="AK1387" s="588"/>
      <c r="AM1387" s="624"/>
      <c r="AN1387" s="590"/>
      <c r="AP1387" s="591"/>
      <c r="AQ1387" s="591"/>
    </row>
    <row r="1388" spans="1:43" s="586" customFormat="1" ht="16.5" hidden="1" customHeight="1" outlineLevel="2">
      <c r="A1388" s="584"/>
      <c r="B1388" s="585" t="s">
        <v>888</v>
      </c>
      <c r="C1388" s="632">
        <f>Insumos!$E$174</f>
        <v>1984.1721508000003</v>
      </c>
      <c r="D1388" s="632">
        <f>C1388</f>
        <v>1984.1721508000003</v>
      </c>
      <c r="E1388" s="632">
        <f t="shared" ref="E1388:AF1388" si="1233">D1388</f>
        <v>1984.1721508000003</v>
      </c>
      <c r="F1388" s="632">
        <f t="shared" si="1233"/>
        <v>1984.1721508000003</v>
      </c>
      <c r="G1388" s="632">
        <f t="shared" si="1233"/>
        <v>1984.1721508000003</v>
      </c>
      <c r="H1388" s="632">
        <f t="shared" si="1233"/>
        <v>1984.1721508000003</v>
      </c>
      <c r="I1388" s="632">
        <f t="shared" si="1233"/>
        <v>1984.1721508000003</v>
      </c>
      <c r="J1388" s="632">
        <f t="shared" si="1233"/>
        <v>1984.1721508000003</v>
      </c>
      <c r="K1388" s="632">
        <f t="shared" si="1233"/>
        <v>1984.1721508000003</v>
      </c>
      <c r="L1388" s="632">
        <f t="shared" si="1233"/>
        <v>1984.1721508000003</v>
      </c>
      <c r="M1388" s="632">
        <f t="shared" si="1233"/>
        <v>1984.1721508000003</v>
      </c>
      <c r="N1388" s="632">
        <f t="shared" si="1233"/>
        <v>1984.1721508000003</v>
      </c>
      <c r="O1388" s="632">
        <f t="shared" si="1233"/>
        <v>1984.1721508000003</v>
      </c>
      <c r="P1388" s="632">
        <f t="shared" si="1233"/>
        <v>1984.1721508000003</v>
      </c>
      <c r="Q1388" s="632">
        <f t="shared" si="1233"/>
        <v>1984.1721508000003</v>
      </c>
      <c r="R1388" s="632">
        <f t="shared" si="1233"/>
        <v>1984.1721508000003</v>
      </c>
      <c r="S1388" s="632">
        <f t="shared" si="1233"/>
        <v>1984.1721508000003</v>
      </c>
      <c r="T1388" s="632">
        <f t="shared" si="1233"/>
        <v>1984.1721508000003</v>
      </c>
      <c r="U1388" s="632">
        <f t="shared" si="1233"/>
        <v>1984.1721508000003</v>
      </c>
      <c r="V1388" s="632">
        <f t="shared" si="1233"/>
        <v>1984.1721508000003</v>
      </c>
      <c r="W1388" s="632">
        <f t="shared" si="1233"/>
        <v>1984.1721508000003</v>
      </c>
      <c r="X1388" s="632">
        <f t="shared" si="1233"/>
        <v>1984.1721508000003</v>
      </c>
      <c r="Y1388" s="632">
        <f t="shared" si="1233"/>
        <v>1984.1721508000003</v>
      </c>
      <c r="Z1388" s="632">
        <f t="shared" si="1233"/>
        <v>1984.1721508000003</v>
      </c>
      <c r="AA1388" s="632">
        <f t="shared" si="1233"/>
        <v>1984.1721508000003</v>
      </c>
      <c r="AB1388" s="632">
        <f t="shared" si="1233"/>
        <v>1984.1721508000003</v>
      </c>
      <c r="AC1388" s="632">
        <f t="shared" si="1233"/>
        <v>1984.1721508000003</v>
      </c>
      <c r="AD1388" s="632">
        <f t="shared" si="1233"/>
        <v>1984.1721508000003</v>
      </c>
      <c r="AE1388" s="632">
        <f t="shared" si="1233"/>
        <v>1984.1721508000003</v>
      </c>
      <c r="AF1388" s="632">
        <f t="shared" si="1233"/>
        <v>1984.1721508000003</v>
      </c>
      <c r="AH1388" s="587"/>
      <c r="AK1388" s="588"/>
      <c r="AM1388" s="624"/>
      <c r="AN1388" s="590"/>
      <c r="AP1388" s="591"/>
      <c r="AQ1388" s="591"/>
    </row>
    <row r="1389" spans="1:43" s="564" customFormat="1" ht="16.5" hidden="1" customHeight="1" outlineLevel="1" collapsed="1">
      <c r="A1389" s="584"/>
      <c r="B1389" s="576" t="s">
        <v>890</v>
      </c>
      <c r="C1389" s="577">
        <f>SUM(C1390)*12/10^3</f>
        <v>0</v>
      </c>
      <c r="D1389" s="577">
        <f t="shared" ref="D1389:AF1389" si="1234">SUM(D1390)*12/10^3</f>
        <v>0</v>
      </c>
      <c r="E1389" s="577">
        <f t="shared" si="1234"/>
        <v>0</v>
      </c>
      <c r="F1389" s="577">
        <f t="shared" si="1234"/>
        <v>0</v>
      </c>
      <c r="G1389" s="577">
        <f t="shared" si="1234"/>
        <v>0</v>
      </c>
      <c r="H1389" s="577">
        <f t="shared" si="1234"/>
        <v>0</v>
      </c>
      <c r="I1389" s="577">
        <f t="shared" si="1234"/>
        <v>0</v>
      </c>
      <c r="J1389" s="577">
        <f t="shared" si="1234"/>
        <v>0</v>
      </c>
      <c r="K1389" s="577">
        <f t="shared" si="1234"/>
        <v>0</v>
      </c>
      <c r="L1389" s="577">
        <f t="shared" si="1234"/>
        <v>0</v>
      </c>
      <c r="M1389" s="577">
        <f t="shared" si="1234"/>
        <v>0</v>
      </c>
      <c r="N1389" s="577">
        <f t="shared" si="1234"/>
        <v>0</v>
      </c>
      <c r="O1389" s="577">
        <f t="shared" si="1234"/>
        <v>0</v>
      </c>
      <c r="P1389" s="577">
        <f t="shared" si="1234"/>
        <v>0</v>
      </c>
      <c r="Q1389" s="577">
        <f t="shared" si="1234"/>
        <v>0</v>
      </c>
      <c r="R1389" s="577">
        <f t="shared" si="1234"/>
        <v>0</v>
      </c>
      <c r="S1389" s="577">
        <f t="shared" si="1234"/>
        <v>0</v>
      </c>
      <c r="T1389" s="577">
        <f t="shared" si="1234"/>
        <v>0</v>
      </c>
      <c r="U1389" s="577">
        <f t="shared" si="1234"/>
        <v>0</v>
      </c>
      <c r="V1389" s="577">
        <f t="shared" si="1234"/>
        <v>0</v>
      </c>
      <c r="W1389" s="577">
        <f t="shared" si="1234"/>
        <v>0</v>
      </c>
      <c r="X1389" s="577">
        <f t="shared" si="1234"/>
        <v>0</v>
      </c>
      <c r="Y1389" s="577">
        <f t="shared" si="1234"/>
        <v>0</v>
      </c>
      <c r="Z1389" s="577">
        <f t="shared" si="1234"/>
        <v>0</v>
      </c>
      <c r="AA1389" s="577">
        <f t="shared" si="1234"/>
        <v>0</v>
      </c>
      <c r="AB1389" s="577">
        <f t="shared" si="1234"/>
        <v>0</v>
      </c>
      <c r="AC1389" s="577">
        <f t="shared" si="1234"/>
        <v>0</v>
      </c>
      <c r="AD1389" s="577">
        <f t="shared" si="1234"/>
        <v>0</v>
      </c>
      <c r="AE1389" s="577">
        <f t="shared" si="1234"/>
        <v>0</v>
      </c>
      <c r="AF1389" s="577">
        <f t="shared" si="1234"/>
        <v>0</v>
      </c>
      <c r="AH1389" s="578">
        <f>SUM(C1389:AF1389)</f>
        <v>0</v>
      </c>
      <c r="AJ1389" s="579"/>
      <c r="AK1389" s="531"/>
      <c r="AM1389" s="594"/>
      <c r="AN1389" s="535"/>
      <c r="AP1389" s="568"/>
      <c r="AQ1389" s="568"/>
    </row>
    <row r="1390" spans="1:43" s="546" customFormat="1" ht="16.5" hidden="1" customHeight="1" outlineLevel="2">
      <c r="A1390" s="584"/>
      <c r="B1390" s="569" t="s">
        <v>862</v>
      </c>
      <c r="C1390" s="581">
        <f>C1391*C1392*C1393</f>
        <v>0</v>
      </c>
      <c r="D1390" s="581">
        <f t="shared" ref="D1390:AF1390" si="1235">D1391*D1392*D1393</f>
        <v>0</v>
      </c>
      <c r="E1390" s="581">
        <f t="shared" si="1235"/>
        <v>0</v>
      </c>
      <c r="F1390" s="581">
        <f t="shared" si="1235"/>
        <v>0</v>
      </c>
      <c r="G1390" s="581">
        <f t="shared" si="1235"/>
        <v>0</v>
      </c>
      <c r="H1390" s="581">
        <f t="shared" si="1235"/>
        <v>0</v>
      </c>
      <c r="I1390" s="581">
        <f t="shared" si="1235"/>
        <v>0</v>
      </c>
      <c r="J1390" s="581">
        <f t="shared" si="1235"/>
        <v>0</v>
      </c>
      <c r="K1390" s="581">
        <f t="shared" si="1235"/>
        <v>0</v>
      </c>
      <c r="L1390" s="581">
        <f t="shared" si="1235"/>
        <v>0</v>
      </c>
      <c r="M1390" s="581">
        <f t="shared" si="1235"/>
        <v>0</v>
      </c>
      <c r="N1390" s="581">
        <f t="shared" si="1235"/>
        <v>0</v>
      </c>
      <c r="O1390" s="581">
        <f t="shared" si="1235"/>
        <v>0</v>
      </c>
      <c r="P1390" s="581">
        <f t="shared" si="1235"/>
        <v>0</v>
      </c>
      <c r="Q1390" s="581">
        <f t="shared" si="1235"/>
        <v>0</v>
      </c>
      <c r="R1390" s="581">
        <f t="shared" si="1235"/>
        <v>0</v>
      </c>
      <c r="S1390" s="581">
        <f t="shared" si="1235"/>
        <v>0</v>
      </c>
      <c r="T1390" s="581">
        <f t="shared" si="1235"/>
        <v>0</v>
      </c>
      <c r="U1390" s="581">
        <f t="shared" si="1235"/>
        <v>0</v>
      </c>
      <c r="V1390" s="581">
        <f t="shared" si="1235"/>
        <v>0</v>
      </c>
      <c r="W1390" s="581">
        <f t="shared" si="1235"/>
        <v>0</v>
      </c>
      <c r="X1390" s="581">
        <f t="shared" si="1235"/>
        <v>0</v>
      </c>
      <c r="Y1390" s="581">
        <f t="shared" si="1235"/>
        <v>0</v>
      </c>
      <c r="Z1390" s="581">
        <f t="shared" si="1235"/>
        <v>0</v>
      </c>
      <c r="AA1390" s="581">
        <f t="shared" si="1235"/>
        <v>0</v>
      </c>
      <c r="AB1390" s="581">
        <f t="shared" si="1235"/>
        <v>0</v>
      </c>
      <c r="AC1390" s="581">
        <f t="shared" si="1235"/>
        <v>0</v>
      </c>
      <c r="AD1390" s="581">
        <f t="shared" si="1235"/>
        <v>0</v>
      </c>
      <c r="AE1390" s="581">
        <f t="shared" si="1235"/>
        <v>0</v>
      </c>
      <c r="AF1390" s="581">
        <f t="shared" si="1235"/>
        <v>0</v>
      </c>
      <c r="AH1390" s="571"/>
      <c r="AK1390" s="531"/>
      <c r="AM1390" s="594"/>
      <c r="AN1390" s="535"/>
      <c r="AP1390" s="549"/>
      <c r="AQ1390" s="549"/>
    </row>
    <row r="1391" spans="1:43" s="513" customFormat="1" ht="16.5" hidden="1" customHeight="1" outlineLevel="2">
      <c r="A1391" s="584"/>
      <c r="B1391" s="572" t="s">
        <v>891</v>
      </c>
      <c r="C1391" s="574">
        <v>0</v>
      </c>
      <c r="D1391" s="574">
        <f>C1391</f>
        <v>0</v>
      </c>
      <c r="E1391" s="574">
        <f t="shared" ref="E1391:T1393" si="1236">D1391</f>
        <v>0</v>
      </c>
      <c r="F1391" s="574">
        <f t="shared" si="1236"/>
        <v>0</v>
      </c>
      <c r="G1391" s="574">
        <f t="shared" si="1236"/>
        <v>0</v>
      </c>
      <c r="H1391" s="574">
        <f t="shared" si="1236"/>
        <v>0</v>
      </c>
      <c r="I1391" s="574">
        <f t="shared" si="1236"/>
        <v>0</v>
      </c>
      <c r="J1391" s="574">
        <f t="shared" si="1236"/>
        <v>0</v>
      </c>
      <c r="K1391" s="574">
        <f t="shared" si="1236"/>
        <v>0</v>
      </c>
      <c r="L1391" s="574">
        <f t="shared" si="1236"/>
        <v>0</v>
      </c>
      <c r="M1391" s="574">
        <f t="shared" si="1236"/>
        <v>0</v>
      </c>
      <c r="N1391" s="574">
        <f t="shared" si="1236"/>
        <v>0</v>
      </c>
      <c r="O1391" s="574">
        <f t="shared" si="1236"/>
        <v>0</v>
      </c>
      <c r="P1391" s="574">
        <f t="shared" si="1236"/>
        <v>0</v>
      </c>
      <c r="Q1391" s="574">
        <f t="shared" si="1236"/>
        <v>0</v>
      </c>
      <c r="R1391" s="574">
        <f t="shared" si="1236"/>
        <v>0</v>
      </c>
      <c r="S1391" s="574">
        <f t="shared" si="1236"/>
        <v>0</v>
      </c>
      <c r="T1391" s="574">
        <f t="shared" si="1236"/>
        <v>0</v>
      </c>
      <c r="U1391" s="574">
        <f t="shared" ref="U1391:AF1393" si="1237">T1391</f>
        <v>0</v>
      </c>
      <c r="V1391" s="574">
        <f t="shared" si="1237"/>
        <v>0</v>
      </c>
      <c r="W1391" s="574">
        <f t="shared" si="1237"/>
        <v>0</v>
      </c>
      <c r="X1391" s="574">
        <f t="shared" si="1237"/>
        <v>0</v>
      </c>
      <c r="Y1391" s="574">
        <f t="shared" si="1237"/>
        <v>0</v>
      </c>
      <c r="Z1391" s="574">
        <f t="shared" si="1237"/>
        <v>0</v>
      </c>
      <c r="AA1391" s="574">
        <f t="shared" si="1237"/>
        <v>0</v>
      </c>
      <c r="AB1391" s="574">
        <f t="shared" si="1237"/>
        <v>0</v>
      </c>
      <c r="AC1391" s="574">
        <f t="shared" si="1237"/>
        <v>0</v>
      </c>
      <c r="AD1391" s="574">
        <f t="shared" si="1237"/>
        <v>0</v>
      </c>
      <c r="AE1391" s="574">
        <f t="shared" si="1237"/>
        <v>0</v>
      </c>
      <c r="AF1391" s="574">
        <f t="shared" si="1237"/>
        <v>0</v>
      </c>
      <c r="AH1391" s="538"/>
      <c r="AK1391" s="531"/>
      <c r="AM1391" s="594"/>
      <c r="AN1391" s="535"/>
      <c r="AP1391" s="540"/>
      <c r="AQ1391" s="540"/>
    </row>
    <row r="1392" spans="1:43" s="513" customFormat="1" ht="16.5" hidden="1" customHeight="1" outlineLevel="2">
      <c r="A1392" s="584"/>
      <c r="B1392" s="572" t="s">
        <v>805</v>
      </c>
      <c r="C1392" s="574">
        <v>0</v>
      </c>
      <c r="D1392" s="574">
        <f>C1392</f>
        <v>0</v>
      </c>
      <c r="E1392" s="574">
        <f t="shared" si="1236"/>
        <v>0</v>
      </c>
      <c r="F1392" s="574">
        <f t="shared" si="1236"/>
        <v>0</v>
      </c>
      <c r="G1392" s="574">
        <f t="shared" si="1236"/>
        <v>0</v>
      </c>
      <c r="H1392" s="574">
        <f t="shared" si="1236"/>
        <v>0</v>
      </c>
      <c r="I1392" s="574">
        <f t="shared" si="1236"/>
        <v>0</v>
      </c>
      <c r="J1392" s="574">
        <f t="shared" si="1236"/>
        <v>0</v>
      </c>
      <c r="K1392" s="574">
        <f t="shared" si="1236"/>
        <v>0</v>
      </c>
      <c r="L1392" s="574">
        <f t="shared" si="1236"/>
        <v>0</v>
      </c>
      <c r="M1392" s="574">
        <f t="shared" si="1236"/>
        <v>0</v>
      </c>
      <c r="N1392" s="574">
        <f t="shared" si="1236"/>
        <v>0</v>
      </c>
      <c r="O1392" s="574">
        <f t="shared" si="1236"/>
        <v>0</v>
      </c>
      <c r="P1392" s="574">
        <f t="shared" si="1236"/>
        <v>0</v>
      </c>
      <c r="Q1392" s="574">
        <f t="shared" si="1236"/>
        <v>0</v>
      </c>
      <c r="R1392" s="574">
        <f t="shared" si="1236"/>
        <v>0</v>
      </c>
      <c r="S1392" s="574">
        <f t="shared" si="1236"/>
        <v>0</v>
      </c>
      <c r="T1392" s="574">
        <f t="shared" si="1236"/>
        <v>0</v>
      </c>
      <c r="U1392" s="574">
        <f t="shared" si="1237"/>
        <v>0</v>
      </c>
      <c r="V1392" s="574">
        <f t="shared" si="1237"/>
        <v>0</v>
      </c>
      <c r="W1392" s="574">
        <f t="shared" si="1237"/>
        <v>0</v>
      </c>
      <c r="X1392" s="574">
        <f t="shared" si="1237"/>
        <v>0</v>
      </c>
      <c r="Y1392" s="574">
        <f t="shared" si="1237"/>
        <v>0</v>
      </c>
      <c r="Z1392" s="574">
        <f t="shared" si="1237"/>
        <v>0</v>
      </c>
      <c r="AA1392" s="574">
        <f t="shared" si="1237"/>
        <v>0</v>
      </c>
      <c r="AB1392" s="574">
        <f t="shared" si="1237"/>
        <v>0</v>
      </c>
      <c r="AC1392" s="574">
        <f t="shared" si="1237"/>
        <v>0</v>
      </c>
      <c r="AD1392" s="574">
        <f>AC1392</f>
        <v>0</v>
      </c>
      <c r="AE1392" s="574">
        <f t="shared" si="1237"/>
        <v>0</v>
      </c>
      <c r="AF1392" s="574">
        <f t="shared" si="1237"/>
        <v>0</v>
      </c>
      <c r="AH1392" s="538"/>
      <c r="AK1392" s="531"/>
      <c r="AM1392" s="594"/>
      <c r="AN1392" s="535"/>
      <c r="AP1392" s="540"/>
      <c r="AQ1392" s="540"/>
    </row>
    <row r="1393" spans="1:43" s="513" customFormat="1" ht="16.5" hidden="1" customHeight="1" outlineLevel="2">
      <c r="A1393" s="584"/>
      <c r="B1393" s="572" t="s">
        <v>888</v>
      </c>
      <c r="C1393" s="574">
        <v>0</v>
      </c>
      <c r="D1393" s="574">
        <f>C1393</f>
        <v>0</v>
      </c>
      <c r="E1393" s="574">
        <f t="shared" si="1236"/>
        <v>0</v>
      </c>
      <c r="F1393" s="574">
        <f t="shared" si="1236"/>
        <v>0</v>
      </c>
      <c r="G1393" s="574">
        <f t="shared" si="1236"/>
        <v>0</v>
      </c>
      <c r="H1393" s="574">
        <f t="shared" si="1236"/>
        <v>0</v>
      </c>
      <c r="I1393" s="574">
        <f t="shared" si="1236"/>
        <v>0</v>
      </c>
      <c r="J1393" s="574">
        <f t="shared" si="1236"/>
        <v>0</v>
      </c>
      <c r="K1393" s="574">
        <f t="shared" si="1236"/>
        <v>0</v>
      </c>
      <c r="L1393" s="574">
        <f t="shared" si="1236"/>
        <v>0</v>
      </c>
      <c r="M1393" s="574">
        <f t="shared" si="1236"/>
        <v>0</v>
      </c>
      <c r="N1393" s="574">
        <f t="shared" si="1236"/>
        <v>0</v>
      </c>
      <c r="O1393" s="574">
        <f t="shared" si="1236"/>
        <v>0</v>
      </c>
      <c r="P1393" s="574">
        <f t="shared" si="1236"/>
        <v>0</v>
      </c>
      <c r="Q1393" s="574">
        <f t="shared" si="1236"/>
        <v>0</v>
      </c>
      <c r="R1393" s="574">
        <f t="shared" si="1236"/>
        <v>0</v>
      </c>
      <c r="S1393" s="574">
        <f t="shared" si="1236"/>
        <v>0</v>
      </c>
      <c r="T1393" s="574">
        <f t="shared" si="1236"/>
        <v>0</v>
      </c>
      <c r="U1393" s="574">
        <f t="shared" si="1237"/>
        <v>0</v>
      </c>
      <c r="V1393" s="574">
        <f t="shared" si="1237"/>
        <v>0</v>
      </c>
      <c r="W1393" s="574">
        <f t="shared" si="1237"/>
        <v>0</v>
      </c>
      <c r="X1393" s="574">
        <f t="shared" si="1237"/>
        <v>0</v>
      </c>
      <c r="Y1393" s="574">
        <f t="shared" si="1237"/>
        <v>0</v>
      </c>
      <c r="Z1393" s="574">
        <f t="shared" si="1237"/>
        <v>0</v>
      </c>
      <c r="AA1393" s="574">
        <f t="shared" si="1237"/>
        <v>0</v>
      </c>
      <c r="AB1393" s="574">
        <f t="shared" si="1237"/>
        <v>0</v>
      </c>
      <c r="AC1393" s="574">
        <f t="shared" si="1237"/>
        <v>0</v>
      </c>
      <c r="AD1393" s="574">
        <f t="shared" si="1237"/>
        <v>0</v>
      </c>
      <c r="AE1393" s="574">
        <f t="shared" si="1237"/>
        <v>0</v>
      </c>
      <c r="AF1393" s="574">
        <f t="shared" si="1237"/>
        <v>0</v>
      </c>
      <c r="AH1393" s="538"/>
      <c r="AK1393" s="531"/>
      <c r="AM1393" s="594"/>
      <c r="AN1393" s="535"/>
      <c r="AP1393" s="540"/>
      <c r="AQ1393" s="540"/>
    </row>
    <row r="1394" spans="1:43" s="564" customFormat="1" ht="16.5" hidden="1" customHeight="1" outlineLevel="1" collapsed="1">
      <c r="A1394" s="584"/>
      <c r="B1394" s="576" t="s">
        <v>894</v>
      </c>
      <c r="C1394" s="577">
        <f>SUM(C1395)*12/10^3</f>
        <v>5.6380799999999995</v>
      </c>
      <c r="D1394" s="577">
        <f t="shared" ref="D1394:AF1394" si="1238">SUM(D1395)*12/10^3</f>
        <v>5.6380799999999995</v>
      </c>
      <c r="E1394" s="577">
        <f t="shared" si="1238"/>
        <v>5.6380799999999995</v>
      </c>
      <c r="F1394" s="577">
        <f t="shared" si="1238"/>
        <v>5.6380799999999995</v>
      </c>
      <c r="G1394" s="577">
        <f t="shared" si="1238"/>
        <v>5.6380799999999995</v>
      </c>
      <c r="H1394" s="577">
        <f t="shared" si="1238"/>
        <v>5.6380799999999995</v>
      </c>
      <c r="I1394" s="577">
        <f t="shared" si="1238"/>
        <v>5.6380799999999995</v>
      </c>
      <c r="J1394" s="577">
        <f t="shared" si="1238"/>
        <v>5.6380799999999995</v>
      </c>
      <c r="K1394" s="577">
        <f t="shared" si="1238"/>
        <v>5.6380799999999995</v>
      </c>
      <c r="L1394" s="577">
        <f t="shared" si="1238"/>
        <v>5.6380799999999995</v>
      </c>
      <c r="M1394" s="577">
        <f t="shared" si="1238"/>
        <v>5.6380799999999995</v>
      </c>
      <c r="N1394" s="577">
        <f t="shared" si="1238"/>
        <v>5.6380799999999995</v>
      </c>
      <c r="O1394" s="577">
        <f t="shared" si="1238"/>
        <v>5.6380799999999995</v>
      </c>
      <c r="P1394" s="577">
        <f t="shared" si="1238"/>
        <v>5.6380799999999995</v>
      </c>
      <c r="Q1394" s="577">
        <f t="shared" si="1238"/>
        <v>5.6380799999999995</v>
      </c>
      <c r="R1394" s="577">
        <f t="shared" si="1238"/>
        <v>5.6380799999999995</v>
      </c>
      <c r="S1394" s="577">
        <f t="shared" si="1238"/>
        <v>5.6380799999999995</v>
      </c>
      <c r="T1394" s="577">
        <f t="shared" si="1238"/>
        <v>5.6380799999999995</v>
      </c>
      <c r="U1394" s="577">
        <f t="shared" si="1238"/>
        <v>5.6380799999999995</v>
      </c>
      <c r="V1394" s="577">
        <f t="shared" si="1238"/>
        <v>5.6380799999999995</v>
      </c>
      <c r="W1394" s="577">
        <f t="shared" si="1238"/>
        <v>5.6380799999999995</v>
      </c>
      <c r="X1394" s="577">
        <f t="shared" si="1238"/>
        <v>5.6380799999999995</v>
      </c>
      <c r="Y1394" s="577">
        <f t="shared" si="1238"/>
        <v>5.6380799999999995</v>
      </c>
      <c r="Z1394" s="577">
        <f t="shared" si="1238"/>
        <v>5.6380799999999995</v>
      </c>
      <c r="AA1394" s="577">
        <f t="shared" si="1238"/>
        <v>5.6380799999999995</v>
      </c>
      <c r="AB1394" s="577">
        <f t="shared" si="1238"/>
        <v>5.6380799999999995</v>
      </c>
      <c r="AC1394" s="577">
        <f t="shared" si="1238"/>
        <v>5.6380799999999995</v>
      </c>
      <c r="AD1394" s="577">
        <f t="shared" si="1238"/>
        <v>5.6380799999999995</v>
      </c>
      <c r="AE1394" s="577">
        <f t="shared" si="1238"/>
        <v>5.6380799999999995</v>
      </c>
      <c r="AF1394" s="577">
        <f t="shared" si="1238"/>
        <v>5.6380799999999995</v>
      </c>
      <c r="AH1394" s="578">
        <f>SUM(C1394:AF1394)</f>
        <v>169.14240000000004</v>
      </c>
      <c r="AJ1394" s="579"/>
      <c r="AK1394" s="531"/>
      <c r="AM1394" s="594"/>
      <c r="AN1394" s="535"/>
      <c r="AP1394" s="568"/>
      <c r="AQ1394" s="568"/>
    </row>
    <row r="1395" spans="1:43" s="546" customFormat="1" ht="16.5" hidden="1" customHeight="1" outlineLevel="2">
      <c r="A1395" s="584"/>
      <c r="B1395" s="580" t="s">
        <v>882</v>
      </c>
      <c r="C1395" s="581">
        <f>C1396*(C1397/C1398)*C1399</f>
        <v>469.84000000000003</v>
      </c>
      <c r="D1395" s="581">
        <f>D1396*(D1397/D1398)*D1399</f>
        <v>469.84000000000003</v>
      </c>
      <c r="E1395" s="581">
        <f t="shared" ref="E1395:AF1395" si="1239">E1396*(E1397/E1398)*E1399</f>
        <v>469.84000000000003</v>
      </c>
      <c r="F1395" s="581">
        <f t="shared" si="1239"/>
        <v>469.84000000000003</v>
      </c>
      <c r="G1395" s="581">
        <f t="shared" si="1239"/>
        <v>469.84000000000003</v>
      </c>
      <c r="H1395" s="581">
        <f t="shared" si="1239"/>
        <v>469.84000000000003</v>
      </c>
      <c r="I1395" s="581">
        <f t="shared" si="1239"/>
        <v>469.84000000000003</v>
      </c>
      <c r="J1395" s="581">
        <f t="shared" si="1239"/>
        <v>469.84000000000003</v>
      </c>
      <c r="K1395" s="581">
        <f t="shared" si="1239"/>
        <v>469.84000000000003</v>
      </c>
      <c r="L1395" s="581">
        <f t="shared" si="1239"/>
        <v>469.84000000000003</v>
      </c>
      <c r="M1395" s="581">
        <f t="shared" si="1239"/>
        <v>469.84000000000003</v>
      </c>
      <c r="N1395" s="581">
        <f t="shared" si="1239"/>
        <v>469.84000000000003</v>
      </c>
      <c r="O1395" s="581">
        <f t="shared" si="1239"/>
        <v>469.84000000000003</v>
      </c>
      <c r="P1395" s="581">
        <f t="shared" si="1239"/>
        <v>469.84000000000003</v>
      </c>
      <c r="Q1395" s="581">
        <f t="shared" si="1239"/>
        <v>469.84000000000003</v>
      </c>
      <c r="R1395" s="581">
        <f t="shared" si="1239"/>
        <v>469.84000000000003</v>
      </c>
      <c r="S1395" s="581">
        <f t="shared" si="1239"/>
        <v>469.84000000000003</v>
      </c>
      <c r="T1395" s="581">
        <f t="shared" si="1239"/>
        <v>469.84000000000003</v>
      </c>
      <c r="U1395" s="581">
        <f t="shared" si="1239"/>
        <v>469.84000000000003</v>
      </c>
      <c r="V1395" s="581">
        <f t="shared" si="1239"/>
        <v>469.84000000000003</v>
      </c>
      <c r="W1395" s="581">
        <f t="shared" si="1239"/>
        <v>469.84000000000003</v>
      </c>
      <c r="X1395" s="581">
        <f t="shared" si="1239"/>
        <v>469.84000000000003</v>
      </c>
      <c r="Y1395" s="581">
        <f t="shared" si="1239"/>
        <v>469.84000000000003</v>
      </c>
      <c r="Z1395" s="581">
        <f t="shared" si="1239"/>
        <v>469.84000000000003</v>
      </c>
      <c r="AA1395" s="581">
        <f t="shared" si="1239"/>
        <v>469.84000000000003</v>
      </c>
      <c r="AB1395" s="581">
        <f t="shared" si="1239"/>
        <v>469.84000000000003</v>
      </c>
      <c r="AC1395" s="581">
        <f t="shared" si="1239"/>
        <v>469.84000000000003</v>
      </c>
      <c r="AD1395" s="581">
        <f t="shared" si="1239"/>
        <v>469.84000000000003</v>
      </c>
      <c r="AE1395" s="581">
        <f t="shared" si="1239"/>
        <v>469.84000000000003</v>
      </c>
      <c r="AF1395" s="581">
        <f t="shared" si="1239"/>
        <v>469.84000000000003</v>
      </c>
      <c r="AH1395" s="571"/>
      <c r="AK1395" s="531"/>
      <c r="AM1395" s="594"/>
      <c r="AN1395" s="535"/>
      <c r="AP1395" s="549"/>
      <c r="AQ1395" s="549"/>
    </row>
    <row r="1396" spans="1:43" s="513" customFormat="1" ht="16.5" hidden="1" customHeight="1" outlineLevel="2">
      <c r="A1396" s="584"/>
      <c r="B1396" s="572" t="s">
        <v>805</v>
      </c>
      <c r="C1396" s="643">
        <f>C1383</f>
        <v>1</v>
      </c>
      <c r="D1396" s="643">
        <f t="shared" ref="D1396:AF1396" si="1240">D1383</f>
        <v>1</v>
      </c>
      <c r="E1396" s="643">
        <f t="shared" si="1240"/>
        <v>1</v>
      </c>
      <c r="F1396" s="643">
        <f t="shared" si="1240"/>
        <v>1</v>
      </c>
      <c r="G1396" s="643">
        <f t="shared" si="1240"/>
        <v>1</v>
      </c>
      <c r="H1396" s="643">
        <f t="shared" si="1240"/>
        <v>1</v>
      </c>
      <c r="I1396" s="643">
        <f t="shared" si="1240"/>
        <v>1</v>
      </c>
      <c r="J1396" s="643">
        <f t="shared" si="1240"/>
        <v>1</v>
      </c>
      <c r="K1396" s="643">
        <f t="shared" si="1240"/>
        <v>1</v>
      </c>
      <c r="L1396" s="643">
        <f t="shared" si="1240"/>
        <v>1</v>
      </c>
      <c r="M1396" s="643">
        <f t="shared" si="1240"/>
        <v>1</v>
      </c>
      <c r="N1396" s="643">
        <f t="shared" si="1240"/>
        <v>1</v>
      </c>
      <c r="O1396" s="643">
        <f t="shared" si="1240"/>
        <v>1</v>
      </c>
      <c r="P1396" s="643">
        <f t="shared" si="1240"/>
        <v>1</v>
      </c>
      <c r="Q1396" s="643">
        <f t="shared" si="1240"/>
        <v>1</v>
      </c>
      <c r="R1396" s="643">
        <f t="shared" si="1240"/>
        <v>1</v>
      </c>
      <c r="S1396" s="643">
        <f t="shared" si="1240"/>
        <v>1</v>
      </c>
      <c r="T1396" s="643">
        <f t="shared" si="1240"/>
        <v>1</v>
      </c>
      <c r="U1396" s="643">
        <f t="shared" si="1240"/>
        <v>1</v>
      </c>
      <c r="V1396" s="643">
        <f t="shared" si="1240"/>
        <v>1</v>
      </c>
      <c r="W1396" s="643">
        <f t="shared" si="1240"/>
        <v>1</v>
      </c>
      <c r="X1396" s="643">
        <f t="shared" si="1240"/>
        <v>1</v>
      </c>
      <c r="Y1396" s="643">
        <f t="shared" si="1240"/>
        <v>1</v>
      </c>
      <c r="Z1396" s="643">
        <f t="shared" si="1240"/>
        <v>1</v>
      </c>
      <c r="AA1396" s="643">
        <f t="shared" si="1240"/>
        <v>1</v>
      </c>
      <c r="AB1396" s="643">
        <f t="shared" si="1240"/>
        <v>1</v>
      </c>
      <c r="AC1396" s="643">
        <f t="shared" si="1240"/>
        <v>1</v>
      </c>
      <c r="AD1396" s="643">
        <f t="shared" si="1240"/>
        <v>1</v>
      </c>
      <c r="AE1396" s="643">
        <f t="shared" si="1240"/>
        <v>1</v>
      </c>
      <c r="AF1396" s="643">
        <f t="shared" si="1240"/>
        <v>1</v>
      </c>
      <c r="AG1396" s="574"/>
      <c r="AH1396" s="538"/>
      <c r="AK1396" s="531"/>
      <c r="AM1396" s="594"/>
      <c r="AN1396" s="535"/>
      <c r="AP1396" s="540"/>
      <c r="AQ1396" s="540"/>
    </row>
    <row r="1397" spans="1:43" s="513" customFormat="1" ht="16.5" hidden="1" customHeight="1" outlineLevel="2">
      <c r="A1397" s="584"/>
      <c r="B1397" s="572" t="s">
        <v>895</v>
      </c>
      <c r="C1397" s="574">
        <f>35*1*25.17</f>
        <v>880.95</v>
      </c>
      <c r="D1397" s="574">
        <f>C1397</f>
        <v>880.95</v>
      </c>
      <c r="E1397" s="574">
        <f t="shared" ref="E1397:AF1397" si="1241">D1397</f>
        <v>880.95</v>
      </c>
      <c r="F1397" s="574">
        <f t="shared" si="1241"/>
        <v>880.95</v>
      </c>
      <c r="G1397" s="574">
        <f t="shared" si="1241"/>
        <v>880.95</v>
      </c>
      <c r="H1397" s="574">
        <f t="shared" si="1241"/>
        <v>880.95</v>
      </c>
      <c r="I1397" s="574">
        <f t="shared" si="1241"/>
        <v>880.95</v>
      </c>
      <c r="J1397" s="574">
        <f t="shared" si="1241"/>
        <v>880.95</v>
      </c>
      <c r="K1397" s="574">
        <f t="shared" si="1241"/>
        <v>880.95</v>
      </c>
      <c r="L1397" s="574">
        <f t="shared" si="1241"/>
        <v>880.95</v>
      </c>
      <c r="M1397" s="574">
        <f t="shared" si="1241"/>
        <v>880.95</v>
      </c>
      <c r="N1397" s="574">
        <f t="shared" si="1241"/>
        <v>880.95</v>
      </c>
      <c r="O1397" s="574">
        <f t="shared" si="1241"/>
        <v>880.95</v>
      </c>
      <c r="P1397" s="574">
        <f t="shared" si="1241"/>
        <v>880.95</v>
      </c>
      <c r="Q1397" s="574">
        <f t="shared" si="1241"/>
        <v>880.95</v>
      </c>
      <c r="R1397" s="574">
        <f t="shared" si="1241"/>
        <v>880.95</v>
      </c>
      <c r="S1397" s="574">
        <f t="shared" si="1241"/>
        <v>880.95</v>
      </c>
      <c r="T1397" s="574">
        <f t="shared" si="1241"/>
        <v>880.95</v>
      </c>
      <c r="U1397" s="574">
        <f t="shared" si="1241"/>
        <v>880.95</v>
      </c>
      <c r="V1397" s="574">
        <f t="shared" si="1241"/>
        <v>880.95</v>
      </c>
      <c r="W1397" s="574">
        <f t="shared" si="1241"/>
        <v>880.95</v>
      </c>
      <c r="X1397" s="574">
        <f t="shared" si="1241"/>
        <v>880.95</v>
      </c>
      <c r="Y1397" s="574">
        <f t="shared" si="1241"/>
        <v>880.95</v>
      </c>
      <c r="Z1397" s="574">
        <f t="shared" si="1241"/>
        <v>880.95</v>
      </c>
      <c r="AA1397" s="574">
        <f t="shared" si="1241"/>
        <v>880.95</v>
      </c>
      <c r="AB1397" s="574">
        <f t="shared" si="1241"/>
        <v>880.95</v>
      </c>
      <c r="AC1397" s="574">
        <f t="shared" si="1241"/>
        <v>880.95</v>
      </c>
      <c r="AD1397" s="574">
        <f t="shared" si="1241"/>
        <v>880.95</v>
      </c>
      <c r="AE1397" s="574">
        <f t="shared" si="1241"/>
        <v>880.95</v>
      </c>
      <c r="AF1397" s="574">
        <f t="shared" si="1241"/>
        <v>880.95</v>
      </c>
      <c r="AH1397" s="538"/>
      <c r="AK1397" s="531"/>
      <c r="AM1397" s="594"/>
      <c r="AN1397" s="535"/>
      <c r="AP1397" s="540"/>
      <c r="AQ1397" s="540"/>
    </row>
    <row r="1398" spans="1:43" s="513" customFormat="1" ht="16.5" hidden="1" customHeight="1" outlineLevel="2">
      <c r="A1398" s="584"/>
      <c r="B1398" s="572" t="s">
        <v>896</v>
      </c>
      <c r="C1398" s="574">
        <v>12.9</v>
      </c>
      <c r="D1398" s="574">
        <f>C1398</f>
        <v>12.9</v>
      </c>
      <c r="E1398" s="574">
        <f>D1398</f>
        <v>12.9</v>
      </c>
      <c r="F1398" s="574">
        <f t="shared" ref="F1398:U1399" si="1242">E1398</f>
        <v>12.9</v>
      </c>
      <c r="G1398" s="574">
        <f t="shared" si="1242"/>
        <v>12.9</v>
      </c>
      <c r="H1398" s="574">
        <f t="shared" si="1242"/>
        <v>12.9</v>
      </c>
      <c r="I1398" s="574">
        <f t="shared" si="1242"/>
        <v>12.9</v>
      </c>
      <c r="J1398" s="574">
        <f t="shared" si="1242"/>
        <v>12.9</v>
      </c>
      <c r="K1398" s="574">
        <f t="shared" si="1242"/>
        <v>12.9</v>
      </c>
      <c r="L1398" s="574">
        <f t="shared" si="1242"/>
        <v>12.9</v>
      </c>
      <c r="M1398" s="574">
        <f t="shared" si="1242"/>
        <v>12.9</v>
      </c>
      <c r="N1398" s="574">
        <f t="shared" si="1242"/>
        <v>12.9</v>
      </c>
      <c r="O1398" s="574">
        <f t="shared" si="1242"/>
        <v>12.9</v>
      </c>
      <c r="P1398" s="574">
        <f t="shared" si="1242"/>
        <v>12.9</v>
      </c>
      <c r="Q1398" s="574">
        <f t="shared" si="1242"/>
        <v>12.9</v>
      </c>
      <c r="R1398" s="574">
        <f t="shared" si="1242"/>
        <v>12.9</v>
      </c>
      <c r="S1398" s="574">
        <f t="shared" si="1242"/>
        <v>12.9</v>
      </c>
      <c r="T1398" s="574">
        <f t="shared" si="1242"/>
        <v>12.9</v>
      </c>
      <c r="U1398" s="574">
        <f t="shared" si="1242"/>
        <v>12.9</v>
      </c>
      <c r="V1398" s="574">
        <f t="shared" ref="V1398:AF1399" si="1243">U1398</f>
        <v>12.9</v>
      </c>
      <c r="W1398" s="574">
        <f t="shared" si="1243"/>
        <v>12.9</v>
      </c>
      <c r="X1398" s="574">
        <f t="shared" si="1243"/>
        <v>12.9</v>
      </c>
      <c r="Y1398" s="574">
        <f t="shared" si="1243"/>
        <v>12.9</v>
      </c>
      <c r="Z1398" s="574">
        <f t="shared" si="1243"/>
        <v>12.9</v>
      </c>
      <c r="AA1398" s="574">
        <f t="shared" si="1243"/>
        <v>12.9</v>
      </c>
      <c r="AB1398" s="574">
        <f t="shared" si="1243"/>
        <v>12.9</v>
      </c>
      <c r="AC1398" s="574">
        <f t="shared" si="1243"/>
        <v>12.9</v>
      </c>
      <c r="AD1398" s="574">
        <f t="shared" si="1243"/>
        <v>12.9</v>
      </c>
      <c r="AE1398" s="574">
        <f t="shared" si="1243"/>
        <v>12.9</v>
      </c>
      <c r="AF1398" s="574">
        <f t="shared" si="1243"/>
        <v>12.9</v>
      </c>
      <c r="AH1398" s="538"/>
      <c r="AK1398" s="531"/>
      <c r="AM1398" s="594"/>
      <c r="AN1398" s="535"/>
      <c r="AP1398" s="540"/>
      <c r="AQ1398" s="540"/>
    </row>
    <row r="1399" spans="1:43" s="513" customFormat="1" ht="16.5" hidden="1" customHeight="1" outlineLevel="2">
      <c r="A1399" s="584"/>
      <c r="B1399" s="572" t="s">
        <v>888</v>
      </c>
      <c r="C1399" s="574">
        <f>Insumos!$E$40</f>
        <v>6.88</v>
      </c>
      <c r="D1399" s="574">
        <f>C1399</f>
        <v>6.88</v>
      </c>
      <c r="E1399" s="574">
        <f t="shared" ref="E1399" si="1244">D1399</f>
        <v>6.88</v>
      </c>
      <c r="F1399" s="574">
        <f t="shared" si="1242"/>
        <v>6.88</v>
      </c>
      <c r="G1399" s="574">
        <f t="shared" si="1242"/>
        <v>6.88</v>
      </c>
      <c r="H1399" s="574">
        <f t="shared" si="1242"/>
        <v>6.88</v>
      </c>
      <c r="I1399" s="574">
        <f t="shared" si="1242"/>
        <v>6.88</v>
      </c>
      <c r="J1399" s="574">
        <f t="shared" si="1242"/>
        <v>6.88</v>
      </c>
      <c r="K1399" s="574">
        <f t="shared" si="1242"/>
        <v>6.88</v>
      </c>
      <c r="L1399" s="574">
        <f t="shared" si="1242"/>
        <v>6.88</v>
      </c>
      <c r="M1399" s="574">
        <f t="shared" si="1242"/>
        <v>6.88</v>
      </c>
      <c r="N1399" s="574">
        <f t="shared" si="1242"/>
        <v>6.88</v>
      </c>
      <c r="O1399" s="574">
        <f t="shared" si="1242"/>
        <v>6.88</v>
      </c>
      <c r="P1399" s="574">
        <f t="shared" si="1242"/>
        <v>6.88</v>
      </c>
      <c r="Q1399" s="574">
        <f t="shared" si="1242"/>
        <v>6.88</v>
      </c>
      <c r="R1399" s="574">
        <f t="shared" si="1242"/>
        <v>6.88</v>
      </c>
      <c r="S1399" s="574">
        <f t="shared" si="1242"/>
        <v>6.88</v>
      </c>
      <c r="T1399" s="574">
        <f t="shared" si="1242"/>
        <v>6.88</v>
      </c>
      <c r="U1399" s="574">
        <f t="shared" si="1242"/>
        <v>6.88</v>
      </c>
      <c r="V1399" s="574">
        <f t="shared" si="1243"/>
        <v>6.88</v>
      </c>
      <c r="W1399" s="574">
        <f t="shared" si="1243"/>
        <v>6.88</v>
      </c>
      <c r="X1399" s="574">
        <f t="shared" si="1243"/>
        <v>6.88</v>
      </c>
      <c r="Y1399" s="574">
        <f t="shared" si="1243"/>
        <v>6.88</v>
      </c>
      <c r="Z1399" s="574">
        <f t="shared" si="1243"/>
        <v>6.88</v>
      </c>
      <c r="AA1399" s="574">
        <f t="shared" si="1243"/>
        <v>6.88</v>
      </c>
      <c r="AB1399" s="574">
        <f t="shared" si="1243"/>
        <v>6.88</v>
      </c>
      <c r="AC1399" s="574">
        <f t="shared" si="1243"/>
        <v>6.88</v>
      </c>
      <c r="AD1399" s="574">
        <f t="shared" si="1243"/>
        <v>6.88</v>
      </c>
      <c r="AE1399" s="574">
        <f t="shared" si="1243"/>
        <v>6.88</v>
      </c>
      <c r="AF1399" s="574">
        <f t="shared" si="1243"/>
        <v>6.88</v>
      </c>
      <c r="AH1399" s="538"/>
      <c r="AK1399" s="531"/>
      <c r="AM1399" s="594"/>
      <c r="AN1399" s="535"/>
      <c r="AP1399" s="540"/>
      <c r="AQ1399" s="540"/>
    </row>
    <row r="1400" spans="1:43" s="564" customFormat="1" ht="16.5" hidden="1" customHeight="1" outlineLevel="1" collapsed="1">
      <c r="A1400" s="584"/>
      <c r="B1400" s="576" t="s">
        <v>897</v>
      </c>
      <c r="C1400" s="577">
        <f>SUM(C1401)*12/10^3</f>
        <v>0</v>
      </c>
      <c r="D1400" s="577">
        <f t="shared" ref="D1400:AF1400" si="1245">SUM(D1401)*12/10^3</f>
        <v>0</v>
      </c>
      <c r="E1400" s="577">
        <f t="shared" si="1245"/>
        <v>0</v>
      </c>
      <c r="F1400" s="577">
        <f t="shared" si="1245"/>
        <v>0</v>
      </c>
      <c r="G1400" s="577">
        <f t="shared" si="1245"/>
        <v>0</v>
      </c>
      <c r="H1400" s="577">
        <f t="shared" si="1245"/>
        <v>0</v>
      </c>
      <c r="I1400" s="577">
        <f t="shared" si="1245"/>
        <v>0</v>
      </c>
      <c r="J1400" s="577">
        <f t="shared" si="1245"/>
        <v>0</v>
      </c>
      <c r="K1400" s="577">
        <f t="shared" si="1245"/>
        <v>0</v>
      </c>
      <c r="L1400" s="577">
        <f t="shared" si="1245"/>
        <v>0</v>
      </c>
      <c r="M1400" s="577">
        <f t="shared" si="1245"/>
        <v>0</v>
      </c>
      <c r="N1400" s="577">
        <f t="shared" si="1245"/>
        <v>0</v>
      </c>
      <c r="O1400" s="577">
        <f t="shared" si="1245"/>
        <v>0</v>
      </c>
      <c r="P1400" s="577">
        <f t="shared" si="1245"/>
        <v>0</v>
      </c>
      <c r="Q1400" s="577">
        <f t="shared" si="1245"/>
        <v>0</v>
      </c>
      <c r="R1400" s="577">
        <f t="shared" si="1245"/>
        <v>0</v>
      </c>
      <c r="S1400" s="577">
        <f t="shared" si="1245"/>
        <v>0</v>
      </c>
      <c r="T1400" s="577">
        <f t="shared" si="1245"/>
        <v>0</v>
      </c>
      <c r="U1400" s="577">
        <f t="shared" si="1245"/>
        <v>0</v>
      </c>
      <c r="V1400" s="577">
        <f t="shared" si="1245"/>
        <v>0</v>
      </c>
      <c r="W1400" s="577">
        <f t="shared" si="1245"/>
        <v>0</v>
      </c>
      <c r="X1400" s="577">
        <f t="shared" si="1245"/>
        <v>0</v>
      </c>
      <c r="Y1400" s="577">
        <f t="shared" si="1245"/>
        <v>0</v>
      </c>
      <c r="Z1400" s="577">
        <f t="shared" si="1245"/>
        <v>0</v>
      </c>
      <c r="AA1400" s="577">
        <f t="shared" si="1245"/>
        <v>0</v>
      </c>
      <c r="AB1400" s="577">
        <f t="shared" si="1245"/>
        <v>0</v>
      </c>
      <c r="AC1400" s="577">
        <f t="shared" si="1245"/>
        <v>0</v>
      </c>
      <c r="AD1400" s="577">
        <f t="shared" si="1245"/>
        <v>0</v>
      </c>
      <c r="AE1400" s="577">
        <f t="shared" si="1245"/>
        <v>0</v>
      </c>
      <c r="AF1400" s="577">
        <f t="shared" si="1245"/>
        <v>0</v>
      </c>
      <c r="AH1400" s="578">
        <f>SUM(C1400:AF1400)</f>
        <v>0</v>
      </c>
      <c r="AK1400" s="531"/>
      <c r="AM1400" s="594"/>
      <c r="AN1400" s="535"/>
      <c r="AP1400" s="568"/>
      <c r="AQ1400" s="568"/>
    </row>
    <row r="1401" spans="1:43" s="546" customFormat="1" ht="16.5" hidden="1" customHeight="1" outlineLevel="2">
      <c r="A1401" s="584"/>
      <c r="B1401" s="595" t="s">
        <v>862</v>
      </c>
      <c r="C1401" s="581">
        <f>C1402*C1403</f>
        <v>0</v>
      </c>
      <c r="D1401" s="581">
        <f t="shared" ref="D1401:AF1401" si="1246">D1402*D1403</f>
        <v>0</v>
      </c>
      <c r="E1401" s="581">
        <f t="shared" si="1246"/>
        <v>0</v>
      </c>
      <c r="F1401" s="581">
        <f t="shared" si="1246"/>
        <v>0</v>
      </c>
      <c r="G1401" s="581">
        <f t="shared" si="1246"/>
        <v>0</v>
      </c>
      <c r="H1401" s="581">
        <f t="shared" si="1246"/>
        <v>0</v>
      </c>
      <c r="I1401" s="581">
        <f t="shared" si="1246"/>
        <v>0</v>
      </c>
      <c r="J1401" s="581">
        <f t="shared" si="1246"/>
        <v>0</v>
      </c>
      <c r="K1401" s="581">
        <f t="shared" si="1246"/>
        <v>0</v>
      </c>
      <c r="L1401" s="581">
        <f t="shared" si="1246"/>
        <v>0</v>
      </c>
      <c r="M1401" s="581">
        <f t="shared" si="1246"/>
        <v>0</v>
      </c>
      <c r="N1401" s="581">
        <f t="shared" si="1246"/>
        <v>0</v>
      </c>
      <c r="O1401" s="581">
        <f t="shared" si="1246"/>
        <v>0</v>
      </c>
      <c r="P1401" s="581">
        <f t="shared" si="1246"/>
        <v>0</v>
      </c>
      <c r="Q1401" s="581">
        <f t="shared" si="1246"/>
        <v>0</v>
      </c>
      <c r="R1401" s="581">
        <f t="shared" si="1246"/>
        <v>0</v>
      </c>
      <c r="S1401" s="581">
        <f t="shared" si="1246"/>
        <v>0</v>
      </c>
      <c r="T1401" s="581">
        <f t="shared" si="1246"/>
        <v>0</v>
      </c>
      <c r="U1401" s="581">
        <f t="shared" si="1246"/>
        <v>0</v>
      </c>
      <c r="V1401" s="581">
        <f t="shared" si="1246"/>
        <v>0</v>
      </c>
      <c r="W1401" s="581">
        <f t="shared" si="1246"/>
        <v>0</v>
      </c>
      <c r="X1401" s="581">
        <f t="shared" si="1246"/>
        <v>0</v>
      </c>
      <c r="Y1401" s="581">
        <f t="shared" si="1246"/>
        <v>0</v>
      </c>
      <c r="Z1401" s="581">
        <f t="shared" si="1246"/>
        <v>0</v>
      </c>
      <c r="AA1401" s="581">
        <f t="shared" si="1246"/>
        <v>0</v>
      </c>
      <c r="AB1401" s="581">
        <f t="shared" si="1246"/>
        <v>0</v>
      </c>
      <c r="AC1401" s="581">
        <f t="shared" si="1246"/>
        <v>0</v>
      </c>
      <c r="AD1401" s="581">
        <f t="shared" si="1246"/>
        <v>0</v>
      </c>
      <c r="AE1401" s="581">
        <f t="shared" si="1246"/>
        <v>0</v>
      </c>
      <c r="AF1401" s="581">
        <f t="shared" si="1246"/>
        <v>0</v>
      </c>
      <c r="AH1401" s="571"/>
      <c r="AK1401" s="531"/>
      <c r="AM1401" s="594"/>
      <c r="AN1401" s="535"/>
      <c r="AP1401" s="549"/>
      <c r="AQ1401" s="549"/>
    </row>
    <row r="1402" spans="1:43" s="513" customFormat="1" ht="16.5" hidden="1" customHeight="1" outlineLevel="2">
      <c r="A1402" s="584"/>
      <c r="B1402" s="596" t="s">
        <v>1029</v>
      </c>
      <c r="C1402" s="574">
        <v>0</v>
      </c>
      <c r="D1402" s="574">
        <v>0</v>
      </c>
      <c r="E1402" s="574">
        <v>0</v>
      </c>
      <c r="F1402" s="574">
        <v>0</v>
      </c>
      <c r="G1402" s="574">
        <v>0</v>
      </c>
      <c r="H1402" s="574">
        <v>0</v>
      </c>
      <c r="I1402" s="574">
        <v>0</v>
      </c>
      <c r="J1402" s="574">
        <v>0</v>
      </c>
      <c r="K1402" s="574">
        <v>0</v>
      </c>
      <c r="L1402" s="574">
        <v>0</v>
      </c>
      <c r="M1402" s="574">
        <v>0</v>
      </c>
      <c r="N1402" s="574">
        <v>0</v>
      </c>
      <c r="O1402" s="574">
        <v>0</v>
      </c>
      <c r="P1402" s="574">
        <v>0</v>
      </c>
      <c r="Q1402" s="574">
        <v>0</v>
      </c>
      <c r="R1402" s="574">
        <v>0</v>
      </c>
      <c r="S1402" s="574">
        <v>0</v>
      </c>
      <c r="T1402" s="574">
        <v>0</v>
      </c>
      <c r="U1402" s="574">
        <v>0</v>
      </c>
      <c r="V1402" s="574">
        <v>0</v>
      </c>
      <c r="W1402" s="574">
        <v>0</v>
      </c>
      <c r="X1402" s="574">
        <v>0</v>
      </c>
      <c r="Y1402" s="574">
        <v>0</v>
      </c>
      <c r="Z1402" s="574">
        <v>0</v>
      </c>
      <c r="AA1402" s="574">
        <v>0</v>
      </c>
      <c r="AB1402" s="574">
        <v>0</v>
      </c>
      <c r="AC1402" s="574">
        <v>0</v>
      </c>
      <c r="AD1402" s="574">
        <v>0</v>
      </c>
      <c r="AE1402" s="574">
        <v>0</v>
      </c>
      <c r="AF1402" s="574">
        <v>0</v>
      </c>
      <c r="AH1402" s="538"/>
      <c r="AK1402" s="531"/>
      <c r="AM1402" s="594"/>
      <c r="AN1402" s="535"/>
      <c r="AP1402" s="540"/>
      <c r="AQ1402" s="540"/>
    </row>
    <row r="1403" spans="1:43" s="513" customFormat="1" ht="16.5" hidden="1" customHeight="1" outlineLevel="2">
      <c r="A1403" s="584"/>
      <c r="B1403" s="596" t="s">
        <v>1030</v>
      </c>
      <c r="C1403" s="574">
        <v>0</v>
      </c>
      <c r="D1403" s="574">
        <v>0</v>
      </c>
      <c r="E1403" s="574">
        <v>0</v>
      </c>
      <c r="F1403" s="574">
        <v>0</v>
      </c>
      <c r="G1403" s="574">
        <v>0</v>
      </c>
      <c r="H1403" s="574">
        <v>0</v>
      </c>
      <c r="I1403" s="574">
        <v>0</v>
      </c>
      <c r="J1403" s="574">
        <v>0</v>
      </c>
      <c r="K1403" s="574">
        <v>0</v>
      </c>
      <c r="L1403" s="574">
        <v>0</v>
      </c>
      <c r="M1403" s="574">
        <v>0</v>
      </c>
      <c r="N1403" s="574">
        <v>0</v>
      </c>
      <c r="O1403" s="574">
        <v>0</v>
      </c>
      <c r="P1403" s="574">
        <v>0</v>
      </c>
      <c r="Q1403" s="574">
        <v>0</v>
      </c>
      <c r="R1403" s="574">
        <v>0</v>
      </c>
      <c r="S1403" s="574">
        <v>0</v>
      </c>
      <c r="T1403" s="574">
        <v>0</v>
      </c>
      <c r="U1403" s="574">
        <v>0</v>
      </c>
      <c r="V1403" s="574">
        <v>0</v>
      </c>
      <c r="W1403" s="574">
        <v>0</v>
      </c>
      <c r="X1403" s="574">
        <v>0</v>
      </c>
      <c r="Y1403" s="574">
        <v>0</v>
      </c>
      <c r="Z1403" s="574">
        <v>0</v>
      </c>
      <c r="AA1403" s="574">
        <v>0</v>
      </c>
      <c r="AB1403" s="574">
        <v>0</v>
      </c>
      <c r="AC1403" s="574">
        <v>0</v>
      </c>
      <c r="AD1403" s="574">
        <v>0</v>
      </c>
      <c r="AE1403" s="574">
        <v>0</v>
      </c>
      <c r="AF1403" s="574">
        <v>0</v>
      </c>
      <c r="AH1403" s="538"/>
      <c r="AK1403" s="531"/>
      <c r="AM1403" s="594"/>
      <c r="AN1403" s="535"/>
      <c r="AP1403" s="540"/>
      <c r="AQ1403" s="540"/>
    </row>
    <row r="1404" spans="1:43" s="564" customFormat="1" ht="16.5" hidden="1" customHeight="1" outlineLevel="1" collapsed="1">
      <c r="A1404" s="584"/>
      <c r="B1404" s="576" t="s">
        <v>899</v>
      </c>
      <c r="C1404" s="577">
        <f>SUM(C1405)*12/10^3</f>
        <v>0</v>
      </c>
      <c r="D1404" s="577">
        <f t="shared" ref="D1404:AF1404" si="1247">SUM(D1405)*12/10^3</f>
        <v>0</v>
      </c>
      <c r="E1404" s="577">
        <f t="shared" si="1247"/>
        <v>0</v>
      </c>
      <c r="F1404" s="577">
        <f t="shared" si="1247"/>
        <v>0</v>
      </c>
      <c r="G1404" s="577">
        <f t="shared" si="1247"/>
        <v>0</v>
      </c>
      <c r="H1404" s="577">
        <f t="shared" si="1247"/>
        <v>0</v>
      </c>
      <c r="I1404" s="577">
        <f t="shared" si="1247"/>
        <v>0</v>
      </c>
      <c r="J1404" s="577">
        <f t="shared" si="1247"/>
        <v>0</v>
      </c>
      <c r="K1404" s="577">
        <f t="shared" si="1247"/>
        <v>0</v>
      </c>
      <c r="L1404" s="577">
        <f t="shared" si="1247"/>
        <v>0</v>
      </c>
      <c r="M1404" s="577">
        <f t="shared" si="1247"/>
        <v>0</v>
      </c>
      <c r="N1404" s="577">
        <f t="shared" si="1247"/>
        <v>0</v>
      </c>
      <c r="O1404" s="577">
        <f t="shared" si="1247"/>
        <v>0</v>
      </c>
      <c r="P1404" s="577">
        <f t="shared" si="1247"/>
        <v>0</v>
      </c>
      <c r="Q1404" s="577">
        <f t="shared" si="1247"/>
        <v>0</v>
      </c>
      <c r="R1404" s="577">
        <f t="shared" si="1247"/>
        <v>0</v>
      </c>
      <c r="S1404" s="577">
        <f t="shared" si="1247"/>
        <v>0</v>
      </c>
      <c r="T1404" s="577">
        <f t="shared" si="1247"/>
        <v>0</v>
      </c>
      <c r="U1404" s="577">
        <f t="shared" si="1247"/>
        <v>0</v>
      </c>
      <c r="V1404" s="577">
        <f t="shared" si="1247"/>
        <v>0</v>
      </c>
      <c r="W1404" s="577">
        <f t="shared" si="1247"/>
        <v>0</v>
      </c>
      <c r="X1404" s="577">
        <f t="shared" si="1247"/>
        <v>0</v>
      </c>
      <c r="Y1404" s="577">
        <f t="shared" si="1247"/>
        <v>0</v>
      </c>
      <c r="Z1404" s="577">
        <f t="shared" si="1247"/>
        <v>0</v>
      </c>
      <c r="AA1404" s="577">
        <f t="shared" si="1247"/>
        <v>0</v>
      </c>
      <c r="AB1404" s="577">
        <f t="shared" si="1247"/>
        <v>0</v>
      </c>
      <c r="AC1404" s="577">
        <f t="shared" si="1247"/>
        <v>0</v>
      </c>
      <c r="AD1404" s="577">
        <f t="shared" si="1247"/>
        <v>0</v>
      </c>
      <c r="AE1404" s="577">
        <f t="shared" si="1247"/>
        <v>0</v>
      </c>
      <c r="AF1404" s="577">
        <f t="shared" si="1247"/>
        <v>0</v>
      </c>
      <c r="AG1404" s="627"/>
      <c r="AH1404" s="578">
        <f>SUM(C1404:AF1404)</f>
        <v>0</v>
      </c>
      <c r="AK1404" s="531"/>
      <c r="AM1404" s="594"/>
      <c r="AN1404" s="535"/>
      <c r="AP1404" s="568"/>
      <c r="AQ1404" s="568"/>
    </row>
    <row r="1405" spans="1:43" s="546" customFormat="1" ht="16.5" hidden="1" customHeight="1" outlineLevel="2">
      <c r="A1405" s="584"/>
      <c r="B1405" s="595" t="s">
        <v>862</v>
      </c>
      <c r="C1405" s="581">
        <f>C1407*C1408*C1406</f>
        <v>0</v>
      </c>
      <c r="D1405" s="581">
        <f t="shared" ref="D1405:AF1405" si="1248">D1407*D1408*D1406</f>
        <v>0</v>
      </c>
      <c r="E1405" s="581">
        <f t="shared" si="1248"/>
        <v>0</v>
      </c>
      <c r="F1405" s="581">
        <f t="shared" si="1248"/>
        <v>0</v>
      </c>
      <c r="G1405" s="581">
        <f t="shared" si="1248"/>
        <v>0</v>
      </c>
      <c r="H1405" s="581">
        <f t="shared" si="1248"/>
        <v>0</v>
      </c>
      <c r="I1405" s="581">
        <f t="shared" si="1248"/>
        <v>0</v>
      </c>
      <c r="J1405" s="581">
        <f t="shared" si="1248"/>
        <v>0</v>
      </c>
      <c r="K1405" s="581">
        <f t="shared" si="1248"/>
        <v>0</v>
      </c>
      <c r="L1405" s="581">
        <f t="shared" si="1248"/>
        <v>0</v>
      </c>
      <c r="M1405" s="581">
        <f t="shared" si="1248"/>
        <v>0</v>
      </c>
      <c r="N1405" s="581">
        <f t="shared" si="1248"/>
        <v>0</v>
      </c>
      <c r="O1405" s="581">
        <f t="shared" si="1248"/>
        <v>0</v>
      </c>
      <c r="P1405" s="581">
        <f t="shared" si="1248"/>
        <v>0</v>
      </c>
      <c r="Q1405" s="581">
        <f t="shared" si="1248"/>
        <v>0</v>
      </c>
      <c r="R1405" s="581">
        <f t="shared" si="1248"/>
        <v>0</v>
      </c>
      <c r="S1405" s="581">
        <f t="shared" si="1248"/>
        <v>0</v>
      </c>
      <c r="T1405" s="581">
        <f t="shared" si="1248"/>
        <v>0</v>
      </c>
      <c r="U1405" s="581">
        <f t="shared" si="1248"/>
        <v>0</v>
      </c>
      <c r="V1405" s="581">
        <f t="shared" si="1248"/>
        <v>0</v>
      </c>
      <c r="W1405" s="581">
        <f t="shared" si="1248"/>
        <v>0</v>
      </c>
      <c r="X1405" s="581">
        <f t="shared" si="1248"/>
        <v>0</v>
      </c>
      <c r="Y1405" s="581">
        <f t="shared" si="1248"/>
        <v>0</v>
      </c>
      <c r="Z1405" s="581">
        <f t="shared" si="1248"/>
        <v>0</v>
      </c>
      <c r="AA1405" s="581">
        <f t="shared" si="1248"/>
        <v>0</v>
      </c>
      <c r="AB1405" s="581">
        <f t="shared" si="1248"/>
        <v>0</v>
      </c>
      <c r="AC1405" s="581">
        <f t="shared" si="1248"/>
        <v>0</v>
      </c>
      <c r="AD1405" s="581">
        <f t="shared" si="1248"/>
        <v>0</v>
      </c>
      <c r="AE1405" s="581">
        <f t="shared" si="1248"/>
        <v>0</v>
      </c>
      <c r="AF1405" s="581">
        <f t="shared" si="1248"/>
        <v>0</v>
      </c>
      <c r="AH1405" s="571"/>
      <c r="AK1405" s="531"/>
      <c r="AM1405" s="594"/>
      <c r="AN1405" s="535"/>
      <c r="AP1405" s="549"/>
      <c r="AQ1405" s="549"/>
    </row>
    <row r="1406" spans="1:43" s="546" customFormat="1" ht="16.5" hidden="1" customHeight="1" outlineLevel="2">
      <c r="A1406" s="584"/>
      <c r="B1406" s="572" t="s">
        <v>805</v>
      </c>
      <c r="C1406" s="574">
        <f>C1392</f>
        <v>0</v>
      </c>
      <c r="D1406" s="574">
        <f t="shared" ref="D1406:AF1406" si="1249">D1392</f>
        <v>0</v>
      </c>
      <c r="E1406" s="574">
        <f t="shared" si="1249"/>
        <v>0</v>
      </c>
      <c r="F1406" s="574">
        <f t="shared" si="1249"/>
        <v>0</v>
      </c>
      <c r="G1406" s="574">
        <f t="shared" si="1249"/>
        <v>0</v>
      </c>
      <c r="H1406" s="574">
        <f t="shared" si="1249"/>
        <v>0</v>
      </c>
      <c r="I1406" s="574">
        <f t="shared" si="1249"/>
        <v>0</v>
      </c>
      <c r="J1406" s="574">
        <f t="shared" si="1249"/>
        <v>0</v>
      </c>
      <c r="K1406" s="574">
        <f t="shared" si="1249"/>
        <v>0</v>
      </c>
      <c r="L1406" s="574">
        <f t="shared" si="1249"/>
        <v>0</v>
      </c>
      <c r="M1406" s="574">
        <f t="shared" si="1249"/>
        <v>0</v>
      </c>
      <c r="N1406" s="574">
        <f t="shared" si="1249"/>
        <v>0</v>
      </c>
      <c r="O1406" s="574">
        <f t="shared" si="1249"/>
        <v>0</v>
      </c>
      <c r="P1406" s="574">
        <f t="shared" si="1249"/>
        <v>0</v>
      </c>
      <c r="Q1406" s="574">
        <f t="shared" si="1249"/>
        <v>0</v>
      </c>
      <c r="R1406" s="574">
        <f t="shared" si="1249"/>
        <v>0</v>
      </c>
      <c r="S1406" s="574">
        <f t="shared" si="1249"/>
        <v>0</v>
      </c>
      <c r="T1406" s="574">
        <f t="shared" si="1249"/>
        <v>0</v>
      </c>
      <c r="U1406" s="574">
        <f t="shared" si="1249"/>
        <v>0</v>
      </c>
      <c r="V1406" s="574">
        <f t="shared" si="1249"/>
        <v>0</v>
      </c>
      <c r="W1406" s="574">
        <f t="shared" si="1249"/>
        <v>0</v>
      </c>
      <c r="X1406" s="574">
        <f t="shared" si="1249"/>
        <v>0</v>
      </c>
      <c r="Y1406" s="574">
        <f t="shared" si="1249"/>
        <v>0</v>
      </c>
      <c r="Z1406" s="574">
        <f t="shared" si="1249"/>
        <v>0</v>
      </c>
      <c r="AA1406" s="574">
        <f t="shared" si="1249"/>
        <v>0</v>
      </c>
      <c r="AB1406" s="574">
        <f t="shared" si="1249"/>
        <v>0</v>
      </c>
      <c r="AC1406" s="574">
        <f t="shared" si="1249"/>
        <v>0</v>
      </c>
      <c r="AD1406" s="574">
        <f>AD1392</f>
        <v>0</v>
      </c>
      <c r="AE1406" s="574">
        <f t="shared" si="1249"/>
        <v>0</v>
      </c>
      <c r="AF1406" s="574">
        <f t="shared" si="1249"/>
        <v>0</v>
      </c>
      <c r="AH1406" s="571"/>
      <c r="AK1406" s="531"/>
      <c r="AM1406" s="594"/>
      <c r="AN1406" s="535"/>
      <c r="AP1406" s="549"/>
      <c r="AQ1406" s="549"/>
    </row>
    <row r="1407" spans="1:43" s="546" customFormat="1" ht="16.5" hidden="1" customHeight="1" outlineLevel="2">
      <c r="A1407" s="584"/>
      <c r="B1407" s="572" t="s">
        <v>901</v>
      </c>
      <c r="C1407" s="574">
        <f>C1391</f>
        <v>0</v>
      </c>
      <c r="D1407" s="574">
        <f t="shared" ref="D1407:AF1407" si="1250">D1391</f>
        <v>0</v>
      </c>
      <c r="E1407" s="574">
        <f t="shared" si="1250"/>
        <v>0</v>
      </c>
      <c r="F1407" s="574">
        <f t="shared" si="1250"/>
        <v>0</v>
      </c>
      <c r="G1407" s="574">
        <f t="shared" si="1250"/>
        <v>0</v>
      </c>
      <c r="H1407" s="574">
        <f t="shared" si="1250"/>
        <v>0</v>
      </c>
      <c r="I1407" s="574">
        <f t="shared" si="1250"/>
        <v>0</v>
      </c>
      <c r="J1407" s="574">
        <f t="shared" si="1250"/>
        <v>0</v>
      </c>
      <c r="K1407" s="574">
        <f t="shared" si="1250"/>
        <v>0</v>
      </c>
      <c r="L1407" s="574">
        <f t="shared" si="1250"/>
        <v>0</v>
      </c>
      <c r="M1407" s="574">
        <f t="shared" si="1250"/>
        <v>0</v>
      </c>
      <c r="N1407" s="574">
        <f t="shared" si="1250"/>
        <v>0</v>
      </c>
      <c r="O1407" s="574">
        <f t="shared" si="1250"/>
        <v>0</v>
      </c>
      <c r="P1407" s="574">
        <f t="shared" si="1250"/>
        <v>0</v>
      </c>
      <c r="Q1407" s="574">
        <f t="shared" si="1250"/>
        <v>0</v>
      </c>
      <c r="R1407" s="574">
        <f t="shared" si="1250"/>
        <v>0</v>
      </c>
      <c r="S1407" s="574">
        <f t="shared" si="1250"/>
        <v>0</v>
      </c>
      <c r="T1407" s="574">
        <f t="shared" si="1250"/>
        <v>0</v>
      </c>
      <c r="U1407" s="574">
        <f t="shared" si="1250"/>
        <v>0</v>
      </c>
      <c r="V1407" s="574">
        <f t="shared" si="1250"/>
        <v>0</v>
      </c>
      <c r="W1407" s="574">
        <f t="shared" si="1250"/>
        <v>0</v>
      </c>
      <c r="X1407" s="574">
        <f t="shared" si="1250"/>
        <v>0</v>
      </c>
      <c r="Y1407" s="574">
        <f t="shared" si="1250"/>
        <v>0</v>
      </c>
      <c r="Z1407" s="574">
        <f t="shared" si="1250"/>
        <v>0</v>
      </c>
      <c r="AA1407" s="574">
        <f t="shared" si="1250"/>
        <v>0</v>
      </c>
      <c r="AB1407" s="574">
        <f t="shared" si="1250"/>
        <v>0</v>
      </c>
      <c r="AC1407" s="574">
        <f t="shared" si="1250"/>
        <v>0</v>
      </c>
      <c r="AD1407" s="574">
        <f t="shared" si="1250"/>
        <v>0</v>
      </c>
      <c r="AE1407" s="574">
        <f t="shared" si="1250"/>
        <v>0</v>
      </c>
      <c r="AF1407" s="574">
        <f t="shared" si="1250"/>
        <v>0</v>
      </c>
      <c r="AH1407" s="571"/>
      <c r="AK1407" s="531"/>
      <c r="AM1407" s="594"/>
      <c r="AN1407" s="535"/>
      <c r="AP1407" s="549"/>
      <c r="AQ1407" s="549"/>
    </row>
    <row r="1408" spans="1:43" s="546" customFormat="1" ht="16.5" hidden="1" customHeight="1" outlineLevel="2">
      <c r="A1408" s="584"/>
      <c r="B1408" s="572" t="s">
        <v>902</v>
      </c>
      <c r="C1408" s="602">
        <f>((C1409*C1410)+(C1411*C1412))/C$70</f>
        <v>0</v>
      </c>
      <c r="D1408" s="602">
        <f t="shared" ref="D1408:AF1408" si="1251">((D1409*D1410)+(D1411*D1412))/D$70</f>
        <v>0</v>
      </c>
      <c r="E1408" s="602">
        <f t="shared" si="1251"/>
        <v>0</v>
      </c>
      <c r="F1408" s="602">
        <f t="shared" si="1251"/>
        <v>0</v>
      </c>
      <c r="G1408" s="602">
        <f t="shared" si="1251"/>
        <v>0</v>
      </c>
      <c r="H1408" s="602">
        <f t="shared" si="1251"/>
        <v>0</v>
      </c>
      <c r="I1408" s="602">
        <f t="shared" si="1251"/>
        <v>0</v>
      </c>
      <c r="J1408" s="602">
        <f t="shared" si="1251"/>
        <v>0</v>
      </c>
      <c r="K1408" s="602">
        <f t="shared" si="1251"/>
        <v>0</v>
      </c>
      <c r="L1408" s="602">
        <f t="shared" si="1251"/>
        <v>0</v>
      </c>
      <c r="M1408" s="602">
        <f t="shared" si="1251"/>
        <v>0</v>
      </c>
      <c r="N1408" s="602">
        <f t="shared" si="1251"/>
        <v>0</v>
      </c>
      <c r="O1408" s="602">
        <f t="shared" si="1251"/>
        <v>0</v>
      </c>
      <c r="P1408" s="602">
        <f t="shared" si="1251"/>
        <v>0</v>
      </c>
      <c r="Q1408" s="602">
        <f t="shared" si="1251"/>
        <v>0</v>
      </c>
      <c r="R1408" s="602">
        <f t="shared" si="1251"/>
        <v>0</v>
      </c>
      <c r="S1408" s="602">
        <f t="shared" si="1251"/>
        <v>0</v>
      </c>
      <c r="T1408" s="602">
        <f t="shared" si="1251"/>
        <v>0</v>
      </c>
      <c r="U1408" s="602">
        <f t="shared" si="1251"/>
        <v>0</v>
      </c>
      <c r="V1408" s="602">
        <f t="shared" si="1251"/>
        <v>0</v>
      </c>
      <c r="W1408" s="602">
        <f t="shared" si="1251"/>
        <v>0</v>
      </c>
      <c r="X1408" s="602">
        <f t="shared" si="1251"/>
        <v>0</v>
      </c>
      <c r="Y1408" s="602">
        <f t="shared" si="1251"/>
        <v>0</v>
      </c>
      <c r="Z1408" s="602">
        <f t="shared" si="1251"/>
        <v>0</v>
      </c>
      <c r="AA1408" s="602">
        <f t="shared" si="1251"/>
        <v>0</v>
      </c>
      <c r="AB1408" s="602">
        <f t="shared" si="1251"/>
        <v>0</v>
      </c>
      <c r="AC1408" s="602">
        <f t="shared" si="1251"/>
        <v>0</v>
      </c>
      <c r="AD1408" s="602">
        <f t="shared" si="1251"/>
        <v>0</v>
      </c>
      <c r="AE1408" s="602">
        <f t="shared" si="1251"/>
        <v>0</v>
      </c>
      <c r="AF1408" s="602">
        <f t="shared" si="1251"/>
        <v>0</v>
      </c>
      <c r="AH1408" s="571"/>
      <c r="AK1408" s="531"/>
      <c r="AM1408" s="594"/>
      <c r="AN1408" s="535"/>
      <c r="AP1408" s="549"/>
      <c r="AQ1408" s="549"/>
    </row>
    <row r="1409" spans="1:43" s="513" customFormat="1" ht="16.5" hidden="1" customHeight="1" outlineLevel="2">
      <c r="A1409" s="584"/>
      <c r="B1409" s="596" t="s">
        <v>907</v>
      </c>
      <c r="C1409" s="643">
        <v>0</v>
      </c>
      <c r="D1409" s="643">
        <f>C1409</f>
        <v>0</v>
      </c>
      <c r="E1409" s="643">
        <f t="shared" ref="E1409:T1409" si="1252">D1409</f>
        <v>0</v>
      </c>
      <c r="F1409" s="643">
        <f t="shared" si="1252"/>
        <v>0</v>
      </c>
      <c r="G1409" s="643">
        <f t="shared" si="1252"/>
        <v>0</v>
      </c>
      <c r="H1409" s="643">
        <f t="shared" si="1252"/>
        <v>0</v>
      </c>
      <c r="I1409" s="643">
        <f t="shared" si="1252"/>
        <v>0</v>
      </c>
      <c r="J1409" s="643">
        <f t="shared" si="1252"/>
        <v>0</v>
      </c>
      <c r="K1409" s="643">
        <f t="shared" si="1252"/>
        <v>0</v>
      </c>
      <c r="L1409" s="643">
        <f t="shared" si="1252"/>
        <v>0</v>
      </c>
      <c r="M1409" s="643">
        <f t="shared" si="1252"/>
        <v>0</v>
      </c>
      <c r="N1409" s="643">
        <f t="shared" si="1252"/>
        <v>0</v>
      </c>
      <c r="O1409" s="643">
        <f t="shared" si="1252"/>
        <v>0</v>
      </c>
      <c r="P1409" s="643">
        <f t="shared" si="1252"/>
        <v>0</v>
      </c>
      <c r="Q1409" s="643">
        <f t="shared" si="1252"/>
        <v>0</v>
      </c>
      <c r="R1409" s="643">
        <f t="shared" si="1252"/>
        <v>0</v>
      </c>
      <c r="S1409" s="643">
        <f t="shared" si="1252"/>
        <v>0</v>
      </c>
      <c r="T1409" s="643">
        <f t="shared" si="1252"/>
        <v>0</v>
      </c>
      <c r="U1409" s="643">
        <f t="shared" ref="U1409:AF1409" si="1253">T1409</f>
        <v>0</v>
      </c>
      <c r="V1409" s="643">
        <f t="shared" si="1253"/>
        <v>0</v>
      </c>
      <c r="W1409" s="643">
        <f t="shared" si="1253"/>
        <v>0</v>
      </c>
      <c r="X1409" s="643">
        <f t="shared" si="1253"/>
        <v>0</v>
      </c>
      <c r="Y1409" s="643">
        <f t="shared" si="1253"/>
        <v>0</v>
      </c>
      <c r="Z1409" s="643">
        <f t="shared" si="1253"/>
        <v>0</v>
      </c>
      <c r="AA1409" s="643">
        <f t="shared" si="1253"/>
        <v>0</v>
      </c>
      <c r="AB1409" s="643">
        <f t="shared" si="1253"/>
        <v>0</v>
      </c>
      <c r="AC1409" s="643">
        <f t="shared" si="1253"/>
        <v>0</v>
      </c>
      <c r="AD1409" s="643">
        <f t="shared" si="1253"/>
        <v>0</v>
      </c>
      <c r="AE1409" s="643">
        <f t="shared" si="1253"/>
        <v>0</v>
      </c>
      <c r="AF1409" s="643">
        <f t="shared" si="1253"/>
        <v>0</v>
      </c>
      <c r="AH1409" s="538"/>
      <c r="AK1409" s="531"/>
      <c r="AM1409" s="594"/>
      <c r="AN1409" s="535"/>
      <c r="AP1409" s="540"/>
      <c r="AQ1409" s="540"/>
    </row>
    <row r="1410" spans="1:43" s="513" customFormat="1" ht="16.5" hidden="1" customHeight="1" outlineLevel="2">
      <c r="A1410" s="584"/>
      <c r="B1410" s="596" t="s">
        <v>904</v>
      </c>
      <c r="C1410" s="574">
        <v>0</v>
      </c>
      <c r="D1410" s="574">
        <v>0</v>
      </c>
      <c r="E1410" s="574">
        <v>0</v>
      </c>
      <c r="F1410" s="574">
        <v>0</v>
      </c>
      <c r="G1410" s="574">
        <v>0</v>
      </c>
      <c r="H1410" s="574">
        <v>0</v>
      </c>
      <c r="I1410" s="574">
        <v>0</v>
      </c>
      <c r="J1410" s="574">
        <v>0</v>
      </c>
      <c r="K1410" s="574">
        <v>0</v>
      </c>
      <c r="L1410" s="574">
        <v>0</v>
      </c>
      <c r="M1410" s="574">
        <v>0</v>
      </c>
      <c r="N1410" s="574">
        <v>0</v>
      </c>
      <c r="O1410" s="574">
        <v>0</v>
      </c>
      <c r="P1410" s="574">
        <v>0</v>
      </c>
      <c r="Q1410" s="574">
        <v>0</v>
      </c>
      <c r="R1410" s="574">
        <v>0</v>
      </c>
      <c r="S1410" s="574">
        <v>0</v>
      </c>
      <c r="T1410" s="574">
        <v>0</v>
      </c>
      <c r="U1410" s="574">
        <v>0</v>
      </c>
      <c r="V1410" s="574">
        <v>0</v>
      </c>
      <c r="W1410" s="574">
        <v>0</v>
      </c>
      <c r="X1410" s="574">
        <v>0</v>
      </c>
      <c r="Y1410" s="574">
        <v>0</v>
      </c>
      <c r="Z1410" s="574">
        <v>0</v>
      </c>
      <c r="AA1410" s="574">
        <v>0</v>
      </c>
      <c r="AB1410" s="574">
        <v>0</v>
      </c>
      <c r="AC1410" s="574">
        <v>0</v>
      </c>
      <c r="AD1410" s="574">
        <v>0</v>
      </c>
      <c r="AE1410" s="574">
        <v>0</v>
      </c>
      <c r="AF1410" s="574">
        <v>0</v>
      </c>
      <c r="AH1410" s="538"/>
      <c r="AK1410" s="531"/>
      <c r="AM1410" s="594"/>
      <c r="AN1410" s="535"/>
      <c r="AP1410" s="540"/>
      <c r="AQ1410" s="540"/>
    </row>
    <row r="1411" spans="1:43" s="513" customFormat="1" ht="16.5" hidden="1" customHeight="1" outlineLevel="2">
      <c r="A1411" s="584"/>
      <c r="B1411" s="596" t="s">
        <v>908</v>
      </c>
      <c r="C1411" s="574">
        <f>C1409*2</f>
        <v>0</v>
      </c>
      <c r="D1411" s="574">
        <f t="shared" ref="D1411:AF1411" si="1254">D1409*2</f>
        <v>0</v>
      </c>
      <c r="E1411" s="574">
        <f t="shared" si="1254"/>
        <v>0</v>
      </c>
      <c r="F1411" s="574">
        <f t="shared" si="1254"/>
        <v>0</v>
      </c>
      <c r="G1411" s="574">
        <f t="shared" si="1254"/>
        <v>0</v>
      </c>
      <c r="H1411" s="574">
        <f t="shared" si="1254"/>
        <v>0</v>
      </c>
      <c r="I1411" s="574">
        <f t="shared" si="1254"/>
        <v>0</v>
      </c>
      <c r="J1411" s="574">
        <f t="shared" si="1254"/>
        <v>0</v>
      </c>
      <c r="K1411" s="574">
        <f t="shared" si="1254"/>
        <v>0</v>
      </c>
      <c r="L1411" s="574">
        <f t="shared" si="1254"/>
        <v>0</v>
      </c>
      <c r="M1411" s="574">
        <f t="shared" si="1254"/>
        <v>0</v>
      </c>
      <c r="N1411" s="574">
        <f t="shared" si="1254"/>
        <v>0</v>
      </c>
      <c r="O1411" s="574">
        <f t="shared" si="1254"/>
        <v>0</v>
      </c>
      <c r="P1411" s="574">
        <f t="shared" si="1254"/>
        <v>0</v>
      </c>
      <c r="Q1411" s="574">
        <f t="shared" si="1254"/>
        <v>0</v>
      </c>
      <c r="R1411" s="574">
        <f t="shared" si="1254"/>
        <v>0</v>
      </c>
      <c r="S1411" s="574">
        <f t="shared" si="1254"/>
        <v>0</v>
      </c>
      <c r="T1411" s="574">
        <f t="shared" si="1254"/>
        <v>0</v>
      </c>
      <c r="U1411" s="574">
        <f t="shared" si="1254"/>
        <v>0</v>
      </c>
      <c r="V1411" s="574">
        <f t="shared" si="1254"/>
        <v>0</v>
      </c>
      <c r="W1411" s="574">
        <f t="shared" si="1254"/>
        <v>0</v>
      </c>
      <c r="X1411" s="574">
        <f t="shared" si="1254"/>
        <v>0</v>
      </c>
      <c r="Y1411" s="574">
        <f t="shared" si="1254"/>
        <v>0</v>
      </c>
      <c r="Z1411" s="574">
        <f t="shared" si="1254"/>
        <v>0</v>
      </c>
      <c r="AA1411" s="574">
        <f t="shared" si="1254"/>
        <v>0</v>
      </c>
      <c r="AB1411" s="574">
        <f t="shared" si="1254"/>
        <v>0</v>
      </c>
      <c r="AC1411" s="574">
        <f t="shared" si="1254"/>
        <v>0</v>
      </c>
      <c r="AD1411" s="574">
        <f t="shared" si="1254"/>
        <v>0</v>
      </c>
      <c r="AE1411" s="574">
        <f t="shared" si="1254"/>
        <v>0</v>
      </c>
      <c r="AF1411" s="574">
        <f t="shared" si="1254"/>
        <v>0</v>
      </c>
      <c r="AH1411" s="538"/>
      <c r="AK1411" s="531"/>
      <c r="AM1411" s="594"/>
      <c r="AN1411" s="535"/>
      <c r="AP1411" s="540"/>
      <c r="AQ1411" s="540"/>
    </row>
    <row r="1412" spans="1:43" s="513" customFormat="1" ht="16.5" hidden="1" customHeight="1" outlineLevel="2">
      <c r="A1412" s="584"/>
      <c r="B1412" s="596" t="s">
        <v>906</v>
      </c>
      <c r="C1412" s="574">
        <f>C1410*20%</f>
        <v>0</v>
      </c>
      <c r="D1412" s="574">
        <f t="shared" ref="D1412:AF1412" si="1255">D1410*20%</f>
        <v>0</v>
      </c>
      <c r="E1412" s="574">
        <f t="shared" si="1255"/>
        <v>0</v>
      </c>
      <c r="F1412" s="574">
        <f t="shared" si="1255"/>
        <v>0</v>
      </c>
      <c r="G1412" s="574">
        <f t="shared" si="1255"/>
        <v>0</v>
      </c>
      <c r="H1412" s="574">
        <f t="shared" si="1255"/>
        <v>0</v>
      </c>
      <c r="I1412" s="574">
        <f t="shared" si="1255"/>
        <v>0</v>
      </c>
      <c r="J1412" s="574">
        <f t="shared" si="1255"/>
        <v>0</v>
      </c>
      <c r="K1412" s="574">
        <f t="shared" si="1255"/>
        <v>0</v>
      </c>
      <c r="L1412" s="574">
        <f t="shared" si="1255"/>
        <v>0</v>
      </c>
      <c r="M1412" s="574">
        <f t="shared" si="1255"/>
        <v>0</v>
      </c>
      <c r="N1412" s="574">
        <f t="shared" si="1255"/>
        <v>0</v>
      </c>
      <c r="O1412" s="574">
        <f t="shared" si="1255"/>
        <v>0</v>
      </c>
      <c r="P1412" s="574">
        <f t="shared" si="1255"/>
        <v>0</v>
      </c>
      <c r="Q1412" s="574">
        <f t="shared" si="1255"/>
        <v>0</v>
      </c>
      <c r="R1412" s="574">
        <f t="shared" si="1255"/>
        <v>0</v>
      </c>
      <c r="S1412" s="574">
        <f t="shared" si="1255"/>
        <v>0</v>
      </c>
      <c r="T1412" s="574">
        <f t="shared" si="1255"/>
        <v>0</v>
      </c>
      <c r="U1412" s="574">
        <f t="shared" si="1255"/>
        <v>0</v>
      </c>
      <c r="V1412" s="574">
        <f t="shared" si="1255"/>
        <v>0</v>
      </c>
      <c r="W1412" s="574">
        <f t="shared" si="1255"/>
        <v>0</v>
      </c>
      <c r="X1412" s="574">
        <f t="shared" si="1255"/>
        <v>0</v>
      </c>
      <c r="Y1412" s="574">
        <f t="shared" si="1255"/>
        <v>0</v>
      </c>
      <c r="Z1412" s="574">
        <f t="shared" si="1255"/>
        <v>0</v>
      </c>
      <c r="AA1412" s="574">
        <f t="shared" si="1255"/>
        <v>0</v>
      </c>
      <c r="AB1412" s="574">
        <f t="shared" si="1255"/>
        <v>0</v>
      </c>
      <c r="AC1412" s="574">
        <f t="shared" si="1255"/>
        <v>0</v>
      </c>
      <c r="AD1412" s="574">
        <f t="shared" si="1255"/>
        <v>0</v>
      </c>
      <c r="AE1412" s="574">
        <f t="shared" si="1255"/>
        <v>0</v>
      </c>
      <c r="AF1412" s="574">
        <f t="shared" si="1255"/>
        <v>0</v>
      </c>
      <c r="AH1412" s="538"/>
      <c r="AK1412" s="531"/>
      <c r="AM1412" s="594"/>
      <c r="AN1412" s="535"/>
      <c r="AP1412" s="540"/>
      <c r="AQ1412" s="540"/>
    </row>
    <row r="1413" spans="1:43" s="564" customFormat="1" ht="16.5" hidden="1" customHeight="1" outlineLevel="1" collapsed="1">
      <c r="A1413" s="584"/>
      <c r="B1413" s="576" t="s">
        <v>909</v>
      </c>
      <c r="C1413" s="577">
        <f>C1414*12/10^3</f>
        <v>3.0960000000000001</v>
      </c>
      <c r="D1413" s="577">
        <f t="shared" ref="D1413:AF1413" si="1256">D1414*12/10^3</f>
        <v>3.0960000000000001</v>
      </c>
      <c r="E1413" s="577">
        <f t="shared" si="1256"/>
        <v>3.0960000000000001</v>
      </c>
      <c r="F1413" s="577">
        <f t="shared" si="1256"/>
        <v>3.0960000000000001</v>
      </c>
      <c r="G1413" s="577">
        <f t="shared" si="1256"/>
        <v>3.0960000000000001</v>
      </c>
      <c r="H1413" s="577">
        <f t="shared" si="1256"/>
        <v>3.0960000000000001</v>
      </c>
      <c r="I1413" s="577">
        <f t="shared" si="1256"/>
        <v>3.0960000000000001</v>
      </c>
      <c r="J1413" s="577">
        <f t="shared" si="1256"/>
        <v>3.0960000000000001</v>
      </c>
      <c r="K1413" s="577">
        <f t="shared" si="1256"/>
        <v>3.0960000000000001</v>
      </c>
      <c r="L1413" s="577">
        <f t="shared" si="1256"/>
        <v>3.0960000000000001</v>
      </c>
      <c r="M1413" s="577">
        <f t="shared" si="1256"/>
        <v>3.0960000000000001</v>
      </c>
      <c r="N1413" s="577">
        <f t="shared" si="1256"/>
        <v>3.0960000000000001</v>
      </c>
      <c r="O1413" s="577">
        <f t="shared" si="1256"/>
        <v>3.0960000000000001</v>
      </c>
      <c r="P1413" s="577">
        <f t="shared" si="1256"/>
        <v>3.0960000000000001</v>
      </c>
      <c r="Q1413" s="577">
        <f t="shared" si="1256"/>
        <v>3.0960000000000001</v>
      </c>
      <c r="R1413" s="577">
        <f t="shared" si="1256"/>
        <v>3.0960000000000001</v>
      </c>
      <c r="S1413" s="577">
        <f t="shared" si="1256"/>
        <v>3.0960000000000001</v>
      </c>
      <c r="T1413" s="577">
        <f t="shared" si="1256"/>
        <v>3.0960000000000001</v>
      </c>
      <c r="U1413" s="577">
        <f t="shared" si="1256"/>
        <v>3.0960000000000001</v>
      </c>
      <c r="V1413" s="577">
        <f t="shared" si="1256"/>
        <v>3.0960000000000001</v>
      </c>
      <c r="W1413" s="577">
        <f t="shared" si="1256"/>
        <v>3.0960000000000001</v>
      </c>
      <c r="X1413" s="577">
        <f t="shared" si="1256"/>
        <v>3.0960000000000001</v>
      </c>
      <c r="Y1413" s="577">
        <f t="shared" si="1256"/>
        <v>3.0960000000000001</v>
      </c>
      <c r="Z1413" s="577">
        <f t="shared" si="1256"/>
        <v>3.0960000000000001</v>
      </c>
      <c r="AA1413" s="577">
        <f t="shared" si="1256"/>
        <v>3.0960000000000001</v>
      </c>
      <c r="AB1413" s="577">
        <f t="shared" si="1256"/>
        <v>3.0960000000000001</v>
      </c>
      <c r="AC1413" s="577">
        <f t="shared" si="1256"/>
        <v>3.0960000000000001</v>
      </c>
      <c r="AD1413" s="577">
        <f t="shared" si="1256"/>
        <v>3.0960000000000001</v>
      </c>
      <c r="AE1413" s="577">
        <f t="shared" si="1256"/>
        <v>3.0960000000000001</v>
      </c>
      <c r="AF1413" s="577">
        <f t="shared" si="1256"/>
        <v>3.0960000000000001</v>
      </c>
      <c r="AH1413" s="578">
        <f>SUM(C1413:AF1413)</f>
        <v>92.880000000000067</v>
      </c>
      <c r="AK1413" s="531"/>
      <c r="AM1413" s="594"/>
      <c r="AN1413" s="535"/>
      <c r="AP1413" s="568"/>
      <c r="AQ1413" s="568"/>
    </row>
    <row r="1414" spans="1:43" s="546" customFormat="1" ht="16.5" hidden="1" customHeight="1" outlineLevel="2">
      <c r="A1414" s="584"/>
      <c r="B1414" s="603" t="s">
        <v>910</v>
      </c>
      <c r="C1414" s="581">
        <f>C1416*C1415</f>
        <v>258</v>
      </c>
      <c r="D1414" s="581">
        <f t="shared" ref="D1414:AF1414" si="1257">D1416*D1415</f>
        <v>258</v>
      </c>
      <c r="E1414" s="581">
        <f t="shared" si="1257"/>
        <v>258</v>
      </c>
      <c r="F1414" s="581">
        <f t="shared" si="1257"/>
        <v>258</v>
      </c>
      <c r="G1414" s="581">
        <f t="shared" si="1257"/>
        <v>258</v>
      </c>
      <c r="H1414" s="581">
        <f t="shared" si="1257"/>
        <v>258</v>
      </c>
      <c r="I1414" s="581">
        <f t="shared" si="1257"/>
        <v>258</v>
      </c>
      <c r="J1414" s="581">
        <f t="shared" si="1257"/>
        <v>258</v>
      </c>
      <c r="K1414" s="581">
        <f t="shared" si="1257"/>
        <v>258</v>
      </c>
      <c r="L1414" s="581">
        <f t="shared" si="1257"/>
        <v>258</v>
      </c>
      <c r="M1414" s="581">
        <f t="shared" si="1257"/>
        <v>258</v>
      </c>
      <c r="N1414" s="581">
        <f t="shared" si="1257"/>
        <v>258</v>
      </c>
      <c r="O1414" s="581">
        <f t="shared" si="1257"/>
        <v>258</v>
      </c>
      <c r="P1414" s="581">
        <f t="shared" si="1257"/>
        <v>258</v>
      </c>
      <c r="Q1414" s="581">
        <f t="shared" si="1257"/>
        <v>258</v>
      </c>
      <c r="R1414" s="581">
        <f t="shared" si="1257"/>
        <v>258</v>
      </c>
      <c r="S1414" s="581">
        <f t="shared" si="1257"/>
        <v>258</v>
      </c>
      <c r="T1414" s="581">
        <f t="shared" si="1257"/>
        <v>258</v>
      </c>
      <c r="U1414" s="581">
        <f t="shared" si="1257"/>
        <v>258</v>
      </c>
      <c r="V1414" s="581">
        <f t="shared" si="1257"/>
        <v>258</v>
      </c>
      <c r="W1414" s="581">
        <f t="shared" si="1257"/>
        <v>258</v>
      </c>
      <c r="X1414" s="581">
        <f t="shared" si="1257"/>
        <v>258</v>
      </c>
      <c r="Y1414" s="581">
        <f t="shared" si="1257"/>
        <v>258</v>
      </c>
      <c r="Z1414" s="581">
        <f t="shared" si="1257"/>
        <v>258</v>
      </c>
      <c r="AA1414" s="581">
        <f t="shared" si="1257"/>
        <v>258</v>
      </c>
      <c r="AB1414" s="581">
        <f t="shared" si="1257"/>
        <v>258</v>
      </c>
      <c r="AC1414" s="581">
        <f t="shared" si="1257"/>
        <v>258</v>
      </c>
      <c r="AD1414" s="581">
        <f t="shared" si="1257"/>
        <v>258</v>
      </c>
      <c r="AE1414" s="581">
        <f t="shared" si="1257"/>
        <v>258</v>
      </c>
      <c r="AF1414" s="581">
        <f t="shared" si="1257"/>
        <v>258</v>
      </c>
      <c r="AH1414" s="571"/>
      <c r="AK1414" s="531"/>
      <c r="AM1414" s="594"/>
      <c r="AN1414" s="535"/>
      <c r="AP1414" s="549"/>
      <c r="AQ1414" s="549"/>
    </row>
    <row r="1415" spans="1:43" s="513" customFormat="1" ht="16.5" hidden="1" customHeight="1" outlineLevel="2">
      <c r="A1415" s="584"/>
      <c r="B1415" s="604" t="s">
        <v>1031</v>
      </c>
      <c r="C1415" s="721">
        <f>C1387+C1419</f>
        <v>1</v>
      </c>
      <c r="D1415" s="721">
        <f t="shared" ref="D1415:AF1415" si="1258">D1383</f>
        <v>1</v>
      </c>
      <c r="E1415" s="721">
        <f t="shared" si="1258"/>
        <v>1</v>
      </c>
      <c r="F1415" s="721">
        <f t="shared" si="1258"/>
        <v>1</v>
      </c>
      <c r="G1415" s="721">
        <f t="shared" si="1258"/>
        <v>1</v>
      </c>
      <c r="H1415" s="721">
        <f t="shared" si="1258"/>
        <v>1</v>
      </c>
      <c r="I1415" s="721">
        <f t="shared" si="1258"/>
        <v>1</v>
      </c>
      <c r="J1415" s="721">
        <f t="shared" si="1258"/>
        <v>1</v>
      </c>
      <c r="K1415" s="721">
        <f t="shared" si="1258"/>
        <v>1</v>
      </c>
      <c r="L1415" s="721">
        <f t="shared" si="1258"/>
        <v>1</v>
      </c>
      <c r="M1415" s="721">
        <f t="shared" si="1258"/>
        <v>1</v>
      </c>
      <c r="N1415" s="721">
        <f t="shared" si="1258"/>
        <v>1</v>
      </c>
      <c r="O1415" s="721">
        <f t="shared" si="1258"/>
        <v>1</v>
      </c>
      <c r="P1415" s="721">
        <f t="shared" si="1258"/>
        <v>1</v>
      </c>
      <c r="Q1415" s="721">
        <f t="shared" si="1258"/>
        <v>1</v>
      </c>
      <c r="R1415" s="721">
        <f t="shared" si="1258"/>
        <v>1</v>
      </c>
      <c r="S1415" s="721">
        <f t="shared" si="1258"/>
        <v>1</v>
      </c>
      <c r="T1415" s="721">
        <f t="shared" si="1258"/>
        <v>1</v>
      </c>
      <c r="U1415" s="721">
        <f t="shared" si="1258"/>
        <v>1</v>
      </c>
      <c r="V1415" s="721">
        <f t="shared" si="1258"/>
        <v>1</v>
      </c>
      <c r="W1415" s="721">
        <f t="shared" si="1258"/>
        <v>1</v>
      </c>
      <c r="X1415" s="721">
        <f t="shared" si="1258"/>
        <v>1</v>
      </c>
      <c r="Y1415" s="721">
        <f t="shared" si="1258"/>
        <v>1</v>
      </c>
      <c r="Z1415" s="721">
        <f t="shared" si="1258"/>
        <v>1</v>
      </c>
      <c r="AA1415" s="721">
        <f t="shared" si="1258"/>
        <v>1</v>
      </c>
      <c r="AB1415" s="721">
        <f t="shared" si="1258"/>
        <v>1</v>
      </c>
      <c r="AC1415" s="721">
        <f t="shared" si="1258"/>
        <v>1</v>
      </c>
      <c r="AD1415" s="721">
        <f t="shared" si="1258"/>
        <v>1</v>
      </c>
      <c r="AE1415" s="721">
        <f t="shared" si="1258"/>
        <v>1</v>
      </c>
      <c r="AF1415" s="721">
        <f t="shared" si="1258"/>
        <v>1</v>
      </c>
      <c r="AH1415" s="538"/>
      <c r="AK1415" s="531"/>
      <c r="AM1415" s="594"/>
      <c r="AN1415" s="535"/>
      <c r="AP1415" s="540"/>
      <c r="AQ1415" s="540"/>
    </row>
    <row r="1416" spans="1:43" s="513" customFormat="1" ht="16.5" hidden="1" customHeight="1" outlineLevel="2">
      <c r="A1416" s="584"/>
      <c r="B1416" s="604" t="s">
        <v>912</v>
      </c>
      <c r="C1416" s="605">
        <f>Insumos!$E$45*4.3</f>
        <v>258</v>
      </c>
      <c r="D1416" s="605">
        <f>C1416</f>
        <v>258</v>
      </c>
      <c r="E1416" s="605">
        <f t="shared" ref="E1416:AF1416" si="1259">D1416</f>
        <v>258</v>
      </c>
      <c r="F1416" s="605">
        <f t="shared" si="1259"/>
        <v>258</v>
      </c>
      <c r="G1416" s="605">
        <f t="shared" si="1259"/>
        <v>258</v>
      </c>
      <c r="H1416" s="605">
        <f t="shared" si="1259"/>
        <v>258</v>
      </c>
      <c r="I1416" s="605">
        <f t="shared" si="1259"/>
        <v>258</v>
      </c>
      <c r="J1416" s="605">
        <f t="shared" si="1259"/>
        <v>258</v>
      </c>
      <c r="K1416" s="605">
        <f t="shared" si="1259"/>
        <v>258</v>
      </c>
      <c r="L1416" s="605">
        <f t="shared" si="1259"/>
        <v>258</v>
      </c>
      <c r="M1416" s="605">
        <f t="shared" si="1259"/>
        <v>258</v>
      </c>
      <c r="N1416" s="605">
        <f t="shared" si="1259"/>
        <v>258</v>
      </c>
      <c r="O1416" s="605">
        <f t="shared" si="1259"/>
        <v>258</v>
      </c>
      <c r="P1416" s="605">
        <f t="shared" si="1259"/>
        <v>258</v>
      </c>
      <c r="Q1416" s="605">
        <f t="shared" si="1259"/>
        <v>258</v>
      </c>
      <c r="R1416" s="605">
        <f t="shared" si="1259"/>
        <v>258</v>
      </c>
      <c r="S1416" s="605">
        <f t="shared" si="1259"/>
        <v>258</v>
      </c>
      <c r="T1416" s="605">
        <f t="shared" si="1259"/>
        <v>258</v>
      </c>
      <c r="U1416" s="605">
        <f t="shared" si="1259"/>
        <v>258</v>
      </c>
      <c r="V1416" s="605">
        <f t="shared" si="1259"/>
        <v>258</v>
      </c>
      <c r="W1416" s="605">
        <f t="shared" si="1259"/>
        <v>258</v>
      </c>
      <c r="X1416" s="605">
        <f t="shared" si="1259"/>
        <v>258</v>
      </c>
      <c r="Y1416" s="605">
        <f t="shared" si="1259"/>
        <v>258</v>
      </c>
      <c r="Z1416" s="605">
        <f t="shared" si="1259"/>
        <v>258</v>
      </c>
      <c r="AA1416" s="605">
        <f t="shared" si="1259"/>
        <v>258</v>
      </c>
      <c r="AB1416" s="605">
        <f t="shared" si="1259"/>
        <v>258</v>
      </c>
      <c r="AC1416" s="605">
        <f t="shared" si="1259"/>
        <v>258</v>
      </c>
      <c r="AD1416" s="605">
        <f t="shared" si="1259"/>
        <v>258</v>
      </c>
      <c r="AE1416" s="605">
        <f t="shared" si="1259"/>
        <v>258</v>
      </c>
      <c r="AF1416" s="605">
        <f t="shared" si="1259"/>
        <v>258</v>
      </c>
      <c r="AH1416" s="538"/>
      <c r="AK1416" s="531"/>
      <c r="AM1416" s="594"/>
      <c r="AN1416" s="535"/>
      <c r="AP1416" s="540"/>
      <c r="AQ1416" s="540"/>
    </row>
    <row r="1417" spans="1:43" s="564" customFormat="1" ht="16.5" hidden="1" customHeight="1" outlineLevel="1" collapsed="1">
      <c r="A1417" s="584"/>
      <c r="B1417" s="576" t="s">
        <v>915</v>
      </c>
      <c r="C1417" s="577">
        <f>SUM(C1418)*12/10^3</f>
        <v>0</v>
      </c>
      <c r="D1417" s="577">
        <f t="shared" ref="D1417:AF1417" si="1260">SUM(D1418)*12/10^3</f>
        <v>0</v>
      </c>
      <c r="E1417" s="577">
        <f t="shared" si="1260"/>
        <v>0</v>
      </c>
      <c r="F1417" s="577">
        <f t="shared" si="1260"/>
        <v>0</v>
      </c>
      <c r="G1417" s="577">
        <f t="shared" si="1260"/>
        <v>0</v>
      </c>
      <c r="H1417" s="577">
        <f t="shared" si="1260"/>
        <v>0</v>
      </c>
      <c r="I1417" s="577">
        <f t="shared" si="1260"/>
        <v>0</v>
      </c>
      <c r="J1417" s="577">
        <f t="shared" si="1260"/>
        <v>0</v>
      </c>
      <c r="K1417" s="577">
        <f t="shared" si="1260"/>
        <v>0</v>
      </c>
      <c r="L1417" s="577">
        <f t="shared" si="1260"/>
        <v>0</v>
      </c>
      <c r="M1417" s="577">
        <f t="shared" si="1260"/>
        <v>0</v>
      </c>
      <c r="N1417" s="577">
        <f t="shared" si="1260"/>
        <v>0</v>
      </c>
      <c r="O1417" s="577">
        <f t="shared" si="1260"/>
        <v>0</v>
      </c>
      <c r="P1417" s="577">
        <f t="shared" si="1260"/>
        <v>0</v>
      </c>
      <c r="Q1417" s="577">
        <f t="shared" si="1260"/>
        <v>0</v>
      </c>
      <c r="R1417" s="577">
        <f t="shared" si="1260"/>
        <v>0</v>
      </c>
      <c r="S1417" s="577">
        <f t="shared" si="1260"/>
        <v>0</v>
      </c>
      <c r="T1417" s="577">
        <f t="shared" si="1260"/>
        <v>0</v>
      </c>
      <c r="U1417" s="577">
        <f t="shared" si="1260"/>
        <v>0</v>
      </c>
      <c r="V1417" s="577">
        <f t="shared" si="1260"/>
        <v>0</v>
      </c>
      <c r="W1417" s="577">
        <f t="shared" si="1260"/>
        <v>0</v>
      </c>
      <c r="X1417" s="577">
        <f t="shared" si="1260"/>
        <v>0</v>
      </c>
      <c r="Y1417" s="577">
        <f t="shared" si="1260"/>
        <v>0</v>
      </c>
      <c r="Z1417" s="577">
        <f t="shared" si="1260"/>
        <v>0</v>
      </c>
      <c r="AA1417" s="577">
        <f t="shared" si="1260"/>
        <v>0</v>
      </c>
      <c r="AB1417" s="577">
        <f t="shared" si="1260"/>
        <v>0</v>
      </c>
      <c r="AC1417" s="577">
        <f t="shared" si="1260"/>
        <v>0</v>
      </c>
      <c r="AD1417" s="577">
        <f t="shared" si="1260"/>
        <v>0</v>
      </c>
      <c r="AE1417" s="577">
        <f t="shared" si="1260"/>
        <v>0</v>
      </c>
      <c r="AF1417" s="577">
        <f t="shared" si="1260"/>
        <v>0</v>
      </c>
      <c r="AH1417" s="578">
        <f>SUM(C1417:AF1417)</f>
        <v>0</v>
      </c>
      <c r="AJ1417" s="579"/>
      <c r="AK1417" s="531"/>
      <c r="AM1417" s="594"/>
      <c r="AN1417" s="535"/>
      <c r="AP1417" s="568"/>
      <c r="AQ1417" s="568"/>
    </row>
    <row r="1418" spans="1:43" s="546" customFormat="1" ht="16.5" hidden="1" customHeight="1" outlineLevel="2">
      <c r="A1418" s="584"/>
      <c r="B1418" s="595" t="s">
        <v>862</v>
      </c>
      <c r="C1418" s="581">
        <f>((C1419*C1423)*(C1421+C1422)/12)+((C1420*C1419)/12)</f>
        <v>0</v>
      </c>
      <c r="D1418" s="581">
        <f t="shared" ref="D1418:AF1418" si="1261">((D1419*D1423)*(D1421+D1422)/12)+((D1420*D1419)/12)</f>
        <v>0</v>
      </c>
      <c r="E1418" s="581">
        <f t="shared" si="1261"/>
        <v>0</v>
      </c>
      <c r="F1418" s="581">
        <f t="shared" si="1261"/>
        <v>0</v>
      </c>
      <c r="G1418" s="581">
        <f t="shared" si="1261"/>
        <v>0</v>
      </c>
      <c r="H1418" s="581">
        <f t="shared" si="1261"/>
        <v>0</v>
      </c>
      <c r="I1418" s="581">
        <f t="shared" si="1261"/>
        <v>0</v>
      </c>
      <c r="J1418" s="581">
        <f t="shared" si="1261"/>
        <v>0</v>
      </c>
      <c r="K1418" s="581">
        <f t="shared" si="1261"/>
        <v>0</v>
      </c>
      <c r="L1418" s="581">
        <f t="shared" si="1261"/>
        <v>0</v>
      </c>
      <c r="M1418" s="581">
        <f t="shared" si="1261"/>
        <v>0</v>
      </c>
      <c r="N1418" s="581">
        <f t="shared" si="1261"/>
        <v>0</v>
      </c>
      <c r="O1418" s="581">
        <f t="shared" si="1261"/>
        <v>0</v>
      </c>
      <c r="P1418" s="581">
        <f t="shared" si="1261"/>
        <v>0</v>
      </c>
      <c r="Q1418" s="581">
        <f t="shared" si="1261"/>
        <v>0</v>
      </c>
      <c r="R1418" s="581">
        <f t="shared" si="1261"/>
        <v>0</v>
      </c>
      <c r="S1418" s="581">
        <f t="shared" si="1261"/>
        <v>0</v>
      </c>
      <c r="T1418" s="581">
        <f t="shared" si="1261"/>
        <v>0</v>
      </c>
      <c r="U1418" s="581">
        <f t="shared" si="1261"/>
        <v>0</v>
      </c>
      <c r="V1418" s="581">
        <f t="shared" si="1261"/>
        <v>0</v>
      </c>
      <c r="W1418" s="581">
        <f t="shared" si="1261"/>
        <v>0</v>
      </c>
      <c r="X1418" s="581">
        <f t="shared" si="1261"/>
        <v>0</v>
      </c>
      <c r="Y1418" s="581">
        <f t="shared" si="1261"/>
        <v>0</v>
      </c>
      <c r="Z1418" s="581">
        <f t="shared" si="1261"/>
        <v>0</v>
      </c>
      <c r="AA1418" s="581">
        <f t="shared" si="1261"/>
        <v>0</v>
      </c>
      <c r="AB1418" s="581">
        <f t="shared" si="1261"/>
        <v>0</v>
      </c>
      <c r="AC1418" s="581">
        <f t="shared" si="1261"/>
        <v>0</v>
      </c>
      <c r="AD1418" s="581">
        <f t="shared" si="1261"/>
        <v>0</v>
      </c>
      <c r="AE1418" s="581">
        <f t="shared" si="1261"/>
        <v>0</v>
      </c>
      <c r="AF1418" s="581">
        <f t="shared" si="1261"/>
        <v>0</v>
      </c>
      <c r="AH1418" s="571"/>
      <c r="AK1418" s="531"/>
      <c r="AM1418" s="594"/>
      <c r="AN1418" s="535"/>
      <c r="AP1418" s="549"/>
      <c r="AQ1418" s="549"/>
    </row>
    <row r="1419" spans="1:43" s="513" customFormat="1" ht="16.5" hidden="1" customHeight="1" outlineLevel="2">
      <c r="A1419" s="584"/>
      <c r="B1419" s="572" t="s">
        <v>805</v>
      </c>
      <c r="C1419" s="623">
        <v>0</v>
      </c>
      <c r="D1419" s="623">
        <f>C1419</f>
        <v>0</v>
      </c>
      <c r="E1419" s="623">
        <f t="shared" ref="E1419:T1419" si="1262">D1419</f>
        <v>0</v>
      </c>
      <c r="F1419" s="623">
        <f t="shared" si="1262"/>
        <v>0</v>
      </c>
      <c r="G1419" s="623">
        <f t="shared" si="1262"/>
        <v>0</v>
      </c>
      <c r="H1419" s="623">
        <f t="shared" si="1262"/>
        <v>0</v>
      </c>
      <c r="I1419" s="623">
        <f t="shared" si="1262"/>
        <v>0</v>
      </c>
      <c r="J1419" s="623">
        <f t="shared" si="1262"/>
        <v>0</v>
      </c>
      <c r="K1419" s="623">
        <f t="shared" si="1262"/>
        <v>0</v>
      </c>
      <c r="L1419" s="623">
        <f t="shared" si="1262"/>
        <v>0</v>
      </c>
      <c r="M1419" s="623">
        <f t="shared" si="1262"/>
        <v>0</v>
      </c>
      <c r="N1419" s="623">
        <f t="shared" si="1262"/>
        <v>0</v>
      </c>
      <c r="O1419" s="623">
        <f t="shared" si="1262"/>
        <v>0</v>
      </c>
      <c r="P1419" s="623">
        <f t="shared" si="1262"/>
        <v>0</v>
      </c>
      <c r="Q1419" s="623">
        <f t="shared" si="1262"/>
        <v>0</v>
      </c>
      <c r="R1419" s="623">
        <f t="shared" si="1262"/>
        <v>0</v>
      </c>
      <c r="S1419" s="623">
        <f t="shared" si="1262"/>
        <v>0</v>
      </c>
      <c r="T1419" s="623">
        <f t="shared" si="1262"/>
        <v>0</v>
      </c>
      <c r="U1419" s="623">
        <f t="shared" ref="U1419:AF1419" si="1263">T1419</f>
        <v>0</v>
      </c>
      <c r="V1419" s="623">
        <f t="shared" si="1263"/>
        <v>0</v>
      </c>
      <c r="W1419" s="623">
        <f t="shared" si="1263"/>
        <v>0</v>
      </c>
      <c r="X1419" s="623">
        <f t="shared" si="1263"/>
        <v>0</v>
      </c>
      <c r="Y1419" s="623">
        <f t="shared" si="1263"/>
        <v>0</v>
      </c>
      <c r="Z1419" s="623">
        <f t="shared" si="1263"/>
        <v>0</v>
      </c>
      <c r="AA1419" s="623">
        <f t="shared" si="1263"/>
        <v>0</v>
      </c>
      <c r="AB1419" s="623">
        <f t="shared" si="1263"/>
        <v>0</v>
      </c>
      <c r="AC1419" s="623">
        <f t="shared" si="1263"/>
        <v>0</v>
      </c>
      <c r="AD1419" s="623">
        <f t="shared" si="1263"/>
        <v>0</v>
      </c>
      <c r="AE1419" s="623">
        <f t="shared" si="1263"/>
        <v>0</v>
      </c>
      <c r="AF1419" s="623">
        <f t="shared" si="1263"/>
        <v>0</v>
      </c>
      <c r="AH1419" s="538"/>
      <c r="AK1419" s="531"/>
      <c r="AM1419" s="594"/>
      <c r="AN1419" s="535"/>
      <c r="AP1419" s="540"/>
      <c r="AQ1419" s="540"/>
    </row>
    <row r="1420" spans="1:43" s="513" customFormat="1" ht="16.5" hidden="1" customHeight="1" outlineLevel="2">
      <c r="A1420" s="584"/>
      <c r="B1420" s="572" t="s">
        <v>916</v>
      </c>
      <c r="C1420" s="605">
        <v>0</v>
      </c>
      <c r="D1420" s="605">
        <v>0</v>
      </c>
      <c r="E1420" s="605">
        <v>0</v>
      </c>
      <c r="F1420" s="605">
        <v>0</v>
      </c>
      <c r="G1420" s="605">
        <v>0</v>
      </c>
      <c r="H1420" s="605">
        <v>0</v>
      </c>
      <c r="I1420" s="605">
        <v>0</v>
      </c>
      <c r="J1420" s="605">
        <v>0</v>
      </c>
      <c r="K1420" s="605">
        <v>0</v>
      </c>
      <c r="L1420" s="605">
        <v>0</v>
      </c>
      <c r="M1420" s="605">
        <v>0</v>
      </c>
      <c r="N1420" s="605">
        <v>0</v>
      </c>
      <c r="O1420" s="605">
        <v>0</v>
      </c>
      <c r="P1420" s="605">
        <v>0</v>
      </c>
      <c r="Q1420" s="605">
        <v>0</v>
      </c>
      <c r="R1420" s="605">
        <v>0</v>
      </c>
      <c r="S1420" s="605">
        <v>0</v>
      </c>
      <c r="T1420" s="605">
        <v>0</v>
      </c>
      <c r="U1420" s="605">
        <v>0</v>
      </c>
      <c r="V1420" s="605">
        <v>0</v>
      </c>
      <c r="W1420" s="605">
        <v>0</v>
      </c>
      <c r="X1420" s="605">
        <v>0</v>
      </c>
      <c r="Y1420" s="605">
        <v>0</v>
      </c>
      <c r="Z1420" s="605">
        <v>0</v>
      </c>
      <c r="AA1420" s="605">
        <v>0</v>
      </c>
      <c r="AB1420" s="605">
        <v>0</v>
      </c>
      <c r="AC1420" s="605">
        <v>0</v>
      </c>
      <c r="AD1420" s="605">
        <v>0</v>
      </c>
      <c r="AE1420" s="605">
        <v>0</v>
      </c>
      <c r="AF1420" s="605">
        <v>0</v>
      </c>
      <c r="AH1420" s="538"/>
      <c r="AK1420" s="531"/>
      <c r="AM1420" s="594"/>
      <c r="AN1420" s="535"/>
      <c r="AP1420" s="540"/>
      <c r="AQ1420" s="540"/>
    </row>
    <row r="1421" spans="1:43" s="513" customFormat="1" ht="16.5" hidden="1" customHeight="1" outlineLevel="2">
      <c r="A1421" s="584"/>
      <c r="B1421" s="572" t="s">
        <v>917</v>
      </c>
      <c r="C1421" s="605">
        <v>0</v>
      </c>
      <c r="D1421" s="605">
        <v>0</v>
      </c>
      <c r="E1421" s="605">
        <v>0</v>
      </c>
      <c r="F1421" s="605">
        <v>0</v>
      </c>
      <c r="G1421" s="605">
        <v>0</v>
      </c>
      <c r="H1421" s="605">
        <v>0</v>
      </c>
      <c r="I1421" s="605">
        <v>0</v>
      </c>
      <c r="J1421" s="605">
        <v>0</v>
      </c>
      <c r="K1421" s="605">
        <v>0</v>
      </c>
      <c r="L1421" s="605">
        <v>0</v>
      </c>
      <c r="M1421" s="605">
        <v>0</v>
      </c>
      <c r="N1421" s="605">
        <v>0</v>
      </c>
      <c r="O1421" s="605">
        <v>0</v>
      </c>
      <c r="P1421" s="605">
        <v>0</v>
      </c>
      <c r="Q1421" s="605">
        <v>0</v>
      </c>
      <c r="R1421" s="605">
        <v>0</v>
      </c>
      <c r="S1421" s="605">
        <v>0</v>
      </c>
      <c r="T1421" s="605">
        <v>0</v>
      </c>
      <c r="U1421" s="605">
        <v>0</v>
      </c>
      <c r="V1421" s="605">
        <v>0</v>
      </c>
      <c r="W1421" s="605">
        <v>0</v>
      </c>
      <c r="X1421" s="605">
        <v>0</v>
      </c>
      <c r="Y1421" s="605">
        <v>0</v>
      </c>
      <c r="Z1421" s="605">
        <v>0</v>
      </c>
      <c r="AA1421" s="605">
        <v>0</v>
      </c>
      <c r="AB1421" s="605">
        <v>0</v>
      </c>
      <c r="AC1421" s="605">
        <v>0</v>
      </c>
      <c r="AD1421" s="605">
        <v>0</v>
      </c>
      <c r="AE1421" s="605">
        <v>0</v>
      </c>
      <c r="AF1421" s="605">
        <v>0</v>
      </c>
      <c r="AH1421" s="538"/>
      <c r="AK1421" s="531"/>
      <c r="AM1421" s="594"/>
      <c r="AN1421" s="535"/>
      <c r="AP1421" s="540"/>
      <c r="AQ1421" s="540"/>
    </row>
    <row r="1422" spans="1:43" s="513" customFormat="1" ht="16.5" hidden="1" customHeight="1" outlineLevel="2">
      <c r="A1422" s="584"/>
      <c r="B1422" s="572" t="s">
        <v>918</v>
      </c>
      <c r="C1422" s="605">
        <v>0</v>
      </c>
      <c r="D1422" s="605">
        <v>0</v>
      </c>
      <c r="E1422" s="605">
        <v>0</v>
      </c>
      <c r="F1422" s="605">
        <v>0</v>
      </c>
      <c r="G1422" s="605">
        <v>0</v>
      </c>
      <c r="H1422" s="605">
        <v>0</v>
      </c>
      <c r="I1422" s="605">
        <v>0</v>
      </c>
      <c r="J1422" s="605">
        <v>0</v>
      </c>
      <c r="K1422" s="605">
        <v>0</v>
      </c>
      <c r="L1422" s="605">
        <v>0</v>
      </c>
      <c r="M1422" s="605">
        <v>0</v>
      </c>
      <c r="N1422" s="605">
        <v>0</v>
      </c>
      <c r="O1422" s="605">
        <v>0</v>
      </c>
      <c r="P1422" s="605">
        <v>0</v>
      </c>
      <c r="Q1422" s="605">
        <v>0</v>
      </c>
      <c r="R1422" s="605">
        <v>0</v>
      </c>
      <c r="S1422" s="605">
        <v>0</v>
      </c>
      <c r="T1422" s="605">
        <v>0</v>
      </c>
      <c r="U1422" s="605">
        <v>0</v>
      </c>
      <c r="V1422" s="605">
        <v>0</v>
      </c>
      <c r="W1422" s="605">
        <v>0</v>
      </c>
      <c r="X1422" s="605">
        <v>0</v>
      </c>
      <c r="Y1422" s="605">
        <v>0</v>
      </c>
      <c r="Z1422" s="605">
        <v>0</v>
      </c>
      <c r="AA1422" s="605">
        <v>0</v>
      </c>
      <c r="AB1422" s="605">
        <v>0</v>
      </c>
      <c r="AC1422" s="605">
        <v>0</v>
      </c>
      <c r="AD1422" s="605">
        <v>0</v>
      </c>
      <c r="AE1422" s="605">
        <v>0</v>
      </c>
      <c r="AF1422" s="605">
        <v>0</v>
      </c>
      <c r="AH1422" s="538"/>
      <c r="AK1422" s="531"/>
      <c r="AM1422" s="594"/>
      <c r="AN1422" s="535"/>
      <c r="AP1422" s="540"/>
      <c r="AQ1422" s="540"/>
    </row>
    <row r="1423" spans="1:43" s="513" customFormat="1" ht="16.5" hidden="1" customHeight="1" outlineLevel="2">
      <c r="A1423" s="584"/>
      <c r="B1423" s="572" t="s">
        <v>919</v>
      </c>
      <c r="C1423" s="605">
        <v>0</v>
      </c>
      <c r="D1423" s="605">
        <v>0</v>
      </c>
      <c r="E1423" s="605">
        <v>0</v>
      </c>
      <c r="F1423" s="605">
        <v>0</v>
      </c>
      <c r="G1423" s="605">
        <v>0</v>
      </c>
      <c r="H1423" s="605">
        <v>0</v>
      </c>
      <c r="I1423" s="605">
        <v>0</v>
      </c>
      <c r="J1423" s="605">
        <v>0</v>
      </c>
      <c r="K1423" s="605">
        <v>0</v>
      </c>
      <c r="L1423" s="605">
        <v>0</v>
      </c>
      <c r="M1423" s="605">
        <v>0</v>
      </c>
      <c r="N1423" s="605">
        <v>0</v>
      </c>
      <c r="O1423" s="605">
        <v>0</v>
      </c>
      <c r="P1423" s="605">
        <v>0</v>
      </c>
      <c r="Q1423" s="605">
        <v>0</v>
      </c>
      <c r="R1423" s="605">
        <v>0</v>
      </c>
      <c r="S1423" s="605">
        <v>0</v>
      </c>
      <c r="T1423" s="605">
        <v>0</v>
      </c>
      <c r="U1423" s="605">
        <v>0</v>
      </c>
      <c r="V1423" s="605">
        <v>0</v>
      </c>
      <c r="W1423" s="605">
        <v>0</v>
      </c>
      <c r="X1423" s="605">
        <v>0</v>
      </c>
      <c r="Y1423" s="605">
        <v>0</v>
      </c>
      <c r="Z1423" s="605">
        <v>0</v>
      </c>
      <c r="AA1423" s="605">
        <v>0</v>
      </c>
      <c r="AB1423" s="605">
        <v>0</v>
      </c>
      <c r="AC1423" s="605">
        <v>0</v>
      </c>
      <c r="AD1423" s="605">
        <v>0</v>
      </c>
      <c r="AE1423" s="605">
        <v>0</v>
      </c>
      <c r="AF1423" s="605">
        <v>0</v>
      </c>
      <c r="AH1423" s="538"/>
      <c r="AK1423" s="531"/>
      <c r="AM1423" s="594"/>
      <c r="AN1423" s="535"/>
      <c r="AP1423" s="540"/>
      <c r="AQ1423" s="540"/>
    </row>
    <row r="1424" spans="1:43" s="564" customFormat="1" ht="16.5" hidden="1" customHeight="1" outlineLevel="1" collapsed="1">
      <c r="A1424" s="584"/>
      <c r="B1424" s="576" t="s">
        <v>950</v>
      </c>
      <c r="C1424" s="577">
        <f>C1425*C1426*12/10^3</f>
        <v>3.3171599999999999</v>
      </c>
      <c r="D1424" s="577">
        <f t="shared" ref="D1424:AF1424" si="1264">D1425*D1426*12/10^3</f>
        <v>3.3171599999999999</v>
      </c>
      <c r="E1424" s="577">
        <f t="shared" si="1264"/>
        <v>3.3171599999999999</v>
      </c>
      <c r="F1424" s="577">
        <f t="shared" si="1264"/>
        <v>3.3171599999999999</v>
      </c>
      <c r="G1424" s="577">
        <f t="shared" si="1264"/>
        <v>3.3171599999999999</v>
      </c>
      <c r="H1424" s="577">
        <f>H1425*H1426*12/10^3</f>
        <v>3.3171599999999999</v>
      </c>
      <c r="I1424" s="577">
        <f t="shared" si="1264"/>
        <v>3.3171599999999999</v>
      </c>
      <c r="J1424" s="577">
        <f t="shared" si="1264"/>
        <v>3.3171599999999999</v>
      </c>
      <c r="K1424" s="577">
        <f t="shared" si="1264"/>
        <v>3.3171599999999999</v>
      </c>
      <c r="L1424" s="577">
        <f t="shared" si="1264"/>
        <v>3.3171599999999999</v>
      </c>
      <c r="M1424" s="577">
        <f t="shared" si="1264"/>
        <v>3.3171599999999999</v>
      </c>
      <c r="N1424" s="577">
        <f t="shared" si="1264"/>
        <v>3.3171599999999999</v>
      </c>
      <c r="O1424" s="577">
        <f t="shared" si="1264"/>
        <v>3.3171599999999999</v>
      </c>
      <c r="P1424" s="577">
        <f t="shared" si="1264"/>
        <v>3.3171599999999999</v>
      </c>
      <c r="Q1424" s="577">
        <f t="shared" si="1264"/>
        <v>3.3171599999999999</v>
      </c>
      <c r="R1424" s="577">
        <f t="shared" si="1264"/>
        <v>3.3171599999999999</v>
      </c>
      <c r="S1424" s="577">
        <f t="shared" si="1264"/>
        <v>3.3171599999999999</v>
      </c>
      <c r="T1424" s="577">
        <f t="shared" si="1264"/>
        <v>3.3171599999999999</v>
      </c>
      <c r="U1424" s="577">
        <f t="shared" si="1264"/>
        <v>3.3171599999999999</v>
      </c>
      <c r="V1424" s="577">
        <f t="shared" si="1264"/>
        <v>3.3171599999999999</v>
      </c>
      <c r="W1424" s="577">
        <f t="shared" si="1264"/>
        <v>3.3171599999999999</v>
      </c>
      <c r="X1424" s="577">
        <f t="shared" si="1264"/>
        <v>3.3171599999999999</v>
      </c>
      <c r="Y1424" s="577">
        <f t="shared" si="1264"/>
        <v>3.3171599999999999</v>
      </c>
      <c r="Z1424" s="577">
        <f t="shared" si="1264"/>
        <v>3.3171599999999999</v>
      </c>
      <c r="AA1424" s="577">
        <f t="shared" si="1264"/>
        <v>3.3171599999999999</v>
      </c>
      <c r="AB1424" s="577">
        <f t="shared" si="1264"/>
        <v>3.3171599999999999</v>
      </c>
      <c r="AC1424" s="577">
        <f t="shared" si="1264"/>
        <v>3.3171599999999999</v>
      </c>
      <c r="AD1424" s="577">
        <f t="shared" si="1264"/>
        <v>3.3171599999999999</v>
      </c>
      <c r="AE1424" s="577">
        <f t="shared" si="1264"/>
        <v>3.3171599999999999</v>
      </c>
      <c r="AF1424" s="577">
        <f t="shared" si="1264"/>
        <v>3.3171599999999999</v>
      </c>
      <c r="AH1424" s="578">
        <f>SUM(C1424:AF1424)</f>
        <v>99.514800000000022</v>
      </c>
      <c r="AJ1424" s="579"/>
      <c r="AK1424" s="531"/>
      <c r="AM1424" s="594"/>
      <c r="AN1424" s="535"/>
      <c r="AP1424" s="568"/>
      <c r="AQ1424" s="568"/>
    </row>
    <row r="1425" spans="1:43" s="513" customFormat="1" ht="16.5" hidden="1" customHeight="1" outlineLevel="2">
      <c r="A1425" s="584"/>
      <c r="B1425" s="551" t="s">
        <v>921</v>
      </c>
      <c r="C1425" s="643">
        <f>C1383</f>
        <v>1</v>
      </c>
      <c r="D1425" s="643">
        <f t="shared" ref="D1425:AF1425" si="1265">D1383</f>
        <v>1</v>
      </c>
      <c r="E1425" s="643">
        <f t="shared" si="1265"/>
        <v>1</v>
      </c>
      <c r="F1425" s="643">
        <f t="shared" si="1265"/>
        <v>1</v>
      </c>
      <c r="G1425" s="643">
        <f t="shared" si="1265"/>
        <v>1</v>
      </c>
      <c r="H1425" s="643">
        <f t="shared" si="1265"/>
        <v>1</v>
      </c>
      <c r="I1425" s="643">
        <f t="shared" si="1265"/>
        <v>1</v>
      </c>
      <c r="J1425" s="643">
        <f t="shared" si="1265"/>
        <v>1</v>
      </c>
      <c r="K1425" s="643">
        <f t="shared" si="1265"/>
        <v>1</v>
      </c>
      <c r="L1425" s="643">
        <f t="shared" si="1265"/>
        <v>1</v>
      </c>
      <c r="M1425" s="643">
        <f t="shared" si="1265"/>
        <v>1</v>
      </c>
      <c r="N1425" s="643">
        <f t="shared" si="1265"/>
        <v>1</v>
      </c>
      <c r="O1425" s="643">
        <f t="shared" si="1265"/>
        <v>1</v>
      </c>
      <c r="P1425" s="643">
        <f t="shared" si="1265"/>
        <v>1</v>
      </c>
      <c r="Q1425" s="643">
        <f t="shared" si="1265"/>
        <v>1</v>
      </c>
      <c r="R1425" s="643">
        <f t="shared" si="1265"/>
        <v>1</v>
      </c>
      <c r="S1425" s="643">
        <f t="shared" si="1265"/>
        <v>1</v>
      </c>
      <c r="T1425" s="643">
        <f t="shared" si="1265"/>
        <v>1</v>
      </c>
      <c r="U1425" s="643">
        <f t="shared" si="1265"/>
        <v>1</v>
      </c>
      <c r="V1425" s="643">
        <f t="shared" si="1265"/>
        <v>1</v>
      </c>
      <c r="W1425" s="643">
        <f t="shared" si="1265"/>
        <v>1</v>
      </c>
      <c r="X1425" s="643">
        <f t="shared" si="1265"/>
        <v>1</v>
      </c>
      <c r="Y1425" s="643">
        <f t="shared" si="1265"/>
        <v>1</v>
      </c>
      <c r="Z1425" s="643">
        <f t="shared" si="1265"/>
        <v>1</v>
      </c>
      <c r="AA1425" s="643">
        <f t="shared" si="1265"/>
        <v>1</v>
      </c>
      <c r="AB1425" s="643">
        <f t="shared" si="1265"/>
        <v>1</v>
      </c>
      <c r="AC1425" s="643">
        <f t="shared" si="1265"/>
        <v>1</v>
      </c>
      <c r="AD1425" s="643">
        <f t="shared" si="1265"/>
        <v>1</v>
      </c>
      <c r="AE1425" s="643">
        <f t="shared" si="1265"/>
        <v>1</v>
      </c>
      <c r="AF1425" s="643">
        <f t="shared" si="1265"/>
        <v>1</v>
      </c>
      <c r="AG1425" s="626"/>
      <c r="AH1425" s="538"/>
      <c r="AK1425" s="531"/>
      <c r="AM1425" s="594"/>
      <c r="AN1425" s="535"/>
      <c r="AP1425" s="540"/>
      <c r="AQ1425" s="540"/>
    </row>
    <row r="1426" spans="1:43" s="513" customFormat="1" ht="16.5" hidden="1" customHeight="1" outlineLevel="2">
      <c r="A1426" s="584"/>
      <c r="B1426" s="551" t="s">
        <v>888</v>
      </c>
      <c r="C1426" s="605">
        <f>Insumos!$E$53</f>
        <v>276.43</v>
      </c>
      <c r="D1426" s="605">
        <f>C1426</f>
        <v>276.43</v>
      </c>
      <c r="E1426" s="605">
        <f t="shared" ref="E1426:AF1426" si="1266">D1426</f>
        <v>276.43</v>
      </c>
      <c r="F1426" s="605">
        <f t="shared" si="1266"/>
        <v>276.43</v>
      </c>
      <c r="G1426" s="605">
        <f t="shared" si="1266"/>
        <v>276.43</v>
      </c>
      <c r="H1426" s="605">
        <f t="shared" si="1266"/>
        <v>276.43</v>
      </c>
      <c r="I1426" s="605">
        <f t="shared" si="1266"/>
        <v>276.43</v>
      </c>
      <c r="J1426" s="605">
        <f t="shared" si="1266"/>
        <v>276.43</v>
      </c>
      <c r="K1426" s="605">
        <f t="shared" si="1266"/>
        <v>276.43</v>
      </c>
      <c r="L1426" s="605">
        <f t="shared" si="1266"/>
        <v>276.43</v>
      </c>
      <c r="M1426" s="605">
        <f t="shared" si="1266"/>
        <v>276.43</v>
      </c>
      <c r="N1426" s="605">
        <f t="shared" si="1266"/>
        <v>276.43</v>
      </c>
      <c r="O1426" s="605">
        <f t="shared" si="1266"/>
        <v>276.43</v>
      </c>
      <c r="P1426" s="605">
        <f t="shared" si="1266"/>
        <v>276.43</v>
      </c>
      <c r="Q1426" s="605">
        <f t="shared" si="1266"/>
        <v>276.43</v>
      </c>
      <c r="R1426" s="605">
        <f t="shared" si="1266"/>
        <v>276.43</v>
      </c>
      <c r="S1426" s="605">
        <f t="shared" si="1266"/>
        <v>276.43</v>
      </c>
      <c r="T1426" s="605">
        <f t="shared" si="1266"/>
        <v>276.43</v>
      </c>
      <c r="U1426" s="605">
        <f t="shared" si="1266"/>
        <v>276.43</v>
      </c>
      <c r="V1426" s="605">
        <f t="shared" si="1266"/>
        <v>276.43</v>
      </c>
      <c r="W1426" s="605">
        <f t="shared" si="1266"/>
        <v>276.43</v>
      </c>
      <c r="X1426" s="605">
        <f t="shared" si="1266"/>
        <v>276.43</v>
      </c>
      <c r="Y1426" s="605">
        <f t="shared" si="1266"/>
        <v>276.43</v>
      </c>
      <c r="Z1426" s="605">
        <f t="shared" si="1266"/>
        <v>276.43</v>
      </c>
      <c r="AA1426" s="605">
        <f t="shared" si="1266"/>
        <v>276.43</v>
      </c>
      <c r="AB1426" s="605">
        <f t="shared" si="1266"/>
        <v>276.43</v>
      </c>
      <c r="AC1426" s="605">
        <f t="shared" si="1266"/>
        <v>276.43</v>
      </c>
      <c r="AD1426" s="605">
        <f t="shared" si="1266"/>
        <v>276.43</v>
      </c>
      <c r="AE1426" s="605">
        <f t="shared" si="1266"/>
        <v>276.43</v>
      </c>
      <c r="AF1426" s="605">
        <f t="shared" si="1266"/>
        <v>276.43</v>
      </c>
      <c r="AH1426" s="538"/>
      <c r="AK1426" s="531"/>
      <c r="AM1426" s="594"/>
      <c r="AN1426" s="535"/>
      <c r="AP1426" s="540"/>
      <c r="AQ1426" s="540"/>
    </row>
    <row r="1427" spans="1:43" s="564" customFormat="1" ht="16.5" hidden="1" customHeight="1" outlineLevel="1" collapsed="1">
      <c r="A1427" s="584"/>
      <c r="B1427" s="576" t="s">
        <v>922</v>
      </c>
      <c r="C1427" s="577">
        <f>(C1428+C1431+C1434+C1437)*12/10^3</f>
        <v>22.277999999999999</v>
      </c>
      <c r="D1427" s="577">
        <f t="shared" ref="D1427:AF1427" si="1267">(D1428+D1431+D1434+D1437)*12/10^3</f>
        <v>22.277999999999999</v>
      </c>
      <c r="E1427" s="577">
        <f t="shared" si="1267"/>
        <v>22.277999999999999</v>
      </c>
      <c r="F1427" s="577">
        <f t="shared" si="1267"/>
        <v>22.277999999999999</v>
      </c>
      <c r="G1427" s="577">
        <f t="shared" si="1267"/>
        <v>22.277999999999999</v>
      </c>
      <c r="H1427" s="577">
        <f t="shared" si="1267"/>
        <v>22.277999999999999</v>
      </c>
      <c r="I1427" s="577">
        <f t="shared" si="1267"/>
        <v>22.277999999999999</v>
      </c>
      <c r="J1427" s="577">
        <f t="shared" si="1267"/>
        <v>22.277999999999999</v>
      </c>
      <c r="K1427" s="577">
        <f t="shared" si="1267"/>
        <v>22.277999999999999</v>
      </c>
      <c r="L1427" s="577">
        <f t="shared" si="1267"/>
        <v>22.277999999999999</v>
      </c>
      <c r="M1427" s="577">
        <f t="shared" si="1267"/>
        <v>22.277999999999999</v>
      </c>
      <c r="N1427" s="577">
        <f t="shared" si="1267"/>
        <v>22.277999999999999</v>
      </c>
      <c r="O1427" s="577">
        <f t="shared" si="1267"/>
        <v>22.277999999999999</v>
      </c>
      <c r="P1427" s="577">
        <f t="shared" si="1267"/>
        <v>22.277999999999999</v>
      </c>
      <c r="Q1427" s="577">
        <f t="shared" si="1267"/>
        <v>22.277999999999999</v>
      </c>
      <c r="R1427" s="577">
        <f t="shared" si="1267"/>
        <v>22.277999999999999</v>
      </c>
      <c r="S1427" s="577">
        <f t="shared" si="1267"/>
        <v>22.277999999999999</v>
      </c>
      <c r="T1427" s="577">
        <f t="shared" si="1267"/>
        <v>22.277999999999999</v>
      </c>
      <c r="U1427" s="577">
        <f t="shared" si="1267"/>
        <v>22.277999999999999</v>
      </c>
      <c r="V1427" s="577">
        <f t="shared" si="1267"/>
        <v>22.277999999999999</v>
      </c>
      <c r="W1427" s="577">
        <f t="shared" si="1267"/>
        <v>22.277999999999999</v>
      </c>
      <c r="X1427" s="577">
        <f t="shared" si="1267"/>
        <v>22.277999999999999</v>
      </c>
      <c r="Y1427" s="577">
        <f t="shared" si="1267"/>
        <v>22.277999999999999</v>
      </c>
      <c r="Z1427" s="577">
        <f t="shared" si="1267"/>
        <v>22.277999999999999</v>
      </c>
      <c r="AA1427" s="577">
        <f t="shared" si="1267"/>
        <v>22.277999999999999</v>
      </c>
      <c r="AB1427" s="577">
        <f t="shared" si="1267"/>
        <v>22.277999999999999</v>
      </c>
      <c r="AC1427" s="577">
        <f t="shared" si="1267"/>
        <v>22.277999999999999</v>
      </c>
      <c r="AD1427" s="577">
        <f t="shared" si="1267"/>
        <v>22.277999999999999</v>
      </c>
      <c r="AE1427" s="577">
        <f t="shared" si="1267"/>
        <v>22.277999999999999</v>
      </c>
      <c r="AF1427" s="577">
        <f t="shared" si="1267"/>
        <v>22.277999999999999</v>
      </c>
      <c r="AG1427" s="652"/>
      <c r="AH1427" s="578">
        <f>SUM(C1427:AF1427)</f>
        <v>668.34000000000026</v>
      </c>
      <c r="AJ1427" s="579"/>
      <c r="AK1427" s="531"/>
      <c r="AM1427" s="594"/>
      <c r="AN1427" s="535"/>
      <c r="AP1427" s="568"/>
      <c r="AQ1427" s="568"/>
    </row>
    <row r="1428" spans="1:43" s="634" customFormat="1" ht="16.5" hidden="1" customHeight="1" outlineLevel="2">
      <c r="A1428" s="584"/>
      <c r="B1428" s="580" t="s">
        <v>1032</v>
      </c>
      <c r="C1428" s="583">
        <f>C1429*C1430</f>
        <v>168</v>
      </c>
      <c r="D1428" s="583">
        <f t="shared" ref="D1428:AF1428" si="1268">D1429*D1430</f>
        <v>168</v>
      </c>
      <c r="E1428" s="583">
        <f t="shared" si="1268"/>
        <v>168</v>
      </c>
      <c r="F1428" s="583">
        <f t="shared" si="1268"/>
        <v>168</v>
      </c>
      <c r="G1428" s="583">
        <f t="shared" si="1268"/>
        <v>168</v>
      </c>
      <c r="H1428" s="583">
        <f t="shared" si="1268"/>
        <v>168</v>
      </c>
      <c r="I1428" s="583">
        <f t="shared" si="1268"/>
        <v>168</v>
      </c>
      <c r="J1428" s="583">
        <f t="shared" si="1268"/>
        <v>168</v>
      </c>
      <c r="K1428" s="583">
        <f t="shared" si="1268"/>
        <v>168</v>
      </c>
      <c r="L1428" s="583">
        <f t="shared" si="1268"/>
        <v>168</v>
      </c>
      <c r="M1428" s="583">
        <f t="shared" si="1268"/>
        <v>168</v>
      </c>
      <c r="N1428" s="583">
        <f t="shared" si="1268"/>
        <v>168</v>
      </c>
      <c r="O1428" s="583">
        <f t="shared" si="1268"/>
        <v>168</v>
      </c>
      <c r="P1428" s="583">
        <f t="shared" si="1268"/>
        <v>168</v>
      </c>
      <c r="Q1428" s="583">
        <f t="shared" si="1268"/>
        <v>168</v>
      </c>
      <c r="R1428" s="583">
        <f t="shared" si="1268"/>
        <v>168</v>
      </c>
      <c r="S1428" s="583">
        <f t="shared" si="1268"/>
        <v>168</v>
      </c>
      <c r="T1428" s="583">
        <f t="shared" si="1268"/>
        <v>168</v>
      </c>
      <c r="U1428" s="583">
        <f t="shared" si="1268"/>
        <v>168</v>
      </c>
      <c r="V1428" s="583">
        <f t="shared" si="1268"/>
        <v>168</v>
      </c>
      <c r="W1428" s="583">
        <f t="shared" si="1268"/>
        <v>168</v>
      </c>
      <c r="X1428" s="583">
        <f t="shared" si="1268"/>
        <v>168</v>
      </c>
      <c r="Y1428" s="583">
        <f t="shared" si="1268"/>
        <v>168</v>
      </c>
      <c r="Z1428" s="583">
        <f t="shared" si="1268"/>
        <v>168</v>
      </c>
      <c r="AA1428" s="583">
        <f t="shared" si="1268"/>
        <v>168</v>
      </c>
      <c r="AB1428" s="583">
        <f t="shared" si="1268"/>
        <v>168</v>
      </c>
      <c r="AC1428" s="583">
        <f t="shared" si="1268"/>
        <v>168</v>
      </c>
      <c r="AD1428" s="583">
        <f t="shared" si="1268"/>
        <v>168</v>
      </c>
      <c r="AE1428" s="583">
        <f t="shared" si="1268"/>
        <v>168</v>
      </c>
      <c r="AF1428" s="583">
        <f t="shared" si="1268"/>
        <v>168</v>
      </c>
      <c r="AH1428" s="635"/>
      <c r="AK1428" s="588"/>
      <c r="AM1428" s="624"/>
      <c r="AN1428" s="590"/>
      <c r="AP1428" s="636"/>
      <c r="AQ1428" s="636"/>
    </row>
    <row r="1429" spans="1:43" s="586" customFormat="1" ht="16.5" hidden="1" customHeight="1" outlineLevel="2">
      <c r="A1429" s="584"/>
      <c r="B1429" s="585" t="s">
        <v>805</v>
      </c>
      <c r="C1429" s="716">
        <v>175</v>
      </c>
      <c r="D1429" s="716">
        <f>C1429</f>
        <v>175</v>
      </c>
      <c r="E1429" s="716">
        <f t="shared" ref="E1429:T1430" si="1269">D1429</f>
        <v>175</v>
      </c>
      <c r="F1429" s="716">
        <f t="shared" si="1269"/>
        <v>175</v>
      </c>
      <c r="G1429" s="716">
        <f t="shared" si="1269"/>
        <v>175</v>
      </c>
      <c r="H1429" s="716">
        <f t="shared" si="1269"/>
        <v>175</v>
      </c>
      <c r="I1429" s="716">
        <f t="shared" si="1269"/>
        <v>175</v>
      </c>
      <c r="J1429" s="716">
        <f t="shared" si="1269"/>
        <v>175</v>
      </c>
      <c r="K1429" s="716">
        <f t="shared" si="1269"/>
        <v>175</v>
      </c>
      <c r="L1429" s="716">
        <f t="shared" si="1269"/>
        <v>175</v>
      </c>
      <c r="M1429" s="716">
        <f t="shared" si="1269"/>
        <v>175</v>
      </c>
      <c r="N1429" s="716">
        <f t="shared" si="1269"/>
        <v>175</v>
      </c>
      <c r="O1429" s="716">
        <f t="shared" si="1269"/>
        <v>175</v>
      </c>
      <c r="P1429" s="716">
        <f t="shared" si="1269"/>
        <v>175</v>
      </c>
      <c r="Q1429" s="716">
        <f t="shared" si="1269"/>
        <v>175</v>
      </c>
      <c r="R1429" s="716">
        <f t="shared" si="1269"/>
        <v>175</v>
      </c>
      <c r="S1429" s="716">
        <f t="shared" si="1269"/>
        <v>175</v>
      </c>
      <c r="T1429" s="716">
        <f t="shared" si="1269"/>
        <v>175</v>
      </c>
      <c r="U1429" s="716">
        <f t="shared" ref="U1429:AF1430" si="1270">T1429</f>
        <v>175</v>
      </c>
      <c r="V1429" s="716">
        <f t="shared" si="1270"/>
        <v>175</v>
      </c>
      <c r="W1429" s="716">
        <f t="shared" si="1270"/>
        <v>175</v>
      </c>
      <c r="X1429" s="716">
        <f t="shared" si="1270"/>
        <v>175</v>
      </c>
      <c r="Y1429" s="716">
        <f t="shared" si="1270"/>
        <v>175</v>
      </c>
      <c r="Z1429" s="716">
        <f t="shared" si="1270"/>
        <v>175</v>
      </c>
      <c r="AA1429" s="716">
        <f>Z1429</f>
        <v>175</v>
      </c>
      <c r="AB1429" s="716">
        <f t="shared" si="1270"/>
        <v>175</v>
      </c>
      <c r="AC1429" s="716">
        <f t="shared" si="1270"/>
        <v>175</v>
      </c>
      <c r="AD1429" s="716">
        <f t="shared" si="1270"/>
        <v>175</v>
      </c>
      <c r="AE1429" s="716">
        <f t="shared" si="1270"/>
        <v>175</v>
      </c>
      <c r="AF1429" s="716">
        <f t="shared" si="1270"/>
        <v>175</v>
      </c>
      <c r="AH1429" s="587"/>
      <c r="AK1429" s="588"/>
      <c r="AM1429" s="624"/>
      <c r="AN1429" s="590"/>
      <c r="AP1429" s="591"/>
      <c r="AQ1429" s="591"/>
    </row>
    <row r="1430" spans="1:43" s="586" customFormat="1" ht="16.5" hidden="1" customHeight="1" outlineLevel="2">
      <c r="A1430" s="584"/>
      <c r="B1430" s="585" t="s">
        <v>1033</v>
      </c>
      <c r="C1430" s="644">
        <f>Insumos!$E$64</f>
        <v>0.96</v>
      </c>
      <c r="D1430" s="644">
        <f>C1430</f>
        <v>0.96</v>
      </c>
      <c r="E1430" s="644">
        <f t="shared" si="1269"/>
        <v>0.96</v>
      </c>
      <c r="F1430" s="644">
        <f t="shared" si="1269"/>
        <v>0.96</v>
      </c>
      <c r="G1430" s="644">
        <f t="shared" si="1269"/>
        <v>0.96</v>
      </c>
      <c r="H1430" s="644">
        <f t="shared" si="1269"/>
        <v>0.96</v>
      </c>
      <c r="I1430" s="644">
        <f t="shared" si="1269"/>
        <v>0.96</v>
      </c>
      <c r="J1430" s="644">
        <f t="shared" si="1269"/>
        <v>0.96</v>
      </c>
      <c r="K1430" s="644">
        <f t="shared" si="1269"/>
        <v>0.96</v>
      </c>
      <c r="L1430" s="644">
        <f t="shared" si="1269"/>
        <v>0.96</v>
      </c>
      <c r="M1430" s="644">
        <f t="shared" si="1269"/>
        <v>0.96</v>
      </c>
      <c r="N1430" s="644">
        <f t="shared" si="1269"/>
        <v>0.96</v>
      </c>
      <c r="O1430" s="644">
        <f t="shared" si="1269"/>
        <v>0.96</v>
      </c>
      <c r="P1430" s="644">
        <f t="shared" si="1269"/>
        <v>0.96</v>
      </c>
      <c r="Q1430" s="644">
        <f t="shared" si="1269"/>
        <v>0.96</v>
      </c>
      <c r="R1430" s="644">
        <f t="shared" si="1269"/>
        <v>0.96</v>
      </c>
      <c r="S1430" s="644">
        <f t="shared" si="1269"/>
        <v>0.96</v>
      </c>
      <c r="T1430" s="644">
        <f t="shared" si="1269"/>
        <v>0.96</v>
      </c>
      <c r="U1430" s="644">
        <f t="shared" si="1270"/>
        <v>0.96</v>
      </c>
      <c r="V1430" s="644">
        <f t="shared" si="1270"/>
        <v>0.96</v>
      </c>
      <c r="W1430" s="644">
        <f t="shared" si="1270"/>
        <v>0.96</v>
      </c>
      <c r="X1430" s="644">
        <f t="shared" si="1270"/>
        <v>0.96</v>
      </c>
      <c r="Y1430" s="644">
        <f t="shared" si="1270"/>
        <v>0.96</v>
      </c>
      <c r="Z1430" s="644">
        <f t="shared" si="1270"/>
        <v>0.96</v>
      </c>
      <c r="AA1430" s="644">
        <f t="shared" si="1270"/>
        <v>0.96</v>
      </c>
      <c r="AB1430" s="644">
        <f t="shared" si="1270"/>
        <v>0.96</v>
      </c>
      <c r="AC1430" s="644">
        <f t="shared" si="1270"/>
        <v>0.96</v>
      </c>
      <c r="AD1430" s="644">
        <f t="shared" si="1270"/>
        <v>0.96</v>
      </c>
      <c r="AE1430" s="644">
        <f t="shared" si="1270"/>
        <v>0.96</v>
      </c>
      <c r="AF1430" s="644">
        <f t="shared" si="1270"/>
        <v>0.96</v>
      </c>
      <c r="AH1430" s="587"/>
      <c r="AK1430" s="588"/>
      <c r="AM1430" s="624"/>
      <c r="AN1430" s="590"/>
      <c r="AP1430" s="591"/>
      <c r="AQ1430" s="591"/>
    </row>
    <row r="1431" spans="1:43" s="634" customFormat="1" ht="16.5" hidden="1" customHeight="1" outlineLevel="2">
      <c r="A1431" s="584"/>
      <c r="B1431" s="580" t="s">
        <v>1034</v>
      </c>
      <c r="C1431" s="583">
        <f>C1432*C1433</f>
        <v>38.5</v>
      </c>
      <c r="D1431" s="583">
        <f t="shared" ref="D1431:AF1431" si="1271">D1432*D1433</f>
        <v>38.5</v>
      </c>
      <c r="E1431" s="583">
        <f t="shared" si="1271"/>
        <v>38.5</v>
      </c>
      <c r="F1431" s="583">
        <f t="shared" si="1271"/>
        <v>38.5</v>
      </c>
      <c r="G1431" s="583">
        <f t="shared" si="1271"/>
        <v>38.5</v>
      </c>
      <c r="H1431" s="583">
        <f t="shared" si="1271"/>
        <v>38.5</v>
      </c>
      <c r="I1431" s="583">
        <f t="shared" si="1271"/>
        <v>38.5</v>
      </c>
      <c r="J1431" s="583">
        <f t="shared" si="1271"/>
        <v>38.5</v>
      </c>
      <c r="K1431" s="583">
        <f t="shared" si="1271"/>
        <v>38.5</v>
      </c>
      <c r="L1431" s="583">
        <f t="shared" si="1271"/>
        <v>38.5</v>
      </c>
      <c r="M1431" s="583">
        <f t="shared" si="1271"/>
        <v>38.5</v>
      </c>
      <c r="N1431" s="583">
        <f t="shared" si="1271"/>
        <v>38.5</v>
      </c>
      <c r="O1431" s="583">
        <f t="shared" si="1271"/>
        <v>38.5</v>
      </c>
      <c r="P1431" s="583">
        <f t="shared" si="1271"/>
        <v>38.5</v>
      </c>
      <c r="Q1431" s="583">
        <f t="shared" si="1271"/>
        <v>38.5</v>
      </c>
      <c r="R1431" s="583">
        <f t="shared" si="1271"/>
        <v>38.5</v>
      </c>
      <c r="S1431" s="583">
        <f t="shared" si="1271"/>
        <v>38.5</v>
      </c>
      <c r="T1431" s="583">
        <f t="shared" si="1271"/>
        <v>38.5</v>
      </c>
      <c r="U1431" s="583">
        <f t="shared" si="1271"/>
        <v>38.5</v>
      </c>
      <c r="V1431" s="583">
        <f t="shared" si="1271"/>
        <v>38.5</v>
      </c>
      <c r="W1431" s="583">
        <f t="shared" si="1271"/>
        <v>38.5</v>
      </c>
      <c r="X1431" s="583">
        <f t="shared" si="1271"/>
        <v>38.5</v>
      </c>
      <c r="Y1431" s="583">
        <f t="shared" si="1271"/>
        <v>38.5</v>
      </c>
      <c r="Z1431" s="583">
        <f t="shared" si="1271"/>
        <v>38.5</v>
      </c>
      <c r="AA1431" s="583">
        <f t="shared" si="1271"/>
        <v>38.5</v>
      </c>
      <c r="AB1431" s="583">
        <f t="shared" si="1271"/>
        <v>38.5</v>
      </c>
      <c r="AC1431" s="583">
        <f t="shared" si="1271"/>
        <v>38.5</v>
      </c>
      <c r="AD1431" s="583">
        <f t="shared" si="1271"/>
        <v>38.5</v>
      </c>
      <c r="AE1431" s="583">
        <f t="shared" si="1271"/>
        <v>38.5</v>
      </c>
      <c r="AF1431" s="583">
        <f t="shared" si="1271"/>
        <v>38.5</v>
      </c>
      <c r="AH1431" s="635"/>
      <c r="AK1431" s="588"/>
      <c r="AM1431" s="624"/>
      <c r="AN1431" s="590"/>
      <c r="AP1431" s="636"/>
      <c r="AQ1431" s="636"/>
    </row>
    <row r="1432" spans="1:43" s="586" customFormat="1" ht="16.5" hidden="1" customHeight="1" outlineLevel="2">
      <c r="A1432" s="584"/>
      <c r="B1432" s="585" t="s">
        <v>805</v>
      </c>
      <c r="C1432" s="716">
        <v>175</v>
      </c>
      <c r="D1432" s="716">
        <f>C1432</f>
        <v>175</v>
      </c>
      <c r="E1432" s="716">
        <f t="shared" ref="E1432:T1433" si="1272">D1432</f>
        <v>175</v>
      </c>
      <c r="F1432" s="716">
        <f t="shared" si="1272"/>
        <v>175</v>
      </c>
      <c r="G1432" s="716">
        <f t="shared" si="1272"/>
        <v>175</v>
      </c>
      <c r="H1432" s="716">
        <f t="shared" si="1272"/>
        <v>175</v>
      </c>
      <c r="I1432" s="716">
        <f t="shared" si="1272"/>
        <v>175</v>
      </c>
      <c r="J1432" s="716">
        <f t="shared" si="1272"/>
        <v>175</v>
      </c>
      <c r="K1432" s="716">
        <f t="shared" si="1272"/>
        <v>175</v>
      </c>
      <c r="L1432" s="716">
        <f t="shared" si="1272"/>
        <v>175</v>
      </c>
      <c r="M1432" s="716">
        <f t="shared" si="1272"/>
        <v>175</v>
      </c>
      <c r="N1432" s="716">
        <f t="shared" si="1272"/>
        <v>175</v>
      </c>
      <c r="O1432" s="716">
        <f t="shared" si="1272"/>
        <v>175</v>
      </c>
      <c r="P1432" s="716">
        <f t="shared" si="1272"/>
        <v>175</v>
      </c>
      <c r="Q1432" s="716">
        <f t="shared" si="1272"/>
        <v>175</v>
      </c>
      <c r="R1432" s="716">
        <f t="shared" si="1272"/>
        <v>175</v>
      </c>
      <c r="S1432" s="716">
        <f t="shared" si="1272"/>
        <v>175</v>
      </c>
      <c r="T1432" s="716">
        <f t="shared" si="1272"/>
        <v>175</v>
      </c>
      <c r="U1432" s="716">
        <f t="shared" ref="U1432:AF1433" si="1273">T1432</f>
        <v>175</v>
      </c>
      <c r="V1432" s="716">
        <f t="shared" si="1273"/>
        <v>175</v>
      </c>
      <c r="W1432" s="716">
        <f t="shared" si="1273"/>
        <v>175</v>
      </c>
      <c r="X1432" s="716">
        <f t="shared" si="1273"/>
        <v>175</v>
      </c>
      <c r="Y1432" s="716">
        <f t="shared" si="1273"/>
        <v>175</v>
      </c>
      <c r="Z1432" s="716">
        <f t="shared" si="1273"/>
        <v>175</v>
      </c>
      <c r="AA1432" s="716">
        <f>Z1432</f>
        <v>175</v>
      </c>
      <c r="AB1432" s="716">
        <f t="shared" si="1273"/>
        <v>175</v>
      </c>
      <c r="AC1432" s="716">
        <f t="shared" si="1273"/>
        <v>175</v>
      </c>
      <c r="AD1432" s="716">
        <f t="shared" si="1273"/>
        <v>175</v>
      </c>
      <c r="AE1432" s="716">
        <f t="shared" si="1273"/>
        <v>175</v>
      </c>
      <c r="AF1432" s="716">
        <f t="shared" si="1273"/>
        <v>175</v>
      </c>
      <c r="AH1432" s="587"/>
      <c r="AK1432" s="588"/>
      <c r="AM1432" s="624"/>
      <c r="AN1432" s="590"/>
      <c r="AP1432" s="591"/>
      <c r="AQ1432" s="591"/>
    </row>
    <row r="1433" spans="1:43" s="586" customFormat="1" ht="16.5" hidden="1" customHeight="1" outlineLevel="2">
      <c r="A1433" s="584"/>
      <c r="B1433" s="585" t="s">
        <v>1033</v>
      </c>
      <c r="C1433" s="644">
        <f>Insumos!$E$55</f>
        <v>0.22</v>
      </c>
      <c r="D1433" s="644">
        <f>C1433</f>
        <v>0.22</v>
      </c>
      <c r="E1433" s="644">
        <f t="shared" si="1272"/>
        <v>0.22</v>
      </c>
      <c r="F1433" s="644">
        <f t="shared" si="1272"/>
        <v>0.22</v>
      </c>
      <c r="G1433" s="644">
        <f t="shared" si="1272"/>
        <v>0.22</v>
      </c>
      <c r="H1433" s="644">
        <f t="shared" si="1272"/>
        <v>0.22</v>
      </c>
      <c r="I1433" s="644">
        <f t="shared" si="1272"/>
        <v>0.22</v>
      </c>
      <c r="J1433" s="644">
        <f t="shared" si="1272"/>
        <v>0.22</v>
      </c>
      <c r="K1433" s="644">
        <f t="shared" si="1272"/>
        <v>0.22</v>
      </c>
      <c r="L1433" s="644">
        <f t="shared" si="1272"/>
        <v>0.22</v>
      </c>
      <c r="M1433" s="644">
        <f t="shared" si="1272"/>
        <v>0.22</v>
      </c>
      <c r="N1433" s="644">
        <f t="shared" si="1272"/>
        <v>0.22</v>
      </c>
      <c r="O1433" s="644">
        <f t="shared" si="1272"/>
        <v>0.22</v>
      </c>
      <c r="P1433" s="644">
        <f t="shared" si="1272"/>
        <v>0.22</v>
      </c>
      <c r="Q1433" s="644">
        <f t="shared" si="1272"/>
        <v>0.22</v>
      </c>
      <c r="R1433" s="644">
        <f t="shared" si="1272"/>
        <v>0.22</v>
      </c>
      <c r="S1433" s="644">
        <f t="shared" si="1272"/>
        <v>0.22</v>
      </c>
      <c r="T1433" s="644">
        <f t="shared" si="1272"/>
        <v>0.22</v>
      </c>
      <c r="U1433" s="644">
        <f t="shared" si="1273"/>
        <v>0.22</v>
      </c>
      <c r="V1433" s="644">
        <f t="shared" si="1273"/>
        <v>0.22</v>
      </c>
      <c r="W1433" s="644">
        <f t="shared" si="1273"/>
        <v>0.22</v>
      </c>
      <c r="X1433" s="644">
        <f t="shared" si="1273"/>
        <v>0.22</v>
      </c>
      <c r="Y1433" s="644">
        <f t="shared" si="1273"/>
        <v>0.22</v>
      </c>
      <c r="Z1433" s="644">
        <f t="shared" si="1273"/>
        <v>0.22</v>
      </c>
      <c r="AA1433" s="644">
        <f t="shared" si="1273"/>
        <v>0.22</v>
      </c>
      <c r="AB1433" s="644">
        <f t="shared" si="1273"/>
        <v>0.22</v>
      </c>
      <c r="AC1433" s="644">
        <f t="shared" si="1273"/>
        <v>0.22</v>
      </c>
      <c r="AD1433" s="644">
        <f t="shared" si="1273"/>
        <v>0.22</v>
      </c>
      <c r="AE1433" s="644">
        <f t="shared" si="1273"/>
        <v>0.22</v>
      </c>
      <c r="AF1433" s="644">
        <f t="shared" si="1273"/>
        <v>0.22</v>
      </c>
      <c r="AH1433" s="587"/>
      <c r="AK1433" s="588"/>
      <c r="AM1433" s="624"/>
      <c r="AN1433" s="590"/>
      <c r="AP1433" s="591"/>
      <c r="AQ1433" s="591"/>
    </row>
    <row r="1434" spans="1:43" s="634" customFormat="1" ht="16.5" hidden="1" customHeight="1" outlineLevel="2">
      <c r="A1434" s="584"/>
      <c r="B1434" s="580" t="s">
        <v>1035</v>
      </c>
      <c r="C1434" s="583">
        <f>C1435*C1436</f>
        <v>550</v>
      </c>
      <c r="D1434" s="583">
        <f t="shared" ref="D1434:AF1434" si="1274">D1435*D1436</f>
        <v>550</v>
      </c>
      <c r="E1434" s="583">
        <f t="shared" si="1274"/>
        <v>550</v>
      </c>
      <c r="F1434" s="583">
        <f t="shared" si="1274"/>
        <v>550</v>
      </c>
      <c r="G1434" s="583">
        <f t="shared" si="1274"/>
        <v>550</v>
      </c>
      <c r="H1434" s="583">
        <f t="shared" si="1274"/>
        <v>550</v>
      </c>
      <c r="I1434" s="583">
        <f t="shared" si="1274"/>
        <v>550</v>
      </c>
      <c r="J1434" s="583">
        <f t="shared" si="1274"/>
        <v>550</v>
      </c>
      <c r="K1434" s="583">
        <f t="shared" si="1274"/>
        <v>550</v>
      </c>
      <c r="L1434" s="583">
        <f t="shared" si="1274"/>
        <v>550</v>
      </c>
      <c r="M1434" s="583">
        <f t="shared" si="1274"/>
        <v>550</v>
      </c>
      <c r="N1434" s="583">
        <f t="shared" si="1274"/>
        <v>550</v>
      </c>
      <c r="O1434" s="583">
        <f t="shared" si="1274"/>
        <v>550</v>
      </c>
      <c r="P1434" s="583">
        <f t="shared" si="1274"/>
        <v>550</v>
      </c>
      <c r="Q1434" s="583">
        <f t="shared" si="1274"/>
        <v>550</v>
      </c>
      <c r="R1434" s="583">
        <f t="shared" si="1274"/>
        <v>550</v>
      </c>
      <c r="S1434" s="583">
        <f t="shared" si="1274"/>
        <v>550</v>
      </c>
      <c r="T1434" s="583">
        <f t="shared" si="1274"/>
        <v>550</v>
      </c>
      <c r="U1434" s="583">
        <f t="shared" si="1274"/>
        <v>550</v>
      </c>
      <c r="V1434" s="583">
        <f t="shared" si="1274"/>
        <v>550</v>
      </c>
      <c r="W1434" s="583">
        <f t="shared" si="1274"/>
        <v>550</v>
      </c>
      <c r="X1434" s="583">
        <f t="shared" si="1274"/>
        <v>550</v>
      </c>
      <c r="Y1434" s="583">
        <f t="shared" si="1274"/>
        <v>550</v>
      </c>
      <c r="Z1434" s="583">
        <f t="shared" si="1274"/>
        <v>550</v>
      </c>
      <c r="AA1434" s="583">
        <f t="shared" si="1274"/>
        <v>550</v>
      </c>
      <c r="AB1434" s="583">
        <f t="shared" si="1274"/>
        <v>550</v>
      </c>
      <c r="AC1434" s="583">
        <f t="shared" si="1274"/>
        <v>550</v>
      </c>
      <c r="AD1434" s="583">
        <f t="shared" si="1274"/>
        <v>550</v>
      </c>
      <c r="AE1434" s="583">
        <f t="shared" si="1274"/>
        <v>550</v>
      </c>
      <c r="AF1434" s="583">
        <f t="shared" si="1274"/>
        <v>550</v>
      </c>
      <c r="AH1434" s="635"/>
      <c r="AK1434" s="588"/>
      <c r="AM1434" s="624"/>
      <c r="AN1434" s="590"/>
      <c r="AP1434" s="636"/>
      <c r="AQ1434" s="636"/>
    </row>
    <row r="1435" spans="1:43" s="586" customFormat="1" ht="16.5" hidden="1" customHeight="1" outlineLevel="2">
      <c r="A1435" s="584"/>
      <c r="B1435" s="585" t="s">
        <v>805</v>
      </c>
      <c r="C1435" s="716">
        <v>1</v>
      </c>
      <c r="D1435" s="716">
        <f>C1435</f>
        <v>1</v>
      </c>
      <c r="E1435" s="716">
        <f t="shared" ref="E1435:T1436" si="1275">D1435</f>
        <v>1</v>
      </c>
      <c r="F1435" s="716">
        <f t="shared" si="1275"/>
        <v>1</v>
      </c>
      <c r="G1435" s="716">
        <f t="shared" si="1275"/>
        <v>1</v>
      </c>
      <c r="H1435" s="716">
        <f t="shared" si="1275"/>
        <v>1</v>
      </c>
      <c r="I1435" s="716">
        <f t="shared" si="1275"/>
        <v>1</v>
      </c>
      <c r="J1435" s="716">
        <f t="shared" si="1275"/>
        <v>1</v>
      </c>
      <c r="K1435" s="716">
        <f t="shared" si="1275"/>
        <v>1</v>
      </c>
      <c r="L1435" s="716">
        <f t="shared" si="1275"/>
        <v>1</v>
      </c>
      <c r="M1435" s="716">
        <f t="shared" si="1275"/>
        <v>1</v>
      </c>
      <c r="N1435" s="716">
        <f t="shared" si="1275"/>
        <v>1</v>
      </c>
      <c r="O1435" s="716">
        <f t="shared" si="1275"/>
        <v>1</v>
      </c>
      <c r="P1435" s="716">
        <f t="shared" si="1275"/>
        <v>1</v>
      </c>
      <c r="Q1435" s="716">
        <f t="shared" si="1275"/>
        <v>1</v>
      </c>
      <c r="R1435" s="716">
        <f t="shared" si="1275"/>
        <v>1</v>
      </c>
      <c r="S1435" s="716">
        <f t="shared" si="1275"/>
        <v>1</v>
      </c>
      <c r="T1435" s="716">
        <f t="shared" si="1275"/>
        <v>1</v>
      </c>
      <c r="U1435" s="716">
        <f t="shared" ref="U1435:AA1436" si="1276">T1435</f>
        <v>1</v>
      </c>
      <c r="V1435" s="716">
        <f t="shared" si="1276"/>
        <v>1</v>
      </c>
      <c r="W1435" s="716">
        <f t="shared" si="1276"/>
        <v>1</v>
      </c>
      <c r="X1435" s="716">
        <f t="shared" si="1276"/>
        <v>1</v>
      </c>
      <c r="Y1435" s="716">
        <f t="shared" si="1276"/>
        <v>1</v>
      </c>
      <c r="Z1435" s="716">
        <f t="shared" si="1276"/>
        <v>1</v>
      </c>
      <c r="AA1435" s="716">
        <f>Z1435</f>
        <v>1</v>
      </c>
      <c r="AB1435" s="716">
        <f t="shared" ref="AB1435:AF1436" si="1277">AA1435</f>
        <v>1</v>
      </c>
      <c r="AC1435" s="716">
        <f t="shared" si="1277"/>
        <v>1</v>
      </c>
      <c r="AD1435" s="716">
        <f t="shared" si="1277"/>
        <v>1</v>
      </c>
      <c r="AE1435" s="716">
        <f t="shared" si="1277"/>
        <v>1</v>
      </c>
      <c r="AF1435" s="716">
        <f t="shared" si="1277"/>
        <v>1</v>
      </c>
      <c r="AH1435" s="587"/>
      <c r="AK1435" s="588"/>
      <c r="AM1435" s="624"/>
      <c r="AN1435" s="590"/>
      <c r="AP1435" s="591"/>
      <c r="AQ1435" s="591"/>
    </row>
    <row r="1436" spans="1:43" s="586" customFormat="1" ht="16.5" hidden="1" customHeight="1" outlineLevel="2">
      <c r="A1436" s="584"/>
      <c r="B1436" s="585" t="s">
        <v>924</v>
      </c>
      <c r="C1436" s="644">
        <f>Insumos!$E$60</f>
        <v>550</v>
      </c>
      <c r="D1436" s="644">
        <f>C1436</f>
        <v>550</v>
      </c>
      <c r="E1436" s="644">
        <f t="shared" si="1275"/>
        <v>550</v>
      </c>
      <c r="F1436" s="644">
        <f t="shared" si="1275"/>
        <v>550</v>
      </c>
      <c r="G1436" s="644">
        <f t="shared" si="1275"/>
        <v>550</v>
      </c>
      <c r="H1436" s="644">
        <f t="shared" si="1275"/>
        <v>550</v>
      </c>
      <c r="I1436" s="644">
        <f t="shared" si="1275"/>
        <v>550</v>
      </c>
      <c r="J1436" s="644">
        <f t="shared" si="1275"/>
        <v>550</v>
      </c>
      <c r="K1436" s="644">
        <f t="shared" si="1275"/>
        <v>550</v>
      </c>
      <c r="L1436" s="644">
        <f t="shared" si="1275"/>
        <v>550</v>
      </c>
      <c r="M1436" s="644">
        <f t="shared" si="1275"/>
        <v>550</v>
      </c>
      <c r="N1436" s="644">
        <f t="shared" si="1275"/>
        <v>550</v>
      </c>
      <c r="O1436" s="644">
        <f t="shared" si="1275"/>
        <v>550</v>
      </c>
      <c r="P1436" s="644">
        <f t="shared" si="1275"/>
        <v>550</v>
      </c>
      <c r="Q1436" s="644">
        <f t="shared" si="1275"/>
        <v>550</v>
      </c>
      <c r="R1436" s="644">
        <f t="shared" si="1275"/>
        <v>550</v>
      </c>
      <c r="S1436" s="644">
        <f t="shared" si="1275"/>
        <v>550</v>
      </c>
      <c r="T1436" s="644">
        <f t="shared" si="1275"/>
        <v>550</v>
      </c>
      <c r="U1436" s="644">
        <f t="shared" si="1276"/>
        <v>550</v>
      </c>
      <c r="V1436" s="644">
        <f t="shared" si="1276"/>
        <v>550</v>
      </c>
      <c r="W1436" s="644">
        <f t="shared" si="1276"/>
        <v>550</v>
      </c>
      <c r="X1436" s="644">
        <f t="shared" si="1276"/>
        <v>550</v>
      </c>
      <c r="Y1436" s="644">
        <f t="shared" si="1276"/>
        <v>550</v>
      </c>
      <c r="Z1436" s="644">
        <f t="shared" si="1276"/>
        <v>550</v>
      </c>
      <c r="AA1436" s="644">
        <f t="shared" si="1276"/>
        <v>550</v>
      </c>
      <c r="AB1436" s="644">
        <f t="shared" si="1277"/>
        <v>550</v>
      </c>
      <c r="AC1436" s="644">
        <f t="shared" si="1277"/>
        <v>550</v>
      </c>
      <c r="AD1436" s="644">
        <f t="shared" si="1277"/>
        <v>550</v>
      </c>
      <c r="AE1436" s="644">
        <f t="shared" si="1277"/>
        <v>550</v>
      </c>
      <c r="AF1436" s="644">
        <f t="shared" si="1277"/>
        <v>550</v>
      </c>
      <c r="AH1436" s="587"/>
      <c r="AK1436" s="588"/>
      <c r="AM1436" s="624"/>
      <c r="AN1436" s="590"/>
      <c r="AP1436" s="591"/>
      <c r="AQ1436" s="591"/>
    </row>
    <row r="1437" spans="1:43" s="634" customFormat="1" ht="16.5" hidden="1" customHeight="1" outlineLevel="2">
      <c r="A1437" s="584"/>
      <c r="B1437" s="580" t="s">
        <v>1036</v>
      </c>
      <c r="C1437" s="583">
        <f>C1438*C1439</f>
        <v>1100</v>
      </c>
      <c r="D1437" s="583">
        <f t="shared" ref="D1437:AF1437" si="1278">D1438*D1439</f>
        <v>1100</v>
      </c>
      <c r="E1437" s="583">
        <f t="shared" si="1278"/>
        <v>1100</v>
      </c>
      <c r="F1437" s="583">
        <f t="shared" si="1278"/>
        <v>1100</v>
      </c>
      <c r="G1437" s="583">
        <f t="shared" si="1278"/>
        <v>1100</v>
      </c>
      <c r="H1437" s="583">
        <f t="shared" si="1278"/>
        <v>1100</v>
      </c>
      <c r="I1437" s="583">
        <f t="shared" si="1278"/>
        <v>1100</v>
      </c>
      <c r="J1437" s="583">
        <f t="shared" si="1278"/>
        <v>1100</v>
      </c>
      <c r="K1437" s="583">
        <f t="shared" si="1278"/>
        <v>1100</v>
      </c>
      <c r="L1437" s="583">
        <f t="shared" si="1278"/>
        <v>1100</v>
      </c>
      <c r="M1437" s="583">
        <f t="shared" si="1278"/>
        <v>1100</v>
      </c>
      <c r="N1437" s="583">
        <f t="shared" si="1278"/>
        <v>1100</v>
      </c>
      <c r="O1437" s="583">
        <f t="shared" si="1278"/>
        <v>1100</v>
      </c>
      <c r="P1437" s="583">
        <f t="shared" si="1278"/>
        <v>1100</v>
      </c>
      <c r="Q1437" s="583">
        <f t="shared" si="1278"/>
        <v>1100</v>
      </c>
      <c r="R1437" s="583">
        <f t="shared" si="1278"/>
        <v>1100</v>
      </c>
      <c r="S1437" s="583">
        <f t="shared" si="1278"/>
        <v>1100</v>
      </c>
      <c r="T1437" s="583">
        <f t="shared" si="1278"/>
        <v>1100</v>
      </c>
      <c r="U1437" s="583">
        <f t="shared" si="1278"/>
        <v>1100</v>
      </c>
      <c r="V1437" s="583">
        <f t="shared" si="1278"/>
        <v>1100</v>
      </c>
      <c r="W1437" s="583">
        <f t="shared" si="1278"/>
        <v>1100</v>
      </c>
      <c r="X1437" s="583">
        <f t="shared" si="1278"/>
        <v>1100</v>
      </c>
      <c r="Y1437" s="583">
        <f t="shared" si="1278"/>
        <v>1100</v>
      </c>
      <c r="Z1437" s="583">
        <f t="shared" si="1278"/>
        <v>1100</v>
      </c>
      <c r="AA1437" s="583">
        <f t="shared" si="1278"/>
        <v>1100</v>
      </c>
      <c r="AB1437" s="583">
        <f t="shared" si="1278"/>
        <v>1100</v>
      </c>
      <c r="AC1437" s="583">
        <f t="shared" si="1278"/>
        <v>1100</v>
      </c>
      <c r="AD1437" s="583">
        <f t="shared" si="1278"/>
        <v>1100</v>
      </c>
      <c r="AE1437" s="583">
        <f t="shared" si="1278"/>
        <v>1100</v>
      </c>
      <c r="AF1437" s="583">
        <f t="shared" si="1278"/>
        <v>1100</v>
      </c>
      <c r="AH1437" s="635"/>
      <c r="AK1437" s="588"/>
      <c r="AM1437" s="624"/>
      <c r="AN1437" s="590"/>
      <c r="AP1437" s="636"/>
      <c r="AQ1437" s="636"/>
    </row>
    <row r="1438" spans="1:43" s="586" customFormat="1" ht="16.5" hidden="1" customHeight="1" outlineLevel="2">
      <c r="A1438" s="584"/>
      <c r="B1438" s="585" t="s">
        <v>805</v>
      </c>
      <c r="C1438" s="716">
        <v>1</v>
      </c>
      <c r="D1438" s="716">
        <f>C1438</f>
        <v>1</v>
      </c>
      <c r="E1438" s="716">
        <f t="shared" ref="E1438:T1439" si="1279">D1438</f>
        <v>1</v>
      </c>
      <c r="F1438" s="716">
        <f t="shared" si="1279"/>
        <v>1</v>
      </c>
      <c r="G1438" s="716">
        <f t="shared" si="1279"/>
        <v>1</v>
      </c>
      <c r="H1438" s="716">
        <f t="shared" si="1279"/>
        <v>1</v>
      </c>
      <c r="I1438" s="716">
        <f t="shared" si="1279"/>
        <v>1</v>
      </c>
      <c r="J1438" s="716">
        <f t="shared" si="1279"/>
        <v>1</v>
      </c>
      <c r="K1438" s="716">
        <f t="shared" si="1279"/>
        <v>1</v>
      </c>
      <c r="L1438" s="716">
        <f t="shared" si="1279"/>
        <v>1</v>
      </c>
      <c r="M1438" s="716">
        <f t="shared" si="1279"/>
        <v>1</v>
      </c>
      <c r="N1438" s="716">
        <f t="shared" si="1279"/>
        <v>1</v>
      </c>
      <c r="O1438" s="716">
        <f t="shared" si="1279"/>
        <v>1</v>
      </c>
      <c r="P1438" s="716">
        <f t="shared" si="1279"/>
        <v>1</v>
      </c>
      <c r="Q1438" s="716">
        <f t="shared" si="1279"/>
        <v>1</v>
      </c>
      <c r="R1438" s="716">
        <f t="shared" si="1279"/>
        <v>1</v>
      </c>
      <c r="S1438" s="716">
        <f t="shared" si="1279"/>
        <v>1</v>
      </c>
      <c r="T1438" s="716">
        <f t="shared" si="1279"/>
        <v>1</v>
      </c>
      <c r="U1438" s="716">
        <f t="shared" ref="U1438:AA1439" si="1280">T1438</f>
        <v>1</v>
      </c>
      <c r="V1438" s="716">
        <f t="shared" si="1280"/>
        <v>1</v>
      </c>
      <c r="W1438" s="716">
        <f t="shared" si="1280"/>
        <v>1</v>
      </c>
      <c r="X1438" s="716">
        <f t="shared" si="1280"/>
        <v>1</v>
      </c>
      <c r="Y1438" s="716">
        <f t="shared" si="1280"/>
        <v>1</v>
      </c>
      <c r="Z1438" s="716">
        <f t="shared" si="1280"/>
        <v>1</v>
      </c>
      <c r="AA1438" s="716">
        <f>Z1438</f>
        <v>1</v>
      </c>
      <c r="AB1438" s="716">
        <f t="shared" ref="AB1438:AF1439" si="1281">AA1438</f>
        <v>1</v>
      </c>
      <c r="AC1438" s="716">
        <f t="shared" si="1281"/>
        <v>1</v>
      </c>
      <c r="AD1438" s="716">
        <f t="shared" si="1281"/>
        <v>1</v>
      </c>
      <c r="AE1438" s="716">
        <f t="shared" si="1281"/>
        <v>1</v>
      </c>
      <c r="AF1438" s="716">
        <f t="shared" si="1281"/>
        <v>1</v>
      </c>
      <c r="AH1438" s="587"/>
      <c r="AK1438" s="588"/>
      <c r="AM1438" s="624"/>
      <c r="AN1438" s="590"/>
      <c r="AP1438" s="591"/>
      <c r="AQ1438" s="591"/>
    </row>
    <row r="1439" spans="1:43" s="586" customFormat="1" ht="16.5" hidden="1" customHeight="1" outlineLevel="2">
      <c r="A1439" s="584"/>
      <c r="B1439" s="585" t="s">
        <v>924</v>
      </c>
      <c r="C1439" s="644">
        <f>Insumos!$E$62</f>
        <v>1100</v>
      </c>
      <c r="D1439" s="644">
        <f>C1439</f>
        <v>1100</v>
      </c>
      <c r="E1439" s="644">
        <f t="shared" si="1279"/>
        <v>1100</v>
      </c>
      <c r="F1439" s="644">
        <f t="shared" si="1279"/>
        <v>1100</v>
      </c>
      <c r="G1439" s="644">
        <f t="shared" si="1279"/>
        <v>1100</v>
      </c>
      <c r="H1439" s="644">
        <f t="shared" si="1279"/>
        <v>1100</v>
      </c>
      <c r="I1439" s="644">
        <f t="shared" si="1279"/>
        <v>1100</v>
      </c>
      <c r="J1439" s="644">
        <f t="shared" si="1279"/>
        <v>1100</v>
      </c>
      <c r="K1439" s="644">
        <f t="shared" si="1279"/>
        <v>1100</v>
      </c>
      <c r="L1439" s="644">
        <f t="shared" si="1279"/>
        <v>1100</v>
      </c>
      <c r="M1439" s="644">
        <f t="shared" si="1279"/>
        <v>1100</v>
      </c>
      <c r="N1439" s="644">
        <f t="shared" si="1279"/>
        <v>1100</v>
      </c>
      <c r="O1439" s="644">
        <f t="shared" si="1279"/>
        <v>1100</v>
      </c>
      <c r="P1439" s="644">
        <f t="shared" si="1279"/>
        <v>1100</v>
      </c>
      <c r="Q1439" s="644">
        <f t="shared" si="1279"/>
        <v>1100</v>
      </c>
      <c r="R1439" s="644">
        <f t="shared" si="1279"/>
        <v>1100</v>
      </c>
      <c r="S1439" s="644">
        <f t="shared" si="1279"/>
        <v>1100</v>
      </c>
      <c r="T1439" s="644">
        <f t="shared" si="1279"/>
        <v>1100</v>
      </c>
      <c r="U1439" s="644">
        <f t="shared" si="1280"/>
        <v>1100</v>
      </c>
      <c r="V1439" s="644">
        <f t="shared" si="1280"/>
        <v>1100</v>
      </c>
      <c r="W1439" s="644">
        <f t="shared" si="1280"/>
        <v>1100</v>
      </c>
      <c r="X1439" s="644">
        <f t="shared" si="1280"/>
        <v>1100</v>
      </c>
      <c r="Y1439" s="644">
        <f t="shared" si="1280"/>
        <v>1100</v>
      </c>
      <c r="Z1439" s="644">
        <f t="shared" si="1280"/>
        <v>1100</v>
      </c>
      <c r="AA1439" s="644">
        <f t="shared" si="1280"/>
        <v>1100</v>
      </c>
      <c r="AB1439" s="644">
        <f t="shared" si="1281"/>
        <v>1100</v>
      </c>
      <c r="AC1439" s="644">
        <f t="shared" si="1281"/>
        <v>1100</v>
      </c>
      <c r="AD1439" s="644">
        <f t="shared" si="1281"/>
        <v>1100</v>
      </c>
      <c r="AE1439" s="644">
        <f t="shared" si="1281"/>
        <v>1100</v>
      </c>
      <c r="AF1439" s="644">
        <f t="shared" si="1281"/>
        <v>1100</v>
      </c>
      <c r="AH1439" s="587"/>
      <c r="AK1439" s="588"/>
      <c r="AM1439" s="624"/>
      <c r="AN1439" s="590"/>
      <c r="AP1439" s="591"/>
      <c r="AQ1439" s="591"/>
    </row>
    <row r="1440" spans="1:43" s="666" customFormat="1" ht="16.5" hidden="1" customHeight="1" outlineLevel="1" collapsed="1">
      <c r="A1440" s="584"/>
      <c r="B1440" s="665" t="s">
        <v>926</v>
      </c>
      <c r="C1440" s="577">
        <f>(C1441+C1447+C1444)*12/10^3</f>
        <v>109.00175999999999</v>
      </c>
      <c r="D1440" s="577">
        <f t="shared" ref="D1440:AF1440" si="1282">(D1441+D1447+D1444)*12/10^3</f>
        <v>109.00175999999999</v>
      </c>
      <c r="E1440" s="577">
        <f t="shared" si="1282"/>
        <v>109.00175999999999</v>
      </c>
      <c r="F1440" s="577">
        <f t="shared" si="1282"/>
        <v>109.00175999999999</v>
      </c>
      <c r="G1440" s="577">
        <f t="shared" si="1282"/>
        <v>109.00175999999999</v>
      </c>
      <c r="H1440" s="577">
        <f t="shared" si="1282"/>
        <v>109.00175999999999</v>
      </c>
      <c r="I1440" s="577">
        <f t="shared" si="1282"/>
        <v>72.37764</v>
      </c>
      <c r="J1440" s="577">
        <f t="shared" si="1282"/>
        <v>72.37764</v>
      </c>
      <c r="K1440" s="577">
        <f t="shared" si="1282"/>
        <v>72.37764</v>
      </c>
      <c r="L1440" s="577">
        <f t="shared" si="1282"/>
        <v>72.37764</v>
      </c>
      <c r="M1440" s="577">
        <f t="shared" si="1282"/>
        <v>72.37764</v>
      </c>
      <c r="N1440" s="577">
        <f t="shared" si="1282"/>
        <v>72.37764</v>
      </c>
      <c r="O1440" s="577">
        <f t="shared" si="1282"/>
        <v>72.37764</v>
      </c>
      <c r="P1440" s="577">
        <f t="shared" si="1282"/>
        <v>72.37764</v>
      </c>
      <c r="Q1440" s="577">
        <f t="shared" si="1282"/>
        <v>72.37764</v>
      </c>
      <c r="R1440" s="577">
        <f t="shared" si="1282"/>
        <v>72.37764</v>
      </c>
      <c r="S1440" s="577">
        <f t="shared" si="1282"/>
        <v>72.37764</v>
      </c>
      <c r="T1440" s="577">
        <f t="shared" si="1282"/>
        <v>72.37764</v>
      </c>
      <c r="U1440" s="577">
        <f t="shared" si="1282"/>
        <v>72.37764</v>
      </c>
      <c r="V1440" s="577">
        <f t="shared" si="1282"/>
        <v>72.37764</v>
      </c>
      <c r="W1440" s="577">
        <f t="shared" si="1282"/>
        <v>72.37764</v>
      </c>
      <c r="X1440" s="577">
        <f t="shared" si="1282"/>
        <v>72.37764</v>
      </c>
      <c r="Y1440" s="577">
        <f t="shared" si="1282"/>
        <v>72.37764</v>
      </c>
      <c r="Z1440" s="577">
        <f t="shared" si="1282"/>
        <v>72.37764</v>
      </c>
      <c r="AA1440" s="577">
        <f t="shared" si="1282"/>
        <v>72.37764</v>
      </c>
      <c r="AB1440" s="577">
        <f t="shared" si="1282"/>
        <v>72.37764</v>
      </c>
      <c r="AC1440" s="577">
        <f t="shared" si="1282"/>
        <v>72.37764</v>
      </c>
      <c r="AD1440" s="577">
        <f t="shared" si="1282"/>
        <v>72.37764</v>
      </c>
      <c r="AE1440" s="577">
        <f t="shared" si="1282"/>
        <v>72.37764</v>
      </c>
      <c r="AF1440" s="577">
        <f t="shared" si="1282"/>
        <v>72.37764</v>
      </c>
      <c r="AG1440" s="627"/>
      <c r="AH1440" s="578">
        <f>SUM(C1440:AF1440)</f>
        <v>2391.0739199999998</v>
      </c>
      <c r="AK1440" s="531"/>
      <c r="AM1440" s="594"/>
      <c r="AN1440" s="535"/>
      <c r="AP1440" s="667"/>
      <c r="AQ1440" s="667"/>
    </row>
    <row r="1441" spans="1:43" s="668" customFormat="1" ht="16.5" hidden="1" customHeight="1" outlineLevel="2">
      <c r="A1441" s="584"/>
      <c r="B1441" s="580" t="s">
        <v>1037</v>
      </c>
      <c r="C1441" s="581">
        <f>C1442*C1443</f>
        <v>6104.02</v>
      </c>
      <c r="D1441" s="581">
        <f t="shared" ref="D1441:AF1441" si="1283">D1442*D1443</f>
        <v>6104.02</v>
      </c>
      <c r="E1441" s="581">
        <f t="shared" si="1283"/>
        <v>6104.02</v>
      </c>
      <c r="F1441" s="581">
        <f t="shared" si="1283"/>
        <v>6104.02</v>
      </c>
      <c r="G1441" s="581">
        <f t="shared" si="1283"/>
        <v>6104.02</v>
      </c>
      <c r="H1441" s="581">
        <f t="shared" si="1283"/>
        <v>6104.02</v>
      </c>
      <c r="I1441" s="581">
        <f t="shared" si="1283"/>
        <v>3052.01</v>
      </c>
      <c r="J1441" s="581">
        <f t="shared" si="1283"/>
        <v>3052.01</v>
      </c>
      <c r="K1441" s="581">
        <f t="shared" si="1283"/>
        <v>3052.01</v>
      </c>
      <c r="L1441" s="581">
        <f t="shared" si="1283"/>
        <v>3052.01</v>
      </c>
      <c r="M1441" s="581">
        <f t="shared" si="1283"/>
        <v>3052.01</v>
      </c>
      <c r="N1441" s="581">
        <f t="shared" si="1283"/>
        <v>3052.01</v>
      </c>
      <c r="O1441" s="581">
        <f t="shared" si="1283"/>
        <v>3052.01</v>
      </c>
      <c r="P1441" s="581">
        <f t="shared" si="1283"/>
        <v>3052.01</v>
      </c>
      <c r="Q1441" s="581">
        <f t="shared" si="1283"/>
        <v>3052.01</v>
      </c>
      <c r="R1441" s="581">
        <f t="shared" si="1283"/>
        <v>3052.01</v>
      </c>
      <c r="S1441" s="581">
        <f t="shared" si="1283"/>
        <v>3052.01</v>
      </c>
      <c r="T1441" s="581">
        <f t="shared" si="1283"/>
        <v>3052.01</v>
      </c>
      <c r="U1441" s="581">
        <f t="shared" si="1283"/>
        <v>3052.01</v>
      </c>
      <c r="V1441" s="581">
        <f t="shared" si="1283"/>
        <v>3052.01</v>
      </c>
      <c r="W1441" s="581">
        <f t="shared" si="1283"/>
        <v>3052.01</v>
      </c>
      <c r="X1441" s="581">
        <f t="shared" si="1283"/>
        <v>3052.01</v>
      </c>
      <c r="Y1441" s="581">
        <f t="shared" si="1283"/>
        <v>3052.01</v>
      </c>
      <c r="Z1441" s="581">
        <f t="shared" si="1283"/>
        <v>3052.01</v>
      </c>
      <c r="AA1441" s="581">
        <f t="shared" si="1283"/>
        <v>3052.01</v>
      </c>
      <c r="AB1441" s="581">
        <f t="shared" si="1283"/>
        <v>3052.01</v>
      </c>
      <c r="AC1441" s="581">
        <f t="shared" si="1283"/>
        <v>3052.01</v>
      </c>
      <c r="AD1441" s="581">
        <f t="shared" si="1283"/>
        <v>3052.01</v>
      </c>
      <c r="AE1441" s="581">
        <f t="shared" si="1283"/>
        <v>3052.01</v>
      </c>
      <c r="AF1441" s="581">
        <f t="shared" si="1283"/>
        <v>3052.01</v>
      </c>
      <c r="AG1441" s="546"/>
      <c r="AH1441" s="571"/>
      <c r="AK1441" s="531"/>
      <c r="AM1441" s="594"/>
      <c r="AN1441" s="535"/>
      <c r="AP1441" s="669"/>
      <c r="AQ1441" s="669"/>
    </row>
    <row r="1442" spans="1:43" s="513" customFormat="1" ht="16.5" hidden="1" customHeight="1" outlineLevel="2">
      <c r="A1442" s="584"/>
      <c r="B1442" s="641" t="s">
        <v>805</v>
      </c>
      <c r="C1442" s="743">
        <v>1</v>
      </c>
      <c r="D1442" s="743">
        <v>1</v>
      </c>
      <c r="E1442" s="743">
        <v>1</v>
      </c>
      <c r="F1442" s="743">
        <v>1</v>
      </c>
      <c r="G1442" s="743">
        <v>1</v>
      </c>
      <c r="H1442" s="743">
        <v>1</v>
      </c>
      <c r="I1442" s="743">
        <v>0.5</v>
      </c>
      <c r="J1442" s="743">
        <v>0.5</v>
      </c>
      <c r="K1442" s="743">
        <v>0.5</v>
      </c>
      <c r="L1442" s="743">
        <v>0.5</v>
      </c>
      <c r="M1442" s="743">
        <v>0.5</v>
      </c>
      <c r="N1442" s="743">
        <v>0.5</v>
      </c>
      <c r="O1442" s="743">
        <v>0.5</v>
      </c>
      <c r="P1442" s="743">
        <v>0.5</v>
      </c>
      <c r="Q1442" s="743">
        <v>0.5</v>
      </c>
      <c r="R1442" s="743">
        <v>0.5</v>
      </c>
      <c r="S1442" s="743">
        <v>0.5</v>
      </c>
      <c r="T1442" s="743">
        <v>0.5</v>
      </c>
      <c r="U1442" s="743">
        <v>0.5</v>
      </c>
      <c r="V1442" s="743">
        <v>0.5</v>
      </c>
      <c r="W1442" s="743">
        <v>0.5</v>
      </c>
      <c r="X1442" s="743">
        <v>0.5</v>
      </c>
      <c r="Y1442" s="743">
        <v>0.5</v>
      </c>
      <c r="Z1442" s="743">
        <v>0.5</v>
      </c>
      <c r="AA1442" s="743">
        <v>0.5</v>
      </c>
      <c r="AB1442" s="743">
        <v>0.5</v>
      </c>
      <c r="AC1442" s="743">
        <v>0.5</v>
      </c>
      <c r="AD1442" s="743">
        <v>0.5</v>
      </c>
      <c r="AE1442" s="743">
        <v>0.5</v>
      </c>
      <c r="AF1442" s="743">
        <v>0.5</v>
      </c>
      <c r="AH1442" s="538"/>
      <c r="AK1442" s="531"/>
      <c r="AM1442" s="594"/>
      <c r="AN1442" s="535"/>
      <c r="AP1442" s="540"/>
      <c r="AQ1442" s="540"/>
    </row>
    <row r="1443" spans="1:43" ht="16.5" hidden="1" customHeight="1" outlineLevel="2">
      <c r="A1443" s="584"/>
      <c r="B1443" s="641" t="s">
        <v>924</v>
      </c>
      <c r="C1443" s="642">
        <f>'Sal._benef.'!$D$30</f>
        <v>6104.02</v>
      </c>
      <c r="D1443" s="592">
        <f>C1443</f>
        <v>6104.02</v>
      </c>
      <c r="E1443" s="592">
        <f t="shared" ref="E1443:AF1443" si="1284">D1443</f>
        <v>6104.02</v>
      </c>
      <c r="F1443" s="592">
        <f t="shared" si="1284"/>
        <v>6104.02</v>
      </c>
      <c r="G1443" s="592">
        <f t="shared" si="1284"/>
        <v>6104.02</v>
      </c>
      <c r="H1443" s="592">
        <f t="shared" si="1284"/>
        <v>6104.02</v>
      </c>
      <c r="I1443" s="592">
        <f t="shared" si="1284"/>
        <v>6104.02</v>
      </c>
      <c r="J1443" s="592">
        <f t="shared" si="1284"/>
        <v>6104.02</v>
      </c>
      <c r="K1443" s="592">
        <f t="shared" si="1284"/>
        <v>6104.02</v>
      </c>
      <c r="L1443" s="592">
        <f t="shared" si="1284"/>
        <v>6104.02</v>
      </c>
      <c r="M1443" s="592">
        <f t="shared" si="1284"/>
        <v>6104.02</v>
      </c>
      <c r="N1443" s="592">
        <f t="shared" si="1284"/>
        <v>6104.02</v>
      </c>
      <c r="O1443" s="592">
        <f t="shared" si="1284"/>
        <v>6104.02</v>
      </c>
      <c r="P1443" s="592">
        <f t="shared" si="1284"/>
        <v>6104.02</v>
      </c>
      <c r="Q1443" s="592">
        <f t="shared" si="1284"/>
        <v>6104.02</v>
      </c>
      <c r="R1443" s="592">
        <f t="shared" si="1284"/>
        <v>6104.02</v>
      </c>
      <c r="S1443" s="592">
        <f t="shared" si="1284"/>
        <v>6104.02</v>
      </c>
      <c r="T1443" s="592">
        <f t="shared" si="1284"/>
        <v>6104.02</v>
      </c>
      <c r="U1443" s="592">
        <f t="shared" si="1284"/>
        <v>6104.02</v>
      </c>
      <c r="V1443" s="592">
        <f t="shared" si="1284"/>
        <v>6104.02</v>
      </c>
      <c r="W1443" s="592">
        <f t="shared" si="1284"/>
        <v>6104.02</v>
      </c>
      <c r="X1443" s="592">
        <f t="shared" si="1284"/>
        <v>6104.02</v>
      </c>
      <c r="Y1443" s="592">
        <f t="shared" si="1284"/>
        <v>6104.02</v>
      </c>
      <c r="Z1443" s="592">
        <f t="shared" si="1284"/>
        <v>6104.02</v>
      </c>
      <c r="AA1443" s="592">
        <f t="shared" si="1284"/>
        <v>6104.02</v>
      </c>
      <c r="AB1443" s="592">
        <f t="shared" si="1284"/>
        <v>6104.02</v>
      </c>
      <c r="AC1443" s="592">
        <f t="shared" si="1284"/>
        <v>6104.02</v>
      </c>
      <c r="AD1443" s="592">
        <f t="shared" si="1284"/>
        <v>6104.02</v>
      </c>
      <c r="AE1443" s="592">
        <f t="shared" si="1284"/>
        <v>6104.02</v>
      </c>
      <c r="AF1443" s="592">
        <f t="shared" si="1284"/>
        <v>6104.02</v>
      </c>
      <c r="AH1443" s="538"/>
      <c r="AK1443" s="531"/>
      <c r="AM1443" s="594"/>
      <c r="AN1443" s="535"/>
      <c r="AP1443" s="535"/>
      <c r="AQ1443" s="535"/>
    </row>
    <row r="1444" spans="1:43" s="546" customFormat="1" ht="16.5" hidden="1" customHeight="1" outlineLevel="2">
      <c r="A1444" s="584"/>
      <c r="B1444" s="580" t="s">
        <v>1038</v>
      </c>
      <c r="C1444" s="581">
        <f>C1445*C1446</f>
        <v>2141.46</v>
      </c>
      <c r="D1444" s="581">
        <f t="shared" ref="D1444:AF1444" si="1285">D1445*D1446</f>
        <v>2141.46</v>
      </c>
      <c r="E1444" s="581">
        <f>E1445*E1446</f>
        <v>2141.46</v>
      </c>
      <c r="F1444" s="581">
        <f t="shared" si="1285"/>
        <v>2141.46</v>
      </c>
      <c r="G1444" s="581">
        <f t="shared" si="1285"/>
        <v>2141.46</v>
      </c>
      <c r="H1444" s="581">
        <f t="shared" si="1285"/>
        <v>2141.46</v>
      </c>
      <c r="I1444" s="581">
        <f t="shared" si="1285"/>
        <v>2141.46</v>
      </c>
      <c r="J1444" s="581">
        <f t="shared" si="1285"/>
        <v>2141.46</v>
      </c>
      <c r="K1444" s="581">
        <f t="shared" si="1285"/>
        <v>2141.46</v>
      </c>
      <c r="L1444" s="581">
        <f t="shared" si="1285"/>
        <v>2141.46</v>
      </c>
      <c r="M1444" s="581">
        <f t="shared" si="1285"/>
        <v>2141.46</v>
      </c>
      <c r="N1444" s="581">
        <f t="shared" si="1285"/>
        <v>2141.46</v>
      </c>
      <c r="O1444" s="581">
        <f t="shared" si="1285"/>
        <v>2141.46</v>
      </c>
      <c r="P1444" s="581">
        <f t="shared" si="1285"/>
        <v>2141.46</v>
      </c>
      <c r="Q1444" s="581">
        <f t="shared" si="1285"/>
        <v>2141.46</v>
      </c>
      <c r="R1444" s="581">
        <f t="shared" si="1285"/>
        <v>2141.46</v>
      </c>
      <c r="S1444" s="581">
        <f t="shared" si="1285"/>
        <v>2141.46</v>
      </c>
      <c r="T1444" s="581">
        <f t="shared" si="1285"/>
        <v>2141.46</v>
      </c>
      <c r="U1444" s="581">
        <f t="shared" si="1285"/>
        <v>2141.46</v>
      </c>
      <c r="V1444" s="581">
        <f t="shared" si="1285"/>
        <v>2141.46</v>
      </c>
      <c r="W1444" s="581">
        <f t="shared" si="1285"/>
        <v>2141.46</v>
      </c>
      <c r="X1444" s="581">
        <f t="shared" si="1285"/>
        <v>2141.46</v>
      </c>
      <c r="Y1444" s="581">
        <f t="shared" si="1285"/>
        <v>2141.46</v>
      </c>
      <c r="Z1444" s="581">
        <f t="shared" si="1285"/>
        <v>2141.46</v>
      </c>
      <c r="AA1444" s="581">
        <f t="shared" si="1285"/>
        <v>2141.46</v>
      </c>
      <c r="AB1444" s="581">
        <f t="shared" si="1285"/>
        <v>2141.46</v>
      </c>
      <c r="AC1444" s="581">
        <f t="shared" si="1285"/>
        <v>2141.46</v>
      </c>
      <c r="AD1444" s="581">
        <f t="shared" si="1285"/>
        <v>2141.46</v>
      </c>
      <c r="AE1444" s="581">
        <f t="shared" si="1285"/>
        <v>2141.46</v>
      </c>
      <c r="AF1444" s="581">
        <f t="shared" si="1285"/>
        <v>2141.46</v>
      </c>
      <c r="AH1444" s="571"/>
      <c r="AK1444" s="531"/>
      <c r="AM1444" s="594"/>
      <c r="AN1444" s="535"/>
      <c r="AP1444" s="549"/>
      <c r="AQ1444" s="549"/>
    </row>
    <row r="1445" spans="1:43" s="513" customFormat="1" ht="16.5" hidden="1" customHeight="1" outlineLevel="2">
      <c r="A1445" s="584"/>
      <c r="B1445" s="641" t="s">
        <v>805</v>
      </c>
      <c r="C1445" s="553">
        <v>1</v>
      </c>
      <c r="D1445" s="553">
        <v>1</v>
      </c>
      <c r="E1445" s="553">
        <v>1</v>
      </c>
      <c r="F1445" s="553">
        <v>1</v>
      </c>
      <c r="G1445" s="553">
        <v>1</v>
      </c>
      <c r="H1445" s="553">
        <v>1</v>
      </c>
      <c r="I1445" s="553">
        <v>1</v>
      </c>
      <c r="J1445" s="553">
        <v>1</v>
      </c>
      <c r="K1445" s="553">
        <v>1</v>
      </c>
      <c r="L1445" s="553">
        <v>1</v>
      </c>
      <c r="M1445" s="553">
        <v>1</v>
      </c>
      <c r="N1445" s="553">
        <v>1</v>
      </c>
      <c r="O1445" s="553">
        <v>1</v>
      </c>
      <c r="P1445" s="553">
        <v>1</v>
      </c>
      <c r="Q1445" s="553">
        <v>1</v>
      </c>
      <c r="R1445" s="553">
        <v>1</v>
      </c>
      <c r="S1445" s="553">
        <v>1</v>
      </c>
      <c r="T1445" s="553">
        <v>1</v>
      </c>
      <c r="U1445" s="553">
        <v>1</v>
      </c>
      <c r="V1445" s="553">
        <v>1</v>
      </c>
      <c r="W1445" s="553">
        <v>1</v>
      </c>
      <c r="X1445" s="553">
        <v>1</v>
      </c>
      <c r="Y1445" s="553">
        <v>1</v>
      </c>
      <c r="Z1445" s="553">
        <v>1</v>
      </c>
      <c r="AA1445" s="553">
        <v>1</v>
      </c>
      <c r="AB1445" s="553">
        <v>1</v>
      </c>
      <c r="AC1445" s="553">
        <v>1</v>
      </c>
      <c r="AD1445" s="553">
        <v>1</v>
      </c>
      <c r="AE1445" s="553">
        <v>1</v>
      </c>
      <c r="AF1445" s="553">
        <v>1</v>
      </c>
      <c r="AG1445" s="614"/>
      <c r="AH1445" s="538"/>
      <c r="AK1445" s="531"/>
      <c r="AM1445" s="594"/>
      <c r="AN1445" s="535"/>
      <c r="AP1445" s="540"/>
      <c r="AQ1445" s="540"/>
    </row>
    <row r="1446" spans="1:43" ht="16.5" hidden="1" customHeight="1" outlineLevel="2">
      <c r="A1446" s="584"/>
      <c r="B1446" s="641" t="s">
        <v>924</v>
      </c>
      <c r="C1446" s="592">
        <f>'Sal._benef.'!$D$31</f>
        <v>2141.46</v>
      </c>
      <c r="D1446" s="592">
        <f>C1446</f>
        <v>2141.46</v>
      </c>
      <c r="E1446" s="592">
        <f>D1446</f>
        <v>2141.46</v>
      </c>
      <c r="F1446" s="592">
        <f t="shared" ref="F1446:G1446" si="1286">E1446</f>
        <v>2141.46</v>
      </c>
      <c r="G1446" s="592">
        <f t="shared" si="1286"/>
        <v>2141.46</v>
      </c>
      <c r="H1446" s="592">
        <f>G1446</f>
        <v>2141.46</v>
      </c>
      <c r="I1446" s="592">
        <f t="shared" ref="I1446:U1446" si="1287">H1446</f>
        <v>2141.46</v>
      </c>
      <c r="J1446" s="592">
        <f t="shared" si="1287"/>
        <v>2141.46</v>
      </c>
      <c r="K1446" s="592">
        <f t="shared" si="1287"/>
        <v>2141.46</v>
      </c>
      <c r="L1446" s="592">
        <f t="shared" si="1287"/>
        <v>2141.46</v>
      </c>
      <c r="M1446" s="592">
        <f t="shared" si="1287"/>
        <v>2141.46</v>
      </c>
      <c r="N1446" s="592">
        <f t="shared" si="1287"/>
        <v>2141.46</v>
      </c>
      <c r="O1446" s="592">
        <f t="shared" si="1287"/>
        <v>2141.46</v>
      </c>
      <c r="P1446" s="592">
        <f t="shared" si="1287"/>
        <v>2141.46</v>
      </c>
      <c r="Q1446" s="592">
        <f t="shared" si="1287"/>
        <v>2141.46</v>
      </c>
      <c r="R1446" s="592">
        <f t="shared" si="1287"/>
        <v>2141.46</v>
      </c>
      <c r="S1446" s="592">
        <f t="shared" si="1287"/>
        <v>2141.46</v>
      </c>
      <c r="T1446" s="592">
        <f t="shared" si="1287"/>
        <v>2141.46</v>
      </c>
      <c r="U1446" s="592">
        <f t="shared" si="1287"/>
        <v>2141.46</v>
      </c>
      <c r="V1446" s="592">
        <f>U1446</f>
        <v>2141.46</v>
      </c>
      <c r="W1446" s="592">
        <f t="shared" ref="W1446:AF1446" si="1288">V1446</f>
        <v>2141.46</v>
      </c>
      <c r="X1446" s="592">
        <f t="shared" si="1288"/>
        <v>2141.46</v>
      </c>
      <c r="Y1446" s="592">
        <f t="shared" si="1288"/>
        <v>2141.46</v>
      </c>
      <c r="Z1446" s="592">
        <f t="shared" si="1288"/>
        <v>2141.46</v>
      </c>
      <c r="AA1446" s="592">
        <f t="shared" si="1288"/>
        <v>2141.46</v>
      </c>
      <c r="AB1446" s="592">
        <f t="shared" si="1288"/>
        <v>2141.46</v>
      </c>
      <c r="AC1446" s="592">
        <f t="shared" si="1288"/>
        <v>2141.46</v>
      </c>
      <c r="AD1446" s="592">
        <f t="shared" si="1288"/>
        <v>2141.46</v>
      </c>
      <c r="AE1446" s="592">
        <f t="shared" si="1288"/>
        <v>2141.46</v>
      </c>
      <c r="AF1446" s="592">
        <f t="shared" si="1288"/>
        <v>2141.46</v>
      </c>
      <c r="AH1446" s="538"/>
      <c r="AK1446" s="531"/>
      <c r="AM1446" s="594"/>
      <c r="AN1446" s="535"/>
      <c r="AP1446" s="535"/>
      <c r="AQ1446" s="535"/>
    </row>
    <row r="1447" spans="1:43" s="668" customFormat="1" ht="16.5" hidden="1" customHeight="1" outlineLevel="2">
      <c r="A1447" s="584"/>
      <c r="B1447" s="580" t="s">
        <v>1039</v>
      </c>
      <c r="C1447" s="581">
        <f>C1448*C1449</f>
        <v>838</v>
      </c>
      <c r="D1447" s="581">
        <f t="shared" ref="D1447:AF1447" si="1289">D1448*D1449</f>
        <v>838</v>
      </c>
      <c r="E1447" s="581">
        <f>E1448*E1449</f>
        <v>838</v>
      </c>
      <c r="F1447" s="581">
        <f t="shared" si="1289"/>
        <v>838</v>
      </c>
      <c r="G1447" s="581">
        <f t="shared" si="1289"/>
        <v>838</v>
      </c>
      <c r="H1447" s="581">
        <f t="shared" si="1289"/>
        <v>838</v>
      </c>
      <c r="I1447" s="581">
        <f t="shared" si="1289"/>
        <v>838</v>
      </c>
      <c r="J1447" s="581">
        <f t="shared" si="1289"/>
        <v>838</v>
      </c>
      <c r="K1447" s="581">
        <f t="shared" si="1289"/>
        <v>838</v>
      </c>
      <c r="L1447" s="581">
        <f t="shared" si="1289"/>
        <v>838</v>
      </c>
      <c r="M1447" s="581">
        <f t="shared" si="1289"/>
        <v>838</v>
      </c>
      <c r="N1447" s="581">
        <f t="shared" si="1289"/>
        <v>838</v>
      </c>
      <c r="O1447" s="581">
        <f t="shared" si="1289"/>
        <v>838</v>
      </c>
      <c r="P1447" s="581">
        <f t="shared" si="1289"/>
        <v>838</v>
      </c>
      <c r="Q1447" s="581">
        <f t="shared" si="1289"/>
        <v>838</v>
      </c>
      <c r="R1447" s="581">
        <f t="shared" si="1289"/>
        <v>838</v>
      </c>
      <c r="S1447" s="581">
        <f t="shared" si="1289"/>
        <v>838</v>
      </c>
      <c r="T1447" s="581">
        <f t="shared" si="1289"/>
        <v>838</v>
      </c>
      <c r="U1447" s="581">
        <f t="shared" si="1289"/>
        <v>838</v>
      </c>
      <c r="V1447" s="581">
        <f t="shared" si="1289"/>
        <v>838</v>
      </c>
      <c r="W1447" s="581">
        <f t="shared" si="1289"/>
        <v>838</v>
      </c>
      <c r="X1447" s="581">
        <f t="shared" si="1289"/>
        <v>838</v>
      </c>
      <c r="Y1447" s="581">
        <f t="shared" si="1289"/>
        <v>838</v>
      </c>
      <c r="Z1447" s="581">
        <f t="shared" si="1289"/>
        <v>838</v>
      </c>
      <c r="AA1447" s="581">
        <f t="shared" si="1289"/>
        <v>838</v>
      </c>
      <c r="AB1447" s="581">
        <f t="shared" si="1289"/>
        <v>838</v>
      </c>
      <c r="AC1447" s="581">
        <f t="shared" si="1289"/>
        <v>838</v>
      </c>
      <c r="AD1447" s="581">
        <f t="shared" si="1289"/>
        <v>838</v>
      </c>
      <c r="AE1447" s="581">
        <f t="shared" si="1289"/>
        <v>838</v>
      </c>
      <c r="AF1447" s="581">
        <f t="shared" si="1289"/>
        <v>838</v>
      </c>
      <c r="AG1447" s="546"/>
      <c r="AH1447" s="571"/>
      <c r="AK1447" s="531"/>
      <c r="AM1447" s="594"/>
      <c r="AN1447" s="535"/>
      <c r="AP1447" s="669"/>
      <c r="AQ1447" s="669"/>
    </row>
    <row r="1448" spans="1:43" ht="16.5" hidden="1" customHeight="1" outlineLevel="2">
      <c r="A1448" s="584"/>
      <c r="B1448" s="641" t="s">
        <v>805</v>
      </c>
      <c r="C1448" s="553">
        <v>1</v>
      </c>
      <c r="D1448" s="553">
        <v>1</v>
      </c>
      <c r="E1448" s="553">
        <v>1</v>
      </c>
      <c r="F1448" s="553">
        <v>1</v>
      </c>
      <c r="G1448" s="553">
        <v>1</v>
      </c>
      <c r="H1448" s="553">
        <v>1</v>
      </c>
      <c r="I1448" s="553">
        <v>1</v>
      </c>
      <c r="J1448" s="553">
        <v>1</v>
      </c>
      <c r="K1448" s="553">
        <v>1</v>
      </c>
      <c r="L1448" s="553">
        <v>1</v>
      </c>
      <c r="M1448" s="553">
        <v>1</v>
      </c>
      <c r="N1448" s="553">
        <v>1</v>
      </c>
      <c r="O1448" s="553">
        <v>1</v>
      </c>
      <c r="P1448" s="553">
        <v>1</v>
      </c>
      <c r="Q1448" s="553">
        <v>1</v>
      </c>
      <c r="R1448" s="553">
        <v>1</v>
      </c>
      <c r="S1448" s="553">
        <v>1</v>
      </c>
      <c r="T1448" s="553">
        <v>1</v>
      </c>
      <c r="U1448" s="553">
        <v>1</v>
      </c>
      <c r="V1448" s="553">
        <v>1</v>
      </c>
      <c r="W1448" s="553">
        <v>1</v>
      </c>
      <c r="X1448" s="553">
        <v>1</v>
      </c>
      <c r="Y1448" s="553">
        <v>1</v>
      </c>
      <c r="Z1448" s="553">
        <v>1</v>
      </c>
      <c r="AA1448" s="553">
        <v>1</v>
      </c>
      <c r="AB1448" s="553">
        <v>1</v>
      </c>
      <c r="AC1448" s="553">
        <v>1</v>
      </c>
      <c r="AD1448" s="553">
        <v>1</v>
      </c>
      <c r="AE1448" s="553">
        <v>1</v>
      </c>
      <c r="AF1448" s="553">
        <v>1</v>
      </c>
      <c r="AH1448" s="538"/>
      <c r="AK1448" s="531"/>
      <c r="AM1448" s="594"/>
      <c r="AN1448" s="535"/>
      <c r="AP1448" s="535"/>
      <c r="AQ1448" s="535"/>
    </row>
    <row r="1449" spans="1:43" ht="16.5" hidden="1" customHeight="1" outlineLevel="2">
      <c r="A1449" s="584"/>
      <c r="B1449" s="641" t="s">
        <v>924</v>
      </c>
      <c r="C1449" s="592">
        <f>'Sal._benef.'!$D$35</f>
        <v>838</v>
      </c>
      <c r="D1449" s="592">
        <f>C1449</f>
        <v>838</v>
      </c>
      <c r="E1449" s="592">
        <f t="shared" ref="E1449:AF1449" si="1290">D1449</f>
        <v>838</v>
      </c>
      <c r="F1449" s="592">
        <f t="shared" si="1290"/>
        <v>838</v>
      </c>
      <c r="G1449" s="592">
        <f t="shared" si="1290"/>
        <v>838</v>
      </c>
      <c r="H1449" s="592">
        <f t="shared" si="1290"/>
        <v>838</v>
      </c>
      <c r="I1449" s="592">
        <f t="shared" si="1290"/>
        <v>838</v>
      </c>
      <c r="J1449" s="592">
        <f t="shared" si="1290"/>
        <v>838</v>
      </c>
      <c r="K1449" s="592">
        <f t="shared" si="1290"/>
        <v>838</v>
      </c>
      <c r="L1449" s="592">
        <f t="shared" si="1290"/>
        <v>838</v>
      </c>
      <c r="M1449" s="592">
        <f t="shared" si="1290"/>
        <v>838</v>
      </c>
      <c r="N1449" s="592">
        <f t="shared" si="1290"/>
        <v>838</v>
      </c>
      <c r="O1449" s="592">
        <f t="shared" si="1290"/>
        <v>838</v>
      </c>
      <c r="P1449" s="592">
        <f t="shared" si="1290"/>
        <v>838</v>
      </c>
      <c r="Q1449" s="592">
        <f t="shared" si="1290"/>
        <v>838</v>
      </c>
      <c r="R1449" s="592">
        <f t="shared" si="1290"/>
        <v>838</v>
      </c>
      <c r="S1449" s="592">
        <f t="shared" si="1290"/>
        <v>838</v>
      </c>
      <c r="T1449" s="592">
        <f t="shared" si="1290"/>
        <v>838</v>
      </c>
      <c r="U1449" s="592">
        <f t="shared" si="1290"/>
        <v>838</v>
      </c>
      <c r="V1449" s="592">
        <f t="shared" si="1290"/>
        <v>838</v>
      </c>
      <c r="W1449" s="592">
        <f t="shared" si="1290"/>
        <v>838</v>
      </c>
      <c r="X1449" s="592">
        <f t="shared" si="1290"/>
        <v>838</v>
      </c>
      <c r="Y1449" s="592">
        <f t="shared" si="1290"/>
        <v>838</v>
      </c>
      <c r="Z1449" s="592">
        <f t="shared" si="1290"/>
        <v>838</v>
      </c>
      <c r="AA1449" s="592">
        <f t="shared" si="1290"/>
        <v>838</v>
      </c>
      <c r="AB1449" s="592">
        <f t="shared" si="1290"/>
        <v>838</v>
      </c>
      <c r="AC1449" s="592">
        <f t="shared" si="1290"/>
        <v>838</v>
      </c>
      <c r="AD1449" s="592">
        <f t="shared" si="1290"/>
        <v>838</v>
      </c>
      <c r="AE1449" s="592">
        <f t="shared" si="1290"/>
        <v>838</v>
      </c>
      <c r="AF1449" s="592">
        <f t="shared" si="1290"/>
        <v>838</v>
      </c>
      <c r="AH1449" s="538"/>
      <c r="AK1449" s="531"/>
      <c r="AM1449" s="594"/>
      <c r="AN1449" s="535"/>
      <c r="AP1449" s="535"/>
      <c r="AQ1449" s="535"/>
    </row>
    <row r="1450" spans="1:43" s="666" customFormat="1" ht="16.5" hidden="1" customHeight="1" outlineLevel="1" collapsed="1">
      <c r="A1450" s="584"/>
      <c r="B1450" s="665" t="s">
        <v>936</v>
      </c>
      <c r="C1450" s="577">
        <f>C1451</f>
        <v>77.423950128000001</v>
      </c>
      <c r="D1450" s="577">
        <f t="shared" ref="D1450:AF1450" si="1291">D1451</f>
        <v>77.423950128000001</v>
      </c>
      <c r="E1450" s="577">
        <f t="shared" si="1291"/>
        <v>77.423950128000001</v>
      </c>
      <c r="F1450" s="577">
        <f t="shared" si="1291"/>
        <v>77.423950128000001</v>
      </c>
      <c r="G1450" s="577">
        <f t="shared" si="1291"/>
        <v>77.423950128000001</v>
      </c>
      <c r="H1450" s="577">
        <f t="shared" si="1291"/>
        <v>77.423950128000001</v>
      </c>
      <c r="I1450" s="577">
        <f t="shared" si="1291"/>
        <v>51.409837692000004</v>
      </c>
      <c r="J1450" s="577">
        <f t="shared" si="1291"/>
        <v>51.409837692000004</v>
      </c>
      <c r="K1450" s="577">
        <f t="shared" si="1291"/>
        <v>51.409837692000004</v>
      </c>
      <c r="L1450" s="577">
        <f t="shared" si="1291"/>
        <v>51.409837692000004</v>
      </c>
      <c r="M1450" s="577">
        <f t="shared" si="1291"/>
        <v>51.409837692000004</v>
      </c>
      <c r="N1450" s="577">
        <f t="shared" si="1291"/>
        <v>51.409837692000004</v>
      </c>
      <c r="O1450" s="577">
        <f t="shared" si="1291"/>
        <v>51.409837692000004</v>
      </c>
      <c r="P1450" s="577">
        <f t="shared" si="1291"/>
        <v>51.409837692000004</v>
      </c>
      <c r="Q1450" s="577">
        <f t="shared" si="1291"/>
        <v>51.409837692000004</v>
      </c>
      <c r="R1450" s="577">
        <f t="shared" si="1291"/>
        <v>51.409837692000004</v>
      </c>
      <c r="S1450" s="577">
        <f t="shared" si="1291"/>
        <v>51.409837692000004</v>
      </c>
      <c r="T1450" s="577">
        <f t="shared" si="1291"/>
        <v>51.409837692000004</v>
      </c>
      <c r="U1450" s="577">
        <f t="shared" si="1291"/>
        <v>51.409837692000004</v>
      </c>
      <c r="V1450" s="577">
        <f t="shared" si="1291"/>
        <v>51.409837692000004</v>
      </c>
      <c r="W1450" s="577">
        <f t="shared" si="1291"/>
        <v>51.409837692000004</v>
      </c>
      <c r="X1450" s="577">
        <f t="shared" si="1291"/>
        <v>51.409837692000004</v>
      </c>
      <c r="Y1450" s="577">
        <f t="shared" si="1291"/>
        <v>51.409837692000004</v>
      </c>
      <c r="Z1450" s="577">
        <f t="shared" si="1291"/>
        <v>51.409837692000004</v>
      </c>
      <c r="AA1450" s="577">
        <f t="shared" si="1291"/>
        <v>51.409837692000004</v>
      </c>
      <c r="AB1450" s="577">
        <f t="shared" si="1291"/>
        <v>51.409837692000004</v>
      </c>
      <c r="AC1450" s="577">
        <f t="shared" si="1291"/>
        <v>51.409837692000004</v>
      </c>
      <c r="AD1450" s="577">
        <f t="shared" si="1291"/>
        <v>51.409837692000004</v>
      </c>
      <c r="AE1450" s="577">
        <f t="shared" si="1291"/>
        <v>51.409837692000004</v>
      </c>
      <c r="AF1450" s="577">
        <f t="shared" si="1291"/>
        <v>51.409837692000004</v>
      </c>
      <c r="AG1450" s="564"/>
      <c r="AH1450" s="578">
        <f>SUM(C1450:AF1450)</f>
        <v>1698.3798053760015</v>
      </c>
      <c r="AK1450" s="531"/>
      <c r="AM1450" s="594"/>
      <c r="AN1450" s="535"/>
      <c r="AP1450" s="667"/>
      <c r="AQ1450" s="667"/>
    </row>
    <row r="1451" spans="1:43" s="668" customFormat="1" ht="16.5" hidden="1" customHeight="1" outlineLevel="2">
      <c r="A1451" s="584"/>
      <c r="B1451" s="580" t="s">
        <v>937</v>
      </c>
      <c r="C1451" s="570">
        <f t="shared" ref="C1451:AF1451" si="1292">C1440*C1452</f>
        <v>77.423950128000001</v>
      </c>
      <c r="D1451" s="570">
        <f t="shared" si="1292"/>
        <v>77.423950128000001</v>
      </c>
      <c r="E1451" s="570">
        <f t="shared" si="1292"/>
        <v>77.423950128000001</v>
      </c>
      <c r="F1451" s="570">
        <f t="shared" si="1292"/>
        <v>77.423950128000001</v>
      </c>
      <c r="G1451" s="570">
        <f t="shared" si="1292"/>
        <v>77.423950128000001</v>
      </c>
      <c r="H1451" s="570">
        <f t="shared" si="1292"/>
        <v>77.423950128000001</v>
      </c>
      <c r="I1451" s="570">
        <f t="shared" si="1292"/>
        <v>51.409837692000004</v>
      </c>
      <c r="J1451" s="570">
        <f t="shared" si="1292"/>
        <v>51.409837692000004</v>
      </c>
      <c r="K1451" s="570">
        <f t="shared" si="1292"/>
        <v>51.409837692000004</v>
      </c>
      <c r="L1451" s="570">
        <f t="shared" si="1292"/>
        <v>51.409837692000004</v>
      </c>
      <c r="M1451" s="570">
        <f t="shared" si="1292"/>
        <v>51.409837692000004</v>
      </c>
      <c r="N1451" s="570">
        <f t="shared" si="1292"/>
        <v>51.409837692000004</v>
      </c>
      <c r="O1451" s="570">
        <f t="shared" si="1292"/>
        <v>51.409837692000004</v>
      </c>
      <c r="P1451" s="570">
        <f t="shared" si="1292"/>
        <v>51.409837692000004</v>
      </c>
      <c r="Q1451" s="570">
        <f t="shared" si="1292"/>
        <v>51.409837692000004</v>
      </c>
      <c r="R1451" s="570">
        <f t="shared" si="1292"/>
        <v>51.409837692000004</v>
      </c>
      <c r="S1451" s="570">
        <f t="shared" si="1292"/>
        <v>51.409837692000004</v>
      </c>
      <c r="T1451" s="570">
        <f t="shared" si="1292"/>
        <v>51.409837692000004</v>
      </c>
      <c r="U1451" s="570">
        <f t="shared" si="1292"/>
        <v>51.409837692000004</v>
      </c>
      <c r="V1451" s="570">
        <f t="shared" si="1292"/>
        <v>51.409837692000004</v>
      </c>
      <c r="W1451" s="570">
        <f t="shared" si="1292"/>
        <v>51.409837692000004</v>
      </c>
      <c r="X1451" s="570">
        <f t="shared" si="1292"/>
        <v>51.409837692000004</v>
      </c>
      <c r="Y1451" s="570">
        <f t="shared" si="1292"/>
        <v>51.409837692000004</v>
      </c>
      <c r="Z1451" s="570">
        <f t="shared" si="1292"/>
        <v>51.409837692000004</v>
      </c>
      <c r="AA1451" s="570">
        <f t="shared" si="1292"/>
        <v>51.409837692000004</v>
      </c>
      <c r="AB1451" s="570">
        <f t="shared" si="1292"/>
        <v>51.409837692000004</v>
      </c>
      <c r="AC1451" s="570">
        <f t="shared" si="1292"/>
        <v>51.409837692000004</v>
      </c>
      <c r="AD1451" s="570">
        <f t="shared" si="1292"/>
        <v>51.409837692000004</v>
      </c>
      <c r="AE1451" s="570">
        <f t="shared" si="1292"/>
        <v>51.409837692000004</v>
      </c>
      <c r="AF1451" s="570">
        <f t="shared" si="1292"/>
        <v>51.409837692000004</v>
      </c>
      <c r="AG1451" s="546"/>
      <c r="AH1451" s="571"/>
      <c r="AK1451" s="531"/>
      <c r="AM1451" s="594"/>
      <c r="AN1451" s="535"/>
      <c r="AP1451" s="669"/>
      <c r="AQ1451" s="669"/>
    </row>
    <row r="1452" spans="1:43" ht="16.5" hidden="1" customHeight="1" outlineLevel="2">
      <c r="A1452" s="584"/>
      <c r="B1452" s="585" t="s">
        <v>938</v>
      </c>
      <c r="C1452" s="670">
        <f>'Sal._benef.'!$F$11</f>
        <v>0.71030000000000004</v>
      </c>
      <c r="D1452" s="670">
        <f>C1452</f>
        <v>0.71030000000000004</v>
      </c>
      <c r="E1452" s="670">
        <f t="shared" ref="E1452:AF1452" si="1293">D1452</f>
        <v>0.71030000000000004</v>
      </c>
      <c r="F1452" s="670">
        <f t="shared" si="1293"/>
        <v>0.71030000000000004</v>
      </c>
      <c r="G1452" s="670">
        <f t="shared" si="1293"/>
        <v>0.71030000000000004</v>
      </c>
      <c r="H1452" s="670">
        <f t="shared" si="1293"/>
        <v>0.71030000000000004</v>
      </c>
      <c r="I1452" s="670">
        <f t="shared" si="1293"/>
        <v>0.71030000000000004</v>
      </c>
      <c r="J1452" s="670">
        <f t="shared" si="1293"/>
        <v>0.71030000000000004</v>
      </c>
      <c r="K1452" s="670">
        <f t="shared" si="1293"/>
        <v>0.71030000000000004</v>
      </c>
      <c r="L1452" s="670">
        <f t="shared" si="1293"/>
        <v>0.71030000000000004</v>
      </c>
      <c r="M1452" s="670">
        <f t="shared" si="1293"/>
        <v>0.71030000000000004</v>
      </c>
      <c r="N1452" s="670">
        <f t="shared" si="1293"/>
        <v>0.71030000000000004</v>
      </c>
      <c r="O1452" s="670">
        <f t="shared" si="1293"/>
        <v>0.71030000000000004</v>
      </c>
      <c r="P1452" s="670">
        <f t="shared" si="1293"/>
        <v>0.71030000000000004</v>
      </c>
      <c r="Q1452" s="670">
        <f t="shared" si="1293"/>
        <v>0.71030000000000004</v>
      </c>
      <c r="R1452" s="670">
        <f t="shared" si="1293"/>
        <v>0.71030000000000004</v>
      </c>
      <c r="S1452" s="670">
        <f t="shared" si="1293"/>
        <v>0.71030000000000004</v>
      </c>
      <c r="T1452" s="670">
        <f t="shared" si="1293"/>
        <v>0.71030000000000004</v>
      </c>
      <c r="U1452" s="670">
        <f t="shared" si="1293"/>
        <v>0.71030000000000004</v>
      </c>
      <c r="V1452" s="670">
        <f t="shared" si="1293"/>
        <v>0.71030000000000004</v>
      </c>
      <c r="W1452" s="670">
        <f t="shared" si="1293"/>
        <v>0.71030000000000004</v>
      </c>
      <c r="X1452" s="670">
        <f t="shared" si="1293"/>
        <v>0.71030000000000004</v>
      </c>
      <c r="Y1452" s="670">
        <f t="shared" si="1293"/>
        <v>0.71030000000000004</v>
      </c>
      <c r="Z1452" s="670">
        <f t="shared" si="1293"/>
        <v>0.71030000000000004</v>
      </c>
      <c r="AA1452" s="670">
        <f t="shared" si="1293"/>
        <v>0.71030000000000004</v>
      </c>
      <c r="AB1452" s="670">
        <f t="shared" si="1293"/>
        <v>0.71030000000000004</v>
      </c>
      <c r="AC1452" s="670">
        <f t="shared" si="1293"/>
        <v>0.71030000000000004</v>
      </c>
      <c r="AD1452" s="670">
        <f t="shared" si="1293"/>
        <v>0.71030000000000004</v>
      </c>
      <c r="AE1452" s="670">
        <f t="shared" si="1293"/>
        <v>0.71030000000000004</v>
      </c>
      <c r="AF1452" s="670">
        <f t="shared" si="1293"/>
        <v>0.71030000000000004</v>
      </c>
      <c r="AH1452" s="538"/>
      <c r="AK1452" s="531"/>
      <c r="AM1452" s="594"/>
      <c r="AN1452" s="535"/>
      <c r="AP1452" s="535"/>
      <c r="AQ1452" s="535"/>
    </row>
    <row r="1453" spans="1:43" s="666" customFormat="1" ht="16.5" hidden="1" customHeight="1" outlineLevel="1" collapsed="1">
      <c r="A1453" s="584"/>
      <c r="B1453" s="665" t="s">
        <v>939</v>
      </c>
      <c r="C1453" s="577">
        <f t="shared" ref="C1453:AF1453" si="1294">SUM(C1454,C1459,C1464)*12/10^3</f>
        <v>18.199079999999999</v>
      </c>
      <c r="D1453" s="577">
        <f t="shared" si="1294"/>
        <v>18.199079999999999</v>
      </c>
      <c r="E1453" s="577">
        <f t="shared" si="1294"/>
        <v>18.199079999999999</v>
      </c>
      <c r="F1453" s="577">
        <f t="shared" si="1294"/>
        <v>18.199079999999999</v>
      </c>
      <c r="G1453" s="577">
        <f t="shared" si="1294"/>
        <v>18.199079999999999</v>
      </c>
      <c r="H1453" s="577">
        <f t="shared" si="1294"/>
        <v>18.199079999999999</v>
      </c>
      <c r="I1453" s="577">
        <f t="shared" si="1294"/>
        <v>15.165899999999997</v>
      </c>
      <c r="J1453" s="577">
        <f t="shared" si="1294"/>
        <v>15.165899999999997</v>
      </c>
      <c r="K1453" s="577">
        <f t="shared" si="1294"/>
        <v>15.165899999999997</v>
      </c>
      <c r="L1453" s="577">
        <f t="shared" si="1294"/>
        <v>15.165899999999997</v>
      </c>
      <c r="M1453" s="577">
        <f t="shared" si="1294"/>
        <v>15.165899999999997</v>
      </c>
      <c r="N1453" s="577">
        <f t="shared" si="1294"/>
        <v>15.165899999999997</v>
      </c>
      <c r="O1453" s="577">
        <f t="shared" si="1294"/>
        <v>15.165899999999997</v>
      </c>
      <c r="P1453" s="577">
        <f t="shared" si="1294"/>
        <v>15.165899999999997</v>
      </c>
      <c r="Q1453" s="577">
        <f t="shared" si="1294"/>
        <v>15.165899999999997</v>
      </c>
      <c r="R1453" s="577">
        <f t="shared" si="1294"/>
        <v>15.165899999999997</v>
      </c>
      <c r="S1453" s="577">
        <f t="shared" si="1294"/>
        <v>15.165899999999997</v>
      </c>
      <c r="T1453" s="577">
        <f t="shared" si="1294"/>
        <v>15.165899999999997</v>
      </c>
      <c r="U1453" s="577">
        <f t="shared" si="1294"/>
        <v>15.165899999999997</v>
      </c>
      <c r="V1453" s="577">
        <f t="shared" si="1294"/>
        <v>15.165899999999997</v>
      </c>
      <c r="W1453" s="577">
        <f t="shared" si="1294"/>
        <v>15.165899999999997</v>
      </c>
      <c r="X1453" s="577">
        <f t="shared" si="1294"/>
        <v>15.165899999999997</v>
      </c>
      <c r="Y1453" s="577">
        <f t="shared" si="1294"/>
        <v>15.165899999999997</v>
      </c>
      <c r="Z1453" s="577">
        <f t="shared" si="1294"/>
        <v>15.165899999999997</v>
      </c>
      <c r="AA1453" s="577">
        <f t="shared" si="1294"/>
        <v>15.165899999999997</v>
      </c>
      <c r="AB1453" s="577">
        <f t="shared" si="1294"/>
        <v>15.165899999999997</v>
      </c>
      <c r="AC1453" s="577">
        <f t="shared" si="1294"/>
        <v>15.165899999999997</v>
      </c>
      <c r="AD1453" s="577">
        <f t="shared" si="1294"/>
        <v>15.165899999999997</v>
      </c>
      <c r="AE1453" s="577">
        <f t="shared" si="1294"/>
        <v>15.165899999999997</v>
      </c>
      <c r="AF1453" s="577">
        <f t="shared" si="1294"/>
        <v>15.165899999999997</v>
      </c>
      <c r="AG1453" s="652"/>
      <c r="AH1453" s="578">
        <f>SUM(C1453:AF1453)</f>
        <v>473.17608000000024</v>
      </c>
      <c r="AK1453" s="531"/>
      <c r="AM1453" s="594"/>
      <c r="AN1453" s="535"/>
      <c r="AP1453" s="667"/>
      <c r="AQ1453" s="667"/>
    </row>
    <row r="1454" spans="1:43" s="668" customFormat="1" ht="16.5" hidden="1" customHeight="1" outlineLevel="2">
      <c r="A1454" s="584"/>
      <c r="B1454" s="671" t="s">
        <v>1037</v>
      </c>
      <c r="C1454" s="570">
        <f>C1455*(C1456+C1457+C1458)</f>
        <v>505.53</v>
      </c>
      <c r="D1454" s="570">
        <f t="shared" ref="D1454:AF1454" si="1295">D1455*(D1456+D1457+D1458)</f>
        <v>505.53</v>
      </c>
      <c r="E1454" s="570">
        <f t="shared" si="1295"/>
        <v>505.53</v>
      </c>
      <c r="F1454" s="570">
        <f t="shared" si="1295"/>
        <v>505.53</v>
      </c>
      <c r="G1454" s="570">
        <f t="shared" si="1295"/>
        <v>505.53</v>
      </c>
      <c r="H1454" s="570">
        <f t="shared" si="1295"/>
        <v>505.53</v>
      </c>
      <c r="I1454" s="570">
        <f t="shared" si="1295"/>
        <v>252.76499999999999</v>
      </c>
      <c r="J1454" s="570">
        <f t="shared" si="1295"/>
        <v>252.76499999999999</v>
      </c>
      <c r="K1454" s="570">
        <f t="shared" si="1295"/>
        <v>252.76499999999999</v>
      </c>
      <c r="L1454" s="570">
        <f t="shared" si="1295"/>
        <v>252.76499999999999</v>
      </c>
      <c r="M1454" s="570">
        <f t="shared" si="1295"/>
        <v>252.76499999999999</v>
      </c>
      <c r="N1454" s="570">
        <f t="shared" si="1295"/>
        <v>252.76499999999999</v>
      </c>
      <c r="O1454" s="570">
        <f t="shared" si="1295"/>
        <v>252.76499999999999</v>
      </c>
      <c r="P1454" s="570">
        <f t="shared" si="1295"/>
        <v>252.76499999999999</v>
      </c>
      <c r="Q1454" s="570">
        <f t="shared" si="1295"/>
        <v>252.76499999999999</v>
      </c>
      <c r="R1454" s="570">
        <f t="shared" si="1295"/>
        <v>252.76499999999999</v>
      </c>
      <c r="S1454" s="570">
        <f t="shared" si="1295"/>
        <v>252.76499999999999</v>
      </c>
      <c r="T1454" s="570">
        <f t="shared" si="1295"/>
        <v>252.76499999999999</v>
      </c>
      <c r="U1454" s="570">
        <f t="shared" si="1295"/>
        <v>252.76499999999999</v>
      </c>
      <c r="V1454" s="570">
        <f t="shared" si="1295"/>
        <v>252.76499999999999</v>
      </c>
      <c r="W1454" s="570">
        <f t="shared" si="1295"/>
        <v>252.76499999999999</v>
      </c>
      <c r="X1454" s="570">
        <f t="shared" si="1295"/>
        <v>252.76499999999999</v>
      </c>
      <c r="Y1454" s="570">
        <f t="shared" si="1295"/>
        <v>252.76499999999999</v>
      </c>
      <c r="Z1454" s="570">
        <f t="shared" si="1295"/>
        <v>252.76499999999999</v>
      </c>
      <c r="AA1454" s="570">
        <f t="shared" si="1295"/>
        <v>252.76499999999999</v>
      </c>
      <c r="AB1454" s="570">
        <f t="shared" si="1295"/>
        <v>252.76499999999999</v>
      </c>
      <c r="AC1454" s="570">
        <f t="shared" si="1295"/>
        <v>252.76499999999999</v>
      </c>
      <c r="AD1454" s="570">
        <f t="shared" si="1295"/>
        <v>252.76499999999999</v>
      </c>
      <c r="AE1454" s="570">
        <f t="shared" si="1295"/>
        <v>252.76499999999999</v>
      </c>
      <c r="AF1454" s="570">
        <f t="shared" si="1295"/>
        <v>252.76499999999999</v>
      </c>
      <c r="AG1454" s="546"/>
      <c r="AH1454" s="571"/>
      <c r="AK1454" s="531"/>
      <c r="AM1454" s="594"/>
      <c r="AN1454" s="535"/>
      <c r="AP1454" s="669"/>
      <c r="AQ1454" s="669"/>
    </row>
    <row r="1455" spans="1:43" ht="16.5" hidden="1" customHeight="1" outlineLevel="2">
      <c r="A1455" s="584"/>
      <c r="B1455" s="585" t="s">
        <v>805</v>
      </c>
      <c r="C1455" s="573">
        <f t="shared" ref="C1455:AF1455" si="1296">C1442</f>
        <v>1</v>
      </c>
      <c r="D1455" s="573">
        <f t="shared" si="1296"/>
        <v>1</v>
      </c>
      <c r="E1455" s="573">
        <f t="shared" si="1296"/>
        <v>1</v>
      </c>
      <c r="F1455" s="573">
        <f t="shared" si="1296"/>
        <v>1</v>
      </c>
      <c r="G1455" s="573">
        <f t="shared" si="1296"/>
        <v>1</v>
      </c>
      <c r="H1455" s="573">
        <f t="shared" si="1296"/>
        <v>1</v>
      </c>
      <c r="I1455" s="573">
        <f t="shared" si="1296"/>
        <v>0.5</v>
      </c>
      <c r="J1455" s="573">
        <f t="shared" si="1296"/>
        <v>0.5</v>
      </c>
      <c r="K1455" s="573">
        <f t="shared" si="1296"/>
        <v>0.5</v>
      </c>
      <c r="L1455" s="573">
        <f t="shared" si="1296"/>
        <v>0.5</v>
      </c>
      <c r="M1455" s="573">
        <f t="shared" si="1296"/>
        <v>0.5</v>
      </c>
      <c r="N1455" s="573">
        <f t="shared" si="1296"/>
        <v>0.5</v>
      </c>
      <c r="O1455" s="573">
        <f t="shared" si="1296"/>
        <v>0.5</v>
      </c>
      <c r="P1455" s="573">
        <f t="shared" si="1296"/>
        <v>0.5</v>
      </c>
      <c r="Q1455" s="573">
        <f t="shared" si="1296"/>
        <v>0.5</v>
      </c>
      <c r="R1455" s="573">
        <f t="shared" si="1296"/>
        <v>0.5</v>
      </c>
      <c r="S1455" s="573">
        <f t="shared" si="1296"/>
        <v>0.5</v>
      </c>
      <c r="T1455" s="573">
        <f t="shared" si="1296"/>
        <v>0.5</v>
      </c>
      <c r="U1455" s="573">
        <f t="shared" si="1296"/>
        <v>0.5</v>
      </c>
      <c r="V1455" s="573">
        <f t="shared" si="1296"/>
        <v>0.5</v>
      </c>
      <c r="W1455" s="573">
        <f t="shared" si="1296"/>
        <v>0.5</v>
      </c>
      <c r="X1455" s="573">
        <f t="shared" si="1296"/>
        <v>0.5</v>
      </c>
      <c r="Y1455" s="573">
        <f t="shared" si="1296"/>
        <v>0.5</v>
      </c>
      <c r="Z1455" s="573">
        <f t="shared" si="1296"/>
        <v>0.5</v>
      </c>
      <c r="AA1455" s="573">
        <f t="shared" si="1296"/>
        <v>0.5</v>
      </c>
      <c r="AB1455" s="573">
        <f t="shared" si="1296"/>
        <v>0.5</v>
      </c>
      <c r="AC1455" s="573">
        <f t="shared" si="1296"/>
        <v>0.5</v>
      </c>
      <c r="AD1455" s="573">
        <f t="shared" si="1296"/>
        <v>0.5</v>
      </c>
      <c r="AE1455" s="573">
        <f t="shared" si="1296"/>
        <v>0.5</v>
      </c>
      <c r="AF1455" s="573">
        <f t="shared" si="1296"/>
        <v>0.5</v>
      </c>
      <c r="AH1455" s="538"/>
      <c r="AK1455" s="531"/>
      <c r="AM1455" s="594"/>
      <c r="AN1455" s="535"/>
      <c r="AP1455" s="535"/>
      <c r="AQ1455" s="535"/>
    </row>
    <row r="1456" spans="1:43" s="513" customFormat="1" ht="16.5" hidden="1" customHeight="1" outlineLevel="2">
      <c r="A1456" s="584"/>
      <c r="B1456" s="572" t="s">
        <v>940</v>
      </c>
      <c r="C1456" s="592">
        <f>'Sal._benef.'!$I$30</f>
        <v>500</v>
      </c>
      <c r="D1456" s="592">
        <f>C1456</f>
        <v>500</v>
      </c>
      <c r="E1456" s="592">
        <f t="shared" ref="E1456:G1458" si="1297">D1456</f>
        <v>500</v>
      </c>
      <c r="F1456" s="592">
        <f t="shared" si="1297"/>
        <v>500</v>
      </c>
      <c r="G1456" s="592">
        <f>F1456</f>
        <v>500</v>
      </c>
      <c r="H1456" s="592">
        <f t="shared" ref="H1456:W1458" si="1298">G1456</f>
        <v>500</v>
      </c>
      <c r="I1456" s="592">
        <f t="shared" si="1298"/>
        <v>500</v>
      </c>
      <c r="J1456" s="592">
        <f t="shared" si="1298"/>
        <v>500</v>
      </c>
      <c r="K1456" s="592">
        <f t="shared" si="1298"/>
        <v>500</v>
      </c>
      <c r="L1456" s="592">
        <f t="shared" si="1298"/>
        <v>500</v>
      </c>
      <c r="M1456" s="592">
        <f t="shared" si="1298"/>
        <v>500</v>
      </c>
      <c r="N1456" s="592">
        <f t="shared" si="1298"/>
        <v>500</v>
      </c>
      <c r="O1456" s="592">
        <f t="shared" si="1298"/>
        <v>500</v>
      </c>
      <c r="P1456" s="592">
        <f t="shared" si="1298"/>
        <v>500</v>
      </c>
      <c r="Q1456" s="592">
        <f t="shared" si="1298"/>
        <v>500</v>
      </c>
      <c r="R1456" s="592">
        <f t="shared" si="1298"/>
        <v>500</v>
      </c>
      <c r="S1456" s="592">
        <f t="shared" si="1298"/>
        <v>500</v>
      </c>
      <c r="T1456" s="592">
        <f t="shared" si="1298"/>
        <v>500</v>
      </c>
      <c r="U1456" s="592">
        <f t="shared" si="1298"/>
        <v>500</v>
      </c>
      <c r="V1456" s="592">
        <f t="shared" si="1298"/>
        <v>500</v>
      </c>
      <c r="W1456" s="592">
        <f t="shared" si="1298"/>
        <v>500</v>
      </c>
      <c r="X1456" s="592">
        <f t="shared" ref="X1456:AF1458" si="1299">W1456</f>
        <v>500</v>
      </c>
      <c r="Y1456" s="592">
        <f t="shared" si="1299"/>
        <v>500</v>
      </c>
      <c r="Z1456" s="592">
        <f t="shared" si="1299"/>
        <v>500</v>
      </c>
      <c r="AA1456" s="592">
        <f t="shared" si="1299"/>
        <v>500</v>
      </c>
      <c r="AB1456" s="592">
        <f t="shared" si="1299"/>
        <v>500</v>
      </c>
      <c r="AC1456" s="592">
        <f t="shared" si="1299"/>
        <v>500</v>
      </c>
      <c r="AD1456" s="592">
        <f t="shared" si="1299"/>
        <v>500</v>
      </c>
      <c r="AE1456" s="592">
        <f t="shared" si="1299"/>
        <v>500</v>
      </c>
      <c r="AF1456" s="592">
        <f t="shared" si="1299"/>
        <v>500</v>
      </c>
      <c r="AH1456" s="538"/>
      <c r="AK1456" s="531"/>
      <c r="AM1456" s="594"/>
      <c r="AN1456" s="535"/>
      <c r="AP1456" s="540"/>
      <c r="AQ1456" s="540"/>
    </row>
    <row r="1457" spans="1:43" s="513" customFormat="1" ht="16.5" hidden="1" customHeight="1" outlineLevel="2">
      <c r="A1457" s="584"/>
      <c r="B1457" s="572" t="s">
        <v>941</v>
      </c>
      <c r="C1457" s="592">
        <f>'Sal._benef.'!$K$30</f>
        <v>5.53</v>
      </c>
      <c r="D1457" s="592">
        <f>C1457</f>
        <v>5.53</v>
      </c>
      <c r="E1457" s="592">
        <f t="shared" si="1297"/>
        <v>5.53</v>
      </c>
      <c r="F1457" s="592">
        <f t="shared" si="1297"/>
        <v>5.53</v>
      </c>
      <c r="G1457" s="592">
        <f t="shared" si="1297"/>
        <v>5.53</v>
      </c>
      <c r="H1457" s="592">
        <f t="shared" si="1298"/>
        <v>5.53</v>
      </c>
      <c r="I1457" s="592">
        <f t="shared" si="1298"/>
        <v>5.53</v>
      </c>
      <c r="J1457" s="592">
        <f t="shared" si="1298"/>
        <v>5.53</v>
      </c>
      <c r="K1457" s="592">
        <f t="shared" si="1298"/>
        <v>5.53</v>
      </c>
      <c r="L1457" s="592">
        <f t="shared" si="1298"/>
        <v>5.53</v>
      </c>
      <c r="M1457" s="592">
        <f t="shared" si="1298"/>
        <v>5.53</v>
      </c>
      <c r="N1457" s="592">
        <f t="shared" si="1298"/>
        <v>5.53</v>
      </c>
      <c r="O1457" s="592">
        <f t="shared" si="1298"/>
        <v>5.53</v>
      </c>
      <c r="P1457" s="592">
        <f t="shared" si="1298"/>
        <v>5.53</v>
      </c>
      <c r="Q1457" s="592">
        <f t="shared" si="1298"/>
        <v>5.53</v>
      </c>
      <c r="R1457" s="592">
        <f t="shared" si="1298"/>
        <v>5.53</v>
      </c>
      <c r="S1457" s="592">
        <f t="shared" si="1298"/>
        <v>5.53</v>
      </c>
      <c r="T1457" s="592">
        <f t="shared" si="1298"/>
        <v>5.53</v>
      </c>
      <c r="U1457" s="592">
        <f t="shared" si="1298"/>
        <v>5.53</v>
      </c>
      <c r="V1457" s="592">
        <f t="shared" si="1298"/>
        <v>5.53</v>
      </c>
      <c r="W1457" s="592">
        <f t="shared" si="1298"/>
        <v>5.53</v>
      </c>
      <c r="X1457" s="592">
        <f t="shared" si="1299"/>
        <v>5.53</v>
      </c>
      <c r="Y1457" s="592">
        <f t="shared" si="1299"/>
        <v>5.53</v>
      </c>
      <c r="Z1457" s="592">
        <f t="shared" si="1299"/>
        <v>5.53</v>
      </c>
      <c r="AA1457" s="592">
        <f t="shared" si="1299"/>
        <v>5.53</v>
      </c>
      <c r="AB1457" s="592">
        <f t="shared" si="1299"/>
        <v>5.53</v>
      </c>
      <c r="AC1457" s="592">
        <f t="shared" si="1299"/>
        <v>5.53</v>
      </c>
      <c r="AD1457" s="592">
        <f t="shared" si="1299"/>
        <v>5.53</v>
      </c>
      <c r="AE1457" s="592">
        <f t="shared" si="1299"/>
        <v>5.53</v>
      </c>
      <c r="AF1457" s="592">
        <f t="shared" si="1299"/>
        <v>5.53</v>
      </c>
      <c r="AH1457" s="538"/>
      <c r="AK1457" s="531"/>
      <c r="AM1457" s="594"/>
      <c r="AN1457" s="535"/>
      <c r="AP1457" s="540"/>
      <c r="AQ1457" s="540"/>
    </row>
    <row r="1458" spans="1:43" s="513" customFormat="1" ht="16.5" hidden="1" customHeight="1" outlineLevel="2">
      <c r="A1458" s="584"/>
      <c r="B1458" s="572" t="s">
        <v>862</v>
      </c>
      <c r="C1458" s="592">
        <v>0</v>
      </c>
      <c r="D1458" s="592">
        <f t="shared" ref="D1458" si="1300">C1458</f>
        <v>0</v>
      </c>
      <c r="E1458" s="592">
        <f t="shared" si="1297"/>
        <v>0</v>
      </c>
      <c r="F1458" s="592">
        <f t="shared" si="1297"/>
        <v>0</v>
      </c>
      <c r="G1458" s="592">
        <f t="shared" si="1297"/>
        <v>0</v>
      </c>
      <c r="H1458" s="592">
        <f t="shared" si="1298"/>
        <v>0</v>
      </c>
      <c r="I1458" s="592">
        <f t="shared" si="1298"/>
        <v>0</v>
      </c>
      <c r="J1458" s="592">
        <f t="shared" si="1298"/>
        <v>0</v>
      </c>
      <c r="K1458" s="592">
        <f t="shared" si="1298"/>
        <v>0</v>
      </c>
      <c r="L1458" s="592">
        <f t="shared" si="1298"/>
        <v>0</v>
      </c>
      <c r="M1458" s="592">
        <f t="shared" si="1298"/>
        <v>0</v>
      </c>
      <c r="N1458" s="592">
        <f t="shared" si="1298"/>
        <v>0</v>
      </c>
      <c r="O1458" s="592">
        <f t="shared" si="1298"/>
        <v>0</v>
      </c>
      <c r="P1458" s="592">
        <f t="shared" si="1298"/>
        <v>0</v>
      </c>
      <c r="Q1458" s="592">
        <f t="shared" si="1298"/>
        <v>0</v>
      </c>
      <c r="R1458" s="592">
        <f t="shared" si="1298"/>
        <v>0</v>
      </c>
      <c r="S1458" s="592">
        <f t="shared" si="1298"/>
        <v>0</v>
      </c>
      <c r="T1458" s="592">
        <f t="shared" si="1298"/>
        <v>0</v>
      </c>
      <c r="U1458" s="592">
        <f t="shared" si="1298"/>
        <v>0</v>
      </c>
      <c r="V1458" s="592">
        <f t="shared" si="1298"/>
        <v>0</v>
      </c>
      <c r="W1458" s="592">
        <f t="shared" si="1298"/>
        <v>0</v>
      </c>
      <c r="X1458" s="592">
        <f t="shared" si="1299"/>
        <v>0</v>
      </c>
      <c r="Y1458" s="592">
        <f t="shared" si="1299"/>
        <v>0</v>
      </c>
      <c r="Z1458" s="592">
        <f t="shared" si="1299"/>
        <v>0</v>
      </c>
      <c r="AA1458" s="592">
        <f t="shared" si="1299"/>
        <v>0</v>
      </c>
      <c r="AB1458" s="592">
        <f t="shared" si="1299"/>
        <v>0</v>
      </c>
      <c r="AC1458" s="592">
        <f t="shared" si="1299"/>
        <v>0</v>
      </c>
      <c r="AD1458" s="592">
        <f t="shared" si="1299"/>
        <v>0</v>
      </c>
      <c r="AE1458" s="592">
        <f t="shared" si="1299"/>
        <v>0</v>
      </c>
      <c r="AF1458" s="592">
        <f t="shared" si="1299"/>
        <v>0</v>
      </c>
      <c r="AH1458" s="538"/>
      <c r="AK1458" s="531"/>
      <c r="AM1458" s="594"/>
      <c r="AN1458" s="535"/>
      <c r="AP1458" s="540"/>
      <c r="AQ1458" s="540"/>
    </row>
    <row r="1459" spans="1:43" s="668" customFormat="1" ht="16.5" hidden="1" customHeight="1" outlineLevel="2">
      <c r="A1459" s="584"/>
      <c r="B1459" s="671" t="s">
        <v>1038</v>
      </c>
      <c r="C1459" s="570">
        <f>C1460*(C1461+C1462+C1463)</f>
        <v>505.53</v>
      </c>
      <c r="D1459" s="570">
        <f t="shared" ref="D1459:AE1459" si="1301">D1460*(D1461+D1462+D1463)</f>
        <v>505.53</v>
      </c>
      <c r="E1459" s="570">
        <f t="shared" si="1301"/>
        <v>505.53</v>
      </c>
      <c r="F1459" s="570">
        <f t="shared" si="1301"/>
        <v>505.53</v>
      </c>
      <c r="G1459" s="570">
        <f t="shared" si="1301"/>
        <v>505.53</v>
      </c>
      <c r="H1459" s="570">
        <f t="shared" si="1301"/>
        <v>505.53</v>
      </c>
      <c r="I1459" s="570">
        <f t="shared" si="1301"/>
        <v>505.53</v>
      </c>
      <c r="J1459" s="570">
        <f t="shared" si="1301"/>
        <v>505.53</v>
      </c>
      <c r="K1459" s="570">
        <f t="shared" si="1301"/>
        <v>505.53</v>
      </c>
      <c r="L1459" s="570">
        <f t="shared" si="1301"/>
        <v>505.53</v>
      </c>
      <c r="M1459" s="570">
        <f t="shared" si="1301"/>
        <v>505.53</v>
      </c>
      <c r="N1459" s="570">
        <f t="shared" si="1301"/>
        <v>505.53</v>
      </c>
      <c r="O1459" s="570">
        <f t="shared" si="1301"/>
        <v>505.53</v>
      </c>
      <c r="P1459" s="570">
        <f t="shared" si="1301"/>
        <v>505.53</v>
      </c>
      <c r="Q1459" s="570">
        <f t="shared" si="1301"/>
        <v>505.53</v>
      </c>
      <c r="R1459" s="570">
        <f t="shared" si="1301"/>
        <v>505.53</v>
      </c>
      <c r="S1459" s="570">
        <f t="shared" si="1301"/>
        <v>505.53</v>
      </c>
      <c r="T1459" s="570">
        <f t="shared" si="1301"/>
        <v>505.53</v>
      </c>
      <c r="U1459" s="570">
        <f t="shared" si="1301"/>
        <v>505.53</v>
      </c>
      <c r="V1459" s="570">
        <f t="shared" si="1301"/>
        <v>505.53</v>
      </c>
      <c r="W1459" s="570">
        <f t="shared" si="1301"/>
        <v>505.53</v>
      </c>
      <c r="X1459" s="570">
        <f t="shared" si="1301"/>
        <v>505.53</v>
      </c>
      <c r="Y1459" s="570">
        <f t="shared" si="1301"/>
        <v>505.53</v>
      </c>
      <c r="Z1459" s="570">
        <f t="shared" si="1301"/>
        <v>505.53</v>
      </c>
      <c r="AA1459" s="570">
        <f t="shared" si="1301"/>
        <v>505.53</v>
      </c>
      <c r="AB1459" s="570">
        <f t="shared" si="1301"/>
        <v>505.53</v>
      </c>
      <c r="AC1459" s="570">
        <f t="shared" si="1301"/>
        <v>505.53</v>
      </c>
      <c r="AD1459" s="570">
        <f t="shared" si="1301"/>
        <v>505.53</v>
      </c>
      <c r="AE1459" s="570">
        <f t="shared" si="1301"/>
        <v>505.53</v>
      </c>
      <c r="AF1459" s="570">
        <f>AF1460*(AF1461+AF1462+AF1463)</f>
        <v>505.53</v>
      </c>
      <c r="AG1459" s="546"/>
      <c r="AH1459" s="571"/>
      <c r="AK1459" s="531"/>
      <c r="AM1459" s="594"/>
      <c r="AN1459" s="535"/>
      <c r="AP1459" s="669"/>
      <c r="AQ1459" s="669"/>
    </row>
    <row r="1460" spans="1:43" ht="16.5" hidden="1" customHeight="1" outlineLevel="2">
      <c r="A1460" s="584"/>
      <c r="B1460" s="585" t="s">
        <v>805</v>
      </c>
      <c r="C1460" s="573">
        <f t="shared" ref="C1460:AF1460" si="1302">C1445</f>
        <v>1</v>
      </c>
      <c r="D1460" s="573">
        <f t="shared" si="1302"/>
        <v>1</v>
      </c>
      <c r="E1460" s="573">
        <f t="shared" si="1302"/>
        <v>1</v>
      </c>
      <c r="F1460" s="573">
        <f t="shared" si="1302"/>
        <v>1</v>
      </c>
      <c r="G1460" s="573">
        <f t="shared" si="1302"/>
        <v>1</v>
      </c>
      <c r="H1460" s="573">
        <f t="shared" si="1302"/>
        <v>1</v>
      </c>
      <c r="I1460" s="573">
        <f t="shared" si="1302"/>
        <v>1</v>
      </c>
      <c r="J1460" s="573">
        <f t="shared" si="1302"/>
        <v>1</v>
      </c>
      <c r="K1460" s="573">
        <f t="shared" si="1302"/>
        <v>1</v>
      </c>
      <c r="L1460" s="573">
        <f t="shared" si="1302"/>
        <v>1</v>
      </c>
      <c r="M1460" s="573">
        <f t="shared" si="1302"/>
        <v>1</v>
      </c>
      <c r="N1460" s="573">
        <f t="shared" si="1302"/>
        <v>1</v>
      </c>
      <c r="O1460" s="573">
        <f t="shared" si="1302"/>
        <v>1</v>
      </c>
      <c r="P1460" s="573">
        <f t="shared" si="1302"/>
        <v>1</v>
      </c>
      <c r="Q1460" s="573">
        <f t="shared" si="1302"/>
        <v>1</v>
      </c>
      <c r="R1460" s="573">
        <f t="shared" si="1302"/>
        <v>1</v>
      </c>
      <c r="S1460" s="573">
        <f t="shared" si="1302"/>
        <v>1</v>
      </c>
      <c r="T1460" s="573">
        <f t="shared" si="1302"/>
        <v>1</v>
      </c>
      <c r="U1460" s="573">
        <f t="shared" si="1302"/>
        <v>1</v>
      </c>
      <c r="V1460" s="573">
        <f t="shared" si="1302"/>
        <v>1</v>
      </c>
      <c r="W1460" s="573">
        <f t="shared" si="1302"/>
        <v>1</v>
      </c>
      <c r="X1460" s="573">
        <f t="shared" si="1302"/>
        <v>1</v>
      </c>
      <c r="Y1460" s="573">
        <f t="shared" si="1302"/>
        <v>1</v>
      </c>
      <c r="Z1460" s="573">
        <f t="shared" si="1302"/>
        <v>1</v>
      </c>
      <c r="AA1460" s="573">
        <f t="shared" si="1302"/>
        <v>1</v>
      </c>
      <c r="AB1460" s="573">
        <f t="shared" si="1302"/>
        <v>1</v>
      </c>
      <c r="AC1460" s="573">
        <f t="shared" si="1302"/>
        <v>1</v>
      </c>
      <c r="AD1460" s="573">
        <f t="shared" si="1302"/>
        <v>1</v>
      </c>
      <c r="AE1460" s="573">
        <f t="shared" si="1302"/>
        <v>1</v>
      </c>
      <c r="AF1460" s="573">
        <f t="shared" si="1302"/>
        <v>1</v>
      </c>
      <c r="AH1460" s="538"/>
      <c r="AK1460" s="531"/>
      <c r="AM1460" s="594"/>
      <c r="AN1460" s="535"/>
      <c r="AP1460" s="535"/>
      <c r="AQ1460" s="535"/>
    </row>
    <row r="1461" spans="1:43" s="513" customFormat="1" ht="16.5" hidden="1" customHeight="1" outlineLevel="2">
      <c r="A1461" s="584"/>
      <c r="B1461" s="572" t="s">
        <v>940</v>
      </c>
      <c r="C1461" s="592">
        <f>'Sal._benef.'!$I$31</f>
        <v>500</v>
      </c>
      <c r="D1461" s="592">
        <f>C1461</f>
        <v>500</v>
      </c>
      <c r="E1461" s="592">
        <f t="shared" ref="E1461:G1463" si="1303">D1461</f>
        <v>500</v>
      </c>
      <c r="F1461" s="592">
        <f t="shared" si="1303"/>
        <v>500</v>
      </c>
      <c r="G1461" s="592">
        <f>F1461</f>
        <v>500</v>
      </c>
      <c r="H1461" s="592">
        <f t="shared" ref="H1461:W1463" si="1304">G1461</f>
        <v>500</v>
      </c>
      <c r="I1461" s="592">
        <f t="shared" si="1304"/>
        <v>500</v>
      </c>
      <c r="J1461" s="592">
        <f t="shared" si="1304"/>
        <v>500</v>
      </c>
      <c r="K1461" s="592">
        <f t="shared" si="1304"/>
        <v>500</v>
      </c>
      <c r="L1461" s="592">
        <f t="shared" si="1304"/>
        <v>500</v>
      </c>
      <c r="M1461" s="592">
        <f t="shared" si="1304"/>
        <v>500</v>
      </c>
      <c r="N1461" s="592">
        <f t="shared" si="1304"/>
        <v>500</v>
      </c>
      <c r="O1461" s="592">
        <f t="shared" si="1304"/>
        <v>500</v>
      </c>
      <c r="P1461" s="592">
        <f t="shared" si="1304"/>
        <v>500</v>
      </c>
      <c r="Q1461" s="592">
        <f t="shared" si="1304"/>
        <v>500</v>
      </c>
      <c r="R1461" s="592">
        <f t="shared" si="1304"/>
        <v>500</v>
      </c>
      <c r="S1461" s="592">
        <f t="shared" si="1304"/>
        <v>500</v>
      </c>
      <c r="T1461" s="592">
        <f t="shared" si="1304"/>
        <v>500</v>
      </c>
      <c r="U1461" s="592">
        <f t="shared" si="1304"/>
        <v>500</v>
      </c>
      <c r="V1461" s="592">
        <f t="shared" si="1304"/>
        <v>500</v>
      </c>
      <c r="W1461" s="592">
        <f t="shared" si="1304"/>
        <v>500</v>
      </c>
      <c r="X1461" s="592">
        <f t="shared" ref="X1461:AF1463" si="1305">W1461</f>
        <v>500</v>
      </c>
      <c r="Y1461" s="592">
        <f t="shared" si="1305"/>
        <v>500</v>
      </c>
      <c r="Z1461" s="592">
        <f t="shared" si="1305"/>
        <v>500</v>
      </c>
      <c r="AA1461" s="592">
        <f t="shared" si="1305"/>
        <v>500</v>
      </c>
      <c r="AB1461" s="592">
        <f t="shared" si="1305"/>
        <v>500</v>
      </c>
      <c r="AC1461" s="592">
        <f t="shared" si="1305"/>
        <v>500</v>
      </c>
      <c r="AD1461" s="592">
        <f t="shared" si="1305"/>
        <v>500</v>
      </c>
      <c r="AE1461" s="592">
        <f t="shared" si="1305"/>
        <v>500</v>
      </c>
      <c r="AF1461" s="592">
        <f t="shared" si="1305"/>
        <v>500</v>
      </c>
      <c r="AH1461" s="538"/>
      <c r="AK1461" s="531"/>
      <c r="AM1461" s="594"/>
      <c r="AN1461" s="535"/>
      <c r="AP1461" s="540"/>
      <c r="AQ1461" s="540"/>
    </row>
    <row r="1462" spans="1:43" s="513" customFormat="1" ht="16.5" hidden="1" customHeight="1" outlineLevel="2">
      <c r="A1462" s="584"/>
      <c r="B1462" s="572" t="s">
        <v>941</v>
      </c>
      <c r="C1462" s="592">
        <f>'Sal._benef.'!$K$31</f>
        <v>5.53</v>
      </c>
      <c r="D1462" s="592">
        <f t="shared" ref="D1462:D1463" si="1306">C1462</f>
        <v>5.53</v>
      </c>
      <c r="E1462" s="592">
        <f t="shared" si="1303"/>
        <v>5.53</v>
      </c>
      <c r="F1462" s="592">
        <f t="shared" si="1303"/>
        <v>5.53</v>
      </c>
      <c r="G1462" s="592">
        <f t="shared" si="1303"/>
        <v>5.53</v>
      </c>
      <c r="H1462" s="592">
        <f t="shared" si="1304"/>
        <v>5.53</v>
      </c>
      <c r="I1462" s="592">
        <f t="shared" si="1304"/>
        <v>5.53</v>
      </c>
      <c r="J1462" s="592">
        <f t="shared" si="1304"/>
        <v>5.53</v>
      </c>
      <c r="K1462" s="592">
        <f t="shared" si="1304"/>
        <v>5.53</v>
      </c>
      <c r="L1462" s="592">
        <f t="shared" si="1304"/>
        <v>5.53</v>
      </c>
      <c r="M1462" s="592">
        <f t="shared" si="1304"/>
        <v>5.53</v>
      </c>
      <c r="N1462" s="592">
        <f t="shared" si="1304"/>
        <v>5.53</v>
      </c>
      <c r="O1462" s="592">
        <f t="shared" si="1304"/>
        <v>5.53</v>
      </c>
      <c r="P1462" s="592">
        <f t="shared" si="1304"/>
        <v>5.53</v>
      </c>
      <c r="Q1462" s="592">
        <f t="shared" si="1304"/>
        <v>5.53</v>
      </c>
      <c r="R1462" s="592">
        <f t="shared" si="1304"/>
        <v>5.53</v>
      </c>
      <c r="S1462" s="592">
        <f t="shared" si="1304"/>
        <v>5.53</v>
      </c>
      <c r="T1462" s="592">
        <f t="shared" si="1304"/>
        <v>5.53</v>
      </c>
      <c r="U1462" s="592">
        <f t="shared" si="1304"/>
        <v>5.53</v>
      </c>
      <c r="V1462" s="592">
        <f t="shared" si="1304"/>
        <v>5.53</v>
      </c>
      <c r="W1462" s="592">
        <f t="shared" si="1304"/>
        <v>5.53</v>
      </c>
      <c r="X1462" s="592">
        <f t="shared" si="1305"/>
        <v>5.53</v>
      </c>
      <c r="Y1462" s="592">
        <f t="shared" si="1305"/>
        <v>5.53</v>
      </c>
      <c r="Z1462" s="592">
        <f t="shared" si="1305"/>
        <v>5.53</v>
      </c>
      <c r="AA1462" s="592">
        <f t="shared" si="1305"/>
        <v>5.53</v>
      </c>
      <c r="AB1462" s="592">
        <f t="shared" si="1305"/>
        <v>5.53</v>
      </c>
      <c r="AC1462" s="592">
        <f t="shared" si="1305"/>
        <v>5.53</v>
      </c>
      <c r="AD1462" s="592">
        <f t="shared" si="1305"/>
        <v>5.53</v>
      </c>
      <c r="AE1462" s="592">
        <f t="shared" si="1305"/>
        <v>5.53</v>
      </c>
      <c r="AF1462" s="592">
        <f t="shared" si="1305"/>
        <v>5.53</v>
      </c>
      <c r="AH1462" s="538"/>
      <c r="AK1462" s="531"/>
      <c r="AM1462" s="594"/>
      <c r="AN1462" s="535"/>
      <c r="AP1462" s="540"/>
      <c r="AQ1462" s="540"/>
    </row>
    <row r="1463" spans="1:43" s="513" customFormat="1" ht="16.5" hidden="1" customHeight="1" outlineLevel="2">
      <c r="A1463" s="584"/>
      <c r="B1463" s="572" t="s">
        <v>862</v>
      </c>
      <c r="C1463" s="592">
        <v>0</v>
      </c>
      <c r="D1463" s="592">
        <f t="shared" si="1306"/>
        <v>0</v>
      </c>
      <c r="E1463" s="592">
        <f t="shared" si="1303"/>
        <v>0</v>
      </c>
      <c r="F1463" s="592">
        <f t="shared" si="1303"/>
        <v>0</v>
      </c>
      <c r="G1463" s="592">
        <f t="shared" si="1303"/>
        <v>0</v>
      </c>
      <c r="H1463" s="592">
        <f t="shared" si="1304"/>
        <v>0</v>
      </c>
      <c r="I1463" s="592">
        <f t="shared" si="1304"/>
        <v>0</v>
      </c>
      <c r="J1463" s="592">
        <f t="shared" si="1304"/>
        <v>0</v>
      </c>
      <c r="K1463" s="592">
        <f t="shared" si="1304"/>
        <v>0</v>
      </c>
      <c r="L1463" s="592">
        <f t="shared" si="1304"/>
        <v>0</v>
      </c>
      <c r="M1463" s="592">
        <f t="shared" si="1304"/>
        <v>0</v>
      </c>
      <c r="N1463" s="592">
        <f t="shared" si="1304"/>
        <v>0</v>
      </c>
      <c r="O1463" s="592">
        <f t="shared" si="1304"/>
        <v>0</v>
      </c>
      <c r="P1463" s="592">
        <f t="shared" si="1304"/>
        <v>0</v>
      </c>
      <c r="Q1463" s="592">
        <f t="shared" si="1304"/>
        <v>0</v>
      </c>
      <c r="R1463" s="592">
        <f t="shared" si="1304"/>
        <v>0</v>
      </c>
      <c r="S1463" s="592">
        <f t="shared" si="1304"/>
        <v>0</v>
      </c>
      <c r="T1463" s="592">
        <f t="shared" si="1304"/>
        <v>0</v>
      </c>
      <c r="U1463" s="592">
        <f t="shared" si="1304"/>
        <v>0</v>
      </c>
      <c r="V1463" s="592">
        <f t="shared" si="1304"/>
        <v>0</v>
      </c>
      <c r="W1463" s="592">
        <f t="shared" si="1304"/>
        <v>0</v>
      </c>
      <c r="X1463" s="592">
        <f t="shared" si="1305"/>
        <v>0</v>
      </c>
      <c r="Y1463" s="592">
        <f t="shared" si="1305"/>
        <v>0</v>
      </c>
      <c r="Z1463" s="592">
        <f t="shared" si="1305"/>
        <v>0</v>
      </c>
      <c r="AA1463" s="592">
        <f t="shared" si="1305"/>
        <v>0</v>
      </c>
      <c r="AB1463" s="592">
        <f t="shared" si="1305"/>
        <v>0</v>
      </c>
      <c r="AC1463" s="592">
        <f t="shared" si="1305"/>
        <v>0</v>
      </c>
      <c r="AD1463" s="592">
        <f t="shared" si="1305"/>
        <v>0</v>
      </c>
      <c r="AE1463" s="592">
        <f t="shared" si="1305"/>
        <v>0</v>
      </c>
      <c r="AF1463" s="592">
        <f t="shared" si="1305"/>
        <v>0</v>
      </c>
      <c r="AH1463" s="538"/>
      <c r="AK1463" s="531"/>
      <c r="AM1463" s="594"/>
      <c r="AN1463" s="535"/>
      <c r="AP1463" s="540"/>
      <c r="AQ1463" s="540"/>
    </row>
    <row r="1464" spans="1:43" s="668" customFormat="1" ht="16.5" hidden="1" customHeight="1" outlineLevel="2">
      <c r="A1464" s="584"/>
      <c r="B1464" s="580" t="s">
        <v>1039</v>
      </c>
      <c r="C1464" s="570">
        <f>C1465*(C1466+C1467+C1468)</f>
        <v>505.53</v>
      </c>
      <c r="D1464" s="570">
        <f t="shared" ref="D1464:AF1464" si="1307">D1465*(D1466+D1467+D1468)</f>
        <v>505.53</v>
      </c>
      <c r="E1464" s="570">
        <f t="shared" si="1307"/>
        <v>505.53</v>
      </c>
      <c r="F1464" s="570">
        <f t="shared" si="1307"/>
        <v>505.53</v>
      </c>
      <c r="G1464" s="570">
        <f t="shared" si="1307"/>
        <v>505.53</v>
      </c>
      <c r="H1464" s="570">
        <f t="shared" si="1307"/>
        <v>505.53</v>
      </c>
      <c r="I1464" s="570">
        <f t="shared" si="1307"/>
        <v>505.53</v>
      </c>
      <c r="J1464" s="570">
        <f t="shared" si="1307"/>
        <v>505.53</v>
      </c>
      <c r="K1464" s="570">
        <f t="shared" si="1307"/>
        <v>505.53</v>
      </c>
      <c r="L1464" s="570">
        <f t="shared" si="1307"/>
        <v>505.53</v>
      </c>
      <c r="M1464" s="570">
        <f t="shared" si="1307"/>
        <v>505.53</v>
      </c>
      <c r="N1464" s="570">
        <f t="shared" si="1307"/>
        <v>505.53</v>
      </c>
      <c r="O1464" s="570">
        <f t="shared" si="1307"/>
        <v>505.53</v>
      </c>
      <c r="P1464" s="570">
        <f t="shared" si="1307"/>
        <v>505.53</v>
      </c>
      <c r="Q1464" s="570">
        <f t="shared" si="1307"/>
        <v>505.53</v>
      </c>
      <c r="R1464" s="570">
        <f t="shared" si="1307"/>
        <v>505.53</v>
      </c>
      <c r="S1464" s="570">
        <f t="shared" si="1307"/>
        <v>505.53</v>
      </c>
      <c r="T1464" s="570">
        <f t="shared" si="1307"/>
        <v>505.53</v>
      </c>
      <c r="U1464" s="570">
        <f t="shared" si="1307"/>
        <v>505.53</v>
      </c>
      <c r="V1464" s="570">
        <f t="shared" si="1307"/>
        <v>505.53</v>
      </c>
      <c r="W1464" s="570">
        <f t="shared" si="1307"/>
        <v>505.53</v>
      </c>
      <c r="X1464" s="570">
        <f t="shared" si="1307"/>
        <v>505.53</v>
      </c>
      <c r="Y1464" s="570">
        <f t="shared" si="1307"/>
        <v>505.53</v>
      </c>
      <c r="Z1464" s="570">
        <f t="shared" si="1307"/>
        <v>505.53</v>
      </c>
      <c r="AA1464" s="570">
        <f t="shared" si="1307"/>
        <v>505.53</v>
      </c>
      <c r="AB1464" s="570">
        <f t="shared" si="1307"/>
        <v>505.53</v>
      </c>
      <c r="AC1464" s="570">
        <f t="shared" si="1307"/>
        <v>505.53</v>
      </c>
      <c r="AD1464" s="570">
        <f t="shared" si="1307"/>
        <v>505.53</v>
      </c>
      <c r="AE1464" s="570">
        <f t="shared" si="1307"/>
        <v>505.53</v>
      </c>
      <c r="AF1464" s="570">
        <f t="shared" si="1307"/>
        <v>505.53</v>
      </c>
      <c r="AG1464" s="546"/>
      <c r="AH1464" s="571"/>
      <c r="AK1464" s="531"/>
      <c r="AM1464" s="594"/>
      <c r="AN1464" s="535"/>
      <c r="AP1464" s="669"/>
      <c r="AQ1464" s="669"/>
    </row>
    <row r="1465" spans="1:43" ht="16.5" hidden="1" customHeight="1" outlineLevel="2">
      <c r="A1465" s="584"/>
      <c r="B1465" s="585" t="s">
        <v>805</v>
      </c>
      <c r="C1465" s="573">
        <f t="shared" ref="C1465:AF1465" si="1308">C1448</f>
        <v>1</v>
      </c>
      <c r="D1465" s="573">
        <f t="shared" si="1308"/>
        <v>1</v>
      </c>
      <c r="E1465" s="573">
        <f t="shared" si="1308"/>
        <v>1</v>
      </c>
      <c r="F1465" s="573">
        <f t="shared" si="1308"/>
        <v>1</v>
      </c>
      <c r="G1465" s="573">
        <f t="shared" si="1308"/>
        <v>1</v>
      </c>
      <c r="H1465" s="573">
        <f t="shared" si="1308"/>
        <v>1</v>
      </c>
      <c r="I1465" s="573">
        <f t="shared" si="1308"/>
        <v>1</v>
      </c>
      <c r="J1465" s="573">
        <f t="shared" si="1308"/>
        <v>1</v>
      </c>
      <c r="K1465" s="573">
        <f t="shared" si="1308"/>
        <v>1</v>
      </c>
      <c r="L1465" s="573">
        <f t="shared" si="1308"/>
        <v>1</v>
      </c>
      <c r="M1465" s="573">
        <f t="shared" si="1308"/>
        <v>1</v>
      </c>
      <c r="N1465" s="573">
        <f t="shared" si="1308"/>
        <v>1</v>
      </c>
      <c r="O1465" s="573">
        <f t="shared" si="1308"/>
        <v>1</v>
      </c>
      <c r="P1465" s="573">
        <f t="shared" si="1308"/>
        <v>1</v>
      </c>
      <c r="Q1465" s="573">
        <f t="shared" si="1308"/>
        <v>1</v>
      </c>
      <c r="R1465" s="573">
        <f t="shared" si="1308"/>
        <v>1</v>
      </c>
      <c r="S1465" s="573">
        <f t="shared" si="1308"/>
        <v>1</v>
      </c>
      <c r="T1465" s="573">
        <f t="shared" si="1308"/>
        <v>1</v>
      </c>
      <c r="U1465" s="573">
        <f t="shared" si="1308"/>
        <v>1</v>
      </c>
      <c r="V1465" s="573">
        <f t="shared" si="1308"/>
        <v>1</v>
      </c>
      <c r="W1465" s="573">
        <f t="shared" si="1308"/>
        <v>1</v>
      </c>
      <c r="X1465" s="573">
        <f t="shared" si="1308"/>
        <v>1</v>
      </c>
      <c r="Y1465" s="573">
        <f t="shared" si="1308"/>
        <v>1</v>
      </c>
      <c r="Z1465" s="573">
        <f t="shared" si="1308"/>
        <v>1</v>
      </c>
      <c r="AA1465" s="573">
        <f t="shared" si="1308"/>
        <v>1</v>
      </c>
      <c r="AB1465" s="573">
        <f t="shared" si="1308"/>
        <v>1</v>
      </c>
      <c r="AC1465" s="573">
        <f t="shared" si="1308"/>
        <v>1</v>
      </c>
      <c r="AD1465" s="573">
        <f t="shared" si="1308"/>
        <v>1</v>
      </c>
      <c r="AE1465" s="573">
        <f t="shared" si="1308"/>
        <v>1</v>
      </c>
      <c r="AF1465" s="573">
        <f t="shared" si="1308"/>
        <v>1</v>
      </c>
      <c r="AG1465" s="739"/>
      <c r="AH1465" s="538"/>
      <c r="AK1465" s="531"/>
      <c r="AM1465" s="594"/>
      <c r="AN1465" s="535"/>
      <c r="AP1465" s="535"/>
      <c r="AQ1465" s="535"/>
    </row>
    <row r="1466" spans="1:43" s="513" customFormat="1" ht="16.5" hidden="1" customHeight="1" outlineLevel="2">
      <c r="A1466" s="584"/>
      <c r="B1466" s="572" t="s">
        <v>940</v>
      </c>
      <c r="C1466" s="592">
        <f>'Sal._benef.'!$I$35</f>
        <v>500</v>
      </c>
      <c r="D1466" s="592">
        <f>C1466</f>
        <v>500</v>
      </c>
      <c r="E1466" s="592">
        <f t="shared" ref="E1466:G1468" si="1309">D1466</f>
        <v>500</v>
      </c>
      <c r="F1466" s="592">
        <f t="shared" si="1309"/>
        <v>500</v>
      </c>
      <c r="G1466" s="592">
        <f>F1466</f>
        <v>500</v>
      </c>
      <c r="H1466" s="592">
        <f t="shared" ref="H1466:W1468" si="1310">G1466</f>
        <v>500</v>
      </c>
      <c r="I1466" s="592">
        <f t="shared" si="1310"/>
        <v>500</v>
      </c>
      <c r="J1466" s="592">
        <f t="shared" si="1310"/>
        <v>500</v>
      </c>
      <c r="K1466" s="592">
        <f t="shared" si="1310"/>
        <v>500</v>
      </c>
      <c r="L1466" s="592">
        <f t="shared" si="1310"/>
        <v>500</v>
      </c>
      <c r="M1466" s="592">
        <f t="shared" si="1310"/>
        <v>500</v>
      </c>
      <c r="N1466" s="592">
        <f t="shared" si="1310"/>
        <v>500</v>
      </c>
      <c r="O1466" s="592">
        <f t="shared" si="1310"/>
        <v>500</v>
      </c>
      <c r="P1466" s="592">
        <f t="shared" si="1310"/>
        <v>500</v>
      </c>
      <c r="Q1466" s="592">
        <f t="shared" si="1310"/>
        <v>500</v>
      </c>
      <c r="R1466" s="592">
        <f t="shared" si="1310"/>
        <v>500</v>
      </c>
      <c r="S1466" s="592">
        <f t="shared" si="1310"/>
        <v>500</v>
      </c>
      <c r="T1466" s="592">
        <f t="shared" si="1310"/>
        <v>500</v>
      </c>
      <c r="U1466" s="592">
        <f t="shared" si="1310"/>
        <v>500</v>
      </c>
      <c r="V1466" s="592">
        <f t="shared" si="1310"/>
        <v>500</v>
      </c>
      <c r="W1466" s="592">
        <f t="shared" si="1310"/>
        <v>500</v>
      </c>
      <c r="X1466" s="592">
        <f t="shared" ref="X1466:AF1468" si="1311">W1466</f>
        <v>500</v>
      </c>
      <c r="Y1466" s="592">
        <f t="shared" si="1311"/>
        <v>500</v>
      </c>
      <c r="Z1466" s="592">
        <f t="shared" si="1311"/>
        <v>500</v>
      </c>
      <c r="AA1466" s="592">
        <f t="shared" si="1311"/>
        <v>500</v>
      </c>
      <c r="AB1466" s="592">
        <f t="shared" si="1311"/>
        <v>500</v>
      </c>
      <c r="AC1466" s="592">
        <f t="shared" si="1311"/>
        <v>500</v>
      </c>
      <c r="AD1466" s="592">
        <f t="shared" si="1311"/>
        <v>500</v>
      </c>
      <c r="AE1466" s="592">
        <f t="shared" si="1311"/>
        <v>500</v>
      </c>
      <c r="AF1466" s="592">
        <f t="shared" si="1311"/>
        <v>500</v>
      </c>
      <c r="AH1466" s="538"/>
      <c r="AK1466" s="531"/>
      <c r="AM1466" s="594"/>
      <c r="AN1466" s="535"/>
      <c r="AP1466" s="540"/>
      <c r="AQ1466" s="540"/>
    </row>
    <row r="1467" spans="1:43" s="513" customFormat="1" ht="16.5" hidden="1" customHeight="1" outlineLevel="2">
      <c r="A1467" s="584"/>
      <c r="B1467" s="572" t="s">
        <v>941</v>
      </c>
      <c r="C1467" s="592">
        <f>'Sal._benef.'!$K$35</f>
        <v>5.53</v>
      </c>
      <c r="D1467" s="592">
        <f>C1467</f>
        <v>5.53</v>
      </c>
      <c r="E1467" s="592">
        <f>D1467</f>
        <v>5.53</v>
      </c>
      <c r="F1467" s="592">
        <f t="shared" si="1309"/>
        <v>5.53</v>
      </c>
      <c r="G1467" s="592">
        <f t="shared" si="1309"/>
        <v>5.53</v>
      </c>
      <c r="H1467" s="592">
        <f t="shared" si="1310"/>
        <v>5.53</v>
      </c>
      <c r="I1467" s="592">
        <f t="shared" si="1310"/>
        <v>5.53</v>
      </c>
      <c r="J1467" s="592">
        <f t="shared" si="1310"/>
        <v>5.53</v>
      </c>
      <c r="K1467" s="592">
        <f t="shared" si="1310"/>
        <v>5.53</v>
      </c>
      <c r="L1467" s="592">
        <f t="shared" si="1310"/>
        <v>5.53</v>
      </c>
      <c r="M1467" s="592">
        <f t="shared" si="1310"/>
        <v>5.53</v>
      </c>
      <c r="N1467" s="592">
        <f t="shared" si="1310"/>
        <v>5.53</v>
      </c>
      <c r="O1467" s="592">
        <f t="shared" si="1310"/>
        <v>5.53</v>
      </c>
      <c r="P1467" s="592">
        <f t="shared" si="1310"/>
        <v>5.53</v>
      </c>
      <c r="Q1467" s="592">
        <f t="shared" si="1310"/>
        <v>5.53</v>
      </c>
      <c r="R1467" s="592">
        <f t="shared" si="1310"/>
        <v>5.53</v>
      </c>
      <c r="S1467" s="592">
        <f t="shared" si="1310"/>
        <v>5.53</v>
      </c>
      <c r="T1467" s="592">
        <f t="shared" si="1310"/>
        <v>5.53</v>
      </c>
      <c r="U1467" s="592">
        <f t="shared" si="1310"/>
        <v>5.53</v>
      </c>
      <c r="V1467" s="592">
        <f t="shared" si="1310"/>
        <v>5.53</v>
      </c>
      <c r="W1467" s="592">
        <f t="shared" si="1310"/>
        <v>5.53</v>
      </c>
      <c r="X1467" s="592">
        <f t="shared" si="1311"/>
        <v>5.53</v>
      </c>
      <c r="Y1467" s="592">
        <f t="shared" si="1311"/>
        <v>5.53</v>
      </c>
      <c r="Z1467" s="592">
        <f t="shared" si="1311"/>
        <v>5.53</v>
      </c>
      <c r="AA1467" s="592">
        <f t="shared" si="1311"/>
        <v>5.53</v>
      </c>
      <c r="AB1467" s="592">
        <f t="shared" si="1311"/>
        <v>5.53</v>
      </c>
      <c r="AC1467" s="592">
        <f t="shared" si="1311"/>
        <v>5.53</v>
      </c>
      <c r="AD1467" s="592">
        <f t="shared" si="1311"/>
        <v>5.53</v>
      </c>
      <c r="AE1467" s="592">
        <f t="shared" si="1311"/>
        <v>5.53</v>
      </c>
      <c r="AF1467" s="592">
        <f t="shared" si="1311"/>
        <v>5.53</v>
      </c>
      <c r="AH1467" s="538"/>
      <c r="AK1467" s="531"/>
      <c r="AM1467" s="594"/>
      <c r="AN1467" s="535"/>
      <c r="AP1467" s="540"/>
      <c r="AQ1467" s="540"/>
    </row>
    <row r="1468" spans="1:43" s="513" customFormat="1" ht="16.5" hidden="1" customHeight="1" outlineLevel="2">
      <c r="A1468" s="584"/>
      <c r="B1468" s="572" t="s">
        <v>862</v>
      </c>
      <c r="C1468" s="592">
        <v>0</v>
      </c>
      <c r="D1468" s="592">
        <f t="shared" ref="D1468" si="1312">C1468</f>
        <v>0</v>
      </c>
      <c r="E1468" s="592">
        <f t="shared" si="1309"/>
        <v>0</v>
      </c>
      <c r="F1468" s="592">
        <f t="shared" si="1309"/>
        <v>0</v>
      </c>
      <c r="G1468" s="592">
        <f t="shared" si="1309"/>
        <v>0</v>
      </c>
      <c r="H1468" s="592">
        <f t="shared" si="1310"/>
        <v>0</v>
      </c>
      <c r="I1468" s="592">
        <f t="shared" si="1310"/>
        <v>0</v>
      </c>
      <c r="J1468" s="592">
        <f t="shared" si="1310"/>
        <v>0</v>
      </c>
      <c r="K1468" s="592">
        <f t="shared" si="1310"/>
        <v>0</v>
      </c>
      <c r="L1468" s="592">
        <f t="shared" si="1310"/>
        <v>0</v>
      </c>
      <c r="M1468" s="592">
        <f t="shared" si="1310"/>
        <v>0</v>
      </c>
      <c r="N1468" s="592">
        <f t="shared" si="1310"/>
        <v>0</v>
      </c>
      <c r="O1468" s="592">
        <f t="shared" si="1310"/>
        <v>0</v>
      </c>
      <c r="P1468" s="592">
        <f t="shared" si="1310"/>
        <v>0</v>
      </c>
      <c r="Q1468" s="592">
        <f t="shared" si="1310"/>
        <v>0</v>
      </c>
      <c r="R1468" s="592">
        <f t="shared" si="1310"/>
        <v>0</v>
      </c>
      <c r="S1468" s="592">
        <f t="shared" si="1310"/>
        <v>0</v>
      </c>
      <c r="T1468" s="592">
        <f t="shared" si="1310"/>
        <v>0</v>
      </c>
      <c r="U1468" s="592">
        <f t="shared" si="1310"/>
        <v>0</v>
      </c>
      <c r="V1468" s="592">
        <f t="shared" si="1310"/>
        <v>0</v>
      </c>
      <c r="W1468" s="592">
        <f t="shared" si="1310"/>
        <v>0</v>
      </c>
      <c r="X1468" s="592">
        <f t="shared" si="1311"/>
        <v>0</v>
      </c>
      <c r="Y1468" s="592">
        <f t="shared" si="1311"/>
        <v>0</v>
      </c>
      <c r="Z1468" s="592">
        <f t="shared" si="1311"/>
        <v>0</v>
      </c>
      <c r="AA1468" s="592">
        <f t="shared" si="1311"/>
        <v>0</v>
      </c>
      <c r="AB1468" s="592">
        <f t="shared" si="1311"/>
        <v>0</v>
      </c>
      <c r="AC1468" s="592">
        <f t="shared" si="1311"/>
        <v>0</v>
      </c>
      <c r="AD1468" s="592">
        <f t="shared" si="1311"/>
        <v>0</v>
      </c>
      <c r="AE1468" s="592">
        <f t="shared" si="1311"/>
        <v>0</v>
      </c>
      <c r="AF1468" s="592">
        <f t="shared" si="1311"/>
        <v>0</v>
      </c>
      <c r="AH1468" s="538"/>
      <c r="AK1468" s="531"/>
      <c r="AM1468" s="594"/>
      <c r="AN1468" s="535"/>
      <c r="AP1468" s="540"/>
      <c r="AQ1468" s="540"/>
    </row>
    <row r="1469" spans="1:43" s="666" customFormat="1" ht="17.100000000000001" hidden="1" customHeight="1" outlineLevel="1" collapsed="1">
      <c r="A1469" s="584"/>
      <c r="B1469" s="665" t="s">
        <v>943</v>
      </c>
      <c r="C1469" s="577">
        <f>C1470/10^3</f>
        <v>3.51471</v>
      </c>
      <c r="D1469" s="577">
        <f t="shared" ref="D1469:AF1469" si="1313">D1470/10^3</f>
        <v>3.51471</v>
      </c>
      <c r="E1469" s="577">
        <f t="shared" si="1313"/>
        <v>3.51471</v>
      </c>
      <c r="F1469" s="577">
        <f t="shared" si="1313"/>
        <v>3.51471</v>
      </c>
      <c r="G1469" s="577">
        <f t="shared" si="1313"/>
        <v>3.51471</v>
      </c>
      <c r="H1469" s="577">
        <f t="shared" si="1313"/>
        <v>3.51471</v>
      </c>
      <c r="I1469" s="577">
        <f t="shared" si="1313"/>
        <v>2.9289249999999996</v>
      </c>
      <c r="J1469" s="577">
        <f t="shared" si="1313"/>
        <v>2.9289249999999996</v>
      </c>
      <c r="K1469" s="577">
        <f t="shared" si="1313"/>
        <v>2.9289249999999996</v>
      </c>
      <c r="L1469" s="577">
        <f t="shared" si="1313"/>
        <v>2.9289249999999996</v>
      </c>
      <c r="M1469" s="577">
        <f t="shared" si="1313"/>
        <v>2.9289249999999996</v>
      </c>
      <c r="N1469" s="577">
        <f t="shared" si="1313"/>
        <v>2.9289249999999996</v>
      </c>
      <c r="O1469" s="577">
        <f t="shared" si="1313"/>
        <v>2.9289249999999996</v>
      </c>
      <c r="P1469" s="577">
        <f t="shared" si="1313"/>
        <v>2.9289249999999996</v>
      </c>
      <c r="Q1469" s="577">
        <f t="shared" si="1313"/>
        <v>2.9289249999999996</v>
      </c>
      <c r="R1469" s="577">
        <f t="shared" si="1313"/>
        <v>2.9289249999999996</v>
      </c>
      <c r="S1469" s="577">
        <f t="shared" si="1313"/>
        <v>2.9289249999999996</v>
      </c>
      <c r="T1469" s="577">
        <f t="shared" si="1313"/>
        <v>2.9289249999999996</v>
      </c>
      <c r="U1469" s="577">
        <f t="shared" si="1313"/>
        <v>2.9289249999999996</v>
      </c>
      <c r="V1469" s="577">
        <f t="shared" si="1313"/>
        <v>2.9289249999999996</v>
      </c>
      <c r="W1469" s="577">
        <f t="shared" si="1313"/>
        <v>2.9289249999999996</v>
      </c>
      <c r="X1469" s="577">
        <f t="shared" si="1313"/>
        <v>2.9289249999999996</v>
      </c>
      <c r="Y1469" s="577">
        <f t="shared" si="1313"/>
        <v>2.9289249999999996</v>
      </c>
      <c r="Z1469" s="577">
        <f t="shared" si="1313"/>
        <v>2.9289249999999996</v>
      </c>
      <c r="AA1469" s="577">
        <f t="shared" si="1313"/>
        <v>2.9289249999999996</v>
      </c>
      <c r="AB1469" s="577">
        <f t="shared" si="1313"/>
        <v>2.9289249999999996</v>
      </c>
      <c r="AC1469" s="577">
        <f t="shared" si="1313"/>
        <v>2.9289249999999996</v>
      </c>
      <c r="AD1469" s="577">
        <f t="shared" si="1313"/>
        <v>2.9289249999999996</v>
      </c>
      <c r="AE1469" s="577">
        <f t="shared" si="1313"/>
        <v>2.9289249999999996</v>
      </c>
      <c r="AF1469" s="577">
        <f t="shared" si="1313"/>
        <v>2.9289249999999996</v>
      </c>
      <c r="AG1469" s="564"/>
      <c r="AH1469" s="578">
        <f>SUM(C1469:AF1469)</f>
        <v>91.382459999999924</v>
      </c>
      <c r="AK1469" s="531"/>
      <c r="AM1469" s="594"/>
      <c r="AN1469" s="535"/>
      <c r="AP1469" s="667"/>
      <c r="AQ1469" s="667"/>
    </row>
    <row r="1470" spans="1:43" s="668" customFormat="1" ht="16.5" hidden="1" customHeight="1" outlineLevel="2">
      <c r="A1470" s="584"/>
      <c r="B1470" s="673" t="s">
        <v>1040</v>
      </c>
      <c r="C1470" s="660">
        <f>C1471*C1472</f>
        <v>3514.71</v>
      </c>
      <c r="D1470" s="660">
        <f t="shared" ref="D1470:AF1470" si="1314">D1471*D1472</f>
        <v>3514.71</v>
      </c>
      <c r="E1470" s="660">
        <f t="shared" si="1314"/>
        <v>3514.71</v>
      </c>
      <c r="F1470" s="660">
        <f t="shared" si="1314"/>
        <v>3514.71</v>
      </c>
      <c r="G1470" s="660">
        <f t="shared" si="1314"/>
        <v>3514.71</v>
      </c>
      <c r="H1470" s="660">
        <f t="shared" si="1314"/>
        <v>3514.71</v>
      </c>
      <c r="I1470" s="660">
        <f t="shared" si="1314"/>
        <v>2928.9249999999997</v>
      </c>
      <c r="J1470" s="660">
        <f t="shared" si="1314"/>
        <v>2928.9249999999997</v>
      </c>
      <c r="K1470" s="660">
        <f t="shared" si="1314"/>
        <v>2928.9249999999997</v>
      </c>
      <c r="L1470" s="660">
        <f t="shared" si="1314"/>
        <v>2928.9249999999997</v>
      </c>
      <c r="M1470" s="660">
        <f t="shared" si="1314"/>
        <v>2928.9249999999997</v>
      </c>
      <c r="N1470" s="660">
        <f t="shared" si="1314"/>
        <v>2928.9249999999997</v>
      </c>
      <c r="O1470" s="660">
        <f t="shared" si="1314"/>
        <v>2928.9249999999997</v>
      </c>
      <c r="P1470" s="660">
        <f t="shared" si="1314"/>
        <v>2928.9249999999997</v>
      </c>
      <c r="Q1470" s="660">
        <f t="shared" si="1314"/>
        <v>2928.9249999999997</v>
      </c>
      <c r="R1470" s="660">
        <f t="shared" si="1314"/>
        <v>2928.9249999999997</v>
      </c>
      <c r="S1470" s="660">
        <f t="shared" si="1314"/>
        <v>2928.9249999999997</v>
      </c>
      <c r="T1470" s="660">
        <f t="shared" si="1314"/>
        <v>2928.9249999999997</v>
      </c>
      <c r="U1470" s="660">
        <f t="shared" si="1314"/>
        <v>2928.9249999999997</v>
      </c>
      <c r="V1470" s="660">
        <f t="shared" si="1314"/>
        <v>2928.9249999999997</v>
      </c>
      <c r="W1470" s="660">
        <f t="shared" si="1314"/>
        <v>2928.9249999999997</v>
      </c>
      <c r="X1470" s="660">
        <f t="shared" si="1314"/>
        <v>2928.9249999999997</v>
      </c>
      <c r="Y1470" s="660">
        <f t="shared" si="1314"/>
        <v>2928.9249999999997</v>
      </c>
      <c r="Z1470" s="660">
        <f t="shared" si="1314"/>
        <v>2928.9249999999997</v>
      </c>
      <c r="AA1470" s="660">
        <f t="shared" si="1314"/>
        <v>2928.9249999999997</v>
      </c>
      <c r="AB1470" s="660">
        <f t="shared" si="1314"/>
        <v>2928.9249999999997</v>
      </c>
      <c r="AC1470" s="660">
        <f t="shared" si="1314"/>
        <v>2928.9249999999997</v>
      </c>
      <c r="AD1470" s="660">
        <f t="shared" si="1314"/>
        <v>2928.9249999999997</v>
      </c>
      <c r="AE1470" s="660">
        <f t="shared" si="1314"/>
        <v>2928.9249999999997</v>
      </c>
      <c r="AF1470" s="660">
        <f t="shared" si="1314"/>
        <v>2928.9249999999997</v>
      </c>
      <c r="AG1470" s="546"/>
      <c r="AH1470" s="546"/>
      <c r="AK1470" s="531"/>
      <c r="AM1470" s="594"/>
      <c r="AN1470" s="535"/>
      <c r="AP1470" s="669"/>
      <c r="AQ1470" s="669"/>
    </row>
    <row r="1471" spans="1:43" ht="16.5" hidden="1" customHeight="1" outlineLevel="2">
      <c r="A1471" s="584"/>
      <c r="B1471" s="674" t="s">
        <v>805</v>
      </c>
      <c r="C1471" s="592">
        <f t="shared" ref="C1471:AF1471" si="1315">SUM(C1455,C1460,C1465)</f>
        <v>3</v>
      </c>
      <c r="D1471" s="592">
        <f t="shared" si="1315"/>
        <v>3</v>
      </c>
      <c r="E1471" s="592">
        <f t="shared" si="1315"/>
        <v>3</v>
      </c>
      <c r="F1471" s="592">
        <f t="shared" si="1315"/>
        <v>3</v>
      </c>
      <c r="G1471" s="592">
        <f t="shared" si="1315"/>
        <v>3</v>
      </c>
      <c r="H1471" s="592">
        <f t="shared" si="1315"/>
        <v>3</v>
      </c>
      <c r="I1471" s="592">
        <f t="shared" si="1315"/>
        <v>2.5</v>
      </c>
      <c r="J1471" s="592">
        <f t="shared" si="1315"/>
        <v>2.5</v>
      </c>
      <c r="K1471" s="592">
        <f t="shared" si="1315"/>
        <v>2.5</v>
      </c>
      <c r="L1471" s="592">
        <f t="shared" si="1315"/>
        <v>2.5</v>
      </c>
      <c r="M1471" s="592">
        <f t="shared" si="1315"/>
        <v>2.5</v>
      </c>
      <c r="N1471" s="592">
        <f t="shared" si="1315"/>
        <v>2.5</v>
      </c>
      <c r="O1471" s="592">
        <f t="shared" si="1315"/>
        <v>2.5</v>
      </c>
      <c r="P1471" s="592">
        <f t="shared" si="1315"/>
        <v>2.5</v>
      </c>
      <c r="Q1471" s="592">
        <f t="shared" si="1315"/>
        <v>2.5</v>
      </c>
      <c r="R1471" s="592">
        <f t="shared" si="1315"/>
        <v>2.5</v>
      </c>
      <c r="S1471" s="592">
        <f t="shared" si="1315"/>
        <v>2.5</v>
      </c>
      <c r="T1471" s="592">
        <f t="shared" si="1315"/>
        <v>2.5</v>
      </c>
      <c r="U1471" s="592">
        <f t="shared" si="1315"/>
        <v>2.5</v>
      </c>
      <c r="V1471" s="592">
        <f t="shared" si="1315"/>
        <v>2.5</v>
      </c>
      <c r="W1471" s="592">
        <f t="shared" si="1315"/>
        <v>2.5</v>
      </c>
      <c r="X1471" s="592">
        <f t="shared" si="1315"/>
        <v>2.5</v>
      </c>
      <c r="Y1471" s="592">
        <f t="shared" si="1315"/>
        <v>2.5</v>
      </c>
      <c r="Z1471" s="592">
        <f t="shared" si="1315"/>
        <v>2.5</v>
      </c>
      <c r="AA1471" s="592">
        <f t="shared" si="1315"/>
        <v>2.5</v>
      </c>
      <c r="AB1471" s="592">
        <f t="shared" si="1315"/>
        <v>2.5</v>
      </c>
      <c r="AC1471" s="592">
        <f t="shared" si="1315"/>
        <v>2.5</v>
      </c>
      <c r="AD1471" s="592">
        <f t="shared" si="1315"/>
        <v>2.5</v>
      </c>
      <c r="AE1471" s="592">
        <f t="shared" si="1315"/>
        <v>2.5</v>
      </c>
      <c r="AF1471" s="592">
        <f t="shared" si="1315"/>
        <v>2.5</v>
      </c>
      <c r="AH1471" s="513"/>
      <c r="AK1471" s="531"/>
      <c r="AM1471" s="594"/>
      <c r="AN1471" s="535"/>
      <c r="AP1471" s="535"/>
      <c r="AQ1471" s="535"/>
    </row>
    <row r="1472" spans="1:43" ht="16.5" hidden="1" customHeight="1" outlineLevel="2">
      <c r="A1472" s="584"/>
      <c r="B1472" s="674" t="s">
        <v>888</v>
      </c>
      <c r="C1472" s="592">
        <f>EPIs_unif.!$D$27+EPIs_unif.!$D$54</f>
        <v>1171.57</v>
      </c>
      <c r="D1472" s="592">
        <f t="shared" ref="D1472:AF1472" si="1316">C1472</f>
        <v>1171.57</v>
      </c>
      <c r="E1472" s="592">
        <f t="shared" si="1316"/>
        <v>1171.57</v>
      </c>
      <c r="F1472" s="592">
        <f t="shared" si="1316"/>
        <v>1171.57</v>
      </c>
      <c r="G1472" s="592">
        <f t="shared" si="1316"/>
        <v>1171.57</v>
      </c>
      <c r="H1472" s="592">
        <f t="shared" si="1316"/>
        <v>1171.57</v>
      </c>
      <c r="I1472" s="592">
        <f t="shared" si="1316"/>
        <v>1171.57</v>
      </c>
      <c r="J1472" s="592">
        <f t="shared" si="1316"/>
        <v>1171.57</v>
      </c>
      <c r="K1472" s="592">
        <f t="shared" si="1316"/>
        <v>1171.57</v>
      </c>
      <c r="L1472" s="592">
        <f t="shared" si="1316"/>
        <v>1171.57</v>
      </c>
      <c r="M1472" s="592">
        <f t="shared" si="1316"/>
        <v>1171.57</v>
      </c>
      <c r="N1472" s="592">
        <f t="shared" si="1316"/>
        <v>1171.57</v>
      </c>
      <c r="O1472" s="592">
        <f t="shared" si="1316"/>
        <v>1171.57</v>
      </c>
      <c r="P1472" s="592">
        <f t="shared" si="1316"/>
        <v>1171.57</v>
      </c>
      <c r="Q1472" s="592">
        <f t="shared" si="1316"/>
        <v>1171.57</v>
      </c>
      <c r="R1472" s="592">
        <f t="shared" si="1316"/>
        <v>1171.57</v>
      </c>
      <c r="S1472" s="592">
        <f t="shared" si="1316"/>
        <v>1171.57</v>
      </c>
      <c r="T1472" s="592">
        <f t="shared" si="1316"/>
        <v>1171.57</v>
      </c>
      <c r="U1472" s="592">
        <f t="shared" si="1316"/>
        <v>1171.57</v>
      </c>
      <c r="V1472" s="592">
        <f t="shared" si="1316"/>
        <v>1171.57</v>
      </c>
      <c r="W1472" s="592">
        <f t="shared" si="1316"/>
        <v>1171.57</v>
      </c>
      <c r="X1472" s="592">
        <f t="shared" si="1316"/>
        <v>1171.57</v>
      </c>
      <c r="Y1472" s="592">
        <f t="shared" si="1316"/>
        <v>1171.57</v>
      </c>
      <c r="Z1472" s="592">
        <f t="shared" si="1316"/>
        <v>1171.57</v>
      </c>
      <c r="AA1472" s="592">
        <f t="shared" si="1316"/>
        <v>1171.57</v>
      </c>
      <c r="AB1472" s="592">
        <f t="shared" si="1316"/>
        <v>1171.57</v>
      </c>
      <c r="AC1472" s="592">
        <f t="shared" si="1316"/>
        <v>1171.57</v>
      </c>
      <c r="AD1472" s="592">
        <f t="shared" si="1316"/>
        <v>1171.57</v>
      </c>
      <c r="AE1472" s="592">
        <f t="shared" si="1316"/>
        <v>1171.57</v>
      </c>
      <c r="AF1472" s="592">
        <f t="shared" si="1316"/>
        <v>1171.57</v>
      </c>
      <c r="AH1472" s="513"/>
      <c r="AK1472" s="531"/>
      <c r="AM1472" s="594"/>
      <c r="AN1472" s="535"/>
      <c r="AP1472" s="535"/>
      <c r="AQ1472" s="535"/>
    </row>
    <row r="1473" spans="1:43" s="513" customFormat="1" ht="14.4" hidden="1" outlineLevel="2">
      <c r="A1473" s="584"/>
      <c r="B1473" s="674"/>
      <c r="C1473" s="675"/>
      <c r="D1473" s="675"/>
      <c r="E1473" s="675"/>
      <c r="F1473" s="675"/>
      <c r="G1473" s="675"/>
      <c r="H1473" s="675"/>
      <c r="I1473" s="675"/>
      <c r="J1473" s="675"/>
      <c r="K1473" s="675"/>
      <c r="L1473" s="675"/>
      <c r="M1473" s="675"/>
      <c r="N1473" s="675"/>
      <c r="O1473" s="675"/>
      <c r="P1473" s="675"/>
      <c r="Q1473" s="675"/>
      <c r="R1473" s="675"/>
      <c r="S1473" s="675"/>
      <c r="T1473" s="675"/>
      <c r="U1473" s="675"/>
      <c r="V1473" s="675"/>
      <c r="W1473" s="675"/>
      <c r="X1473" s="675"/>
      <c r="Y1473" s="675"/>
      <c r="Z1473" s="675"/>
      <c r="AA1473" s="675"/>
      <c r="AB1473" s="675"/>
      <c r="AC1473" s="675"/>
      <c r="AD1473" s="675"/>
      <c r="AE1473" s="675"/>
      <c r="AF1473" s="675"/>
      <c r="AK1473" s="531"/>
      <c r="AM1473" s="594"/>
      <c r="AN1473" s="535"/>
      <c r="AP1473" s="540"/>
      <c r="AQ1473" s="540"/>
    </row>
    <row r="1474" spans="1:43" ht="16.5" customHeight="1">
      <c r="A1474" s="584"/>
      <c r="B1474" s="749" t="s">
        <v>863</v>
      </c>
      <c r="C1474" s="710">
        <f t="shared" ref="C1474:AF1474" si="1317">SUM(C1476,C1549,C1590,C1594,C1601,C1604,C1617)*C3</f>
        <v>405.37059451200003</v>
      </c>
      <c r="D1474" s="710">
        <f t="shared" si="1317"/>
        <v>919.42288060088424</v>
      </c>
      <c r="E1474" s="710">
        <f t="shared" si="1317"/>
        <v>922.18269464050775</v>
      </c>
      <c r="F1474" s="710">
        <f t="shared" si="1317"/>
        <v>924.94250868013125</v>
      </c>
      <c r="G1474" s="710">
        <f t="shared" si="1317"/>
        <v>927.70232271975499</v>
      </c>
      <c r="H1474" s="710">
        <f t="shared" si="1317"/>
        <v>930.4621367593785</v>
      </c>
      <c r="I1474" s="710">
        <f t="shared" si="1317"/>
        <v>933.221950799002</v>
      </c>
      <c r="J1474" s="710">
        <f t="shared" si="1317"/>
        <v>935.98176483862551</v>
      </c>
      <c r="K1474" s="710">
        <f t="shared" si="1317"/>
        <v>938.74157887824902</v>
      </c>
      <c r="L1474" s="710">
        <f t="shared" si="1317"/>
        <v>941.50139291787275</v>
      </c>
      <c r="M1474" s="710">
        <f t="shared" si="1317"/>
        <v>944.26120695749626</v>
      </c>
      <c r="N1474" s="710">
        <f t="shared" si="1317"/>
        <v>947.02102099711976</v>
      </c>
      <c r="O1474" s="710">
        <f t="shared" si="1317"/>
        <v>949.78083503674327</v>
      </c>
      <c r="P1474" s="710">
        <f t="shared" si="1317"/>
        <v>952.540649076367</v>
      </c>
      <c r="Q1474" s="710">
        <f t="shared" si="1317"/>
        <v>955.30046311599028</v>
      </c>
      <c r="R1474" s="710">
        <f t="shared" si="1317"/>
        <v>958.06027715561402</v>
      </c>
      <c r="S1474" s="710">
        <f t="shared" si="1317"/>
        <v>960.82009119523752</v>
      </c>
      <c r="T1474" s="710">
        <f t="shared" si="1317"/>
        <v>963.57990523486103</v>
      </c>
      <c r="U1474" s="710">
        <f t="shared" si="1317"/>
        <v>966.33971927448454</v>
      </c>
      <c r="V1474" s="710">
        <f t="shared" si="1317"/>
        <v>969.09953331410827</v>
      </c>
      <c r="W1474" s="710">
        <f t="shared" si="1317"/>
        <v>971.85934735373178</v>
      </c>
      <c r="X1474" s="710">
        <f t="shared" si="1317"/>
        <v>974.61916139335551</v>
      </c>
      <c r="Y1474" s="710">
        <f t="shared" si="1317"/>
        <v>977.37897543297879</v>
      </c>
      <c r="Z1474" s="710">
        <f t="shared" si="1317"/>
        <v>980.13878947260253</v>
      </c>
      <c r="AA1474" s="710">
        <f t="shared" si="1317"/>
        <v>982.89860351222603</v>
      </c>
      <c r="AB1474" s="710">
        <f t="shared" si="1317"/>
        <v>985.65841755184954</v>
      </c>
      <c r="AC1474" s="710">
        <f t="shared" si="1317"/>
        <v>988.41823159147305</v>
      </c>
      <c r="AD1474" s="710">
        <f t="shared" si="1317"/>
        <v>991.17804563109678</v>
      </c>
      <c r="AE1474" s="710">
        <f t="shared" si="1317"/>
        <v>993.93785967072029</v>
      </c>
      <c r="AF1474" s="710">
        <f t="shared" si="1317"/>
        <v>996.69767371034379</v>
      </c>
      <c r="AG1474" s="750"/>
      <c r="AH1474" s="751">
        <f>SUM(C1474:AF1474)</f>
        <v>28189.118632024802</v>
      </c>
      <c r="AK1474" s="531"/>
      <c r="AM1474" s="533"/>
      <c r="AN1474" s="535"/>
      <c r="AP1474" s="535"/>
      <c r="AQ1474" s="534"/>
    </row>
    <row r="1475" spans="1:43" s="620" customFormat="1" ht="16.5" customHeight="1" collapsed="1">
      <c r="A1475" s="584"/>
      <c r="B1475" s="618" t="s">
        <v>886</v>
      </c>
      <c r="C1475" s="545">
        <f>SUM(C1596,C1599)</f>
        <v>2</v>
      </c>
      <c r="D1475" s="545">
        <f t="shared" ref="D1475:AF1475" si="1318">SUM(D1596,D1599)</f>
        <v>3</v>
      </c>
      <c r="E1475" s="545">
        <f t="shared" si="1318"/>
        <v>3</v>
      </c>
      <c r="F1475" s="545">
        <f t="shared" si="1318"/>
        <v>3</v>
      </c>
      <c r="G1475" s="545">
        <f t="shared" si="1318"/>
        <v>3</v>
      </c>
      <c r="H1475" s="545">
        <f t="shared" si="1318"/>
        <v>3</v>
      </c>
      <c r="I1475" s="545">
        <f t="shared" si="1318"/>
        <v>3</v>
      </c>
      <c r="J1475" s="545">
        <f t="shared" si="1318"/>
        <v>3</v>
      </c>
      <c r="K1475" s="545">
        <f t="shared" si="1318"/>
        <v>3</v>
      </c>
      <c r="L1475" s="545">
        <f t="shared" si="1318"/>
        <v>3</v>
      </c>
      <c r="M1475" s="545">
        <f t="shared" si="1318"/>
        <v>3</v>
      </c>
      <c r="N1475" s="545">
        <f t="shared" si="1318"/>
        <v>3</v>
      </c>
      <c r="O1475" s="545">
        <f t="shared" si="1318"/>
        <v>3</v>
      </c>
      <c r="P1475" s="545">
        <f t="shared" si="1318"/>
        <v>3</v>
      </c>
      <c r="Q1475" s="545">
        <f t="shared" si="1318"/>
        <v>3</v>
      </c>
      <c r="R1475" s="545">
        <f t="shared" si="1318"/>
        <v>3</v>
      </c>
      <c r="S1475" s="545">
        <f t="shared" si="1318"/>
        <v>3</v>
      </c>
      <c r="T1475" s="545">
        <f t="shared" si="1318"/>
        <v>3</v>
      </c>
      <c r="U1475" s="545">
        <f t="shared" si="1318"/>
        <v>3</v>
      </c>
      <c r="V1475" s="545">
        <f t="shared" si="1318"/>
        <v>3</v>
      </c>
      <c r="W1475" s="545">
        <f t="shared" si="1318"/>
        <v>3</v>
      </c>
      <c r="X1475" s="545">
        <f t="shared" si="1318"/>
        <v>3</v>
      </c>
      <c r="Y1475" s="545">
        <f t="shared" si="1318"/>
        <v>3</v>
      </c>
      <c r="Z1475" s="545">
        <f t="shared" si="1318"/>
        <v>3</v>
      </c>
      <c r="AA1475" s="545">
        <f t="shared" si="1318"/>
        <v>3</v>
      </c>
      <c r="AB1475" s="545">
        <f t="shared" si="1318"/>
        <v>3</v>
      </c>
      <c r="AC1475" s="545">
        <f t="shared" si="1318"/>
        <v>3</v>
      </c>
      <c r="AD1475" s="545">
        <f t="shared" si="1318"/>
        <v>3</v>
      </c>
      <c r="AE1475" s="545">
        <f t="shared" si="1318"/>
        <v>3</v>
      </c>
      <c r="AF1475" s="545">
        <f t="shared" si="1318"/>
        <v>3</v>
      </c>
      <c r="AG1475" s="546"/>
      <c r="AH1475" s="619"/>
      <c r="AI1475" s="546"/>
      <c r="AJ1475" s="546"/>
      <c r="AK1475" s="531"/>
      <c r="AL1475" s="546"/>
      <c r="AM1475" s="548"/>
      <c r="AN1475" s="540"/>
      <c r="AO1475" s="546"/>
      <c r="AP1475" s="549"/>
      <c r="AQ1475" s="549"/>
    </row>
    <row r="1476" spans="1:43" s="564" customFormat="1" ht="16.5" hidden="1" customHeight="1" outlineLevel="1" collapsed="1">
      <c r="A1476" s="584"/>
      <c r="B1476" s="576" t="s">
        <v>1041</v>
      </c>
      <c r="C1476" s="577">
        <f>SUM(C1477,C1480,C1483,C1486,C1489,C1492,C1495,C1498,C1501,C1504,C1507,C1510,C1513,C1516,C1519,C1522,C1525,C1528,C1531,C1534,C1537,C1540,C1543,C1546)*12/10^3</f>
        <v>301.64389999999997</v>
      </c>
      <c r="D1476" s="577">
        <f t="shared" ref="D1476:AF1476" si="1319">SUM(D1477,D1480,D1483,D1486,D1489,D1492,D1495,D1498,D1501,D1504,D1507,D1510,D1513,D1516,D1519,D1522,D1525,D1528,D1531,D1534,D1537,D1540,D1543,D1546)*12/10^3</f>
        <v>543.19664999999998</v>
      </c>
      <c r="E1476" s="577">
        <f t="shared" si="1319"/>
        <v>543.43224999999995</v>
      </c>
      <c r="F1476" s="577">
        <f t="shared" si="1319"/>
        <v>543.66784999999993</v>
      </c>
      <c r="G1476" s="577">
        <f t="shared" si="1319"/>
        <v>543.90345000000002</v>
      </c>
      <c r="H1476" s="577">
        <f t="shared" si="1319"/>
        <v>544.13905</v>
      </c>
      <c r="I1476" s="577">
        <f t="shared" si="1319"/>
        <v>544.37464999999997</v>
      </c>
      <c r="J1476" s="577">
        <f t="shared" si="1319"/>
        <v>544.61024999999995</v>
      </c>
      <c r="K1476" s="577">
        <f t="shared" si="1319"/>
        <v>544.84585000000004</v>
      </c>
      <c r="L1476" s="577">
        <f t="shared" si="1319"/>
        <v>545.08145000000002</v>
      </c>
      <c r="M1476" s="577">
        <f t="shared" si="1319"/>
        <v>545.31704999999999</v>
      </c>
      <c r="N1476" s="577">
        <f t="shared" si="1319"/>
        <v>545.55264999999997</v>
      </c>
      <c r="O1476" s="577">
        <f t="shared" si="1319"/>
        <v>545.78824999999995</v>
      </c>
      <c r="P1476" s="577">
        <f t="shared" si="1319"/>
        <v>546.02385000000004</v>
      </c>
      <c r="Q1476" s="577">
        <f t="shared" si="1319"/>
        <v>546.2594499999999</v>
      </c>
      <c r="R1476" s="577">
        <f t="shared" si="1319"/>
        <v>546.49504999999999</v>
      </c>
      <c r="S1476" s="577">
        <f t="shared" si="1319"/>
        <v>546.73064999999997</v>
      </c>
      <c r="T1476" s="577">
        <f t="shared" si="1319"/>
        <v>546.96624999999995</v>
      </c>
      <c r="U1476" s="577">
        <f t="shared" si="1319"/>
        <v>547.20184999999992</v>
      </c>
      <c r="V1476" s="577">
        <f t="shared" si="1319"/>
        <v>547.43745000000013</v>
      </c>
      <c r="W1476" s="577">
        <f t="shared" si="1319"/>
        <v>547.6730500000001</v>
      </c>
      <c r="X1476" s="577">
        <f t="shared" si="1319"/>
        <v>547.90865000000008</v>
      </c>
      <c r="Y1476" s="577">
        <f t="shared" si="1319"/>
        <v>548.14425000000006</v>
      </c>
      <c r="Z1476" s="577">
        <f t="shared" si="1319"/>
        <v>548.37985000000015</v>
      </c>
      <c r="AA1476" s="577">
        <f t="shared" si="1319"/>
        <v>548.61545000000012</v>
      </c>
      <c r="AB1476" s="577">
        <f t="shared" si="1319"/>
        <v>548.8510500000001</v>
      </c>
      <c r="AC1476" s="577">
        <f t="shared" si="1319"/>
        <v>549.08665000000008</v>
      </c>
      <c r="AD1476" s="577">
        <f t="shared" si="1319"/>
        <v>549.32225000000005</v>
      </c>
      <c r="AE1476" s="577">
        <f t="shared" si="1319"/>
        <v>549.55785000000014</v>
      </c>
      <c r="AF1476" s="577">
        <f t="shared" si="1319"/>
        <v>549.79345000000001</v>
      </c>
      <c r="AH1476" s="578">
        <f>SUM(C1476:AF1476)</f>
        <v>16150.000349999989</v>
      </c>
      <c r="AJ1476" s="566"/>
      <c r="AK1476" s="531"/>
      <c r="AM1476" s="594"/>
      <c r="AN1476" s="535"/>
      <c r="AP1476" s="568"/>
      <c r="AQ1476" s="568"/>
    </row>
    <row r="1477" spans="1:43" s="546" customFormat="1" ht="16.5" hidden="1" customHeight="1" outlineLevel="2">
      <c r="A1477" s="584"/>
      <c r="B1477" s="580" t="s">
        <v>1042</v>
      </c>
      <c r="C1477" s="570">
        <f>C1478*C1479</f>
        <v>0</v>
      </c>
      <c r="D1477" s="570">
        <f t="shared" ref="D1477:AF1477" si="1320">D1478*D1479</f>
        <v>3600</v>
      </c>
      <c r="E1477" s="570">
        <f t="shared" si="1320"/>
        <v>3600</v>
      </c>
      <c r="F1477" s="570">
        <f t="shared" si="1320"/>
        <v>3600</v>
      </c>
      <c r="G1477" s="570">
        <f t="shared" si="1320"/>
        <v>3600</v>
      </c>
      <c r="H1477" s="570">
        <f t="shared" si="1320"/>
        <v>3600</v>
      </c>
      <c r="I1477" s="570">
        <f t="shared" si="1320"/>
        <v>3600</v>
      </c>
      <c r="J1477" s="570">
        <f t="shared" si="1320"/>
        <v>3600</v>
      </c>
      <c r="K1477" s="570">
        <f t="shared" si="1320"/>
        <v>3600</v>
      </c>
      <c r="L1477" s="570">
        <f t="shared" si="1320"/>
        <v>3600</v>
      </c>
      <c r="M1477" s="570">
        <f t="shared" si="1320"/>
        <v>3600</v>
      </c>
      <c r="N1477" s="570">
        <f t="shared" si="1320"/>
        <v>3600</v>
      </c>
      <c r="O1477" s="570">
        <f t="shared" si="1320"/>
        <v>3600</v>
      </c>
      <c r="P1477" s="570">
        <f t="shared" si="1320"/>
        <v>3600</v>
      </c>
      <c r="Q1477" s="570">
        <f t="shared" si="1320"/>
        <v>3600</v>
      </c>
      <c r="R1477" s="570">
        <f t="shared" si="1320"/>
        <v>3600</v>
      </c>
      <c r="S1477" s="570">
        <f t="shared" si="1320"/>
        <v>3600</v>
      </c>
      <c r="T1477" s="570">
        <f t="shared" si="1320"/>
        <v>3600</v>
      </c>
      <c r="U1477" s="570">
        <f t="shared" si="1320"/>
        <v>3600</v>
      </c>
      <c r="V1477" s="570">
        <f t="shared" si="1320"/>
        <v>3600</v>
      </c>
      <c r="W1477" s="570">
        <f t="shared" si="1320"/>
        <v>3600</v>
      </c>
      <c r="X1477" s="570">
        <f t="shared" si="1320"/>
        <v>3600</v>
      </c>
      <c r="Y1477" s="570">
        <f t="shared" si="1320"/>
        <v>3600</v>
      </c>
      <c r="Z1477" s="570">
        <f t="shared" si="1320"/>
        <v>3600</v>
      </c>
      <c r="AA1477" s="570">
        <f t="shared" si="1320"/>
        <v>3600</v>
      </c>
      <c r="AB1477" s="570">
        <f t="shared" si="1320"/>
        <v>3600</v>
      </c>
      <c r="AC1477" s="570">
        <f t="shared" si="1320"/>
        <v>3600</v>
      </c>
      <c r="AD1477" s="570">
        <f t="shared" si="1320"/>
        <v>3600</v>
      </c>
      <c r="AE1477" s="570">
        <f t="shared" si="1320"/>
        <v>3600</v>
      </c>
      <c r="AF1477" s="570">
        <f t="shared" si="1320"/>
        <v>3600</v>
      </c>
      <c r="AH1477" s="571"/>
      <c r="AK1477" s="531"/>
      <c r="AM1477" s="594"/>
      <c r="AN1477" s="535"/>
      <c r="AP1477" s="549"/>
      <c r="AQ1477" s="549"/>
    </row>
    <row r="1478" spans="1:43" s="586" customFormat="1" ht="16.5" hidden="1" customHeight="1" outlineLevel="2">
      <c r="A1478" s="584"/>
      <c r="B1478" s="585" t="s">
        <v>805</v>
      </c>
      <c r="C1478" s="720">
        <v>0</v>
      </c>
      <c r="D1478" s="720">
        <v>1</v>
      </c>
      <c r="E1478" s="721">
        <f t="shared" ref="E1478:T1479" si="1321">D1478</f>
        <v>1</v>
      </c>
      <c r="F1478" s="721">
        <f t="shared" si="1321"/>
        <v>1</v>
      </c>
      <c r="G1478" s="721">
        <f t="shared" si="1321"/>
        <v>1</v>
      </c>
      <c r="H1478" s="721">
        <f t="shared" si="1321"/>
        <v>1</v>
      </c>
      <c r="I1478" s="721">
        <f t="shared" si="1321"/>
        <v>1</v>
      </c>
      <c r="J1478" s="721">
        <f t="shared" si="1321"/>
        <v>1</v>
      </c>
      <c r="K1478" s="721">
        <f t="shared" si="1321"/>
        <v>1</v>
      </c>
      <c r="L1478" s="721">
        <f t="shared" si="1321"/>
        <v>1</v>
      </c>
      <c r="M1478" s="721">
        <f t="shared" si="1321"/>
        <v>1</v>
      </c>
      <c r="N1478" s="721">
        <f t="shared" si="1321"/>
        <v>1</v>
      </c>
      <c r="O1478" s="721">
        <f t="shared" si="1321"/>
        <v>1</v>
      </c>
      <c r="P1478" s="721">
        <f t="shared" si="1321"/>
        <v>1</v>
      </c>
      <c r="Q1478" s="721">
        <f t="shared" si="1321"/>
        <v>1</v>
      </c>
      <c r="R1478" s="721">
        <f t="shared" si="1321"/>
        <v>1</v>
      </c>
      <c r="S1478" s="721">
        <f t="shared" si="1321"/>
        <v>1</v>
      </c>
      <c r="T1478" s="721">
        <f t="shared" si="1321"/>
        <v>1</v>
      </c>
      <c r="U1478" s="721">
        <f t="shared" ref="U1478:AF1479" si="1322">T1478</f>
        <v>1</v>
      </c>
      <c r="V1478" s="721">
        <f t="shared" si="1322"/>
        <v>1</v>
      </c>
      <c r="W1478" s="721">
        <f t="shared" si="1322"/>
        <v>1</v>
      </c>
      <c r="X1478" s="721">
        <f t="shared" si="1322"/>
        <v>1</v>
      </c>
      <c r="Y1478" s="721">
        <f t="shared" si="1322"/>
        <v>1</v>
      </c>
      <c r="Z1478" s="721">
        <f t="shared" si="1322"/>
        <v>1</v>
      </c>
      <c r="AA1478" s="721">
        <f t="shared" si="1322"/>
        <v>1</v>
      </c>
      <c r="AB1478" s="721">
        <f t="shared" si="1322"/>
        <v>1</v>
      </c>
      <c r="AC1478" s="721">
        <f t="shared" si="1322"/>
        <v>1</v>
      </c>
      <c r="AD1478" s="721">
        <f t="shared" si="1322"/>
        <v>1</v>
      </c>
      <c r="AE1478" s="721">
        <f t="shared" si="1322"/>
        <v>1</v>
      </c>
      <c r="AF1478" s="721">
        <f t="shared" si="1322"/>
        <v>1</v>
      </c>
      <c r="AG1478" s="721" t="e">
        <f>#REF!</f>
        <v>#REF!</v>
      </c>
      <c r="AH1478" s="587"/>
      <c r="AK1478" s="588"/>
      <c r="AM1478" s="624"/>
      <c r="AN1478" s="590"/>
      <c r="AP1478" s="591"/>
      <c r="AQ1478" s="591"/>
    </row>
    <row r="1479" spans="1:43" s="586" customFormat="1" ht="16.5" hidden="1" customHeight="1" outlineLevel="2">
      <c r="A1479" s="584"/>
      <c r="B1479" s="585" t="s">
        <v>888</v>
      </c>
      <c r="C1479" s="632">
        <f>Insumos!$E$111</f>
        <v>3600</v>
      </c>
      <c r="D1479" s="632">
        <f>C1479</f>
        <v>3600</v>
      </c>
      <c r="E1479" s="632">
        <f t="shared" si="1321"/>
        <v>3600</v>
      </c>
      <c r="F1479" s="632">
        <f t="shared" si="1321"/>
        <v>3600</v>
      </c>
      <c r="G1479" s="632">
        <f t="shared" si="1321"/>
        <v>3600</v>
      </c>
      <c r="H1479" s="632">
        <f t="shared" si="1321"/>
        <v>3600</v>
      </c>
      <c r="I1479" s="632">
        <f t="shared" si="1321"/>
        <v>3600</v>
      </c>
      <c r="J1479" s="632">
        <f t="shared" si="1321"/>
        <v>3600</v>
      </c>
      <c r="K1479" s="632">
        <f t="shared" si="1321"/>
        <v>3600</v>
      </c>
      <c r="L1479" s="632">
        <f t="shared" si="1321"/>
        <v>3600</v>
      </c>
      <c r="M1479" s="632">
        <f t="shared" si="1321"/>
        <v>3600</v>
      </c>
      <c r="N1479" s="632">
        <f t="shared" si="1321"/>
        <v>3600</v>
      </c>
      <c r="O1479" s="632">
        <f t="shared" si="1321"/>
        <v>3600</v>
      </c>
      <c r="P1479" s="632">
        <f t="shared" si="1321"/>
        <v>3600</v>
      </c>
      <c r="Q1479" s="632">
        <f t="shared" si="1321"/>
        <v>3600</v>
      </c>
      <c r="R1479" s="632">
        <f t="shared" si="1321"/>
        <v>3600</v>
      </c>
      <c r="S1479" s="632">
        <f t="shared" si="1321"/>
        <v>3600</v>
      </c>
      <c r="T1479" s="632">
        <f t="shared" si="1321"/>
        <v>3600</v>
      </c>
      <c r="U1479" s="632">
        <f t="shared" si="1322"/>
        <v>3600</v>
      </c>
      <c r="V1479" s="632">
        <f t="shared" si="1322"/>
        <v>3600</v>
      </c>
      <c r="W1479" s="632">
        <f t="shared" si="1322"/>
        <v>3600</v>
      </c>
      <c r="X1479" s="632">
        <f t="shared" si="1322"/>
        <v>3600</v>
      </c>
      <c r="Y1479" s="632">
        <f t="shared" si="1322"/>
        <v>3600</v>
      </c>
      <c r="Z1479" s="632">
        <f t="shared" si="1322"/>
        <v>3600</v>
      </c>
      <c r="AA1479" s="632">
        <f t="shared" si="1322"/>
        <v>3600</v>
      </c>
      <c r="AB1479" s="632">
        <f t="shared" si="1322"/>
        <v>3600</v>
      </c>
      <c r="AC1479" s="632">
        <f t="shared" si="1322"/>
        <v>3600</v>
      </c>
      <c r="AD1479" s="632">
        <f t="shared" si="1322"/>
        <v>3600</v>
      </c>
      <c r="AE1479" s="632">
        <f t="shared" si="1322"/>
        <v>3600</v>
      </c>
      <c r="AF1479" s="632">
        <f t="shared" si="1322"/>
        <v>3600</v>
      </c>
      <c r="AH1479" s="587"/>
      <c r="AK1479" s="588"/>
      <c r="AM1479" s="624"/>
      <c r="AN1479" s="590"/>
      <c r="AP1479" s="591"/>
      <c r="AQ1479" s="591"/>
    </row>
    <row r="1480" spans="1:43" s="634" customFormat="1" ht="16.5" hidden="1" customHeight="1" outlineLevel="2">
      <c r="A1480" s="584"/>
      <c r="B1480" s="580" t="s">
        <v>1043</v>
      </c>
      <c r="C1480" s="637">
        <f>C1481*C1482</f>
        <v>0</v>
      </c>
      <c r="D1480" s="637">
        <f t="shared" ref="D1480:AF1480" si="1323">D1481*D1482</f>
        <v>200</v>
      </c>
      <c r="E1480" s="637">
        <f t="shared" si="1323"/>
        <v>200</v>
      </c>
      <c r="F1480" s="637">
        <f t="shared" si="1323"/>
        <v>200</v>
      </c>
      <c r="G1480" s="637">
        <f t="shared" si="1323"/>
        <v>200</v>
      </c>
      <c r="H1480" s="637">
        <f t="shared" si="1323"/>
        <v>200</v>
      </c>
      <c r="I1480" s="637">
        <f t="shared" si="1323"/>
        <v>200</v>
      </c>
      <c r="J1480" s="637">
        <f t="shared" si="1323"/>
        <v>200</v>
      </c>
      <c r="K1480" s="637">
        <f t="shared" si="1323"/>
        <v>200</v>
      </c>
      <c r="L1480" s="637">
        <f t="shared" si="1323"/>
        <v>200</v>
      </c>
      <c r="M1480" s="637">
        <f t="shared" si="1323"/>
        <v>200</v>
      </c>
      <c r="N1480" s="637">
        <f t="shared" si="1323"/>
        <v>200</v>
      </c>
      <c r="O1480" s="637">
        <f t="shared" si="1323"/>
        <v>200</v>
      </c>
      <c r="P1480" s="637">
        <f t="shared" si="1323"/>
        <v>200</v>
      </c>
      <c r="Q1480" s="637">
        <f t="shared" si="1323"/>
        <v>200</v>
      </c>
      <c r="R1480" s="637">
        <f t="shared" si="1323"/>
        <v>200</v>
      </c>
      <c r="S1480" s="637">
        <f t="shared" si="1323"/>
        <v>200</v>
      </c>
      <c r="T1480" s="637">
        <f t="shared" si="1323"/>
        <v>200</v>
      </c>
      <c r="U1480" s="637">
        <f t="shared" si="1323"/>
        <v>200</v>
      </c>
      <c r="V1480" s="637">
        <f t="shared" si="1323"/>
        <v>200</v>
      </c>
      <c r="W1480" s="637">
        <f t="shared" si="1323"/>
        <v>200</v>
      </c>
      <c r="X1480" s="637">
        <f t="shared" si="1323"/>
        <v>200</v>
      </c>
      <c r="Y1480" s="637">
        <f t="shared" si="1323"/>
        <v>200</v>
      </c>
      <c r="Z1480" s="637">
        <f t="shared" si="1323"/>
        <v>200</v>
      </c>
      <c r="AA1480" s="637">
        <f t="shared" si="1323"/>
        <v>200</v>
      </c>
      <c r="AB1480" s="637">
        <f t="shared" si="1323"/>
        <v>200</v>
      </c>
      <c r="AC1480" s="637">
        <f t="shared" si="1323"/>
        <v>200</v>
      </c>
      <c r="AD1480" s="637">
        <f t="shared" si="1323"/>
        <v>200</v>
      </c>
      <c r="AE1480" s="637">
        <f t="shared" si="1323"/>
        <v>200</v>
      </c>
      <c r="AF1480" s="637">
        <f t="shared" si="1323"/>
        <v>200</v>
      </c>
      <c r="AH1480" s="635"/>
      <c r="AK1480" s="588"/>
      <c r="AM1480" s="624"/>
      <c r="AN1480" s="590"/>
      <c r="AP1480" s="636"/>
      <c r="AQ1480" s="636"/>
    </row>
    <row r="1481" spans="1:43" s="586" customFormat="1" ht="16.5" hidden="1" customHeight="1" outlineLevel="2">
      <c r="A1481" s="584"/>
      <c r="B1481" s="585" t="s">
        <v>805</v>
      </c>
      <c r="C1481" s="720">
        <v>0</v>
      </c>
      <c r="D1481" s="720">
        <v>1</v>
      </c>
      <c r="E1481" s="721">
        <f t="shared" ref="E1481:T1482" si="1324">D1481</f>
        <v>1</v>
      </c>
      <c r="F1481" s="721">
        <f t="shared" si="1324"/>
        <v>1</v>
      </c>
      <c r="G1481" s="721">
        <f t="shared" si="1324"/>
        <v>1</v>
      </c>
      <c r="H1481" s="721">
        <f t="shared" si="1324"/>
        <v>1</v>
      </c>
      <c r="I1481" s="721">
        <f t="shared" si="1324"/>
        <v>1</v>
      </c>
      <c r="J1481" s="721">
        <f t="shared" si="1324"/>
        <v>1</v>
      </c>
      <c r="K1481" s="721">
        <f t="shared" si="1324"/>
        <v>1</v>
      </c>
      <c r="L1481" s="721">
        <f t="shared" si="1324"/>
        <v>1</v>
      </c>
      <c r="M1481" s="721">
        <f t="shared" si="1324"/>
        <v>1</v>
      </c>
      <c r="N1481" s="721">
        <f t="shared" si="1324"/>
        <v>1</v>
      </c>
      <c r="O1481" s="721">
        <f t="shared" si="1324"/>
        <v>1</v>
      </c>
      <c r="P1481" s="721">
        <f t="shared" si="1324"/>
        <v>1</v>
      </c>
      <c r="Q1481" s="721">
        <f t="shared" si="1324"/>
        <v>1</v>
      </c>
      <c r="R1481" s="721">
        <f t="shared" si="1324"/>
        <v>1</v>
      </c>
      <c r="S1481" s="721">
        <f t="shared" si="1324"/>
        <v>1</v>
      </c>
      <c r="T1481" s="721">
        <f t="shared" si="1324"/>
        <v>1</v>
      </c>
      <c r="U1481" s="721">
        <f t="shared" ref="U1481:AF1482" si="1325">T1481</f>
        <v>1</v>
      </c>
      <c r="V1481" s="721">
        <f t="shared" si="1325"/>
        <v>1</v>
      </c>
      <c r="W1481" s="721">
        <f t="shared" si="1325"/>
        <v>1</v>
      </c>
      <c r="X1481" s="721">
        <f t="shared" si="1325"/>
        <v>1</v>
      </c>
      <c r="Y1481" s="721">
        <f t="shared" si="1325"/>
        <v>1</v>
      </c>
      <c r="Z1481" s="721">
        <f t="shared" si="1325"/>
        <v>1</v>
      </c>
      <c r="AA1481" s="721">
        <f t="shared" si="1325"/>
        <v>1</v>
      </c>
      <c r="AB1481" s="721">
        <f t="shared" si="1325"/>
        <v>1</v>
      </c>
      <c r="AC1481" s="721">
        <f t="shared" si="1325"/>
        <v>1</v>
      </c>
      <c r="AD1481" s="721">
        <f t="shared" si="1325"/>
        <v>1</v>
      </c>
      <c r="AE1481" s="721">
        <f t="shared" si="1325"/>
        <v>1</v>
      </c>
      <c r="AF1481" s="721">
        <f t="shared" si="1325"/>
        <v>1</v>
      </c>
      <c r="AG1481" s="721" t="e">
        <f t="shared" ref="AG1481" si="1326">AG1478</f>
        <v>#REF!</v>
      </c>
      <c r="AH1481" s="587"/>
      <c r="AK1481" s="588"/>
      <c r="AM1481" s="624"/>
      <c r="AN1481" s="590"/>
      <c r="AP1481" s="591"/>
      <c r="AQ1481" s="591"/>
    </row>
    <row r="1482" spans="1:43" s="586" customFormat="1" ht="16.5" hidden="1" customHeight="1" outlineLevel="2">
      <c r="A1482" s="584"/>
      <c r="B1482" s="585" t="s">
        <v>888</v>
      </c>
      <c r="C1482" s="632">
        <f>Insumos!$E$110</f>
        <v>200</v>
      </c>
      <c r="D1482" s="632">
        <f>C1482</f>
        <v>200</v>
      </c>
      <c r="E1482" s="632">
        <f t="shared" si="1324"/>
        <v>200</v>
      </c>
      <c r="F1482" s="632">
        <f t="shared" si="1324"/>
        <v>200</v>
      </c>
      <c r="G1482" s="632">
        <f t="shared" si="1324"/>
        <v>200</v>
      </c>
      <c r="H1482" s="632">
        <f t="shared" si="1324"/>
        <v>200</v>
      </c>
      <c r="I1482" s="632">
        <f t="shared" si="1324"/>
        <v>200</v>
      </c>
      <c r="J1482" s="632">
        <f t="shared" si="1324"/>
        <v>200</v>
      </c>
      <c r="K1482" s="632">
        <f t="shared" si="1324"/>
        <v>200</v>
      </c>
      <c r="L1482" s="632">
        <f t="shared" si="1324"/>
        <v>200</v>
      </c>
      <c r="M1482" s="632">
        <f t="shared" si="1324"/>
        <v>200</v>
      </c>
      <c r="N1482" s="632">
        <f t="shared" si="1324"/>
        <v>200</v>
      </c>
      <c r="O1482" s="632">
        <f t="shared" si="1324"/>
        <v>200</v>
      </c>
      <c r="P1482" s="632">
        <f t="shared" si="1324"/>
        <v>200</v>
      </c>
      <c r="Q1482" s="632">
        <f t="shared" si="1324"/>
        <v>200</v>
      </c>
      <c r="R1482" s="632">
        <f t="shared" si="1324"/>
        <v>200</v>
      </c>
      <c r="S1482" s="632">
        <f t="shared" si="1324"/>
        <v>200</v>
      </c>
      <c r="T1482" s="632">
        <f t="shared" si="1324"/>
        <v>200</v>
      </c>
      <c r="U1482" s="632">
        <f t="shared" si="1325"/>
        <v>200</v>
      </c>
      <c r="V1482" s="632">
        <f t="shared" si="1325"/>
        <v>200</v>
      </c>
      <c r="W1482" s="632">
        <f t="shared" si="1325"/>
        <v>200</v>
      </c>
      <c r="X1482" s="632">
        <f t="shared" si="1325"/>
        <v>200</v>
      </c>
      <c r="Y1482" s="632">
        <f t="shared" si="1325"/>
        <v>200</v>
      </c>
      <c r="Z1482" s="632">
        <f t="shared" si="1325"/>
        <v>200</v>
      </c>
      <c r="AA1482" s="632">
        <f t="shared" si="1325"/>
        <v>200</v>
      </c>
      <c r="AB1482" s="632">
        <f t="shared" si="1325"/>
        <v>200</v>
      </c>
      <c r="AC1482" s="632">
        <f t="shared" si="1325"/>
        <v>200</v>
      </c>
      <c r="AD1482" s="632">
        <f t="shared" si="1325"/>
        <v>200</v>
      </c>
      <c r="AE1482" s="632">
        <f t="shared" si="1325"/>
        <v>200</v>
      </c>
      <c r="AF1482" s="632">
        <f t="shared" si="1325"/>
        <v>200</v>
      </c>
      <c r="AH1482" s="587"/>
      <c r="AK1482" s="588"/>
      <c r="AM1482" s="624"/>
      <c r="AN1482" s="590"/>
      <c r="AP1482" s="591"/>
      <c r="AQ1482" s="591"/>
    </row>
    <row r="1483" spans="1:43" s="634" customFormat="1" ht="16.5" hidden="1" customHeight="1" outlineLevel="2">
      <c r="A1483" s="584"/>
      <c r="B1483" s="580" t="s">
        <v>1044</v>
      </c>
      <c r="C1483" s="637">
        <f>C1484*C1485</f>
        <v>0</v>
      </c>
      <c r="D1483" s="637">
        <f t="shared" ref="D1483:AF1483" si="1327">D1484*D1485</f>
        <v>200</v>
      </c>
      <c r="E1483" s="637">
        <f t="shared" si="1327"/>
        <v>200</v>
      </c>
      <c r="F1483" s="637">
        <f t="shared" si="1327"/>
        <v>200</v>
      </c>
      <c r="G1483" s="637">
        <f t="shared" si="1327"/>
        <v>200</v>
      </c>
      <c r="H1483" s="637">
        <f t="shared" si="1327"/>
        <v>200</v>
      </c>
      <c r="I1483" s="637">
        <f t="shared" si="1327"/>
        <v>200</v>
      </c>
      <c r="J1483" s="637">
        <f t="shared" si="1327"/>
        <v>200</v>
      </c>
      <c r="K1483" s="637">
        <f t="shared" si="1327"/>
        <v>200</v>
      </c>
      <c r="L1483" s="637">
        <f t="shared" si="1327"/>
        <v>200</v>
      </c>
      <c r="M1483" s="637">
        <f t="shared" si="1327"/>
        <v>200</v>
      </c>
      <c r="N1483" s="637">
        <f t="shared" si="1327"/>
        <v>200</v>
      </c>
      <c r="O1483" s="637">
        <f t="shared" si="1327"/>
        <v>200</v>
      </c>
      <c r="P1483" s="637">
        <f t="shared" si="1327"/>
        <v>200</v>
      </c>
      <c r="Q1483" s="637">
        <f t="shared" si="1327"/>
        <v>200</v>
      </c>
      <c r="R1483" s="637">
        <f t="shared" si="1327"/>
        <v>200</v>
      </c>
      <c r="S1483" s="637">
        <f t="shared" si="1327"/>
        <v>200</v>
      </c>
      <c r="T1483" s="637">
        <f t="shared" si="1327"/>
        <v>200</v>
      </c>
      <c r="U1483" s="637">
        <f t="shared" si="1327"/>
        <v>200</v>
      </c>
      <c r="V1483" s="637">
        <f t="shared" si="1327"/>
        <v>200</v>
      </c>
      <c r="W1483" s="637">
        <f t="shared" si="1327"/>
        <v>200</v>
      </c>
      <c r="X1483" s="637">
        <f t="shared" si="1327"/>
        <v>200</v>
      </c>
      <c r="Y1483" s="637">
        <f t="shared" si="1327"/>
        <v>200</v>
      </c>
      <c r="Z1483" s="637">
        <f t="shared" si="1327"/>
        <v>200</v>
      </c>
      <c r="AA1483" s="637">
        <f t="shared" si="1327"/>
        <v>200</v>
      </c>
      <c r="AB1483" s="637">
        <f t="shared" si="1327"/>
        <v>200</v>
      </c>
      <c r="AC1483" s="637">
        <f t="shared" si="1327"/>
        <v>200</v>
      </c>
      <c r="AD1483" s="637">
        <f t="shared" si="1327"/>
        <v>200</v>
      </c>
      <c r="AE1483" s="637">
        <f t="shared" si="1327"/>
        <v>200</v>
      </c>
      <c r="AF1483" s="637">
        <f t="shared" si="1327"/>
        <v>200</v>
      </c>
      <c r="AH1483" s="635"/>
      <c r="AK1483" s="588"/>
      <c r="AM1483" s="624"/>
      <c r="AN1483" s="590"/>
      <c r="AP1483" s="636"/>
      <c r="AQ1483" s="636"/>
    </row>
    <row r="1484" spans="1:43" s="586" customFormat="1" ht="16.5" hidden="1" customHeight="1" outlineLevel="2">
      <c r="A1484" s="584"/>
      <c r="B1484" s="585" t="s">
        <v>805</v>
      </c>
      <c r="C1484" s="720">
        <v>0</v>
      </c>
      <c r="D1484" s="720">
        <v>1</v>
      </c>
      <c r="E1484" s="721">
        <f t="shared" ref="E1484:T1485" si="1328">D1484</f>
        <v>1</v>
      </c>
      <c r="F1484" s="721">
        <f t="shared" si="1328"/>
        <v>1</v>
      </c>
      <c r="G1484" s="721">
        <f t="shared" si="1328"/>
        <v>1</v>
      </c>
      <c r="H1484" s="721">
        <f t="shared" si="1328"/>
        <v>1</v>
      </c>
      <c r="I1484" s="721">
        <f t="shared" si="1328"/>
        <v>1</v>
      </c>
      <c r="J1484" s="721">
        <f t="shared" si="1328"/>
        <v>1</v>
      </c>
      <c r="K1484" s="721">
        <f t="shared" si="1328"/>
        <v>1</v>
      </c>
      <c r="L1484" s="721">
        <f t="shared" si="1328"/>
        <v>1</v>
      </c>
      <c r="M1484" s="721">
        <f t="shared" si="1328"/>
        <v>1</v>
      </c>
      <c r="N1484" s="721">
        <f t="shared" si="1328"/>
        <v>1</v>
      </c>
      <c r="O1484" s="721">
        <f t="shared" si="1328"/>
        <v>1</v>
      </c>
      <c r="P1484" s="721">
        <f t="shared" si="1328"/>
        <v>1</v>
      </c>
      <c r="Q1484" s="721">
        <f t="shared" si="1328"/>
        <v>1</v>
      </c>
      <c r="R1484" s="721">
        <f t="shared" si="1328"/>
        <v>1</v>
      </c>
      <c r="S1484" s="721">
        <f t="shared" si="1328"/>
        <v>1</v>
      </c>
      <c r="T1484" s="721">
        <f t="shared" si="1328"/>
        <v>1</v>
      </c>
      <c r="U1484" s="721">
        <f t="shared" ref="U1484:AF1485" si="1329">T1484</f>
        <v>1</v>
      </c>
      <c r="V1484" s="721">
        <f t="shared" si="1329"/>
        <v>1</v>
      </c>
      <c r="W1484" s="721">
        <f t="shared" si="1329"/>
        <v>1</v>
      </c>
      <c r="X1484" s="721">
        <f t="shared" si="1329"/>
        <v>1</v>
      </c>
      <c r="Y1484" s="721">
        <f t="shared" si="1329"/>
        <v>1</v>
      </c>
      <c r="Z1484" s="721">
        <f t="shared" si="1329"/>
        <v>1</v>
      </c>
      <c r="AA1484" s="721">
        <f t="shared" si="1329"/>
        <v>1</v>
      </c>
      <c r="AB1484" s="721">
        <f t="shared" si="1329"/>
        <v>1</v>
      </c>
      <c r="AC1484" s="721">
        <f t="shared" si="1329"/>
        <v>1</v>
      </c>
      <c r="AD1484" s="721">
        <f t="shared" si="1329"/>
        <v>1</v>
      </c>
      <c r="AE1484" s="721">
        <f t="shared" si="1329"/>
        <v>1</v>
      </c>
      <c r="AF1484" s="721">
        <f t="shared" si="1329"/>
        <v>1</v>
      </c>
      <c r="AG1484" s="721" t="e">
        <f t="shared" ref="AG1484" si="1330">AG1481</f>
        <v>#REF!</v>
      </c>
      <c r="AH1484" s="587"/>
      <c r="AK1484" s="588"/>
      <c r="AM1484" s="624"/>
      <c r="AN1484" s="590"/>
      <c r="AP1484" s="591"/>
      <c r="AQ1484" s="591"/>
    </row>
    <row r="1485" spans="1:43" s="586" customFormat="1" ht="16.5" hidden="1" customHeight="1" outlineLevel="2">
      <c r="A1485" s="584"/>
      <c r="B1485" s="585" t="s">
        <v>888</v>
      </c>
      <c r="C1485" s="632">
        <f>Insumos!$E$132</f>
        <v>200</v>
      </c>
      <c r="D1485" s="632">
        <f>C1485</f>
        <v>200</v>
      </c>
      <c r="E1485" s="632">
        <f t="shared" si="1328"/>
        <v>200</v>
      </c>
      <c r="F1485" s="632">
        <f t="shared" si="1328"/>
        <v>200</v>
      </c>
      <c r="G1485" s="632">
        <f t="shared" si="1328"/>
        <v>200</v>
      </c>
      <c r="H1485" s="632">
        <f t="shared" si="1328"/>
        <v>200</v>
      </c>
      <c r="I1485" s="632">
        <f t="shared" si="1328"/>
        <v>200</v>
      </c>
      <c r="J1485" s="632">
        <f t="shared" si="1328"/>
        <v>200</v>
      </c>
      <c r="K1485" s="632">
        <f t="shared" si="1328"/>
        <v>200</v>
      </c>
      <c r="L1485" s="632">
        <f t="shared" si="1328"/>
        <v>200</v>
      </c>
      <c r="M1485" s="632">
        <f t="shared" si="1328"/>
        <v>200</v>
      </c>
      <c r="N1485" s="632">
        <f t="shared" si="1328"/>
        <v>200</v>
      </c>
      <c r="O1485" s="632">
        <f t="shared" si="1328"/>
        <v>200</v>
      </c>
      <c r="P1485" s="632">
        <f t="shared" si="1328"/>
        <v>200</v>
      </c>
      <c r="Q1485" s="632">
        <f t="shared" si="1328"/>
        <v>200</v>
      </c>
      <c r="R1485" s="632">
        <f t="shared" si="1328"/>
        <v>200</v>
      </c>
      <c r="S1485" s="632">
        <f t="shared" si="1328"/>
        <v>200</v>
      </c>
      <c r="T1485" s="632">
        <f t="shared" si="1328"/>
        <v>200</v>
      </c>
      <c r="U1485" s="632">
        <f t="shared" si="1329"/>
        <v>200</v>
      </c>
      <c r="V1485" s="632">
        <f t="shared" si="1329"/>
        <v>200</v>
      </c>
      <c r="W1485" s="632">
        <f t="shared" si="1329"/>
        <v>200</v>
      </c>
      <c r="X1485" s="632">
        <f t="shared" si="1329"/>
        <v>200</v>
      </c>
      <c r="Y1485" s="632">
        <f t="shared" si="1329"/>
        <v>200</v>
      </c>
      <c r="Z1485" s="632">
        <f t="shared" si="1329"/>
        <v>200</v>
      </c>
      <c r="AA1485" s="632">
        <f t="shared" si="1329"/>
        <v>200</v>
      </c>
      <c r="AB1485" s="632">
        <f t="shared" si="1329"/>
        <v>200</v>
      </c>
      <c r="AC1485" s="632">
        <f t="shared" si="1329"/>
        <v>200</v>
      </c>
      <c r="AD1485" s="632">
        <f t="shared" si="1329"/>
        <v>200</v>
      </c>
      <c r="AE1485" s="632">
        <f t="shared" si="1329"/>
        <v>200</v>
      </c>
      <c r="AF1485" s="632">
        <f t="shared" si="1329"/>
        <v>200</v>
      </c>
      <c r="AH1485" s="587"/>
      <c r="AK1485" s="588"/>
      <c r="AM1485" s="624"/>
      <c r="AN1485" s="590"/>
      <c r="AP1485" s="591"/>
      <c r="AQ1485" s="591"/>
    </row>
    <row r="1486" spans="1:43" s="634" customFormat="1" ht="16.5" hidden="1" customHeight="1" outlineLevel="2">
      <c r="A1486" s="584"/>
      <c r="B1486" s="580" t="s">
        <v>1045</v>
      </c>
      <c r="C1486" s="637">
        <f>C1487*C1488</f>
        <v>0</v>
      </c>
      <c r="D1486" s="637">
        <f t="shared" ref="D1486:AF1486" si="1331">D1487*D1488</f>
        <v>500</v>
      </c>
      <c r="E1486" s="637">
        <f t="shared" si="1331"/>
        <v>500</v>
      </c>
      <c r="F1486" s="637">
        <f t="shared" si="1331"/>
        <v>500</v>
      </c>
      <c r="G1486" s="637">
        <f t="shared" si="1331"/>
        <v>500</v>
      </c>
      <c r="H1486" s="637">
        <f t="shared" si="1331"/>
        <v>500</v>
      </c>
      <c r="I1486" s="637">
        <f t="shared" si="1331"/>
        <v>500</v>
      </c>
      <c r="J1486" s="637">
        <f t="shared" si="1331"/>
        <v>500</v>
      </c>
      <c r="K1486" s="637">
        <f t="shared" si="1331"/>
        <v>500</v>
      </c>
      <c r="L1486" s="637">
        <f t="shared" si="1331"/>
        <v>500</v>
      </c>
      <c r="M1486" s="637">
        <f t="shared" si="1331"/>
        <v>500</v>
      </c>
      <c r="N1486" s="637">
        <f t="shared" si="1331"/>
        <v>500</v>
      </c>
      <c r="O1486" s="637">
        <f t="shared" si="1331"/>
        <v>500</v>
      </c>
      <c r="P1486" s="637">
        <f t="shared" si="1331"/>
        <v>500</v>
      </c>
      <c r="Q1486" s="637">
        <f t="shared" si="1331"/>
        <v>500</v>
      </c>
      <c r="R1486" s="637">
        <f t="shared" si="1331"/>
        <v>500</v>
      </c>
      <c r="S1486" s="637">
        <f t="shared" si="1331"/>
        <v>500</v>
      </c>
      <c r="T1486" s="637">
        <f t="shared" si="1331"/>
        <v>500</v>
      </c>
      <c r="U1486" s="637">
        <f t="shared" si="1331"/>
        <v>500</v>
      </c>
      <c r="V1486" s="637">
        <f t="shared" si="1331"/>
        <v>500</v>
      </c>
      <c r="W1486" s="637">
        <f t="shared" si="1331"/>
        <v>500</v>
      </c>
      <c r="X1486" s="637">
        <f t="shared" si="1331"/>
        <v>500</v>
      </c>
      <c r="Y1486" s="637">
        <f t="shared" si="1331"/>
        <v>500</v>
      </c>
      <c r="Z1486" s="637">
        <f t="shared" si="1331"/>
        <v>500</v>
      </c>
      <c r="AA1486" s="637">
        <f t="shared" si="1331"/>
        <v>500</v>
      </c>
      <c r="AB1486" s="637">
        <f t="shared" si="1331"/>
        <v>500</v>
      </c>
      <c r="AC1486" s="637">
        <f t="shared" si="1331"/>
        <v>500</v>
      </c>
      <c r="AD1486" s="637">
        <f t="shared" si="1331"/>
        <v>500</v>
      </c>
      <c r="AE1486" s="637">
        <f t="shared" si="1331"/>
        <v>500</v>
      </c>
      <c r="AF1486" s="637">
        <f t="shared" si="1331"/>
        <v>500</v>
      </c>
      <c r="AH1486" s="635"/>
      <c r="AK1486" s="588"/>
      <c r="AM1486" s="624"/>
      <c r="AN1486" s="590"/>
      <c r="AP1486" s="636"/>
      <c r="AQ1486" s="636"/>
    </row>
    <row r="1487" spans="1:43" s="586" customFormat="1" ht="16.5" hidden="1" customHeight="1" outlineLevel="2">
      <c r="A1487" s="584"/>
      <c r="B1487" s="585" t="s">
        <v>805</v>
      </c>
      <c r="C1487" s="720">
        <v>0</v>
      </c>
      <c r="D1487" s="720">
        <v>1</v>
      </c>
      <c r="E1487" s="721">
        <f t="shared" ref="E1487:T1488" si="1332">D1487</f>
        <v>1</v>
      </c>
      <c r="F1487" s="721">
        <f t="shared" si="1332"/>
        <v>1</v>
      </c>
      <c r="G1487" s="721">
        <f t="shared" si="1332"/>
        <v>1</v>
      </c>
      <c r="H1487" s="721">
        <f t="shared" si="1332"/>
        <v>1</v>
      </c>
      <c r="I1487" s="721">
        <f t="shared" si="1332"/>
        <v>1</v>
      </c>
      <c r="J1487" s="721">
        <f t="shared" si="1332"/>
        <v>1</v>
      </c>
      <c r="K1487" s="721">
        <f t="shared" si="1332"/>
        <v>1</v>
      </c>
      <c r="L1487" s="721">
        <f t="shared" si="1332"/>
        <v>1</v>
      </c>
      <c r="M1487" s="721">
        <f t="shared" si="1332"/>
        <v>1</v>
      </c>
      <c r="N1487" s="721">
        <f t="shared" si="1332"/>
        <v>1</v>
      </c>
      <c r="O1487" s="721">
        <f t="shared" si="1332"/>
        <v>1</v>
      </c>
      <c r="P1487" s="721">
        <f t="shared" si="1332"/>
        <v>1</v>
      </c>
      <c r="Q1487" s="721">
        <f t="shared" si="1332"/>
        <v>1</v>
      </c>
      <c r="R1487" s="721">
        <f t="shared" si="1332"/>
        <v>1</v>
      </c>
      <c r="S1487" s="721">
        <f t="shared" si="1332"/>
        <v>1</v>
      </c>
      <c r="T1487" s="721">
        <f t="shared" si="1332"/>
        <v>1</v>
      </c>
      <c r="U1487" s="721">
        <f t="shared" ref="U1487:AF1488" si="1333">T1487</f>
        <v>1</v>
      </c>
      <c r="V1487" s="721">
        <f t="shared" si="1333"/>
        <v>1</v>
      </c>
      <c r="W1487" s="721">
        <f t="shared" si="1333"/>
        <v>1</v>
      </c>
      <c r="X1487" s="721">
        <f t="shared" si="1333"/>
        <v>1</v>
      </c>
      <c r="Y1487" s="721">
        <f t="shared" si="1333"/>
        <v>1</v>
      </c>
      <c r="Z1487" s="721">
        <f t="shared" si="1333"/>
        <v>1</v>
      </c>
      <c r="AA1487" s="721">
        <f t="shared" si="1333"/>
        <v>1</v>
      </c>
      <c r="AB1487" s="721">
        <f t="shared" si="1333"/>
        <v>1</v>
      </c>
      <c r="AC1487" s="721">
        <f t="shared" si="1333"/>
        <v>1</v>
      </c>
      <c r="AD1487" s="721">
        <f t="shared" si="1333"/>
        <v>1</v>
      </c>
      <c r="AE1487" s="721">
        <f t="shared" si="1333"/>
        <v>1</v>
      </c>
      <c r="AF1487" s="721">
        <f t="shared" si="1333"/>
        <v>1</v>
      </c>
      <c r="AG1487" s="721" t="e">
        <f t="shared" ref="AG1487" si="1334">AG1484</f>
        <v>#REF!</v>
      </c>
      <c r="AH1487" s="587"/>
      <c r="AK1487" s="588"/>
      <c r="AM1487" s="624"/>
      <c r="AN1487" s="590"/>
      <c r="AP1487" s="591"/>
      <c r="AQ1487" s="591"/>
    </row>
    <row r="1488" spans="1:43" s="586" customFormat="1" ht="16.5" hidden="1" customHeight="1" outlineLevel="2">
      <c r="A1488" s="584"/>
      <c r="B1488" s="585" t="s">
        <v>888</v>
      </c>
      <c r="C1488" s="632">
        <f>Insumos!$E$123</f>
        <v>500</v>
      </c>
      <c r="D1488" s="632">
        <f>C1488</f>
        <v>500</v>
      </c>
      <c r="E1488" s="632">
        <f t="shared" si="1332"/>
        <v>500</v>
      </c>
      <c r="F1488" s="632">
        <f t="shared" si="1332"/>
        <v>500</v>
      </c>
      <c r="G1488" s="632">
        <f t="shared" si="1332"/>
        <v>500</v>
      </c>
      <c r="H1488" s="632">
        <f t="shared" si="1332"/>
        <v>500</v>
      </c>
      <c r="I1488" s="632">
        <f t="shared" si="1332"/>
        <v>500</v>
      </c>
      <c r="J1488" s="632">
        <f t="shared" si="1332"/>
        <v>500</v>
      </c>
      <c r="K1488" s="632">
        <f t="shared" si="1332"/>
        <v>500</v>
      </c>
      <c r="L1488" s="632">
        <f t="shared" si="1332"/>
        <v>500</v>
      </c>
      <c r="M1488" s="632">
        <f t="shared" si="1332"/>
        <v>500</v>
      </c>
      <c r="N1488" s="632">
        <f t="shared" si="1332"/>
        <v>500</v>
      </c>
      <c r="O1488" s="632">
        <f t="shared" si="1332"/>
        <v>500</v>
      </c>
      <c r="P1488" s="632">
        <f t="shared" si="1332"/>
        <v>500</v>
      </c>
      <c r="Q1488" s="632">
        <f t="shared" si="1332"/>
        <v>500</v>
      </c>
      <c r="R1488" s="632">
        <f t="shared" si="1332"/>
        <v>500</v>
      </c>
      <c r="S1488" s="632">
        <f t="shared" si="1332"/>
        <v>500</v>
      </c>
      <c r="T1488" s="632">
        <f t="shared" si="1332"/>
        <v>500</v>
      </c>
      <c r="U1488" s="632">
        <f t="shared" si="1333"/>
        <v>500</v>
      </c>
      <c r="V1488" s="632">
        <f t="shared" si="1333"/>
        <v>500</v>
      </c>
      <c r="W1488" s="632">
        <f t="shared" si="1333"/>
        <v>500</v>
      </c>
      <c r="X1488" s="632">
        <f t="shared" si="1333"/>
        <v>500</v>
      </c>
      <c r="Y1488" s="632">
        <f t="shared" si="1333"/>
        <v>500</v>
      </c>
      <c r="Z1488" s="632">
        <f t="shared" si="1333"/>
        <v>500</v>
      </c>
      <c r="AA1488" s="632">
        <f t="shared" si="1333"/>
        <v>500</v>
      </c>
      <c r="AB1488" s="632">
        <f t="shared" si="1333"/>
        <v>500</v>
      </c>
      <c r="AC1488" s="632">
        <f t="shared" si="1333"/>
        <v>500</v>
      </c>
      <c r="AD1488" s="632">
        <f t="shared" si="1333"/>
        <v>500</v>
      </c>
      <c r="AE1488" s="632">
        <f t="shared" si="1333"/>
        <v>500</v>
      </c>
      <c r="AF1488" s="632">
        <f t="shared" si="1333"/>
        <v>500</v>
      </c>
      <c r="AH1488" s="587"/>
      <c r="AK1488" s="588"/>
      <c r="AM1488" s="624"/>
      <c r="AN1488" s="590"/>
      <c r="AP1488" s="591"/>
      <c r="AQ1488" s="591"/>
    </row>
    <row r="1489" spans="1:43" s="634" customFormat="1" ht="16.5" hidden="1" customHeight="1" outlineLevel="2">
      <c r="A1489" s="584"/>
      <c r="B1489" s="580" t="s">
        <v>1046</v>
      </c>
      <c r="C1489" s="637">
        <f>C1490*C1491</f>
        <v>0</v>
      </c>
      <c r="D1489" s="637">
        <f t="shared" ref="D1489:AF1489" si="1335">D1490*D1491</f>
        <v>400</v>
      </c>
      <c r="E1489" s="637">
        <f t="shared" si="1335"/>
        <v>400</v>
      </c>
      <c r="F1489" s="637">
        <f t="shared" si="1335"/>
        <v>400</v>
      </c>
      <c r="G1489" s="637">
        <f t="shared" si="1335"/>
        <v>400</v>
      </c>
      <c r="H1489" s="637">
        <f t="shared" si="1335"/>
        <v>400</v>
      </c>
      <c r="I1489" s="637">
        <f t="shared" si="1335"/>
        <v>400</v>
      </c>
      <c r="J1489" s="637">
        <f t="shared" si="1335"/>
        <v>400</v>
      </c>
      <c r="K1489" s="637">
        <f t="shared" si="1335"/>
        <v>400</v>
      </c>
      <c r="L1489" s="637">
        <f t="shared" si="1335"/>
        <v>400</v>
      </c>
      <c r="M1489" s="637">
        <f t="shared" si="1335"/>
        <v>400</v>
      </c>
      <c r="N1489" s="637">
        <f t="shared" si="1335"/>
        <v>400</v>
      </c>
      <c r="O1489" s="637">
        <f t="shared" si="1335"/>
        <v>400</v>
      </c>
      <c r="P1489" s="637">
        <f t="shared" si="1335"/>
        <v>400</v>
      </c>
      <c r="Q1489" s="637">
        <f t="shared" si="1335"/>
        <v>400</v>
      </c>
      <c r="R1489" s="637">
        <f t="shared" si="1335"/>
        <v>400</v>
      </c>
      <c r="S1489" s="637">
        <f t="shared" si="1335"/>
        <v>400</v>
      </c>
      <c r="T1489" s="637">
        <f t="shared" si="1335"/>
        <v>400</v>
      </c>
      <c r="U1489" s="637">
        <f t="shared" si="1335"/>
        <v>400</v>
      </c>
      <c r="V1489" s="637">
        <f t="shared" si="1335"/>
        <v>400</v>
      </c>
      <c r="W1489" s="637">
        <f t="shared" si="1335"/>
        <v>400</v>
      </c>
      <c r="X1489" s="637">
        <f t="shared" si="1335"/>
        <v>400</v>
      </c>
      <c r="Y1489" s="637">
        <f t="shared" si="1335"/>
        <v>400</v>
      </c>
      <c r="Z1489" s="637">
        <f t="shared" si="1335"/>
        <v>400</v>
      </c>
      <c r="AA1489" s="637">
        <f t="shared" si="1335"/>
        <v>400</v>
      </c>
      <c r="AB1489" s="637">
        <f t="shared" si="1335"/>
        <v>400</v>
      </c>
      <c r="AC1489" s="637">
        <f t="shared" si="1335"/>
        <v>400</v>
      </c>
      <c r="AD1489" s="637">
        <f t="shared" si="1335"/>
        <v>400</v>
      </c>
      <c r="AE1489" s="637">
        <f t="shared" si="1335"/>
        <v>400</v>
      </c>
      <c r="AF1489" s="637">
        <f t="shared" si="1335"/>
        <v>400</v>
      </c>
      <c r="AH1489" s="635"/>
      <c r="AK1489" s="588"/>
      <c r="AM1489" s="624"/>
      <c r="AN1489" s="590"/>
      <c r="AP1489" s="636"/>
      <c r="AQ1489" s="636"/>
    </row>
    <row r="1490" spans="1:43" s="586" customFormat="1" ht="16.5" hidden="1" customHeight="1" outlineLevel="2">
      <c r="A1490" s="584"/>
      <c r="B1490" s="585" t="s">
        <v>805</v>
      </c>
      <c r="C1490" s="720">
        <v>0</v>
      </c>
      <c r="D1490" s="720">
        <v>1</v>
      </c>
      <c r="E1490" s="721">
        <f t="shared" ref="E1490:AF1491" si="1336">D1490</f>
        <v>1</v>
      </c>
      <c r="F1490" s="721">
        <f t="shared" si="1336"/>
        <v>1</v>
      </c>
      <c r="G1490" s="721">
        <f t="shared" si="1336"/>
        <v>1</v>
      </c>
      <c r="H1490" s="721">
        <f t="shared" si="1336"/>
        <v>1</v>
      </c>
      <c r="I1490" s="721">
        <f t="shared" si="1336"/>
        <v>1</v>
      </c>
      <c r="J1490" s="721">
        <f t="shared" si="1336"/>
        <v>1</v>
      </c>
      <c r="K1490" s="721">
        <f t="shared" si="1336"/>
        <v>1</v>
      </c>
      <c r="L1490" s="721">
        <f t="shared" si="1336"/>
        <v>1</v>
      </c>
      <c r="M1490" s="721">
        <f t="shared" si="1336"/>
        <v>1</v>
      </c>
      <c r="N1490" s="721">
        <f t="shared" si="1336"/>
        <v>1</v>
      </c>
      <c r="O1490" s="721">
        <f t="shared" si="1336"/>
        <v>1</v>
      </c>
      <c r="P1490" s="721">
        <f t="shared" si="1336"/>
        <v>1</v>
      </c>
      <c r="Q1490" s="721">
        <f t="shared" si="1336"/>
        <v>1</v>
      </c>
      <c r="R1490" s="721">
        <f t="shared" si="1336"/>
        <v>1</v>
      </c>
      <c r="S1490" s="721">
        <f t="shared" si="1336"/>
        <v>1</v>
      </c>
      <c r="T1490" s="721">
        <f t="shared" si="1336"/>
        <v>1</v>
      </c>
      <c r="U1490" s="721">
        <f t="shared" si="1336"/>
        <v>1</v>
      </c>
      <c r="V1490" s="721">
        <f t="shared" si="1336"/>
        <v>1</v>
      </c>
      <c r="W1490" s="721">
        <f t="shared" si="1336"/>
        <v>1</v>
      </c>
      <c r="X1490" s="721">
        <f t="shared" si="1336"/>
        <v>1</v>
      </c>
      <c r="Y1490" s="721">
        <f t="shared" si="1336"/>
        <v>1</v>
      </c>
      <c r="Z1490" s="721">
        <f t="shared" si="1336"/>
        <v>1</v>
      </c>
      <c r="AA1490" s="721">
        <f t="shared" si="1336"/>
        <v>1</v>
      </c>
      <c r="AB1490" s="721">
        <f t="shared" si="1336"/>
        <v>1</v>
      </c>
      <c r="AC1490" s="721">
        <f t="shared" si="1336"/>
        <v>1</v>
      </c>
      <c r="AD1490" s="721">
        <f t="shared" si="1336"/>
        <v>1</v>
      </c>
      <c r="AE1490" s="721">
        <f t="shared" si="1336"/>
        <v>1</v>
      </c>
      <c r="AF1490" s="721">
        <f t="shared" si="1336"/>
        <v>1</v>
      </c>
      <c r="AG1490" s="721" t="e">
        <f t="shared" ref="AG1490" si="1337">AG1487</f>
        <v>#REF!</v>
      </c>
      <c r="AH1490" s="587"/>
      <c r="AK1490" s="588"/>
      <c r="AM1490" s="624"/>
      <c r="AN1490" s="590"/>
      <c r="AP1490" s="591"/>
      <c r="AQ1490" s="591"/>
    </row>
    <row r="1491" spans="1:43" s="586" customFormat="1" ht="16.5" hidden="1" customHeight="1" outlineLevel="2">
      <c r="A1491" s="584"/>
      <c r="B1491" s="585" t="s">
        <v>888</v>
      </c>
      <c r="C1491" s="642">
        <f>Insumos!$E$154</f>
        <v>400</v>
      </c>
      <c r="D1491" s="642">
        <f>C1491</f>
        <v>400</v>
      </c>
      <c r="E1491" s="642">
        <f t="shared" si="1336"/>
        <v>400</v>
      </c>
      <c r="F1491" s="642">
        <f t="shared" si="1336"/>
        <v>400</v>
      </c>
      <c r="G1491" s="642">
        <f t="shared" si="1336"/>
        <v>400</v>
      </c>
      <c r="H1491" s="642">
        <f t="shared" si="1336"/>
        <v>400</v>
      </c>
      <c r="I1491" s="642">
        <f t="shared" si="1336"/>
        <v>400</v>
      </c>
      <c r="J1491" s="642">
        <f t="shared" si="1336"/>
        <v>400</v>
      </c>
      <c r="K1491" s="642">
        <f t="shared" si="1336"/>
        <v>400</v>
      </c>
      <c r="L1491" s="642">
        <f t="shared" si="1336"/>
        <v>400</v>
      </c>
      <c r="M1491" s="642">
        <f t="shared" si="1336"/>
        <v>400</v>
      </c>
      <c r="N1491" s="642">
        <f t="shared" si="1336"/>
        <v>400</v>
      </c>
      <c r="O1491" s="642">
        <f t="shared" si="1336"/>
        <v>400</v>
      </c>
      <c r="P1491" s="642">
        <f t="shared" si="1336"/>
        <v>400</v>
      </c>
      <c r="Q1491" s="642">
        <f t="shared" si="1336"/>
        <v>400</v>
      </c>
      <c r="R1491" s="642">
        <f t="shared" si="1336"/>
        <v>400</v>
      </c>
      <c r="S1491" s="642">
        <f t="shared" si="1336"/>
        <v>400</v>
      </c>
      <c r="T1491" s="642">
        <f t="shared" si="1336"/>
        <v>400</v>
      </c>
      <c r="U1491" s="642">
        <f t="shared" si="1336"/>
        <v>400</v>
      </c>
      <c r="V1491" s="642">
        <f t="shared" si="1336"/>
        <v>400</v>
      </c>
      <c r="W1491" s="642">
        <f t="shared" si="1336"/>
        <v>400</v>
      </c>
      <c r="X1491" s="642">
        <f t="shared" si="1336"/>
        <v>400</v>
      </c>
      <c r="Y1491" s="642">
        <f t="shared" si="1336"/>
        <v>400</v>
      </c>
      <c r="Z1491" s="642">
        <f t="shared" si="1336"/>
        <v>400</v>
      </c>
      <c r="AA1491" s="642">
        <f t="shared" si="1336"/>
        <v>400</v>
      </c>
      <c r="AB1491" s="642">
        <f t="shared" si="1336"/>
        <v>400</v>
      </c>
      <c r="AC1491" s="642">
        <f t="shared" si="1336"/>
        <v>400</v>
      </c>
      <c r="AD1491" s="642">
        <f t="shared" si="1336"/>
        <v>400</v>
      </c>
      <c r="AE1491" s="642">
        <f t="shared" si="1336"/>
        <v>400</v>
      </c>
      <c r="AF1491" s="642">
        <f t="shared" si="1336"/>
        <v>400</v>
      </c>
      <c r="AH1491" s="587"/>
      <c r="AK1491" s="588"/>
      <c r="AM1491" s="624"/>
      <c r="AN1491" s="590"/>
      <c r="AP1491" s="591"/>
      <c r="AQ1491" s="591"/>
    </row>
    <row r="1492" spans="1:43" s="634" customFormat="1" ht="16.5" hidden="1" customHeight="1" outlineLevel="2">
      <c r="A1492" s="584"/>
      <c r="B1492" s="580" t="s">
        <v>1047</v>
      </c>
      <c r="C1492" s="637">
        <f>C1493*C1494</f>
        <v>0</v>
      </c>
      <c r="D1492" s="637">
        <f t="shared" ref="D1492:AF1492" si="1338">D1493*D1494</f>
        <v>150</v>
      </c>
      <c r="E1492" s="637">
        <f t="shared" si="1338"/>
        <v>150</v>
      </c>
      <c r="F1492" s="637">
        <f t="shared" si="1338"/>
        <v>150</v>
      </c>
      <c r="G1492" s="637">
        <f t="shared" si="1338"/>
        <v>150</v>
      </c>
      <c r="H1492" s="637">
        <f t="shared" si="1338"/>
        <v>150</v>
      </c>
      <c r="I1492" s="637">
        <f t="shared" si="1338"/>
        <v>150</v>
      </c>
      <c r="J1492" s="637">
        <f t="shared" si="1338"/>
        <v>150</v>
      </c>
      <c r="K1492" s="637">
        <f t="shared" si="1338"/>
        <v>150</v>
      </c>
      <c r="L1492" s="637">
        <f t="shared" si="1338"/>
        <v>150</v>
      </c>
      <c r="M1492" s="637">
        <f t="shared" si="1338"/>
        <v>150</v>
      </c>
      <c r="N1492" s="637">
        <f t="shared" si="1338"/>
        <v>150</v>
      </c>
      <c r="O1492" s="637">
        <f t="shared" si="1338"/>
        <v>150</v>
      </c>
      <c r="P1492" s="637">
        <f t="shared" si="1338"/>
        <v>150</v>
      </c>
      <c r="Q1492" s="637">
        <f t="shared" si="1338"/>
        <v>150</v>
      </c>
      <c r="R1492" s="637">
        <f t="shared" si="1338"/>
        <v>150</v>
      </c>
      <c r="S1492" s="637">
        <f t="shared" si="1338"/>
        <v>150</v>
      </c>
      <c r="T1492" s="637">
        <f t="shared" si="1338"/>
        <v>150</v>
      </c>
      <c r="U1492" s="637">
        <f t="shared" si="1338"/>
        <v>150</v>
      </c>
      <c r="V1492" s="637">
        <f t="shared" si="1338"/>
        <v>150</v>
      </c>
      <c r="W1492" s="637">
        <f t="shared" si="1338"/>
        <v>150</v>
      </c>
      <c r="X1492" s="637">
        <f t="shared" si="1338"/>
        <v>150</v>
      </c>
      <c r="Y1492" s="637">
        <f t="shared" si="1338"/>
        <v>150</v>
      </c>
      <c r="Z1492" s="637">
        <f t="shared" si="1338"/>
        <v>150</v>
      </c>
      <c r="AA1492" s="637">
        <f t="shared" si="1338"/>
        <v>150</v>
      </c>
      <c r="AB1492" s="637">
        <f t="shared" si="1338"/>
        <v>150</v>
      </c>
      <c r="AC1492" s="637">
        <f t="shared" si="1338"/>
        <v>150</v>
      </c>
      <c r="AD1492" s="637">
        <f t="shared" si="1338"/>
        <v>150</v>
      </c>
      <c r="AE1492" s="637">
        <f t="shared" si="1338"/>
        <v>150</v>
      </c>
      <c r="AF1492" s="637">
        <f t="shared" si="1338"/>
        <v>150</v>
      </c>
      <c r="AH1492" s="635"/>
      <c r="AK1492" s="588"/>
      <c r="AM1492" s="624"/>
      <c r="AN1492" s="590"/>
      <c r="AP1492" s="636"/>
      <c r="AQ1492" s="636"/>
    </row>
    <row r="1493" spans="1:43" s="586" customFormat="1" ht="16.5" hidden="1" customHeight="1" outlineLevel="2">
      <c r="A1493" s="584"/>
      <c r="B1493" s="585" t="s">
        <v>805</v>
      </c>
      <c r="C1493" s="720">
        <v>0</v>
      </c>
      <c r="D1493" s="720">
        <v>1</v>
      </c>
      <c r="E1493" s="721">
        <f t="shared" ref="E1493:T1494" si="1339">D1493</f>
        <v>1</v>
      </c>
      <c r="F1493" s="721">
        <f t="shared" si="1339"/>
        <v>1</v>
      </c>
      <c r="G1493" s="721">
        <f t="shared" si="1339"/>
        <v>1</v>
      </c>
      <c r="H1493" s="721">
        <f t="shared" si="1339"/>
        <v>1</v>
      </c>
      <c r="I1493" s="721">
        <f t="shared" si="1339"/>
        <v>1</v>
      </c>
      <c r="J1493" s="721">
        <f t="shared" si="1339"/>
        <v>1</v>
      </c>
      <c r="K1493" s="721">
        <f t="shared" si="1339"/>
        <v>1</v>
      </c>
      <c r="L1493" s="721">
        <f t="shared" si="1339"/>
        <v>1</v>
      </c>
      <c r="M1493" s="721">
        <f t="shared" si="1339"/>
        <v>1</v>
      </c>
      <c r="N1493" s="721">
        <f t="shared" si="1339"/>
        <v>1</v>
      </c>
      <c r="O1493" s="721">
        <f t="shared" si="1339"/>
        <v>1</v>
      </c>
      <c r="P1493" s="721">
        <f t="shared" si="1339"/>
        <v>1</v>
      </c>
      <c r="Q1493" s="721">
        <f t="shared" si="1339"/>
        <v>1</v>
      </c>
      <c r="R1493" s="721">
        <f t="shared" si="1339"/>
        <v>1</v>
      </c>
      <c r="S1493" s="721">
        <f t="shared" si="1339"/>
        <v>1</v>
      </c>
      <c r="T1493" s="721">
        <f t="shared" si="1339"/>
        <v>1</v>
      </c>
      <c r="U1493" s="721">
        <f t="shared" ref="U1493:AF1494" si="1340">T1493</f>
        <v>1</v>
      </c>
      <c r="V1493" s="721">
        <f t="shared" si="1340"/>
        <v>1</v>
      </c>
      <c r="W1493" s="721">
        <f t="shared" si="1340"/>
        <v>1</v>
      </c>
      <c r="X1493" s="721">
        <f t="shared" si="1340"/>
        <v>1</v>
      </c>
      <c r="Y1493" s="721">
        <f t="shared" si="1340"/>
        <v>1</v>
      </c>
      <c r="Z1493" s="721">
        <f t="shared" si="1340"/>
        <v>1</v>
      </c>
      <c r="AA1493" s="721">
        <f t="shared" si="1340"/>
        <v>1</v>
      </c>
      <c r="AB1493" s="721">
        <f t="shared" si="1340"/>
        <v>1</v>
      </c>
      <c r="AC1493" s="721">
        <f t="shared" si="1340"/>
        <v>1</v>
      </c>
      <c r="AD1493" s="721">
        <f t="shared" si="1340"/>
        <v>1</v>
      </c>
      <c r="AE1493" s="721">
        <f t="shared" si="1340"/>
        <v>1</v>
      </c>
      <c r="AF1493" s="721">
        <f t="shared" si="1340"/>
        <v>1</v>
      </c>
      <c r="AG1493" s="721" t="e">
        <f t="shared" ref="AG1493" si="1341">AG1490</f>
        <v>#REF!</v>
      </c>
      <c r="AH1493" s="587"/>
      <c r="AK1493" s="588"/>
      <c r="AM1493" s="624"/>
      <c r="AN1493" s="590"/>
      <c r="AP1493" s="591"/>
      <c r="AQ1493" s="591"/>
    </row>
    <row r="1494" spans="1:43" s="586" customFormat="1" ht="16.5" hidden="1" customHeight="1" outlineLevel="2">
      <c r="A1494" s="584"/>
      <c r="B1494" s="585" t="s">
        <v>888</v>
      </c>
      <c r="C1494" s="632">
        <f>Insumos!$E$140</f>
        <v>150</v>
      </c>
      <c r="D1494" s="632">
        <f>C1494</f>
        <v>150</v>
      </c>
      <c r="E1494" s="632">
        <f t="shared" si="1339"/>
        <v>150</v>
      </c>
      <c r="F1494" s="632">
        <f t="shared" si="1339"/>
        <v>150</v>
      </c>
      <c r="G1494" s="632">
        <f t="shared" si="1339"/>
        <v>150</v>
      </c>
      <c r="H1494" s="632">
        <f t="shared" si="1339"/>
        <v>150</v>
      </c>
      <c r="I1494" s="632">
        <f t="shared" si="1339"/>
        <v>150</v>
      </c>
      <c r="J1494" s="632">
        <f t="shared" si="1339"/>
        <v>150</v>
      </c>
      <c r="K1494" s="632">
        <f t="shared" si="1339"/>
        <v>150</v>
      </c>
      <c r="L1494" s="632">
        <f t="shared" si="1339"/>
        <v>150</v>
      </c>
      <c r="M1494" s="632">
        <f t="shared" si="1339"/>
        <v>150</v>
      </c>
      <c r="N1494" s="632">
        <f t="shared" si="1339"/>
        <v>150</v>
      </c>
      <c r="O1494" s="632">
        <f t="shared" si="1339"/>
        <v>150</v>
      </c>
      <c r="P1494" s="632">
        <f t="shared" si="1339"/>
        <v>150</v>
      </c>
      <c r="Q1494" s="632">
        <f t="shared" si="1339"/>
        <v>150</v>
      </c>
      <c r="R1494" s="632">
        <f t="shared" si="1339"/>
        <v>150</v>
      </c>
      <c r="S1494" s="632">
        <f t="shared" si="1339"/>
        <v>150</v>
      </c>
      <c r="T1494" s="632">
        <f t="shared" si="1339"/>
        <v>150</v>
      </c>
      <c r="U1494" s="632">
        <f t="shared" si="1340"/>
        <v>150</v>
      </c>
      <c r="V1494" s="632">
        <f t="shared" si="1340"/>
        <v>150</v>
      </c>
      <c r="W1494" s="632">
        <f t="shared" si="1340"/>
        <v>150</v>
      </c>
      <c r="X1494" s="632">
        <f t="shared" si="1340"/>
        <v>150</v>
      </c>
      <c r="Y1494" s="632">
        <f t="shared" si="1340"/>
        <v>150</v>
      </c>
      <c r="Z1494" s="632">
        <f t="shared" si="1340"/>
        <v>150</v>
      </c>
      <c r="AA1494" s="632">
        <f t="shared" si="1340"/>
        <v>150</v>
      </c>
      <c r="AB1494" s="632">
        <f t="shared" si="1340"/>
        <v>150</v>
      </c>
      <c r="AC1494" s="632">
        <f t="shared" si="1340"/>
        <v>150</v>
      </c>
      <c r="AD1494" s="632">
        <f t="shared" si="1340"/>
        <v>150</v>
      </c>
      <c r="AE1494" s="632">
        <f t="shared" si="1340"/>
        <v>150</v>
      </c>
      <c r="AF1494" s="632">
        <f t="shared" si="1340"/>
        <v>150</v>
      </c>
      <c r="AH1494" s="587"/>
      <c r="AK1494" s="588"/>
      <c r="AM1494" s="624"/>
      <c r="AN1494" s="590"/>
      <c r="AP1494" s="591"/>
      <c r="AQ1494" s="591"/>
    </row>
    <row r="1495" spans="1:43" s="634" customFormat="1" ht="16.5" hidden="1" customHeight="1" outlineLevel="2">
      <c r="A1495" s="584"/>
      <c r="B1495" s="580" t="s">
        <v>1048</v>
      </c>
      <c r="C1495" s="637">
        <f>C1496*C1497</f>
        <v>0</v>
      </c>
      <c r="D1495" s="637">
        <f t="shared" ref="D1495:AF1495" si="1342">D1496*D1497</f>
        <v>940</v>
      </c>
      <c r="E1495" s="637">
        <f>E1496*E1497</f>
        <v>940</v>
      </c>
      <c r="F1495" s="637">
        <f t="shared" si="1342"/>
        <v>940</v>
      </c>
      <c r="G1495" s="637">
        <f t="shared" si="1342"/>
        <v>940</v>
      </c>
      <c r="H1495" s="637">
        <f t="shared" si="1342"/>
        <v>940</v>
      </c>
      <c r="I1495" s="637">
        <f t="shared" si="1342"/>
        <v>940</v>
      </c>
      <c r="J1495" s="637">
        <f t="shared" si="1342"/>
        <v>940</v>
      </c>
      <c r="K1495" s="637">
        <f t="shared" si="1342"/>
        <v>940</v>
      </c>
      <c r="L1495" s="637">
        <f t="shared" si="1342"/>
        <v>940</v>
      </c>
      <c r="M1495" s="637">
        <f t="shared" si="1342"/>
        <v>940</v>
      </c>
      <c r="N1495" s="637">
        <f t="shared" si="1342"/>
        <v>940</v>
      </c>
      <c r="O1495" s="637">
        <f t="shared" si="1342"/>
        <v>940</v>
      </c>
      <c r="P1495" s="637">
        <f t="shared" si="1342"/>
        <v>940</v>
      </c>
      <c r="Q1495" s="637">
        <f t="shared" si="1342"/>
        <v>940</v>
      </c>
      <c r="R1495" s="637">
        <f t="shared" si="1342"/>
        <v>940</v>
      </c>
      <c r="S1495" s="637">
        <f t="shared" si="1342"/>
        <v>940</v>
      </c>
      <c r="T1495" s="637">
        <f t="shared" si="1342"/>
        <v>940</v>
      </c>
      <c r="U1495" s="637">
        <f t="shared" si="1342"/>
        <v>940</v>
      </c>
      <c r="V1495" s="637">
        <f t="shared" si="1342"/>
        <v>940</v>
      </c>
      <c r="W1495" s="637">
        <f t="shared" si="1342"/>
        <v>940</v>
      </c>
      <c r="X1495" s="637">
        <f t="shared" si="1342"/>
        <v>940</v>
      </c>
      <c r="Y1495" s="637">
        <f t="shared" si="1342"/>
        <v>940</v>
      </c>
      <c r="Z1495" s="637">
        <f t="shared" si="1342"/>
        <v>940</v>
      </c>
      <c r="AA1495" s="637">
        <f t="shared" si="1342"/>
        <v>940</v>
      </c>
      <c r="AB1495" s="637">
        <f t="shared" si="1342"/>
        <v>940</v>
      </c>
      <c r="AC1495" s="637">
        <f t="shared" si="1342"/>
        <v>940</v>
      </c>
      <c r="AD1495" s="637">
        <f t="shared" si="1342"/>
        <v>940</v>
      </c>
      <c r="AE1495" s="637">
        <f t="shared" si="1342"/>
        <v>940</v>
      </c>
      <c r="AF1495" s="637">
        <f t="shared" si="1342"/>
        <v>940</v>
      </c>
      <c r="AH1495" s="635"/>
      <c r="AK1495" s="588"/>
      <c r="AM1495" s="624"/>
      <c r="AN1495" s="590"/>
      <c r="AP1495" s="636"/>
      <c r="AQ1495" s="636"/>
    </row>
    <row r="1496" spans="1:43" s="586" customFormat="1" ht="16.5" hidden="1" customHeight="1" outlineLevel="2">
      <c r="A1496" s="584"/>
      <c r="B1496" s="585" t="s">
        <v>805</v>
      </c>
      <c r="C1496" s="720">
        <v>0</v>
      </c>
      <c r="D1496" s="720">
        <v>1</v>
      </c>
      <c r="E1496" s="721">
        <f t="shared" ref="E1496:T1497" si="1343">D1496</f>
        <v>1</v>
      </c>
      <c r="F1496" s="721">
        <f t="shared" si="1343"/>
        <v>1</v>
      </c>
      <c r="G1496" s="721">
        <f t="shared" si="1343"/>
        <v>1</v>
      </c>
      <c r="H1496" s="721">
        <f t="shared" si="1343"/>
        <v>1</v>
      </c>
      <c r="I1496" s="721">
        <f t="shared" si="1343"/>
        <v>1</v>
      </c>
      <c r="J1496" s="721">
        <f t="shared" si="1343"/>
        <v>1</v>
      </c>
      <c r="K1496" s="721">
        <f t="shared" si="1343"/>
        <v>1</v>
      </c>
      <c r="L1496" s="721">
        <f t="shared" si="1343"/>
        <v>1</v>
      </c>
      <c r="M1496" s="721">
        <f t="shared" si="1343"/>
        <v>1</v>
      </c>
      <c r="N1496" s="721">
        <f t="shared" si="1343"/>
        <v>1</v>
      </c>
      <c r="O1496" s="721">
        <f t="shared" si="1343"/>
        <v>1</v>
      </c>
      <c r="P1496" s="721">
        <f t="shared" si="1343"/>
        <v>1</v>
      </c>
      <c r="Q1496" s="721">
        <f t="shared" si="1343"/>
        <v>1</v>
      </c>
      <c r="R1496" s="721">
        <f t="shared" si="1343"/>
        <v>1</v>
      </c>
      <c r="S1496" s="721">
        <f t="shared" si="1343"/>
        <v>1</v>
      </c>
      <c r="T1496" s="721">
        <f t="shared" si="1343"/>
        <v>1</v>
      </c>
      <c r="U1496" s="721">
        <f t="shared" ref="U1496:AF1497" si="1344">T1496</f>
        <v>1</v>
      </c>
      <c r="V1496" s="721">
        <f t="shared" si="1344"/>
        <v>1</v>
      </c>
      <c r="W1496" s="721">
        <f t="shared" si="1344"/>
        <v>1</v>
      </c>
      <c r="X1496" s="721">
        <f t="shared" si="1344"/>
        <v>1</v>
      </c>
      <c r="Y1496" s="721">
        <f t="shared" si="1344"/>
        <v>1</v>
      </c>
      <c r="Z1496" s="721">
        <f t="shared" si="1344"/>
        <v>1</v>
      </c>
      <c r="AA1496" s="721">
        <f t="shared" si="1344"/>
        <v>1</v>
      </c>
      <c r="AB1496" s="721">
        <f t="shared" si="1344"/>
        <v>1</v>
      </c>
      <c r="AC1496" s="721">
        <f t="shared" si="1344"/>
        <v>1</v>
      </c>
      <c r="AD1496" s="721">
        <f t="shared" si="1344"/>
        <v>1</v>
      </c>
      <c r="AE1496" s="721">
        <f t="shared" si="1344"/>
        <v>1</v>
      </c>
      <c r="AF1496" s="721">
        <f t="shared" si="1344"/>
        <v>1</v>
      </c>
      <c r="AG1496" s="721" t="e">
        <f t="shared" ref="AG1496" si="1345">AG1493</f>
        <v>#REF!</v>
      </c>
      <c r="AH1496" s="587"/>
      <c r="AK1496" s="588"/>
      <c r="AM1496" s="624"/>
      <c r="AN1496" s="590"/>
      <c r="AP1496" s="591"/>
      <c r="AQ1496" s="591"/>
    </row>
    <row r="1497" spans="1:43" s="586" customFormat="1" ht="16.5" hidden="1" customHeight="1" outlineLevel="2">
      <c r="A1497" s="584"/>
      <c r="B1497" s="585" t="s">
        <v>888</v>
      </c>
      <c r="C1497" s="632">
        <f>Insumos!$E$112</f>
        <v>940</v>
      </c>
      <c r="D1497" s="632">
        <f>C1497</f>
        <v>940</v>
      </c>
      <c r="E1497" s="632">
        <f t="shared" si="1343"/>
        <v>940</v>
      </c>
      <c r="F1497" s="632">
        <f t="shared" si="1343"/>
        <v>940</v>
      </c>
      <c r="G1497" s="632">
        <f t="shared" si="1343"/>
        <v>940</v>
      </c>
      <c r="H1497" s="632">
        <f t="shared" si="1343"/>
        <v>940</v>
      </c>
      <c r="I1497" s="632">
        <f t="shared" si="1343"/>
        <v>940</v>
      </c>
      <c r="J1497" s="632">
        <f t="shared" si="1343"/>
        <v>940</v>
      </c>
      <c r="K1497" s="632">
        <f t="shared" si="1343"/>
        <v>940</v>
      </c>
      <c r="L1497" s="632">
        <f t="shared" si="1343"/>
        <v>940</v>
      </c>
      <c r="M1497" s="632">
        <f t="shared" si="1343"/>
        <v>940</v>
      </c>
      <c r="N1497" s="632">
        <f t="shared" si="1343"/>
        <v>940</v>
      </c>
      <c r="O1497" s="632">
        <f t="shared" si="1343"/>
        <v>940</v>
      </c>
      <c r="P1497" s="632">
        <f t="shared" si="1343"/>
        <v>940</v>
      </c>
      <c r="Q1497" s="632">
        <f t="shared" si="1343"/>
        <v>940</v>
      </c>
      <c r="R1497" s="632">
        <f t="shared" si="1343"/>
        <v>940</v>
      </c>
      <c r="S1497" s="632">
        <f t="shared" si="1343"/>
        <v>940</v>
      </c>
      <c r="T1497" s="632">
        <f t="shared" si="1343"/>
        <v>940</v>
      </c>
      <c r="U1497" s="632">
        <f t="shared" si="1344"/>
        <v>940</v>
      </c>
      <c r="V1497" s="632">
        <f t="shared" si="1344"/>
        <v>940</v>
      </c>
      <c r="W1497" s="632">
        <f t="shared" si="1344"/>
        <v>940</v>
      </c>
      <c r="X1497" s="632">
        <f t="shared" si="1344"/>
        <v>940</v>
      </c>
      <c r="Y1497" s="632">
        <f t="shared" si="1344"/>
        <v>940</v>
      </c>
      <c r="Z1497" s="632">
        <f t="shared" si="1344"/>
        <v>940</v>
      </c>
      <c r="AA1497" s="632">
        <f t="shared" si="1344"/>
        <v>940</v>
      </c>
      <c r="AB1497" s="632">
        <f t="shared" si="1344"/>
        <v>940</v>
      </c>
      <c r="AC1497" s="632">
        <f t="shared" si="1344"/>
        <v>940</v>
      </c>
      <c r="AD1497" s="632">
        <f t="shared" si="1344"/>
        <v>940</v>
      </c>
      <c r="AE1497" s="632">
        <f t="shared" si="1344"/>
        <v>940</v>
      </c>
      <c r="AF1497" s="632">
        <f t="shared" si="1344"/>
        <v>940</v>
      </c>
      <c r="AH1497" s="587"/>
      <c r="AK1497" s="588"/>
      <c r="AM1497" s="624"/>
      <c r="AN1497" s="590"/>
      <c r="AP1497" s="591"/>
      <c r="AQ1497" s="591"/>
    </row>
    <row r="1498" spans="1:43" s="634" customFormat="1" ht="16.5" hidden="1" customHeight="1" outlineLevel="2">
      <c r="A1498" s="584"/>
      <c r="B1498" s="580" t="s">
        <v>1049</v>
      </c>
      <c r="C1498" s="637">
        <f>C1499*C1500</f>
        <v>0</v>
      </c>
      <c r="D1498" s="637">
        <f t="shared" ref="D1498:AF1498" si="1346">D1499*D1500</f>
        <v>220</v>
      </c>
      <c r="E1498" s="637">
        <f t="shared" si="1346"/>
        <v>220</v>
      </c>
      <c r="F1498" s="637">
        <f t="shared" si="1346"/>
        <v>220</v>
      </c>
      <c r="G1498" s="637">
        <f t="shared" si="1346"/>
        <v>220</v>
      </c>
      <c r="H1498" s="637">
        <f t="shared" si="1346"/>
        <v>220</v>
      </c>
      <c r="I1498" s="637">
        <f t="shared" si="1346"/>
        <v>220</v>
      </c>
      <c r="J1498" s="637">
        <f t="shared" si="1346"/>
        <v>220</v>
      </c>
      <c r="K1498" s="637">
        <f t="shared" si="1346"/>
        <v>220</v>
      </c>
      <c r="L1498" s="637">
        <f t="shared" si="1346"/>
        <v>220</v>
      </c>
      <c r="M1498" s="637">
        <f t="shared" si="1346"/>
        <v>220</v>
      </c>
      <c r="N1498" s="637">
        <f t="shared" si="1346"/>
        <v>220</v>
      </c>
      <c r="O1498" s="637">
        <f t="shared" si="1346"/>
        <v>220</v>
      </c>
      <c r="P1498" s="637">
        <f t="shared" si="1346"/>
        <v>220</v>
      </c>
      <c r="Q1498" s="637">
        <f t="shared" si="1346"/>
        <v>220</v>
      </c>
      <c r="R1498" s="637">
        <f t="shared" si="1346"/>
        <v>220</v>
      </c>
      <c r="S1498" s="637">
        <f t="shared" si="1346"/>
        <v>220</v>
      </c>
      <c r="T1498" s="637">
        <f t="shared" si="1346"/>
        <v>220</v>
      </c>
      <c r="U1498" s="637">
        <f t="shared" si="1346"/>
        <v>220</v>
      </c>
      <c r="V1498" s="637">
        <f t="shared" si="1346"/>
        <v>220</v>
      </c>
      <c r="W1498" s="637">
        <f t="shared" si="1346"/>
        <v>220</v>
      </c>
      <c r="X1498" s="637">
        <f t="shared" si="1346"/>
        <v>220</v>
      </c>
      <c r="Y1498" s="637">
        <f t="shared" si="1346"/>
        <v>220</v>
      </c>
      <c r="Z1498" s="637">
        <f t="shared" si="1346"/>
        <v>220</v>
      </c>
      <c r="AA1498" s="637">
        <f t="shared" si="1346"/>
        <v>220</v>
      </c>
      <c r="AB1498" s="637">
        <f t="shared" si="1346"/>
        <v>220</v>
      </c>
      <c r="AC1498" s="637">
        <f t="shared" si="1346"/>
        <v>220</v>
      </c>
      <c r="AD1498" s="637">
        <f t="shared" si="1346"/>
        <v>220</v>
      </c>
      <c r="AE1498" s="637">
        <f t="shared" si="1346"/>
        <v>220</v>
      </c>
      <c r="AF1498" s="637">
        <f t="shared" si="1346"/>
        <v>220</v>
      </c>
      <c r="AH1498" s="635"/>
      <c r="AK1498" s="588"/>
      <c r="AM1498" s="624"/>
      <c r="AN1498" s="590"/>
      <c r="AP1498" s="636"/>
      <c r="AQ1498" s="636"/>
    </row>
    <row r="1499" spans="1:43" s="586" customFormat="1" ht="16.5" hidden="1" customHeight="1" outlineLevel="2">
      <c r="A1499" s="584"/>
      <c r="B1499" s="585" t="s">
        <v>805</v>
      </c>
      <c r="C1499" s="720">
        <v>0</v>
      </c>
      <c r="D1499" s="720">
        <v>1</v>
      </c>
      <c r="E1499" s="721">
        <f t="shared" ref="E1499:T1500" si="1347">D1499</f>
        <v>1</v>
      </c>
      <c r="F1499" s="721">
        <f t="shared" si="1347"/>
        <v>1</v>
      </c>
      <c r="G1499" s="721">
        <f t="shared" si="1347"/>
        <v>1</v>
      </c>
      <c r="H1499" s="721">
        <f t="shared" si="1347"/>
        <v>1</v>
      </c>
      <c r="I1499" s="721">
        <f t="shared" si="1347"/>
        <v>1</v>
      </c>
      <c r="J1499" s="721">
        <f t="shared" si="1347"/>
        <v>1</v>
      </c>
      <c r="K1499" s="721">
        <f t="shared" si="1347"/>
        <v>1</v>
      </c>
      <c r="L1499" s="721">
        <f t="shared" si="1347"/>
        <v>1</v>
      </c>
      <c r="M1499" s="721">
        <f t="shared" si="1347"/>
        <v>1</v>
      </c>
      <c r="N1499" s="721">
        <f t="shared" si="1347"/>
        <v>1</v>
      </c>
      <c r="O1499" s="721">
        <f t="shared" si="1347"/>
        <v>1</v>
      </c>
      <c r="P1499" s="721">
        <f t="shared" si="1347"/>
        <v>1</v>
      </c>
      <c r="Q1499" s="721">
        <f t="shared" si="1347"/>
        <v>1</v>
      </c>
      <c r="R1499" s="721">
        <f t="shared" si="1347"/>
        <v>1</v>
      </c>
      <c r="S1499" s="721">
        <f t="shared" si="1347"/>
        <v>1</v>
      </c>
      <c r="T1499" s="721">
        <f t="shared" si="1347"/>
        <v>1</v>
      </c>
      <c r="U1499" s="721">
        <f t="shared" ref="U1499:AF1500" si="1348">T1499</f>
        <v>1</v>
      </c>
      <c r="V1499" s="721">
        <f t="shared" si="1348"/>
        <v>1</v>
      </c>
      <c r="W1499" s="721">
        <f t="shared" si="1348"/>
        <v>1</v>
      </c>
      <c r="X1499" s="721">
        <f t="shared" si="1348"/>
        <v>1</v>
      </c>
      <c r="Y1499" s="721">
        <f t="shared" si="1348"/>
        <v>1</v>
      </c>
      <c r="Z1499" s="721">
        <f t="shared" si="1348"/>
        <v>1</v>
      </c>
      <c r="AA1499" s="721">
        <f t="shared" si="1348"/>
        <v>1</v>
      </c>
      <c r="AB1499" s="721">
        <f t="shared" si="1348"/>
        <v>1</v>
      </c>
      <c r="AC1499" s="721">
        <f t="shared" si="1348"/>
        <v>1</v>
      </c>
      <c r="AD1499" s="721">
        <f t="shared" si="1348"/>
        <v>1</v>
      </c>
      <c r="AE1499" s="721">
        <f t="shared" si="1348"/>
        <v>1</v>
      </c>
      <c r="AF1499" s="721">
        <f t="shared" si="1348"/>
        <v>1</v>
      </c>
      <c r="AG1499" s="721" t="e">
        <f t="shared" ref="AG1499" si="1349">AG1496</f>
        <v>#REF!</v>
      </c>
      <c r="AH1499" s="587"/>
      <c r="AK1499" s="588"/>
      <c r="AM1499" s="624"/>
      <c r="AN1499" s="590"/>
      <c r="AP1499" s="591"/>
      <c r="AQ1499" s="591"/>
    </row>
    <row r="1500" spans="1:43" s="586" customFormat="1" ht="16.5" hidden="1" customHeight="1" outlineLevel="2">
      <c r="A1500" s="584"/>
      <c r="B1500" s="585" t="s">
        <v>888</v>
      </c>
      <c r="C1500" s="632">
        <f>Insumos!$E$130</f>
        <v>220</v>
      </c>
      <c r="D1500" s="632">
        <f>C1500</f>
        <v>220</v>
      </c>
      <c r="E1500" s="632">
        <f t="shared" si="1347"/>
        <v>220</v>
      </c>
      <c r="F1500" s="632">
        <f t="shared" si="1347"/>
        <v>220</v>
      </c>
      <c r="G1500" s="632">
        <f t="shared" si="1347"/>
        <v>220</v>
      </c>
      <c r="H1500" s="632">
        <f t="shared" si="1347"/>
        <v>220</v>
      </c>
      <c r="I1500" s="632">
        <f t="shared" si="1347"/>
        <v>220</v>
      </c>
      <c r="J1500" s="632">
        <f t="shared" si="1347"/>
        <v>220</v>
      </c>
      <c r="K1500" s="632">
        <f t="shared" si="1347"/>
        <v>220</v>
      </c>
      <c r="L1500" s="632">
        <f t="shared" si="1347"/>
        <v>220</v>
      </c>
      <c r="M1500" s="632">
        <f t="shared" si="1347"/>
        <v>220</v>
      </c>
      <c r="N1500" s="632">
        <f t="shared" si="1347"/>
        <v>220</v>
      </c>
      <c r="O1500" s="632">
        <f t="shared" si="1347"/>
        <v>220</v>
      </c>
      <c r="P1500" s="632">
        <f t="shared" si="1347"/>
        <v>220</v>
      </c>
      <c r="Q1500" s="632">
        <f t="shared" si="1347"/>
        <v>220</v>
      </c>
      <c r="R1500" s="632">
        <f t="shared" si="1347"/>
        <v>220</v>
      </c>
      <c r="S1500" s="632">
        <f t="shared" si="1347"/>
        <v>220</v>
      </c>
      <c r="T1500" s="632">
        <f t="shared" si="1347"/>
        <v>220</v>
      </c>
      <c r="U1500" s="632">
        <f t="shared" si="1348"/>
        <v>220</v>
      </c>
      <c r="V1500" s="632">
        <f t="shared" si="1348"/>
        <v>220</v>
      </c>
      <c r="W1500" s="632">
        <f t="shared" si="1348"/>
        <v>220</v>
      </c>
      <c r="X1500" s="632">
        <f t="shared" si="1348"/>
        <v>220</v>
      </c>
      <c r="Y1500" s="632">
        <f t="shared" si="1348"/>
        <v>220</v>
      </c>
      <c r="Z1500" s="632">
        <f t="shared" si="1348"/>
        <v>220</v>
      </c>
      <c r="AA1500" s="632">
        <f t="shared" si="1348"/>
        <v>220</v>
      </c>
      <c r="AB1500" s="632">
        <f t="shared" si="1348"/>
        <v>220</v>
      </c>
      <c r="AC1500" s="632">
        <f t="shared" si="1348"/>
        <v>220</v>
      </c>
      <c r="AD1500" s="632">
        <f t="shared" si="1348"/>
        <v>220</v>
      </c>
      <c r="AE1500" s="632">
        <f t="shared" si="1348"/>
        <v>220</v>
      </c>
      <c r="AF1500" s="632">
        <f t="shared" si="1348"/>
        <v>220</v>
      </c>
      <c r="AH1500" s="587"/>
      <c r="AK1500" s="588"/>
      <c r="AM1500" s="624"/>
      <c r="AN1500" s="590"/>
      <c r="AP1500" s="591"/>
      <c r="AQ1500" s="591"/>
    </row>
    <row r="1501" spans="1:43" s="634" customFormat="1" ht="16.5" hidden="1" customHeight="1" outlineLevel="2">
      <c r="A1501" s="584"/>
      <c r="B1501" s="580" t="s">
        <v>1050</v>
      </c>
      <c r="C1501" s="637">
        <f>C1502*C1503</f>
        <v>0</v>
      </c>
      <c r="D1501" s="637">
        <f t="shared" ref="D1501:AF1501" si="1350">D1502*D1503</f>
        <v>600</v>
      </c>
      <c r="E1501" s="637">
        <f t="shared" si="1350"/>
        <v>600</v>
      </c>
      <c r="F1501" s="637">
        <f t="shared" si="1350"/>
        <v>600</v>
      </c>
      <c r="G1501" s="637">
        <f t="shared" si="1350"/>
        <v>600</v>
      </c>
      <c r="H1501" s="637">
        <f t="shared" si="1350"/>
        <v>600</v>
      </c>
      <c r="I1501" s="637">
        <f t="shared" si="1350"/>
        <v>600</v>
      </c>
      <c r="J1501" s="637">
        <f t="shared" si="1350"/>
        <v>600</v>
      </c>
      <c r="K1501" s="637">
        <f t="shared" si="1350"/>
        <v>600</v>
      </c>
      <c r="L1501" s="637">
        <f t="shared" si="1350"/>
        <v>600</v>
      </c>
      <c r="M1501" s="637">
        <f t="shared" si="1350"/>
        <v>600</v>
      </c>
      <c r="N1501" s="637">
        <f t="shared" si="1350"/>
        <v>600</v>
      </c>
      <c r="O1501" s="637">
        <f t="shared" si="1350"/>
        <v>600</v>
      </c>
      <c r="P1501" s="637">
        <f t="shared" si="1350"/>
        <v>600</v>
      </c>
      <c r="Q1501" s="637">
        <f t="shared" si="1350"/>
        <v>600</v>
      </c>
      <c r="R1501" s="637">
        <f t="shared" si="1350"/>
        <v>600</v>
      </c>
      <c r="S1501" s="637">
        <f t="shared" si="1350"/>
        <v>600</v>
      </c>
      <c r="T1501" s="637">
        <f t="shared" si="1350"/>
        <v>600</v>
      </c>
      <c r="U1501" s="637">
        <f t="shared" si="1350"/>
        <v>600</v>
      </c>
      <c r="V1501" s="637">
        <f t="shared" si="1350"/>
        <v>600</v>
      </c>
      <c r="W1501" s="637">
        <f t="shared" si="1350"/>
        <v>600</v>
      </c>
      <c r="X1501" s="637">
        <f t="shared" si="1350"/>
        <v>600</v>
      </c>
      <c r="Y1501" s="637">
        <f t="shared" si="1350"/>
        <v>600</v>
      </c>
      <c r="Z1501" s="637">
        <f t="shared" si="1350"/>
        <v>600</v>
      </c>
      <c r="AA1501" s="637">
        <f t="shared" si="1350"/>
        <v>600</v>
      </c>
      <c r="AB1501" s="637">
        <f t="shared" si="1350"/>
        <v>600</v>
      </c>
      <c r="AC1501" s="637">
        <f t="shared" si="1350"/>
        <v>600</v>
      </c>
      <c r="AD1501" s="637">
        <f t="shared" si="1350"/>
        <v>600</v>
      </c>
      <c r="AE1501" s="637">
        <f t="shared" si="1350"/>
        <v>600</v>
      </c>
      <c r="AF1501" s="637">
        <f t="shared" si="1350"/>
        <v>600</v>
      </c>
      <c r="AH1501" s="635"/>
      <c r="AK1501" s="588"/>
      <c r="AM1501" s="624"/>
      <c r="AN1501" s="590"/>
      <c r="AP1501" s="636"/>
      <c r="AQ1501" s="636"/>
    </row>
    <row r="1502" spans="1:43" s="586" customFormat="1" ht="16.5" hidden="1" customHeight="1" outlineLevel="2">
      <c r="A1502" s="584"/>
      <c r="B1502" s="585" t="s">
        <v>805</v>
      </c>
      <c r="C1502" s="720">
        <v>0</v>
      </c>
      <c r="D1502" s="720">
        <v>1</v>
      </c>
      <c r="E1502" s="721">
        <f t="shared" ref="E1502:T1503" si="1351">D1502</f>
        <v>1</v>
      </c>
      <c r="F1502" s="721">
        <f t="shared" si="1351"/>
        <v>1</v>
      </c>
      <c r="G1502" s="721">
        <f t="shared" si="1351"/>
        <v>1</v>
      </c>
      <c r="H1502" s="721">
        <f t="shared" si="1351"/>
        <v>1</v>
      </c>
      <c r="I1502" s="721">
        <f t="shared" si="1351"/>
        <v>1</v>
      </c>
      <c r="J1502" s="721">
        <f t="shared" si="1351"/>
        <v>1</v>
      </c>
      <c r="K1502" s="721">
        <f t="shared" si="1351"/>
        <v>1</v>
      </c>
      <c r="L1502" s="721">
        <f t="shared" si="1351"/>
        <v>1</v>
      </c>
      <c r="M1502" s="721">
        <f t="shared" si="1351"/>
        <v>1</v>
      </c>
      <c r="N1502" s="721">
        <f t="shared" si="1351"/>
        <v>1</v>
      </c>
      <c r="O1502" s="721">
        <f t="shared" si="1351"/>
        <v>1</v>
      </c>
      <c r="P1502" s="721">
        <f t="shared" si="1351"/>
        <v>1</v>
      </c>
      <c r="Q1502" s="721">
        <f t="shared" si="1351"/>
        <v>1</v>
      </c>
      <c r="R1502" s="721">
        <f t="shared" si="1351"/>
        <v>1</v>
      </c>
      <c r="S1502" s="721">
        <f t="shared" si="1351"/>
        <v>1</v>
      </c>
      <c r="T1502" s="721">
        <f t="shared" si="1351"/>
        <v>1</v>
      </c>
      <c r="U1502" s="721">
        <f t="shared" ref="U1502:AF1503" si="1352">T1502</f>
        <v>1</v>
      </c>
      <c r="V1502" s="721">
        <f t="shared" si="1352"/>
        <v>1</v>
      </c>
      <c r="W1502" s="721">
        <f t="shared" si="1352"/>
        <v>1</v>
      </c>
      <c r="X1502" s="721">
        <f t="shared" si="1352"/>
        <v>1</v>
      </c>
      <c r="Y1502" s="721">
        <f t="shared" si="1352"/>
        <v>1</v>
      </c>
      <c r="Z1502" s="721">
        <f t="shared" si="1352"/>
        <v>1</v>
      </c>
      <c r="AA1502" s="721">
        <f t="shared" si="1352"/>
        <v>1</v>
      </c>
      <c r="AB1502" s="721">
        <f t="shared" si="1352"/>
        <v>1</v>
      </c>
      <c r="AC1502" s="721">
        <f t="shared" si="1352"/>
        <v>1</v>
      </c>
      <c r="AD1502" s="721">
        <f t="shared" si="1352"/>
        <v>1</v>
      </c>
      <c r="AE1502" s="721">
        <f t="shared" si="1352"/>
        <v>1</v>
      </c>
      <c r="AF1502" s="721">
        <f t="shared" si="1352"/>
        <v>1</v>
      </c>
      <c r="AG1502" s="721" t="e">
        <f t="shared" ref="AG1502" si="1353">AG1499</f>
        <v>#REF!</v>
      </c>
      <c r="AH1502" s="587"/>
      <c r="AK1502" s="588"/>
      <c r="AM1502" s="624"/>
      <c r="AN1502" s="590"/>
      <c r="AP1502" s="591"/>
      <c r="AQ1502" s="591"/>
    </row>
    <row r="1503" spans="1:43" s="586" customFormat="1" ht="16.5" hidden="1" customHeight="1" outlineLevel="2">
      <c r="A1503" s="584"/>
      <c r="B1503" s="585" t="s">
        <v>888</v>
      </c>
      <c r="C1503" s="632">
        <f>Insumos!$E$115</f>
        <v>600</v>
      </c>
      <c r="D1503" s="632">
        <f>C1503</f>
        <v>600</v>
      </c>
      <c r="E1503" s="632">
        <f t="shared" si="1351"/>
        <v>600</v>
      </c>
      <c r="F1503" s="632">
        <f t="shared" si="1351"/>
        <v>600</v>
      </c>
      <c r="G1503" s="632">
        <f t="shared" si="1351"/>
        <v>600</v>
      </c>
      <c r="H1503" s="632">
        <f t="shared" si="1351"/>
        <v>600</v>
      </c>
      <c r="I1503" s="632">
        <f t="shared" si="1351"/>
        <v>600</v>
      </c>
      <c r="J1503" s="632">
        <f t="shared" si="1351"/>
        <v>600</v>
      </c>
      <c r="K1503" s="632">
        <f t="shared" si="1351"/>
        <v>600</v>
      </c>
      <c r="L1503" s="632">
        <f t="shared" si="1351"/>
        <v>600</v>
      </c>
      <c r="M1503" s="632">
        <f t="shared" si="1351"/>
        <v>600</v>
      </c>
      <c r="N1503" s="632">
        <f t="shared" si="1351"/>
        <v>600</v>
      </c>
      <c r="O1503" s="632">
        <f t="shared" si="1351"/>
        <v>600</v>
      </c>
      <c r="P1503" s="632">
        <f t="shared" si="1351"/>
        <v>600</v>
      </c>
      <c r="Q1503" s="632">
        <f t="shared" si="1351"/>
        <v>600</v>
      </c>
      <c r="R1503" s="632">
        <f t="shared" si="1351"/>
        <v>600</v>
      </c>
      <c r="S1503" s="632">
        <f t="shared" si="1351"/>
        <v>600</v>
      </c>
      <c r="T1503" s="632">
        <f t="shared" si="1351"/>
        <v>600</v>
      </c>
      <c r="U1503" s="632">
        <f t="shared" si="1352"/>
        <v>600</v>
      </c>
      <c r="V1503" s="632">
        <f t="shared" si="1352"/>
        <v>600</v>
      </c>
      <c r="W1503" s="632">
        <f t="shared" si="1352"/>
        <v>600</v>
      </c>
      <c r="X1503" s="632">
        <f t="shared" si="1352"/>
        <v>600</v>
      </c>
      <c r="Y1503" s="632">
        <f t="shared" si="1352"/>
        <v>600</v>
      </c>
      <c r="Z1503" s="632">
        <f t="shared" si="1352"/>
        <v>600</v>
      </c>
      <c r="AA1503" s="632">
        <f t="shared" si="1352"/>
        <v>600</v>
      </c>
      <c r="AB1503" s="632">
        <f t="shared" si="1352"/>
        <v>600</v>
      </c>
      <c r="AC1503" s="632">
        <f t="shared" si="1352"/>
        <v>600</v>
      </c>
      <c r="AD1503" s="632">
        <f t="shared" si="1352"/>
        <v>600</v>
      </c>
      <c r="AE1503" s="632">
        <f t="shared" si="1352"/>
        <v>600</v>
      </c>
      <c r="AF1503" s="632">
        <f t="shared" si="1352"/>
        <v>600</v>
      </c>
      <c r="AH1503" s="587"/>
      <c r="AK1503" s="588"/>
      <c r="AM1503" s="624"/>
      <c r="AN1503" s="590"/>
      <c r="AP1503" s="591"/>
      <c r="AQ1503" s="591"/>
    </row>
    <row r="1504" spans="1:43" s="634" customFormat="1" ht="16.5" hidden="1" customHeight="1" outlineLevel="2">
      <c r="A1504" s="584"/>
      <c r="B1504" s="580" t="s">
        <v>1051</v>
      </c>
      <c r="C1504" s="637">
        <f>C1505*C1506</f>
        <v>0</v>
      </c>
      <c r="D1504" s="637">
        <f t="shared" ref="D1504:AF1504" si="1354">D1505*D1506</f>
        <v>115</v>
      </c>
      <c r="E1504" s="637">
        <f t="shared" si="1354"/>
        <v>115</v>
      </c>
      <c r="F1504" s="637">
        <f t="shared" si="1354"/>
        <v>115</v>
      </c>
      <c r="G1504" s="637">
        <f t="shared" si="1354"/>
        <v>115</v>
      </c>
      <c r="H1504" s="637">
        <f t="shared" si="1354"/>
        <v>115</v>
      </c>
      <c r="I1504" s="637">
        <f t="shared" si="1354"/>
        <v>115</v>
      </c>
      <c r="J1504" s="637">
        <f t="shared" si="1354"/>
        <v>115</v>
      </c>
      <c r="K1504" s="637">
        <f t="shared" si="1354"/>
        <v>115</v>
      </c>
      <c r="L1504" s="637">
        <f t="shared" si="1354"/>
        <v>115</v>
      </c>
      <c r="M1504" s="637">
        <f t="shared" si="1354"/>
        <v>115</v>
      </c>
      <c r="N1504" s="637">
        <f t="shared" si="1354"/>
        <v>115</v>
      </c>
      <c r="O1504" s="637">
        <f t="shared" si="1354"/>
        <v>115</v>
      </c>
      <c r="P1504" s="637">
        <f t="shared" si="1354"/>
        <v>115</v>
      </c>
      <c r="Q1504" s="637">
        <f t="shared" si="1354"/>
        <v>115</v>
      </c>
      <c r="R1504" s="637">
        <f t="shared" si="1354"/>
        <v>115</v>
      </c>
      <c r="S1504" s="637">
        <f t="shared" si="1354"/>
        <v>115</v>
      </c>
      <c r="T1504" s="637">
        <f t="shared" si="1354"/>
        <v>115</v>
      </c>
      <c r="U1504" s="637">
        <f t="shared" si="1354"/>
        <v>115</v>
      </c>
      <c r="V1504" s="637">
        <f t="shared" si="1354"/>
        <v>115</v>
      </c>
      <c r="W1504" s="637">
        <f t="shared" si="1354"/>
        <v>115</v>
      </c>
      <c r="X1504" s="637">
        <f t="shared" si="1354"/>
        <v>115</v>
      </c>
      <c r="Y1504" s="637">
        <f t="shared" si="1354"/>
        <v>115</v>
      </c>
      <c r="Z1504" s="637">
        <f t="shared" si="1354"/>
        <v>115</v>
      </c>
      <c r="AA1504" s="637">
        <f t="shared" si="1354"/>
        <v>115</v>
      </c>
      <c r="AB1504" s="637">
        <f t="shared" si="1354"/>
        <v>115</v>
      </c>
      <c r="AC1504" s="637">
        <f t="shared" si="1354"/>
        <v>115</v>
      </c>
      <c r="AD1504" s="637">
        <f t="shared" si="1354"/>
        <v>115</v>
      </c>
      <c r="AE1504" s="637">
        <f t="shared" si="1354"/>
        <v>115</v>
      </c>
      <c r="AF1504" s="637">
        <f t="shared" si="1354"/>
        <v>115</v>
      </c>
      <c r="AH1504" s="635"/>
      <c r="AK1504" s="588"/>
      <c r="AM1504" s="624"/>
      <c r="AN1504" s="590"/>
      <c r="AP1504" s="636"/>
      <c r="AQ1504" s="636"/>
    </row>
    <row r="1505" spans="1:43" s="586" customFormat="1" ht="16.5" hidden="1" customHeight="1" outlineLevel="2">
      <c r="A1505" s="584"/>
      <c r="B1505" s="585" t="s">
        <v>805</v>
      </c>
      <c r="C1505" s="720">
        <v>0</v>
      </c>
      <c r="D1505" s="720">
        <v>1</v>
      </c>
      <c r="E1505" s="721">
        <f t="shared" ref="E1505:T1506" si="1355">D1505</f>
        <v>1</v>
      </c>
      <c r="F1505" s="721">
        <f t="shared" si="1355"/>
        <v>1</v>
      </c>
      <c r="G1505" s="721">
        <f t="shared" si="1355"/>
        <v>1</v>
      </c>
      <c r="H1505" s="721">
        <f t="shared" si="1355"/>
        <v>1</v>
      </c>
      <c r="I1505" s="721">
        <f t="shared" si="1355"/>
        <v>1</v>
      </c>
      <c r="J1505" s="721">
        <f t="shared" si="1355"/>
        <v>1</v>
      </c>
      <c r="K1505" s="721">
        <f t="shared" si="1355"/>
        <v>1</v>
      </c>
      <c r="L1505" s="721">
        <f t="shared" si="1355"/>
        <v>1</v>
      </c>
      <c r="M1505" s="721">
        <f t="shared" si="1355"/>
        <v>1</v>
      </c>
      <c r="N1505" s="721">
        <f t="shared" si="1355"/>
        <v>1</v>
      </c>
      <c r="O1505" s="721">
        <f t="shared" si="1355"/>
        <v>1</v>
      </c>
      <c r="P1505" s="721">
        <f t="shared" si="1355"/>
        <v>1</v>
      </c>
      <c r="Q1505" s="721">
        <f t="shared" si="1355"/>
        <v>1</v>
      </c>
      <c r="R1505" s="721">
        <f t="shared" si="1355"/>
        <v>1</v>
      </c>
      <c r="S1505" s="721">
        <f t="shared" si="1355"/>
        <v>1</v>
      </c>
      <c r="T1505" s="721">
        <f t="shared" si="1355"/>
        <v>1</v>
      </c>
      <c r="U1505" s="721">
        <f t="shared" ref="U1505:AF1506" si="1356">T1505</f>
        <v>1</v>
      </c>
      <c r="V1505" s="721">
        <f t="shared" si="1356"/>
        <v>1</v>
      </c>
      <c r="W1505" s="721">
        <f t="shared" si="1356"/>
        <v>1</v>
      </c>
      <c r="X1505" s="721">
        <f t="shared" si="1356"/>
        <v>1</v>
      </c>
      <c r="Y1505" s="721">
        <f t="shared" si="1356"/>
        <v>1</v>
      </c>
      <c r="Z1505" s="721">
        <f t="shared" si="1356"/>
        <v>1</v>
      </c>
      <c r="AA1505" s="721">
        <f t="shared" si="1356"/>
        <v>1</v>
      </c>
      <c r="AB1505" s="721">
        <f t="shared" si="1356"/>
        <v>1</v>
      </c>
      <c r="AC1505" s="721">
        <f t="shared" si="1356"/>
        <v>1</v>
      </c>
      <c r="AD1505" s="721">
        <f t="shared" si="1356"/>
        <v>1</v>
      </c>
      <c r="AE1505" s="721">
        <f t="shared" si="1356"/>
        <v>1</v>
      </c>
      <c r="AF1505" s="721">
        <f t="shared" si="1356"/>
        <v>1</v>
      </c>
      <c r="AG1505" s="721" t="e">
        <f t="shared" ref="AG1505" si="1357">AG1502</f>
        <v>#REF!</v>
      </c>
      <c r="AH1505" s="587"/>
      <c r="AK1505" s="588"/>
      <c r="AM1505" s="624"/>
      <c r="AN1505" s="590"/>
      <c r="AP1505" s="591"/>
      <c r="AQ1505" s="591"/>
    </row>
    <row r="1506" spans="1:43" s="586" customFormat="1" ht="16.5" hidden="1" customHeight="1" outlineLevel="2">
      <c r="A1506" s="584"/>
      <c r="B1506" s="585" t="s">
        <v>888</v>
      </c>
      <c r="C1506" s="632">
        <f>Insumos!$E$143</f>
        <v>115</v>
      </c>
      <c r="D1506" s="632">
        <f>C1506</f>
        <v>115</v>
      </c>
      <c r="E1506" s="632">
        <f t="shared" si="1355"/>
        <v>115</v>
      </c>
      <c r="F1506" s="632">
        <f t="shared" si="1355"/>
        <v>115</v>
      </c>
      <c r="G1506" s="632">
        <f t="shared" si="1355"/>
        <v>115</v>
      </c>
      <c r="H1506" s="632">
        <f t="shared" si="1355"/>
        <v>115</v>
      </c>
      <c r="I1506" s="632">
        <f t="shared" si="1355"/>
        <v>115</v>
      </c>
      <c r="J1506" s="632">
        <f t="shared" si="1355"/>
        <v>115</v>
      </c>
      <c r="K1506" s="632">
        <f t="shared" si="1355"/>
        <v>115</v>
      </c>
      <c r="L1506" s="632">
        <f t="shared" si="1355"/>
        <v>115</v>
      </c>
      <c r="M1506" s="632">
        <f t="shared" si="1355"/>
        <v>115</v>
      </c>
      <c r="N1506" s="632">
        <f t="shared" si="1355"/>
        <v>115</v>
      </c>
      <c r="O1506" s="632">
        <f t="shared" si="1355"/>
        <v>115</v>
      </c>
      <c r="P1506" s="632">
        <f t="shared" si="1355"/>
        <v>115</v>
      </c>
      <c r="Q1506" s="632">
        <f t="shared" si="1355"/>
        <v>115</v>
      </c>
      <c r="R1506" s="632">
        <f t="shared" si="1355"/>
        <v>115</v>
      </c>
      <c r="S1506" s="632">
        <f t="shared" si="1355"/>
        <v>115</v>
      </c>
      <c r="T1506" s="632">
        <f t="shared" si="1355"/>
        <v>115</v>
      </c>
      <c r="U1506" s="632">
        <f t="shared" si="1356"/>
        <v>115</v>
      </c>
      <c r="V1506" s="632">
        <f t="shared" si="1356"/>
        <v>115</v>
      </c>
      <c r="W1506" s="632">
        <f t="shared" si="1356"/>
        <v>115</v>
      </c>
      <c r="X1506" s="632">
        <f t="shared" si="1356"/>
        <v>115</v>
      </c>
      <c r="Y1506" s="632">
        <f t="shared" si="1356"/>
        <v>115</v>
      </c>
      <c r="Z1506" s="632">
        <f t="shared" si="1356"/>
        <v>115</v>
      </c>
      <c r="AA1506" s="632">
        <f t="shared" si="1356"/>
        <v>115</v>
      </c>
      <c r="AB1506" s="632">
        <f t="shared" si="1356"/>
        <v>115</v>
      </c>
      <c r="AC1506" s="632">
        <f t="shared" si="1356"/>
        <v>115</v>
      </c>
      <c r="AD1506" s="632">
        <f t="shared" si="1356"/>
        <v>115</v>
      </c>
      <c r="AE1506" s="632">
        <f t="shared" si="1356"/>
        <v>115</v>
      </c>
      <c r="AF1506" s="632">
        <f t="shared" si="1356"/>
        <v>115</v>
      </c>
      <c r="AH1506" s="587"/>
      <c r="AK1506" s="588"/>
      <c r="AM1506" s="624"/>
      <c r="AN1506" s="590"/>
      <c r="AP1506" s="591"/>
      <c r="AQ1506" s="591"/>
    </row>
    <row r="1507" spans="1:43" s="634" customFormat="1" ht="16.5" hidden="1" customHeight="1" outlineLevel="2">
      <c r="A1507" s="584"/>
      <c r="B1507" s="580" t="s">
        <v>1052</v>
      </c>
      <c r="C1507" s="637">
        <f>C1508*C1509</f>
        <v>0</v>
      </c>
      <c r="D1507" s="637">
        <f t="shared" ref="D1507:AF1507" si="1358">D1508*D1509</f>
        <v>47.5</v>
      </c>
      <c r="E1507" s="637">
        <f t="shared" si="1358"/>
        <v>47.5</v>
      </c>
      <c r="F1507" s="637">
        <f t="shared" si="1358"/>
        <v>47.5</v>
      </c>
      <c r="G1507" s="637">
        <f t="shared" si="1358"/>
        <v>47.5</v>
      </c>
      <c r="H1507" s="637">
        <f t="shared" si="1358"/>
        <v>47.5</v>
      </c>
      <c r="I1507" s="637">
        <f t="shared" si="1358"/>
        <v>47.5</v>
      </c>
      <c r="J1507" s="637">
        <f t="shared" si="1358"/>
        <v>47.5</v>
      </c>
      <c r="K1507" s="637">
        <f t="shared" si="1358"/>
        <v>47.5</v>
      </c>
      <c r="L1507" s="637">
        <f t="shared" si="1358"/>
        <v>47.5</v>
      </c>
      <c r="M1507" s="637">
        <f t="shared" si="1358"/>
        <v>47.5</v>
      </c>
      <c r="N1507" s="637">
        <f t="shared" si="1358"/>
        <v>47.5</v>
      </c>
      <c r="O1507" s="637">
        <f t="shared" si="1358"/>
        <v>47.5</v>
      </c>
      <c r="P1507" s="637">
        <f t="shared" si="1358"/>
        <v>47.5</v>
      </c>
      <c r="Q1507" s="637">
        <f t="shared" si="1358"/>
        <v>47.5</v>
      </c>
      <c r="R1507" s="637">
        <f t="shared" si="1358"/>
        <v>47.5</v>
      </c>
      <c r="S1507" s="637">
        <f t="shared" si="1358"/>
        <v>47.5</v>
      </c>
      <c r="T1507" s="637">
        <f t="shared" si="1358"/>
        <v>47.5</v>
      </c>
      <c r="U1507" s="637">
        <f t="shared" si="1358"/>
        <v>47.5</v>
      </c>
      <c r="V1507" s="637">
        <f t="shared" si="1358"/>
        <v>47.5</v>
      </c>
      <c r="W1507" s="637">
        <f t="shared" si="1358"/>
        <v>47.5</v>
      </c>
      <c r="X1507" s="637">
        <f t="shared" si="1358"/>
        <v>47.5</v>
      </c>
      <c r="Y1507" s="637">
        <f t="shared" si="1358"/>
        <v>47.5</v>
      </c>
      <c r="Z1507" s="637">
        <f t="shared" si="1358"/>
        <v>47.5</v>
      </c>
      <c r="AA1507" s="637">
        <f t="shared" si="1358"/>
        <v>47.5</v>
      </c>
      <c r="AB1507" s="637">
        <f t="shared" si="1358"/>
        <v>47.5</v>
      </c>
      <c r="AC1507" s="637">
        <f t="shared" si="1358"/>
        <v>47.5</v>
      </c>
      <c r="AD1507" s="637">
        <f t="shared" si="1358"/>
        <v>47.5</v>
      </c>
      <c r="AE1507" s="637">
        <f t="shared" si="1358"/>
        <v>47.5</v>
      </c>
      <c r="AF1507" s="637">
        <f t="shared" si="1358"/>
        <v>47.5</v>
      </c>
      <c r="AH1507" s="635"/>
      <c r="AK1507" s="588"/>
      <c r="AM1507" s="624"/>
      <c r="AN1507" s="590"/>
      <c r="AP1507" s="636"/>
      <c r="AQ1507" s="636"/>
    </row>
    <row r="1508" spans="1:43" s="586" customFormat="1" ht="16.5" hidden="1" customHeight="1" outlineLevel="2">
      <c r="A1508" s="584"/>
      <c r="B1508" s="585" t="s">
        <v>805</v>
      </c>
      <c r="C1508" s="720">
        <v>0</v>
      </c>
      <c r="D1508" s="720">
        <v>2</v>
      </c>
      <c r="E1508" s="721">
        <f t="shared" ref="E1508:T1509" si="1359">D1508</f>
        <v>2</v>
      </c>
      <c r="F1508" s="721">
        <f t="shared" si="1359"/>
        <v>2</v>
      </c>
      <c r="G1508" s="721">
        <f t="shared" si="1359"/>
        <v>2</v>
      </c>
      <c r="H1508" s="721">
        <f t="shared" si="1359"/>
        <v>2</v>
      </c>
      <c r="I1508" s="721">
        <f t="shared" si="1359"/>
        <v>2</v>
      </c>
      <c r="J1508" s="721">
        <f t="shared" si="1359"/>
        <v>2</v>
      </c>
      <c r="K1508" s="721">
        <f t="shared" si="1359"/>
        <v>2</v>
      </c>
      <c r="L1508" s="721">
        <f t="shared" si="1359"/>
        <v>2</v>
      </c>
      <c r="M1508" s="721">
        <f t="shared" si="1359"/>
        <v>2</v>
      </c>
      <c r="N1508" s="721">
        <f t="shared" si="1359"/>
        <v>2</v>
      </c>
      <c r="O1508" s="721">
        <f t="shared" si="1359"/>
        <v>2</v>
      </c>
      <c r="P1508" s="721">
        <f t="shared" si="1359"/>
        <v>2</v>
      </c>
      <c r="Q1508" s="721">
        <f t="shared" si="1359"/>
        <v>2</v>
      </c>
      <c r="R1508" s="721">
        <f t="shared" si="1359"/>
        <v>2</v>
      </c>
      <c r="S1508" s="721">
        <f t="shared" si="1359"/>
        <v>2</v>
      </c>
      <c r="T1508" s="721">
        <f t="shared" si="1359"/>
        <v>2</v>
      </c>
      <c r="U1508" s="721">
        <f t="shared" ref="U1508:AF1509" si="1360">T1508</f>
        <v>2</v>
      </c>
      <c r="V1508" s="721">
        <f t="shared" si="1360"/>
        <v>2</v>
      </c>
      <c r="W1508" s="721">
        <f t="shared" si="1360"/>
        <v>2</v>
      </c>
      <c r="X1508" s="721">
        <f t="shared" si="1360"/>
        <v>2</v>
      </c>
      <c r="Y1508" s="721">
        <f t="shared" si="1360"/>
        <v>2</v>
      </c>
      <c r="Z1508" s="721">
        <f t="shared" si="1360"/>
        <v>2</v>
      </c>
      <c r="AA1508" s="721">
        <f t="shared" si="1360"/>
        <v>2</v>
      </c>
      <c r="AB1508" s="721">
        <f t="shared" si="1360"/>
        <v>2</v>
      </c>
      <c r="AC1508" s="721">
        <f t="shared" si="1360"/>
        <v>2</v>
      </c>
      <c r="AD1508" s="721">
        <f t="shared" si="1360"/>
        <v>2</v>
      </c>
      <c r="AE1508" s="721">
        <f t="shared" si="1360"/>
        <v>2</v>
      </c>
      <c r="AF1508" s="721">
        <f t="shared" si="1360"/>
        <v>2</v>
      </c>
      <c r="AG1508" s="721" t="e">
        <f t="shared" ref="AG1508" si="1361">AG1505</f>
        <v>#REF!</v>
      </c>
      <c r="AH1508" s="587"/>
      <c r="AK1508" s="588"/>
      <c r="AM1508" s="624"/>
      <c r="AN1508" s="590"/>
      <c r="AP1508" s="591"/>
      <c r="AQ1508" s="591"/>
    </row>
    <row r="1509" spans="1:43" s="586" customFormat="1" ht="16.5" hidden="1" customHeight="1" outlineLevel="2">
      <c r="A1509" s="584"/>
      <c r="B1509" s="585" t="s">
        <v>888</v>
      </c>
      <c r="C1509" s="632">
        <f>Insumos!$E$144</f>
        <v>23.75</v>
      </c>
      <c r="D1509" s="632">
        <f>C1509</f>
        <v>23.75</v>
      </c>
      <c r="E1509" s="632">
        <f t="shared" si="1359"/>
        <v>23.75</v>
      </c>
      <c r="F1509" s="632">
        <f t="shared" si="1359"/>
        <v>23.75</v>
      </c>
      <c r="G1509" s="632">
        <f t="shared" si="1359"/>
        <v>23.75</v>
      </c>
      <c r="H1509" s="632">
        <f t="shared" si="1359"/>
        <v>23.75</v>
      </c>
      <c r="I1509" s="632">
        <f t="shared" si="1359"/>
        <v>23.75</v>
      </c>
      <c r="J1509" s="632">
        <f t="shared" si="1359"/>
        <v>23.75</v>
      </c>
      <c r="K1509" s="632">
        <f t="shared" si="1359"/>
        <v>23.75</v>
      </c>
      <c r="L1509" s="632">
        <f t="shared" si="1359"/>
        <v>23.75</v>
      </c>
      <c r="M1509" s="632">
        <f t="shared" si="1359"/>
        <v>23.75</v>
      </c>
      <c r="N1509" s="632">
        <f t="shared" si="1359"/>
        <v>23.75</v>
      </c>
      <c r="O1509" s="632">
        <f t="shared" si="1359"/>
        <v>23.75</v>
      </c>
      <c r="P1509" s="632">
        <f t="shared" si="1359"/>
        <v>23.75</v>
      </c>
      <c r="Q1509" s="632">
        <f t="shared" si="1359"/>
        <v>23.75</v>
      </c>
      <c r="R1509" s="632">
        <f t="shared" si="1359"/>
        <v>23.75</v>
      </c>
      <c r="S1509" s="632">
        <f t="shared" si="1359"/>
        <v>23.75</v>
      </c>
      <c r="T1509" s="632">
        <f t="shared" si="1359"/>
        <v>23.75</v>
      </c>
      <c r="U1509" s="632">
        <f t="shared" si="1360"/>
        <v>23.75</v>
      </c>
      <c r="V1509" s="632">
        <f t="shared" si="1360"/>
        <v>23.75</v>
      </c>
      <c r="W1509" s="632">
        <f t="shared" si="1360"/>
        <v>23.75</v>
      </c>
      <c r="X1509" s="632">
        <f t="shared" si="1360"/>
        <v>23.75</v>
      </c>
      <c r="Y1509" s="632">
        <f t="shared" si="1360"/>
        <v>23.75</v>
      </c>
      <c r="Z1509" s="632">
        <f t="shared" si="1360"/>
        <v>23.75</v>
      </c>
      <c r="AA1509" s="632">
        <f t="shared" si="1360"/>
        <v>23.75</v>
      </c>
      <c r="AB1509" s="632">
        <f t="shared" si="1360"/>
        <v>23.75</v>
      </c>
      <c r="AC1509" s="632">
        <f t="shared" si="1360"/>
        <v>23.75</v>
      </c>
      <c r="AD1509" s="632">
        <f t="shared" si="1360"/>
        <v>23.75</v>
      </c>
      <c r="AE1509" s="632">
        <f t="shared" si="1360"/>
        <v>23.75</v>
      </c>
      <c r="AF1509" s="632">
        <f t="shared" si="1360"/>
        <v>23.75</v>
      </c>
      <c r="AH1509" s="587"/>
      <c r="AK1509" s="588"/>
      <c r="AM1509" s="624"/>
      <c r="AN1509" s="590"/>
      <c r="AP1509" s="591"/>
      <c r="AQ1509" s="591"/>
    </row>
    <row r="1510" spans="1:43" s="634" customFormat="1" ht="16.5" hidden="1" customHeight="1" outlineLevel="2">
      <c r="A1510" s="584"/>
      <c r="B1510" s="580" t="s">
        <v>1053</v>
      </c>
      <c r="C1510" s="637">
        <f>C1511*C1512</f>
        <v>0</v>
      </c>
      <c r="D1510" s="637">
        <f t="shared" ref="D1510:AF1510" si="1362">D1511*D1512</f>
        <v>1600</v>
      </c>
      <c r="E1510" s="637">
        <f t="shared" si="1362"/>
        <v>1600</v>
      </c>
      <c r="F1510" s="637">
        <f t="shared" si="1362"/>
        <v>1600</v>
      </c>
      <c r="G1510" s="637">
        <f t="shared" si="1362"/>
        <v>1600</v>
      </c>
      <c r="H1510" s="637">
        <f t="shared" si="1362"/>
        <v>1600</v>
      </c>
      <c r="I1510" s="637">
        <f t="shared" si="1362"/>
        <v>1600</v>
      </c>
      <c r="J1510" s="637">
        <f t="shared" si="1362"/>
        <v>1600</v>
      </c>
      <c r="K1510" s="637">
        <f t="shared" si="1362"/>
        <v>1600</v>
      </c>
      <c r="L1510" s="637">
        <f t="shared" si="1362"/>
        <v>1600</v>
      </c>
      <c r="M1510" s="637">
        <f t="shared" si="1362"/>
        <v>1600</v>
      </c>
      <c r="N1510" s="637">
        <f t="shared" si="1362"/>
        <v>1600</v>
      </c>
      <c r="O1510" s="637">
        <f t="shared" si="1362"/>
        <v>1600</v>
      </c>
      <c r="P1510" s="637">
        <f t="shared" si="1362"/>
        <v>1600</v>
      </c>
      <c r="Q1510" s="637">
        <f t="shared" si="1362"/>
        <v>1600</v>
      </c>
      <c r="R1510" s="637">
        <f t="shared" si="1362"/>
        <v>1600</v>
      </c>
      <c r="S1510" s="637">
        <f t="shared" si="1362"/>
        <v>1600</v>
      </c>
      <c r="T1510" s="637">
        <f t="shared" si="1362"/>
        <v>1600</v>
      </c>
      <c r="U1510" s="637">
        <f t="shared" si="1362"/>
        <v>1600</v>
      </c>
      <c r="V1510" s="637">
        <f t="shared" si="1362"/>
        <v>1600</v>
      </c>
      <c r="W1510" s="637">
        <f t="shared" si="1362"/>
        <v>1600</v>
      </c>
      <c r="X1510" s="637">
        <f t="shared" si="1362"/>
        <v>1600</v>
      </c>
      <c r="Y1510" s="637">
        <f t="shared" si="1362"/>
        <v>1600</v>
      </c>
      <c r="Z1510" s="637">
        <f t="shared" si="1362"/>
        <v>1600</v>
      </c>
      <c r="AA1510" s="637">
        <f t="shared" si="1362"/>
        <v>1600</v>
      </c>
      <c r="AB1510" s="637">
        <f t="shared" si="1362"/>
        <v>1600</v>
      </c>
      <c r="AC1510" s="637">
        <f t="shared" si="1362"/>
        <v>1600</v>
      </c>
      <c r="AD1510" s="637">
        <f t="shared" si="1362"/>
        <v>1600</v>
      </c>
      <c r="AE1510" s="637">
        <f t="shared" si="1362"/>
        <v>1600</v>
      </c>
      <c r="AF1510" s="637">
        <f t="shared" si="1362"/>
        <v>1600</v>
      </c>
      <c r="AH1510" s="635"/>
      <c r="AK1510" s="588"/>
      <c r="AM1510" s="624"/>
      <c r="AN1510" s="590"/>
      <c r="AP1510" s="636"/>
      <c r="AQ1510" s="636"/>
    </row>
    <row r="1511" spans="1:43" s="586" customFormat="1" ht="16.5" hidden="1" customHeight="1" outlineLevel="2">
      <c r="A1511" s="584"/>
      <c r="B1511" s="585" t="s">
        <v>805</v>
      </c>
      <c r="C1511" s="720">
        <v>0</v>
      </c>
      <c r="D1511" s="720">
        <v>1</v>
      </c>
      <c r="E1511" s="721">
        <f t="shared" ref="E1511:T1512" si="1363">D1511</f>
        <v>1</v>
      </c>
      <c r="F1511" s="721">
        <f t="shared" si="1363"/>
        <v>1</v>
      </c>
      <c r="G1511" s="721">
        <f t="shared" si="1363"/>
        <v>1</v>
      </c>
      <c r="H1511" s="721">
        <f t="shared" si="1363"/>
        <v>1</v>
      </c>
      <c r="I1511" s="721">
        <f t="shared" si="1363"/>
        <v>1</v>
      </c>
      <c r="J1511" s="721">
        <f t="shared" si="1363"/>
        <v>1</v>
      </c>
      <c r="K1511" s="721">
        <f t="shared" si="1363"/>
        <v>1</v>
      </c>
      <c r="L1511" s="721">
        <f t="shared" si="1363"/>
        <v>1</v>
      </c>
      <c r="M1511" s="721">
        <f t="shared" si="1363"/>
        <v>1</v>
      </c>
      <c r="N1511" s="721">
        <f t="shared" si="1363"/>
        <v>1</v>
      </c>
      <c r="O1511" s="721">
        <f t="shared" si="1363"/>
        <v>1</v>
      </c>
      <c r="P1511" s="721">
        <f t="shared" si="1363"/>
        <v>1</v>
      </c>
      <c r="Q1511" s="721">
        <f t="shared" si="1363"/>
        <v>1</v>
      </c>
      <c r="R1511" s="721">
        <f t="shared" si="1363"/>
        <v>1</v>
      </c>
      <c r="S1511" s="721">
        <f t="shared" si="1363"/>
        <v>1</v>
      </c>
      <c r="T1511" s="721">
        <f t="shared" si="1363"/>
        <v>1</v>
      </c>
      <c r="U1511" s="721">
        <f t="shared" ref="U1511:AF1512" si="1364">T1511</f>
        <v>1</v>
      </c>
      <c r="V1511" s="721">
        <f t="shared" si="1364"/>
        <v>1</v>
      </c>
      <c r="W1511" s="721">
        <f t="shared" si="1364"/>
        <v>1</v>
      </c>
      <c r="X1511" s="721">
        <f t="shared" si="1364"/>
        <v>1</v>
      </c>
      <c r="Y1511" s="721">
        <f t="shared" si="1364"/>
        <v>1</v>
      </c>
      <c r="Z1511" s="721">
        <f t="shared" si="1364"/>
        <v>1</v>
      </c>
      <c r="AA1511" s="721">
        <f t="shared" si="1364"/>
        <v>1</v>
      </c>
      <c r="AB1511" s="721">
        <f t="shared" si="1364"/>
        <v>1</v>
      </c>
      <c r="AC1511" s="721">
        <f t="shared" si="1364"/>
        <v>1</v>
      </c>
      <c r="AD1511" s="721">
        <f t="shared" si="1364"/>
        <v>1</v>
      </c>
      <c r="AE1511" s="721">
        <f t="shared" si="1364"/>
        <v>1</v>
      </c>
      <c r="AF1511" s="721">
        <f t="shared" si="1364"/>
        <v>1</v>
      </c>
      <c r="AG1511" s="721" t="e">
        <f t="shared" ref="AG1511" si="1365">AG1508</f>
        <v>#REF!</v>
      </c>
      <c r="AH1511" s="587"/>
      <c r="AK1511" s="588"/>
      <c r="AM1511" s="624"/>
      <c r="AN1511" s="590"/>
      <c r="AP1511" s="591"/>
      <c r="AQ1511" s="591"/>
    </row>
    <row r="1512" spans="1:43" s="586" customFormat="1" ht="16.5" hidden="1" customHeight="1" outlineLevel="2">
      <c r="A1512" s="584"/>
      <c r="B1512" s="585" t="s">
        <v>888</v>
      </c>
      <c r="C1512" s="632">
        <f>Insumos!$E$148</f>
        <v>1600</v>
      </c>
      <c r="D1512" s="632">
        <f>C1512</f>
        <v>1600</v>
      </c>
      <c r="E1512" s="632">
        <f t="shared" si="1363"/>
        <v>1600</v>
      </c>
      <c r="F1512" s="632">
        <f t="shared" si="1363"/>
        <v>1600</v>
      </c>
      <c r="G1512" s="632">
        <f t="shared" si="1363"/>
        <v>1600</v>
      </c>
      <c r="H1512" s="632">
        <f t="shared" si="1363"/>
        <v>1600</v>
      </c>
      <c r="I1512" s="632">
        <f t="shared" si="1363"/>
        <v>1600</v>
      </c>
      <c r="J1512" s="632">
        <f t="shared" si="1363"/>
        <v>1600</v>
      </c>
      <c r="K1512" s="632">
        <f t="shared" si="1363"/>
        <v>1600</v>
      </c>
      <c r="L1512" s="632">
        <f t="shared" si="1363"/>
        <v>1600</v>
      </c>
      <c r="M1512" s="632">
        <f t="shared" si="1363"/>
        <v>1600</v>
      </c>
      <c r="N1512" s="632">
        <f t="shared" si="1363"/>
        <v>1600</v>
      </c>
      <c r="O1512" s="632">
        <f t="shared" si="1363"/>
        <v>1600</v>
      </c>
      <c r="P1512" s="632">
        <f t="shared" si="1363"/>
        <v>1600</v>
      </c>
      <c r="Q1512" s="632">
        <f t="shared" si="1363"/>
        <v>1600</v>
      </c>
      <c r="R1512" s="632">
        <f t="shared" si="1363"/>
        <v>1600</v>
      </c>
      <c r="S1512" s="632">
        <f t="shared" si="1363"/>
        <v>1600</v>
      </c>
      <c r="T1512" s="632">
        <f t="shared" si="1363"/>
        <v>1600</v>
      </c>
      <c r="U1512" s="632">
        <f t="shared" si="1364"/>
        <v>1600</v>
      </c>
      <c r="V1512" s="632">
        <f t="shared" si="1364"/>
        <v>1600</v>
      </c>
      <c r="W1512" s="632">
        <f t="shared" si="1364"/>
        <v>1600</v>
      </c>
      <c r="X1512" s="632">
        <f t="shared" si="1364"/>
        <v>1600</v>
      </c>
      <c r="Y1512" s="632">
        <f t="shared" si="1364"/>
        <v>1600</v>
      </c>
      <c r="Z1512" s="632">
        <f t="shared" si="1364"/>
        <v>1600</v>
      </c>
      <c r="AA1512" s="632">
        <f t="shared" si="1364"/>
        <v>1600</v>
      </c>
      <c r="AB1512" s="632">
        <f t="shared" si="1364"/>
        <v>1600</v>
      </c>
      <c r="AC1512" s="632">
        <f t="shared" si="1364"/>
        <v>1600</v>
      </c>
      <c r="AD1512" s="632">
        <f t="shared" si="1364"/>
        <v>1600</v>
      </c>
      <c r="AE1512" s="632">
        <f t="shared" si="1364"/>
        <v>1600</v>
      </c>
      <c r="AF1512" s="632">
        <f t="shared" si="1364"/>
        <v>1600</v>
      </c>
      <c r="AH1512" s="587"/>
      <c r="AK1512" s="588"/>
      <c r="AM1512" s="624"/>
      <c r="AN1512" s="590"/>
      <c r="AP1512" s="591"/>
      <c r="AQ1512" s="591"/>
    </row>
    <row r="1513" spans="1:43" s="634" customFormat="1" ht="16.5" hidden="1" customHeight="1" outlineLevel="2">
      <c r="A1513" s="584"/>
      <c r="B1513" s="580" t="s">
        <v>1054</v>
      </c>
      <c r="C1513" s="637">
        <f>C1514*C1515</f>
        <v>25000</v>
      </c>
      <c r="D1513" s="637">
        <f t="shared" ref="D1513:AF1513" si="1366">D1514*D1515</f>
        <v>25000</v>
      </c>
      <c r="E1513" s="637">
        <f t="shared" si="1366"/>
        <v>25000</v>
      </c>
      <c r="F1513" s="637">
        <f t="shared" si="1366"/>
        <v>25000</v>
      </c>
      <c r="G1513" s="637">
        <f t="shared" si="1366"/>
        <v>25000</v>
      </c>
      <c r="H1513" s="637">
        <f t="shared" si="1366"/>
        <v>25000</v>
      </c>
      <c r="I1513" s="637">
        <f t="shared" si="1366"/>
        <v>25000</v>
      </c>
      <c r="J1513" s="637">
        <f t="shared" si="1366"/>
        <v>25000</v>
      </c>
      <c r="K1513" s="637">
        <f t="shared" si="1366"/>
        <v>25000</v>
      </c>
      <c r="L1513" s="637">
        <f t="shared" si="1366"/>
        <v>25000</v>
      </c>
      <c r="M1513" s="637">
        <f t="shared" si="1366"/>
        <v>25000</v>
      </c>
      <c r="N1513" s="637">
        <f t="shared" si="1366"/>
        <v>25000</v>
      </c>
      <c r="O1513" s="637">
        <f t="shared" si="1366"/>
        <v>25000</v>
      </c>
      <c r="P1513" s="637">
        <f t="shared" si="1366"/>
        <v>25000</v>
      </c>
      <c r="Q1513" s="637">
        <f t="shared" si="1366"/>
        <v>25000</v>
      </c>
      <c r="R1513" s="637">
        <f t="shared" si="1366"/>
        <v>25000</v>
      </c>
      <c r="S1513" s="637">
        <f t="shared" si="1366"/>
        <v>25000</v>
      </c>
      <c r="T1513" s="637">
        <f t="shared" si="1366"/>
        <v>25000</v>
      </c>
      <c r="U1513" s="637">
        <f t="shared" si="1366"/>
        <v>25000</v>
      </c>
      <c r="V1513" s="637">
        <f t="shared" si="1366"/>
        <v>25000</v>
      </c>
      <c r="W1513" s="637">
        <f t="shared" si="1366"/>
        <v>25000</v>
      </c>
      <c r="X1513" s="637">
        <f t="shared" si="1366"/>
        <v>25000</v>
      </c>
      <c r="Y1513" s="637">
        <f t="shared" si="1366"/>
        <v>25000</v>
      </c>
      <c r="Z1513" s="637">
        <f t="shared" si="1366"/>
        <v>25000</v>
      </c>
      <c r="AA1513" s="637">
        <f t="shared" si="1366"/>
        <v>25000</v>
      </c>
      <c r="AB1513" s="637">
        <f t="shared" si="1366"/>
        <v>25000</v>
      </c>
      <c r="AC1513" s="637">
        <f t="shared" si="1366"/>
        <v>25000</v>
      </c>
      <c r="AD1513" s="637">
        <f t="shared" si="1366"/>
        <v>25000</v>
      </c>
      <c r="AE1513" s="637">
        <f t="shared" si="1366"/>
        <v>25000</v>
      </c>
      <c r="AF1513" s="637">
        <f t="shared" si="1366"/>
        <v>25000</v>
      </c>
      <c r="AH1513" s="635"/>
      <c r="AK1513" s="588"/>
      <c r="AM1513" s="624"/>
      <c r="AN1513" s="590"/>
      <c r="AP1513" s="636"/>
      <c r="AQ1513" s="636"/>
    </row>
    <row r="1514" spans="1:43" s="586" customFormat="1" ht="16.5" hidden="1" customHeight="1" outlineLevel="2">
      <c r="A1514" s="584"/>
      <c r="B1514" s="585" t="s">
        <v>805</v>
      </c>
      <c r="C1514" s="720">
        <v>1</v>
      </c>
      <c r="D1514" s="720">
        <v>1</v>
      </c>
      <c r="E1514" s="721">
        <f t="shared" ref="E1514:T1515" si="1367">D1514</f>
        <v>1</v>
      </c>
      <c r="F1514" s="721">
        <f t="shared" si="1367"/>
        <v>1</v>
      </c>
      <c r="G1514" s="721">
        <f t="shared" si="1367"/>
        <v>1</v>
      </c>
      <c r="H1514" s="721">
        <f t="shared" si="1367"/>
        <v>1</v>
      </c>
      <c r="I1514" s="721">
        <f t="shared" si="1367"/>
        <v>1</v>
      </c>
      <c r="J1514" s="721">
        <f t="shared" si="1367"/>
        <v>1</v>
      </c>
      <c r="K1514" s="721">
        <f t="shared" si="1367"/>
        <v>1</v>
      </c>
      <c r="L1514" s="721">
        <f t="shared" si="1367"/>
        <v>1</v>
      </c>
      <c r="M1514" s="721">
        <f t="shared" si="1367"/>
        <v>1</v>
      </c>
      <c r="N1514" s="721">
        <f t="shared" si="1367"/>
        <v>1</v>
      </c>
      <c r="O1514" s="721">
        <f t="shared" si="1367"/>
        <v>1</v>
      </c>
      <c r="P1514" s="721">
        <f t="shared" si="1367"/>
        <v>1</v>
      </c>
      <c r="Q1514" s="721">
        <f t="shared" si="1367"/>
        <v>1</v>
      </c>
      <c r="R1514" s="721">
        <f t="shared" si="1367"/>
        <v>1</v>
      </c>
      <c r="S1514" s="721">
        <f t="shared" si="1367"/>
        <v>1</v>
      </c>
      <c r="T1514" s="721">
        <f t="shared" si="1367"/>
        <v>1</v>
      </c>
      <c r="U1514" s="721">
        <f t="shared" ref="U1514:AF1515" si="1368">T1514</f>
        <v>1</v>
      </c>
      <c r="V1514" s="721">
        <f t="shared" si="1368"/>
        <v>1</v>
      </c>
      <c r="W1514" s="721">
        <f t="shared" si="1368"/>
        <v>1</v>
      </c>
      <c r="X1514" s="721">
        <f t="shared" si="1368"/>
        <v>1</v>
      </c>
      <c r="Y1514" s="721">
        <f t="shared" si="1368"/>
        <v>1</v>
      </c>
      <c r="Z1514" s="721">
        <f t="shared" si="1368"/>
        <v>1</v>
      </c>
      <c r="AA1514" s="721">
        <f t="shared" si="1368"/>
        <v>1</v>
      </c>
      <c r="AB1514" s="721">
        <f t="shared" si="1368"/>
        <v>1</v>
      </c>
      <c r="AC1514" s="721">
        <f t="shared" si="1368"/>
        <v>1</v>
      </c>
      <c r="AD1514" s="721">
        <f t="shared" si="1368"/>
        <v>1</v>
      </c>
      <c r="AE1514" s="721">
        <f t="shared" si="1368"/>
        <v>1</v>
      </c>
      <c r="AF1514" s="721">
        <f t="shared" si="1368"/>
        <v>1</v>
      </c>
      <c r="AG1514" s="721" t="e">
        <f t="shared" ref="AG1514" si="1369">AG1511</f>
        <v>#REF!</v>
      </c>
      <c r="AH1514" s="587"/>
      <c r="AK1514" s="588"/>
      <c r="AM1514" s="624"/>
      <c r="AN1514" s="590"/>
      <c r="AP1514" s="591"/>
      <c r="AQ1514" s="591"/>
    </row>
    <row r="1515" spans="1:43" s="586" customFormat="1" ht="16.5" hidden="1" customHeight="1" outlineLevel="2">
      <c r="A1515" s="584"/>
      <c r="B1515" s="585" t="s">
        <v>888</v>
      </c>
      <c r="C1515" s="632">
        <f>Insumos!$E$147</f>
        <v>25000</v>
      </c>
      <c r="D1515" s="632">
        <f>C1515</f>
        <v>25000</v>
      </c>
      <c r="E1515" s="632">
        <f t="shared" si="1367"/>
        <v>25000</v>
      </c>
      <c r="F1515" s="632">
        <f t="shared" si="1367"/>
        <v>25000</v>
      </c>
      <c r="G1515" s="632">
        <f t="shared" si="1367"/>
        <v>25000</v>
      </c>
      <c r="H1515" s="632">
        <f t="shared" si="1367"/>
        <v>25000</v>
      </c>
      <c r="I1515" s="632">
        <f t="shared" si="1367"/>
        <v>25000</v>
      </c>
      <c r="J1515" s="632">
        <f t="shared" si="1367"/>
        <v>25000</v>
      </c>
      <c r="K1515" s="632">
        <f t="shared" si="1367"/>
        <v>25000</v>
      </c>
      <c r="L1515" s="632">
        <f t="shared" si="1367"/>
        <v>25000</v>
      </c>
      <c r="M1515" s="632">
        <f t="shared" si="1367"/>
        <v>25000</v>
      </c>
      <c r="N1515" s="632">
        <f t="shared" si="1367"/>
        <v>25000</v>
      </c>
      <c r="O1515" s="632">
        <f t="shared" si="1367"/>
        <v>25000</v>
      </c>
      <c r="P1515" s="632">
        <f t="shared" si="1367"/>
        <v>25000</v>
      </c>
      <c r="Q1515" s="632">
        <f t="shared" si="1367"/>
        <v>25000</v>
      </c>
      <c r="R1515" s="632">
        <f t="shared" si="1367"/>
        <v>25000</v>
      </c>
      <c r="S1515" s="632">
        <f t="shared" si="1367"/>
        <v>25000</v>
      </c>
      <c r="T1515" s="632">
        <f t="shared" si="1367"/>
        <v>25000</v>
      </c>
      <c r="U1515" s="632">
        <f t="shared" si="1368"/>
        <v>25000</v>
      </c>
      <c r="V1515" s="632">
        <f t="shared" si="1368"/>
        <v>25000</v>
      </c>
      <c r="W1515" s="632">
        <f t="shared" si="1368"/>
        <v>25000</v>
      </c>
      <c r="X1515" s="632">
        <f t="shared" si="1368"/>
        <v>25000</v>
      </c>
      <c r="Y1515" s="632">
        <f t="shared" si="1368"/>
        <v>25000</v>
      </c>
      <c r="Z1515" s="632">
        <f t="shared" si="1368"/>
        <v>25000</v>
      </c>
      <c r="AA1515" s="632">
        <f t="shared" si="1368"/>
        <v>25000</v>
      </c>
      <c r="AB1515" s="632">
        <f t="shared" si="1368"/>
        <v>25000</v>
      </c>
      <c r="AC1515" s="632">
        <f t="shared" si="1368"/>
        <v>25000</v>
      </c>
      <c r="AD1515" s="632">
        <f t="shared" si="1368"/>
        <v>25000</v>
      </c>
      <c r="AE1515" s="632">
        <f t="shared" si="1368"/>
        <v>25000</v>
      </c>
      <c r="AF1515" s="632">
        <f t="shared" si="1368"/>
        <v>25000</v>
      </c>
      <c r="AH1515" s="587"/>
      <c r="AK1515" s="588"/>
      <c r="AM1515" s="624"/>
      <c r="AN1515" s="590"/>
      <c r="AP1515" s="591"/>
      <c r="AQ1515" s="591"/>
    </row>
    <row r="1516" spans="1:43" s="634" customFormat="1" ht="16.5" hidden="1" customHeight="1" outlineLevel="2">
      <c r="A1516" s="584"/>
      <c r="B1516" s="580" t="s">
        <v>870</v>
      </c>
      <c r="C1516" s="637">
        <f>C1517*C1518</f>
        <v>0</v>
      </c>
      <c r="D1516" s="637">
        <f t="shared" ref="D1516:AF1516" si="1370">D1517*D1518</f>
        <v>2400</v>
      </c>
      <c r="E1516" s="637">
        <f t="shared" si="1370"/>
        <v>2400</v>
      </c>
      <c r="F1516" s="637">
        <f t="shared" si="1370"/>
        <v>2400</v>
      </c>
      <c r="G1516" s="637">
        <f t="shared" si="1370"/>
        <v>2400</v>
      </c>
      <c r="H1516" s="637">
        <f t="shared" si="1370"/>
        <v>2400</v>
      </c>
      <c r="I1516" s="637">
        <f t="shared" si="1370"/>
        <v>2400</v>
      </c>
      <c r="J1516" s="637">
        <f t="shared" si="1370"/>
        <v>2400</v>
      </c>
      <c r="K1516" s="637">
        <f t="shared" si="1370"/>
        <v>2400</v>
      </c>
      <c r="L1516" s="637">
        <f t="shared" si="1370"/>
        <v>2400</v>
      </c>
      <c r="M1516" s="637">
        <f t="shared" si="1370"/>
        <v>2400</v>
      </c>
      <c r="N1516" s="637">
        <f t="shared" si="1370"/>
        <v>2400</v>
      </c>
      <c r="O1516" s="637">
        <f t="shared" si="1370"/>
        <v>2400</v>
      </c>
      <c r="P1516" s="637">
        <f t="shared" si="1370"/>
        <v>2400</v>
      </c>
      <c r="Q1516" s="637">
        <f t="shared" si="1370"/>
        <v>2400</v>
      </c>
      <c r="R1516" s="637">
        <f t="shared" si="1370"/>
        <v>2400</v>
      </c>
      <c r="S1516" s="637">
        <f t="shared" si="1370"/>
        <v>2400</v>
      </c>
      <c r="T1516" s="637">
        <f t="shared" si="1370"/>
        <v>2400</v>
      </c>
      <c r="U1516" s="637">
        <f t="shared" si="1370"/>
        <v>2400</v>
      </c>
      <c r="V1516" s="637">
        <f t="shared" si="1370"/>
        <v>2400</v>
      </c>
      <c r="W1516" s="637">
        <f t="shared" si="1370"/>
        <v>2400</v>
      </c>
      <c r="X1516" s="637">
        <f t="shared" si="1370"/>
        <v>2400</v>
      </c>
      <c r="Y1516" s="637">
        <f t="shared" si="1370"/>
        <v>2400</v>
      </c>
      <c r="Z1516" s="637">
        <f t="shared" si="1370"/>
        <v>2400</v>
      </c>
      <c r="AA1516" s="637">
        <f t="shared" si="1370"/>
        <v>2400</v>
      </c>
      <c r="AB1516" s="637">
        <f t="shared" si="1370"/>
        <v>2400</v>
      </c>
      <c r="AC1516" s="637">
        <f t="shared" si="1370"/>
        <v>2400</v>
      </c>
      <c r="AD1516" s="637">
        <f t="shared" si="1370"/>
        <v>2400</v>
      </c>
      <c r="AE1516" s="637">
        <f t="shared" si="1370"/>
        <v>2400</v>
      </c>
      <c r="AF1516" s="637">
        <f t="shared" si="1370"/>
        <v>2400</v>
      </c>
      <c r="AH1516" s="635"/>
      <c r="AK1516" s="588"/>
      <c r="AM1516" s="624"/>
      <c r="AN1516" s="590"/>
      <c r="AP1516" s="636"/>
      <c r="AQ1516" s="636"/>
    </row>
    <row r="1517" spans="1:43" s="586" customFormat="1" ht="16.5" hidden="1" customHeight="1" outlineLevel="2">
      <c r="A1517" s="584"/>
      <c r="B1517" s="585" t="s">
        <v>805</v>
      </c>
      <c r="C1517" s="720">
        <v>0</v>
      </c>
      <c r="D1517" s="720">
        <v>1</v>
      </c>
      <c r="E1517" s="721">
        <f t="shared" ref="E1517:T1518" si="1371">D1517</f>
        <v>1</v>
      </c>
      <c r="F1517" s="721">
        <f t="shared" si="1371"/>
        <v>1</v>
      </c>
      <c r="G1517" s="721">
        <f t="shared" si="1371"/>
        <v>1</v>
      </c>
      <c r="H1517" s="721">
        <f t="shared" si="1371"/>
        <v>1</v>
      </c>
      <c r="I1517" s="721">
        <f t="shared" si="1371"/>
        <v>1</v>
      </c>
      <c r="J1517" s="721">
        <f t="shared" si="1371"/>
        <v>1</v>
      </c>
      <c r="K1517" s="721">
        <f t="shared" si="1371"/>
        <v>1</v>
      </c>
      <c r="L1517" s="721">
        <f t="shared" si="1371"/>
        <v>1</v>
      </c>
      <c r="M1517" s="721">
        <f t="shared" si="1371"/>
        <v>1</v>
      </c>
      <c r="N1517" s="721">
        <f t="shared" si="1371"/>
        <v>1</v>
      </c>
      <c r="O1517" s="721">
        <f t="shared" si="1371"/>
        <v>1</v>
      </c>
      <c r="P1517" s="721">
        <f t="shared" si="1371"/>
        <v>1</v>
      </c>
      <c r="Q1517" s="721">
        <f t="shared" si="1371"/>
        <v>1</v>
      </c>
      <c r="R1517" s="721">
        <f t="shared" si="1371"/>
        <v>1</v>
      </c>
      <c r="S1517" s="721">
        <f t="shared" si="1371"/>
        <v>1</v>
      </c>
      <c r="T1517" s="721">
        <f t="shared" si="1371"/>
        <v>1</v>
      </c>
      <c r="U1517" s="721">
        <f t="shared" ref="U1517:AF1518" si="1372">T1517</f>
        <v>1</v>
      </c>
      <c r="V1517" s="721">
        <f t="shared" si="1372"/>
        <v>1</v>
      </c>
      <c r="W1517" s="721">
        <f t="shared" si="1372"/>
        <v>1</v>
      </c>
      <c r="X1517" s="721">
        <f t="shared" si="1372"/>
        <v>1</v>
      </c>
      <c r="Y1517" s="721">
        <f t="shared" si="1372"/>
        <v>1</v>
      </c>
      <c r="Z1517" s="721">
        <f t="shared" si="1372"/>
        <v>1</v>
      </c>
      <c r="AA1517" s="721">
        <f t="shared" si="1372"/>
        <v>1</v>
      </c>
      <c r="AB1517" s="721">
        <f t="shared" si="1372"/>
        <v>1</v>
      </c>
      <c r="AC1517" s="721">
        <f t="shared" si="1372"/>
        <v>1</v>
      </c>
      <c r="AD1517" s="721">
        <f t="shared" si="1372"/>
        <v>1</v>
      </c>
      <c r="AE1517" s="721">
        <f t="shared" si="1372"/>
        <v>1</v>
      </c>
      <c r="AF1517" s="721">
        <f t="shared" si="1372"/>
        <v>1</v>
      </c>
      <c r="AG1517" s="721" t="e">
        <f t="shared" ref="AG1517" si="1373">AG1514</f>
        <v>#REF!</v>
      </c>
      <c r="AH1517" s="587"/>
      <c r="AK1517" s="588"/>
      <c r="AM1517" s="624"/>
      <c r="AN1517" s="590"/>
      <c r="AP1517" s="591"/>
      <c r="AQ1517" s="591"/>
    </row>
    <row r="1518" spans="1:43" s="586" customFormat="1" ht="16.5" hidden="1" customHeight="1" outlineLevel="2">
      <c r="A1518" s="584"/>
      <c r="B1518" s="585" t="s">
        <v>888</v>
      </c>
      <c r="C1518" s="632">
        <f>Insumos!$E$150</f>
        <v>2400</v>
      </c>
      <c r="D1518" s="632">
        <f>C1518</f>
        <v>2400</v>
      </c>
      <c r="E1518" s="632">
        <f t="shared" si="1371"/>
        <v>2400</v>
      </c>
      <c r="F1518" s="632">
        <f t="shared" si="1371"/>
        <v>2400</v>
      </c>
      <c r="G1518" s="632">
        <f t="shared" si="1371"/>
        <v>2400</v>
      </c>
      <c r="H1518" s="632">
        <f t="shared" si="1371"/>
        <v>2400</v>
      </c>
      <c r="I1518" s="632">
        <f t="shared" si="1371"/>
        <v>2400</v>
      </c>
      <c r="J1518" s="632">
        <f t="shared" si="1371"/>
        <v>2400</v>
      </c>
      <c r="K1518" s="632">
        <f t="shared" si="1371"/>
        <v>2400</v>
      </c>
      <c r="L1518" s="632">
        <f t="shared" si="1371"/>
        <v>2400</v>
      </c>
      <c r="M1518" s="632">
        <f t="shared" si="1371"/>
        <v>2400</v>
      </c>
      <c r="N1518" s="632">
        <f t="shared" si="1371"/>
        <v>2400</v>
      </c>
      <c r="O1518" s="632">
        <f t="shared" si="1371"/>
        <v>2400</v>
      </c>
      <c r="P1518" s="632">
        <f t="shared" si="1371"/>
        <v>2400</v>
      </c>
      <c r="Q1518" s="632">
        <f t="shared" si="1371"/>
        <v>2400</v>
      </c>
      <c r="R1518" s="632">
        <f t="shared" si="1371"/>
        <v>2400</v>
      </c>
      <c r="S1518" s="632">
        <f t="shared" si="1371"/>
        <v>2400</v>
      </c>
      <c r="T1518" s="632">
        <f t="shared" si="1371"/>
        <v>2400</v>
      </c>
      <c r="U1518" s="632">
        <f t="shared" si="1372"/>
        <v>2400</v>
      </c>
      <c r="V1518" s="632">
        <f t="shared" si="1372"/>
        <v>2400</v>
      </c>
      <c r="W1518" s="632">
        <f t="shared" si="1372"/>
        <v>2400</v>
      </c>
      <c r="X1518" s="632">
        <f t="shared" si="1372"/>
        <v>2400</v>
      </c>
      <c r="Y1518" s="632">
        <f t="shared" si="1372"/>
        <v>2400</v>
      </c>
      <c r="Z1518" s="632">
        <f t="shared" si="1372"/>
        <v>2400</v>
      </c>
      <c r="AA1518" s="632">
        <f t="shared" si="1372"/>
        <v>2400</v>
      </c>
      <c r="AB1518" s="632">
        <f t="shared" si="1372"/>
        <v>2400</v>
      </c>
      <c r="AC1518" s="632">
        <f t="shared" si="1372"/>
        <v>2400</v>
      </c>
      <c r="AD1518" s="632">
        <f t="shared" si="1372"/>
        <v>2400</v>
      </c>
      <c r="AE1518" s="632">
        <f t="shared" si="1372"/>
        <v>2400</v>
      </c>
      <c r="AF1518" s="632">
        <f t="shared" si="1372"/>
        <v>2400</v>
      </c>
      <c r="AH1518" s="587"/>
      <c r="AK1518" s="588"/>
      <c r="AM1518" s="624"/>
      <c r="AN1518" s="590"/>
      <c r="AP1518" s="591"/>
      <c r="AQ1518" s="591"/>
    </row>
    <row r="1519" spans="1:43" s="634" customFormat="1" ht="16.5" hidden="1" customHeight="1" outlineLevel="2">
      <c r="A1519" s="584"/>
      <c r="B1519" s="580" t="s">
        <v>1055</v>
      </c>
      <c r="C1519" s="637">
        <f>C1520*C1521</f>
        <v>0</v>
      </c>
      <c r="D1519" s="637">
        <f t="shared" ref="D1519:AF1519" si="1374">D1520*D1521</f>
        <v>1785</v>
      </c>
      <c r="E1519" s="637">
        <f t="shared" si="1374"/>
        <v>1785</v>
      </c>
      <c r="F1519" s="637">
        <f t="shared" si="1374"/>
        <v>1785</v>
      </c>
      <c r="G1519" s="637">
        <f t="shared" si="1374"/>
        <v>1785</v>
      </c>
      <c r="H1519" s="637">
        <f t="shared" si="1374"/>
        <v>1785</v>
      </c>
      <c r="I1519" s="637">
        <f t="shared" si="1374"/>
        <v>1785</v>
      </c>
      <c r="J1519" s="637">
        <f t="shared" si="1374"/>
        <v>1785</v>
      </c>
      <c r="K1519" s="637">
        <f t="shared" si="1374"/>
        <v>1785</v>
      </c>
      <c r="L1519" s="637">
        <f t="shared" si="1374"/>
        <v>1785</v>
      </c>
      <c r="M1519" s="637">
        <f t="shared" si="1374"/>
        <v>1785</v>
      </c>
      <c r="N1519" s="637">
        <f t="shared" si="1374"/>
        <v>1785</v>
      </c>
      <c r="O1519" s="637">
        <f t="shared" si="1374"/>
        <v>1785</v>
      </c>
      <c r="P1519" s="637">
        <f t="shared" si="1374"/>
        <v>1785</v>
      </c>
      <c r="Q1519" s="637">
        <f t="shared" si="1374"/>
        <v>1785</v>
      </c>
      <c r="R1519" s="637">
        <f t="shared" si="1374"/>
        <v>1785</v>
      </c>
      <c r="S1519" s="637">
        <f t="shared" si="1374"/>
        <v>1785</v>
      </c>
      <c r="T1519" s="637">
        <f t="shared" si="1374"/>
        <v>1785</v>
      </c>
      <c r="U1519" s="637">
        <f t="shared" si="1374"/>
        <v>1785</v>
      </c>
      <c r="V1519" s="637">
        <f t="shared" si="1374"/>
        <v>1785</v>
      </c>
      <c r="W1519" s="637">
        <f t="shared" si="1374"/>
        <v>1785</v>
      </c>
      <c r="X1519" s="637">
        <f t="shared" si="1374"/>
        <v>1785</v>
      </c>
      <c r="Y1519" s="637">
        <f t="shared" si="1374"/>
        <v>1785</v>
      </c>
      <c r="Z1519" s="637">
        <f t="shared" si="1374"/>
        <v>1785</v>
      </c>
      <c r="AA1519" s="637">
        <f t="shared" si="1374"/>
        <v>1785</v>
      </c>
      <c r="AB1519" s="637">
        <f t="shared" si="1374"/>
        <v>1785</v>
      </c>
      <c r="AC1519" s="637">
        <f t="shared" si="1374"/>
        <v>1785</v>
      </c>
      <c r="AD1519" s="637">
        <f t="shared" si="1374"/>
        <v>1785</v>
      </c>
      <c r="AE1519" s="637">
        <f t="shared" si="1374"/>
        <v>1785</v>
      </c>
      <c r="AF1519" s="637">
        <f t="shared" si="1374"/>
        <v>1785</v>
      </c>
      <c r="AH1519" s="635"/>
      <c r="AK1519" s="588"/>
      <c r="AM1519" s="624"/>
      <c r="AN1519" s="590"/>
      <c r="AP1519" s="636"/>
      <c r="AQ1519" s="636"/>
    </row>
    <row r="1520" spans="1:43" s="586" customFormat="1" ht="16.5" hidden="1" customHeight="1" outlineLevel="2">
      <c r="A1520" s="584"/>
      <c r="B1520" s="585" t="s">
        <v>805</v>
      </c>
      <c r="C1520" s="720">
        <v>0</v>
      </c>
      <c r="D1520" s="720">
        <v>1</v>
      </c>
      <c r="E1520" s="721">
        <f t="shared" ref="E1520:T1521" si="1375">D1520</f>
        <v>1</v>
      </c>
      <c r="F1520" s="721">
        <f t="shared" si="1375"/>
        <v>1</v>
      </c>
      <c r="G1520" s="721">
        <f t="shared" si="1375"/>
        <v>1</v>
      </c>
      <c r="H1520" s="721">
        <f t="shared" si="1375"/>
        <v>1</v>
      </c>
      <c r="I1520" s="721">
        <f t="shared" si="1375"/>
        <v>1</v>
      </c>
      <c r="J1520" s="721">
        <f t="shared" si="1375"/>
        <v>1</v>
      </c>
      <c r="K1520" s="721">
        <f t="shared" si="1375"/>
        <v>1</v>
      </c>
      <c r="L1520" s="721">
        <f t="shared" si="1375"/>
        <v>1</v>
      </c>
      <c r="M1520" s="721">
        <f t="shared" si="1375"/>
        <v>1</v>
      </c>
      <c r="N1520" s="721">
        <f t="shared" si="1375"/>
        <v>1</v>
      </c>
      <c r="O1520" s="721">
        <f t="shared" si="1375"/>
        <v>1</v>
      </c>
      <c r="P1520" s="721">
        <f t="shared" si="1375"/>
        <v>1</v>
      </c>
      <c r="Q1520" s="721">
        <f t="shared" si="1375"/>
        <v>1</v>
      </c>
      <c r="R1520" s="721">
        <f t="shared" si="1375"/>
        <v>1</v>
      </c>
      <c r="S1520" s="721">
        <f t="shared" si="1375"/>
        <v>1</v>
      </c>
      <c r="T1520" s="721">
        <f t="shared" si="1375"/>
        <v>1</v>
      </c>
      <c r="U1520" s="721">
        <f t="shared" ref="U1520:AF1521" si="1376">T1520</f>
        <v>1</v>
      </c>
      <c r="V1520" s="721">
        <f t="shared" si="1376"/>
        <v>1</v>
      </c>
      <c r="W1520" s="721">
        <f t="shared" si="1376"/>
        <v>1</v>
      </c>
      <c r="X1520" s="721">
        <f t="shared" si="1376"/>
        <v>1</v>
      </c>
      <c r="Y1520" s="721">
        <f t="shared" si="1376"/>
        <v>1</v>
      </c>
      <c r="Z1520" s="721">
        <f t="shared" si="1376"/>
        <v>1</v>
      </c>
      <c r="AA1520" s="721">
        <f t="shared" si="1376"/>
        <v>1</v>
      </c>
      <c r="AB1520" s="721">
        <f t="shared" si="1376"/>
        <v>1</v>
      </c>
      <c r="AC1520" s="721">
        <f t="shared" si="1376"/>
        <v>1</v>
      </c>
      <c r="AD1520" s="721">
        <f t="shared" si="1376"/>
        <v>1</v>
      </c>
      <c r="AE1520" s="721">
        <f t="shared" si="1376"/>
        <v>1</v>
      </c>
      <c r="AF1520" s="721">
        <f t="shared" si="1376"/>
        <v>1</v>
      </c>
      <c r="AG1520" s="721" t="e">
        <f t="shared" ref="AG1520" si="1377">AG1517</f>
        <v>#REF!</v>
      </c>
      <c r="AH1520" s="587"/>
      <c r="AK1520" s="588"/>
      <c r="AM1520" s="624"/>
      <c r="AN1520" s="590"/>
      <c r="AP1520" s="591"/>
      <c r="AQ1520" s="591"/>
    </row>
    <row r="1521" spans="1:43" s="586" customFormat="1" ht="16.5" hidden="1" customHeight="1" outlineLevel="2">
      <c r="A1521" s="584"/>
      <c r="B1521" s="585" t="s">
        <v>888</v>
      </c>
      <c r="C1521" s="632">
        <f>Insumos!$E$145</f>
        <v>1785</v>
      </c>
      <c r="D1521" s="632">
        <f>C1521</f>
        <v>1785</v>
      </c>
      <c r="E1521" s="632">
        <f t="shared" si="1375"/>
        <v>1785</v>
      </c>
      <c r="F1521" s="632">
        <f t="shared" si="1375"/>
        <v>1785</v>
      </c>
      <c r="G1521" s="632">
        <f t="shared" si="1375"/>
        <v>1785</v>
      </c>
      <c r="H1521" s="632">
        <f t="shared" si="1375"/>
        <v>1785</v>
      </c>
      <c r="I1521" s="632">
        <f t="shared" si="1375"/>
        <v>1785</v>
      </c>
      <c r="J1521" s="632">
        <f t="shared" si="1375"/>
        <v>1785</v>
      </c>
      <c r="K1521" s="632">
        <f t="shared" si="1375"/>
        <v>1785</v>
      </c>
      <c r="L1521" s="632">
        <f t="shared" si="1375"/>
        <v>1785</v>
      </c>
      <c r="M1521" s="632">
        <f t="shared" si="1375"/>
        <v>1785</v>
      </c>
      <c r="N1521" s="632">
        <f t="shared" si="1375"/>
        <v>1785</v>
      </c>
      <c r="O1521" s="632">
        <f t="shared" si="1375"/>
        <v>1785</v>
      </c>
      <c r="P1521" s="632">
        <f t="shared" si="1375"/>
        <v>1785</v>
      </c>
      <c r="Q1521" s="632">
        <f t="shared" si="1375"/>
        <v>1785</v>
      </c>
      <c r="R1521" s="632">
        <f t="shared" si="1375"/>
        <v>1785</v>
      </c>
      <c r="S1521" s="632">
        <f t="shared" si="1375"/>
        <v>1785</v>
      </c>
      <c r="T1521" s="632">
        <f t="shared" si="1375"/>
        <v>1785</v>
      </c>
      <c r="U1521" s="632">
        <f t="shared" si="1376"/>
        <v>1785</v>
      </c>
      <c r="V1521" s="632">
        <f t="shared" si="1376"/>
        <v>1785</v>
      </c>
      <c r="W1521" s="632">
        <f t="shared" si="1376"/>
        <v>1785</v>
      </c>
      <c r="X1521" s="632">
        <f t="shared" si="1376"/>
        <v>1785</v>
      </c>
      <c r="Y1521" s="632">
        <f t="shared" si="1376"/>
        <v>1785</v>
      </c>
      <c r="Z1521" s="632">
        <f t="shared" si="1376"/>
        <v>1785</v>
      </c>
      <c r="AA1521" s="632">
        <f t="shared" si="1376"/>
        <v>1785</v>
      </c>
      <c r="AB1521" s="632">
        <f t="shared" si="1376"/>
        <v>1785</v>
      </c>
      <c r="AC1521" s="632">
        <f t="shared" si="1376"/>
        <v>1785</v>
      </c>
      <c r="AD1521" s="632">
        <f t="shared" si="1376"/>
        <v>1785</v>
      </c>
      <c r="AE1521" s="632">
        <f t="shared" si="1376"/>
        <v>1785</v>
      </c>
      <c r="AF1521" s="632">
        <f t="shared" si="1376"/>
        <v>1785</v>
      </c>
      <c r="AH1521" s="587"/>
      <c r="AK1521" s="588"/>
      <c r="AM1521" s="624"/>
      <c r="AN1521" s="590"/>
      <c r="AP1521" s="591"/>
      <c r="AQ1521" s="591"/>
    </row>
    <row r="1522" spans="1:43" s="634" customFormat="1" ht="16.5" hidden="1" customHeight="1" outlineLevel="2">
      <c r="A1522" s="584"/>
      <c r="B1522" s="580" t="s">
        <v>1056</v>
      </c>
      <c r="C1522" s="637">
        <f>C1523*C1524</f>
        <v>130</v>
      </c>
      <c r="D1522" s="637">
        <f t="shared" ref="D1522:AF1522" si="1378">D1523*D1524</f>
        <v>390</v>
      </c>
      <c r="E1522" s="637">
        <f t="shared" si="1378"/>
        <v>390</v>
      </c>
      <c r="F1522" s="637">
        <f t="shared" si="1378"/>
        <v>390</v>
      </c>
      <c r="G1522" s="637">
        <f t="shared" si="1378"/>
        <v>390</v>
      </c>
      <c r="H1522" s="637">
        <f t="shared" si="1378"/>
        <v>390</v>
      </c>
      <c r="I1522" s="637">
        <f t="shared" si="1378"/>
        <v>390</v>
      </c>
      <c r="J1522" s="637">
        <f t="shared" si="1378"/>
        <v>390</v>
      </c>
      <c r="K1522" s="637">
        <f t="shared" si="1378"/>
        <v>390</v>
      </c>
      <c r="L1522" s="637">
        <f t="shared" si="1378"/>
        <v>390</v>
      </c>
      <c r="M1522" s="637">
        <f t="shared" si="1378"/>
        <v>390</v>
      </c>
      <c r="N1522" s="637">
        <f t="shared" si="1378"/>
        <v>390</v>
      </c>
      <c r="O1522" s="637">
        <f t="shared" si="1378"/>
        <v>390</v>
      </c>
      <c r="P1522" s="637">
        <f t="shared" si="1378"/>
        <v>390</v>
      </c>
      <c r="Q1522" s="637">
        <f t="shared" si="1378"/>
        <v>390</v>
      </c>
      <c r="R1522" s="637">
        <f t="shared" si="1378"/>
        <v>390</v>
      </c>
      <c r="S1522" s="637">
        <f t="shared" si="1378"/>
        <v>390</v>
      </c>
      <c r="T1522" s="637">
        <f t="shared" si="1378"/>
        <v>390</v>
      </c>
      <c r="U1522" s="637">
        <f t="shared" si="1378"/>
        <v>390</v>
      </c>
      <c r="V1522" s="637">
        <f t="shared" si="1378"/>
        <v>390</v>
      </c>
      <c r="W1522" s="637">
        <f t="shared" si="1378"/>
        <v>390</v>
      </c>
      <c r="X1522" s="637">
        <f t="shared" si="1378"/>
        <v>390</v>
      </c>
      <c r="Y1522" s="637">
        <f t="shared" si="1378"/>
        <v>390</v>
      </c>
      <c r="Z1522" s="637">
        <f t="shared" si="1378"/>
        <v>390</v>
      </c>
      <c r="AA1522" s="637">
        <f t="shared" si="1378"/>
        <v>390</v>
      </c>
      <c r="AB1522" s="637">
        <f t="shared" si="1378"/>
        <v>390</v>
      </c>
      <c r="AC1522" s="637">
        <f t="shared" si="1378"/>
        <v>390</v>
      </c>
      <c r="AD1522" s="637">
        <f t="shared" si="1378"/>
        <v>390</v>
      </c>
      <c r="AE1522" s="637">
        <f t="shared" si="1378"/>
        <v>390</v>
      </c>
      <c r="AF1522" s="637">
        <f t="shared" si="1378"/>
        <v>390</v>
      </c>
      <c r="AH1522" s="635"/>
      <c r="AK1522" s="588"/>
      <c r="AM1522" s="624"/>
      <c r="AN1522" s="590"/>
      <c r="AP1522" s="636"/>
      <c r="AQ1522" s="636"/>
    </row>
    <row r="1523" spans="1:43" s="586" customFormat="1" ht="16.5" hidden="1" customHeight="1" outlineLevel="2">
      <c r="A1523" s="584"/>
      <c r="B1523" s="585" t="s">
        <v>805</v>
      </c>
      <c r="C1523" s="720">
        <v>1</v>
      </c>
      <c r="D1523" s="720">
        <v>3</v>
      </c>
      <c r="E1523" s="721">
        <f>D1523</f>
        <v>3</v>
      </c>
      <c r="F1523" s="721">
        <f t="shared" ref="F1523:AF1523" si="1379">E1523</f>
        <v>3</v>
      </c>
      <c r="G1523" s="721">
        <f t="shared" si="1379"/>
        <v>3</v>
      </c>
      <c r="H1523" s="721">
        <f t="shared" si="1379"/>
        <v>3</v>
      </c>
      <c r="I1523" s="721">
        <f t="shared" si="1379"/>
        <v>3</v>
      </c>
      <c r="J1523" s="721">
        <f t="shared" si="1379"/>
        <v>3</v>
      </c>
      <c r="K1523" s="721">
        <f t="shared" si="1379"/>
        <v>3</v>
      </c>
      <c r="L1523" s="721">
        <f t="shared" si="1379"/>
        <v>3</v>
      </c>
      <c r="M1523" s="721">
        <f t="shared" si="1379"/>
        <v>3</v>
      </c>
      <c r="N1523" s="721">
        <f t="shared" si="1379"/>
        <v>3</v>
      </c>
      <c r="O1523" s="721">
        <f t="shared" si="1379"/>
        <v>3</v>
      </c>
      <c r="P1523" s="721">
        <f t="shared" si="1379"/>
        <v>3</v>
      </c>
      <c r="Q1523" s="721">
        <f t="shared" si="1379"/>
        <v>3</v>
      </c>
      <c r="R1523" s="721">
        <f t="shared" si="1379"/>
        <v>3</v>
      </c>
      <c r="S1523" s="721">
        <f t="shared" si="1379"/>
        <v>3</v>
      </c>
      <c r="T1523" s="721">
        <f t="shared" si="1379"/>
        <v>3</v>
      </c>
      <c r="U1523" s="721">
        <f t="shared" si="1379"/>
        <v>3</v>
      </c>
      <c r="V1523" s="721">
        <f t="shared" si="1379"/>
        <v>3</v>
      </c>
      <c r="W1523" s="721">
        <f t="shared" si="1379"/>
        <v>3</v>
      </c>
      <c r="X1523" s="721">
        <f t="shared" si="1379"/>
        <v>3</v>
      </c>
      <c r="Y1523" s="721">
        <f t="shared" si="1379"/>
        <v>3</v>
      </c>
      <c r="Z1523" s="721">
        <f t="shared" si="1379"/>
        <v>3</v>
      </c>
      <c r="AA1523" s="721">
        <f t="shared" si="1379"/>
        <v>3</v>
      </c>
      <c r="AB1523" s="721">
        <f t="shared" si="1379"/>
        <v>3</v>
      </c>
      <c r="AC1523" s="721">
        <f t="shared" si="1379"/>
        <v>3</v>
      </c>
      <c r="AD1523" s="721">
        <f t="shared" si="1379"/>
        <v>3</v>
      </c>
      <c r="AE1523" s="721">
        <f t="shared" si="1379"/>
        <v>3</v>
      </c>
      <c r="AF1523" s="721">
        <f t="shared" si="1379"/>
        <v>3</v>
      </c>
      <c r="AG1523" s="721" t="e">
        <f t="shared" ref="AG1523" si="1380">AG1520</f>
        <v>#REF!</v>
      </c>
      <c r="AH1523" s="587"/>
      <c r="AK1523" s="588"/>
      <c r="AM1523" s="624"/>
      <c r="AN1523" s="590"/>
      <c r="AP1523" s="591"/>
      <c r="AQ1523" s="591"/>
    </row>
    <row r="1524" spans="1:43" s="586" customFormat="1" ht="16.5" hidden="1" customHeight="1" outlineLevel="2">
      <c r="A1524" s="584"/>
      <c r="B1524" s="585" t="s">
        <v>888</v>
      </c>
      <c r="C1524" s="632">
        <f>Insumos!$E$151</f>
        <v>130</v>
      </c>
      <c r="D1524" s="632">
        <f>C1524</f>
        <v>130</v>
      </c>
      <c r="E1524" s="632">
        <f t="shared" ref="E1524:AF1524" si="1381">D1524</f>
        <v>130</v>
      </c>
      <c r="F1524" s="632">
        <f t="shared" si="1381"/>
        <v>130</v>
      </c>
      <c r="G1524" s="632">
        <f t="shared" si="1381"/>
        <v>130</v>
      </c>
      <c r="H1524" s="632">
        <f t="shared" si="1381"/>
        <v>130</v>
      </c>
      <c r="I1524" s="632">
        <f t="shared" si="1381"/>
        <v>130</v>
      </c>
      <c r="J1524" s="632">
        <f t="shared" si="1381"/>
        <v>130</v>
      </c>
      <c r="K1524" s="632">
        <f t="shared" si="1381"/>
        <v>130</v>
      </c>
      <c r="L1524" s="632">
        <f t="shared" si="1381"/>
        <v>130</v>
      </c>
      <c r="M1524" s="632">
        <f t="shared" si="1381"/>
        <v>130</v>
      </c>
      <c r="N1524" s="632">
        <f t="shared" si="1381"/>
        <v>130</v>
      </c>
      <c r="O1524" s="632">
        <f t="shared" si="1381"/>
        <v>130</v>
      </c>
      <c r="P1524" s="632">
        <f t="shared" si="1381"/>
        <v>130</v>
      </c>
      <c r="Q1524" s="632">
        <f t="shared" si="1381"/>
        <v>130</v>
      </c>
      <c r="R1524" s="632">
        <f t="shared" si="1381"/>
        <v>130</v>
      </c>
      <c r="S1524" s="632">
        <f t="shared" si="1381"/>
        <v>130</v>
      </c>
      <c r="T1524" s="632">
        <f t="shared" si="1381"/>
        <v>130</v>
      </c>
      <c r="U1524" s="632">
        <f t="shared" si="1381"/>
        <v>130</v>
      </c>
      <c r="V1524" s="632">
        <f t="shared" si="1381"/>
        <v>130</v>
      </c>
      <c r="W1524" s="632">
        <f t="shared" si="1381"/>
        <v>130</v>
      </c>
      <c r="X1524" s="632">
        <f t="shared" si="1381"/>
        <v>130</v>
      </c>
      <c r="Y1524" s="632">
        <f t="shared" si="1381"/>
        <v>130</v>
      </c>
      <c r="Z1524" s="632">
        <f t="shared" si="1381"/>
        <v>130</v>
      </c>
      <c r="AA1524" s="632">
        <f t="shared" si="1381"/>
        <v>130</v>
      </c>
      <c r="AB1524" s="632">
        <f t="shared" si="1381"/>
        <v>130</v>
      </c>
      <c r="AC1524" s="632">
        <f t="shared" si="1381"/>
        <v>130</v>
      </c>
      <c r="AD1524" s="632">
        <f t="shared" si="1381"/>
        <v>130</v>
      </c>
      <c r="AE1524" s="632">
        <f t="shared" si="1381"/>
        <v>130</v>
      </c>
      <c r="AF1524" s="632">
        <f t="shared" si="1381"/>
        <v>130</v>
      </c>
      <c r="AH1524" s="587"/>
      <c r="AK1524" s="588"/>
      <c r="AM1524" s="624"/>
      <c r="AN1524" s="590"/>
      <c r="AP1524" s="591"/>
      <c r="AQ1524" s="591"/>
    </row>
    <row r="1525" spans="1:43" s="634" customFormat="1" ht="16.5" hidden="1" customHeight="1" outlineLevel="2">
      <c r="A1525" s="584"/>
      <c r="B1525" s="580" t="s">
        <v>1057</v>
      </c>
      <c r="C1525" s="637">
        <f>C1526*C1527</f>
        <v>0</v>
      </c>
      <c r="D1525" s="637">
        <f t="shared" ref="D1525:AF1525" si="1382">D1526*D1527</f>
        <v>125</v>
      </c>
      <c r="E1525" s="637">
        <f t="shared" si="1382"/>
        <v>125</v>
      </c>
      <c r="F1525" s="637">
        <f t="shared" si="1382"/>
        <v>125</v>
      </c>
      <c r="G1525" s="637">
        <f t="shared" si="1382"/>
        <v>125</v>
      </c>
      <c r="H1525" s="637">
        <f t="shared" si="1382"/>
        <v>125</v>
      </c>
      <c r="I1525" s="637">
        <f t="shared" si="1382"/>
        <v>125</v>
      </c>
      <c r="J1525" s="637">
        <f t="shared" si="1382"/>
        <v>125</v>
      </c>
      <c r="K1525" s="637">
        <f t="shared" si="1382"/>
        <v>125</v>
      </c>
      <c r="L1525" s="637">
        <f t="shared" si="1382"/>
        <v>125</v>
      </c>
      <c r="M1525" s="637">
        <f t="shared" si="1382"/>
        <v>125</v>
      </c>
      <c r="N1525" s="637">
        <f t="shared" si="1382"/>
        <v>125</v>
      </c>
      <c r="O1525" s="637">
        <f t="shared" si="1382"/>
        <v>125</v>
      </c>
      <c r="P1525" s="637">
        <f t="shared" si="1382"/>
        <v>125</v>
      </c>
      <c r="Q1525" s="637">
        <f t="shared" si="1382"/>
        <v>125</v>
      </c>
      <c r="R1525" s="637">
        <f t="shared" si="1382"/>
        <v>125</v>
      </c>
      <c r="S1525" s="637">
        <f t="shared" si="1382"/>
        <v>125</v>
      </c>
      <c r="T1525" s="637">
        <f t="shared" si="1382"/>
        <v>125</v>
      </c>
      <c r="U1525" s="637">
        <f t="shared" si="1382"/>
        <v>125</v>
      </c>
      <c r="V1525" s="637">
        <f t="shared" si="1382"/>
        <v>125</v>
      </c>
      <c r="W1525" s="637">
        <f t="shared" si="1382"/>
        <v>125</v>
      </c>
      <c r="X1525" s="637">
        <f t="shared" si="1382"/>
        <v>125</v>
      </c>
      <c r="Y1525" s="637">
        <f t="shared" si="1382"/>
        <v>125</v>
      </c>
      <c r="Z1525" s="637">
        <f t="shared" si="1382"/>
        <v>125</v>
      </c>
      <c r="AA1525" s="637">
        <f t="shared" si="1382"/>
        <v>125</v>
      </c>
      <c r="AB1525" s="637">
        <f t="shared" si="1382"/>
        <v>125</v>
      </c>
      <c r="AC1525" s="637">
        <f t="shared" si="1382"/>
        <v>125</v>
      </c>
      <c r="AD1525" s="637">
        <f t="shared" si="1382"/>
        <v>125</v>
      </c>
      <c r="AE1525" s="637">
        <f t="shared" si="1382"/>
        <v>125</v>
      </c>
      <c r="AF1525" s="637">
        <f t="shared" si="1382"/>
        <v>125</v>
      </c>
      <c r="AH1525" s="635"/>
      <c r="AK1525" s="588"/>
      <c r="AM1525" s="624"/>
      <c r="AN1525" s="590"/>
      <c r="AP1525" s="636"/>
      <c r="AQ1525" s="636"/>
    </row>
    <row r="1526" spans="1:43" s="586" customFormat="1" ht="16.5" hidden="1" customHeight="1" outlineLevel="2">
      <c r="A1526" s="584"/>
      <c r="B1526" s="585" t="s">
        <v>805</v>
      </c>
      <c r="C1526" s="720">
        <v>0</v>
      </c>
      <c r="D1526" s="720">
        <v>1</v>
      </c>
      <c r="E1526" s="721">
        <f t="shared" ref="E1526:T1527" si="1383">D1526</f>
        <v>1</v>
      </c>
      <c r="F1526" s="721">
        <f t="shared" si="1383"/>
        <v>1</v>
      </c>
      <c r="G1526" s="721">
        <f t="shared" si="1383"/>
        <v>1</v>
      </c>
      <c r="H1526" s="721">
        <f t="shared" si="1383"/>
        <v>1</v>
      </c>
      <c r="I1526" s="721">
        <f t="shared" si="1383"/>
        <v>1</v>
      </c>
      <c r="J1526" s="721">
        <f t="shared" si="1383"/>
        <v>1</v>
      </c>
      <c r="K1526" s="721">
        <f t="shared" si="1383"/>
        <v>1</v>
      </c>
      <c r="L1526" s="721">
        <f t="shared" si="1383"/>
        <v>1</v>
      </c>
      <c r="M1526" s="721">
        <f t="shared" si="1383"/>
        <v>1</v>
      </c>
      <c r="N1526" s="721">
        <f t="shared" si="1383"/>
        <v>1</v>
      </c>
      <c r="O1526" s="721">
        <f t="shared" si="1383"/>
        <v>1</v>
      </c>
      <c r="P1526" s="721">
        <f t="shared" si="1383"/>
        <v>1</v>
      </c>
      <c r="Q1526" s="721">
        <f t="shared" si="1383"/>
        <v>1</v>
      </c>
      <c r="R1526" s="721">
        <f t="shared" si="1383"/>
        <v>1</v>
      </c>
      <c r="S1526" s="721">
        <f t="shared" si="1383"/>
        <v>1</v>
      </c>
      <c r="T1526" s="721">
        <f t="shared" si="1383"/>
        <v>1</v>
      </c>
      <c r="U1526" s="721">
        <f t="shared" ref="U1526:AF1527" si="1384">T1526</f>
        <v>1</v>
      </c>
      <c r="V1526" s="721">
        <f t="shared" si="1384"/>
        <v>1</v>
      </c>
      <c r="W1526" s="721">
        <f t="shared" si="1384"/>
        <v>1</v>
      </c>
      <c r="X1526" s="721">
        <f t="shared" si="1384"/>
        <v>1</v>
      </c>
      <c r="Y1526" s="721">
        <f t="shared" si="1384"/>
        <v>1</v>
      </c>
      <c r="Z1526" s="721">
        <f t="shared" si="1384"/>
        <v>1</v>
      </c>
      <c r="AA1526" s="721">
        <f t="shared" si="1384"/>
        <v>1</v>
      </c>
      <c r="AB1526" s="721">
        <f t="shared" si="1384"/>
        <v>1</v>
      </c>
      <c r="AC1526" s="721">
        <f t="shared" si="1384"/>
        <v>1</v>
      </c>
      <c r="AD1526" s="721">
        <f t="shared" si="1384"/>
        <v>1</v>
      </c>
      <c r="AE1526" s="721">
        <f t="shared" si="1384"/>
        <v>1</v>
      </c>
      <c r="AF1526" s="721">
        <f t="shared" si="1384"/>
        <v>1</v>
      </c>
      <c r="AG1526" s="721" t="e">
        <f t="shared" ref="AG1526" si="1385">AG1523</f>
        <v>#REF!</v>
      </c>
      <c r="AH1526" s="587"/>
      <c r="AK1526" s="588"/>
      <c r="AM1526" s="624"/>
      <c r="AN1526" s="590"/>
      <c r="AP1526" s="591"/>
      <c r="AQ1526" s="591"/>
    </row>
    <row r="1527" spans="1:43" s="586" customFormat="1" ht="16.5" hidden="1" customHeight="1" outlineLevel="2">
      <c r="A1527" s="584"/>
      <c r="B1527" s="585" t="s">
        <v>888</v>
      </c>
      <c r="C1527" s="632">
        <f>Insumos!$E$156</f>
        <v>125</v>
      </c>
      <c r="D1527" s="632">
        <f>C1527</f>
        <v>125</v>
      </c>
      <c r="E1527" s="632">
        <f t="shared" si="1383"/>
        <v>125</v>
      </c>
      <c r="F1527" s="632">
        <f t="shared" si="1383"/>
        <v>125</v>
      </c>
      <c r="G1527" s="632">
        <f t="shared" si="1383"/>
        <v>125</v>
      </c>
      <c r="H1527" s="632">
        <f t="shared" si="1383"/>
        <v>125</v>
      </c>
      <c r="I1527" s="632">
        <f t="shared" si="1383"/>
        <v>125</v>
      </c>
      <c r="J1527" s="632">
        <f t="shared" si="1383"/>
        <v>125</v>
      </c>
      <c r="K1527" s="632">
        <f t="shared" si="1383"/>
        <v>125</v>
      </c>
      <c r="L1527" s="632">
        <f t="shared" si="1383"/>
        <v>125</v>
      </c>
      <c r="M1527" s="632">
        <f t="shared" si="1383"/>
        <v>125</v>
      </c>
      <c r="N1527" s="632">
        <f t="shared" si="1383"/>
        <v>125</v>
      </c>
      <c r="O1527" s="632">
        <f t="shared" si="1383"/>
        <v>125</v>
      </c>
      <c r="P1527" s="632">
        <f t="shared" si="1383"/>
        <v>125</v>
      </c>
      <c r="Q1527" s="632">
        <f t="shared" si="1383"/>
        <v>125</v>
      </c>
      <c r="R1527" s="632">
        <f t="shared" si="1383"/>
        <v>125</v>
      </c>
      <c r="S1527" s="632">
        <f t="shared" si="1383"/>
        <v>125</v>
      </c>
      <c r="T1527" s="632">
        <f t="shared" si="1383"/>
        <v>125</v>
      </c>
      <c r="U1527" s="632">
        <f t="shared" si="1384"/>
        <v>125</v>
      </c>
      <c r="V1527" s="632">
        <f t="shared" si="1384"/>
        <v>125</v>
      </c>
      <c r="W1527" s="632">
        <f t="shared" si="1384"/>
        <v>125</v>
      </c>
      <c r="X1527" s="632">
        <f t="shared" si="1384"/>
        <v>125</v>
      </c>
      <c r="Y1527" s="632">
        <f t="shared" si="1384"/>
        <v>125</v>
      </c>
      <c r="Z1527" s="632">
        <f t="shared" si="1384"/>
        <v>125</v>
      </c>
      <c r="AA1527" s="632">
        <f t="shared" si="1384"/>
        <v>125</v>
      </c>
      <c r="AB1527" s="632">
        <f t="shared" si="1384"/>
        <v>125</v>
      </c>
      <c r="AC1527" s="632">
        <f t="shared" si="1384"/>
        <v>125</v>
      </c>
      <c r="AD1527" s="632">
        <f t="shared" si="1384"/>
        <v>125</v>
      </c>
      <c r="AE1527" s="632">
        <f t="shared" si="1384"/>
        <v>125</v>
      </c>
      <c r="AF1527" s="632">
        <f t="shared" si="1384"/>
        <v>125</v>
      </c>
      <c r="AH1527" s="587"/>
      <c r="AK1527" s="588"/>
      <c r="AM1527" s="624"/>
      <c r="AN1527" s="590"/>
      <c r="AP1527" s="591"/>
      <c r="AQ1527" s="591"/>
    </row>
    <row r="1528" spans="1:43" s="634" customFormat="1" ht="16.5" hidden="1" customHeight="1" outlineLevel="2">
      <c r="A1528" s="584"/>
      <c r="B1528" s="580" t="s">
        <v>1058</v>
      </c>
      <c r="C1528" s="637">
        <f>C1529*C1530</f>
        <v>0</v>
      </c>
      <c r="D1528" s="637">
        <f t="shared" ref="D1528:AF1528" si="1386">D1529*D1530</f>
        <v>50</v>
      </c>
      <c r="E1528" s="637">
        <f t="shared" si="1386"/>
        <v>50</v>
      </c>
      <c r="F1528" s="637">
        <f t="shared" si="1386"/>
        <v>50</v>
      </c>
      <c r="G1528" s="637">
        <f t="shared" si="1386"/>
        <v>50</v>
      </c>
      <c r="H1528" s="637">
        <f t="shared" si="1386"/>
        <v>50</v>
      </c>
      <c r="I1528" s="637">
        <f t="shared" si="1386"/>
        <v>50</v>
      </c>
      <c r="J1528" s="637">
        <f t="shared" si="1386"/>
        <v>50</v>
      </c>
      <c r="K1528" s="637">
        <f t="shared" si="1386"/>
        <v>50</v>
      </c>
      <c r="L1528" s="637">
        <f t="shared" si="1386"/>
        <v>50</v>
      </c>
      <c r="M1528" s="637">
        <f t="shared" si="1386"/>
        <v>50</v>
      </c>
      <c r="N1528" s="637">
        <f t="shared" si="1386"/>
        <v>50</v>
      </c>
      <c r="O1528" s="637">
        <f t="shared" si="1386"/>
        <v>50</v>
      </c>
      <c r="P1528" s="637">
        <f t="shared" si="1386"/>
        <v>50</v>
      </c>
      <c r="Q1528" s="637">
        <f t="shared" si="1386"/>
        <v>50</v>
      </c>
      <c r="R1528" s="637">
        <f t="shared" si="1386"/>
        <v>50</v>
      </c>
      <c r="S1528" s="637">
        <f t="shared" si="1386"/>
        <v>50</v>
      </c>
      <c r="T1528" s="637">
        <f t="shared" si="1386"/>
        <v>50</v>
      </c>
      <c r="U1528" s="637">
        <f t="shared" si="1386"/>
        <v>50</v>
      </c>
      <c r="V1528" s="637">
        <f t="shared" si="1386"/>
        <v>50</v>
      </c>
      <c r="W1528" s="637">
        <f t="shared" si="1386"/>
        <v>50</v>
      </c>
      <c r="X1528" s="637">
        <f t="shared" si="1386"/>
        <v>50</v>
      </c>
      <c r="Y1528" s="637">
        <f t="shared" si="1386"/>
        <v>50</v>
      </c>
      <c r="Z1528" s="637">
        <f t="shared" si="1386"/>
        <v>50</v>
      </c>
      <c r="AA1528" s="637">
        <f t="shared" si="1386"/>
        <v>50</v>
      </c>
      <c r="AB1528" s="637">
        <f t="shared" si="1386"/>
        <v>50</v>
      </c>
      <c r="AC1528" s="637">
        <f t="shared" si="1386"/>
        <v>50</v>
      </c>
      <c r="AD1528" s="637">
        <f t="shared" si="1386"/>
        <v>50</v>
      </c>
      <c r="AE1528" s="637">
        <f t="shared" si="1386"/>
        <v>50</v>
      </c>
      <c r="AF1528" s="637">
        <f t="shared" si="1386"/>
        <v>50</v>
      </c>
      <c r="AH1528" s="635"/>
      <c r="AK1528" s="588"/>
      <c r="AM1528" s="624"/>
      <c r="AN1528" s="590"/>
      <c r="AP1528" s="636"/>
      <c r="AQ1528" s="636"/>
    </row>
    <row r="1529" spans="1:43" s="586" customFormat="1" ht="16.5" hidden="1" customHeight="1" outlineLevel="2">
      <c r="A1529" s="584"/>
      <c r="B1529" s="585" t="s">
        <v>805</v>
      </c>
      <c r="C1529" s="720">
        <v>0</v>
      </c>
      <c r="D1529" s="720">
        <v>1</v>
      </c>
      <c r="E1529" s="721">
        <f t="shared" ref="E1529:T1530" si="1387">D1529</f>
        <v>1</v>
      </c>
      <c r="F1529" s="721">
        <f t="shared" si="1387"/>
        <v>1</v>
      </c>
      <c r="G1529" s="721">
        <f t="shared" si="1387"/>
        <v>1</v>
      </c>
      <c r="H1529" s="721">
        <f t="shared" si="1387"/>
        <v>1</v>
      </c>
      <c r="I1529" s="721">
        <f t="shared" si="1387"/>
        <v>1</v>
      </c>
      <c r="J1529" s="721">
        <f t="shared" si="1387"/>
        <v>1</v>
      </c>
      <c r="K1529" s="721">
        <f t="shared" si="1387"/>
        <v>1</v>
      </c>
      <c r="L1529" s="721">
        <f t="shared" si="1387"/>
        <v>1</v>
      </c>
      <c r="M1529" s="721">
        <f t="shared" si="1387"/>
        <v>1</v>
      </c>
      <c r="N1529" s="721">
        <f t="shared" si="1387"/>
        <v>1</v>
      </c>
      <c r="O1529" s="721">
        <f t="shared" si="1387"/>
        <v>1</v>
      </c>
      <c r="P1529" s="721">
        <f t="shared" si="1387"/>
        <v>1</v>
      </c>
      <c r="Q1529" s="721">
        <f t="shared" si="1387"/>
        <v>1</v>
      </c>
      <c r="R1529" s="721">
        <f t="shared" si="1387"/>
        <v>1</v>
      </c>
      <c r="S1529" s="721">
        <f t="shared" si="1387"/>
        <v>1</v>
      </c>
      <c r="T1529" s="721">
        <f t="shared" si="1387"/>
        <v>1</v>
      </c>
      <c r="U1529" s="721">
        <f t="shared" ref="U1529:AF1530" si="1388">T1529</f>
        <v>1</v>
      </c>
      <c r="V1529" s="721">
        <f t="shared" si="1388"/>
        <v>1</v>
      </c>
      <c r="W1529" s="721">
        <f t="shared" si="1388"/>
        <v>1</v>
      </c>
      <c r="X1529" s="721">
        <f t="shared" si="1388"/>
        <v>1</v>
      </c>
      <c r="Y1529" s="721">
        <f t="shared" si="1388"/>
        <v>1</v>
      </c>
      <c r="Z1529" s="721">
        <f t="shared" si="1388"/>
        <v>1</v>
      </c>
      <c r="AA1529" s="721">
        <f t="shared" si="1388"/>
        <v>1</v>
      </c>
      <c r="AB1529" s="721">
        <f t="shared" si="1388"/>
        <v>1</v>
      </c>
      <c r="AC1529" s="721">
        <f t="shared" si="1388"/>
        <v>1</v>
      </c>
      <c r="AD1529" s="721">
        <f t="shared" si="1388"/>
        <v>1</v>
      </c>
      <c r="AE1529" s="721">
        <f t="shared" si="1388"/>
        <v>1</v>
      </c>
      <c r="AF1529" s="721">
        <f t="shared" si="1388"/>
        <v>1</v>
      </c>
      <c r="AG1529" s="721" t="e">
        <f t="shared" ref="AG1529" si="1389">AG1526</f>
        <v>#REF!</v>
      </c>
      <c r="AH1529" s="587"/>
      <c r="AK1529" s="588"/>
      <c r="AM1529" s="624"/>
      <c r="AN1529" s="590"/>
      <c r="AP1529" s="591"/>
      <c r="AQ1529" s="591"/>
    </row>
    <row r="1530" spans="1:43" s="586" customFormat="1" ht="16.5" hidden="1" customHeight="1" outlineLevel="2">
      <c r="A1530" s="584"/>
      <c r="B1530" s="585" t="s">
        <v>888</v>
      </c>
      <c r="C1530" s="632">
        <f>Insumos!$E$128</f>
        <v>50</v>
      </c>
      <c r="D1530" s="632">
        <f>C1530</f>
        <v>50</v>
      </c>
      <c r="E1530" s="632">
        <f t="shared" si="1387"/>
        <v>50</v>
      </c>
      <c r="F1530" s="632">
        <f t="shared" si="1387"/>
        <v>50</v>
      </c>
      <c r="G1530" s="632">
        <f t="shared" si="1387"/>
        <v>50</v>
      </c>
      <c r="H1530" s="632">
        <f t="shared" si="1387"/>
        <v>50</v>
      </c>
      <c r="I1530" s="632">
        <f t="shared" si="1387"/>
        <v>50</v>
      </c>
      <c r="J1530" s="632">
        <f t="shared" si="1387"/>
        <v>50</v>
      </c>
      <c r="K1530" s="632">
        <f t="shared" si="1387"/>
        <v>50</v>
      </c>
      <c r="L1530" s="632">
        <f t="shared" si="1387"/>
        <v>50</v>
      </c>
      <c r="M1530" s="632">
        <f t="shared" si="1387"/>
        <v>50</v>
      </c>
      <c r="N1530" s="632">
        <f t="shared" si="1387"/>
        <v>50</v>
      </c>
      <c r="O1530" s="632">
        <f t="shared" si="1387"/>
        <v>50</v>
      </c>
      <c r="P1530" s="632">
        <f t="shared" si="1387"/>
        <v>50</v>
      </c>
      <c r="Q1530" s="632">
        <f t="shared" si="1387"/>
        <v>50</v>
      </c>
      <c r="R1530" s="632">
        <f t="shared" si="1387"/>
        <v>50</v>
      </c>
      <c r="S1530" s="632">
        <f t="shared" si="1387"/>
        <v>50</v>
      </c>
      <c r="T1530" s="632">
        <f t="shared" si="1387"/>
        <v>50</v>
      </c>
      <c r="U1530" s="632">
        <f t="shared" si="1388"/>
        <v>50</v>
      </c>
      <c r="V1530" s="632">
        <f t="shared" si="1388"/>
        <v>50</v>
      </c>
      <c r="W1530" s="632">
        <f t="shared" si="1388"/>
        <v>50</v>
      </c>
      <c r="X1530" s="632">
        <f t="shared" si="1388"/>
        <v>50</v>
      </c>
      <c r="Y1530" s="632">
        <f t="shared" si="1388"/>
        <v>50</v>
      </c>
      <c r="Z1530" s="632">
        <f t="shared" si="1388"/>
        <v>50</v>
      </c>
      <c r="AA1530" s="632">
        <f t="shared" si="1388"/>
        <v>50</v>
      </c>
      <c r="AB1530" s="632">
        <f t="shared" si="1388"/>
        <v>50</v>
      </c>
      <c r="AC1530" s="632">
        <f t="shared" si="1388"/>
        <v>50</v>
      </c>
      <c r="AD1530" s="632">
        <f t="shared" si="1388"/>
        <v>50</v>
      </c>
      <c r="AE1530" s="632">
        <f t="shared" si="1388"/>
        <v>50</v>
      </c>
      <c r="AF1530" s="632">
        <f t="shared" si="1388"/>
        <v>50</v>
      </c>
      <c r="AH1530" s="587"/>
      <c r="AK1530" s="588"/>
      <c r="AM1530" s="624"/>
      <c r="AN1530" s="590"/>
      <c r="AP1530" s="591"/>
      <c r="AQ1530" s="591"/>
    </row>
    <row r="1531" spans="1:43" s="634" customFormat="1" ht="16.5" hidden="1" customHeight="1" outlineLevel="2">
      <c r="A1531" s="584"/>
      <c r="B1531" s="580" t="s">
        <v>1059</v>
      </c>
      <c r="C1531" s="637">
        <f>C1532*C1533</f>
        <v>0</v>
      </c>
      <c r="D1531" s="637">
        <f t="shared" ref="D1531:AF1531" si="1390">D1532*D1533</f>
        <v>2500</v>
      </c>
      <c r="E1531" s="637">
        <f t="shared" si="1390"/>
        <v>2500</v>
      </c>
      <c r="F1531" s="637">
        <f t="shared" si="1390"/>
        <v>2500</v>
      </c>
      <c r="G1531" s="637">
        <f t="shared" si="1390"/>
        <v>2500</v>
      </c>
      <c r="H1531" s="637">
        <f t="shared" si="1390"/>
        <v>2500</v>
      </c>
      <c r="I1531" s="637">
        <f t="shared" si="1390"/>
        <v>2500</v>
      </c>
      <c r="J1531" s="637">
        <f t="shared" si="1390"/>
        <v>2500</v>
      </c>
      <c r="K1531" s="637">
        <f t="shared" si="1390"/>
        <v>2500</v>
      </c>
      <c r="L1531" s="637">
        <f t="shared" si="1390"/>
        <v>2500</v>
      </c>
      <c r="M1531" s="637">
        <f t="shared" si="1390"/>
        <v>2500</v>
      </c>
      <c r="N1531" s="637">
        <f t="shared" si="1390"/>
        <v>2500</v>
      </c>
      <c r="O1531" s="637">
        <f t="shared" si="1390"/>
        <v>2500</v>
      </c>
      <c r="P1531" s="637">
        <f t="shared" si="1390"/>
        <v>2500</v>
      </c>
      <c r="Q1531" s="637">
        <f t="shared" si="1390"/>
        <v>2500</v>
      </c>
      <c r="R1531" s="637">
        <f t="shared" si="1390"/>
        <v>2500</v>
      </c>
      <c r="S1531" s="637">
        <f t="shared" si="1390"/>
        <v>2500</v>
      </c>
      <c r="T1531" s="637">
        <f t="shared" si="1390"/>
        <v>2500</v>
      </c>
      <c r="U1531" s="637">
        <f t="shared" si="1390"/>
        <v>2500</v>
      </c>
      <c r="V1531" s="637">
        <f t="shared" si="1390"/>
        <v>2500</v>
      </c>
      <c r="W1531" s="637">
        <f t="shared" si="1390"/>
        <v>2500</v>
      </c>
      <c r="X1531" s="637">
        <f t="shared" si="1390"/>
        <v>2500</v>
      </c>
      <c r="Y1531" s="637">
        <f t="shared" si="1390"/>
        <v>2500</v>
      </c>
      <c r="Z1531" s="637">
        <f t="shared" si="1390"/>
        <v>2500</v>
      </c>
      <c r="AA1531" s="637">
        <f t="shared" si="1390"/>
        <v>2500</v>
      </c>
      <c r="AB1531" s="637">
        <f t="shared" si="1390"/>
        <v>2500</v>
      </c>
      <c r="AC1531" s="637">
        <f t="shared" si="1390"/>
        <v>2500</v>
      </c>
      <c r="AD1531" s="637">
        <f t="shared" si="1390"/>
        <v>2500</v>
      </c>
      <c r="AE1531" s="637">
        <f t="shared" si="1390"/>
        <v>2500</v>
      </c>
      <c r="AF1531" s="637">
        <f t="shared" si="1390"/>
        <v>2500</v>
      </c>
      <c r="AH1531" s="635"/>
      <c r="AK1531" s="588"/>
      <c r="AM1531" s="624"/>
      <c r="AN1531" s="590"/>
      <c r="AP1531" s="636"/>
      <c r="AQ1531" s="636"/>
    </row>
    <row r="1532" spans="1:43" s="586" customFormat="1" ht="16.5" hidden="1" customHeight="1" outlineLevel="2">
      <c r="A1532" s="584"/>
      <c r="B1532" s="585" t="s">
        <v>805</v>
      </c>
      <c r="C1532" s="720">
        <v>0</v>
      </c>
      <c r="D1532" s="720">
        <v>1</v>
      </c>
      <c r="E1532" s="721">
        <f t="shared" ref="E1532:T1533" si="1391">D1532</f>
        <v>1</v>
      </c>
      <c r="F1532" s="721">
        <f t="shared" si="1391"/>
        <v>1</v>
      </c>
      <c r="G1532" s="721">
        <f t="shared" si="1391"/>
        <v>1</v>
      </c>
      <c r="H1532" s="721">
        <f t="shared" si="1391"/>
        <v>1</v>
      </c>
      <c r="I1532" s="721">
        <f t="shared" si="1391"/>
        <v>1</v>
      </c>
      <c r="J1532" s="721">
        <f t="shared" si="1391"/>
        <v>1</v>
      </c>
      <c r="K1532" s="721">
        <f t="shared" si="1391"/>
        <v>1</v>
      </c>
      <c r="L1532" s="721">
        <f t="shared" si="1391"/>
        <v>1</v>
      </c>
      <c r="M1532" s="721">
        <f t="shared" si="1391"/>
        <v>1</v>
      </c>
      <c r="N1532" s="721">
        <f t="shared" si="1391"/>
        <v>1</v>
      </c>
      <c r="O1532" s="721">
        <f t="shared" si="1391"/>
        <v>1</v>
      </c>
      <c r="P1532" s="721">
        <f t="shared" si="1391"/>
        <v>1</v>
      </c>
      <c r="Q1532" s="721">
        <f t="shared" si="1391"/>
        <v>1</v>
      </c>
      <c r="R1532" s="721">
        <f t="shared" si="1391"/>
        <v>1</v>
      </c>
      <c r="S1532" s="721">
        <f t="shared" si="1391"/>
        <v>1</v>
      </c>
      <c r="T1532" s="721">
        <f t="shared" si="1391"/>
        <v>1</v>
      </c>
      <c r="U1532" s="721">
        <f t="shared" ref="U1532:AF1533" si="1392">T1532</f>
        <v>1</v>
      </c>
      <c r="V1532" s="721">
        <f t="shared" si="1392"/>
        <v>1</v>
      </c>
      <c r="W1532" s="721">
        <f t="shared" si="1392"/>
        <v>1</v>
      </c>
      <c r="X1532" s="721">
        <f t="shared" si="1392"/>
        <v>1</v>
      </c>
      <c r="Y1532" s="721">
        <f t="shared" si="1392"/>
        <v>1</v>
      </c>
      <c r="Z1532" s="721">
        <f t="shared" si="1392"/>
        <v>1</v>
      </c>
      <c r="AA1532" s="721">
        <f t="shared" si="1392"/>
        <v>1</v>
      </c>
      <c r="AB1532" s="721">
        <f t="shared" si="1392"/>
        <v>1</v>
      </c>
      <c r="AC1532" s="721">
        <f t="shared" si="1392"/>
        <v>1</v>
      </c>
      <c r="AD1532" s="721">
        <f t="shared" si="1392"/>
        <v>1</v>
      </c>
      <c r="AE1532" s="721">
        <f t="shared" si="1392"/>
        <v>1</v>
      </c>
      <c r="AF1532" s="721">
        <f t="shared" si="1392"/>
        <v>1</v>
      </c>
      <c r="AG1532" s="632" t="e">
        <f>#REF!</f>
        <v>#REF!</v>
      </c>
      <c r="AH1532" s="587"/>
      <c r="AK1532" s="588"/>
      <c r="AM1532" s="624"/>
      <c r="AN1532" s="590"/>
      <c r="AP1532" s="591"/>
      <c r="AQ1532" s="591"/>
    </row>
    <row r="1533" spans="1:43" s="586" customFormat="1" ht="16.5" hidden="1" customHeight="1" outlineLevel="2">
      <c r="A1533" s="584"/>
      <c r="B1533" s="585" t="s">
        <v>888</v>
      </c>
      <c r="C1533" s="632">
        <f>Insumos!$E$117</f>
        <v>2500</v>
      </c>
      <c r="D1533" s="632">
        <f>C1533</f>
        <v>2500</v>
      </c>
      <c r="E1533" s="632">
        <f t="shared" si="1391"/>
        <v>2500</v>
      </c>
      <c r="F1533" s="632">
        <f t="shared" si="1391"/>
        <v>2500</v>
      </c>
      <c r="G1533" s="632">
        <f t="shared" si="1391"/>
        <v>2500</v>
      </c>
      <c r="H1533" s="632">
        <f t="shared" si="1391"/>
        <v>2500</v>
      </c>
      <c r="I1533" s="632">
        <f t="shared" si="1391"/>
        <v>2500</v>
      </c>
      <c r="J1533" s="632">
        <f t="shared" si="1391"/>
        <v>2500</v>
      </c>
      <c r="K1533" s="632">
        <f t="shared" si="1391"/>
        <v>2500</v>
      </c>
      <c r="L1533" s="632">
        <f t="shared" si="1391"/>
        <v>2500</v>
      </c>
      <c r="M1533" s="632">
        <f t="shared" si="1391"/>
        <v>2500</v>
      </c>
      <c r="N1533" s="632">
        <f t="shared" si="1391"/>
        <v>2500</v>
      </c>
      <c r="O1533" s="632">
        <f t="shared" si="1391"/>
        <v>2500</v>
      </c>
      <c r="P1533" s="632">
        <f t="shared" si="1391"/>
        <v>2500</v>
      </c>
      <c r="Q1533" s="632">
        <f t="shared" si="1391"/>
        <v>2500</v>
      </c>
      <c r="R1533" s="632">
        <f t="shared" si="1391"/>
        <v>2500</v>
      </c>
      <c r="S1533" s="632">
        <f t="shared" si="1391"/>
        <v>2500</v>
      </c>
      <c r="T1533" s="632">
        <f t="shared" si="1391"/>
        <v>2500</v>
      </c>
      <c r="U1533" s="632">
        <f t="shared" si="1392"/>
        <v>2500</v>
      </c>
      <c r="V1533" s="632">
        <f t="shared" si="1392"/>
        <v>2500</v>
      </c>
      <c r="W1533" s="632">
        <f t="shared" si="1392"/>
        <v>2500</v>
      </c>
      <c r="X1533" s="632">
        <f t="shared" si="1392"/>
        <v>2500</v>
      </c>
      <c r="Y1533" s="632">
        <f t="shared" si="1392"/>
        <v>2500</v>
      </c>
      <c r="Z1533" s="632">
        <f t="shared" si="1392"/>
        <v>2500</v>
      </c>
      <c r="AA1533" s="632">
        <f t="shared" si="1392"/>
        <v>2500</v>
      </c>
      <c r="AB1533" s="632">
        <f t="shared" si="1392"/>
        <v>2500</v>
      </c>
      <c r="AC1533" s="632">
        <f t="shared" si="1392"/>
        <v>2500</v>
      </c>
      <c r="AD1533" s="632">
        <f t="shared" si="1392"/>
        <v>2500</v>
      </c>
      <c r="AE1533" s="632">
        <f t="shared" si="1392"/>
        <v>2500</v>
      </c>
      <c r="AF1533" s="632">
        <f t="shared" si="1392"/>
        <v>2500</v>
      </c>
      <c r="AH1533" s="587"/>
      <c r="AK1533" s="588"/>
      <c r="AM1533" s="624"/>
      <c r="AN1533" s="590"/>
      <c r="AP1533" s="591"/>
      <c r="AQ1533" s="591"/>
    </row>
    <row r="1534" spans="1:43" s="634" customFormat="1" ht="16.5" hidden="1" customHeight="1" outlineLevel="2">
      <c r="A1534" s="584"/>
      <c r="B1534" s="580" t="s">
        <v>1060</v>
      </c>
      <c r="C1534" s="637">
        <f>C1535*C1536</f>
        <v>0</v>
      </c>
      <c r="D1534" s="637">
        <f t="shared" ref="D1534:AF1534" si="1393">D1535*D1536</f>
        <v>40</v>
      </c>
      <c r="E1534" s="637">
        <f t="shared" si="1393"/>
        <v>40</v>
      </c>
      <c r="F1534" s="637">
        <f t="shared" si="1393"/>
        <v>40</v>
      </c>
      <c r="G1534" s="637">
        <f t="shared" si="1393"/>
        <v>40</v>
      </c>
      <c r="H1534" s="637">
        <f t="shared" si="1393"/>
        <v>40</v>
      </c>
      <c r="I1534" s="637">
        <f t="shared" si="1393"/>
        <v>40</v>
      </c>
      <c r="J1534" s="637">
        <f t="shared" si="1393"/>
        <v>40</v>
      </c>
      <c r="K1534" s="637">
        <f t="shared" si="1393"/>
        <v>40</v>
      </c>
      <c r="L1534" s="637">
        <f t="shared" si="1393"/>
        <v>40</v>
      </c>
      <c r="M1534" s="637">
        <f t="shared" si="1393"/>
        <v>40</v>
      </c>
      <c r="N1534" s="637">
        <f t="shared" si="1393"/>
        <v>40</v>
      </c>
      <c r="O1534" s="637">
        <f t="shared" si="1393"/>
        <v>40</v>
      </c>
      <c r="P1534" s="637">
        <f t="shared" si="1393"/>
        <v>40</v>
      </c>
      <c r="Q1534" s="637">
        <f t="shared" si="1393"/>
        <v>40</v>
      </c>
      <c r="R1534" s="637">
        <f t="shared" si="1393"/>
        <v>40</v>
      </c>
      <c r="S1534" s="637">
        <f t="shared" si="1393"/>
        <v>40</v>
      </c>
      <c r="T1534" s="637">
        <f t="shared" si="1393"/>
        <v>40</v>
      </c>
      <c r="U1534" s="637">
        <f t="shared" si="1393"/>
        <v>40</v>
      </c>
      <c r="V1534" s="637">
        <f t="shared" si="1393"/>
        <v>40</v>
      </c>
      <c r="W1534" s="637">
        <f t="shared" si="1393"/>
        <v>40</v>
      </c>
      <c r="X1534" s="637">
        <f t="shared" si="1393"/>
        <v>40</v>
      </c>
      <c r="Y1534" s="637">
        <f t="shared" si="1393"/>
        <v>40</v>
      </c>
      <c r="Z1534" s="637">
        <f t="shared" si="1393"/>
        <v>40</v>
      </c>
      <c r="AA1534" s="637">
        <f t="shared" si="1393"/>
        <v>40</v>
      </c>
      <c r="AB1534" s="637">
        <f t="shared" si="1393"/>
        <v>40</v>
      </c>
      <c r="AC1534" s="637">
        <f t="shared" si="1393"/>
        <v>40</v>
      </c>
      <c r="AD1534" s="637">
        <f t="shared" si="1393"/>
        <v>40</v>
      </c>
      <c r="AE1534" s="637">
        <f t="shared" si="1393"/>
        <v>40</v>
      </c>
      <c r="AF1534" s="637">
        <f t="shared" si="1393"/>
        <v>40</v>
      </c>
      <c r="AH1534" s="635"/>
      <c r="AK1534" s="588"/>
      <c r="AM1534" s="624"/>
      <c r="AN1534" s="590"/>
      <c r="AP1534" s="636"/>
      <c r="AQ1534" s="636"/>
    </row>
    <row r="1535" spans="1:43" s="586" customFormat="1" ht="16.5" hidden="1" customHeight="1" outlineLevel="2">
      <c r="A1535" s="584"/>
      <c r="B1535" s="585" t="s">
        <v>1061</v>
      </c>
      <c r="C1535" s="720">
        <v>0</v>
      </c>
      <c r="D1535" s="720">
        <v>1</v>
      </c>
      <c r="E1535" s="721">
        <f t="shared" ref="E1535:T1536" si="1394">D1535</f>
        <v>1</v>
      </c>
      <c r="F1535" s="721">
        <f t="shared" si="1394"/>
        <v>1</v>
      </c>
      <c r="G1535" s="721">
        <f t="shared" si="1394"/>
        <v>1</v>
      </c>
      <c r="H1535" s="721">
        <f t="shared" si="1394"/>
        <v>1</v>
      </c>
      <c r="I1535" s="721">
        <f t="shared" si="1394"/>
        <v>1</v>
      </c>
      <c r="J1535" s="721">
        <f t="shared" si="1394"/>
        <v>1</v>
      </c>
      <c r="K1535" s="721">
        <f t="shared" si="1394"/>
        <v>1</v>
      </c>
      <c r="L1535" s="721">
        <f t="shared" si="1394"/>
        <v>1</v>
      </c>
      <c r="M1535" s="721">
        <f t="shared" si="1394"/>
        <v>1</v>
      </c>
      <c r="N1535" s="721">
        <f t="shared" si="1394"/>
        <v>1</v>
      </c>
      <c r="O1535" s="721">
        <f t="shared" si="1394"/>
        <v>1</v>
      </c>
      <c r="P1535" s="721">
        <f t="shared" si="1394"/>
        <v>1</v>
      </c>
      <c r="Q1535" s="721">
        <f t="shared" si="1394"/>
        <v>1</v>
      </c>
      <c r="R1535" s="721">
        <f t="shared" si="1394"/>
        <v>1</v>
      </c>
      <c r="S1535" s="721">
        <f t="shared" si="1394"/>
        <v>1</v>
      </c>
      <c r="T1535" s="721">
        <f t="shared" si="1394"/>
        <v>1</v>
      </c>
      <c r="U1535" s="721">
        <f t="shared" ref="U1535:AF1536" si="1395">T1535</f>
        <v>1</v>
      </c>
      <c r="V1535" s="721">
        <f t="shared" si="1395"/>
        <v>1</v>
      </c>
      <c r="W1535" s="721">
        <f t="shared" si="1395"/>
        <v>1</v>
      </c>
      <c r="X1535" s="721">
        <f t="shared" si="1395"/>
        <v>1</v>
      </c>
      <c r="Y1535" s="721">
        <f t="shared" si="1395"/>
        <v>1</v>
      </c>
      <c r="Z1535" s="721">
        <f t="shared" si="1395"/>
        <v>1</v>
      </c>
      <c r="AA1535" s="721">
        <f t="shared" si="1395"/>
        <v>1</v>
      </c>
      <c r="AB1535" s="721">
        <f t="shared" si="1395"/>
        <v>1</v>
      </c>
      <c r="AC1535" s="721">
        <f t="shared" si="1395"/>
        <v>1</v>
      </c>
      <c r="AD1535" s="721">
        <f t="shared" si="1395"/>
        <v>1</v>
      </c>
      <c r="AE1535" s="721">
        <f t="shared" si="1395"/>
        <v>1</v>
      </c>
      <c r="AF1535" s="721">
        <f t="shared" si="1395"/>
        <v>1</v>
      </c>
      <c r="AG1535" s="632" t="e">
        <f t="shared" ref="AG1535" si="1396">AG1532</f>
        <v>#REF!</v>
      </c>
      <c r="AH1535" s="587"/>
      <c r="AK1535" s="588"/>
      <c r="AM1535" s="624"/>
      <c r="AN1535" s="590"/>
      <c r="AP1535" s="591"/>
      <c r="AQ1535" s="591"/>
    </row>
    <row r="1536" spans="1:43" s="586" customFormat="1" ht="16.5" hidden="1" customHeight="1" outlineLevel="2">
      <c r="A1536" s="584"/>
      <c r="B1536" s="585" t="s">
        <v>888</v>
      </c>
      <c r="C1536" s="632">
        <f>Insumos!$E$118</f>
        <v>40</v>
      </c>
      <c r="D1536" s="632">
        <f>C1536</f>
        <v>40</v>
      </c>
      <c r="E1536" s="632">
        <f t="shared" si="1394"/>
        <v>40</v>
      </c>
      <c r="F1536" s="632">
        <f t="shared" si="1394"/>
        <v>40</v>
      </c>
      <c r="G1536" s="632">
        <f t="shared" si="1394"/>
        <v>40</v>
      </c>
      <c r="H1536" s="632">
        <f t="shared" si="1394"/>
        <v>40</v>
      </c>
      <c r="I1536" s="632">
        <f t="shared" si="1394"/>
        <v>40</v>
      </c>
      <c r="J1536" s="632">
        <f t="shared" si="1394"/>
        <v>40</v>
      </c>
      <c r="K1536" s="632">
        <f t="shared" si="1394"/>
        <v>40</v>
      </c>
      <c r="L1536" s="632">
        <f t="shared" si="1394"/>
        <v>40</v>
      </c>
      <c r="M1536" s="632">
        <f t="shared" si="1394"/>
        <v>40</v>
      </c>
      <c r="N1536" s="632">
        <f t="shared" si="1394"/>
        <v>40</v>
      </c>
      <c r="O1536" s="632">
        <f t="shared" si="1394"/>
        <v>40</v>
      </c>
      <c r="P1536" s="632">
        <f t="shared" si="1394"/>
        <v>40</v>
      </c>
      <c r="Q1536" s="632">
        <f t="shared" si="1394"/>
        <v>40</v>
      </c>
      <c r="R1536" s="632">
        <f t="shared" si="1394"/>
        <v>40</v>
      </c>
      <c r="S1536" s="632">
        <f t="shared" si="1394"/>
        <v>40</v>
      </c>
      <c r="T1536" s="632">
        <f t="shared" si="1394"/>
        <v>40</v>
      </c>
      <c r="U1536" s="632">
        <f t="shared" si="1395"/>
        <v>40</v>
      </c>
      <c r="V1536" s="632">
        <f t="shared" si="1395"/>
        <v>40</v>
      </c>
      <c r="W1536" s="632">
        <f t="shared" si="1395"/>
        <v>40</v>
      </c>
      <c r="X1536" s="632">
        <f t="shared" si="1395"/>
        <v>40</v>
      </c>
      <c r="Y1536" s="632">
        <f t="shared" si="1395"/>
        <v>40</v>
      </c>
      <c r="Z1536" s="632">
        <f t="shared" si="1395"/>
        <v>40</v>
      </c>
      <c r="AA1536" s="632">
        <f t="shared" si="1395"/>
        <v>40</v>
      </c>
      <c r="AB1536" s="632">
        <f t="shared" si="1395"/>
        <v>40</v>
      </c>
      <c r="AC1536" s="632">
        <f t="shared" si="1395"/>
        <v>40</v>
      </c>
      <c r="AD1536" s="632">
        <f t="shared" si="1395"/>
        <v>40</v>
      </c>
      <c r="AE1536" s="632">
        <f t="shared" si="1395"/>
        <v>40</v>
      </c>
      <c r="AF1536" s="632">
        <f t="shared" si="1395"/>
        <v>40</v>
      </c>
      <c r="AH1536" s="587"/>
      <c r="AK1536" s="588"/>
      <c r="AM1536" s="624"/>
      <c r="AN1536" s="590"/>
      <c r="AP1536" s="591"/>
      <c r="AQ1536" s="591"/>
    </row>
    <row r="1537" spans="1:43" s="634" customFormat="1" ht="16.5" hidden="1" customHeight="1" outlineLevel="2">
      <c r="A1537" s="584"/>
      <c r="B1537" s="580" t="s">
        <v>1062</v>
      </c>
      <c r="C1537" s="637">
        <f>C1538*C1539</f>
        <v>0</v>
      </c>
      <c r="D1537" s="637">
        <f t="shared" ref="D1537:AF1537" si="1397">D1538*D1539</f>
        <v>2500</v>
      </c>
      <c r="E1537" s="637">
        <f t="shared" si="1397"/>
        <v>2500</v>
      </c>
      <c r="F1537" s="637">
        <f t="shared" si="1397"/>
        <v>2500</v>
      </c>
      <c r="G1537" s="637">
        <f t="shared" si="1397"/>
        <v>2500</v>
      </c>
      <c r="H1537" s="637">
        <f t="shared" si="1397"/>
        <v>2500</v>
      </c>
      <c r="I1537" s="637">
        <f t="shared" si="1397"/>
        <v>2500</v>
      </c>
      <c r="J1537" s="637">
        <f t="shared" si="1397"/>
        <v>2500</v>
      </c>
      <c r="K1537" s="637">
        <f t="shared" si="1397"/>
        <v>2500</v>
      </c>
      <c r="L1537" s="637">
        <f t="shared" si="1397"/>
        <v>2500</v>
      </c>
      <c r="M1537" s="637">
        <f t="shared" si="1397"/>
        <v>2500</v>
      </c>
      <c r="N1537" s="637">
        <f t="shared" si="1397"/>
        <v>2500</v>
      </c>
      <c r="O1537" s="637">
        <f t="shared" si="1397"/>
        <v>2500</v>
      </c>
      <c r="P1537" s="637">
        <f t="shared" si="1397"/>
        <v>2500</v>
      </c>
      <c r="Q1537" s="637">
        <f t="shared" si="1397"/>
        <v>2500</v>
      </c>
      <c r="R1537" s="637">
        <f t="shared" si="1397"/>
        <v>2500</v>
      </c>
      <c r="S1537" s="637">
        <f t="shared" si="1397"/>
        <v>2500</v>
      </c>
      <c r="T1537" s="637">
        <f t="shared" si="1397"/>
        <v>2500</v>
      </c>
      <c r="U1537" s="637">
        <f t="shared" si="1397"/>
        <v>2500</v>
      </c>
      <c r="V1537" s="637">
        <f t="shared" si="1397"/>
        <v>2500</v>
      </c>
      <c r="W1537" s="637">
        <f t="shared" si="1397"/>
        <v>2500</v>
      </c>
      <c r="X1537" s="637">
        <f t="shared" si="1397"/>
        <v>2500</v>
      </c>
      <c r="Y1537" s="637">
        <f t="shared" si="1397"/>
        <v>2500</v>
      </c>
      <c r="Z1537" s="637">
        <f t="shared" si="1397"/>
        <v>2500</v>
      </c>
      <c r="AA1537" s="637">
        <f t="shared" si="1397"/>
        <v>2500</v>
      </c>
      <c r="AB1537" s="637">
        <f t="shared" si="1397"/>
        <v>2500</v>
      </c>
      <c r="AC1537" s="637">
        <f t="shared" si="1397"/>
        <v>2500</v>
      </c>
      <c r="AD1537" s="637">
        <f t="shared" si="1397"/>
        <v>2500</v>
      </c>
      <c r="AE1537" s="637">
        <f t="shared" si="1397"/>
        <v>2500</v>
      </c>
      <c r="AF1537" s="637">
        <f t="shared" si="1397"/>
        <v>2500</v>
      </c>
      <c r="AH1537" s="635"/>
      <c r="AK1537" s="588"/>
      <c r="AM1537" s="624"/>
      <c r="AN1537" s="590"/>
      <c r="AP1537" s="636"/>
      <c r="AQ1537" s="636"/>
    </row>
    <row r="1538" spans="1:43" s="586" customFormat="1" ht="16.5" hidden="1" customHeight="1" outlineLevel="2">
      <c r="A1538" s="584"/>
      <c r="B1538" s="585" t="s">
        <v>1061</v>
      </c>
      <c r="C1538" s="720">
        <v>0</v>
      </c>
      <c r="D1538" s="720">
        <v>10</v>
      </c>
      <c r="E1538" s="721">
        <f t="shared" ref="E1538:T1539" si="1398">D1538</f>
        <v>10</v>
      </c>
      <c r="F1538" s="721">
        <f t="shared" si="1398"/>
        <v>10</v>
      </c>
      <c r="G1538" s="721">
        <f t="shared" si="1398"/>
        <v>10</v>
      </c>
      <c r="H1538" s="721">
        <f t="shared" si="1398"/>
        <v>10</v>
      </c>
      <c r="I1538" s="721">
        <f t="shared" si="1398"/>
        <v>10</v>
      </c>
      <c r="J1538" s="721">
        <f t="shared" si="1398"/>
        <v>10</v>
      </c>
      <c r="K1538" s="721">
        <f t="shared" si="1398"/>
        <v>10</v>
      </c>
      <c r="L1538" s="721">
        <f t="shared" si="1398"/>
        <v>10</v>
      </c>
      <c r="M1538" s="721">
        <f t="shared" si="1398"/>
        <v>10</v>
      </c>
      <c r="N1538" s="721">
        <f t="shared" si="1398"/>
        <v>10</v>
      </c>
      <c r="O1538" s="721">
        <f t="shared" si="1398"/>
        <v>10</v>
      </c>
      <c r="P1538" s="721">
        <f t="shared" si="1398"/>
        <v>10</v>
      </c>
      <c r="Q1538" s="721">
        <f t="shared" si="1398"/>
        <v>10</v>
      </c>
      <c r="R1538" s="721">
        <f t="shared" si="1398"/>
        <v>10</v>
      </c>
      <c r="S1538" s="721">
        <f t="shared" si="1398"/>
        <v>10</v>
      </c>
      <c r="T1538" s="721">
        <f t="shared" si="1398"/>
        <v>10</v>
      </c>
      <c r="U1538" s="721">
        <f t="shared" ref="U1538:AF1539" si="1399">T1538</f>
        <v>10</v>
      </c>
      <c r="V1538" s="721">
        <f t="shared" si="1399"/>
        <v>10</v>
      </c>
      <c r="W1538" s="721">
        <f t="shared" si="1399"/>
        <v>10</v>
      </c>
      <c r="X1538" s="721">
        <f t="shared" si="1399"/>
        <v>10</v>
      </c>
      <c r="Y1538" s="721">
        <f t="shared" si="1399"/>
        <v>10</v>
      </c>
      <c r="Z1538" s="721">
        <f t="shared" si="1399"/>
        <v>10</v>
      </c>
      <c r="AA1538" s="721">
        <f t="shared" si="1399"/>
        <v>10</v>
      </c>
      <c r="AB1538" s="721">
        <f t="shared" si="1399"/>
        <v>10</v>
      </c>
      <c r="AC1538" s="721">
        <f t="shared" si="1399"/>
        <v>10</v>
      </c>
      <c r="AD1538" s="721">
        <f t="shared" si="1399"/>
        <v>10</v>
      </c>
      <c r="AE1538" s="721">
        <f t="shared" si="1399"/>
        <v>10</v>
      </c>
      <c r="AF1538" s="721">
        <f t="shared" si="1399"/>
        <v>10</v>
      </c>
      <c r="AG1538" s="632" t="e">
        <f t="shared" ref="AG1538" si="1400">AG1535</f>
        <v>#REF!</v>
      </c>
      <c r="AH1538" s="587"/>
      <c r="AK1538" s="588"/>
      <c r="AM1538" s="624"/>
      <c r="AN1538" s="590"/>
      <c r="AP1538" s="591"/>
      <c r="AQ1538" s="591"/>
    </row>
    <row r="1539" spans="1:43" s="586" customFormat="1" ht="16.5" hidden="1" customHeight="1" outlineLevel="2">
      <c r="A1539" s="584"/>
      <c r="B1539" s="585" t="s">
        <v>888</v>
      </c>
      <c r="C1539" s="632">
        <f>Insumos!$E$122</f>
        <v>250</v>
      </c>
      <c r="D1539" s="632">
        <f>C1539</f>
        <v>250</v>
      </c>
      <c r="E1539" s="632">
        <f t="shared" si="1398"/>
        <v>250</v>
      </c>
      <c r="F1539" s="632">
        <f t="shared" si="1398"/>
        <v>250</v>
      </c>
      <c r="G1539" s="632">
        <f t="shared" si="1398"/>
        <v>250</v>
      </c>
      <c r="H1539" s="632">
        <f t="shared" si="1398"/>
        <v>250</v>
      </c>
      <c r="I1539" s="632">
        <f t="shared" si="1398"/>
        <v>250</v>
      </c>
      <c r="J1539" s="632">
        <f t="shared" si="1398"/>
        <v>250</v>
      </c>
      <c r="K1539" s="632">
        <f t="shared" si="1398"/>
        <v>250</v>
      </c>
      <c r="L1539" s="632">
        <f t="shared" si="1398"/>
        <v>250</v>
      </c>
      <c r="M1539" s="632">
        <f t="shared" si="1398"/>
        <v>250</v>
      </c>
      <c r="N1539" s="632">
        <f t="shared" si="1398"/>
        <v>250</v>
      </c>
      <c r="O1539" s="632">
        <f t="shared" si="1398"/>
        <v>250</v>
      </c>
      <c r="P1539" s="632">
        <f t="shared" si="1398"/>
        <v>250</v>
      </c>
      <c r="Q1539" s="632">
        <f t="shared" si="1398"/>
        <v>250</v>
      </c>
      <c r="R1539" s="632">
        <f t="shared" si="1398"/>
        <v>250</v>
      </c>
      <c r="S1539" s="632">
        <f t="shared" si="1398"/>
        <v>250</v>
      </c>
      <c r="T1539" s="632">
        <f t="shared" si="1398"/>
        <v>250</v>
      </c>
      <c r="U1539" s="632">
        <f t="shared" si="1399"/>
        <v>250</v>
      </c>
      <c r="V1539" s="632">
        <f t="shared" si="1399"/>
        <v>250</v>
      </c>
      <c r="W1539" s="632">
        <f t="shared" si="1399"/>
        <v>250</v>
      </c>
      <c r="X1539" s="632">
        <f t="shared" si="1399"/>
        <v>250</v>
      </c>
      <c r="Y1539" s="632">
        <f t="shared" si="1399"/>
        <v>250</v>
      </c>
      <c r="Z1539" s="632">
        <f t="shared" si="1399"/>
        <v>250</v>
      </c>
      <c r="AA1539" s="632">
        <f t="shared" si="1399"/>
        <v>250</v>
      </c>
      <c r="AB1539" s="632">
        <f t="shared" si="1399"/>
        <v>250</v>
      </c>
      <c r="AC1539" s="632">
        <f t="shared" si="1399"/>
        <v>250</v>
      </c>
      <c r="AD1539" s="632">
        <f t="shared" si="1399"/>
        <v>250</v>
      </c>
      <c r="AE1539" s="632">
        <f t="shared" si="1399"/>
        <v>250</v>
      </c>
      <c r="AF1539" s="632">
        <f t="shared" si="1399"/>
        <v>250</v>
      </c>
      <c r="AH1539" s="587"/>
      <c r="AK1539" s="588"/>
      <c r="AM1539" s="624"/>
      <c r="AN1539" s="590"/>
      <c r="AP1539" s="591"/>
      <c r="AQ1539" s="591"/>
    </row>
    <row r="1540" spans="1:43" s="634" customFormat="1" ht="16.5" hidden="1" customHeight="1" outlineLevel="2">
      <c r="A1540" s="584"/>
      <c r="B1540" s="580" t="s">
        <v>1063</v>
      </c>
      <c r="C1540" s="637">
        <f>C1541*C1542</f>
        <v>0</v>
      </c>
      <c r="D1540" s="637">
        <f t="shared" ref="D1540:AF1540" si="1401">D1541*D1542</f>
        <v>210</v>
      </c>
      <c r="E1540" s="637">
        <f t="shared" si="1401"/>
        <v>210</v>
      </c>
      <c r="F1540" s="637">
        <f t="shared" si="1401"/>
        <v>210</v>
      </c>
      <c r="G1540" s="637">
        <f t="shared" si="1401"/>
        <v>210</v>
      </c>
      <c r="H1540" s="637">
        <f t="shared" si="1401"/>
        <v>210</v>
      </c>
      <c r="I1540" s="637">
        <f t="shared" si="1401"/>
        <v>210</v>
      </c>
      <c r="J1540" s="637">
        <f t="shared" si="1401"/>
        <v>210</v>
      </c>
      <c r="K1540" s="637">
        <f t="shared" si="1401"/>
        <v>210</v>
      </c>
      <c r="L1540" s="637">
        <f t="shared" si="1401"/>
        <v>210</v>
      </c>
      <c r="M1540" s="637">
        <f t="shared" si="1401"/>
        <v>210</v>
      </c>
      <c r="N1540" s="637">
        <f t="shared" si="1401"/>
        <v>210</v>
      </c>
      <c r="O1540" s="637">
        <f t="shared" si="1401"/>
        <v>210</v>
      </c>
      <c r="P1540" s="637">
        <f t="shared" si="1401"/>
        <v>210</v>
      </c>
      <c r="Q1540" s="637">
        <f t="shared" si="1401"/>
        <v>210</v>
      </c>
      <c r="R1540" s="637">
        <f t="shared" si="1401"/>
        <v>210</v>
      </c>
      <c r="S1540" s="637">
        <f t="shared" si="1401"/>
        <v>210</v>
      </c>
      <c r="T1540" s="637">
        <f t="shared" si="1401"/>
        <v>210</v>
      </c>
      <c r="U1540" s="637">
        <f t="shared" si="1401"/>
        <v>210</v>
      </c>
      <c r="V1540" s="637">
        <f t="shared" si="1401"/>
        <v>210</v>
      </c>
      <c r="W1540" s="637">
        <f t="shared" si="1401"/>
        <v>210</v>
      </c>
      <c r="X1540" s="637">
        <f t="shared" si="1401"/>
        <v>210</v>
      </c>
      <c r="Y1540" s="637">
        <f t="shared" si="1401"/>
        <v>210</v>
      </c>
      <c r="Z1540" s="637">
        <f t="shared" si="1401"/>
        <v>210</v>
      </c>
      <c r="AA1540" s="637">
        <f t="shared" si="1401"/>
        <v>210</v>
      </c>
      <c r="AB1540" s="637">
        <f t="shared" si="1401"/>
        <v>210</v>
      </c>
      <c r="AC1540" s="637">
        <f t="shared" si="1401"/>
        <v>210</v>
      </c>
      <c r="AD1540" s="637">
        <f t="shared" si="1401"/>
        <v>210</v>
      </c>
      <c r="AE1540" s="637">
        <f t="shared" si="1401"/>
        <v>210</v>
      </c>
      <c r="AF1540" s="637">
        <f t="shared" si="1401"/>
        <v>210</v>
      </c>
      <c r="AH1540" s="635"/>
      <c r="AK1540" s="588"/>
      <c r="AM1540" s="624"/>
      <c r="AN1540" s="590"/>
      <c r="AP1540" s="636"/>
      <c r="AQ1540" s="636"/>
    </row>
    <row r="1541" spans="1:43" s="586" customFormat="1" ht="16.5" hidden="1" customHeight="1" outlineLevel="2">
      <c r="A1541" s="584"/>
      <c r="B1541" s="585" t="s">
        <v>1061</v>
      </c>
      <c r="C1541" s="721">
        <v>0</v>
      </c>
      <c r="D1541" s="721">
        <v>1</v>
      </c>
      <c r="E1541" s="721">
        <f t="shared" ref="E1541:T1542" si="1402">D1541</f>
        <v>1</v>
      </c>
      <c r="F1541" s="721">
        <f t="shared" si="1402"/>
        <v>1</v>
      </c>
      <c r="G1541" s="721">
        <f t="shared" si="1402"/>
        <v>1</v>
      </c>
      <c r="H1541" s="721">
        <f t="shared" si="1402"/>
        <v>1</v>
      </c>
      <c r="I1541" s="721">
        <f t="shared" si="1402"/>
        <v>1</v>
      </c>
      <c r="J1541" s="721">
        <f t="shared" si="1402"/>
        <v>1</v>
      </c>
      <c r="K1541" s="721">
        <f t="shared" si="1402"/>
        <v>1</v>
      </c>
      <c r="L1541" s="721">
        <f t="shared" si="1402"/>
        <v>1</v>
      </c>
      <c r="M1541" s="721">
        <f t="shared" si="1402"/>
        <v>1</v>
      </c>
      <c r="N1541" s="721">
        <f t="shared" si="1402"/>
        <v>1</v>
      </c>
      <c r="O1541" s="721">
        <f t="shared" si="1402"/>
        <v>1</v>
      </c>
      <c r="P1541" s="721">
        <f t="shared" si="1402"/>
        <v>1</v>
      </c>
      <c r="Q1541" s="721">
        <f t="shared" si="1402"/>
        <v>1</v>
      </c>
      <c r="R1541" s="721">
        <f t="shared" si="1402"/>
        <v>1</v>
      </c>
      <c r="S1541" s="721">
        <f t="shared" si="1402"/>
        <v>1</v>
      </c>
      <c r="T1541" s="721">
        <f t="shared" si="1402"/>
        <v>1</v>
      </c>
      <c r="U1541" s="721">
        <f t="shared" ref="U1541:AF1542" si="1403">T1541</f>
        <v>1</v>
      </c>
      <c r="V1541" s="721">
        <f t="shared" si="1403"/>
        <v>1</v>
      </c>
      <c r="W1541" s="721">
        <f t="shared" si="1403"/>
        <v>1</v>
      </c>
      <c r="X1541" s="721">
        <f t="shared" si="1403"/>
        <v>1</v>
      </c>
      <c r="Y1541" s="721">
        <f t="shared" si="1403"/>
        <v>1</v>
      </c>
      <c r="Z1541" s="721">
        <f t="shared" si="1403"/>
        <v>1</v>
      </c>
      <c r="AA1541" s="721">
        <f t="shared" si="1403"/>
        <v>1</v>
      </c>
      <c r="AB1541" s="721">
        <f t="shared" si="1403"/>
        <v>1</v>
      </c>
      <c r="AC1541" s="721">
        <f t="shared" si="1403"/>
        <v>1</v>
      </c>
      <c r="AD1541" s="721">
        <f t="shared" si="1403"/>
        <v>1</v>
      </c>
      <c r="AE1541" s="721">
        <f t="shared" si="1403"/>
        <v>1</v>
      </c>
      <c r="AF1541" s="721">
        <f t="shared" si="1403"/>
        <v>1</v>
      </c>
      <c r="AG1541" s="632" t="e">
        <f t="shared" ref="AG1541" si="1404">AG1538</f>
        <v>#REF!</v>
      </c>
      <c r="AH1541" s="587"/>
      <c r="AK1541" s="588"/>
      <c r="AM1541" s="624"/>
      <c r="AN1541" s="590"/>
      <c r="AP1541" s="591"/>
      <c r="AQ1541" s="591"/>
    </row>
    <row r="1542" spans="1:43" s="586" customFormat="1" ht="16.5" hidden="1" customHeight="1" outlineLevel="2">
      <c r="A1542" s="584"/>
      <c r="B1542" s="585" t="s">
        <v>888</v>
      </c>
      <c r="C1542" s="632">
        <f>Insumos!$E$116</f>
        <v>210</v>
      </c>
      <c r="D1542" s="632">
        <f>C1542</f>
        <v>210</v>
      </c>
      <c r="E1542" s="632">
        <f t="shared" si="1402"/>
        <v>210</v>
      </c>
      <c r="F1542" s="632">
        <f t="shared" si="1402"/>
        <v>210</v>
      </c>
      <c r="G1542" s="632">
        <f t="shared" si="1402"/>
        <v>210</v>
      </c>
      <c r="H1542" s="632">
        <f t="shared" si="1402"/>
        <v>210</v>
      </c>
      <c r="I1542" s="632">
        <f t="shared" si="1402"/>
        <v>210</v>
      </c>
      <c r="J1542" s="632">
        <f t="shared" si="1402"/>
        <v>210</v>
      </c>
      <c r="K1542" s="632">
        <f t="shared" si="1402"/>
        <v>210</v>
      </c>
      <c r="L1542" s="632">
        <f t="shared" si="1402"/>
        <v>210</v>
      </c>
      <c r="M1542" s="632">
        <f t="shared" si="1402"/>
        <v>210</v>
      </c>
      <c r="N1542" s="632">
        <f t="shared" si="1402"/>
        <v>210</v>
      </c>
      <c r="O1542" s="632">
        <f t="shared" si="1402"/>
        <v>210</v>
      </c>
      <c r="P1542" s="632">
        <f t="shared" si="1402"/>
        <v>210</v>
      </c>
      <c r="Q1542" s="632">
        <f t="shared" si="1402"/>
        <v>210</v>
      </c>
      <c r="R1542" s="632">
        <f t="shared" si="1402"/>
        <v>210</v>
      </c>
      <c r="S1542" s="632">
        <f t="shared" si="1402"/>
        <v>210</v>
      </c>
      <c r="T1542" s="632">
        <f t="shared" si="1402"/>
        <v>210</v>
      </c>
      <c r="U1542" s="632">
        <f t="shared" si="1403"/>
        <v>210</v>
      </c>
      <c r="V1542" s="632">
        <f t="shared" si="1403"/>
        <v>210</v>
      </c>
      <c r="W1542" s="632">
        <f t="shared" si="1403"/>
        <v>210</v>
      </c>
      <c r="X1542" s="632">
        <f t="shared" si="1403"/>
        <v>210</v>
      </c>
      <c r="Y1542" s="632">
        <f t="shared" si="1403"/>
        <v>210</v>
      </c>
      <c r="Z1542" s="632">
        <f t="shared" si="1403"/>
        <v>210</v>
      </c>
      <c r="AA1542" s="632">
        <f t="shared" si="1403"/>
        <v>210</v>
      </c>
      <c r="AB1542" s="632">
        <f t="shared" si="1403"/>
        <v>210</v>
      </c>
      <c r="AC1542" s="632">
        <f t="shared" si="1403"/>
        <v>210</v>
      </c>
      <c r="AD1542" s="632">
        <f t="shared" si="1403"/>
        <v>210</v>
      </c>
      <c r="AE1542" s="632">
        <f t="shared" si="1403"/>
        <v>210</v>
      </c>
      <c r="AF1542" s="632">
        <f t="shared" si="1403"/>
        <v>210</v>
      </c>
      <c r="AH1542" s="587"/>
      <c r="AK1542" s="588"/>
      <c r="AM1542" s="624"/>
      <c r="AN1542" s="590"/>
      <c r="AP1542" s="591"/>
      <c r="AQ1542" s="591"/>
    </row>
    <row r="1543" spans="1:43" s="634" customFormat="1" ht="16.5" hidden="1" customHeight="1" outlineLevel="2">
      <c r="A1543" s="584"/>
      <c r="B1543" s="580" t="s">
        <v>1064</v>
      </c>
      <c r="C1543" s="637">
        <f>C1544*C1545</f>
        <v>6.9916666666666671</v>
      </c>
      <c r="D1543" s="637">
        <f t="shared" ref="D1543:AF1543" si="1405">D1544*D1545</f>
        <v>10.487500000000001</v>
      </c>
      <c r="E1543" s="637">
        <f t="shared" si="1405"/>
        <v>10.487500000000001</v>
      </c>
      <c r="F1543" s="637">
        <f t="shared" si="1405"/>
        <v>10.487500000000001</v>
      </c>
      <c r="G1543" s="637">
        <f t="shared" si="1405"/>
        <v>10.487500000000001</v>
      </c>
      <c r="H1543" s="637">
        <f t="shared" si="1405"/>
        <v>10.487500000000001</v>
      </c>
      <c r="I1543" s="637">
        <f t="shared" si="1405"/>
        <v>10.487500000000001</v>
      </c>
      <c r="J1543" s="637">
        <f t="shared" si="1405"/>
        <v>10.487500000000001</v>
      </c>
      <c r="K1543" s="637">
        <f t="shared" si="1405"/>
        <v>10.487500000000001</v>
      </c>
      <c r="L1543" s="637">
        <f t="shared" si="1405"/>
        <v>10.487500000000001</v>
      </c>
      <c r="M1543" s="637">
        <f t="shared" si="1405"/>
        <v>10.487500000000001</v>
      </c>
      <c r="N1543" s="637">
        <f t="shared" si="1405"/>
        <v>10.487500000000001</v>
      </c>
      <c r="O1543" s="637">
        <f t="shared" si="1405"/>
        <v>10.487500000000001</v>
      </c>
      <c r="P1543" s="637">
        <f t="shared" si="1405"/>
        <v>10.487500000000001</v>
      </c>
      <c r="Q1543" s="637">
        <f t="shared" si="1405"/>
        <v>10.487500000000001</v>
      </c>
      <c r="R1543" s="637">
        <f t="shared" si="1405"/>
        <v>10.487500000000001</v>
      </c>
      <c r="S1543" s="637">
        <f t="shared" si="1405"/>
        <v>10.487500000000001</v>
      </c>
      <c r="T1543" s="637">
        <f t="shared" si="1405"/>
        <v>10.487500000000001</v>
      </c>
      <c r="U1543" s="637">
        <f t="shared" si="1405"/>
        <v>10.487500000000001</v>
      </c>
      <c r="V1543" s="637">
        <f t="shared" si="1405"/>
        <v>10.487500000000001</v>
      </c>
      <c r="W1543" s="637">
        <f t="shared" si="1405"/>
        <v>10.487500000000001</v>
      </c>
      <c r="X1543" s="637">
        <f t="shared" si="1405"/>
        <v>10.487500000000001</v>
      </c>
      <c r="Y1543" s="637">
        <f t="shared" si="1405"/>
        <v>10.487500000000001</v>
      </c>
      <c r="Z1543" s="637">
        <f t="shared" si="1405"/>
        <v>10.487500000000001</v>
      </c>
      <c r="AA1543" s="637">
        <f t="shared" si="1405"/>
        <v>10.487500000000001</v>
      </c>
      <c r="AB1543" s="637">
        <f t="shared" si="1405"/>
        <v>10.487500000000001</v>
      </c>
      <c r="AC1543" s="637">
        <f t="shared" si="1405"/>
        <v>10.487500000000001</v>
      </c>
      <c r="AD1543" s="637">
        <f t="shared" si="1405"/>
        <v>10.487500000000001</v>
      </c>
      <c r="AE1543" s="637">
        <f t="shared" si="1405"/>
        <v>10.487500000000001</v>
      </c>
      <c r="AF1543" s="637">
        <f t="shared" si="1405"/>
        <v>10.487500000000001</v>
      </c>
      <c r="AH1543" s="635"/>
      <c r="AK1543" s="588"/>
      <c r="AM1543" s="624"/>
      <c r="AN1543" s="590"/>
      <c r="AP1543" s="636"/>
      <c r="AQ1543" s="636"/>
    </row>
    <row r="1544" spans="1:43" s="586" customFormat="1" ht="16.5" hidden="1" customHeight="1" outlineLevel="2">
      <c r="A1544" s="584"/>
      <c r="B1544" s="585" t="s">
        <v>1065</v>
      </c>
      <c r="C1544" s="720">
        <f>SUM(C1596,C1599)</f>
        <v>2</v>
      </c>
      <c r="D1544" s="720">
        <f t="shared" ref="D1544:AF1544" si="1406">SUM(D1596,D1599)</f>
        <v>3</v>
      </c>
      <c r="E1544" s="720">
        <f t="shared" si="1406"/>
        <v>3</v>
      </c>
      <c r="F1544" s="720">
        <f t="shared" si="1406"/>
        <v>3</v>
      </c>
      <c r="G1544" s="720">
        <f t="shared" si="1406"/>
        <v>3</v>
      </c>
      <c r="H1544" s="720">
        <f t="shared" si="1406"/>
        <v>3</v>
      </c>
      <c r="I1544" s="720">
        <f t="shared" si="1406"/>
        <v>3</v>
      </c>
      <c r="J1544" s="720">
        <f t="shared" si="1406"/>
        <v>3</v>
      </c>
      <c r="K1544" s="720">
        <f t="shared" si="1406"/>
        <v>3</v>
      </c>
      <c r="L1544" s="720">
        <f t="shared" si="1406"/>
        <v>3</v>
      </c>
      <c r="M1544" s="720">
        <f t="shared" si="1406"/>
        <v>3</v>
      </c>
      <c r="N1544" s="720">
        <f t="shared" si="1406"/>
        <v>3</v>
      </c>
      <c r="O1544" s="720">
        <f t="shared" si="1406"/>
        <v>3</v>
      </c>
      <c r="P1544" s="720">
        <f t="shared" si="1406"/>
        <v>3</v>
      </c>
      <c r="Q1544" s="720">
        <f t="shared" si="1406"/>
        <v>3</v>
      </c>
      <c r="R1544" s="720">
        <f t="shared" si="1406"/>
        <v>3</v>
      </c>
      <c r="S1544" s="720">
        <f t="shared" si="1406"/>
        <v>3</v>
      </c>
      <c r="T1544" s="720">
        <f t="shared" si="1406"/>
        <v>3</v>
      </c>
      <c r="U1544" s="720">
        <f t="shared" si="1406"/>
        <v>3</v>
      </c>
      <c r="V1544" s="720">
        <f t="shared" si="1406"/>
        <v>3</v>
      </c>
      <c r="W1544" s="720">
        <f t="shared" si="1406"/>
        <v>3</v>
      </c>
      <c r="X1544" s="720">
        <f t="shared" si="1406"/>
        <v>3</v>
      </c>
      <c r="Y1544" s="720">
        <f t="shared" si="1406"/>
        <v>3</v>
      </c>
      <c r="Z1544" s="720">
        <f t="shared" si="1406"/>
        <v>3</v>
      </c>
      <c r="AA1544" s="720">
        <f t="shared" si="1406"/>
        <v>3</v>
      </c>
      <c r="AB1544" s="720">
        <f t="shared" si="1406"/>
        <v>3</v>
      </c>
      <c r="AC1544" s="720">
        <f t="shared" si="1406"/>
        <v>3</v>
      </c>
      <c r="AD1544" s="720">
        <f t="shared" si="1406"/>
        <v>3</v>
      </c>
      <c r="AE1544" s="720">
        <f t="shared" si="1406"/>
        <v>3</v>
      </c>
      <c r="AF1544" s="720">
        <f t="shared" si="1406"/>
        <v>3</v>
      </c>
      <c r="AG1544" s="632" t="e">
        <f t="shared" ref="AG1544" si="1407">AG1541</f>
        <v>#REF!</v>
      </c>
      <c r="AH1544" s="587"/>
      <c r="AK1544" s="588"/>
      <c r="AM1544" s="624"/>
      <c r="AN1544" s="590"/>
      <c r="AP1544" s="591"/>
      <c r="AQ1544" s="591"/>
    </row>
    <row r="1545" spans="1:43" s="586" customFormat="1" ht="16.5" hidden="1" customHeight="1" outlineLevel="2">
      <c r="A1545" s="584"/>
      <c r="B1545" s="585" t="s">
        <v>1066</v>
      </c>
      <c r="C1545" s="632">
        <f>Insumos!$E$124</f>
        <v>3.4958333333333336</v>
      </c>
      <c r="D1545" s="632">
        <f>C1545</f>
        <v>3.4958333333333336</v>
      </c>
      <c r="E1545" s="632">
        <f t="shared" ref="E1545:AF1545" si="1408">D1545</f>
        <v>3.4958333333333336</v>
      </c>
      <c r="F1545" s="632">
        <f t="shared" si="1408"/>
        <v>3.4958333333333336</v>
      </c>
      <c r="G1545" s="632">
        <f t="shared" si="1408"/>
        <v>3.4958333333333336</v>
      </c>
      <c r="H1545" s="632">
        <f t="shared" si="1408"/>
        <v>3.4958333333333336</v>
      </c>
      <c r="I1545" s="632">
        <f t="shared" si="1408"/>
        <v>3.4958333333333336</v>
      </c>
      <c r="J1545" s="632">
        <f t="shared" si="1408"/>
        <v>3.4958333333333336</v>
      </c>
      <c r="K1545" s="632">
        <f t="shared" si="1408"/>
        <v>3.4958333333333336</v>
      </c>
      <c r="L1545" s="632">
        <f t="shared" si="1408"/>
        <v>3.4958333333333336</v>
      </c>
      <c r="M1545" s="632">
        <f t="shared" si="1408"/>
        <v>3.4958333333333336</v>
      </c>
      <c r="N1545" s="632">
        <f t="shared" si="1408"/>
        <v>3.4958333333333336</v>
      </c>
      <c r="O1545" s="632">
        <f t="shared" si="1408"/>
        <v>3.4958333333333336</v>
      </c>
      <c r="P1545" s="632">
        <f t="shared" si="1408"/>
        <v>3.4958333333333336</v>
      </c>
      <c r="Q1545" s="632">
        <f t="shared" si="1408"/>
        <v>3.4958333333333336</v>
      </c>
      <c r="R1545" s="632">
        <f t="shared" si="1408"/>
        <v>3.4958333333333336</v>
      </c>
      <c r="S1545" s="632">
        <f t="shared" si="1408"/>
        <v>3.4958333333333336</v>
      </c>
      <c r="T1545" s="632">
        <f t="shared" si="1408"/>
        <v>3.4958333333333336</v>
      </c>
      <c r="U1545" s="632">
        <f t="shared" si="1408"/>
        <v>3.4958333333333336</v>
      </c>
      <c r="V1545" s="632">
        <f t="shared" si="1408"/>
        <v>3.4958333333333336</v>
      </c>
      <c r="W1545" s="632">
        <f t="shared" si="1408"/>
        <v>3.4958333333333336</v>
      </c>
      <c r="X1545" s="632">
        <f t="shared" si="1408"/>
        <v>3.4958333333333336</v>
      </c>
      <c r="Y1545" s="632">
        <f t="shared" si="1408"/>
        <v>3.4958333333333336</v>
      </c>
      <c r="Z1545" s="632">
        <f t="shared" si="1408"/>
        <v>3.4958333333333336</v>
      </c>
      <c r="AA1545" s="632">
        <f t="shared" si="1408"/>
        <v>3.4958333333333336</v>
      </c>
      <c r="AB1545" s="632">
        <f t="shared" si="1408"/>
        <v>3.4958333333333336</v>
      </c>
      <c r="AC1545" s="632">
        <f t="shared" si="1408"/>
        <v>3.4958333333333336</v>
      </c>
      <c r="AD1545" s="632">
        <f t="shared" si="1408"/>
        <v>3.4958333333333336</v>
      </c>
      <c r="AE1545" s="632">
        <f t="shared" si="1408"/>
        <v>3.4958333333333336</v>
      </c>
      <c r="AF1545" s="632">
        <f t="shared" si="1408"/>
        <v>3.4958333333333336</v>
      </c>
      <c r="AH1545" s="587"/>
      <c r="AK1545" s="588"/>
      <c r="AM1545" s="624"/>
      <c r="AN1545" s="590"/>
      <c r="AP1545" s="591"/>
      <c r="AQ1545" s="591"/>
    </row>
    <row r="1546" spans="1:43" s="634" customFormat="1" ht="16.5" hidden="1" customHeight="1" outlineLevel="2">
      <c r="A1546" s="584"/>
      <c r="B1546" s="580" t="s">
        <v>1067</v>
      </c>
      <c r="C1546" s="637">
        <f>(C1547*C1548)</f>
        <v>0</v>
      </c>
      <c r="D1546" s="637">
        <f t="shared" ref="D1546:AE1546" si="1409">(D1547*D1548)</f>
        <v>1683.3999999999999</v>
      </c>
      <c r="E1546" s="637">
        <f t="shared" si="1409"/>
        <v>1703.0333333333333</v>
      </c>
      <c r="F1546" s="637">
        <f t="shared" si="1409"/>
        <v>1722.6666666666665</v>
      </c>
      <c r="G1546" s="637">
        <f t="shared" si="1409"/>
        <v>1742.3</v>
      </c>
      <c r="H1546" s="637">
        <f t="shared" si="1409"/>
        <v>1761.9333333333332</v>
      </c>
      <c r="I1546" s="637">
        <f t="shared" si="1409"/>
        <v>1781.5666666666666</v>
      </c>
      <c r="J1546" s="637">
        <f t="shared" si="1409"/>
        <v>1801.1999999999998</v>
      </c>
      <c r="K1546" s="637">
        <f t="shared" si="1409"/>
        <v>1820.8333333333333</v>
      </c>
      <c r="L1546" s="637">
        <f t="shared" si="1409"/>
        <v>1840.4666666666665</v>
      </c>
      <c r="M1546" s="637">
        <f t="shared" si="1409"/>
        <v>1860.1</v>
      </c>
      <c r="N1546" s="637">
        <f t="shared" si="1409"/>
        <v>1879.7333333333333</v>
      </c>
      <c r="O1546" s="637">
        <f t="shared" si="1409"/>
        <v>1899.3666666666666</v>
      </c>
      <c r="P1546" s="637">
        <f t="shared" si="1409"/>
        <v>1919</v>
      </c>
      <c r="Q1546" s="637">
        <f t="shared" si="1409"/>
        <v>1938.6333333333332</v>
      </c>
      <c r="R1546" s="637">
        <f t="shared" si="1409"/>
        <v>1958.2666666666667</v>
      </c>
      <c r="S1546" s="637">
        <f t="shared" si="1409"/>
        <v>1977.8999999999999</v>
      </c>
      <c r="T1546" s="637">
        <f t="shared" si="1409"/>
        <v>1997.5333333333333</v>
      </c>
      <c r="U1546" s="637">
        <f t="shared" si="1409"/>
        <v>2017.1666666666665</v>
      </c>
      <c r="V1546" s="637">
        <f t="shared" si="1409"/>
        <v>2036.8</v>
      </c>
      <c r="W1546" s="637">
        <f t="shared" si="1409"/>
        <v>2056.4333333333334</v>
      </c>
      <c r="X1546" s="637">
        <f t="shared" si="1409"/>
        <v>2076.0666666666666</v>
      </c>
      <c r="Y1546" s="637">
        <f t="shared" si="1409"/>
        <v>2095.6999999999998</v>
      </c>
      <c r="Z1546" s="637">
        <f t="shared" si="1409"/>
        <v>2115.333333333333</v>
      </c>
      <c r="AA1546" s="637">
        <f t="shared" si="1409"/>
        <v>2134.9666666666667</v>
      </c>
      <c r="AB1546" s="637">
        <f t="shared" si="1409"/>
        <v>2154.6</v>
      </c>
      <c r="AC1546" s="637">
        <f t="shared" si="1409"/>
        <v>2174.2333333333331</v>
      </c>
      <c r="AD1546" s="637">
        <f t="shared" si="1409"/>
        <v>2193.8666666666668</v>
      </c>
      <c r="AE1546" s="637">
        <f t="shared" si="1409"/>
        <v>2213.5</v>
      </c>
      <c r="AF1546" s="637">
        <f>(AF1547*AF1548)</f>
        <v>2233.1333333333332</v>
      </c>
      <c r="AH1546" s="635"/>
      <c r="AK1546" s="588"/>
      <c r="AM1546" s="624"/>
      <c r="AN1546" s="590"/>
      <c r="AP1546" s="636"/>
      <c r="AQ1546" s="636"/>
    </row>
    <row r="1547" spans="1:43" s="586" customFormat="1" ht="16.5" hidden="1" customHeight="1" outlineLevel="2">
      <c r="A1547" s="584"/>
      <c r="B1547" s="585" t="s">
        <v>1068</v>
      </c>
      <c r="C1547" s="720">
        <v>0</v>
      </c>
      <c r="D1547" s="720">
        <f>D1551</f>
        <v>21264</v>
      </c>
      <c r="E1547" s="720">
        <f t="shared" ref="E1547:AF1547" si="1410">E1551</f>
        <v>21512</v>
      </c>
      <c r="F1547" s="720">
        <f t="shared" si="1410"/>
        <v>21760</v>
      </c>
      <c r="G1547" s="720">
        <f t="shared" si="1410"/>
        <v>22008</v>
      </c>
      <c r="H1547" s="720">
        <f t="shared" si="1410"/>
        <v>22256</v>
      </c>
      <c r="I1547" s="720">
        <f t="shared" si="1410"/>
        <v>22504</v>
      </c>
      <c r="J1547" s="720">
        <f t="shared" si="1410"/>
        <v>22752</v>
      </c>
      <c r="K1547" s="720">
        <f t="shared" si="1410"/>
        <v>23000</v>
      </c>
      <c r="L1547" s="720">
        <f t="shared" si="1410"/>
        <v>23248</v>
      </c>
      <c r="M1547" s="720">
        <f t="shared" si="1410"/>
        <v>23496</v>
      </c>
      <c r="N1547" s="720">
        <f t="shared" si="1410"/>
        <v>23744</v>
      </c>
      <c r="O1547" s="720">
        <f t="shared" si="1410"/>
        <v>23992</v>
      </c>
      <c r="P1547" s="720">
        <f t="shared" si="1410"/>
        <v>24240</v>
      </c>
      <c r="Q1547" s="720">
        <f t="shared" si="1410"/>
        <v>24488</v>
      </c>
      <c r="R1547" s="720">
        <f t="shared" si="1410"/>
        <v>24736</v>
      </c>
      <c r="S1547" s="720">
        <f t="shared" si="1410"/>
        <v>24984</v>
      </c>
      <c r="T1547" s="720">
        <f t="shared" si="1410"/>
        <v>25232</v>
      </c>
      <c r="U1547" s="720">
        <f t="shared" si="1410"/>
        <v>25480</v>
      </c>
      <c r="V1547" s="720">
        <f t="shared" si="1410"/>
        <v>25728</v>
      </c>
      <c r="W1547" s="720">
        <f t="shared" si="1410"/>
        <v>25976</v>
      </c>
      <c r="X1547" s="720">
        <f t="shared" si="1410"/>
        <v>26224</v>
      </c>
      <c r="Y1547" s="720">
        <f t="shared" si="1410"/>
        <v>26472</v>
      </c>
      <c r="Z1547" s="720">
        <f t="shared" si="1410"/>
        <v>26720</v>
      </c>
      <c r="AA1547" s="720">
        <f t="shared" si="1410"/>
        <v>26968</v>
      </c>
      <c r="AB1547" s="720">
        <f t="shared" si="1410"/>
        <v>27216</v>
      </c>
      <c r="AC1547" s="720">
        <f t="shared" si="1410"/>
        <v>27464</v>
      </c>
      <c r="AD1547" s="720">
        <f t="shared" si="1410"/>
        <v>27712</v>
      </c>
      <c r="AE1547" s="720">
        <f t="shared" si="1410"/>
        <v>27960</v>
      </c>
      <c r="AF1547" s="720">
        <f t="shared" si="1410"/>
        <v>28208</v>
      </c>
      <c r="AG1547" s="632">
        <v>21819.114894594346</v>
      </c>
      <c r="AH1547" s="587"/>
      <c r="AK1547" s="588"/>
      <c r="AM1547" s="624"/>
      <c r="AN1547" s="590"/>
      <c r="AP1547" s="591"/>
      <c r="AQ1547" s="591"/>
    </row>
    <row r="1548" spans="1:43" s="586" customFormat="1" ht="16.5" hidden="1" customHeight="1" outlineLevel="2">
      <c r="A1548" s="584"/>
      <c r="B1548" s="585" t="s">
        <v>888</v>
      </c>
      <c r="C1548" s="640">
        <f>Insumos!$E$126/12</f>
        <v>7.9166666666666663E-2</v>
      </c>
      <c r="D1548" s="640">
        <f>C1548</f>
        <v>7.9166666666666663E-2</v>
      </c>
      <c r="E1548" s="733">
        <f>D1548</f>
        <v>7.9166666666666663E-2</v>
      </c>
      <c r="F1548" s="733">
        <f t="shared" ref="F1548:AF1548" si="1411">E1548</f>
        <v>7.9166666666666663E-2</v>
      </c>
      <c r="G1548" s="733">
        <f t="shared" si="1411"/>
        <v>7.9166666666666663E-2</v>
      </c>
      <c r="H1548" s="733">
        <f t="shared" si="1411"/>
        <v>7.9166666666666663E-2</v>
      </c>
      <c r="I1548" s="733">
        <f t="shared" si="1411"/>
        <v>7.9166666666666663E-2</v>
      </c>
      <c r="J1548" s="733">
        <f t="shared" si="1411"/>
        <v>7.9166666666666663E-2</v>
      </c>
      <c r="K1548" s="733">
        <f t="shared" si="1411"/>
        <v>7.9166666666666663E-2</v>
      </c>
      <c r="L1548" s="733">
        <f t="shared" si="1411"/>
        <v>7.9166666666666663E-2</v>
      </c>
      <c r="M1548" s="733">
        <f t="shared" si="1411"/>
        <v>7.9166666666666663E-2</v>
      </c>
      <c r="N1548" s="733">
        <f t="shared" si="1411"/>
        <v>7.9166666666666663E-2</v>
      </c>
      <c r="O1548" s="733">
        <f t="shared" si="1411"/>
        <v>7.9166666666666663E-2</v>
      </c>
      <c r="P1548" s="733">
        <f t="shared" si="1411"/>
        <v>7.9166666666666663E-2</v>
      </c>
      <c r="Q1548" s="733">
        <f t="shared" si="1411"/>
        <v>7.9166666666666663E-2</v>
      </c>
      <c r="R1548" s="733">
        <f t="shared" si="1411"/>
        <v>7.9166666666666663E-2</v>
      </c>
      <c r="S1548" s="733">
        <f t="shared" si="1411"/>
        <v>7.9166666666666663E-2</v>
      </c>
      <c r="T1548" s="733">
        <f t="shared" si="1411"/>
        <v>7.9166666666666663E-2</v>
      </c>
      <c r="U1548" s="733">
        <f t="shared" si="1411"/>
        <v>7.9166666666666663E-2</v>
      </c>
      <c r="V1548" s="733">
        <f t="shared" si="1411"/>
        <v>7.9166666666666663E-2</v>
      </c>
      <c r="W1548" s="733">
        <f t="shared" si="1411"/>
        <v>7.9166666666666663E-2</v>
      </c>
      <c r="X1548" s="733">
        <f t="shared" si="1411"/>
        <v>7.9166666666666663E-2</v>
      </c>
      <c r="Y1548" s="733">
        <f t="shared" si="1411"/>
        <v>7.9166666666666663E-2</v>
      </c>
      <c r="Z1548" s="733">
        <f t="shared" si="1411"/>
        <v>7.9166666666666663E-2</v>
      </c>
      <c r="AA1548" s="733">
        <f t="shared" si="1411"/>
        <v>7.9166666666666663E-2</v>
      </c>
      <c r="AB1548" s="733">
        <f t="shared" si="1411"/>
        <v>7.9166666666666663E-2</v>
      </c>
      <c r="AC1548" s="733">
        <f t="shared" si="1411"/>
        <v>7.9166666666666663E-2</v>
      </c>
      <c r="AD1548" s="733">
        <f t="shared" si="1411"/>
        <v>7.9166666666666663E-2</v>
      </c>
      <c r="AE1548" s="733">
        <f t="shared" si="1411"/>
        <v>7.9166666666666663E-2</v>
      </c>
      <c r="AF1548" s="733">
        <f t="shared" si="1411"/>
        <v>7.9166666666666663E-2</v>
      </c>
      <c r="AH1548" s="587"/>
      <c r="AK1548" s="588"/>
      <c r="AM1548" s="624"/>
      <c r="AN1548" s="590"/>
      <c r="AP1548" s="591"/>
      <c r="AQ1548" s="591"/>
    </row>
    <row r="1549" spans="1:43" s="564" customFormat="1" ht="16.5" hidden="1" customHeight="1" outlineLevel="1" collapsed="1">
      <c r="A1549" s="584"/>
      <c r="B1549" s="576" t="s">
        <v>1069</v>
      </c>
      <c r="C1549" s="577">
        <f>SUM(C1550,C1554,C1558,C1562,C1566,C1570,C1574,C1578,C1582,C1586)*12/10^3</f>
        <v>0</v>
      </c>
      <c r="D1549" s="577">
        <f t="shared" ref="D1549:AF1549" si="1412">SUM(D1550,D1554,D1558,D1562,D1566,D1570,D1574,D1578,D1582,D1586)*12/10^3</f>
        <v>216.43099733288417</v>
      </c>
      <c r="E1549" s="577">
        <f t="shared" si="1412"/>
        <v>218.95521137250773</v>
      </c>
      <c r="F1549" s="577">
        <f t="shared" si="1412"/>
        <v>221.47942541213123</v>
      </c>
      <c r="G1549" s="577">
        <f t="shared" si="1412"/>
        <v>224.00363945175485</v>
      </c>
      <c r="H1549" s="577">
        <f t="shared" si="1412"/>
        <v>226.52785349137844</v>
      </c>
      <c r="I1549" s="577">
        <f t="shared" si="1412"/>
        <v>229.052067531002</v>
      </c>
      <c r="J1549" s="577">
        <f t="shared" si="1412"/>
        <v>231.5762815706255</v>
      </c>
      <c r="K1549" s="577">
        <f t="shared" si="1412"/>
        <v>234.10049561024906</v>
      </c>
      <c r="L1549" s="577">
        <f t="shared" si="1412"/>
        <v>236.62470964987267</v>
      </c>
      <c r="M1549" s="577">
        <f t="shared" si="1412"/>
        <v>239.1489236894962</v>
      </c>
      <c r="N1549" s="577">
        <f t="shared" si="1412"/>
        <v>241.67313772911967</v>
      </c>
      <c r="O1549" s="577">
        <f t="shared" si="1412"/>
        <v>244.19735176874329</v>
      </c>
      <c r="P1549" s="577">
        <f t="shared" si="1412"/>
        <v>246.72156580836688</v>
      </c>
      <c r="Q1549" s="577">
        <f t="shared" si="1412"/>
        <v>249.24577984799043</v>
      </c>
      <c r="R1549" s="577">
        <f t="shared" si="1412"/>
        <v>251.76999388761396</v>
      </c>
      <c r="S1549" s="577">
        <f t="shared" si="1412"/>
        <v>254.29420792723755</v>
      </c>
      <c r="T1549" s="577">
        <f t="shared" si="1412"/>
        <v>256.81842196686102</v>
      </c>
      <c r="U1549" s="577">
        <f t="shared" si="1412"/>
        <v>259.34263600648461</v>
      </c>
      <c r="V1549" s="577">
        <f t="shared" si="1412"/>
        <v>261.8668500461082</v>
      </c>
      <c r="W1549" s="577">
        <f t="shared" si="1412"/>
        <v>264.39106408573167</v>
      </c>
      <c r="X1549" s="577">
        <f t="shared" si="1412"/>
        <v>266.91527812535531</v>
      </c>
      <c r="Y1549" s="577">
        <f t="shared" si="1412"/>
        <v>269.43949216497873</v>
      </c>
      <c r="Z1549" s="577">
        <f t="shared" si="1412"/>
        <v>271.96370620460237</v>
      </c>
      <c r="AA1549" s="577">
        <f t="shared" si="1412"/>
        <v>274.48792024422596</v>
      </c>
      <c r="AB1549" s="577">
        <f t="shared" si="1412"/>
        <v>277.01213428384949</v>
      </c>
      <c r="AC1549" s="577">
        <f t="shared" si="1412"/>
        <v>279.53634832347302</v>
      </c>
      <c r="AD1549" s="577">
        <f t="shared" si="1412"/>
        <v>282.06056236309661</v>
      </c>
      <c r="AE1549" s="577">
        <f t="shared" si="1412"/>
        <v>284.58477640272014</v>
      </c>
      <c r="AF1549" s="577">
        <f t="shared" si="1412"/>
        <v>287.10899044234372</v>
      </c>
      <c r="AH1549" s="578">
        <f>SUM(C1549:AF1549)</f>
        <v>7301.329822740805</v>
      </c>
      <c r="AJ1549" s="566"/>
      <c r="AK1549" s="531"/>
      <c r="AM1549" s="594"/>
      <c r="AN1549" s="535"/>
      <c r="AP1549" s="568"/>
      <c r="AQ1549" s="568"/>
    </row>
    <row r="1550" spans="1:43" s="546" customFormat="1" ht="16.5" hidden="1" customHeight="1" outlineLevel="2">
      <c r="A1550" s="584"/>
      <c r="B1550" s="569" t="s">
        <v>1070</v>
      </c>
      <c r="C1550" s="570">
        <f>C1551*C1552*C1553</f>
        <v>0</v>
      </c>
      <c r="D1550" s="570">
        <f>D1551*D1552*D1553</f>
        <v>1115.288898246205</v>
      </c>
      <c r="E1550" s="570">
        <f t="shared" ref="E1550:AF1550" si="1413">E1551*E1552*E1553</f>
        <v>1128.2964060888057</v>
      </c>
      <c r="F1550" s="570">
        <f t="shared" si="1413"/>
        <v>1141.3039139314062</v>
      </c>
      <c r="G1550" s="570">
        <f t="shared" si="1413"/>
        <v>1154.3114217740067</v>
      </c>
      <c r="H1550" s="570">
        <f t="shared" si="1413"/>
        <v>1167.3189296166074</v>
      </c>
      <c r="I1550" s="570">
        <f t="shared" si="1413"/>
        <v>1180.3264374592079</v>
      </c>
      <c r="J1550" s="570">
        <f t="shared" si="1413"/>
        <v>1193.3339453018084</v>
      </c>
      <c r="K1550" s="570">
        <f t="shared" si="1413"/>
        <v>1206.3414531444091</v>
      </c>
      <c r="L1550" s="570">
        <f t="shared" si="1413"/>
        <v>1219.3489609870098</v>
      </c>
      <c r="M1550" s="570">
        <f t="shared" si="1413"/>
        <v>1232.3564688296103</v>
      </c>
      <c r="N1550" s="570">
        <f t="shared" si="1413"/>
        <v>1245.3639766722108</v>
      </c>
      <c r="O1550" s="570">
        <f t="shared" si="1413"/>
        <v>1258.3714845148115</v>
      </c>
      <c r="P1550" s="570">
        <f t="shared" si="1413"/>
        <v>1271.378992357412</v>
      </c>
      <c r="Q1550" s="570">
        <f t="shared" si="1413"/>
        <v>1284.3865002000127</v>
      </c>
      <c r="R1550" s="570">
        <f t="shared" si="1413"/>
        <v>1297.394008042613</v>
      </c>
      <c r="S1550" s="570">
        <f t="shared" si="1413"/>
        <v>1310.4015158852137</v>
      </c>
      <c r="T1550" s="570">
        <f t="shared" si="1413"/>
        <v>1323.4090237278144</v>
      </c>
      <c r="U1550" s="570">
        <f t="shared" si="1413"/>
        <v>1336.4165315704149</v>
      </c>
      <c r="V1550" s="570">
        <f t="shared" si="1413"/>
        <v>1349.4240394130156</v>
      </c>
      <c r="W1550" s="570">
        <f t="shared" si="1413"/>
        <v>1362.4315472556161</v>
      </c>
      <c r="X1550" s="570">
        <f t="shared" si="1413"/>
        <v>1375.4390550982168</v>
      </c>
      <c r="Y1550" s="570">
        <f t="shared" si="1413"/>
        <v>1388.4465629408171</v>
      </c>
      <c r="Z1550" s="570">
        <f t="shared" si="1413"/>
        <v>1401.4540707834178</v>
      </c>
      <c r="AA1550" s="570">
        <f t="shared" si="1413"/>
        <v>1414.4615786260185</v>
      </c>
      <c r="AB1550" s="570">
        <f t="shared" si="1413"/>
        <v>1427.469086468619</v>
      </c>
      <c r="AC1550" s="570">
        <f t="shared" si="1413"/>
        <v>1440.4765943112197</v>
      </c>
      <c r="AD1550" s="570">
        <f t="shared" si="1413"/>
        <v>1453.4841021538202</v>
      </c>
      <c r="AE1550" s="570">
        <f t="shared" si="1413"/>
        <v>1466.4916099964207</v>
      </c>
      <c r="AF1550" s="570">
        <f t="shared" si="1413"/>
        <v>1479.4991178390212</v>
      </c>
      <c r="AH1550" s="571"/>
      <c r="AK1550" s="531"/>
      <c r="AM1550" s="594"/>
      <c r="AN1550" s="535"/>
      <c r="AP1550" s="549"/>
      <c r="AQ1550" s="549"/>
    </row>
    <row r="1551" spans="1:43" s="513" customFormat="1" ht="16.5" hidden="1" customHeight="1" outlineLevel="2">
      <c r="A1551" s="584"/>
      <c r="B1551" s="572" t="s">
        <v>1071</v>
      </c>
      <c r="C1551" s="654">
        <f>C1547</f>
        <v>0</v>
      </c>
      <c r="D1551" s="654">
        <v>21264</v>
      </c>
      <c r="E1551" s="654">
        <v>21512</v>
      </c>
      <c r="F1551" s="654">
        <v>21760</v>
      </c>
      <c r="G1551" s="654">
        <v>22008</v>
      </c>
      <c r="H1551" s="654">
        <v>22256</v>
      </c>
      <c r="I1551" s="654">
        <v>22504</v>
      </c>
      <c r="J1551" s="654">
        <v>22752</v>
      </c>
      <c r="K1551" s="654">
        <v>23000</v>
      </c>
      <c r="L1551" s="654">
        <v>23248</v>
      </c>
      <c r="M1551" s="654">
        <v>23496</v>
      </c>
      <c r="N1551" s="654">
        <v>23744</v>
      </c>
      <c r="O1551" s="654">
        <v>23992</v>
      </c>
      <c r="P1551" s="654">
        <v>24240</v>
      </c>
      <c r="Q1551" s="654">
        <v>24488</v>
      </c>
      <c r="R1551" s="654">
        <v>24736</v>
      </c>
      <c r="S1551" s="654">
        <v>24984</v>
      </c>
      <c r="T1551" s="654">
        <v>25232</v>
      </c>
      <c r="U1551" s="654">
        <v>25480</v>
      </c>
      <c r="V1551" s="654">
        <v>25728</v>
      </c>
      <c r="W1551" s="654">
        <v>25976</v>
      </c>
      <c r="X1551" s="654">
        <v>26224</v>
      </c>
      <c r="Y1551" s="654">
        <v>26472</v>
      </c>
      <c r="Z1551" s="654">
        <v>26720</v>
      </c>
      <c r="AA1551" s="654">
        <v>26968</v>
      </c>
      <c r="AB1551" s="654">
        <v>27216</v>
      </c>
      <c r="AC1551" s="654">
        <v>27464</v>
      </c>
      <c r="AD1551" s="654">
        <v>27712</v>
      </c>
      <c r="AE1551" s="654">
        <v>27960</v>
      </c>
      <c r="AF1551" s="654">
        <v>28208</v>
      </c>
      <c r="AG1551" s="574">
        <v>28456</v>
      </c>
      <c r="AH1551" s="538"/>
      <c r="AK1551" s="531"/>
      <c r="AM1551" s="594"/>
      <c r="AN1551" s="535"/>
      <c r="AP1551" s="540"/>
      <c r="AQ1551" s="540"/>
    </row>
    <row r="1552" spans="1:43" s="513" customFormat="1" ht="16.5" hidden="1" customHeight="1" outlineLevel="2">
      <c r="A1552" s="584"/>
      <c r="B1552" s="572" t="s">
        <v>1072</v>
      </c>
      <c r="C1552" s="677">
        <v>0</v>
      </c>
      <c r="D1552" s="677">
        <v>4.3708023664652505E-2</v>
      </c>
      <c r="E1552" s="678">
        <f t="shared" ref="E1552:AF1552" si="1414">D1552</f>
        <v>4.3708023664652505E-2</v>
      </c>
      <c r="F1552" s="678">
        <f t="shared" si="1414"/>
        <v>4.3708023664652505E-2</v>
      </c>
      <c r="G1552" s="678">
        <f t="shared" si="1414"/>
        <v>4.3708023664652505E-2</v>
      </c>
      <c r="H1552" s="678">
        <f t="shared" si="1414"/>
        <v>4.3708023664652505E-2</v>
      </c>
      <c r="I1552" s="678">
        <f t="shared" si="1414"/>
        <v>4.3708023664652505E-2</v>
      </c>
      <c r="J1552" s="678">
        <f t="shared" si="1414"/>
        <v>4.3708023664652505E-2</v>
      </c>
      <c r="K1552" s="678">
        <f t="shared" si="1414"/>
        <v>4.3708023664652505E-2</v>
      </c>
      <c r="L1552" s="678">
        <f t="shared" si="1414"/>
        <v>4.3708023664652505E-2</v>
      </c>
      <c r="M1552" s="678">
        <f t="shared" si="1414"/>
        <v>4.3708023664652505E-2</v>
      </c>
      <c r="N1552" s="678">
        <f t="shared" si="1414"/>
        <v>4.3708023664652505E-2</v>
      </c>
      <c r="O1552" s="678">
        <f t="shared" si="1414"/>
        <v>4.3708023664652505E-2</v>
      </c>
      <c r="P1552" s="678">
        <f t="shared" si="1414"/>
        <v>4.3708023664652505E-2</v>
      </c>
      <c r="Q1552" s="678">
        <f t="shared" si="1414"/>
        <v>4.3708023664652505E-2</v>
      </c>
      <c r="R1552" s="678">
        <f t="shared" si="1414"/>
        <v>4.3708023664652505E-2</v>
      </c>
      <c r="S1552" s="678">
        <f t="shared" si="1414"/>
        <v>4.3708023664652505E-2</v>
      </c>
      <c r="T1552" s="678">
        <f t="shared" si="1414"/>
        <v>4.3708023664652505E-2</v>
      </c>
      <c r="U1552" s="678">
        <f t="shared" si="1414"/>
        <v>4.3708023664652505E-2</v>
      </c>
      <c r="V1552" s="678">
        <f t="shared" si="1414"/>
        <v>4.3708023664652505E-2</v>
      </c>
      <c r="W1552" s="678">
        <f t="shared" si="1414"/>
        <v>4.3708023664652505E-2</v>
      </c>
      <c r="X1552" s="678">
        <f t="shared" si="1414"/>
        <v>4.3708023664652505E-2</v>
      </c>
      <c r="Y1552" s="678">
        <f t="shared" si="1414"/>
        <v>4.3708023664652505E-2</v>
      </c>
      <c r="Z1552" s="678">
        <f t="shared" si="1414"/>
        <v>4.3708023664652505E-2</v>
      </c>
      <c r="AA1552" s="678">
        <f t="shared" si="1414"/>
        <v>4.3708023664652505E-2</v>
      </c>
      <c r="AB1552" s="678">
        <f t="shared" si="1414"/>
        <v>4.3708023664652505E-2</v>
      </c>
      <c r="AC1552" s="678">
        <f t="shared" si="1414"/>
        <v>4.3708023664652505E-2</v>
      </c>
      <c r="AD1552" s="678">
        <f t="shared" si="1414"/>
        <v>4.3708023664652505E-2</v>
      </c>
      <c r="AE1552" s="678">
        <f t="shared" si="1414"/>
        <v>4.3708023664652505E-2</v>
      </c>
      <c r="AF1552" s="678">
        <f t="shared" si="1414"/>
        <v>4.3708023664652505E-2</v>
      </c>
      <c r="AG1552" s="574"/>
      <c r="AH1552" s="538"/>
      <c r="AK1552" s="531"/>
      <c r="AM1552" s="594"/>
      <c r="AN1552" s="535"/>
      <c r="AP1552" s="540"/>
      <c r="AQ1552" s="540"/>
    </row>
    <row r="1553" spans="1:43" s="513" customFormat="1" ht="16.5" hidden="1" customHeight="1" outlineLevel="2">
      <c r="A1553" s="584"/>
      <c r="B1553" s="572" t="s">
        <v>888</v>
      </c>
      <c r="C1553" s="676">
        <f>Insumos!$E$157</f>
        <v>1.2</v>
      </c>
      <c r="D1553" s="676">
        <f t="shared" ref="D1553:AF1553" si="1415">C1553</f>
        <v>1.2</v>
      </c>
      <c r="E1553" s="676">
        <f t="shared" si="1415"/>
        <v>1.2</v>
      </c>
      <c r="F1553" s="676">
        <f t="shared" si="1415"/>
        <v>1.2</v>
      </c>
      <c r="G1553" s="676">
        <f t="shared" si="1415"/>
        <v>1.2</v>
      </c>
      <c r="H1553" s="676">
        <f t="shared" si="1415"/>
        <v>1.2</v>
      </c>
      <c r="I1553" s="676">
        <f t="shared" si="1415"/>
        <v>1.2</v>
      </c>
      <c r="J1553" s="676">
        <f t="shared" si="1415"/>
        <v>1.2</v>
      </c>
      <c r="K1553" s="676">
        <f t="shared" si="1415"/>
        <v>1.2</v>
      </c>
      <c r="L1553" s="676">
        <f t="shared" si="1415"/>
        <v>1.2</v>
      </c>
      <c r="M1553" s="676">
        <f t="shared" si="1415"/>
        <v>1.2</v>
      </c>
      <c r="N1553" s="676">
        <f t="shared" si="1415"/>
        <v>1.2</v>
      </c>
      <c r="O1553" s="676">
        <f t="shared" si="1415"/>
        <v>1.2</v>
      </c>
      <c r="P1553" s="676">
        <f t="shared" si="1415"/>
        <v>1.2</v>
      </c>
      <c r="Q1553" s="676">
        <f t="shared" si="1415"/>
        <v>1.2</v>
      </c>
      <c r="R1553" s="676">
        <f t="shared" si="1415"/>
        <v>1.2</v>
      </c>
      <c r="S1553" s="676">
        <f t="shared" si="1415"/>
        <v>1.2</v>
      </c>
      <c r="T1553" s="676">
        <f t="shared" si="1415"/>
        <v>1.2</v>
      </c>
      <c r="U1553" s="676">
        <f t="shared" si="1415"/>
        <v>1.2</v>
      </c>
      <c r="V1553" s="676">
        <f t="shared" si="1415"/>
        <v>1.2</v>
      </c>
      <c r="W1553" s="676">
        <f t="shared" si="1415"/>
        <v>1.2</v>
      </c>
      <c r="X1553" s="676">
        <f t="shared" si="1415"/>
        <v>1.2</v>
      </c>
      <c r="Y1553" s="676">
        <f t="shared" si="1415"/>
        <v>1.2</v>
      </c>
      <c r="Z1553" s="676">
        <f t="shared" si="1415"/>
        <v>1.2</v>
      </c>
      <c r="AA1553" s="676">
        <f t="shared" si="1415"/>
        <v>1.2</v>
      </c>
      <c r="AB1553" s="676">
        <f t="shared" si="1415"/>
        <v>1.2</v>
      </c>
      <c r="AC1553" s="676">
        <f t="shared" si="1415"/>
        <v>1.2</v>
      </c>
      <c r="AD1553" s="676">
        <f t="shared" si="1415"/>
        <v>1.2</v>
      </c>
      <c r="AE1553" s="676">
        <f t="shared" si="1415"/>
        <v>1.2</v>
      </c>
      <c r="AF1553" s="676">
        <f t="shared" si="1415"/>
        <v>1.2</v>
      </c>
      <c r="AH1553" s="538"/>
      <c r="AK1553" s="531"/>
      <c r="AM1553" s="594"/>
      <c r="AN1553" s="535"/>
      <c r="AP1553" s="540"/>
      <c r="AQ1553" s="540"/>
    </row>
    <row r="1554" spans="1:43" s="546" customFormat="1" ht="16.5" hidden="1" customHeight="1" outlineLevel="2">
      <c r="A1554" s="584"/>
      <c r="B1554" s="569" t="s">
        <v>1073</v>
      </c>
      <c r="C1554" s="570">
        <f>C1555*C1556*C1557</f>
        <v>0</v>
      </c>
      <c r="D1554" s="570">
        <f>D1555*D1556*D1557</f>
        <v>6073.3819820199169</v>
      </c>
      <c r="E1554" s="570">
        <f t="shared" ref="E1554:AF1554" si="1416">E1555*E1556*E1557</f>
        <v>6144.2152557003601</v>
      </c>
      <c r="F1554" s="570">
        <f t="shared" si="1416"/>
        <v>6215.0485293808024</v>
      </c>
      <c r="G1554" s="570">
        <f t="shared" si="1416"/>
        <v>6285.8818030612465</v>
      </c>
      <c r="H1554" s="570">
        <f t="shared" si="1416"/>
        <v>6356.7150767416897</v>
      </c>
      <c r="I1554" s="570">
        <f t="shared" si="1416"/>
        <v>6427.548350422132</v>
      </c>
      <c r="J1554" s="570">
        <f t="shared" si="1416"/>
        <v>6498.3816241025752</v>
      </c>
      <c r="K1554" s="570">
        <f t="shared" si="1416"/>
        <v>6569.2148977830175</v>
      </c>
      <c r="L1554" s="570">
        <f t="shared" si="1416"/>
        <v>6640.0481714634607</v>
      </c>
      <c r="M1554" s="570">
        <f t="shared" si="1416"/>
        <v>6710.8814451439039</v>
      </c>
      <c r="N1554" s="570">
        <f t="shared" si="1416"/>
        <v>6781.7147188243462</v>
      </c>
      <c r="O1554" s="570">
        <f t="shared" si="1416"/>
        <v>6852.5479925047903</v>
      </c>
      <c r="P1554" s="570">
        <f t="shared" si="1416"/>
        <v>6923.3812661852335</v>
      </c>
      <c r="Q1554" s="570">
        <f t="shared" si="1416"/>
        <v>6994.2145398656758</v>
      </c>
      <c r="R1554" s="570">
        <f t="shared" si="1416"/>
        <v>7065.047813546119</v>
      </c>
      <c r="S1554" s="570">
        <f t="shared" si="1416"/>
        <v>7135.8810872265622</v>
      </c>
      <c r="T1554" s="570">
        <f t="shared" si="1416"/>
        <v>7206.7143609070044</v>
      </c>
      <c r="U1554" s="570">
        <f t="shared" si="1416"/>
        <v>7277.5476345874476</v>
      </c>
      <c r="V1554" s="570">
        <f t="shared" si="1416"/>
        <v>7348.3809082678899</v>
      </c>
      <c r="W1554" s="570">
        <f t="shared" si="1416"/>
        <v>7419.2141819483331</v>
      </c>
      <c r="X1554" s="570">
        <f t="shared" si="1416"/>
        <v>7490.0474556287772</v>
      </c>
      <c r="Y1554" s="570">
        <f t="shared" si="1416"/>
        <v>7560.8807293092195</v>
      </c>
      <c r="Z1554" s="570">
        <f t="shared" si="1416"/>
        <v>7631.7140029896627</v>
      </c>
      <c r="AA1554" s="570">
        <f t="shared" si="1416"/>
        <v>7702.5472766701059</v>
      </c>
      <c r="AB1554" s="570">
        <f t="shared" si="1416"/>
        <v>7773.3805503505482</v>
      </c>
      <c r="AC1554" s="570">
        <f t="shared" si="1416"/>
        <v>7844.2138240309914</v>
      </c>
      <c r="AD1554" s="570">
        <f t="shared" si="1416"/>
        <v>7915.0470977114337</v>
      </c>
      <c r="AE1554" s="570">
        <f t="shared" si="1416"/>
        <v>7985.8803713918769</v>
      </c>
      <c r="AF1554" s="570">
        <f t="shared" si="1416"/>
        <v>8056.713645072321</v>
      </c>
      <c r="AH1554" s="571"/>
      <c r="AK1554" s="531"/>
      <c r="AM1554" s="594"/>
      <c r="AN1554" s="535"/>
      <c r="AP1554" s="549"/>
      <c r="AQ1554" s="549"/>
    </row>
    <row r="1555" spans="1:43" s="513" customFormat="1" ht="16.5" hidden="1" customHeight="1" outlineLevel="2">
      <c r="A1555" s="584"/>
      <c r="B1555" s="572" t="s">
        <v>1071</v>
      </c>
      <c r="C1555" s="654">
        <f>C1551</f>
        <v>0</v>
      </c>
      <c r="D1555" s="654">
        <f>D1551</f>
        <v>21264</v>
      </c>
      <c r="E1555" s="654">
        <f t="shared" ref="E1555:AF1555" si="1417">E1551</f>
        <v>21512</v>
      </c>
      <c r="F1555" s="654">
        <f t="shared" si="1417"/>
        <v>21760</v>
      </c>
      <c r="G1555" s="654">
        <f t="shared" si="1417"/>
        <v>22008</v>
      </c>
      <c r="H1555" s="654">
        <f t="shared" si="1417"/>
        <v>22256</v>
      </c>
      <c r="I1555" s="654">
        <f t="shared" si="1417"/>
        <v>22504</v>
      </c>
      <c r="J1555" s="654">
        <f t="shared" si="1417"/>
        <v>22752</v>
      </c>
      <c r="K1555" s="654">
        <f t="shared" si="1417"/>
        <v>23000</v>
      </c>
      <c r="L1555" s="654">
        <f t="shared" si="1417"/>
        <v>23248</v>
      </c>
      <c r="M1555" s="654">
        <f t="shared" si="1417"/>
        <v>23496</v>
      </c>
      <c r="N1555" s="654">
        <f t="shared" si="1417"/>
        <v>23744</v>
      </c>
      <c r="O1555" s="654">
        <f t="shared" si="1417"/>
        <v>23992</v>
      </c>
      <c r="P1555" s="654">
        <f t="shared" si="1417"/>
        <v>24240</v>
      </c>
      <c r="Q1555" s="654">
        <f t="shared" si="1417"/>
        <v>24488</v>
      </c>
      <c r="R1555" s="654">
        <f t="shared" si="1417"/>
        <v>24736</v>
      </c>
      <c r="S1555" s="654">
        <f t="shared" si="1417"/>
        <v>24984</v>
      </c>
      <c r="T1555" s="654">
        <f t="shared" si="1417"/>
        <v>25232</v>
      </c>
      <c r="U1555" s="654">
        <f t="shared" si="1417"/>
        <v>25480</v>
      </c>
      <c r="V1555" s="654">
        <f t="shared" si="1417"/>
        <v>25728</v>
      </c>
      <c r="W1555" s="654">
        <f t="shared" si="1417"/>
        <v>25976</v>
      </c>
      <c r="X1555" s="654">
        <f t="shared" si="1417"/>
        <v>26224</v>
      </c>
      <c r="Y1555" s="654">
        <f t="shared" si="1417"/>
        <v>26472</v>
      </c>
      <c r="Z1555" s="654">
        <f t="shared" si="1417"/>
        <v>26720</v>
      </c>
      <c r="AA1555" s="654">
        <f t="shared" si="1417"/>
        <v>26968</v>
      </c>
      <c r="AB1555" s="654">
        <f t="shared" si="1417"/>
        <v>27216</v>
      </c>
      <c r="AC1555" s="654">
        <f t="shared" si="1417"/>
        <v>27464</v>
      </c>
      <c r="AD1555" s="654">
        <f t="shared" si="1417"/>
        <v>27712</v>
      </c>
      <c r="AE1555" s="654">
        <f t="shared" si="1417"/>
        <v>27960</v>
      </c>
      <c r="AF1555" s="654">
        <f t="shared" si="1417"/>
        <v>28208</v>
      </c>
      <c r="AG1555" s="574">
        <f t="shared" ref="AG1555" si="1418">AG1552</f>
        <v>0</v>
      </c>
      <c r="AH1555" s="538"/>
      <c r="AK1555" s="531"/>
      <c r="AM1555" s="594"/>
      <c r="AN1555" s="535"/>
      <c r="AP1555" s="540"/>
      <c r="AQ1555" s="540"/>
    </row>
    <row r="1556" spans="1:43" s="513" customFormat="1" ht="16.5" hidden="1" customHeight="1" outlineLevel="2">
      <c r="A1556" s="584"/>
      <c r="B1556" s="572" t="s">
        <v>1072</v>
      </c>
      <c r="C1556" s="677">
        <v>0</v>
      </c>
      <c r="D1556" s="677">
        <v>0.23801503252837022</v>
      </c>
      <c r="E1556" s="678">
        <f t="shared" ref="E1556:T1557" si="1419">D1556</f>
        <v>0.23801503252837022</v>
      </c>
      <c r="F1556" s="678">
        <f t="shared" si="1419"/>
        <v>0.23801503252837022</v>
      </c>
      <c r="G1556" s="678">
        <f t="shared" si="1419"/>
        <v>0.23801503252837022</v>
      </c>
      <c r="H1556" s="678">
        <f t="shared" si="1419"/>
        <v>0.23801503252837022</v>
      </c>
      <c r="I1556" s="678">
        <f t="shared" si="1419"/>
        <v>0.23801503252837022</v>
      </c>
      <c r="J1556" s="678">
        <f t="shared" si="1419"/>
        <v>0.23801503252837022</v>
      </c>
      <c r="K1556" s="678">
        <f t="shared" si="1419"/>
        <v>0.23801503252837022</v>
      </c>
      <c r="L1556" s="678">
        <f t="shared" si="1419"/>
        <v>0.23801503252837022</v>
      </c>
      <c r="M1556" s="678">
        <f t="shared" si="1419"/>
        <v>0.23801503252837022</v>
      </c>
      <c r="N1556" s="678">
        <f t="shared" si="1419"/>
        <v>0.23801503252837022</v>
      </c>
      <c r="O1556" s="678">
        <f t="shared" si="1419"/>
        <v>0.23801503252837022</v>
      </c>
      <c r="P1556" s="678">
        <f t="shared" si="1419"/>
        <v>0.23801503252837022</v>
      </c>
      <c r="Q1556" s="678">
        <f t="shared" si="1419"/>
        <v>0.23801503252837022</v>
      </c>
      <c r="R1556" s="678">
        <f t="shared" si="1419"/>
        <v>0.23801503252837022</v>
      </c>
      <c r="S1556" s="678">
        <f t="shared" si="1419"/>
        <v>0.23801503252837022</v>
      </c>
      <c r="T1556" s="678">
        <f t="shared" si="1419"/>
        <v>0.23801503252837022</v>
      </c>
      <c r="U1556" s="678">
        <f t="shared" ref="U1556:AF1557" si="1420">T1556</f>
        <v>0.23801503252837022</v>
      </c>
      <c r="V1556" s="678">
        <f t="shared" si="1420"/>
        <v>0.23801503252837022</v>
      </c>
      <c r="W1556" s="678">
        <f t="shared" si="1420"/>
        <v>0.23801503252837022</v>
      </c>
      <c r="X1556" s="678">
        <f t="shared" si="1420"/>
        <v>0.23801503252837022</v>
      </c>
      <c r="Y1556" s="678">
        <f t="shared" si="1420"/>
        <v>0.23801503252837022</v>
      </c>
      <c r="Z1556" s="678">
        <f t="shared" si="1420"/>
        <v>0.23801503252837022</v>
      </c>
      <c r="AA1556" s="678">
        <f t="shared" si="1420"/>
        <v>0.23801503252837022</v>
      </c>
      <c r="AB1556" s="678">
        <f t="shared" si="1420"/>
        <v>0.23801503252837022</v>
      </c>
      <c r="AC1556" s="678">
        <f t="shared" si="1420"/>
        <v>0.23801503252837022</v>
      </c>
      <c r="AD1556" s="678">
        <f t="shared" si="1420"/>
        <v>0.23801503252837022</v>
      </c>
      <c r="AE1556" s="678">
        <f t="shared" si="1420"/>
        <v>0.23801503252837022</v>
      </c>
      <c r="AF1556" s="678">
        <f t="shared" si="1420"/>
        <v>0.23801503252837022</v>
      </c>
      <c r="AG1556" s="574"/>
      <c r="AH1556" s="538"/>
      <c r="AK1556" s="531"/>
      <c r="AM1556" s="594"/>
      <c r="AN1556" s="535"/>
      <c r="AP1556" s="540"/>
      <c r="AQ1556" s="540"/>
    </row>
    <row r="1557" spans="1:43" s="513" customFormat="1" ht="16.5" hidden="1" customHeight="1" outlineLevel="2">
      <c r="A1557" s="584"/>
      <c r="B1557" s="572" t="s">
        <v>888</v>
      </c>
      <c r="C1557" s="676">
        <f>Insumos!$E$158</f>
        <v>1.2</v>
      </c>
      <c r="D1557" s="676">
        <f>C1557</f>
        <v>1.2</v>
      </c>
      <c r="E1557" s="676">
        <f t="shared" si="1419"/>
        <v>1.2</v>
      </c>
      <c r="F1557" s="676">
        <f t="shared" si="1419"/>
        <v>1.2</v>
      </c>
      <c r="G1557" s="676">
        <f t="shared" si="1419"/>
        <v>1.2</v>
      </c>
      <c r="H1557" s="676">
        <f t="shared" si="1419"/>
        <v>1.2</v>
      </c>
      <c r="I1557" s="676">
        <f t="shared" si="1419"/>
        <v>1.2</v>
      </c>
      <c r="J1557" s="676">
        <f t="shared" si="1419"/>
        <v>1.2</v>
      </c>
      <c r="K1557" s="676">
        <f t="shared" si="1419"/>
        <v>1.2</v>
      </c>
      <c r="L1557" s="676">
        <f t="shared" si="1419"/>
        <v>1.2</v>
      </c>
      <c r="M1557" s="676">
        <f t="shared" si="1419"/>
        <v>1.2</v>
      </c>
      <c r="N1557" s="676">
        <f t="shared" si="1419"/>
        <v>1.2</v>
      </c>
      <c r="O1557" s="676">
        <f t="shared" si="1419"/>
        <v>1.2</v>
      </c>
      <c r="P1557" s="676">
        <f t="shared" si="1419"/>
        <v>1.2</v>
      </c>
      <c r="Q1557" s="676">
        <f t="shared" si="1419"/>
        <v>1.2</v>
      </c>
      <c r="R1557" s="676">
        <f t="shared" si="1419"/>
        <v>1.2</v>
      </c>
      <c r="S1557" s="676">
        <f t="shared" si="1419"/>
        <v>1.2</v>
      </c>
      <c r="T1557" s="676">
        <f t="shared" si="1419"/>
        <v>1.2</v>
      </c>
      <c r="U1557" s="676">
        <f t="shared" si="1420"/>
        <v>1.2</v>
      </c>
      <c r="V1557" s="676">
        <f t="shared" si="1420"/>
        <v>1.2</v>
      </c>
      <c r="W1557" s="676">
        <f t="shared" si="1420"/>
        <v>1.2</v>
      </c>
      <c r="X1557" s="676">
        <f t="shared" si="1420"/>
        <v>1.2</v>
      </c>
      <c r="Y1557" s="676">
        <f t="shared" si="1420"/>
        <v>1.2</v>
      </c>
      <c r="Z1557" s="676">
        <f t="shared" si="1420"/>
        <v>1.2</v>
      </c>
      <c r="AA1557" s="676">
        <f t="shared" si="1420"/>
        <v>1.2</v>
      </c>
      <c r="AB1557" s="676">
        <f t="shared" si="1420"/>
        <v>1.2</v>
      </c>
      <c r="AC1557" s="676">
        <f t="shared" si="1420"/>
        <v>1.2</v>
      </c>
      <c r="AD1557" s="676">
        <f t="shared" si="1420"/>
        <v>1.2</v>
      </c>
      <c r="AE1557" s="676">
        <f t="shared" si="1420"/>
        <v>1.2</v>
      </c>
      <c r="AF1557" s="676">
        <f t="shared" si="1420"/>
        <v>1.2</v>
      </c>
      <c r="AH1557" s="538"/>
      <c r="AK1557" s="531"/>
      <c r="AM1557" s="594"/>
      <c r="AN1557" s="535"/>
      <c r="AP1557" s="540"/>
      <c r="AQ1557" s="540"/>
    </row>
    <row r="1558" spans="1:43" s="546" customFormat="1" ht="16.5" hidden="1" customHeight="1" outlineLevel="2">
      <c r="A1558" s="584"/>
      <c r="B1558" s="569" t="s">
        <v>1074</v>
      </c>
      <c r="C1558" s="570">
        <f>C1559*C1560*C1561</f>
        <v>0</v>
      </c>
      <c r="D1558" s="570">
        <f t="shared" ref="D1558:AF1558" si="1421">D1559*D1560*D1561</f>
        <v>23.190416236814954</v>
      </c>
      <c r="E1558" s="570">
        <f t="shared" si="1421"/>
        <v>23.460883845295488</v>
      </c>
      <c r="F1558" s="570">
        <f t="shared" si="1421"/>
        <v>23.731351453776025</v>
      </c>
      <c r="G1558" s="570">
        <f t="shared" si="1421"/>
        <v>24.001819062256558</v>
      </c>
      <c r="H1558" s="570">
        <f t="shared" si="1421"/>
        <v>24.272286670737099</v>
      </c>
      <c r="I1558" s="570">
        <f t="shared" si="1421"/>
        <v>24.542754279217633</v>
      </c>
      <c r="J1558" s="570">
        <f t="shared" si="1421"/>
        <v>24.81322188769817</v>
      </c>
      <c r="K1558" s="570">
        <f t="shared" si="1421"/>
        <v>25.083689496178703</v>
      </c>
      <c r="L1558" s="570">
        <f t="shared" si="1421"/>
        <v>25.35415710465924</v>
      </c>
      <c r="M1558" s="570">
        <f t="shared" si="1421"/>
        <v>25.624624713139774</v>
      </c>
      <c r="N1558" s="570">
        <f t="shared" si="1421"/>
        <v>25.895092321620307</v>
      </c>
      <c r="O1558" s="570">
        <f t="shared" si="1421"/>
        <v>26.165559930100848</v>
      </c>
      <c r="P1558" s="570">
        <f t="shared" si="1421"/>
        <v>26.436027538581385</v>
      </c>
      <c r="Q1558" s="570">
        <f t="shared" si="1421"/>
        <v>26.706495147061919</v>
      </c>
      <c r="R1558" s="570">
        <f t="shared" si="1421"/>
        <v>26.976962755542452</v>
      </c>
      <c r="S1558" s="570">
        <f t="shared" si="1421"/>
        <v>27.247430364022989</v>
      </c>
      <c r="T1558" s="570">
        <f t="shared" si="1421"/>
        <v>27.517897972503523</v>
      </c>
      <c r="U1558" s="570">
        <f t="shared" si="1421"/>
        <v>27.78836558098406</v>
      </c>
      <c r="V1558" s="570">
        <f t="shared" si="1421"/>
        <v>28.058833189464593</v>
      </c>
      <c r="W1558" s="570">
        <f t="shared" si="1421"/>
        <v>28.329300797945134</v>
      </c>
      <c r="X1558" s="570">
        <f t="shared" si="1421"/>
        <v>28.599768406425667</v>
      </c>
      <c r="Y1558" s="570">
        <f t="shared" si="1421"/>
        <v>28.870236014906201</v>
      </c>
      <c r="Z1558" s="570">
        <f t="shared" si="1421"/>
        <v>29.140703623386738</v>
      </c>
      <c r="AA1558" s="570">
        <f t="shared" si="1421"/>
        <v>29.411171231867272</v>
      </c>
      <c r="AB1558" s="570">
        <f t="shared" si="1421"/>
        <v>29.681638840347809</v>
      </c>
      <c r="AC1558" s="570">
        <f t="shared" si="1421"/>
        <v>29.952106448828342</v>
      </c>
      <c r="AD1558" s="570">
        <f t="shared" si="1421"/>
        <v>30.222574057308876</v>
      </c>
      <c r="AE1558" s="570">
        <f t="shared" si="1421"/>
        <v>30.493041665789416</v>
      </c>
      <c r="AF1558" s="570">
        <f t="shared" si="1421"/>
        <v>30.763509274269953</v>
      </c>
      <c r="AH1558" s="571"/>
      <c r="AK1558" s="531"/>
      <c r="AM1558" s="594"/>
      <c r="AN1558" s="535"/>
      <c r="AP1558" s="549"/>
      <c r="AQ1558" s="549"/>
    </row>
    <row r="1559" spans="1:43" s="513" customFormat="1" ht="16.5" hidden="1" customHeight="1" outlineLevel="2">
      <c r="A1559" s="584"/>
      <c r="B1559" s="572" t="s">
        <v>1071</v>
      </c>
      <c r="C1559" s="654">
        <f>C1551</f>
        <v>0</v>
      </c>
      <c r="D1559" s="654">
        <f t="shared" ref="D1559:AF1559" si="1422">D1551</f>
        <v>21264</v>
      </c>
      <c r="E1559" s="654">
        <f t="shared" si="1422"/>
        <v>21512</v>
      </c>
      <c r="F1559" s="654">
        <f t="shared" si="1422"/>
        <v>21760</v>
      </c>
      <c r="G1559" s="654">
        <f t="shared" si="1422"/>
        <v>22008</v>
      </c>
      <c r="H1559" s="654">
        <f t="shared" si="1422"/>
        <v>22256</v>
      </c>
      <c r="I1559" s="654">
        <f t="shared" si="1422"/>
        <v>22504</v>
      </c>
      <c r="J1559" s="654">
        <f t="shared" si="1422"/>
        <v>22752</v>
      </c>
      <c r="K1559" s="654">
        <f t="shared" si="1422"/>
        <v>23000</v>
      </c>
      <c r="L1559" s="654">
        <f t="shared" si="1422"/>
        <v>23248</v>
      </c>
      <c r="M1559" s="654">
        <f t="shared" si="1422"/>
        <v>23496</v>
      </c>
      <c r="N1559" s="654">
        <f t="shared" si="1422"/>
        <v>23744</v>
      </c>
      <c r="O1559" s="654">
        <f t="shared" si="1422"/>
        <v>23992</v>
      </c>
      <c r="P1559" s="654">
        <f t="shared" si="1422"/>
        <v>24240</v>
      </c>
      <c r="Q1559" s="654">
        <f t="shared" si="1422"/>
        <v>24488</v>
      </c>
      <c r="R1559" s="654">
        <f t="shared" si="1422"/>
        <v>24736</v>
      </c>
      <c r="S1559" s="654">
        <f t="shared" si="1422"/>
        <v>24984</v>
      </c>
      <c r="T1559" s="654">
        <f t="shared" si="1422"/>
        <v>25232</v>
      </c>
      <c r="U1559" s="654">
        <f t="shared" si="1422"/>
        <v>25480</v>
      </c>
      <c r="V1559" s="654">
        <f t="shared" si="1422"/>
        <v>25728</v>
      </c>
      <c r="W1559" s="654">
        <f t="shared" si="1422"/>
        <v>25976</v>
      </c>
      <c r="X1559" s="654">
        <f t="shared" si="1422"/>
        <v>26224</v>
      </c>
      <c r="Y1559" s="654">
        <f t="shared" si="1422"/>
        <v>26472</v>
      </c>
      <c r="Z1559" s="654">
        <f t="shared" si="1422"/>
        <v>26720</v>
      </c>
      <c r="AA1559" s="654">
        <f t="shared" si="1422"/>
        <v>26968</v>
      </c>
      <c r="AB1559" s="654">
        <f t="shared" si="1422"/>
        <v>27216</v>
      </c>
      <c r="AC1559" s="654">
        <f t="shared" si="1422"/>
        <v>27464</v>
      </c>
      <c r="AD1559" s="654">
        <f t="shared" si="1422"/>
        <v>27712</v>
      </c>
      <c r="AE1559" s="654">
        <f t="shared" si="1422"/>
        <v>27960</v>
      </c>
      <c r="AF1559" s="654">
        <f t="shared" si="1422"/>
        <v>28208</v>
      </c>
      <c r="AG1559" s="574">
        <f t="shared" ref="AG1559" si="1423">AG1556</f>
        <v>0</v>
      </c>
      <c r="AH1559" s="538"/>
      <c r="AK1559" s="531"/>
      <c r="AM1559" s="594"/>
      <c r="AN1559" s="535"/>
      <c r="AP1559" s="540"/>
      <c r="AQ1559" s="540"/>
    </row>
    <row r="1560" spans="1:43" s="513" customFormat="1" ht="16.5" hidden="1" customHeight="1" outlineLevel="2">
      <c r="A1560" s="584"/>
      <c r="B1560" s="572" t="s">
        <v>1072</v>
      </c>
      <c r="C1560" s="679">
        <v>0</v>
      </c>
      <c r="D1560" s="679">
        <v>1.5579931364086152E-3</v>
      </c>
      <c r="E1560" s="680">
        <f>D1560</f>
        <v>1.5579931364086152E-3</v>
      </c>
      <c r="F1560" s="680">
        <f t="shared" ref="F1560:AF1560" si="1424">E1560</f>
        <v>1.5579931364086152E-3</v>
      </c>
      <c r="G1560" s="680">
        <f t="shared" si="1424"/>
        <v>1.5579931364086152E-3</v>
      </c>
      <c r="H1560" s="680">
        <f t="shared" si="1424"/>
        <v>1.5579931364086152E-3</v>
      </c>
      <c r="I1560" s="680">
        <f t="shared" si="1424"/>
        <v>1.5579931364086152E-3</v>
      </c>
      <c r="J1560" s="680">
        <f t="shared" si="1424"/>
        <v>1.5579931364086152E-3</v>
      </c>
      <c r="K1560" s="680">
        <f t="shared" si="1424"/>
        <v>1.5579931364086152E-3</v>
      </c>
      <c r="L1560" s="680">
        <f t="shared" si="1424"/>
        <v>1.5579931364086152E-3</v>
      </c>
      <c r="M1560" s="680">
        <f t="shared" si="1424"/>
        <v>1.5579931364086152E-3</v>
      </c>
      <c r="N1560" s="680">
        <f t="shared" si="1424"/>
        <v>1.5579931364086152E-3</v>
      </c>
      <c r="O1560" s="680">
        <f t="shared" si="1424"/>
        <v>1.5579931364086152E-3</v>
      </c>
      <c r="P1560" s="680">
        <f t="shared" si="1424"/>
        <v>1.5579931364086152E-3</v>
      </c>
      <c r="Q1560" s="680">
        <f t="shared" si="1424"/>
        <v>1.5579931364086152E-3</v>
      </c>
      <c r="R1560" s="680">
        <f t="shared" si="1424"/>
        <v>1.5579931364086152E-3</v>
      </c>
      <c r="S1560" s="680">
        <f t="shared" si="1424"/>
        <v>1.5579931364086152E-3</v>
      </c>
      <c r="T1560" s="680">
        <f t="shared" si="1424"/>
        <v>1.5579931364086152E-3</v>
      </c>
      <c r="U1560" s="680">
        <f t="shared" si="1424"/>
        <v>1.5579931364086152E-3</v>
      </c>
      <c r="V1560" s="680">
        <f t="shared" si="1424"/>
        <v>1.5579931364086152E-3</v>
      </c>
      <c r="W1560" s="680">
        <f t="shared" si="1424"/>
        <v>1.5579931364086152E-3</v>
      </c>
      <c r="X1560" s="680">
        <f t="shared" si="1424"/>
        <v>1.5579931364086152E-3</v>
      </c>
      <c r="Y1560" s="680">
        <f t="shared" si="1424"/>
        <v>1.5579931364086152E-3</v>
      </c>
      <c r="Z1560" s="680">
        <f t="shared" si="1424"/>
        <v>1.5579931364086152E-3</v>
      </c>
      <c r="AA1560" s="680">
        <f t="shared" si="1424"/>
        <v>1.5579931364086152E-3</v>
      </c>
      <c r="AB1560" s="680">
        <f t="shared" si="1424"/>
        <v>1.5579931364086152E-3</v>
      </c>
      <c r="AC1560" s="680">
        <f t="shared" si="1424"/>
        <v>1.5579931364086152E-3</v>
      </c>
      <c r="AD1560" s="680">
        <f t="shared" si="1424"/>
        <v>1.5579931364086152E-3</v>
      </c>
      <c r="AE1560" s="680">
        <f t="shared" si="1424"/>
        <v>1.5579931364086152E-3</v>
      </c>
      <c r="AF1560" s="680">
        <f t="shared" si="1424"/>
        <v>1.5579931364086152E-3</v>
      </c>
      <c r="AG1560" s="574"/>
      <c r="AH1560" s="538"/>
      <c r="AK1560" s="531"/>
      <c r="AM1560" s="594"/>
      <c r="AN1560" s="535"/>
      <c r="AP1560" s="540"/>
      <c r="AQ1560" s="540"/>
    </row>
    <row r="1561" spans="1:43" s="513" customFormat="1" ht="16.5" hidden="1" customHeight="1" outlineLevel="2">
      <c r="A1561" s="584"/>
      <c r="B1561" s="572" t="s">
        <v>888</v>
      </c>
      <c r="C1561" s="676">
        <f>Insumos!$E$159</f>
        <v>0.7</v>
      </c>
      <c r="D1561" s="676">
        <f>C1561</f>
        <v>0.7</v>
      </c>
      <c r="E1561" s="676">
        <f t="shared" ref="E1561:AF1561" si="1425">D1561</f>
        <v>0.7</v>
      </c>
      <c r="F1561" s="676">
        <f t="shared" si="1425"/>
        <v>0.7</v>
      </c>
      <c r="G1561" s="676">
        <f t="shared" si="1425"/>
        <v>0.7</v>
      </c>
      <c r="H1561" s="676">
        <f t="shared" si="1425"/>
        <v>0.7</v>
      </c>
      <c r="I1561" s="676">
        <f t="shared" si="1425"/>
        <v>0.7</v>
      </c>
      <c r="J1561" s="676">
        <f t="shared" si="1425"/>
        <v>0.7</v>
      </c>
      <c r="K1561" s="676">
        <f t="shared" si="1425"/>
        <v>0.7</v>
      </c>
      <c r="L1561" s="676">
        <f t="shared" si="1425"/>
        <v>0.7</v>
      </c>
      <c r="M1561" s="676">
        <f t="shared" si="1425"/>
        <v>0.7</v>
      </c>
      <c r="N1561" s="676">
        <f t="shared" si="1425"/>
        <v>0.7</v>
      </c>
      <c r="O1561" s="676">
        <f t="shared" si="1425"/>
        <v>0.7</v>
      </c>
      <c r="P1561" s="676">
        <f t="shared" si="1425"/>
        <v>0.7</v>
      </c>
      <c r="Q1561" s="676">
        <f t="shared" si="1425"/>
        <v>0.7</v>
      </c>
      <c r="R1561" s="676">
        <f t="shared" si="1425"/>
        <v>0.7</v>
      </c>
      <c r="S1561" s="676">
        <f t="shared" si="1425"/>
        <v>0.7</v>
      </c>
      <c r="T1561" s="676">
        <f t="shared" si="1425"/>
        <v>0.7</v>
      </c>
      <c r="U1561" s="676">
        <f t="shared" si="1425"/>
        <v>0.7</v>
      </c>
      <c r="V1561" s="676">
        <f t="shared" si="1425"/>
        <v>0.7</v>
      </c>
      <c r="W1561" s="676">
        <f t="shared" si="1425"/>
        <v>0.7</v>
      </c>
      <c r="X1561" s="676">
        <f t="shared" si="1425"/>
        <v>0.7</v>
      </c>
      <c r="Y1561" s="676">
        <f t="shared" si="1425"/>
        <v>0.7</v>
      </c>
      <c r="Z1561" s="676">
        <f t="shared" si="1425"/>
        <v>0.7</v>
      </c>
      <c r="AA1561" s="676">
        <f t="shared" si="1425"/>
        <v>0.7</v>
      </c>
      <c r="AB1561" s="676">
        <f t="shared" si="1425"/>
        <v>0.7</v>
      </c>
      <c r="AC1561" s="676">
        <f t="shared" si="1425"/>
        <v>0.7</v>
      </c>
      <c r="AD1561" s="676">
        <f t="shared" si="1425"/>
        <v>0.7</v>
      </c>
      <c r="AE1561" s="676">
        <f t="shared" si="1425"/>
        <v>0.7</v>
      </c>
      <c r="AF1561" s="676">
        <f t="shared" si="1425"/>
        <v>0.7</v>
      </c>
      <c r="AH1561" s="538"/>
      <c r="AK1561" s="531"/>
      <c r="AM1561" s="594"/>
      <c r="AN1561" s="535"/>
      <c r="AP1561" s="540"/>
      <c r="AQ1561" s="540"/>
    </row>
    <row r="1562" spans="1:43" s="546" customFormat="1" ht="16.5" hidden="1" customHeight="1" outlineLevel="2">
      <c r="A1562" s="584"/>
      <c r="B1562" s="569" t="s">
        <v>1075</v>
      </c>
      <c r="C1562" s="570">
        <f>C1563*C1564*C1565</f>
        <v>0</v>
      </c>
      <c r="D1562" s="570">
        <f t="shared" ref="D1562:AF1562" si="1426">D1563*D1564*D1565</f>
        <v>1122.2728846032383</v>
      </c>
      <c r="E1562" s="570">
        <f t="shared" si="1426"/>
        <v>1135.3618460113273</v>
      </c>
      <c r="F1562" s="570">
        <f t="shared" si="1426"/>
        <v>1148.4508074194162</v>
      </c>
      <c r="G1562" s="570">
        <f t="shared" si="1426"/>
        <v>1161.539768827505</v>
      </c>
      <c r="H1562" s="570">
        <f t="shared" si="1426"/>
        <v>1174.628730235594</v>
      </c>
      <c r="I1562" s="570">
        <f t="shared" si="1426"/>
        <v>1187.7176916436829</v>
      </c>
      <c r="J1562" s="570">
        <f t="shared" si="1426"/>
        <v>1200.8066530517719</v>
      </c>
      <c r="K1562" s="570">
        <f t="shared" si="1426"/>
        <v>1213.8956144598608</v>
      </c>
      <c r="L1562" s="570">
        <f t="shared" si="1426"/>
        <v>1226.9845758679498</v>
      </c>
      <c r="M1562" s="570">
        <f t="shared" si="1426"/>
        <v>1240.0735372760387</v>
      </c>
      <c r="N1562" s="570">
        <f t="shared" si="1426"/>
        <v>1253.1624986841277</v>
      </c>
      <c r="O1562" s="570">
        <f t="shared" si="1426"/>
        <v>1266.2514600922166</v>
      </c>
      <c r="P1562" s="570">
        <f t="shared" si="1426"/>
        <v>1279.3404215003056</v>
      </c>
      <c r="Q1562" s="570">
        <f t="shared" si="1426"/>
        <v>1292.4293829083945</v>
      </c>
      <c r="R1562" s="570">
        <f t="shared" si="1426"/>
        <v>1305.5183443164833</v>
      </c>
      <c r="S1562" s="570">
        <f t="shared" si="1426"/>
        <v>1318.6073057245721</v>
      </c>
      <c r="T1562" s="570">
        <f t="shared" si="1426"/>
        <v>1331.6962671326612</v>
      </c>
      <c r="U1562" s="570">
        <f t="shared" si="1426"/>
        <v>1344.7852285407503</v>
      </c>
      <c r="V1562" s="570">
        <f t="shared" si="1426"/>
        <v>1357.8741899488391</v>
      </c>
      <c r="W1562" s="570">
        <f t="shared" si="1426"/>
        <v>1370.9631513569282</v>
      </c>
      <c r="X1562" s="570">
        <f t="shared" si="1426"/>
        <v>1384.052112765017</v>
      </c>
      <c r="Y1562" s="570">
        <f t="shared" si="1426"/>
        <v>1397.1410741731061</v>
      </c>
      <c r="Z1562" s="570">
        <f t="shared" si="1426"/>
        <v>1410.2300355811949</v>
      </c>
      <c r="AA1562" s="570">
        <f t="shared" si="1426"/>
        <v>1423.3189969892837</v>
      </c>
      <c r="AB1562" s="570">
        <f t="shared" si="1426"/>
        <v>1436.4079583973726</v>
      </c>
      <c r="AC1562" s="570">
        <f t="shared" si="1426"/>
        <v>1449.4969198054616</v>
      </c>
      <c r="AD1562" s="570">
        <f t="shared" si="1426"/>
        <v>1462.5858812135505</v>
      </c>
      <c r="AE1562" s="570">
        <f t="shared" si="1426"/>
        <v>1475.6748426216395</v>
      </c>
      <c r="AF1562" s="570">
        <f t="shared" si="1426"/>
        <v>1488.7638040297286</v>
      </c>
      <c r="AH1562" s="571"/>
      <c r="AK1562" s="531"/>
      <c r="AM1562" s="594"/>
      <c r="AN1562" s="535"/>
      <c r="AP1562" s="549"/>
      <c r="AQ1562" s="549"/>
    </row>
    <row r="1563" spans="1:43" s="513" customFormat="1" ht="16.5" hidden="1" customHeight="1" outlineLevel="2">
      <c r="A1563" s="584"/>
      <c r="B1563" s="572" t="s">
        <v>1071</v>
      </c>
      <c r="C1563" s="654">
        <f>C1551</f>
        <v>0</v>
      </c>
      <c r="D1563" s="654">
        <f t="shared" ref="D1563:AF1563" si="1427">D1551</f>
        <v>21264</v>
      </c>
      <c r="E1563" s="654">
        <f t="shared" si="1427"/>
        <v>21512</v>
      </c>
      <c r="F1563" s="654">
        <f t="shared" si="1427"/>
        <v>21760</v>
      </c>
      <c r="G1563" s="654">
        <f t="shared" si="1427"/>
        <v>22008</v>
      </c>
      <c r="H1563" s="654">
        <f t="shared" si="1427"/>
        <v>22256</v>
      </c>
      <c r="I1563" s="654">
        <f t="shared" si="1427"/>
        <v>22504</v>
      </c>
      <c r="J1563" s="654">
        <f t="shared" si="1427"/>
        <v>22752</v>
      </c>
      <c r="K1563" s="654">
        <f t="shared" si="1427"/>
        <v>23000</v>
      </c>
      <c r="L1563" s="654">
        <f t="shared" si="1427"/>
        <v>23248</v>
      </c>
      <c r="M1563" s="654">
        <f t="shared" si="1427"/>
        <v>23496</v>
      </c>
      <c r="N1563" s="654">
        <f t="shared" si="1427"/>
        <v>23744</v>
      </c>
      <c r="O1563" s="654">
        <f t="shared" si="1427"/>
        <v>23992</v>
      </c>
      <c r="P1563" s="654">
        <f t="shared" si="1427"/>
        <v>24240</v>
      </c>
      <c r="Q1563" s="654">
        <f t="shared" si="1427"/>
        <v>24488</v>
      </c>
      <c r="R1563" s="654">
        <f t="shared" si="1427"/>
        <v>24736</v>
      </c>
      <c r="S1563" s="654">
        <f t="shared" si="1427"/>
        <v>24984</v>
      </c>
      <c r="T1563" s="654">
        <f t="shared" si="1427"/>
        <v>25232</v>
      </c>
      <c r="U1563" s="654">
        <f t="shared" si="1427"/>
        <v>25480</v>
      </c>
      <c r="V1563" s="654">
        <f t="shared" si="1427"/>
        <v>25728</v>
      </c>
      <c r="W1563" s="654">
        <f t="shared" si="1427"/>
        <v>25976</v>
      </c>
      <c r="X1563" s="654">
        <f t="shared" si="1427"/>
        <v>26224</v>
      </c>
      <c r="Y1563" s="654">
        <f t="shared" si="1427"/>
        <v>26472</v>
      </c>
      <c r="Z1563" s="654">
        <f t="shared" si="1427"/>
        <v>26720</v>
      </c>
      <c r="AA1563" s="654">
        <f t="shared" si="1427"/>
        <v>26968</v>
      </c>
      <c r="AB1563" s="654">
        <f t="shared" si="1427"/>
        <v>27216</v>
      </c>
      <c r="AC1563" s="654">
        <f t="shared" si="1427"/>
        <v>27464</v>
      </c>
      <c r="AD1563" s="654">
        <f t="shared" si="1427"/>
        <v>27712</v>
      </c>
      <c r="AE1563" s="654">
        <f t="shared" si="1427"/>
        <v>27960</v>
      </c>
      <c r="AF1563" s="654">
        <f t="shared" si="1427"/>
        <v>28208</v>
      </c>
      <c r="AG1563" s="574">
        <f t="shared" ref="AG1563" si="1428">AG1560</f>
        <v>0</v>
      </c>
      <c r="AH1563" s="538"/>
      <c r="AK1563" s="531"/>
      <c r="AM1563" s="594"/>
      <c r="AN1563" s="535"/>
      <c r="AP1563" s="540"/>
      <c r="AQ1563" s="540"/>
    </row>
    <row r="1564" spans="1:43" s="513" customFormat="1" ht="16.5" hidden="1" customHeight="1" outlineLevel="2">
      <c r="A1564" s="584"/>
      <c r="B1564" s="572" t="s">
        <v>1072</v>
      </c>
      <c r="C1564" s="677">
        <v>0</v>
      </c>
      <c r="D1564" s="677">
        <v>0.5277807019390699</v>
      </c>
      <c r="E1564" s="678">
        <f t="shared" ref="E1564:T1565" si="1429">D1564</f>
        <v>0.5277807019390699</v>
      </c>
      <c r="F1564" s="678">
        <f t="shared" si="1429"/>
        <v>0.5277807019390699</v>
      </c>
      <c r="G1564" s="678">
        <f t="shared" si="1429"/>
        <v>0.5277807019390699</v>
      </c>
      <c r="H1564" s="678">
        <f t="shared" si="1429"/>
        <v>0.5277807019390699</v>
      </c>
      <c r="I1564" s="678">
        <f t="shared" si="1429"/>
        <v>0.5277807019390699</v>
      </c>
      <c r="J1564" s="678">
        <f t="shared" si="1429"/>
        <v>0.5277807019390699</v>
      </c>
      <c r="K1564" s="678">
        <f t="shared" si="1429"/>
        <v>0.5277807019390699</v>
      </c>
      <c r="L1564" s="678">
        <f t="shared" si="1429"/>
        <v>0.5277807019390699</v>
      </c>
      <c r="M1564" s="678">
        <f t="shared" si="1429"/>
        <v>0.5277807019390699</v>
      </c>
      <c r="N1564" s="678">
        <f t="shared" si="1429"/>
        <v>0.5277807019390699</v>
      </c>
      <c r="O1564" s="678">
        <f t="shared" si="1429"/>
        <v>0.5277807019390699</v>
      </c>
      <c r="P1564" s="678">
        <f t="shared" si="1429"/>
        <v>0.5277807019390699</v>
      </c>
      <c r="Q1564" s="678">
        <f t="shared" si="1429"/>
        <v>0.5277807019390699</v>
      </c>
      <c r="R1564" s="678">
        <f t="shared" si="1429"/>
        <v>0.5277807019390699</v>
      </c>
      <c r="S1564" s="678">
        <f t="shared" si="1429"/>
        <v>0.5277807019390699</v>
      </c>
      <c r="T1564" s="678">
        <f t="shared" si="1429"/>
        <v>0.5277807019390699</v>
      </c>
      <c r="U1564" s="678">
        <f t="shared" ref="U1564:AF1565" si="1430">T1564</f>
        <v>0.5277807019390699</v>
      </c>
      <c r="V1564" s="678">
        <f t="shared" si="1430"/>
        <v>0.5277807019390699</v>
      </c>
      <c r="W1564" s="678">
        <f t="shared" si="1430"/>
        <v>0.5277807019390699</v>
      </c>
      <c r="X1564" s="678">
        <f t="shared" si="1430"/>
        <v>0.5277807019390699</v>
      </c>
      <c r="Y1564" s="678">
        <f t="shared" si="1430"/>
        <v>0.5277807019390699</v>
      </c>
      <c r="Z1564" s="678">
        <f t="shared" si="1430"/>
        <v>0.5277807019390699</v>
      </c>
      <c r="AA1564" s="678">
        <f t="shared" si="1430"/>
        <v>0.5277807019390699</v>
      </c>
      <c r="AB1564" s="678">
        <f t="shared" si="1430"/>
        <v>0.5277807019390699</v>
      </c>
      <c r="AC1564" s="678">
        <f t="shared" si="1430"/>
        <v>0.5277807019390699</v>
      </c>
      <c r="AD1564" s="678">
        <f t="shared" si="1430"/>
        <v>0.5277807019390699</v>
      </c>
      <c r="AE1564" s="678">
        <f t="shared" si="1430"/>
        <v>0.5277807019390699</v>
      </c>
      <c r="AF1564" s="678">
        <f t="shared" si="1430"/>
        <v>0.5277807019390699</v>
      </c>
      <c r="AG1564" s="574"/>
      <c r="AH1564" s="538"/>
      <c r="AK1564" s="531"/>
      <c r="AM1564" s="594"/>
      <c r="AN1564" s="535"/>
      <c r="AP1564" s="540"/>
      <c r="AQ1564" s="540"/>
    </row>
    <row r="1565" spans="1:43" s="513" customFormat="1" ht="16.5" hidden="1" customHeight="1" outlineLevel="2">
      <c r="A1565" s="584"/>
      <c r="B1565" s="572" t="s">
        <v>888</v>
      </c>
      <c r="C1565" s="676">
        <f>Insumos!$E$160</f>
        <v>0.1</v>
      </c>
      <c r="D1565" s="676">
        <f>C1565</f>
        <v>0.1</v>
      </c>
      <c r="E1565" s="676">
        <f t="shared" si="1429"/>
        <v>0.1</v>
      </c>
      <c r="F1565" s="676">
        <f t="shared" si="1429"/>
        <v>0.1</v>
      </c>
      <c r="G1565" s="676">
        <f t="shared" si="1429"/>
        <v>0.1</v>
      </c>
      <c r="H1565" s="676">
        <f t="shared" si="1429"/>
        <v>0.1</v>
      </c>
      <c r="I1565" s="676">
        <f t="shared" si="1429"/>
        <v>0.1</v>
      </c>
      <c r="J1565" s="676">
        <f t="shared" si="1429"/>
        <v>0.1</v>
      </c>
      <c r="K1565" s="676">
        <f t="shared" si="1429"/>
        <v>0.1</v>
      </c>
      <c r="L1565" s="676">
        <f t="shared" si="1429"/>
        <v>0.1</v>
      </c>
      <c r="M1565" s="676">
        <f t="shared" si="1429"/>
        <v>0.1</v>
      </c>
      <c r="N1565" s="676">
        <f t="shared" si="1429"/>
        <v>0.1</v>
      </c>
      <c r="O1565" s="676">
        <f t="shared" si="1429"/>
        <v>0.1</v>
      </c>
      <c r="P1565" s="676">
        <f t="shared" si="1429"/>
        <v>0.1</v>
      </c>
      <c r="Q1565" s="676">
        <f t="shared" si="1429"/>
        <v>0.1</v>
      </c>
      <c r="R1565" s="676">
        <f t="shared" si="1429"/>
        <v>0.1</v>
      </c>
      <c r="S1565" s="676">
        <f t="shared" si="1429"/>
        <v>0.1</v>
      </c>
      <c r="T1565" s="676">
        <f t="shared" si="1429"/>
        <v>0.1</v>
      </c>
      <c r="U1565" s="676">
        <f t="shared" si="1430"/>
        <v>0.1</v>
      </c>
      <c r="V1565" s="676">
        <f t="shared" si="1430"/>
        <v>0.1</v>
      </c>
      <c r="W1565" s="676">
        <f t="shared" si="1430"/>
        <v>0.1</v>
      </c>
      <c r="X1565" s="676">
        <f t="shared" si="1430"/>
        <v>0.1</v>
      </c>
      <c r="Y1565" s="676">
        <f t="shared" si="1430"/>
        <v>0.1</v>
      </c>
      <c r="Z1565" s="676">
        <f t="shared" si="1430"/>
        <v>0.1</v>
      </c>
      <c r="AA1565" s="676">
        <f t="shared" si="1430"/>
        <v>0.1</v>
      </c>
      <c r="AB1565" s="676">
        <f t="shared" si="1430"/>
        <v>0.1</v>
      </c>
      <c r="AC1565" s="676">
        <f t="shared" si="1430"/>
        <v>0.1</v>
      </c>
      <c r="AD1565" s="676">
        <f t="shared" si="1430"/>
        <v>0.1</v>
      </c>
      <c r="AE1565" s="676">
        <f t="shared" si="1430"/>
        <v>0.1</v>
      </c>
      <c r="AF1565" s="676">
        <f t="shared" si="1430"/>
        <v>0.1</v>
      </c>
      <c r="AH1565" s="538"/>
      <c r="AK1565" s="531"/>
      <c r="AM1565" s="594"/>
      <c r="AN1565" s="535"/>
      <c r="AP1565" s="540"/>
      <c r="AQ1565" s="540"/>
    </row>
    <row r="1566" spans="1:43" s="546" customFormat="1" ht="16.5" hidden="1" customHeight="1" outlineLevel="2">
      <c r="A1566" s="584"/>
      <c r="B1566" s="569" t="s">
        <v>1076</v>
      </c>
      <c r="C1566" s="570">
        <f>C1567*C1568*C1569</f>
        <v>0</v>
      </c>
      <c r="D1566" s="570">
        <f t="shared" ref="D1566:AF1566" si="1431">D1567*D1568*D1569</f>
        <v>132.98226330084003</v>
      </c>
      <c r="E1566" s="570">
        <f t="shared" si="1431"/>
        <v>134.53322272985659</v>
      </c>
      <c r="F1566" s="570">
        <f t="shared" si="1431"/>
        <v>136.08418215887318</v>
      </c>
      <c r="G1566" s="570">
        <f t="shared" si="1431"/>
        <v>137.63514158788976</v>
      </c>
      <c r="H1566" s="570">
        <f t="shared" si="1431"/>
        <v>139.18610101690632</v>
      </c>
      <c r="I1566" s="570">
        <f t="shared" si="1431"/>
        <v>140.73706044592291</v>
      </c>
      <c r="J1566" s="570">
        <f t="shared" si="1431"/>
        <v>142.28801987493944</v>
      </c>
      <c r="K1566" s="570">
        <f t="shared" si="1431"/>
        <v>143.83897930395602</v>
      </c>
      <c r="L1566" s="570">
        <f t="shared" si="1431"/>
        <v>145.38993873297258</v>
      </c>
      <c r="M1566" s="570">
        <f t="shared" si="1431"/>
        <v>146.94089816198917</v>
      </c>
      <c r="N1566" s="570">
        <f t="shared" si="1431"/>
        <v>148.49185759100573</v>
      </c>
      <c r="O1566" s="570">
        <f t="shared" si="1431"/>
        <v>150.04281702002231</v>
      </c>
      <c r="P1566" s="570">
        <f t="shared" si="1431"/>
        <v>151.59377644903887</v>
      </c>
      <c r="Q1566" s="570">
        <f t="shared" si="1431"/>
        <v>153.14473587805546</v>
      </c>
      <c r="R1566" s="570">
        <f t="shared" si="1431"/>
        <v>154.69569530707199</v>
      </c>
      <c r="S1566" s="570">
        <f t="shared" si="1431"/>
        <v>156.24665473608857</v>
      </c>
      <c r="T1566" s="570">
        <f t="shared" si="1431"/>
        <v>157.79761416510513</v>
      </c>
      <c r="U1566" s="570">
        <f t="shared" si="1431"/>
        <v>159.34857359412172</v>
      </c>
      <c r="V1566" s="570">
        <f t="shared" si="1431"/>
        <v>160.8995330231383</v>
      </c>
      <c r="W1566" s="570">
        <f t="shared" si="1431"/>
        <v>162.45049245215486</v>
      </c>
      <c r="X1566" s="570">
        <f t="shared" si="1431"/>
        <v>164.00145188117145</v>
      </c>
      <c r="Y1566" s="570">
        <f t="shared" si="1431"/>
        <v>165.55241131018798</v>
      </c>
      <c r="Z1566" s="570">
        <f t="shared" si="1431"/>
        <v>167.10337073920456</v>
      </c>
      <c r="AA1566" s="570">
        <f t="shared" si="1431"/>
        <v>168.65433016822112</v>
      </c>
      <c r="AB1566" s="570">
        <f t="shared" si="1431"/>
        <v>170.20528959723771</v>
      </c>
      <c r="AC1566" s="570">
        <f t="shared" si="1431"/>
        <v>171.75624902625427</v>
      </c>
      <c r="AD1566" s="570">
        <f t="shared" si="1431"/>
        <v>173.30720845527085</v>
      </c>
      <c r="AE1566" s="570">
        <f t="shared" si="1431"/>
        <v>174.85816788428741</v>
      </c>
      <c r="AF1566" s="570">
        <f t="shared" si="1431"/>
        <v>176.409127313304</v>
      </c>
      <c r="AH1566" s="571"/>
      <c r="AK1566" s="531"/>
      <c r="AM1566" s="594"/>
      <c r="AN1566" s="535"/>
      <c r="AP1566" s="549"/>
      <c r="AQ1566" s="549"/>
    </row>
    <row r="1567" spans="1:43" s="513" customFormat="1" ht="16.5" hidden="1" customHeight="1" outlineLevel="2">
      <c r="A1567" s="584"/>
      <c r="B1567" s="572" t="s">
        <v>1071</v>
      </c>
      <c r="C1567" s="654">
        <f>C1551</f>
        <v>0</v>
      </c>
      <c r="D1567" s="654">
        <f t="shared" ref="D1567:AF1567" si="1432">D1551</f>
        <v>21264</v>
      </c>
      <c r="E1567" s="654">
        <f t="shared" si="1432"/>
        <v>21512</v>
      </c>
      <c r="F1567" s="654">
        <f t="shared" si="1432"/>
        <v>21760</v>
      </c>
      <c r="G1567" s="654">
        <f t="shared" si="1432"/>
        <v>22008</v>
      </c>
      <c r="H1567" s="654">
        <f t="shared" si="1432"/>
        <v>22256</v>
      </c>
      <c r="I1567" s="654">
        <f t="shared" si="1432"/>
        <v>22504</v>
      </c>
      <c r="J1567" s="654">
        <f t="shared" si="1432"/>
        <v>22752</v>
      </c>
      <c r="K1567" s="654">
        <f t="shared" si="1432"/>
        <v>23000</v>
      </c>
      <c r="L1567" s="654">
        <f t="shared" si="1432"/>
        <v>23248</v>
      </c>
      <c r="M1567" s="654">
        <f t="shared" si="1432"/>
        <v>23496</v>
      </c>
      <c r="N1567" s="654">
        <f t="shared" si="1432"/>
        <v>23744</v>
      </c>
      <c r="O1567" s="654">
        <f t="shared" si="1432"/>
        <v>23992</v>
      </c>
      <c r="P1567" s="654">
        <f t="shared" si="1432"/>
        <v>24240</v>
      </c>
      <c r="Q1567" s="654">
        <f t="shared" si="1432"/>
        <v>24488</v>
      </c>
      <c r="R1567" s="654">
        <f t="shared" si="1432"/>
        <v>24736</v>
      </c>
      <c r="S1567" s="654">
        <f t="shared" si="1432"/>
        <v>24984</v>
      </c>
      <c r="T1567" s="654">
        <f t="shared" si="1432"/>
        <v>25232</v>
      </c>
      <c r="U1567" s="654">
        <f t="shared" si="1432"/>
        <v>25480</v>
      </c>
      <c r="V1567" s="654">
        <f t="shared" si="1432"/>
        <v>25728</v>
      </c>
      <c r="W1567" s="654">
        <f t="shared" si="1432"/>
        <v>25976</v>
      </c>
      <c r="X1567" s="654">
        <f t="shared" si="1432"/>
        <v>26224</v>
      </c>
      <c r="Y1567" s="654">
        <f t="shared" si="1432"/>
        <v>26472</v>
      </c>
      <c r="Z1567" s="654">
        <f t="shared" si="1432"/>
        <v>26720</v>
      </c>
      <c r="AA1567" s="654">
        <f t="shared" si="1432"/>
        <v>26968</v>
      </c>
      <c r="AB1567" s="654">
        <f t="shared" si="1432"/>
        <v>27216</v>
      </c>
      <c r="AC1567" s="654">
        <f t="shared" si="1432"/>
        <v>27464</v>
      </c>
      <c r="AD1567" s="654">
        <f t="shared" si="1432"/>
        <v>27712</v>
      </c>
      <c r="AE1567" s="654">
        <f t="shared" si="1432"/>
        <v>27960</v>
      </c>
      <c r="AF1567" s="654">
        <f t="shared" si="1432"/>
        <v>28208</v>
      </c>
      <c r="AG1567" s="574">
        <f t="shared" ref="AG1567" si="1433">AG1564</f>
        <v>0</v>
      </c>
      <c r="AH1567" s="538"/>
      <c r="AK1567" s="531"/>
      <c r="AM1567" s="594"/>
      <c r="AN1567" s="535"/>
      <c r="AP1567" s="540"/>
      <c r="AQ1567" s="540"/>
    </row>
    <row r="1568" spans="1:43" s="513" customFormat="1" ht="16.5" hidden="1" customHeight="1" outlineLevel="2">
      <c r="A1568" s="584"/>
      <c r="B1568" s="572" t="s">
        <v>1072</v>
      </c>
      <c r="C1568" s="679">
        <v>0</v>
      </c>
      <c r="D1568" s="679">
        <v>3.3265258858454216E-3</v>
      </c>
      <c r="E1568" s="680">
        <f t="shared" ref="E1568:T1569" si="1434">D1568</f>
        <v>3.3265258858454216E-3</v>
      </c>
      <c r="F1568" s="680">
        <f t="shared" si="1434"/>
        <v>3.3265258858454216E-3</v>
      </c>
      <c r="G1568" s="680">
        <f t="shared" si="1434"/>
        <v>3.3265258858454216E-3</v>
      </c>
      <c r="H1568" s="680">
        <f t="shared" si="1434"/>
        <v>3.3265258858454216E-3</v>
      </c>
      <c r="I1568" s="680">
        <f t="shared" si="1434"/>
        <v>3.3265258858454216E-3</v>
      </c>
      <c r="J1568" s="680">
        <f t="shared" si="1434"/>
        <v>3.3265258858454216E-3</v>
      </c>
      <c r="K1568" s="680">
        <f t="shared" si="1434"/>
        <v>3.3265258858454216E-3</v>
      </c>
      <c r="L1568" s="680">
        <f t="shared" si="1434"/>
        <v>3.3265258858454216E-3</v>
      </c>
      <c r="M1568" s="680">
        <f t="shared" si="1434"/>
        <v>3.3265258858454216E-3</v>
      </c>
      <c r="N1568" s="680">
        <f t="shared" si="1434"/>
        <v>3.3265258858454216E-3</v>
      </c>
      <c r="O1568" s="680">
        <f t="shared" si="1434"/>
        <v>3.3265258858454216E-3</v>
      </c>
      <c r="P1568" s="680">
        <f t="shared" si="1434"/>
        <v>3.3265258858454216E-3</v>
      </c>
      <c r="Q1568" s="680">
        <f t="shared" si="1434"/>
        <v>3.3265258858454216E-3</v>
      </c>
      <c r="R1568" s="680">
        <f t="shared" si="1434"/>
        <v>3.3265258858454216E-3</v>
      </c>
      <c r="S1568" s="680">
        <f t="shared" si="1434"/>
        <v>3.3265258858454216E-3</v>
      </c>
      <c r="T1568" s="680">
        <f t="shared" si="1434"/>
        <v>3.3265258858454216E-3</v>
      </c>
      <c r="U1568" s="680">
        <f t="shared" ref="U1568:AF1569" si="1435">T1568</f>
        <v>3.3265258858454216E-3</v>
      </c>
      <c r="V1568" s="680">
        <f t="shared" si="1435"/>
        <v>3.3265258858454216E-3</v>
      </c>
      <c r="W1568" s="680">
        <f t="shared" si="1435"/>
        <v>3.3265258858454216E-3</v>
      </c>
      <c r="X1568" s="680">
        <f t="shared" si="1435"/>
        <v>3.3265258858454216E-3</v>
      </c>
      <c r="Y1568" s="680">
        <f t="shared" si="1435"/>
        <v>3.3265258858454216E-3</v>
      </c>
      <c r="Z1568" s="680">
        <f t="shared" si="1435"/>
        <v>3.3265258858454216E-3</v>
      </c>
      <c r="AA1568" s="680">
        <f t="shared" si="1435"/>
        <v>3.3265258858454216E-3</v>
      </c>
      <c r="AB1568" s="680">
        <f t="shared" si="1435"/>
        <v>3.3265258858454216E-3</v>
      </c>
      <c r="AC1568" s="680">
        <f t="shared" si="1435"/>
        <v>3.3265258858454216E-3</v>
      </c>
      <c r="AD1568" s="680">
        <f t="shared" si="1435"/>
        <v>3.3265258858454216E-3</v>
      </c>
      <c r="AE1568" s="680">
        <f t="shared" si="1435"/>
        <v>3.3265258858454216E-3</v>
      </c>
      <c r="AF1568" s="680">
        <f t="shared" si="1435"/>
        <v>3.3265258858454216E-3</v>
      </c>
      <c r="AG1568" s="574"/>
      <c r="AH1568" s="538"/>
      <c r="AK1568" s="531"/>
      <c r="AM1568" s="594"/>
      <c r="AN1568" s="535"/>
      <c r="AP1568" s="540"/>
      <c r="AQ1568" s="540"/>
    </row>
    <row r="1569" spans="1:43" s="513" customFormat="1" ht="16.5" hidden="1" customHeight="1" outlineLevel="2">
      <c r="A1569" s="584"/>
      <c r="B1569" s="572" t="s">
        <v>888</v>
      </c>
      <c r="C1569" s="676">
        <f>Insumos!$E$161</f>
        <v>1.88</v>
      </c>
      <c r="D1569" s="676">
        <f>C1569</f>
        <v>1.88</v>
      </c>
      <c r="E1569" s="676">
        <f t="shared" si="1434"/>
        <v>1.88</v>
      </c>
      <c r="F1569" s="676">
        <f t="shared" si="1434"/>
        <v>1.88</v>
      </c>
      <c r="G1569" s="676">
        <f t="shared" si="1434"/>
        <v>1.88</v>
      </c>
      <c r="H1569" s="676">
        <f t="shared" si="1434"/>
        <v>1.88</v>
      </c>
      <c r="I1569" s="676">
        <f t="shared" si="1434"/>
        <v>1.88</v>
      </c>
      <c r="J1569" s="676">
        <f t="shared" si="1434"/>
        <v>1.88</v>
      </c>
      <c r="K1569" s="676">
        <f t="shared" si="1434"/>
        <v>1.88</v>
      </c>
      <c r="L1569" s="676">
        <f t="shared" si="1434"/>
        <v>1.88</v>
      </c>
      <c r="M1569" s="676">
        <f t="shared" si="1434"/>
        <v>1.88</v>
      </c>
      <c r="N1569" s="676">
        <f t="shared" si="1434"/>
        <v>1.88</v>
      </c>
      <c r="O1569" s="676">
        <f t="shared" si="1434"/>
        <v>1.88</v>
      </c>
      <c r="P1569" s="676">
        <f t="shared" si="1434"/>
        <v>1.88</v>
      </c>
      <c r="Q1569" s="676">
        <f t="shared" si="1434"/>
        <v>1.88</v>
      </c>
      <c r="R1569" s="676">
        <f t="shared" si="1434"/>
        <v>1.88</v>
      </c>
      <c r="S1569" s="676">
        <f t="shared" si="1434"/>
        <v>1.88</v>
      </c>
      <c r="T1569" s="676">
        <f t="shared" si="1434"/>
        <v>1.88</v>
      </c>
      <c r="U1569" s="676">
        <f t="shared" si="1435"/>
        <v>1.88</v>
      </c>
      <c r="V1569" s="676">
        <f t="shared" si="1435"/>
        <v>1.88</v>
      </c>
      <c r="W1569" s="676">
        <f t="shared" si="1435"/>
        <v>1.88</v>
      </c>
      <c r="X1569" s="676">
        <f t="shared" si="1435"/>
        <v>1.88</v>
      </c>
      <c r="Y1569" s="676">
        <f t="shared" si="1435"/>
        <v>1.88</v>
      </c>
      <c r="Z1569" s="676">
        <f t="shared" si="1435"/>
        <v>1.88</v>
      </c>
      <c r="AA1569" s="676">
        <f t="shared" si="1435"/>
        <v>1.88</v>
      </c>
      <c r="AB1569" s="676">
        <f t="shared" si="1435"/>
        <v>1.88</v>
      </c>
      <c r="AC1569" s="676">
        <f t="shared" si="1435"/>
        <v>1.88</v>
      </c>
      <c r="AD1569" s="676">
        <f t="shared" si="1435"/>
        <v>1.88</v>
      </c>
      <c r="AE1569" s="676">
        <f t="shared" si="1435"/>
        <v>1.88</v>
      </c>
      <c r="AF1569" s="676">
        <f t="shared" si="1435"/>
        <v>1.88</v>
      </c>
      <c r="AH1569" s="538"/>
      <c r="AK1569" s="531"/>
      <c r="AM1569" s="594"/>
      <c r="AN1569" s="535"/>
      <c r="AP1569" s="540"/>
      <c r="AQ1569" s="540"/>
    </row>
    <row r="1570" spans="1:43" s="546" customFormat="1" ht="16.5" hidden="1" customHeight="1" outlineLevel="2">
      <c r="A1570" s="584"/>
      <c r="B1570" s="569" t="s">
        <v>1077</v>
      </c>
      <c r="C1570" s="570">
        <f>C1571*C1572*C1573</f>
        <v>0</v>
      </c>
      <c r="D1570" s="570">
        <f t="shared" ref="D1570:AF1570" si="1436">D1571*D1572*D1573</f>
        <v>3192.4338867717961</v>
      </c>
      <c r="E1570" s="570">
        <f t="shared" si="1436"/>
        <v>3229.6669381224074</v>
      </c>
      <c r="F1570" s="570">
        <f t="shared" si="1436"/>
        <v>3266.8999894730191</v>
      </c>
      <c r="G1570" s="570">
        <f t="shared" si="1436"/>
        <v>3304.1330408236308</v>
      </c>
      <c r="H1570" s="570">
        <f t="shared" si="1436"/>
        <v>3341.3660921742426</v>
      </c>
      <c r="I1570" s="570">
        <f t="shared" si="1436"/>
        <v>3378.5991435248538</v>
      </c>
      <c r="J1570" s="570">
        <f t="shared" si="1436"/>
        <v>3415.832194875466</v>
      </c>
      <c r="K1570" s="570">
        <f t="shared" si="1436"/>
        <v>3453.0652462260773</v>
      </c>
      <c r="L1570" s="570">
        <f t="shared" si="1436"/>
        <v>3490.2982975766886</v>
      </c>
      <c r="M1570" s="570">
        <f t="shared" si="1436"/>
        <v>3527.5313489273003</v>
      </c>
      <c r="N1570" s="570">
        <f t="shared" si="1436"/>
        <v>3564.764400277912</v>
      </c>
      <c r="O1570" s="570">
        <f t="shared" si="1436"/>
        <v>3601.9974516285238</v>
      </c>
      <c r="P1570" s="570">
        <f t="shared" si="1436"/>
        <v>3639.2305029791351</v>
      </c>
      <c r="Q1570" s="570">
        <f t="shared" si="1436"/>
        <v>3676.4635543297472</v>
      </c>
      <c r="R1570" s="570">
        <f t="shared" si="1436"/>
        <v>3713.6966056803585</v>
      </c>
      <c r="S1570" s="570">
        <f t="shared" si="1436"/>
        <v>3750.9296570309702</v>
      </c>
      <c r="T1570" s="570">
        <f t="shared" si="1436"/>
        <v>3788.1627083815815</v>
      </c>
      <c r="U1570" s="570">
        <f t="shared" si="1436"/>
        <v>3825.3957597321937</v>
      </c>
      <c r="V1570" s="570">
        <f t="shared" si="1436"/>
        <v>3862.628811082805</v>
      </c>
      <c r="W1570" s="570">
        <f t="shared" si="1436"/>
        <v>3899.8618624334167</v>
      </c>
      <c r="X1570" s="570">
        <f t="shared" si="1436"/>
        <v>3937.0949137840284</v>
      </c>
      <c r="Y1570" s="570">
        <f t="shared" si="1436"/>
        <v>3974.3279651346402</v>
      </c>
      <c r="Z1570" s="570">
        <f t="shared" si="1436"/>
        <v>4011.5610164852515</v>
      </c>
      <c r="AA1570" s="570">
        <f t="shared" si="1436"/>
        <v>4048.7940678358627</v>
      </c>
      <c r="AB1570" s="570">
        <f t="shared" si="1436"/>
        <v>4086.0271191864745</v>
      </c>
      <c r="AC1570" s="570">
        <f t="shared" si="1436"/>
        <v>4123.2601705370862</v>
      </c>
      <c r="AD1570" s="570">
        <f t="shared" si="1436"/>
        <v>4160.4932218876984</v>
      </c>
      <c r="AE1570" s="570">
        <f t="shared" si="1436"/>
        <v>4197.7262732383097</v>
      </c>
      <c r="AF1570" s="570">
        <f t="shared" si="1436"/>
        <v>4234.9593245889209</v>
      </c>
      <c r="AH1570" s="571"/>
      <c r="AK1570" s="531"/>
      <c r="AM1570" s="594"/>
      <c r="AN1570" s="535"/>
      <c r="AP1570" s="549"/>
      <c r="AQ1570" s="549"/>
    </row>
    <row r="1571" spans="1:43" s="513" customFormat="1" ht="16.5" hidden="1" customHeight="1" outlineLevel="2">
      <c r="A1571" s="584"/>
      <c r="B1571" s="572" t="s">
        <v>1071</v>
      </c>
      <c r="C1571" s="654">
        <f>C1551</f>
        <v>0</v>
      </c>
      <c r="D1571" s="654">
        <f t="shared" ref="D1571:AF1571" si="1437">D1551</f>
        <v>21264</v>
      </c>
      <c r="E1571" s="654">
        <f t="shared" si="1437"/>
        <v>21512</v>
      </c>
      <c r="F1571" s="654">
        <f t="shared" si="1437"/>
        <v>21760</v>
      </c>
      <c r="G1571" s="654">
        <f t="shared" si="1437"/>
        <v>22008</v>
      </c>
      <c r="H1571" s="654">
        <f t="shared" si="1437"/>
        <v>22256</v>
      </c>
      <c r="I1571" s="654">
        <f t="shared" si="1437"/>
        <v>22504</v>
      </c>
      <c r="J1571" s="654">
        <f t="shared" si="1437"/>
        <v>22752</v>
      </c>
      <c r="K1571" s="654">
        <f t="shared" si="1437"/>
        <v>23000</v>
      </c>
      <c r="L1571" s="654">
        <f t="shared" si="1437"/>
        <v>23248</v>
      </c>
      <c r="M1571" s="654">
        <f t="shared" si="1437"/>
        <v>23496</v>
      </c>
      <c r="N1571" s="654">
        <f t="shared" si="1437"/>
        <v>23744</v>
      </c>
      <c r="O1571" s="654">
        <f t="shared" si="1437"/>
        <v>23992</v>
      </c>
      <c r="P1571" s="654">
        <f t="shared" si="1437"/>
        <v>24240</v>
      </c>
      <c r="Q1571" s="654">
        <f t="shared" si="1437"/>
        <v>24488</v>
      </c>
      <c r="R1571" s="654">
        <f t="shared" si="1437"/>
        <v>24736</v>
      </c>
      <c r="S1571" s="654">
        <f t="shared" si="1437"/>
        <v>24984</v>
      </c>
      <c r="T1571" s="654">
        <f t="shared" si="1437"/>
        <v>25232</v>
      </c>
      <c r="U1571" s="654">
        <f t="shared" si="1437"/>
        <v>25480</v>
      </c>
      <c r="V1571" s="654">
        <f t="shared" si="1437"/>
        <v>25728</v>
      </c>
      <c r="W1571" s="654">
        <f t="shared" si="1437"/>
        <v>25976</v>
      </c>
      <c r="X1571" s="654">
        <f t="shared" si="1437"/>
        <v>26224</v>
      </c>
      <c r="Y1571" s="654">
        <f t="shared" si="1437"/>
        <v>26472</v>
      </c>
      <c r="Z1571" s="654">
        <f t="shared" si="1437"/>
        <v>26720</v>
      </c>
      <c r="AA1571" s="654">
        <f t="shared" si="1437"/>
        <v>26968</v>
      </c>
      <c r="AB1571" s="654">
        <f t="shared" si="1437"/>
        <v>27216</v>
      </c>
      <c r="AC1571" s="654">
        <f t="shared" si="1437"/>
        <v>27464</v>
      </c>
      <c r="AD1571" s="654">
        <f t="shared" si="1437"/>
        <v>27712</v>
      </c>
      <c r="AE1571" s="654">
        <f t="shared" si="1437"/>
        <v>27960</v>
      </c>
      <c r="AF1571" s="654">
        <f t="shared" si="1437"/>
        <v>28208</v>
      </c>
      <c r="AG1571" s="574">
        <f t="shared" ref="AG1571" si="1438">AG1568</f>
        <v>0</v>
      </c>
      <c r="AH1571" s="538"/>
      <c r="AK1571" s="531"/>
      <c r="AM1571" s="594"/>
      <c r="AN1571" s="535"/>
      <c r="AP1571" s="540"/>
      <c r="AQ1571" s="540"/>
    </row>
    <row r="1572" spans="1:43" s="513" customFormat="1" ht="16.5" hidden="1" customHeight="1" outlineLevel="2">
      <c r="A1572" s="584"/>
      <c r="B1572" s="572" t="s">
        <v>1072</v>
      </c>
      <c r="C1572" s="677">
        <v>0</v>
      </c>
      <c r="D1572" s="677">
        <v>3.9097206139335115E-2</v>
      </c>
      <c r="E1572" s="678">
        <f t="shared" ref="E1572:T1573" si="1439">D1572</f>
        <v>3.9097206139335115E-2</v>
      </c>
      <c r="F1572" s="678">
        <f t="shared" si="1439"/>
        <v>3.9097206139335115E-2</v>
      </c>
      <c r="G1572" s="678">
        <f t="shared" si="1439"/>
        <v>3.9097206139335115E-2</v>
      </c>
      <c r="H1572" s="678">
        <f t="shared" si="1439"/>
        <v>3.9097206139335115E-2</v>
      </c>
      <c r="I1572" s="678">
        <f t="shared" si="1439"/>
        <v>3.9097206139335115E-2</v>
      </c>
      <c r="J1572" s="678">
        <f t="shared" si="1439"/>
        <v>3.9097206139335115E-2</v>
      </c>
      <c r="K1572" s="678">
        <f t="shared" si="1439"/>
        <v>3.9097206139335115E-2</v>
      </c>
      <c r="L1572" s="678">
        <f t="shared" si="1439"/>
        <v>3.9097206139335115E-2</v>
      </c>
      <c r="M1572" s="678">
        <f t="shared" si="1439"/>
        <v>3.9097206139335115E-2</v>
      </c>
      <c r="N1572" s="678">
        <f t="shared" si="1439"/>
        <v>3.9097206139335115E-2</v>
      </c>
      <c r="O1572" s="678">
        <f t="shared" si="1439"/>
        <v>3.9097206139335115E-2</v>
      </c>
      <c r="P1572" s="678">
        <f t="shared" si="1439"/>
        <v>3.9097206139335115E-2</v>
      </c>
      <c r="Q1572" s="678">
        <f t="shared" si="1439"/>
        <v>3.9097206139335115E-2</v>
      </c>
      <c r="R1572" s="678">
        <f t="shared" si="1439"/>
        <v>3.9097206139335115E-2</v>
      </c>
      <c r="S1572" s="678">
        <f t="shared" si="1439"/>
        <v>3.9097206139335115E-2</v>
      </c>
      <c r="T1572" s="678">
        <f t="shared" si="1439"/>
        <v>3.9097206139335115E-2</v>
      </c>
      <c r="U1572" s="678">
        <f t="shared" ref="U1572:AF1573" si="1440">T1572</f>
        <v>3.9097206139335115E-2</v>
      </c>
      <c r="V1572" s="678">
        <f t="shared" si="1440"/>
        <v>3.9097206139335115E-2</v>
      </c>
      <c r="W1572" s="678">
        <f t="shared" si="1440"/>
        <v>3.9097206139335115E-2</v>
      </c>
      <c r="X1572" s="678">
        <f t="shared" si="1440"/>
        <v>3.9097206139335115E-2</v>
      </c>
      <c r="Y1572" s="678">
        <f t="shared" si="1440"/>
        <v>3.9097206139335115E-2</v>
      </c>
      <c r="Z1572" s="678">
        <f t="shared" si="1440"/>
        <v>3.9097206139335115E-2</v>
      </c>
      <c r="AA1572" s="678">
        <f t="shared" si="1440"/>
        <v>3.9097206139335115E-2</v>
      </c>
      <c r="AB1572" s="678">
        <f t="shared" si="1440"/>
        <v>3.9097206139335115E-2</v>
      </c>
      <c r="AC1572" s="678">
        <f t="shared" si="1440"/>
        <v>3.9097206139335115E-2</v>
      </c>
      <c r="AD1572" s="678">
        <f t="shared" si="1440"/>
        <v>3.9097206139335115E-2</v>
      </c>
      <c r="AE1572" s="678">
        <f t="shared" si="1440"/>
        <v>3.9097206139335115E-2</v>
      </c>
      <c r="AF1572" s="678">
        <f t="shared" si="1440"/>
        <v>3.9097206139335115E-2</v>
      </c>
      <c r="AG1572" s="574"/>
      <c r="AH1572" s="538"/>
      <c r="AK1572" s="531"/>
      <c r="AM1572" s="594"/>
      <c r="AN1572" s="535"/>
      <c r="AP1572" s="540"/>
      <c r="AQ1572" s="540"/>
    </row>
    <row r="1573" spans="1:43" s="513" customFormat="1" ht="16.5" hidden="1" customHeight="1" outlineLevel="2">
      <c r="A1573" s="584"/>
      <c r="B1573" s="572" t="s">
        <v>888</v>
      </c>
      <c r="C1573" s="676">
        <f>Insumos!$E$162</f>
        <v>3.84</v>
      </c>
      <c r="D1573" s="676">
        <f>C1573</f>
        <v>3.84</v>
      </c>
      <c r="E1573" s="676">
        <f t="shared" si="1439"/>
        <v>3.84</v>
      </c>
      <c r="F1573" s="676">
        <f t="shared" si="1439"/>
        <v>3.84</v>
      </c>
      <c r="G1573" s="676">
        <f t="shared" si="1439"/>
        <v>3.84</v>
      </c>
      <c r="H1573" s="676">
        <f t="shared" si="1439"/>
        <v>3.84</v>
      </c>
      <c r="I1573" s="676">
        <f t="shared" si="1439"/>
        <v>3.84</v>
      </c>
      <c r="J1573" s="676">
        <f t="shared" si="1439"/>
        <v>3.84</v>
      </c>
      <c r="K1573" s="676">
        <f t="shared" si="1439"/>
        <v>3.84</v>
      </c>
      <c r="L1573" s="676">
        <f t="shared" si="1439"/>
        <v>3.84</v>
      </c>
      <c r="M1573" s="676">
        <f t="shared" si="1439"/>
        <v>3.84</v>
      </c>
      <c r="N1573" s="676">
        <f t="shared" si="1439"/>
        <v>3.84</v>
      </c>
      <c r="O1573" s="676">
        <f t="shared" si="1439"/>
        <v>3.84</v>
      </c>
      <c r="P1573" s="676">
        <f t="shared" si="1439"/>
        <v>3.84</v>
      </c>
      <c r="Q1573" s="676">
        <f t="shared" si="1439"/>
        <v>3.84</v>
      </c>
      <c r="R1573" s="676">
        <f t="shared" si="1439"/>
        <v>3.84</v>
      </c>
      <c r="S1573" s="676">
        <f t="shared" si="1439"/>
        <v>3.84</v>
      </c>
      <c r="T1573" s="676">
        <f t="shared" si="1439"/>
        <v>3.84</v>
      </c>
      <c r="U1573" s="676">
        <f t="shared" si="1440"/>
        <v>3.84</v>
      </c>
      <c r="V1573" s="676">
        <f t="shared" si="1440"/>
        <v>3.84</v>
      </c>
      <c r="W1573" s="676">
        <f t="shared" si="1440"/>
        <v>3.84</v>
      </c>
      <c r="X1573" s="676">
        <f t="shared" si="1440"/>
        <v>3.84</v>
      </c>
      <c r="Y1573" s="676">
        <f t="shared" si="1440"/>
        <v>3.84</v>
      </c>
      <c r="Z1573" s="676">
        <f t="shared" si="1440"/>
        <v>3.84</v>
      </c>
      <c r="AA1573" s="676">
        <f t="shared" si="1440"/>
        <v>3.84</v>
      </c>
      <c r="AB1573" s="676">
        <f t="shared" si="1440"/>
        <v>3.84</v>
      </c>
      <c r="AC1573" s="676">
        <f t="shared" si="1440"/>
        <v>3.84</v>
      </c>
      <c r="AD1573" s="676">
        <f t="shared" si="1440"/>
        <v>3.84</v>
      </c>
      <c r="AE1573" s="676">
        <f t="shared" si="1440"/>
        <v>3.84</v>
      </c>
      <c r="AF1573" s="676">
        <f t="shared" si="1440"/>
        <v>3.84</v>
      </c>
      <c r="AH1573" s="538"/>
      <c r="AK1573" s="531"/>
      <c r="AM1573" s="594"/>
      <c r="AN1573" s="535"/>
      <c r="AP1573" s="540"/>
      <c r="AQ1573" s="540"/>
    </row>
    <row r="1574" spans="1:43" s="546" customFormat="1" ht="16.5" hidden="1" customHeight="1" outlineLevel="2">
      <c r="A1574" s="584"/>
      <c r="B1574" s="569" t="s">
        <v>1078</v>
      </c>
      <c r="C1574" s="570">
        <f>C1575*C1576*C1577</f>
        <v>0</v>
      </c>
      <c r="D1574" s="570">
        <f t="shared" ref="D1574:AF1574" si="1441">D1575*D1576*D1577</f>
        <v>5847.5999999999995</v>
      </c>
      <c r="E1574" s="570">
        <f t="shared" si="1441"/>
        <v>5915.7999999999993</v>
      </c>
      <c r="F1574" s="570">
        <f t="shared" si="1441"/>
        <v>5983.9999999999991</v>
      </c>
      <c r="G1574" s="570">
        <f t="shared" si="1441"/>
        <v>6052.2</v>
      </c>
      <c r="H1574" s="570">
        <f t="shared" si="1441"/>
        <v>6120.3999999999987</v>
      </c>
      <c r="I1574" s="570">
        <f t="shared" si="1441"/>
        <v>6188.5999999999995</v>
      </c>
      <c r="J1574" s="570">
        <f t="shared" si="1441"/>
        <v>6256.7999999999993</v>
      </c>
      <c r="K1574" s="570">
        <f t="shared" si="1441"/>
        <v>6324.9999999999991</v>
      </c>
      <c r="L1574" s="570">
        <f t="shared" si="1441"/>
        <v>6393.2</v>
      </c>
      <c r="M1574" s="570">
        <f t="shared" si="1441"/>
        <v>6461.4</v>
      </c>
      <c r="N1574" s="570">
        <f t="shared" si="1441"/>
        <v>6529.5999999999995</v>
      </c>
      <c r="O1574" s="570">
        <f t="shared" si="1441"/>
        <v>6597.7999999999993</v>
      </c>
      <c r="P1574" s="570">
        <f t="shared" si="1441"/>
        <v>6666</v>
      </c>
      <c r="Q1574" s="570">
        <f t="shared" si="1441"/>
        <v>6734.1999999999989</v>
      </c>
      <c r="R1574" s="570">
        <f t="shared" si="1441"/>
        <v>6802.3999999999987</v>
      </c>
      <c r="S1574" s="570">
        <f t="shared" si="1441"/>
        <v>6870.5999999999995</v>
      </c>
      <c r="T1574" s="570">
        <f t="shared" si="1441"/>
        <v>6938.7999999999993</v>
      </c>
      <c r="U1574" s="570">
        <f t="shared" si="1441"/>
        <v>7006.9999999999982</v>
      </c>
      <c r="V1574" s="570">
        <f t="shared" si="1441"/>
        <v>7075.2</v>
      </c>
      <c r="W1574" s="570">
        <f t="shared" si="1441"/>
        <v>7143.3999999999987</v>
      </c>
      <c r="X1574" s="570">
        <f t="shared" si="1441"/>
        <v>7211.5999999999985</v>
      </c>
      <c r="Y1574" s="570">
        <f t="shared" si="1441"/>
        <v>7279.7999999999993</v>
      </c>
      <c r="Z1574" s="570">
        <f t="shared" si="1441"/>
        <v>7347.9999999999991</v>
      </c>
      <c r="AA1574" s="570">
        <f t="shared" si="1441"/>
        <v>7416.1999999999989</v>
      </c>
      <c r="AB1574" s="570">
        <f t="shared" si="1441"/>
        <v>7484.4</v>
      </c>
      <c r="AC1574" s="570">
        <f t="shared" si="1441"/>
        <v>7552.5999999999995</v>
      </c>
      <c r="AD1574" s="570">
        <f t="shared" si="1441"/>
        <v>7620.7999999999984</v>
      </c>
      <c r="AE1574" s="570">
        <f t="shared" si="1441"/>
        <v>7689</v>
      </c>
      <c r="AF1574" s="570">
        <f t="shared" si="1441"/>
        <v>7757.1999999999989</v>
      </c>
      <c r="AH1574" s="571"/>
      <c r="AK1574" s="531"/>
      <c r="AM1574" s="594"/>
      <c r="AN1574" s="535"/>
      <c r="AP1574" s="549"/>
      <c r="AQ1574" s="549"/>
    </row>
    <row r="1575" spans="1:43" s="513" customFormat="1" ht="16.5" hidden="1" customHeight="1" outlineLevel="2">
      <c r="A1575" s="584"/>
      <c r="B1575" s="572" t="s">
        <v>1071</v>
      </c>
      <c r="C1575" s="654">
        <f>C1551</f>
        <v>0</v>
      </c>
      <c r="D1575" s="654">
        <f t="shared" ref="D1575:AF1575" si="1442">D1551</f>
        <v>21264</v>
      </c>
      <c r="E1575" s="654">
        <f t="shared" si="1442"/>
        <v>21512</v>
      </c>
      <c r="F1575" s="654">
        <f t="shared" si="1442"/>
        <v>21760</v>
      </c>
      <c r="G1575" s="654">
        <f t="shared" si="1442"/>
        <v>22008</v>
      </c>
      <c r="H1575" s="654">
        <f t="shared" si="1442"/>
        <v>22256</v>
      </c>
      <c r="I1575" s="654">
        <f t="shared" si="1442"/>
        <v>22504</v>
      </c>
      <c r="J1575" s="654">
        <f t="shared" si="1442"/>
        <v>22752</v>
      </c>
      <c r="K1575" s="654">
        <f t="shared" si="1442"/>
        <v>23000</v>
      </c>
      <c r="L1575" s="654">
        <f t="shared" si="1442"/>
        <v>23248</v>
      </c>
      <c r="M1575" s="654">
        <f t="shared" si="1442"/>
        <v>23496</v>
      </c>
      <c r="N1575" s="654">
        <f t="shared" si="1442"/>
        <v>23744</v>
      </c>
      <c r="O1575" s="654">
        <f t="shared" si="1442"/>
        <v>23992</v>
      </c>
      <c r="P1575" s="654">
        <f t="shared" si="1442"/>
        <v>24240</v>
      </c>
      <c r="Q1575" s="654">
        <f t="shared" si="1442"/>
        <v>24488</v>
      </c>
      <c r="R1575" s="654">
        <f t="shared" si="1442"/>
        <v>24736</v>
      </c>
      <c r="S1575" s="654">
        <f t="shared" si="1442"/>
        <v>24984</v>
      </c>
      <c r="T1575" s="654">
        <f t="shared" si="1442"/>
        <v>25232</v>
      </c>
      <c r="U1575" s="654">
        <f t="shared" si="1442"/>
        <v>25480</v>
      </c>
      <c r="V1575" s="654">
        <f t="shared" si="1442"/>
        <v>25728</v>
      </c>
      <c r="W1575" s="654">
        <f t="shared" si="1442"/>
        <v>25976</v>
      </c>
      <c r="X1575" s="654">
        <f t="shared" si="1442"/>
        <v>26224</v>
      </c>
      <c r="Y1575" s="654">
        <f t="shared" si="1442"/>
        <v>26472</v>
      </c>
      <c r="Z1575" s="654">
        <f t="shared" si="1442"/>
        <v>26720</v>
      </c>
      <c r="AA1575" s="654">
        <f t="shared" si="1442"/>
        <v>26968</v>
      </c>
      <c r="AB1575" s="654">
        <f t="shared" si="1442"/>
        <v>27216</v>
      </c>
      <c r="AC1575" s="654">
        <f t="shared" si="1442"/>
        <v>27464</v>
      </c>
      <c r="AD1575" s="654">
        <f t="shared" si="1442"/>
        <v>27712</v>
      </c>
      <c r="AE1575" s="654">
        <f t="shared" si="1442"/>
        <v>27960</v>
      </c>
      <c r="AF1575" s="654">
        <f t="shared" si="1442"/>
        <v>28208</v>
      </c>
      <c r="AG1575" s="574">
        <f t="shared" ref="AG1575" si="1443">AG1572</f>
        <v>0</v>
      </c>
      <c r="AH1575" s="538"/>
      <c r="AK1575" s="531"/>
      <c r="AM1575" s="594"/>
      <c r="AN1575" s="535"/>
      <c r="AP1575" s="540"/>
      <c r="AQ1575" s="540"/>
    </row>
    <row r="1576" spans="1:43" s="513" customFormat="1" ht="16.5" hidden="1" customHeight="1" outlineLevel="2">
      <c r="A1576" s="584"/>
      <c r="B1576" s="572" t="s">
        <v>1072</v>
      </c>
      <c r="C1576" s="677">
        <v>0</v>
      </c>
      <c r="D1576" s="677">
        <v>8.3333333333333329E-2</v>
      </c>
      <c r="E1576" s="678">
        <f t="shared" ref="E1576:T1577" si="1444">D1576</f>
        <v>8.3333333333333329E-2</v>
      </c>
      <c r="F1576" s="678">
        <f t="shared" si="1444"/>
        <v>8.3333333333333329E-2</v>
      </c>
      <c r="G1576" s="678">
        <f t="shared" si="1444"/>
        <v>8.3333333333333329E-2</v>
      </c>
      <c r="H1576" s="678">
        <f t="shared" si="1444"/>
        <v>8.3333333333333329E-2</v>
      </c>
      <c r="I1576" s="678">
        <f t="shared" si="1444"/>
        <v>8.3333333333333329E-2</v>
      </c>
      <c r="J1576" s="678">
        <f t="shared" si="1444"/>
        <v>8.3333333333333329E-2</v>
      </c>
      <c r="K1576" s="678">
        <f t="shared" si="1444"/>
        <v>8.3333333333333329E-2</v>
      </c>
      <c r="L1576" s="678">
        <f t="shared" si="1444"/>
        <v>8.3333333333333329E-2</v>
      </c>
      <c r="M1576" s="678">
        <f t="shared" si="1444"/>
        <v>8.3333333333333329E-2</v>
      </c>
      <c r="N1576" s="678">
        <f t="shared" si="1444"/>
        <v>8.3333333333333329E-2</v>
      </c>
      <c r="O1576" s="678">
        <f t="shared" si="1444"/>
        <v>8.3333333333333329E-2</v>
      </c>
      <c r="P1576" s="678">
        <f t="shared" si="1444"/>
        <v>8.3333333333333329E-2</v>
      </c>
      <c r="Q1576" s="678">
        <f t="shared" si="1444"/>
        <v>8.3333333333333329E-2</v>
      </c>
      <c r="R1576" s="678">
        <f t="shared" si="1444"/>
        <v>8.3333333333333329E-2</v>
      </c>
      <c r="S1576" s="678">
        <f t="shared" si="1444"/>
        <v>8.3333333333333329E-2</v>
      </c>
      <c r="T1576" s="678">
        <f t="shared" si="1444"/>
        <v>8.3333333333333329E-2</v>
      </c>
      <c r="U1576" s="678">
        <f t="shared" ref="U1576:AF1577" si="1445">T1576</f>
        <v>8.3333333333333329E-2</v>
      </c>
      <c r="V1576" s="678">
        <f t="shared" si="1445"/>
        <v>8.3333333333333329E-2</v>
      </c>
      <c r="W1576" s="678">
        <f t="shared" si="1445"/>
        <v>8.3333333333333329E-2</v>
      </c>
      <c r="X1576" s="678">
        <f t="shared" si="1445"/>
        <v>8.3333333333333329E-2</v>
      </c>
      <c r="Y1576" s="678">
        <f t="shared" si="1445"/>
        <v>8.3333333333333329E-2</v>
      </c>
      <c r="Z1576" s="678">
        <f t="shared" si="1445"/>
        <v>8.3333333333333329E-2</v>
      </c>
      <c r="AA1576" s="678">
        <f t="shared" si="1445"/>
        <v>8.3333333333333329E-2</v>
      </c>
      <c r="AB1576" s="678">
        <f t="shared" si="1445"/>
        <v>8.3333333333333329E-2</v>
      </c>
      <c r="AC1576" s="678">
        <f t="shared" si="1445"/>
        <v>8.3333333333333329E-2</v>
      </c>
      <c r="AD1576" s="678">
        <f t="shared" si="1445"/>
        <v>8.3333333333333329E-2</v>
      </c>
      <c r="AE1576" s="678">
        <f t="shared" si="1445"/>
        <v>8.3333333333333329E-2</v>
      </c>
      <c r="AF1576" s="678">
        <f t="shared" si="1445"/>
        <v>8.3333333333333329E-2</v>
      </c>
      <c r="AG1576" s="574"/>
      <c r="AH1576" s="538"/>
      <c r="AK1576" s="531"/>
      <c r="AM1576" s="594"/>
      <c r="AN1576" s="535"/>
      <c r="AP1576" s="540"/>
      <c r="AQ1576" s="540"/>
    </row>
    <row r="1577" spans="1:43" s="513" customFormat="1" ht="16.5" hidden="1" customHeight="1" outlineLevel="2">
      <c r="A1577" s="584"/>
      <c r="B1577" s="572" t="s">
        <v>888</v>
      </c>
      <c r="C1577" s="676">
        <f>Insumos!$E$163</f>
        <v>3.3</v>
      </c>
      <c r="D1577" s="676">
        <f>C1577</f>
        <v>3.3</v>
      </c>
      <c r="E1577" s="676">
        <f t="shared" si="1444"/>
        <v>3.3</v>
      </c>
      <c r="F1577" s="676">
        <f t="shared" si="1444"/>
        <v>3.3</v>
      </c>
      <c r="G1577" s="676">
        <f t="shared" si="1444"/>
        <v>3.3</v>
      </c>
      <c r="H1577" s="676">
        <f t="shared" si="1444"/>
        <v>3.3</v>
      </c>
      <c r="I1577" s="676">
        <f t="shared" si="1444"/>
        <v>3.3</v>
      </c>
      <c r="J1577" s="676">
        <f t="shared" si="1444"/>
        <v>3.3</v>
      </c>
      <c r="K1577" s="676">
        <f t="shared" si="1444"/>
        <v>3.3</v>
      </c>
      <c r="L1577" s="676">
        <f t="shared" si="1444"/>
        <v>3.3</v>
      </c>
      <c r="M1577" s="676">
        <f t="shared" si="1444"/>
        <v>3.3</v>
      </c>
      <c r="N1577" s="676">
        <f t="shared" si="1444"/>
        <v>3.3</v>
      </c>
      <c r="O1577" s="676">
        <f t="shared" si="1444"/>
        <v>3.3</v>
      </c>
      <c r="P1577" s="676">
        <f t="shared" si="1444"/>
        <v>3.3</v>
      </c>
      <c r="Q1577" s="676">
        <f t="shared" si="1444"/>
        <v>3.3</v>
      </c>
      <c r="R1577" s="676">
        <f t="shared" si="1444"/>
        <v>3.3</v>
      </c>
      <c r="S1577" s="676">
        <f t="shared" si="1444"/>
        <v>3.3</v>
      </c>
      <c r="T1577" s="676">
        <f t="shared" si="1444"/>
        <v>3.3</v>
      </c>
      <c r="U1577" s="676">
        <f t="shared" si="1445"/>
        <v>3.3</v>
      </c>
      <c r="V1577" s="676">
        <f t="shared" si="1445"/>
        <v>3.3</v>
      </c>
      <c r="W1577" s="676">
        <f t="shared" si="1445"/>
        <v>3.3</v>
      </c>
      <c r="X1577" s="676">
        <f t="shared" si="1445"/>
        <v>3.3</v>
      </c>
      <c r="Y1577" s="676">
        <f t="shared" si="1445"/>
        <v>3.3</v>
      </c>
      <c r="Z1577" s="676">
        <f t="shared" si="1445"/>
        <v>3.3</v>
      </c>
      <c r="AA1577" s="676">
        <f t="shared" si="1445"/>
        <v>3.3</v>
      </c>
      <c r="AB1577" s="676">
        <f t="shared" si="1445"/>
        <v>3.3</v>
      </c>
      <c r="AC1577" s="676">
        <f t="shared" si="1445"/>
        <v>3.3</v>
      </c>
      <c r="AD1577" s="676">
        <f t="shared" si="1445"/>
        <v>3.3</v>
      </c>
      <c r="AE1577" s="676">
        <f t="shared" si="1445"/>
        <v>3.3</v>
      </c>
      <c r="AF1577" s="676">
        <f t="shared" si="1445"/>
        <v>3.3</v>
      </c>
      <c r="AH1577" s="538"/>
      <c r="AK1577" s="531"/>
      <c r="AM1577" s="594"/>
      <c r="AN1577" s="535"/>
      <c r="AP1577" s="540"/>
      <c r="AQ1577" s="540"/>
    </row>
    <row r="1578" spans="1:43" s="546" customFormat="1" ht="16.5" hidden="1" customHeight="1" outlineLevel="2">
      <c r="A1578" s="584"/>
      <c r="B1578" s="569" t="s">
        <v>1079</v>
      </c>
      <c r="C1578" s="570">
        <f>C1579*C1580*C1581</f>
        <v>0</v>
      </c>
      <c r="D1578" s="570">
        <f t="shared" ref="D1578:AG1578" si="1446">D1579*D1580*D1581</f>
        <v>98.313038718234836</v>
      </c>
      <c r="E1578" s="570">
        <f t="shared" si="1446"/>
        <v>99.45965429395541</v>
      </c>
      <c r="F1578" s="570">
        <f t="shared" si="1446"/>
        <v>100.60626986967598</v>
      </c>
      <c r="G1578" s="570">
        <f t="shared" si="1446"/>
        <v>101.75288544539656</v>
      </c>
      <c r="H1578" s="570">
        <f t="shared" si="1446"/>
        <v>102.89950102111712</v>
      </c>
      <c r="I1578" s="570">
        <f t="shared" si="1446"/>
        <v>104.04611659683769</v>
      </c>
      <c r="J1578" s="570">
        <f t="shared" si="1446"/>
        <v>105.19273217255827</v>
      </c>
      <c r="K1578" s="570">
        <f t="shared" si="1446"/>
        <v>106.33934774827884</v>
      </c>
      <c r="L1578" s="570">
        <f t="shared" si="1446"/>
        <v>107.4859633239994</v>
      </c>
      <c r="M1578" s="570">
        <f t="shared" si="1446"/>
        <v>108.63257889971997</v>
      </c>
      <c r="N1578" s="570">
        <f t="shared" si="1446"/>
        <v>109.77919447544055</v>
      </c>
      <c r="O1578" s="570">
        <f t="shared" si="1446"/>
        <v>110.92581005116114</v>
      </c>
      <c r="P1578" s="570">
        <f t="shared" si="1446"/>
        <v>112.07242562688171</v>
      </c>
      <c r="Q1578" s="570">
        <f t="shared" si="1446"/>
        <v>113.21904120260228</v>
      </c>
      <c r="R1578" s="570">
        <f t="shared" si="1446"/>
        <v>114.36565677832284</v>
      </c>
      <c r="S1578" s="570">
        <f t="shared" si="1446"/>
        <v>115.51227235404342</v>
      </c>
      <c r="T1578" s="570">
        <f t="shared" si="1446"/>
        <v>116.65888792976399</v>
      </c>
      <c r="U1578" s="570">
        <f t="shared" si="1446"/>
        <v>117.80550350548457</v>
      </c>
      <c r="V1578" s="570">
        <f t="shared" si="1446"/>
        <v>118.95211908120513</v>
      </c>
      <c r="W1578" s="570">
        <f t="shared" si="1446"/>
        <v>120.0987346569257</v>
      </c>
      <c r="X1578" s="570">
        <f t="shared" si="1446"/>
        <v>121.24535023264627</v>
      </c>
      <c r="Y1578" s="570">
        <f t="shared" si="1446"/>
        <v>122.39196580836685</v>
      </c>
      <c r="Z1578" s="570">
        <f t="shared" si="1446"/>
        <v>123.53858138408741</v>
      </c>
      <c r="AA1578" s="570">
        <f t="shared" si="1446"/>
        <v>124.68519695980798</v>
      </c>
      <c r="AB1578" s="570">
        <f t="shared" si="1446"/>
        <v>125.83181253552856</v>
      </c>
      <c r="AC1578" s="570">
        <f t="shared" si="1446"/>
        <v>126.97842811124913</v>
      </c>
      <c r="AD1578" s="570">
        <f t="shared" si="1446"/>
        <v>128.12504368696972</v>
      </c>
      <c r="AE1578" s="570">
        <f t="shared" si="1446"/>
        <v>129.27165926269029</v>
      </c>
      <c r="AF1578" s="570">
        <f t="shared" si="1446"/>
        <v>130.41827483841087</v>
      </c>
      <c r="AG1578" s="570" t="e">
        <f t="shared" si="1446"/>
        <v>#REF!</v>
      </c>
      <c r="AH1578" s="571"/>
      <c r="AK1578" s="531"/>
      <c r="AM1578" s="594"/>
      <c r="AN1578" s="535"/>
      <c r="AP1578" s="549"/>
      <c r="AQ1578" s="549"/>
    </row>
    <row r="1579" spans="1:43" s="513" customFormat="1" ht="16.5" hidden="1" customHeight="1" outlineLevel="2">
      <c r="A1579" s="584"/>
      <c r="B1579" s="572" t="s">
        <v>1071</v>
      </c>
      <c r="C1579" s="654">
        <f t="shared" ref="C1579:AF1579" si="1447">C1551</f>
        <v>0</v>
      </c>
      <c r="D1579" s="654">
        <f t="shared" si="1447"/>
        <v>21264</v>
      </c>
      <c r="E1579" s="654">
        <f t="shared" si="1447"/>
        <v>21512</v>
      </c>
      <c r="F1579" s="654">
        <f t="shared" si="1447"/>
        <v>21760</v>
      </c>
      <c r="G1579" s="654">
        <f t="shared" si="1447"/>
        <v>22008</v>
      </c>
      <c r="H1579" s="654">
        <f t="shared" si="1447"/>
        <v>22256</v>
      </c>
      <c r="I1579" s="654">
        <f t="shared" si="1447"/>
        <v>22504</v>
      </c>
      <c r="J1579" s="654">
        <f t="shared" si="1447"/>
        <v>22752</v>
      </c>
      <c r="K1579" s="654">
        <f t="shared" si="1447"/>
        <v>23000</v>
      </c>
      <c r="L1579" s="654">
        <f t="shared" si="1447"/>
        <v>23248</v>
      </c>
      <c r="M1579" s="654">
        <f t="shared" si="1447"/>
        <v>23496</v>
      </c>
      <c r="N1579" s="654">
        <f t="shared" si="1447"/>
        <v>23744</v>
      </c>
      <c r="O1579" s="654">
        <f t="shared" si="1447"/>
        <v>23992</v>
      </c>
      <c r="P1579" s="654">
        <f t="shared" si="1447"/>
        <v>24240</v>
      </c>
      <c r="Q1579" s="654">
        <f t="shared" si="1447"/>
        <v>24488</v>
      </c>
      <c r="R1579" s="654">
        <f t="shared" si="1447"/>
        <v>24736</v>
      </c>
      <c r="S1579" s="654">
        <f t="shared" si="1447"/>
        <v>24984</v>
      </c>
      <c r="T1579" s="654">
        <f t="shared" si="1447"/>
        <v>25232</v>
      </c>
      <c r="U1579" s="654">
        <f t="shared" si="1447"/>
        <v>25480</v>
      </c>
      <c r="V1579" s="654">
        <f t="shared" si="1447"/>
        <v>25728</v>
      </c>
      <c r="W1579" s="654">
        <f t="shared" si="1447"/>
        <v>25976</v>
      </c>
      <c r="X1579" s="654">
        <f t="shared" si="1447"/>
        <v>26224</v>
      </c>
      <c r="Y1579" s="654">
        <f t="shared" si="1447"/>
        <v>26472</v>
      </c>
      <c r="Z1579" s="654">
        <f t="shared" si="1447"/>
        <v>26720</v>
      </c>
      <c r="AA1579" s="654">
        <f t="shared" si="1447"/>
        <v>26968</v>
      </c>
      <c r="AB1579" s="654">
        <f t="shared" si="1447"/>
        <v>27216</v>
      </c>
      <c r="AC1579" s="654">
        <f t="shared" si="1447"/>
        <v>27464</v>
      </c>
      <c r="AD1579" s="654">
        <f t="shared" si="1447"/>
        <v>27712</v>
      </c>
      <c r="AE1579" s="654">
        <f t="shared" si="1447"/>
        <v>27960</v>
      </c>
      <c r="AF1579" s="654">
        <f t="shared" si="1447"/>
        <v>28208</v>
      </c>
      <c r="AG1579" s="574" t="e">
        <f>#REF!</f>
        <v>#REF!</v>
      </c>
      <c r="AH1579" s="538"/>
      <c r="AK1579" s="531"/>
      <c r="AM1579" s="594"/>
      <c r="AN1579" s="535"/>
      <c r="AP1579" s="540"/>
      <c r="AQ1579" s="540"/>
    </row>
    <row r="1580" spans="1:43" s="513" customFormat="1" ht="16.5" hidden="1" customHeight="1" outlineLevel="2">
      <c r="A1580" s="584"/>
      <c r="B1580" s="572" t="s">
        <v>1072</v>
      </c>
      <c r="C1580" s="677">
        <v>0</v>
      </c>
      <c r="D1580" s="677">
        <v>0.115586247552477</v>
      </c>
      <c r="E1580" s="678">
        <f t="shared" ref="E1580:T1581" si="1448">D1580</f>
        <v>0.115586247552477</v>
      </c>
      <c r="F1580" s="678">
        <f t="shared" si="1448"/>
        <v>0.115586247552477</v>
      </c>
      <c r="G1580" s="678">
        <f t="shared" si="1448"/>
        <v>0.115586247552477</v>
      </c>
      <c r="H1580" s="678">
        <f t="shared" si="1448"/>
        <v>0.115586247552477</v>
      </c>
      <c r="I1580" s="678">
        <f t="shared" si="1448"/>
        <v>0.115586247552477</v>
      </c>
      <c r="J1580" s="678">
        <f t="shared" si="1448"/>
        <v>0.115586247552477</v>
      </c>
      <c r="K1580" s="678">
        <f t="shared" si="1448"/>
        <v>0.115586247552477</v>
      </c>
      <c r="L1580" s="678">
        <f t="shared" si="1448"/>
        <v>0.115586247552477</v>
      </c>
      <c r="M1580" s="678">
        <f t="shared" si="1448"/>
        <v>0.115586247552477</v>
      </c>
      <c r="N1580" s="678">
        <f t="shared" si="1448"/>
        <v>0.115586247552477</v>
      </c>
      <c r="O1580" s="678">
        <f t="shared" si="1448"/>
        <v>0.115586247552477</v>
      </c>
      <c r="P1580" s="678">
        <f t="shared" si="1448"/>
        <v>0.115586247552477</v>
      </c>
      <c r="Q1580" s="678">
        <f t="shared" si="1448"/>
        <v>0.115586247552477</v>
      </c>
      <c r="R1580" s="678">
        <f t="shared" si="1448"/>
        <v>0.115586247552477</v>
      </c>
      <c r="S1580" s="678">
        <f t="shared" si="1448"/>
        <v>0.115586247552477</v>
      </c>
      <c r="T1580" s="678">
        <f t="shared" si="1448"/>
        <v>0.115586247552477</v>
      </c>
      <c r="U1580" s="678">
        <f t="shared" ref="U1580:AF1581" si="1449">T1580</f>
        <v>0.115586247552477</v>
      </c>
      <c r="V1580" s="678">
        <f t="shared" si="1449"/>
        <v>0.115586247552477</v>
      </c>
      <c r="W1580" s="678">
        <f t="shared" si="1449"/>
        <v>0.115586247552477</v>
      </c>
      <c r="X1580" s="678">
        <f t="shared" si="1449"/>
        <v>0.115586247552477</v>
      </c>
      <c r="Y1580" s="678">
        <f t="shared" si="1449"/>
        <v>0.115586247552477</v>
      </c>
      <c r="Z1580" s="678">
        <f t="shared" si="1449"/>
        <v>0.115586247552477</v>
      </c>
      <c r="AA1580" s="678">
        <f t="shared" si="1449"/>
        <v>0.115586247552477</v>
      </c>
      <c r="AB1580" s="678">
        <f t="shared" si="1449"/>
        <v>0.115586247552477</v>
      </c>
      <c r="AC1580" s="678">
        <f t="shared" si="1449"/>
        <v>0.115586247552477</v>
      </c>
      <c r="AD1580" s="678">
        <f t="shared" si="1449"/>
        <v>0.115586247552477</v>
      </c>
      <c r="AE1580" s="678">
        <f t="shared" si="1449"/>
        <v>0.115586247552477</v>
      </c>
      <c r="AF1580" s="678">
        <f t="shared" si="1449"/>
        <v>0.115586247552477</v>
      </c>
      <c r="AG1580" s="574"/>
      <c r="AH1580" s="538"/>
      <c r="AK1580" s="531"/>
      <c r="AM1580" s="594"/>
      <c r="AN1580" s="535"/>
      <c r="AP1580" s="540"/>
      <c r="AQ1580" s="540"/>
    </row>
    <row r="1581" spans="1:43" s="513" customFormat="1" ht="16.5" hidden="1" customHeight="1" outlineLevel="2">
      <c r="A1581" s="584"/>
      <c r="B1581" s="572" t="s">
        <v>888</v>
      </c>
      <c r="C1581" s="676">
        <f>Insumos!$E$164</f>
        <v>0.04</v>
      </c>
      <c r="D1581" s="676">
        <f>C1581</f>
        <v>0.04</v>
      </c>
      <c r="E1581" s="676">
        <f t="shared" si="1448"/>
        <v>0.04</v>
      </c>
      <c r="F1581" s="676">
        <f t="shared" si="1448"/>
        <v>0.04</v>
      </c>
      <c r="G1581" s="676">
        <f t="shared" si="1448"/>
        <v>0.04</v>
      </c>
      <c r="H1581" s="676">
        <f t="shared" si="1448"/>
        <v>0.04</v>
      </c>
      <c r="I1581" s="676">
        <f t="shared" si="1448"/>
        <v>0.04</v>
      </c>
      <c r="J1581" s="676">
        <f t="shared" si="1448"/>
        <v>0.04</v>
      </c>
      <c r="K1581" s="676">
        <f t="shared" si="1448"/>
        <v>0.04</v>
      </c>
      <c r="L1581" s="676">
        <f t="shared" si="1448"/>
        <v>0.04</v>
      </c>
      <c r="M1581" s="676">
        <f t="shared" si="1448"/>
        <v>0.04</v>
      </c>
      <c r="N1581" s="676">
        <f t="shared" si="1448"/>
        <v>0.04</v>
      </c>
      <c r="O1581" s="676">
        <f t="shared" si="1448"/>
        <v>0.04</v>
      </c>
      <c r="P1581" s="676">
        <f t="shared" si="1448"/>
        <v>0.04</v>
      </c>
      <c r="Q1581" s="676">
        <f t="shared" si="1448"/>
        <v>0.04</v>
      </c>
      <c r="R1581" s="676">
        <f t="shared" si="1448"/>
        <v>0.04</v>
      </c>
      <c r="S1581" s="676">
        <f t="shared" si="1448"/>
        <v>0.04</v>
      </c>
      <c r="T1581" s="676">
        <f t="shared" si="1448"/>
        <v>0.04</v>
      </c>
      <c r="U1581" s="676">
        <f t="shared" si="1449"/>
        <v>0.04</v>
      </c>
      <c r="V1581" s="676">
        <f t="shared" si="1449"/>
        <v>0.04</v>
      </c>
      <c r="W1581" s="676">
        <f t="shared" si="1449"/>
        <v>0.04</v>
      </c>
      <c r="X1581" s="676">
        <f t="shared" si="1449"/>
        <v>0.04</v>
      </c>
      <c r="Y1581" s="676">
        <f t="shared" si="1449"/>
        <v>0.04</v>
      </c>
      <c r="Z1581" s="676">
        <f t="shared" si="1449"/>
        <v>0.04</v>
      </c>
      <c r="AA1581" s="676">
        <f t="shared" si="1449"/>
        <v>0.04</v>
      </c>
      <c r="AB1581" s="676">
        <f t="shared" si="1449"/>
        <v>0.04</v>
      </c>
      <c r="AC1581" s="676">
        <f t="shared" si="1449"/>
        <v>0.04</v>
      </c>
      <c r="AD1581" s="676">
        <f t="shared" si="1449"/>
        <v>0.04</v>
      </c>
      <c r="AE1581" s="676">
        <f t="shared" si="1449"/>
        <v>0.04</v>
      </c>
      <c r="AF1581" s="676">
        <f t="shared" si="1449"/>
        <v>0.04</v>
      </c>
      <c r="AH1581" s="538"/>
      <c r="AK1581" s="531"/>
      <c r="AM1581" s="594"/>
      <c r="AN1581" s="535"/>
      <c r="AP1581" s="540"/>
      <c r="AQ1581" s="540"/>
    </row>
    <row r="1582" spans="1:43" s="546" customFormat="1" ht="16.5" hidden="1" customHeight="1" outlineLevel="2">
      <c r="A1582" s="584"/>
      <c r="B1582" s="569" t="s">
        <v>1080</v>
      </c>
      <c r="C1582" s="570">
        <f>C1583*C1584*C1585</f>
        <v>0</v>
      </c>
      <c r="D1582" s="570">
        <f t="shared" ref="D1582:AG1582" si="1450">D1583*D1584*D1585</f>
        <v>26.545863528222835</v>
      </c>
      <c r="E1582" s="570">
        <f t="shared" si="1450"/>
        <v>26.855465397814601</v>
      </c>
      <c r="F1582" s="570">
        <f t="shared" si="1450"/>
        <v>27.165067267406364</v>
      </c>
      <c r="G1582" s="570">
        <f t="shared" si="1450"/>
        <v>27.474669136998127</v>
      </c>
      <c r="H1582" s="570">
        <f t="shared" si="1450"/>
        <v>27.784271006589893</v>
      </c>
      <c r="I1582" s="570">
        <f t="shared" si="1450"/>
        <v>28.093872876181656</v>
      </c>
      <c r="J1582" s="570">
        <f t="shared" si="1450"/>
        <v>28.403474745773419</v>
      </c>
      <c r="K1582" s="570">
        <f t="shared" si="1450"/>
        <v>28.713076615365186</v>
      </c>
      <c r="L1582" s="570">
        <f t="shared" si="1450"/>
        <v>29.022678484956945</v>
      </c>
      <c r="M1582" s="570">
        <f t="shared" si="1450"/>
        <v>29.332280354548708</v>
      </c>
      <c r="N1582" s="570">
        <f t="shared" si="1450"/>
        <v>29.64188222414047</v>
      </c>
      <c r="O1582" s="570">
        <f t="shared" si="1450"/>
        <v>29.95148409373224</v>
      </c>
      <c r="P1582" s="570">
        <f t="shared" si="1450"/>
        <v>30.261085963324003</v>
      </c>
      <c r="Q1582" s="570">
        <f t="shared" si="1450"/>
        <v>30.570687832915766</v>
      </c>
      <c r="R1582" s="570">
        <f t="shared" si="1450"/>
        <v>30.880289702507529</v>
      </c>
      <c r="S1582" s="570">
        <f t="shared" si="1450"/>
        <v>31.189891572099292</v>
      </c>
      <c r="T1582" s="570">
        <f t="shared" si="1450"/>
        <v>31.499493441691055</v>
      </c>
      <c r="U1582" s="570">
        <f t="shared" si="1450"/>
        <v>31.809095311282825</v>
      </c>
      <c r="V1582" s="570">
        <f t="shared" si="1450"/>
        <v>32.118697180874584</v>
      </c>
      <c r="W1582" s="570">
        <f t="shared" si="1450"/>
        <v>32.42829905046635</v>
      </c>
      <c r="X1582" s="570">
        <f t="shared" si="1450"/>
        <v>32.737900920058109</v>
      </c>
      <c r="Y1582" s="570">
        <f t="shared" si="1450"/>
        <v>33.047502789649876</v>
      </c>
      <c r="Z1582" s="570">
        <f t="shared" si="1450"/>
        <v>33.357104659241635</v>
      </c>
      <c r="AA1582" s="570">
        <f t="shared" si="1450"/>
        <v>33.666706528833402</v>
      </c>
      <c r="AB1582" s="570">
        <f t="shared" si="1450"/>
        <v>33.976308398425168</v>
      </c>
      <c r="AC1582" s="570">
        <f t="shared" si="1450"/>
        <v>34.285910268016927</v>
      </c>
      <c r="AD1582" s="570">
        <f t="shared" si="1450"/>
        <v>34.595512137608694</v>
      </c>
      <c r="AE1582" s="570">
        <f t="shared" si="1450"/>
        <v>34.905114007200453</v>
      </c>
      <c r="AF1582" s="570">
        <f t="shared" si="1450"/>
        <v>35.214715876792219</v>
      </c>
      <c r="AG1582" s="570">
        <f t="shared" si="1450"/>
        <v>0</v>
      </c>
      <c r="AH1582" s="571"/>
      <c r="AK1582" s="531"/>
      <c r="AM1582" s="594"/>
      <c r="AN1582" s="535"/>
      <c r="AP1582" s="549"/>
      <c r="AQ1582" s="549"/>
    </row>
    <row r="1583" spans="1:43" s="513" customFormat="1" ht="16.5" hidden="1" customHeight="1" outlineLevel="2">
      <c r="A1583" s="584"/>
      <c r="B1583" s="572" t="s">
        <v>1071</v>
      </c>
      <c r="C1583" s="654">
        <f t="shared" ref="C1583:AF1583" si="1451">C1551</f>
        <v>0</v>
      </c>
      <c r="D1583" s="654">
        <f t="shared" si="1451"/>
        <v>21264</v>
      </c>
      <c r="E1583" s="654">
        <f t="shared" si="1451"/>
        <v>21512</v>
      </c>
      <c r="F1583" s="654">
        <f t="shared" si="1451"/>
        <v>21760</v>
      </c>
      <c r="G1583" s="654">
        <f t="shared" si="1451"/>
        <v>22008</v>
      </c>
      <c r="H1583" s="654">
        <f t="shared" si="1451"/>
        <v>22256</v>
      </c>
      <c r="I1583" s="654">
        <f t="shared" si="1451"/>
        <v>22504</v>
      </c>
      <c r="J1583" s="654">
        <f t="shared" si="1451"/>
        <v>22752</v>
      </c>
      <c r="K1583" s="654">
        <f t="shared" si="1451"/>
        <v>23000</v>
      </c>
      <c r="L1583" s="654">
        <f t="shared" si="1451"/>
        <v>23248</v>
      </c>
      <c r="M1583" s="654">
        <f t="shared" si="1451"/>
        <v>23496</v>
      </c>
      <c r="N1583" s="654">
        <f t="shared" si="1451"/>
        <v>23744</v>
      </c>
      <c r="O1583" s="654">
        <f t="shared" si="1451"/>
        <v>23992</v>
      </c>
      <c r="P1583" s="654">
        <f t="shared" si="1451"/>
        <v>24240</v>
      </c>
      <c r="Q1583" s="654">
        <f t="shared" si="1451"/>
        <v>24488</v>
      </c>
      <c r="R1583" s="654">
        <f t="shared" si="1451"/>
        <v>24736</v>
      </c>
      <c r="S1583" s="654">
        <f t="shared" si="1451"/>
        <v>24984</v>
      </c>
      <c r="T1583" s="654">
        <f t="shared" si="1451"/>
        <v>25232</v>
      </c>
      <c r="U1583" s="654">
        <f t="shared" si="1451"/>
        <v>25480</v>
      </c>
      <c r="V1583" s="654">
        <f t="shared" si="1451"/>
        <v>25728</v>
      </c>
      <c r="W1583" s="654">
        <f t="shared" si="1451"/>
        <v>25976</v>
      </c>
      <c r="X1583" s="654">
        <f t="shared" si="1451"/>
        <v>26224</v>
      </c>
      <c r="Y1583" s="654">
        <f t="shared" si="1451"/>
        <v>26472</v>
      </c>
      <c r="Z1583" s="654">
        <f t="shared" si="1451"/>
        <v>26720</v>
      </c>
      <c r="AA1583" s="654">
        <f t="shared" si="1451"/>
        <v>26968</v>
      </c>
      <c r="AB1583" s="654">
        <f t="shared" si="1451"/>
        <v>27216</v>
      </c>
      <c r="AC1583" s="654">
        <f t="shared" si="1451"/>
        <v>27464</v>
      </c>
      <c r="AD1583" s="654">
        <f t="shared" si="1451"/>
        <v>27712</v>
      </c>
      <c r="AE1583" s="654">
        <f t="shared" si="1451"/>
        <v>27960</v>
      </c>
      <c r="AF1583" s="654">
        <f t="shared" si="1451"/>
        <v>28208</v>
      </c>
      <c r="AG1583" s="574">
        <f t="shared" ref="AG1583" si="1452">AG1580</f>
        <v>0</v>
      </c>
      <c r="AH1583" s="538"/>
      <c r="AK1583" s="531"/>
      <c r="AM1583" s="594"/>
      <c r="AN1583" s="535"/>
      <c r="AP1583" s="540"/>
      <c r="AQ1583" s="540"/>
    </row>
    <row r="1584" spans="1:43" s="513" customFormat="1" ht="16.5" hidden="1" customHeight="1" outlineLevel="2">
      <c r="A1584" s="584"/>
      <c r="B1584" s="572" t="s">
        <v>1072</v>
      </c>
      <c r="C1584" s="677">
        <v>0</v>
      </c>
      <c r="D1584" s="677">
        <v>1.1179653451796955E-2</v>
      </c>
      <c r="E1584" s="678">
        <f t="shared" ref="E1584:T1585" si="1453">D1584</f>
        <v>1.1179653451796955E-2</v>
      </c>
      <c r="F1584" s="678">
        <f t="shared" si="1453"/>
        <v>1.1179653451796955E-2</v>
      </c>
      <c r="G1584" s="678">
        <f t="shared" si="1453"/>
        <v>1.1179653451796955E-2</v>
      </c>
      <c r="H1584" s="678">
        <f t="shared" si="1453"/>
        <v>1.1179653451796955E-2</v>
      </c>
      <c r="I1584" s="678">
        <f t="shared" si="1453"/>
        <v>1.1179653451796955E-2</v>
      </c>
      <c r="J1584" s="678">
        <f t="shared" si="1453"/>
        <v>1.1179653451796955E-2</v>
      </c>
      <c r="K1584" s="678">
        <f t="shared" si="1453"/>
        <v>1.1179653451796955E-2</v>
      </c>
      <c r="L1584" s="678">
        <f t="shared" si="1453"/>
        <v>1.1179653451796955E-2</v>
      </c>
      <c r="M1584" s="678">
        <f t="shared" si="1453"/>
        <v>1.1179653451796955E-2</v>
      </c>
      <c r="N1584" s="678">
        <f t="shared" si="1453"/>
        <v>1.1179653451796955E-2</v>
      </c>
      <c r="O1584" s="678">
        <f t="shared" si="1453"/>
        <v>1.1179653451796955E-2</v>
      </c>
      <c r="P1584" s="678">
        <f t="shared" si="1453"/>
        <v>1.1179653451796955E-2</v>
      </c>
      <c r="Q1584" s="678">
        <f t="shared" si="1453"/>
        <v>1.1179653451796955E-2</v>
      </c>
      <c r="R1584" s="678">
        <f t="shared" si="1453"/>
        <v>1.1179653451796955E-2</v>
      </c>
      <c r="S1584" s="678">
        <f t="shared" si="1453"/>
        <v>1.1179653451796955E-2</v>
      </c>
      <c r="T1584" s="678">
        <f t="shared" si="1453"/>
        <v>1.1179653451796955E-2</v>
      </c>
      <c r="U1584" s="678">
        <f t="shared" ref="U1584:AF1585" si="1454">T1584</f>
        <v>1.1179653451796955E-2</v>
      </c>
      <c r="V1584" s="678">
        <f t="shared" si="1454"/>
        <v>1.1179653451796955E-2</v>
      </c>
      <c r="W1584" s="678">
        <f t="shared" si="1454"/>
        <v>1.1179653451796955E-2</v>
      </c>
      <c r="X1584" s="678">
        <f t="shared" si="1454"/>
        <v>1.1179653451796955E-2</v>
      </c>
      <c r="Y1584" s="678">
        <f t="shared" si="1454"/>
        <v>1.1179653451796955E-2</v>
      </c>
      <c r="Z1584" s="678">
        <f t="shared" si="1454"/>
        <v>1.1179653451796955E-2</v>
      </c>
      <c r="AA1584" s="678">
        <f t="shared" si="1454"/>
        <v>1.1179653451796955E-2</v>
      </c>
      <c r="AB1584" s="678">
        <f t="shared" si="1454"/>
        <v>1.1179653451796955E-2</v>
      </c>
      <c r="AC1584" s="678">
        <f t="shared" si="1454"/>
        <v>1.1179653451796955E-2</v>
      </c>
      <c r="AD1584" s="678">
        <f t="shared" si="1454"/>
        <v>1.1179653451796955E-2</v>
      </c>
      <c r="AE1584" s="678">
        <f t="shared" si="1454"/>
        <v>1.1179653451796955E-2</v>
      </c>
      <c r="AF1584" s="678">
        <f t="shared" si="1454"/>
        <v>1.1179653451796955E-2</v>
      </c>
      <c r="AG1584" s="574"/>
      <c r="AH1584" s="538"/>
      <c r="AK1584" s="531"/>
      <c r="AM1584" s="594"/>
      <c r="AN1584" s="535"/>
      <c r="AP1584" s="540"/>
      <c r="AQ1584" s="540"/>
    </row>
    <row r="1585" spans="1:43" s="513" customFormat="1" ht="16.5" hidden="1" customHeight="1" outlineLevel="2">
      <c r="A1585" s="584"/>
      <c r="B1585" s="572" t="s">
        <v>888</v>
      </c>
      <c r="C1585" s="676">
        <f>Insumos!$E$165</f>
        <v>0.11166666666666668</v>
      </c>
      <c r="D1585" s="676">
        <f>C1585</f>
        <v>0.11166666666666668</v>
      </c>
      <c r="E1585" s="676">
        <f t="shared" si="1453"/>
        <v>0.11166666666666668</v>
      </c>
      <c r="F1585" s="676">
        <f t="shared" si="1453"/>
        <v>0.11166666666666668</v>
      </c>
      <c r="G1585" s="676">
        <f t="shared" si="1453"/>
        <v>0.11166666666666668</v>
      </c>
      <c r="H1585" s="676">
        <f t="shared" si="1453"/>
        <v>0.11166666666666668</v>
      </c>
      <c r="I1585" s="676">
        <f t="shared" si="1453"/>
        <v>0.11166666666666668</v>
      </c>
      <c r="J1585" s="676">
        <f t="shared" si="1453"/>
        <v>0.11166666666666668</v>
      </c>
      <c r="K1585" s="676">
        <f t="shared" si="1453"/>
        <v>0.11166666666666668</v>
      </c>
      <c r="L1585" s="676">
        <f t="shared" si="1453"/>
        <v>0.11166666666666668</v>
      </c>
      <c r="M1585" s="676">
        <f t="shared" si="1453"/>
        <v>0.11166666666666668</v>
      </c>
      <c r="N1585" s="676">
        <f t="shared" si="1453"/>
        <v>0.11166666666666668</v>
      </c>
      <c r="O1585" s="676">
        <f t="shared" si="1453"/>
        <v>0.11166666666666668</v>
      </c>
      <c r="P1585" s="676">
        <f t="shared" si="1453"/>
        <v>0.11166666666666668</v>
      </c>
      <c r="Q1585" s="676">
        <f t="shared" si="1453"/>
        <v>0.11166666666666668</v>
      </c>
      <c r="R1585" s="676">
        <f t="shared" si="1453"/>
        <v>0.11166666666666668</v>
      </c>
      <c r="S1585" s="676">
        <f t="shared" si="1453"/>
        <v>0.11166666666666668</v>
      </c>
      <c r="T1585" s="676">
        <f t="shared" si="1453"/>
        <v>0.11166666666666668</v>
      </c>
      <c r="U1585" s="676">
        <f t="shared" si="1454"/>
        <v>0.11166666666666668</v>
      </c>
      <c r="V1585" s="676">
        <f t="shared" si="1454"/>
        <v>0.11166666666666668</v>
      </c>
      <c r="W1585" s="676">
        <f t="shared" si="1454"/>
        <v>0.11166666666666668</v>
      </c>
      <c r="X1585" s="676">
        <f t="shared" si="1454"/>
        <v>0.11166666666666668</v>
      </c>
      <c r="Y1585" s="676">
        <f t="shared" si="1454"/>
        <v>0.11166666666666668</v>
      </c>
      <c r="Z1585" s="676">
        <f t="shared" si="1454"/>
        <v>0.11166666666666668</v>
      </c>
      <c r="AA1585" s="676">
        <f t="shared" si="1454"/>
        <v>0.11166666666666668</v>
      </c>
      <c r="AB1585" s="676">
        <f t="shared" si="1454"/>
        <v>0.11166666666666668</v>
      </c>
      <c r="AC1585" s="676">
        <f t="shared" si="1454"/>
        <v>0.11166666666666668</v>
      </c>
      <c r="AD1585" s="676">
        <f t="shared" si="1454"/>
        <v>0.11166666666666668</v>
      </c>
      <c r="AE1585" s="676">
        <f t="shared" si="1454"/>
        <v>0.11166666666666668</v>
      </c>
      <c r="AF1585" s="676">
        <f t="shared" si="1454"/>
        <v>0.11166666666666668</v>
      </c>
      <c r="AH1585" s="538"/>
      <c r="AK1585" s="531"/>
      <c r="AM1585" s="594"/>
      <c r="AN1585" s="535"/>
      <c r="AP1585" s="540"/>
      <c r="AQ1585" s="540"/>
    </row>
    <row r="1586" spans="1:43" s="546" customFormat="1" ht="16.5" hidden="1" customHeight="1" outlineLevel="2">
      <c r="A1586" s="584"/>
      <c r="B1586" s="569" t="s">
        <v>1081</v>
      </c>
      <c r="C1586" s="570">
        <f>C1587*C1588*C1589</f>
        <v>0</v>
      </c>
      <c r="D1586" s="570">
        <f>D1587*D1588*D1589</f>
        <v>403.90721098174623</v>
      </c>
      <c r="E1586" s="570">
        <f t="shared" ref="E1586:AF1586" si="1455">E1587*E1588*E1589</f>
        <v>408.6179421858223</v>
      </c>
      <c r="F1586" s="570">
        <f t="shared" si="1455"/>
        <v>413.32867338989831</v>
      </c>
      <c r="G1586" s="570">
        <f t="shared" si="1455"/>
        <v>418.03940459397438</v>
      </c>
      <c r="H1586" s="570">
        <f t="shared" si="1455"/>
        <v>422.75013579805045</v>
      </c>
      <c r="I1586" s="570">
        <f t="shared" si="1455"/>
        <v>427.46086700212652</v>
      </c>
      <c r="J1586" s="570">
        <f t="shared" si="1455"/>
        <v>432.17159820620248</v>
      </c>
      <c r="K1586" s="570">
        <f t="shared" si="1455"/>
        <v>436.88232941027854</v>
      </c>
      <c r="L1586" s="570">
        <f t="shared" si="1455"/>
        <v>441.59306061435461</v>
      </c>
      <c r="M1586" s="570">
        <f t="shared" si="1455"/>
        <v>446.30379181843068</v>
      </c>
      <c r="N1586" s="570">
        <f t="shared" si="1455"/>
        <v>451.01452302250675</v>
      </c>
      <c r="O1586" s="570">
        <f t="shared" si="1455"/>
        <v>455.72525422658276</v>
      </c>
      <c r="P1586" s="570">
        <f t="shared" si="1455"/>
        <v>460.43598543065883</v>
      </c>
      <c r="Q1586" s="570">
        <f t="shared" si="1455"/>
        <v>465.14671663473484</v>
      </c>
      <c r="R1586" s="570">
        <f t="shared" si="1455"/>
        <v>469.85744783881086</v>
      </c>
      <c r="S1586" s="570">
        <f t="shared" si="1455"/>
        <v>474.56817904288692</v>
      </c>
      <c r="T1586" s="570">
        <f t="shared" si="1455"/>
        <v>479.27891024696299</v>
      </c>
      <c r="U1586" s="570">
        <f t="shared" si="1455"/>
        <v>483.98964145103906</v>
      </c>
      <c r="V1586" s="570">
        <f t="shared" si="1455"/>
        <v>488.70037265511513</v>
      </c>
      <c r="W1586" s="570">
        <f t="shared" si="1455"/>
        <v>493.41110385919114</v>
      </c>
      <c r="X1586" s="570">
        <f t="shared" si="1455"/>
        <v>498.12183506326716</v>
      </c>
      <c r="Y1586" s="570">
        <f t="shared" si="1455"/>
        <v>502.83256626734322</v>
      </c>
      <c r="Z1586" s="570">
        <f t="shared" si="1455"/>
        <v>507.54329747141929</v>
      </c>
      <c r="AA1586" s="570">
        <f t="shared" si="1455"/>
        <v>512.25402867549531</v>
      </c>
      <c r="AB1586" s="570">
        <f t="shared" si="1455"/>
        <v>516.96475987957137</v>
      </c>
      <c r="AC1586" s="570">
        <f t="shared" si="1455"/>
        <v>521.67549108364744</v>
      </c>
      <c r="AD1586" s="570">
        <f t="shared" si="1455"/>
        <v>526.38622228772351</v>
      </c>
      <c r="AE1586" s="570">
        <f t="shared" si="1455"/>
        <v>531.09695349179947</v>
      </c>
      <c r="AF1586" s="570">
        <f t="shared" si="1455"/>
        <v>535.80768469587554</v>
      </c>
      <c r="AH1586" s="571"/>
      <c r="AK1586" s="531"/>
      <c r="AM1586" s="594"/>
      <c r="AN1586" s="535"/>
      <c r="AP1586" s="549"/>
      <c r="AQ1586" s="549"/>
    </row>
    <row r="1587" spans="1:43" s="513" customFormat="1" ht="16.5" hidden="1" customHeight="1" outlineLevel="2">
      <c r="A1587" s="584"/>
      <c r="B1587" s="572" t="s">
        <v>1071</v>
      </c>
      <c r="C1587" s="654">
        <f t="shared" ref="C1587:AF1587" si="1456">C1551</f>
        <v>0</v>
      </c>
      <c r="D1587" s="654">
        <f t="shared" si="1456"/>
        <v>21264</v>
      </c>
      <c r="E1587" s="654">
        <f t="shared" si="1456"/>
        <v>21512</v>
      </c>
      <c r="F1587" s="654">
        <f t="shared" si="1456"/>
        <v>21760</v>
      </c>
      <c r="G1587" s="654">
        <f t="shared" si="1456"/>
        <v>22008</v>
      </c>
      <c r="H1587" s="654">
        <f t="shared" si="1456"/>
        <v>22256</v>
      </c>
      <c r="I1587" s="654">
        <f t="shared" si="1456"/>
        <v>22504</v>
      </c>
      <c r="J1587" s="654">
        <f t="shared" si="1456"/>
        <v>22752</v>
      </c>
      <c r="K1587" s="654">
        <f t="shared" si="1456"/>
        <v>23000</v>
      </c>
      <c r="L1587" s="654">
        <f t="shared" si="1456"/>
        <v>23248</v>
      </c>
      <c r="M1587" s="654">
        <f t="shared" si="1456"/>
        <v>23496</v>
      </c>
      <c r="N1587" s="654">
        <f t="shared" si="1456"/>
        <v>23744</v>
      </c>
      <c r="O1587" s="654">
        <f t="shared" si="1456"/>
        <v>23992</v>
      </c>
      <c r="P1587" s="654">
        <f t="shared" si="1456"/>
        <v>24240</v>
      </c>
      <c r="Q1587" s="654">
        <f t="shared" si="1456"/>
        <v>24488</v>
      </c>
      <c r="R1587" s="654">
        <f t="shared" si="1456"/>
        <v>24736</v>
      </c>
      <c r="S1587" s="654">
        <f t="shared" si="1456"/>
        <v>24984</v>
      </c>
      <c r="T1587" s="654">
        <f t="shared" si="1456"/>
        <v>25232</v>
      </c>
      <c r="U1587" s="654">
        <f t="shared" si="1456"/>
        <v>25480</v>
      </c>
      <c r="V1587" s="654">
        <f t="shared" si="1456"/>
        <v>25728</v>
      </c>
      <c r="W1587" s="654">
        <f t="shared" si="1456"/>
        <v>25976</v>
      </c>
      <c r="X1587" s="654">
        <f t="shared" si="1456"/>
        <v>26224</v>
      </c>
      <c r="Y1587" s="654">
        <f t="shared" si="1456"/>
        <v>26472</v>
      </c>
      <c r="Z1587" s="654">
        <f t="shared" si="1456"/>
        <v>26720</v>
      </c>
      <c r="AA1587" s="654">
        <f t="shared" si="1456"/>
        <v>26968</v>
      </c>
      <c r="AB1587" s="654">
        <f t="shared" si="1456"/>
        <v>27216</v>
      </c>
      <c r="AC1587" s="654">
        <f t="shared" si="1456"/>
        <v>27464</v>
      </c>
      <c r="AD1587" s="654">
        <f t="shared" si="1456"/>
        <v>27712</v>
      </c>
      <c r="AE1587" s="654">
        <f t="shared" si="1456"/>
        <v>27960</v>
      </c>
      <c r="AF1587" s="654">
        <f t="shared" si="1456"/>
        <v>28208</v>
      </c>
      <c r="AG1587" s="574">
        <f t="shared" ref="AG1587" si="1457">AG1584</f>
        <v>0</v>
      </c>
      <c r="AH1587" s="538"/>
      <c r="AK1587" s="531"/>
      <c r="AM1587" s="594"/>
      <c r="AN1587" s="535"/>
      <c r="AP1587" s="540"/>
      <c r="AQ1587" s="540"/>
    </row>
    <row r="1588" spans="1:43" s="513" customFormat="1" ht="16.5" hidden="1" customHeight="1" outlineLevel="2">
      <c r="A1588" s="584"/>
      <c r="B1588" s="572" t="s">
        <v>1072</v>
      </c>
      <c r="C1588" s="677">
        <v>0</v>
      </c>
      <c r="D1588" s="677">
        <v>7.3057245720782368E-3</v>
      </c>
      <c r="E1588" s="678">
        <f t="shared" ref="E1588:T1589" si="1458">D1588</f>
        <v>7.3057245720782368E-3</v>
      </c>
      <c r="F1588" s="678">
        <f t="shared" si="1458"/>
        <v>7.3057245720782368E-3</v>
      </c>
      <c r="G1588" s="678">
        <f t="shared" si="1458"/>
        <v>7.3057245720782368E-3</v>
      </c>
      <c r="H1588" s="678">
        <f t="shared" si="1458"/>
        <v>7.3057245720782368E-3</v>
      </c>
      <c r="I1588" s="678">
        <f t="shared" si="1458"/>
        <v>7.3057245720782368E-3</v>
      </c>
      <c r="J1588" s="678">
        <f t="shared" si="1458"/>
        <v>7.3057245720782368E-3</v>
      </c>
      <c r="K1588" s="678">
        <f t="shared" si="1458"/>
        <v>7.3057245720782368E-3</v>
      </c>
      <c r="L1588" s="678">
        <f t="shared" si="1458"/>
        <v>7.3057245720782368E-3</v>
      </c>
      <c r="M1588" s="678">
        <f t="shared" si="1458"/>
        <v>7.3057245720782368E-3</v>
      </c>
      <c r="N1588" s="678">
        <f t="shared" si="1458"/>
        <v>7.3057245720782368E-3</v>
      </c>
      <c r="O1588" s="678">
        <f t="shared" si="1458"/>
        <v>7.3057245720782368E-3</v>
      </c>
      <c r="P1588" s="678">
        <f t="shared" si="1458"/>
        <v>7.3057245720782368E-3</v>
      </c>
      <c r="Q1588" s="678">
        <f t="shared" si="1458"/>
        <v>7.3057245720782368E-3</v>
      </c>
      <c r="R1588" s="678">
        <f t="shared" si="1458"/>
        <v>7.3057245720782368E-3</v>
      </c>
      <c r="S1588" s="678">
        <f t="shared" si="1458"/>
        <v>7.3057245720782368E-3</v>
      </c>
      <c r="T1588" s="678">
        <f t="shared" si="1458"/>
        <v>7.3057245720782368E-3</v>
      </c>
      <c r="U1588" s="678">
        <f t="shared" ref="U1588:AF1589" si="1459">T1588</f>
        <v>7.3057245720782368E-3</v>
      </c>
      <c r="V1588" s="678">
        <f t="shared" si="1459"/>
        <v>7.3057245720782368E-3</v>
      </c>
      <c r="W1588" s="678">
        <f t="shared" si="1459"/>
        <v>7.3057245720782368E-3</v>
      </c>
      <c r="X1588" s="678">
        <f t="shared" si="1459"/>
        <v>7.3057245720782368E-3</v>
      </c>
      <c r="Y1588" s="678">
        <f t="shared" si="1459"/>
        <v>7.3057245720782368E-3</v>
      </c>
      <c r="Z1588" s="678">
        <f t="shared" si="1459"/>
        <v>7.3057245720782368E-3</v>
      </c>
      <c r="AA1588" s="678">
        <f t="shared" si="1459"/>
        <v>7.3057245720782368E-3</v>
      </c>
      <c r="AB1588" s="678">
        <f t="shared" si="1459"/>
        <v>7.3057245720782368E-3</v>
      </c>
      <c r="AC1588" s="678">
        <f t="shared" si="1459"/>
        <v>7.3057245720782368E-3</v>
      </c>
      <c r="AD1588" s="678">
        <f t="shared" si="1459"/>
        <v>7.3057245720782368E-3</v>
      </c>
      <c r="AE1588" s="678">
        <f t="shared" si="1459"/>
        <v>7.3057245720782368E-3</v>
      </c>
      <c r="AF1588" s="678">
        <f t="shared" si="1459"/>
        <v>7.3057245720782368E-3</v>
      </c>
      <c r="AG1588" s="574"/>
      <c r="AH1588" s="538"/>
      <c r="AK1588" s="531"/>
      <c r="AM1588" s="594"/>
      <c r="AN1588" s="535"/>
      <c r="AP1588" s="540"/>
      <c r="AQ1588" s="540"/>
    </row>
    <row r="1589" spans="1:43" s="513" customFormat="1" ht="16.5" hidden="1" customHeight="1" outlineLevel="2">
      <c r="A1589" s="584"/>
      <c r="B1589" s="572" t="s">
        <v>888</v>
      </c>
      <c r="C1589" s="676">
        <f>Insumos!$E$166</f>
        <v>2.6</v>
      </c>
      <c r="D1589" s="676">
        <f>C1589</f>
        <v>2.6</v>
      </c>
      <c r="E1589" s="676">
        <f t="shared" si="1458"/>
        <v>2.6</v>
      </c>
      <c r="F1589" s="676">
        <f t="shared" si="1458"/>
        <v>2.6</v>
      </c>
      <c r="G1589" s="676">
        <f t="shared" si="1458"/>
        <v>2.6</v>
      </c>
      <c r="H1589" s="676">
        <f t="shared" si="1458"/>
        <v>2.6</v>
      </c>
      <c r="I1589" s="676">
        <f t="shared" si="1458"/>
        <v>2.6</v>
      </c>
      <c r="J1589" s="676">
        <f t="shared" si="1458"/>
        <v>2.6</v>
      </c>
      <c r="K1589" s="676">
        <f t="shared" si="1458"/>
        <v>2.6</v>
      </c>
      <c r="L1589" s="676">
        <f t="shared" si="1458"/>
        <v>2.6</v>
      </c>
      <c r="M1589" s="676">
        <f t="shared" si="1458"/>
        <v>2.6</v>
      </c>
      <c r="N1589" s="676">
        <f t="shared" si="1458"/>
        <v>2.6</v>
      </c>
      <c r="O1589" s="676">
        <f t="shared" si="1458"/>
        <v>2.6</v>
      </c>
      <c r="P1589" s="676">
        <f t="shared" si="1458"/>
        <v>2.6</v>
      </c>
      <c r="Q1589" s="676">
        <f t="shared" si="1458"/>
        <v>2.6</v>
      </c>
      <c r="R1589" s="676">
        <f t="shared" si="1458"/>
        <v>2.6</v>
      </c>
      <c r="S1589" s="676">
        <f t="shared" si="1458"/>
        <v>2.6</v>
      </c>
      <c r="T1589" s="676">
        <f t="shared" si="1458"/>
        <v>2.6</v>
      </c>
      <c r="U1589" s="676">
        <f t="shared" si="1459"/>
        <v>2.6</v>
      </c>
      <c r="V1589" s="676">
        <f t="shared" si="1459"/>
        <v>2.6</v>
      </c>
      <c r="W1589" s="676">
        <f t="shared" si="1459"/>
        <v>2.6</v>
      </c>
      <c r="X1589" s="676">
        <f t="shared" si="1459"/>
        <v>2.6</v>
      </c>
      <c r="Y1589" s="676">
        <f t="shared" si="1459"/>
        <v>2.6</v>
      </c>
      <c r="Z1589" s="676">
        <f t="shared" si="1459"/>
        <v>2.6</v>
      </c>
      <c r="AA1589" s="676">
        <f t="shared" si="1459"/>
        <v>2.6</v>
      </c>
      <c r="AB1589" s="676">
        <f t="shared" si="1459"/>
        <v>2.6</v>
      </c>
      <c r="AC1589" s="676">
        <f t="shared" si="1459"/>
        <v>2.6</v>
      </c>
      <c r="AD1589" s="676">
        <f t="shared" si="1459"/>
        <v>2.6</v>
      </c>
      <c r="AE1589" s="676">
        <f t="shared" si="1459"/>
        <v>2.6</v>
      </c>
      <c r="AF1589" s="676">
        <f t="shared" si="1459"/>
        <v>2.6</v>
      </c>
      <c r="AH1589" s="538"/>
      <c r="AK1589" s="531"/>
      <c r="AM1589" s="594"/>
      <c r="AN1589" s="535"/>
      <c r="AP1589" s="540"/>
      <c r="AQ1589" s="540"/>
    </row>
    <row r="1590" spans="1:43" s="564" customFormat="1" ht="16.5" hidden="1" customHeight="1" outlineLevel="1" collapsed="1">
      <c r="A1590" s="584"/>
      <c r="B1590" s="576" t="s">
        <v>890</v>
      </c>
      <c r="C1590" s="577">
        <f>SUM(C1591)*12/10^3</f>
        <v>0</v>
      </c>
      <c r="D1590" s="577">
        <f t="shared" ref="D1590:AF1590" si="1460">SUM(D1591)*12/10^3</f>
        <v>4.2051914999999997</v>
      </c>
      <c r="E1590" s="577">
        <f t="shared" si="1460"/>
        <v>4.2051914999999997</v>
      </c>
      <c r="F1590" s="577">
        <f t="shared" si="1460"/>
        <v>4.2051914999999997</v>
      </c>
      <c r="G1590" s="577">
        <f t="shared" si="1460"/>
        <v>4.2051914999999997</v>
      </c>
      <c r="H1590" s="577">
        <f t="shared" si="1460"/>
        <v>4.2051914999999997</v>
      </c>
      <c r="I1590" s="577">
        <f t="shared" si="1460"/>
        <v>4.2051914999999997</v>
      </c>
      <c r="J1590" s="577">
        <f t="shared" si="1460"/>
        <v>4.2051914999999997</v>
      </c>
      <c r="K1590" s="577">
        <f t="shared" si="1460"/>
        <v>4.2051914999999997</v>
      </c>
      <c r="L1590" s="577">
        <f t="shared" si="1460"/>
        <v>4.2051914999999997</v>
      </c>
      <c r="M1590" s="577">
        <f t="shared" si="1460"/>
        <v>4.2051914999999997</v>
      </c>
      <c r="N1590" s="577">
        <f t="shared" si="1460"/>
        <v>4.2051914999999997</v>
      </c>
      <c r="O1590" s="577">
        <f t="shared" si="1460"/>
        <v>4.2051914999999997</v>
      </c>
      <c r="P1590" s="577">
        <f t="shared" si="1460"/>
        <v>4.2051914999999997</v>
      </c>
      <c r="Q1590" s="577">
        <f t="shared" si="1460"/>
        <v>4.2051914999999997</v>
      </c>
      <c r="R1590" s="577">
        <f t="shared" si="1460"/>
        <v>4.2051914999999997</v>
      </c>
      <c r="S1590" s="577">
        <f t="shared" si="1460"/>
        <v>4.2051914999999997</v>
      </c>
      <c r="T1590" s="577">
        <f t="shared" si="1460"/>
        <v>4.2051914999999997</v>
      </c>
      <c r="U1590" s="577">
        <f t="shared" si="1460"/>
        <v>4.2051914999999997</v>
      </c>
      <c r="V1590" s="577">
        <f t="shared" si="1460"/>
        <v>4.2051914999999997</v>
      </c>
      <c r="W1590" s="577">
        <f t="shared" si="1460"/>
        <v>4.2051914999999997</v>
      </c>
      <c r="X1590" s="577">
        <f t="shared" si="1460"/>
        <v>4.2051914999999997</v>
      </c>
      <c r="Y1590" s="577">
        <f t="shared" si="1460"/>
        <v>4.2051914999999997</v>
      </c>
      <c r="Z1590" s="577">
        <f t="shared" si="1460"/>
        <v>4.2051914999999997</v>
      </c>
      <c r="AA1590" s="577">
        <f t="shared" si="1460"/>
        <v>4.2051914999999997</v>
      </c>
      <c r="AB1590" s="577">
        <f t="shared" si="1460"/>
        <v>4.2051914999999997</v>
      </c>
      <c r="AC1590" s="577">
        <f t="shared" si="1460"/>
        <v>4.2051914999999997</v>
      </c>
      <c r="AD1590" s="577">
        <f t="shared" si="1460"/>
        <v>4.2051914999999997</v>
      </c>
      <c r="AE1590" s="577">
        <f t="shared" si="1460"/>
        <v>4.2051914999999997</v>
      </c>
      <c r="AF1590" s="577">
        <f t="shared" si="1460"/>
        <v>4.2051914999999997</v>
      </c>
      <c r="AH1590" s="578">
        <f>SUM(C1590:AF1590)</f>
        <v>121.95055349999996</v>
      </c>
      <c r="AJ1590" s="579"/>
      <c r="AK1590" s="531"/>
      <c r="AM1590" s="594"/>
      <c r="AN1590" s="535"/>
      <c r="AP1590" s="568"/>
      <c r="AQ1590" s="568"/>
    </row>
    <row r="1591" spans="1:43" s="513" customFormat="1" ht="16.5" hidden="1" customHeight="1" outlineLevel="2">
      <c r="A1591" s="584"/>
      <c r="B1591" s="569" t="s">
        <v>1082</v>
      </c>
      <c r="C1591" s="574">
        <f>C1592*C1593</f>
        <v>0</v>
      </c>
      <c r="D1591" s="574">
        <f t="shared" ref="D1591:AF1591" si="1461">D1592*D1593</f>
        <v>350.43262499999997</v>
      </c>
      <c r="E1591" s="574">
        <f t="shared" si="1461"/>
        <v>350.43262499999997</v>
      </c>
      <c r="F1591" s="574">
        <f t="shared" si="1461"/>
        <v>350.43262499999997</v>
      </c>
      <c r="G1591" s="574">
        <f t="shared" si="1461"/>
        <v>350.43262499999997</v>
      </c>
      <c r="H1591" s="574">
        <f t="shared" si="1461"/>
        <v>350.43262499999997</v>
      </c>
      <c r="I1591" s="574">
        <f t="shared" si="1461"/>
        <v>350.43262499999997</v>
      </c>
      <c r="J1591" s="574">
        <f t="shared" si="1461"/>
        <v>350.43262499999997</v>
      </c>
      <c r="K1591" s="574">
        <f t="shared" si="1461"/>
        <v>350.43262499999997</v>
      </c>
      <c r="L1591" s="574">
        <f t="shared" si="1461"/>
        <v>350.43262499999997</v>
      </c>
      <c r="M1591" s="574">
        <f t="shared" si="1461"/>
        <v>350.43262499999997</v>
      </c>
      <c r="N1591" s="574">
        <f t="shared" si="1461"/>
        <v>350.43262499999997</v>
      </c>
      <c r="O1591" s="574">
        <f t="shared" si="1461"/>
        <v>350.43262499999997</v>
      </c>
      <c r="P1591" s="574">
        <f t="shared" si="1461"/>
        <v>350.43262499999997</v>
      </c>
      <c r="Q1591" s="574">
        <f t="shared" si="1461"/>
        <v>350.43262499999997</v>
      </c>
      <c r="R1591" s="574">
        <f t="shared" si="1461"/>
        <v>350.43262499999997</v>
      </c>
      <c r="S1591" s="574">
        <f t="shared" si="1461"/>
        <v>350.43262499999997</v>
      </c>
      <c r="T1591" s="574">
        <f t="shared" si="1461"/>
        <v>350.43262499999997</v>
      </c>
      <c r="U1591" s="574">
        <f t="shared" si="1461"/>
        <v>350.43262499999997</v>
      </c>
      <c r="V1591" s="574">
        <f t="shared" si="1461"/>
        <v>350.43262499999997</v>
      </c>
      <c r="W1591" s="574">
        <f t="shared" si="1461"/>
        <v>350.43262499999997</v>
      </c>
      <c r="X1591" s="574">
        <f t="shared" si="1461"/>
        <v>350.43262499999997</v>
      </c>
      <c r="Y1591" s="574">
        <f t="shared" si="1461"/>
        <v>350.43262499999997</v>
      </c>
      <c r="Z1591" s="574">
        <f t="shared" si="1461"/>
        <v>350.43262499999997</v>
      </c>
      <c r="AA1591" s="574">
        <f t="shared" si="1461"/>
        <v>350.43262499999997</v>
      </c>
      <c r="AB1591" s="574">
        <f t="shared" si="1461"/>
        <v>350.43262499999997</v>
      </c>
      <c r="AC1591" s="574">
        <f t="shared" si="1461"/>
        <v>350.43262499999997</v>
      </c>
      <c r="AD1591" s="574">
        <f t="shared" si="1461"/>
        <v>350.43262499999997</v>
      </c>
      <c r="AE1591" s="574">
        <f t="shared" si="1461"/>
        <v>350.43262499999997</v>
      </c>
      <c r="AF1591" s="574">
        <f t="shared" si="1461"/>
        <v>350.43262499999997</v>
      </c>
      <c r="AH1591" s="538"/>
      <c r="AK1591" s="531"/>
      <c r="AM1591" s="594"/>
      <c r="AN1591" s="535"/>
      <c r="AP1591" s="540"/>
      <c r="AQ1591" s="540"/>
    </row>
    <row r="1592" spans="1:43" s="513" customFormat="1" ht="16.5" hidden="1" customHeight="1" outlineLevel="2">
      <c r="A1592" s="584"/>
      <c r="B1592" s="572" t="s">
        <v>805</v>
      </c>
      <c r="C1592" s="573">
        <v>0</v>
      </c>
      <c r="D1592" s="573">
        <v>1</v>
      </c>
      <c r="E1592" s="643">
        <f t="shared" ref="E1592:T1593" si="1462">D1592</f>
        <v>1</v>
      </c>
      <c r="F1592" s="643">
        <f t="shared" si="1462"/>
        <v>1</v>
      </c>
      <c r="G1592" s="643">
        <f t="shared" si="1462"/>
        <v>1</v>
      </c>
      <c r="H1592" s="643">
        <f t="shared" si="1462"/>
        <v>1</v>
      </c>
      <c r="I1592" s="643">
        <f t="shared" si="1462"/>
        <v>1</v>
      </c>
      <c r="J1592" s="643">
        <f t="shared" si="1462"/>
        <v>1</v>
      </c>
      <c r="K1592" s="643">
        <f t="shared" si="1462"/>
        <v>1</v>
      </c>
      <c r="L1592" s="643">
        <f t="shared" si="1462"/>
        <v>1</v>
      </c>
      <c r="M1592" s="643">
        <f t="shared" si="1462"/>
        <v>1</v>
      </c>
      <c r="N1592" s="643">
        <f t="shared" si="1462"/>
        <v>1</v>
      </c>
      <c r="O1592" s="643">
        <f t="shared" si="1462"/>
        <v>1</v>
      </c>
      <c r="P1592" s="643">
        <f t="shared" si="1462"/>
        <v>1</v>
      </c>
      <c r="Q1592" s="643">
        <f t="shared" si="1462"/>
        <v>1</v>
      </c>
      <c r="R1592" s="643">
        <f t="shared" si="1462"/>
        <v>1</v>
      </c>
      <c r="S1592" s="643">
        <f t="shared" si="1462"/>
        <v>1</v>
      </c>
      <c r="T1592" s="643">
        <f t="shared" si="1462"/>
        <v>1</v>
      </c>
      <c r="U1592" s="643">
        <f t="shared" ref="U1592:AD1593" si="1463">T1592</f>
        <v>1</v>
      </c>
      <c r="V1592" s="643">
        <f t="shared" si="1463"/>
        <v>1</v>
      </c>
      <c r="W1592" s="643">
        <f t="shared" si="1463"/>
        <v>1</v>
      </c>
      <c r="X1592" s="643">
        <f t="shared" si="1463"/>
        <v>1</v>
      </c>
      <c r="Y1592" s="643">
        <f t="shared" si="1463"/>
        <v>1</v>
      </c>
      <c r="Z1592" s="643">
        <f t="shared" si="1463"/>
        <v>1</v>
      </c>
      <c r="AA1592" s="643">
        <f t="shared" si="1463"/>
        <v>1</v>
      </c>
      <c r="AB1592" s="643">
        <f t="shared" si="1463"/>
        <v>1</v>
      </c>
      <c r="AC1592" s="643">
        <f t="shared" si="1463"/>
        <v>1</v>
      </c>
      <c r="AD1592" s="643">
        <f>AC1592</f>
        <v>1</v>
      </c>
      <c r="AE1592" s="643">
        <f t="shared" ref="AE1592:AF1593" si="1464">AD1592</f>
        <v>1</v>
      </c>
      <c r="AF1592" s="643">
        <f t="shared" si="1464"/>
        <v>1</v>
      </c>
      <c r="AH1592" s="538"/>
      <c r="AK1592" s="531"/>
      <c r="AM1592" s="594"/>
      <c r="AN1592" s="535"/>
      <c r="AP1592" s="540"/>
      <c r="AQ1592" s="540"/>
    </row>
    <row r="1593" spans="1:43" s="513" customFormat="1" ht="16.5" hidden="1" customHeight="1" outlineLevel="2">
      <c r="A1593" s="584"/>
      <c r="B1593" s="572" t="s">
        <v>888</v>
      </c>
      <c r="C1593" s="574">
        <f>CAPEX!$C$199*(0.83%+0.42%)</f>
        <v>350.43262499999997</v>
      </c>
      <c r="D1593" s="574">
        <f>C1593</f>
        <v>350.43262499999997</v>
      </c>
      <c r="E1593" s="574">
        <f t="shared" si="1462"/>
        <v>350.43262499999997</v>
      </c>
      <c r="F1593" s="574">
        <f t="shared" si="1462"/>
        <v>350.43262499999997</v>
      </c>
      <c r="G1593" s="574">
        <f t="shared" si="1462"/>
        <v>350.43262499999997</v>
      </c>
      <c r="H1593" s="574">
        <f t="shared" si="1462"/>
        <v>350.43262499999997</v>
      </c>
      <c r="I1593" s="574">
        <f t="shared" si="1462"/>
        <v>350.43262499999997</v>
      </c>
      <c r="J1593" s="574">
        <f t="shared" si="1462"/>
        <v>350.43262499999997</v>
      </c>
      <c r="K1593" s="574">
        <f t="shared" si="1462"/>
        <v>350.43262499999997</v>
      </c>
      <c r="L1593" s="574">
        <f t="shared" si="1462"/>
        <v>350.43262499999997</v>
      </c>
      <c r="M1593" s="574">
        <f t="shared" si="1462"/>
        <v>350.43262499999997</v>
      </c>
      <c r="N1593" s="574">
        <f t="shared" si="1462"/>
        <v>350.43262499999997</v>
      </c>
      <c r="O1593" s="574">
        <f t="shared" si="1462"/>
        <v>350.43262499999997</v>
      </c>
      <c r="P1593" s="574">
        <f t="shared" si="1462"/>
        <v>350.43262499999997</v>
      </c>
      <c r="Q1593" s="574">
        <f t="shared" si="1462"/>
        <v>350.43262499999997</v>
      </c>
      <c r="R1593" s="574">
        <f t="shared" si="1462"/>
        <v>350.43262499999997</v>
      </c>
      <c r="S1593" s="574">
        <f t="shared" si="1462"/>
        <v>350.43262499999997</v>
      </c>
      <c r="T1593" s="574">
        <f t="shared" si="1462"/>
        <v>350.43262499999997</v>
      </c>
      <c r="U1593" s="574">
        <f t="shared" si="1463"/>
        <v>350.43262499999997</v>
      </c>
      <c r="V1593" s="574">
        <f t="shared" si="1463"/>
        <v>350.43262499999997</v>
      </c>
      <c r="W1593" s="574">
        <f t="shared" si="1463"/>
        <v>350.43262499999997</v>
      </c>
      <c r="X1593" s="574">
        <f t="shared" si="1463"/>
        <v>350.43262499999997</v>
      </c>
      <c r="Y1593" s="574">
        <f t="shared" si="1463"/>
        <v>350.43262499999997</v>
      </c>
      <c r="Z1593" s="574">
        <f t="shared" si="1463"/>
        <v>350.43262499999997</v>
      </c>
      <c r="AA1593" s="574">
        <f t="shared" si="1463"/>
        <v>350.43262499999997</v>
      </c>
      <c r="AB1593" s="574">
        <f t="shared" si="1463"/>
        <v>350.43262499999997</v>
      </c>
      <c r="AC1593" s="574">
        <f t="shared" si="1463"/>
        <v>350.43262499999997</v>
      </c>
      <c r="AD1593" s="574">
        <f t="shared" si="1463"/>
        <v>350.43262499999997</v>
      </c>
      <c r="AE1593" s="574">
        <f t="shared" si="1464"/>
        <v>350.43262499999997</v>
      </c>
      <c r="AF1593" s="574">
        <f t="shared" si="1464"/>
        <v>350.43262499999997</v>
      </c>
      <c r="AH1593" s="538"/>
      <c r="AK1593" s="531"/>
      <c r="AM1593" s="594"/>
      <c r="AN1593" s="535"/>
      <c r="AP1593" s="540"/>
      <c r="AQ1593" s="540"/>
    </row>
    <row r="1594" spans="1:43" s="666" customFormat="1" ht="16.5" hidden="1" customHeight="1" outlineLevel="1" collapsed="1">
      <c r="A1594" s="584"/>
      <c r="B1594" s="665" t="s">
        <v>926</v>
      </c>
      <c r="C1594" s="599">
        <f>(C1595+C1598)*12/10^3</f>
        <v>51.395040000000002</v>
      </c>
      <c r="D1594" s="599">
        <f t="shared" ref="D1594:AF1594" si="1465">(D1595+D1598)*12/10^3</f>
        <v>77.092559999999992</v>
      </c>
      <c r="E1594" s="599">
        <f t="shared" si="1465"/>
        <v>77.092559999999992</v>
      </c>
      <c r="F1594" s="599">
        <f t="shared" si="1465"/>
        <v>77.092559999999992</v>
      </c>
      <c r="G1594" s="599">
        <f t="shared" si="1465"/>
        <v>77.092559999999992</v>
      </c>
      <c r="H1594" s="599">
        <f t="shared" si="1465"/>
        <v>77.092559999999992</v>
      </c>
      <c r="I1594" s="599">
        <f t="shared" si="1465"/>
        <v>77.092559999999992</v>
      </c>
      <c r="J1594" s="599">
        <f t="shared" si="1465"/>
        <v>77.092559999999992</v>
      </c>
      <c r="K1594" s="599">
        <f t="shared" si="1465"/>
        <v>77.092559999999992</v>
      </c>
      <c r="L1594" s="599">
        <f t="shared" si="1465"/>
        <v>77.092559999999992</v>
      </c>
      <c r="M1594" s="599">
        <f t="shared" si="1465"/>
        <v>77.092559999999992</v>
      </c>
      <c r="N1594" s="599">
        <f t="shared" si="1465"/>
        <v>77.092559999999992</v>
      </c>
      <c r="O1594" s="599">
        <f t="shared" si="1465"/>
        <v>77.092559999999992</v>
      </c>
      <c r="P1594" s="599">
        <f t="shared" si="1465"/>
        <v>77.092559999999992</v>
      </c>
      <c r="Q1594" s="599">
        <f t="shared" si="1465"/>
        <v>77.092559999999992</v>
      </c>
      <c r="R1594" s="599">
        <f t="shared" si="1465"/>
        <v>77.092559999999992</v>
      </c>
      <c r="S1594" s="599">
        <f t="shared" si="1465"/>
        <v>77.092559999999992</v>
      </c>
      <c r="T1594" s="599">
        <f t="shared" si="1465"/>
        <v>77.092559999999992</v>
      </c>
      <c r="U1594" s="599">
        <f t="shared" si="1465"/>
        <v>77.092559999999992</v>
      </c>
      <c r="V1594" s="599">
        <f t="shared" si="1465"/>
        <v>77.092559999999992</v>
      </c>
      <c r="W1594" s="599">
        <f t="shared" si="1465"/>
        <v>77.092559999999992</v>
      </c>
      <c r="X1594" s="599">
        <f t="shared" si="1465"/>
        <v>77.092559999999992</v>
      </c>
      <c r="Y1594" s="599">
        <f t="shared" si="1465"/>
        <v>77.092559999999992</v>
      </c>
      <c r="Z1594" s="599">
        <f t="shared" si="1465"/>
        <v>77.092559999999992</v>
      </c>
      <c r="AA1594" s="599">
        <f t="shared" si="1465"/>
        <v>77.092559999999992</v>
      </c>
      <c r="AB1594" s="599">
        <f t="shared" si="1465"/>
        <v>77.092559999999992</v>
      </c>
      <c r="AC1594" s="599">
        <f t="shared" si="1465"/>
        <v>77.092559999999992</v>
      </c>
      <c r="AD1594" s="599">
        <f t="shared" si="1465"/>
        <v>77.092559999999992</v>
      </c>
      <c r="AE1594" s="599">
        <f t="shared" si="1465"/>
        <v>77.092559999999992</v>
      </c>
      <c r="AF1594" s="599">
        <f t="shared" si="1465"/>
        <v>77.092559999999992</v>
      </c>
      <c r="AG1594" s="627"/>
      <c r="AH1594" s="578">
        <f>SUM(C1594:AF1594)</f>
        <v>2287.0792800000008</v>
      </c>
      <c r="AK1594" s="531"/>
      <c r="AM1594" s="594"/>
      <c r="AN1594" s="535"/>
      <c r="AP1594" s="667"/>
      <c r="AQ1594" s="667"/>
    </row>
    <row r="1595" spans="1:43" s="546" customFormat="1" ht="16.5" hidden="1" customHeight="1" outlineLevel="2" collapsed="1">
      <c r="A1595" s="584"/>
      <c r="B1595" s="580" t="s">
        <v>1083</v>
      </c>
      <c r="C1595" s="581">
        <f>C1596*C1597</f>
        <v>2141.46</v>
      </c>
      <c r="D1595" s="581">
        <f>D1596*D1597</f>
        <v>4282.92</v>
      </c>
      <c r="E1595" s="581">
        <f t="shared" ref="E1595:AF1595" si="1466">E1596*E1597</f>
        <v>4282.92</v>
      </c>
      <c r="F1595" s="581">
        <f t="shared" si="1466"/>
        <v>4282.92</v>
      </c>
      <c r="G1595" s="581">
        <f t="shared" si="1466"/>
        <v>4282.92</v>
      </c>
      <c r="H1595" s="581">
        <f t="shared" si="1466"/>
        <v>4282.92</v>
      </c>
      <c r="I1595" s="581">
        <f t="shared" si="1466"/>
        <v>4282.92</v>
      </c>
      <c r="J1595" s="581">
        <f t="shared" si="1466"/>
        <v>4282.92</v>
      </c>
      <c r="K1595" s="581">
        <f t="shared" si="1466"/>
        <v>4282.92</v>
      </c>
      <c r="L1595" s="581">
        <f t="shared" si="1466"/>
        <v>4282.92</v>
      </c>
      <c r="M1595" s="581">
        <f t="shared" si="1466"/>
        <v>4282.92</v>
      </c>
      <c r="N1595" s="581">
        <f t="shared" si="1466"/>
        <v>4282.92</v>
      </c>
      <c r="O1595" s="581">
        <f t="shared" si="1466"/>
        <v>4282.92</v>
      </c>
      <c r="P1595" s="581">
        <f t="shared" si="1466"/>
        <v>4282.92</v>
      </c>
      <c r="Q1595" s="581">
        <f t="shared" si="1466"/>
        <v>4282.92</v>
      </c>
      <c r="R1595" s="581">
        <f t="shared" si="1466"/>
        <v>4282.92</v>
      </c>
      <c r="S1595" s="581">
        <f t="shared" si="1466"/>
        <v>4282.92</v>
      </c>
      <c r="T1595" s="581">
        <f t="shared" si="1466"/>
        <v>4282.92</v>
      </c>
      <c r="U1595" s="581">
        <f t="shared" si="1466"/>
        <v>4282.92</v>
      </c>
      <c r="V1595" s="581">
        <f t="shared" si="1466"/>
        <v>4282.92</v>
      </c>
      <c r="W1595" s="581">
        <f t="shared" si="1466"/>
        <v>4282.92</v>
      </c>
      <c r="X1595" s="581">
        <f t="shared" si="1466"/>
        <v>4282.92</v>
      </c>
      <c r="Y1595" s="581">
        <f t="shared" si="1466"/>
        <v>4282.92</v>
      </c>
      <c r="Z1595" s="581">
        <f t="shared" si="1466"/>
        <v>4282.92</v>
      </c>
      <c r="AA1595" s="581">
        <f t="shared" si="1466"/>
        <v>4282.92</v>
      </c>
      <c r="AB1595" s="581">
        <f t="shared" si="1466"/>
        <v>4282.92</v>
      </c>
      <c r="AC1595" s="581">
        <f t="shared" si="1466"/>
        <v>4282.92</v>
      </c>
      <c r="AD1595" s="581">
        <f t="shared" si="1466"/>
        <v>4282.92</v>
      </c>
      <c r="AE1595" s="581">
        <f t="shared" si="1466"/>
        <v>4282.92</v>
      </c>
      <c r="AF1595" s="581">
        <f t="shared" si="1466"/>
        <v>4282.92</v>
      </c>
      <c r="AH1595" s="571"/>
      <c r="AK1595" s="531"/>
      <c r="AM1595" s="594"/>
      <c r="AN1595" s="535"/>
      <c r="AP1595" s="549"/>
      <c r="AQ1595" s="549"/>
    </row>
    <row r="1596" spans="1:43" ht="16.5" hidden="1" customHeight="1" outlineLevel="2">
      <c r="A1596" s="584"/>
      <c r="B1596" s="641" t="s">
        <v>805</v>
      </c>
      <c r="C1596" s="554">
        <v>1</v>
      </c>
      <c r="D1596" s="554">
        <v>2</v>
      </c>
      <c r="E1596" s="553">
        <v>2</v>
      </c>
      <c r="F1596" s="553">
        <v>2</v>
      </c>
      <c r="G1596" s="553">
        <v>2</v>
      </c>
      <c r="H1596" s="553">
        <v>2</v>
      </c>
      <c r="I1596" s="553">
        <v>2</v>
      </c>
      <c r="J1596" s="553">
        <v>2</v>
      </c>
      <c r="K1596" s="553">
        <v>2</v>
      </c>
      <c r="L1596" s="553">
        <v>2</v>
      </c>
      <c r="M1596" s="553">
        <v>2</v>
      </c>
      <c r="N1596" s="553">
        <v>2</v>
      </c>
      <c r="O1596" s="553">
        <v>2</v>
      </c>
      <c r="P1596" s="553">
        <v>2</v>
      </c>
      <c r="Q1596" s="553">
        <v>2</v>
      </c>
      <c r="R1596" s="553">
        <v>2</v>
      </c>
      <c r="S1596" s="553">
        <v>2</v>
      </c>
      <c r="T1596" s="553">
        <v>2</v>
      </c>
      <c r="U1596" s="553">
        <v>2</v>
      </c>
      <c r="V1596" s="553">
        <v>2</v>
      </c>
      <c r="W1596" s="553">
        <v>2</v>
      </c>
      <c r="X1596" s="553">
        <v>2</v>
      </c>
      <c r="Y1596" s="553">
        <v>2</v>
      </c>
      <c r="Z1596" s="553">
        <v>2</v>
      </c>
      <c r="AA1596" s="553">
        <v>2</v>
      </c>
      <c r="AB1596" s="553">
        <v>2</v>
      </c>
      <c r="AC1596" s="553">
        <v>2</v>
      </c>
      <c r="AD1596" s="553">
        <v>2</v>
      </c>
      <c r="AE1596" s="553">
        <v>2</v>
      </c>
      <c r="AF1596" s="553">
        <v>2</v>
      </c>
      <c r="AH1596" s="538"/>
      <c r="AK1596" s="531"/>
      <c r="AM1596" s="594"/>
      <c r="AN1596" s="535"/>
      <c r="AP1596" s="535"/>
      <c r="AQ1596" s="535"/>
    </row>
    <row r="1597" spans="1:43" s="513" customFormat="1" ht="16.5" hidden="1" customHeight="1" outlineLevel="2">
      <c r="A1597" s="584"/>
      <c r="B1597" s="641" t="s">
        <v>924</v>
      </c>
      <c r="C1597" s="642">
        <f>'Sal._benef.'!$D$32</f>
        <v>2141.46</v>
      </c>
      <c r="D1597" s="642">
        <f>C1597</f>
        <v>2141.46</v>
      </c>
      <c r="E1597" s="592">
        <f t="shared" ref="E1597:AF1597" si="1467">D1597</f>
        <v>2141.46</v>
      </c>
      <c r="F1597" s="592">
        <f t="shared" si="1467"/>
        <v>2141.46</v>
      </c>
      <c r="G1597" s="592">
        <f t="shared" si="1467"/>
        <v>2141.46</v>
      </c>
      <c r="H1597" s="592">
        <f t="shared" si="1467"/>
        <v>2141.46</v>
      </c>
      <c r="I1597" s="592">
        <f t="shared" si="1467"/>
        <v>2141.46</v>
      </c>
      <c r="J1597" s="592">
        <f t="shared" si="1467"/>
        <v>2141.46</v>
      </c>
      <c r="K1597" s="592">
        <f t="shared" si="1467"/>
        <v>2141.46</v>
      </c>
      <c r="L1597" s="592">
        <f t="shared" si="1467"/>
        <v>2141.46</v>
      </c>
      <c r="M1597" s="592">
        <f t="shared" si="1467"/>
        <v>2141.46</v>
      </c>
      <c r="N1597" s="592">
        <f t="shared" si="1467"/>
        <v>2141.46</v>
      </c>
      <c r="O1597" s="592">
        <f t="shared" si="1467"/>
        <v>2141.46</v>
      </c>
      <c r="P1597" s="592">
        <f t="shared" si="1467"/>
        <v>2141.46</v>
      </c>
      <c r="Q1597" s="592">
        <f t="shared" si="1467"/>
        <v>2141.46</v>
      </c>
      <c r="R1597" s="592">
        <f t="shared" si="1467"/>
        <v>2141.46</v>
      </c>
      <c r="S1597" s="592">
        <f t="shared" si="1467"/>
        <v>2141.46</v>
      </c>
      <c r="T1597" s="592">
        <f t="shared" si="1467"/>
        <v>2141.46</v>
      </c>
      <c r="U1597" s="592">
        <f t="shared" si="1467"/>
        <v>2141.46</v>
      </c>
      <c r="V1597" s="592">
        <f t="shared" si="1467"/>
        <v>2141.46</v>
      </c>
      <c r="W1597" s="592">
        <f t="shared" si="1467"/>
        <v>2141.46</v>
      </c>
      <c r="X1597" s="592">
        <f t="shared" si="1467"/>
        <v>2141.46</v>
      </c>
      <c r="Y1597" s="592">
        <f t="shared" si="1467"/>
        <v>2141.46</v>
      </c>
      <c r="Z1597" s="592">
        <f t="shared" si="1467"/>
        <v>2141.46</v>
      </c>
      <c r="AA1597" s="592">
        <f t="shared" si="1467"/>
        <v>2141.46</v>
      </c>
      <c r="AB1597" s="592">
        <f t="shared" si="1467"/>
        <v>2141.46</v>
      </c>
      <c r="AC1597" s="592">
        <f t="shared" si="1467"/>
        <v>2141.46</v>
      </c>
      <c r="AD1597" s="592">
        <f t="shared" si="1467"/>
        <v>2141.46</v>
      </c>
      <c r="AE1597" s="592">
        <f t="shared" si="1467"/>
        <v>2141.46</v>
      </c>
      <c r="AF1597" s="592">
        <f t="shared" si="1467"/>
        <v>2141.46</v>
      </c>
      <c r="AH1597" s="538"/>
      <c r="AK1597" s="531"/>
      <c r="AM1597" s="594"/>
      <c r="AN1597" s="535"/>
      <c r="AP1597" s="540"/>
      <c r="AQ1597" s="540"/>
    </row>
    <row r="1598" spans="1:43" s="546" customFormat="1" ht="16.5" hidden="1" customHeight="1" outlineLevel="2">
      <c r="A1598" s="584"/>
      <c r="B1598" s="580" t="s">
        <v>1084</v>
      </c>
      <c r="C1598" s="583">
        <f>C1599*C1600</f>
        <v>2141.46</v>
      </c>
      <c r="D1598" s="583">
        <f t="shared" ref="D1598:AF1598" si="1468">D1599*D1600</f>
        <v>2141.46</v>
      </c>
      <c r="E1598" s="581">
        <f t="shared" si="1468"/>
        <v>2141.46</v>
      </c>
      <c r="F1598" s="581">
        <f t="shared" si="1468"/>
        <v>2141.46</v>
      </c>
      <c r="G1598" s="581">
        <f t="shared" si="1468"/>
        <v>2141.46</v>
      </c>
      <c r="H1598" s="581">
        <f t="shared" si="1468"/>
        <v>2141.46</v>
      </c>
      <c r="I1598" s="581">
        <f t="shared" si="1468"/>
        <v>2141.46</v>
      </c>
      <c r="J1598" s="581">
        <f t="shared" si="1468"/>
        <v>2141.46</v>
      </c>
      <c r="K1598" s="581">
        <f t="shared" si="1468"/>
        <v>2141.46</v>
      </c>
      <c r="L1598" s="581">
        <f t="shared" si="1468"/>
        <v>2141.46</v>
      </c>
      <c r="M1598" s="581">
        <f t="shared" si="1468"/>
        <v>2141.46</v>
      </c>
      <c r="N1598" s="581">
        <f t="shared" si="1468"/>
        <v>2141.46</v>
      </c>
      <c r="O1598" s="581">
        <f t="shared" si="1468"/>
        <v>2141.46</v>
      </c>
      <c r="P1598" s="581">
        <f t="shared" si="1468"/>
        <v>2141.46</v>
      </c>
      <c r="Q1598" s="581">
        <f t="shared" si="1468"/>
        <v>2141.46</v>
      </c>
      <c r="R1598" s="581">
        <f t="shared" si="1468"/>
        <v>2141.46</v>
      </c>
      <c r="S1598" s="581">
        <f t="shared" si="1468"/>
        <v>2141.46</v>
      </c>
      <c r="T1598" s="581">
        <f t="shared" si="1468"/>
        <v>2141.46</v>
      </c>
      <c r="U1598" s="581">
        <f t="shared" si="1468"/>
        <v>2141.46</v>
      </c>
      <c r="V1598" s="581">
        <f t="shared" si="1468"/>
        <v>2141.46</v>
      </c>
      <c r="W1598" s="581">
        <f t="shared" si="1468"/>
        <v>2141.46</v>
      </c>
      <c r="X1598" s="581">
        <f t="shared" si="1468"/>
        <v>2141.46</v>
      </c>
      <c r="Y1598" s="581">
        <f t="shared" si="1468"/>
        <v>2141.46</v>
      </c>
      <c r="Z1598" s="581">
        <f t="shared" si="1468"/>
        <v>2141.46</v>
      </c>
      <c r="AA1598" s="581">
        <f t="shared" si="1468"/>
        <v>2141.46</v>
      </c>
      <c r="AB1598" s="581">
        <f t="shared" si="1468"/>
        <v>2141.46</v>
      </c>
      <c r="AC1598" s="581">
        <f t="shared" si="1468"/>
        <v>2141.46</v>
      </c>
      <c r="AD1598" s="581">
        <f t="shared" si="1468"/>
        <v>2141.46</v>
      </c>
      <c r="AE1598" s="581">
        <f t="shared" si="1468"/>
        <v>2141.46</v>
      </c>
      <c r="AF1598" s="581">
        <f t="shared" si="1468"/>
        <v>2141.46</v>
      </c>
      <c r="AH1598" s="571"/>
      <c r="AK1598" s="531"/>
      <c r="AM1598" s="594"/>
      <c r="AN1598" s="535"/>
      <c r="AP1598" s="549"/>
      <c r="AQ1598" s="549"/>
    </row>
    <row r="1599" spans="1:43" ht="16.5" hidden="1" customHeight="1" outlineLevel="2">
      <c r="A1599" s="584"/>
      <c r="B1599" s="641" t="s">
        <v>805</v>
      </c>
      <c r="C1599" s="554">
        <v>1</v>
      </c>
      <c r="D1599" s="554">
        <v>1</v>
      </c>
      <c r="E1599" s="553">
        <f t="shared" ref="E1599:T1600" si="1469">D1599</f>
        <v>1</v>
      </c>
      <c r="F1599" s="553">
        <f t="shared" si="1469"/>
        <v>1</v>
      </c>
      <c r="G1599" s="553">
        <f t="shared" si="1469"/>
        <v>1</v>
      </c>
      <c r="H1599" s="553">
        <f t="shared" si="1469"/>
        <v>1</v>
      </c>
      <c r="I1599" s="553">
        <f t="shared" si="1469"/>
        <v>1</v>
      </c>
      <c r="J1599" s="553">
        <f t="shared" si="1469"/>
        <v>1</v>
      </c>
      <c r="K1599" s="553">
        <f t="shared" si="1469"/>
        <v>1</v>
      </c>
      <c r="L1599" s="553">
        <f t="shared" si="1469"/>
        <v>1</v>
      </c>
      <c r="M1599" s="553">
        <f t="shared" si="1469"/>
        <v>1</v>
      </c>
      <c r="N1599" s="553">
        <f t="shared" si="1469"/>
        <v>1</v>
      </c>
      <c r="O1599" s="553">
        <f t="shared" si="1469"/>
        <v>1</v>
      </c>
      <c r="P1599" s="553">
        <f t="shared" si="1469"/>
        <v>1</v>
      </c>
      <c r="Q1599" s="553">
        <f t="shared" si="1469"/>
        <v>1</v>
      </c>
      <c r="R1599" s="553">
        <f t="shared" si="1469"/>
        <v>1</v>
      </c>
      <c r="S1599" s="553">
        <f t="shared" si="1469"/>
        <v>1</v>
      </c>
      <c r="T1599" s="553">
        <f t="shared" si="1469"/>
        <v>1</v>
      </c>
      <c r="U1599" s="553">
        <f t="shared" ref="U1599:AF1600" si="1470">T1599</f>
        <v>1</v>
      </c>
      <c r="V1599" s="553">
        <f t="shared" si="1470"/>
        <v>1</v>
      </c>
      <c r="W1599" s="553">
        <f t="shared" si="1470"/>
        <v>1</v>
      </c>
      <c r="X1599" s="553">
        <f t="shared" si="1470"/>
        <v>1</v>
      </c>
      <c r="Y1599" s="553">
        <f t="shared" si="1470"/>
        <v>1</v>
      </c>
      <c r="Z1599" s="553">
        <f t="shared" si="1470"/>
        <v>1</v>
      </c>
      <c r="AA1599" s="553">
        <f t="shared" si="1470"/>
        <v>1</v>
      </c>
      <c r="AB1599" s="553">
        <f t="shared" si="1470"/>
        <v>1</v>
      </c>
      <c r="AC1599" s="553">
        <f t="shared" si="1470"/>
        <v>1</v>
      </c>
      <c r="AD1599" s="553">
        <f t="shared" si="1470"/>
        <v>1</v>
      </c>
      <c r="AE1599" s="553">
        <f t="shared" si="1470"/>
        <v>1</v>
      </c>
      <c r="AF1599" s="553">
        <f t="shared" si="1470"/>
        <v>1</v>
      </c>
      <c r="AH1599" s="538"/>
      <c r="AK1599" s="531"/>
      <c r="AM1599" s="594"/>
      <c r="AN1599" s="535"/>
      <c r="AP1599" s="535"/>
      <c r="AQ1599" s="535"/>
    </row>
    <row r="1600" spans="1:43" s="513" customFormat="1" ht="16.5" hidden="1" customHeight="1" outlineLevel="2">
      <c r="A1600" s="584"/>
      <c r="B1600" s="641" t="s">
        <v>924</v>
      </c>
      <c r="C1600" s="642">
        <f>'Sal._benef.'!$D$33</f>
        <v>2141.46</v>
      </c>
      <c r="D1600" s="642">
        <f>C1600</f>
        <v>2141.46</v>
      </c>
      <c r="E1600" s="592">
        <f t="shared" si="1469"/>
        <v>2141.46</v>
      </c>
      <c r="F1600" s="592">
        <f t="shared" si="1469"/>
        <v>2141.46</v>
      </c>
      <c r="G1600" s="592">
        <f t="shared" si="1469"/>
        <v>2141.46</v>
      </c>
      <c r="H1600" s="592">
        <f t="shared" si="1469"/>
        <v>2141.46</v>
      </c>
      <c r="I1600" s="592">
        <f t="shared" si="1469"/>
        <v>2141.46</v>
      </c>
      <c r="J1600" s="592">
        <f t="shared" si="1469"/>
        <v>2141.46</v>
      </c>
      <c r="K1600" s="592">
        <f t="shared" si="1469"/>
        <v>2141.46</v>
      </c>
      <c r="L1600" s="592">
        <f t="shared" si="1469"/>
        <v>2141.46</v>
      </c>
      <c r="M1600" s="592">
        <f t="shared" si="1469"/>
        <v>2141.46</v>
      </c>
      <c r="N1600" s="592">
        <f t="shared" si="1469"/>
        <v>2141.46</v>
      </c>
      <c r="O1600" s="592">
        <f t="shared" si="1469"/>
        <v>2141.46</v>
      </c>
      <c r="P1600" s="592">
        <f t="shared" si="1469"/>
        <v>2141.46</v>
      </c>
      <c r="Q1600" s="592">
        <f t="shared" si="1469"/>
        <v>2141.46</v>
      </c>
      <c r="R1600" s="592">
        <f t="shared" si="1469"/>
        <v>2141.46</v>
      </c>
      <c r="S1600" s="592">
        <f t="shared" si="1469"/>
        <v>2141.46</v>
      </c>
      <c r="T1600" s="592">
        <f t="shared" si="1469"/>
        <v>2141.46</v>
      </c>
      <c r="U1600" s="592">
        <f t="shared" si="1470"/>
        <v>2141.46</v>
      </c>
      <c r="V1600" s="592">
        <f t="shared" si="1470"/>
        <v>2141.46</v>
      </c>
      <c r="W1600" s="592">
        <f t="shared" si="1470"/>
        <v>2141.46</v>
      </c>
      <c r="X1600" s="592">
        <f t="shared" si="1470"/>
        <v>2141.46</v>
      </c>
      <c r="Y1600" s="592">
        <f t="shared" si="1470"/>
        <v>2141.46</v>
      </c>
      <c r="Z1600" s="592">
        <f t="shared" si="1470"/>
        <v>2141.46</v>
      </c>
      <c r="AA1600" s="592">
        <f t="shared" si="1470"/>
        <v>2141.46</v>
      </c>
      <c r="AB1600" s="592">
        <f t="shared" si="1470"/>
        <v>2141.46</v>
      </c>
      <c r="AC1600" s="592">
        <f t="shared" si="1470"/>
        <v>2141.46</v>
      </c>
      <c r="AD1600" s="592">
        <f t="shared" si="1470"/>
        <v>2141.46</v>
      </c>
      <c r="AE1600" s="592">
        <f t="shared" si="1470"/>
        <v>2141.46</v>
      </c>
      <c r="AF1600" s="592">
        <f t="shared" si="1470"/>
        <v>2141.46</v>
      </c>
      <c r="AH1600" s="538"/>
      <c r="AK1600" s="531"/>
      <c r="AM1600" s="594"/>
      <c r="AN1600" s="535"/>
      <c r="AP1600" s="540"/>
      <c r="AQ1600" s="540"/>
    </row>
    <row r="1601" spans="1:43" s="666" customFormat="1" ht="16.5" hidden="1" customHeight="1" outlineLevel="1" collapsed="1">
      <c r="A1601" s="584"/>
      <c r="B1601" s="665" t="s">
        <v>936</v>
      </c>
      <c r="C1601" s="734">
        <f>C1602</f>
        <v>36.505896912000004</v>
      </c>
      <c r="D1601" s="734">
        <f t="shared" ref="D1601:AF1601" si="1471">D1602</f>
        <v>54.758845367999996</v>
      </c>
      <c r="E1601" s="577">
        <f t="shared" si="1471"/>
        <v>54.758845367999996</v>
      </c>
      <c r="F1601" s="577">
        <f t="shared" si="1471"/>
        <v>54.758845367999996</v>
      </c>
      <c r="G1601" s="577">
        <f t="shared" si="1471"/>
        <v>54.758845367999996</v>
      </c>
      <c r="H1601" s="577">
        <f t="shared" si="1471"/>
        <v>54.758845367999996</v>
      </c>
      <c r="I1601" s="577">
        <f t="shared" si="1471"/>
        <v>54.758845367999996</v>
      </c>
      <c r="J1601" s="577">
        <f t="shared" si="1471"/>
        <v>54.758845367999996</v>
      </c>
      <c r="K1601" s="577">
        <f t="shared" si="1471"/>
        <v>54.758845367999996</v>
      </c>
      <c r="L1601" s="577">
        <f t="shared" si="1471"/>
        <v>54.758845367999996</v>
      </c>
      <c r="M1601" s="577">
        <f t="shared" si="1471"/>
        <v>54.758845367999996</v>
      </c>
      <c r="N1601" s="577">
        <f t="shared" si="1471"/>
        <v>54.758845367999996</v>
      </c>
      <c r="O1601" s="577">
        <f t="shared" si="1471"/>
        <v>54.758845367999996</v>
      </c>
      <c r="P1601" s="577">
        <f t="shared" si="1471"/>
        <v>54.758845367999996</v>
      </c>
      <c r="Q1601" s="577">
        <f t="shared" si="1471"/>
        <v>54.758845367999996</v>
      </c>
      <c r="R1601" s="577">
        <f t="shared" si="1471"/>
        <v>54.758845367999996</v>
      </c>
      <c r="S1601" s="577">
        <f t="shared" si="1471"/>
        <v>54.758845367999996</v>
      </c>
      <c r="T1601" s="577">
        <f t="shared" si="1471"/>
        <v>54.758845367999996</v>
      </c>
      <c r="U1601" s="577">
        <f t="shared" si="1471"/>
        <v>54.758845367999996</v>
      </c>
      <c r="V1601" s="577">
        <f t="shared" si="1471"/>
        <v>54.758845367999996</v>
      </c>
      <c r="W1601" s="577">
        <f t="shared" si="1471"/>
        <v>54.758845367999996</v>
      </c>
      <c r="X1601" s="577">
        <f t="shared" si="1471"/>
        <v>54.758845367999996</v>
      </c>
      <c r="Y1601" s="577">
        <f t="shared" si="1471"/>
        <v>54.758845367999996</v>
      </c>
      <c r="Z1601" s="577">
        <f t="shared" si="1471"/>
        <v>54.758845367999996</v>
      </c>
      <c r="AA1601" s="577">
        <f t="shared" si="1471"/>
        <v>54.758845367999996</v>
      </c>
      <c r="AB1601" s="577">
        <f t="shared" si="1471"/>
        <v>54.758845367999996</v>
      </c>
      <c r="AC1601" s="577">
        <f t="shared" si="1471"/>
        <v>54.758845367999996</v>
      </c>
      <c r="AD1601" s="577">
        <f t="shared" si="1471"/>
        <v>54.758845367999996</v>
      </c>
      <c r="AE1601" s="577">
        <f t="shared" si="1471"/>
        <v>54.758845367999996</v>
      </c>
      <c r="AF1601" s="577">
        <f t="shared" si="1471"/>
        <v>54.758845367999996</v>
      </c>
      <c r="AG1601" s="564"/>
      <c r="AH1601" s="578">
        <f>SUM(C1601:AF1601)</f>
        <v>1624.5124125840007</v>
      </c>
      <c r="AK1601" s="531"/>
      <c r="AM1601" s="594"/>
      <c r="AN1601" s="535"/>
      <c r="AP1601" s="667"/>
      <c r="AQ1601" s="667"/>
    </row>
    <row r="1602" spans="1:43" s="668" customFormat="1" ht="16.5" hidden="1" customHeight="1" outlineLevel="2">
      <c r="A1602" s="584"/>
      <c r="B1602" s="580" t="s">
        <v>937</v>
      </c>
      <c r="C1602" s="570">
        <f t="shared" ref="C1602:AF1602" si="1472">C1594*C1603</f>
        <v>36.505896912000004</v>
      </c>
      <c r="D1602" s="570">
        <f t="shared" si="1472"/>
        <v>54.758845367999996</v>
      </c>
      <c r="E1602" s="570">
        <f t="shared" si="1472"/>
        <v>54.758845367999996</v>
      </c>
      <c r="F1602" s="570">
        <f t="shared" si="1472"/>
        <v>54.758845367999996</v>
      </c>
      <c r="G1602" s="570">
        <f t="shared" si="1472"/>
        <v>54.758845367999996</v>
      </c>
      <c r="H1602" s="570">
        <f t="shared" si="1472"/>
        <v>54.758845367999996</v>
      </c>
      <c r="I1602" s="570">
        <f t="shared" si="1472"/>
        <v>54.758845367999996</v>
      </c>
      <c r="J1602" s="570">
        <f t="shared" si="1472"/>
        <v>54.758845367999996</v>
      </c>
      <c r="K1602" s="570">
        <f t="shared" si="1472"/>
        <v>54.758845367999996</v>
      </c>
      <c r="L1602" s="570">
        <f t="shared" si="1472"/>
        <v>54.758845367999996</v>
      </c>
      <c r="M1602" s="570">
        <f t="shared" si="1472"/>
        <v>54.758845367999996</v>
      </c>
      <c r="N1602" s="570">
        <f t="shared" si="1472"/>
        <v>54.758845367999996</v>
      </c>
      <c r="O1602" s="570">
        <f t="shared" si="1472"/>
        <v>54.758845367999996</v>
      </c>
      <c r="P1602" s="570">
        <f t="shared" si="1472"/>
        <v>54.758845367999996</v>
      </c>
      <c r="Q1602" s="570">
        <f t="shared" si="1472"/>
        <v>54.758845367999996</v>
      </c>
      <c r="R1602" s="570">
        <f t="shared" si="1472"/>
        <v>54.758845367999996</v>
      </c>
      <c r="S1602" s="570">
        <f t="shared" si="1472"/>
        <v>54.758845367999996</v>
      </c>
      <c r="T1602" s="570">
        <f t="shared" si="1472"/>
        <v>54.758845367999996</v>
      </c>
      <c r="U1602" s="570">
        <f t="shared" si="1472"/>
        <v>54.758845367999996</v>
      </c>
      <c r="V1602" s="570">
        <f t="shared" si="1472"/>
        <v>54.758845367999996</v>
      </c>
      <c r="W1602" s="570">
        <f t="shared" si="1472"/>
        <v>54.758845367999996</v>
      </c>
      <c r="X1602" s="570">
        <f t="shared" si="1472"/>
        <v>54.758845367999996</v>
      </c>
      <c r="Y1602" s="570">
        <f t="shared" si="1472"/>
        <v>54.758845367999996</v>
      </c>
      <c r="Z1602" s="570">
        <f t="shared" si="1472"/>
        <v>54.758845367999996</v>
      </c>
      <c r="AA1602" s="570">
        <f t="shared" si="1472"/>
        <v>54.758845367999996</v>
      </c>
      <c r="AB1602" s="570">
        <f t="shared" si="1472"/>
        <v>54.758845367999996</v>
      </c>
      <c r="AC1602" s="570">
        <f t="shared" si="1472"/>
        <v>54.758845367999996</v>
      </c>
      <c r="AD1602" s="570">
        <f t="shared" si="1472"/>
        <v>54.758845367999996</v>
      </c>
      <c r="AE1602" s="570">
        <f t="shared" si="1472"/>
        <v>54.758845367999996</v>
      </c>
      <c r="AF1602" s="570">
        <f t="shared" si="1472"/>
        <v>54.758845367999996</v>
      </c>
      <c r="AG1602" s="546"/>
      <c r="AH1602" s="571"/>
      <c r="AK1602" s="531"/>
      <c r="AM1602" s="594"/>
      <c r="AN1602" s="535"/>
      <c r="AP1602" s="669"/>
      <c r="AQ1602" s="669"/>
    </row>
    <row r="1603" spans="1:43" ht="16.5" hidden="1" customHeight="1" outlineLevel="2">
      <c r="A1603" s="584"/>
      <c r="B1603" s="585" t="s">
        <v>938</v>
      </c>
      <c r="C1603" s="670">
        <f>'Sal._benef.'!$F$11</f>
        <v>0.71030000000000004</v>
      </c>
      <c r="D1603" s="670">
        <f>C1603</f>
        <v>0.71030000000000004</v>
      </c>
      <c r="E1603" s="670">
        <f t="shared" ref="E1603:AF1603" si="1473">D1603</f>
        <v>0.71030000000000004</v>
      </c>
      <c r="F1603" s="670">
        <f t="shared" si="1473"/>
        <v>0.71030000000000004</v>
      </c>
      <c r="G1603" s="670">
        <f t="shared" si="1473"/>
        <v>0.71030000000000004</v>
      </c>
      <c r="H1603" s="670">
        <f t="shared" si="1473"/>
        <v>0.71030000000000004</v>
      </c>
      <c r="I1603" s="670">
        <f t="shared" si="1473"/>
        <v>0.71030000000000004</v>
      </c>
      <c r="J1603" s="670">
        <f t="shared" si="1473"/>
        <v>0.71030000000000004</v>
      </c>
      <c r="K1603" s="670">
        <f t="shared" si="1473"/>
        <v>0.71030000000000004</v>
      </c>
      <c r="L1603" s="670">
        <f t="shared" si="1473"/>
        <v>0.71030000000000004</v>
      </c>
      <c r="M1603" s="670">
        <f t="shared" si="1473"/>
        <v>0.71030000000000004</v>
      </c>
      <c r="N1603" s="670">
        <f t="shared" si="1473"/>
        <v>0.71030000000000004</v>
      </c>
      <c r="O1603" s="670">
        <f t="shared" si="1473"/>
        <v>0.71030000000000004</v>
      </c>
      <c r="P1603" s="670">
        <f t="shared" si="1473"/>
        <v>0.71030000000000004</v>
      </c>
      <c r="Q1603" s="670">
        <f t="shared" si="1473"/>
        <v>0.71030000000000004</v>
      </c>
      <c r="R1603" s="670">
        <f t="shared" si="1473"/>
        <v>0.71030000000000004</v>
      </c>
      <c r="S1603" s="670">
        <f t="shared" si="1473"/>
        <v>0.71030000000000004</v>
      </c>
      <c r="T1603" s="670">
        <f t="shared" si="1473"/>
        <v>0.71030000000000004</v>
      </c>
      <c r="U1603" s="670">
        <f t="shared" si="1473"/>
        <v>0.71030000000000004</v>
      </c>
      <c r="V1603" s="670">
        <f t="shared" si="1473"/>
        <v>0.71030000000000004</v>
      </c>
      <c r="W1603" s="670">
        <f t="shared" si="1473"/>
        <v>0.71030000000000004</v>
      </c>
      <c r="X1603" s="670">
        <f t="shared" si="1473"/>
        <v>0.71030000000000004</v>
      </c>
      <c r="Y1603" s="670">
        <f t="shared" si="1473"/>
        <v>0.71030000000000004</v>
      </c>
      <c r="Z1603" s="670">
        <f t="shared" si="1473"/>
        <v>0.71030000000000004</v>
      </c>
      <c r="AA1603" s="670">
        <f t="shared" si="1473"/>
        <v>0.71030000000000004</v>
      </c>
      <c r="AB1603" s="670">
        <f t="shared" si="1473"/>
        <v>0.71030000000000004</v>
      </c>
      <c r="AC1603" s="670">
        <f t="shared" si="1473"/>
        <v>0.71030000000000004</v>
      </c>
      <c r="AD1603" s="670">
        <f t="shared" si="1473"/>
        <v>0.71030000000000004</v>
      </c>
      <c r="AE1603" s="670">
        <f t="shared" si="1473"/>
        <v>0.71030000000000004</v>
      </c>
      <c r="AF1603" s="670">
        <f t="shared" si="1473"/>
        <v>0.71030000000000004</v>
      </c>
      <c r="AH1603" s="538"/>
      <c r="AK1603" s="531"/>
      <c r="AM1603" s="594"/>
      <c r="AN1603" s="535"/>
      <c r="AP1603" s="535"/>
      <c r="AQ1603" s="535"/>
    </row>
    <row r="1604" spans="1:43" s="666" customFormat="1" ht="16.5" hidden="1" customHeight="1" outlineLevel="1" collapsed="1">
      <c r="A1604" s="584"/>
      <c r="B1604" s="665" t="s">
        <v>939</v>
      </c>
      <c r="C1604" s="577">
        <f>SUM(C1605,C1611)*12/10^3</f>
        <v>15.089817599999998</v>
      </c>
      <c r="D1604" s="577">
        <f t="shared" ref="D1604:AF1604" si="1474">SUM(D1605,D1611)*12/10^3</f>
        <v>22.634726399999998</v>
      </c>
      <c r="E1604" s="577">
        <f t="shared" si="1474"/>
        <v>22.634726399999998</v>
      </c>
      <c r="F1604" s="577">
        <f t="shared" si="1474"/>
        <v>22.634726399999998</v>
      </c>
      <c r="G1604" s="577">
        <f t="shared" si="1474"/>
        <v>22.634726399999998</v>
      </c>
      <c r="H1604" s="577">
        <f t="shared" si="1474"/>
        <v>22.634726399999998</v>
      </c>
      <c r="I1604" s="577">
        <f t="shared" si="1474"/>
        <v>22.634726399999998</v>
      </c>
      <c r="J1604" s="577">
        <f t="shared" si="1474"/>
        <v>22.634726399999998</v>
      </c>
      <c r="K1604" s="577">
        <f t="shared" si="1474"/>
        <v>22.634726399999998</v>
      </c>
      <c r="L1604" s="577">
        <f t="shared" si="1474"/>
        <v>22.634726399999998</v>
      </c>
      <c r="M1604" s="577">
        <f t="shared" si="1474"/>
        <v>22.634726399999998</v>
      </c>
      <c r="N1604" s="577">
        <f t="shared" si="1474"/>
        <v>22.634726399999998</v>
      </c>
      <c r="O1604" s="577">
        <f t="shared" si="1474"/>
        <v>22.634726399999998</v>
      </c>
      <c r="P1604" s="577">
        <f t="shared" si="1474"/>
        <v>22.634726399999998</v>
      </c>
      <c r="Q1604" s="577">
        <f t="shared" si="1474"/>
        <v>22.634726399999998</v>
      </c>
      <c r="R1604" s="577">
        <f t="shared" si="1474"/>
        <v>22.634726399999998</v>
      </c>
      <c r="S1604" s="577">
        <f t="shared" si="1474"/>
        <v>22.634726399999998</v>
      </c>
      <c r="T1604" s="577">
        <f t="shared" si="1474"/>
        <v>22.634726399999998</v>
      </c>
      <c r="U1604" s="577">
        <f t="shared" si="1474"/>
        <v>22.634726399999998</v>
      </c>
      <c r="V1604" s="577">
        <f t="shared" si="1474"/>
        <v>22.634726399999998</v>
      </c>
      <c r="W1604" s="577">
        <f t="shared" si="1474"/>
        <v>22.634726399999998</v>
      </c>
      <c r="X1604" s="577">
        <f t="shared" si="1474"/>
        <v>22.634726399999998</v>
      </c>
      <c r="Y1604" s="577">
        <f t="shared" si="1474"/>
        <v>22.634726399999998</v>
      </c>
      <c r="Z1604" s="577">
        <f t="shared" si="1474"/>
        <v>22.634726399999998</v>
      </c>
      <c r="AA1604" s="577">
        <f t="shared" si="1474"/>
        <v>22.634726399999998</v>
      </c>
      <c r="AB1604" s="577">
        <f t="shared" si="1474"/>
        <v>22.634726399999998</v>
      </c>
      <c r="AC1604" s="577">
        <f t="shared" si="1474"/>
        <v>22.634726399999998</v>
      </c>
      <c r="AD1604" s="577">
        <f t="shared" si="1474"/>
        <v>22.634726399999998</v>
      </c>
      <c r="AE1604" s="577">
        <f t="shared" si="1474"/>
        <v>22.634726399999998</v>
      </c>
      <c r="AF1604" s="577">
        <f t="shared" si="1474"/>
        <v>22.634726399999998</v>
      </c>
      <c r="AG1604" s="652"/>
      <c r="AH1604" s="578">
        <f>SUM(C1604:AF1604)</f>
        <v>671.49688319999962</v>
      </c>
      <c r="AK1604" s="531"/>
      <c r="AM1604" s="594"/>
      <c r="AN1604" s="535"/>
      <c r="AP1604" s="667"/>
      <c r="AQ1604" s="667"/>
    </row>
    <row r="1605" spans="1:43" s="668" customFormat="1" ht="16.5" hidden="1" customHeight="1" outlineLevel="2">
      <c r="A1605" s="584"/>
      <c r="B1605" s="671" t="str">
        <f>B1595</f>
        <v>Auxiliar de atendimento</v>
      </c>
      <c r="C1605" s="570">
        <f>C1606*(C1607+C1608+C1609+C1610)</f>
        <v>628.74239999999998</v>
      </c>
      <c r="D1605" s="570">
        <f t="shared" ref="D1605:AF1605" si="1475">D1606*(D1607+D1608+D1609+D1610)</f>
        <v>1257.4848</v>
      </c>
      <c r="E1605" s="570">
        <f t="shared" si="1475"/>
        <v>1257.4848</v>
      </c>
      <c r="F1605" s="570">
        <f t="shared" si="1475"/>
        <v>1257.4848</v>
      </c>
      <c r="G1605" s="570">
        <f t="shared" si="1475"/>
        <v>1257.4848</v>
      </c>
      <c r="H1605" s="570">
        <f t="shared" si="1475"/>
        <v>1257.4848</v>
      </c>
      <c r="I1605" s="570">
        <f t="shared" si="1475"/>
        <v>1257.4848</v>
      </c>
      <c r="J1605" s="570">
        <f t="shared" si="1475"/>
        <v>1257.4848</v>
      </c>
      <c r="K1605" s="570">
        <f t="shared" si="1475"/>
        <v>1257.4848</v>
      </c>
      <c r="L1605" s="570">
        <f t="shared" si="1475"/>
        <v>1257.4848</v>
      </c>
      <c r="M1605" s="570">
        <f t="shared" si="1475"/>
        <v>1257.4848</v>
      </c>
      <c r="N1605" s="570">
        <f t="shared" si="1475"/>
        <v>1257.4848</v>
      </c>
      <c r="O1605" s="570">
        <f t="shared" si="1475"/>
        <v>1257.4848</v>
      </c>
      <c r="P1605" s="570">
        <f t="shared" si="1475"/>
        <v>1257.4848</v>
      </c>
      <c r="Q1605" s="570">
        <f t="shared" si="1475"/>
        <v>1257.4848</v>
      </c>
      <c r="R1605" s="570">
        <f t="shared" si="1475"/>
        <v>1257.4848</v>
      </c>
      <c r="S1605" s="570">
        <f t="shared" si="1475"/>
        <v>1257.4848</v>
      </c>
      <c r="T1605" s="570">
        <f t="shared" si="1475"/>
        <v>1257.4848</v>
      </c>
      <c r="U1605" s="570">
        <f t="shared" si="1475"/>
        <v>1257.4848</v>
      </c>
      <c r="V1605" s="570">
        <f t="shared" si="1475"/>
        <v>1257.4848</v>
      </c>
      <c r="W1605" s="570">
        <f t="shared" si="1475"/>
        <v>1257.4848</v>
      </c>
      <c r="X1605" s="570">
        <f t="shared" si="1475"/>
        <v>1257.4848</v>
      </c>
      <c r="Y1605" s="570">
        <f t="shared" si="1475"/>
        <v>1257.4848</v>
      </c>
      <c r="Z1605" s="570">
        <f t="shared" si="1475"/>
        <v>1257.4848</v>
      </c>
      <c r="AA1605" s="570">
        <f t="shared" si="1475"/>
        <v>1257.4848</v>
      </c>
      <c r="AB1605" s="570">
        <f t="shared" si="1475"/>
        <v>1257.4848</v>
      </c>
      <c r="AC1605" s="570">
        <f t="shared" si="1475"/>
        <v>1257.4848</v>
      </c>
      <c r="AD1605" s="570">
        <f t="shared" si="1475"/>
        <v>1257.4848</v>
      </c>
      <c r="AE1605" s="570">
        <f t="shared" si="1475"/>
        <v>1257.4848</v>
      </c>
      <c r="AF1605" s="570">
        <f t="shared" si="1475"/>
        <v>1257.4848</v>
      </c>
      <c r="AG1605" s="546"/>
      <c r="AH1605" s="571"/>
      <c r="AK1605" s="531"/>
      <c r="AM1605" s="594"/>
      <c r="AN1605" s="535"/>
      <c r="AP1605" s="669"/>
      <c r="AQ1605" s="669"/>
    </row>
    <row r="1606" spans="1:43" ht="16.5" hidden="1" customHeight="1" outlineLevel="2">
      <c r="A1606" s="584"/>
      <c r="B1606" s="672" t="s">
        <v>805</v>
      </c>
      <c r="C1606" s="573">
        <f t="shared" ref="C1606:AF1606" si="1476">C1596</f>
        <v>1</v>
      </c>
      <c r="D1606" s="573">
        <f t="shared" si="1476"/>
        <v>2</v>
      </c>
      <c r="E1606" s="573">
        <f t="shared" si="1476"/>
        <v>2</v>
      </c>
      <c r="F1606" s="573">
        <f t="shared" si="1476"/>
        <v>2</v>
      </c>
      <c r="G1606" s="573">
        <f t="shared" si="1476"/>
        <v>2</v>
      </c>
      <c r="H1606" s="573">
        <f t="shared" si="1476"/>
        <v>2</v>
      </c>
      <c r="I1606" s="573">
        <f t="shared" si="1476"/>
        <v>2</v>
      </c>
      <c r="J1606" s="573">
        <f t="shared" si="1476"/>
        <v>2</v>
      </c>
      <c r="K1606" s="573">
        <f t="shared" si="1476"/>
        <v>2</v>
      </c>
      <c r="L1606" s="573">
        <f t="shared" si="1476"/>
        <v>2</v>
      </c>
      <c r="M1606" s="573">
        <f t="shared" si="1476"/>
        <v>2</v>
      </c>
      <c r="N1606" s="573">
        <f t="shared" si="1476"/>
        <v>2</v>
      </c>
      <c r="O1606" s="573">
        <f t="shared" si="1476"/>
        <v>2</v>
      </c>
      <c r="P1606" s="573">
        <f t="shared" si="1476"/>
        <v>2</v>
      </c>
      <c r="Q1606" s="573">
        <f t="shared" si="1476"/>
        <v>2</v>
      </c>
      <c r="R1606" s="573">
        <f t="shared" si="1476"/>
        <v>2</v>
      </c>
      <c r="S1606" s="573">
        <f t="shared" si="1476"/>
        <v>2</v>
      </c>
      <c r="T1606" s="573">
        <f t="shared" si="1476"/>
        <v>2</v>
      </c>
      <c r="U1606" s="573">
        <f t="shared" si="1476"/>
        <v>2</v>
      </c>
      <c r="V1606" s="573">
        <f t="shared" si="1476"/>
        <v>2</v>
      </c>
      <c r="W1606" s="573">
        <f t="shared" si="1476"/>
        <v>2</v>
      </c>
      <c r="X1606" s="573">
        <f t="shared" si="1476"/>
        <v>2</v>
      </c>
      <c r="Y1606" s="573">
        <f t="shared" si="1476"/>
        <v>2</v>
      </c>
      <c r="Z1606" s="573">
        <f t="shared" si="1476"/>
        <v>2</v>
      </c>
      <c r="AA1606" s="573">
        <f t="shared" si="1476"/>
        <v>2</v>
      </c>
      <c r="AB1606" s="573">
        <f t="shared" si="1476"/>
        <v>2</v>
      </c>
      <c r="AC1606" s="573">
        <f t="shared" si="1476"/>
        <v>2</v>
      </c>
      <c r="AD1606" s="573">
        <f t="shared" si="1476"/>
        <v>2</v>
      </c>
      <c r="AE1606" s="573">
        <f t="shared" si="1476"/>
        <v>2</v>
      </c>
      <c r="AF1606" s="573">
        <f t="shared" si="1476"/>
        <v>2</v>
      </c>
      <c r="AH1606" s="538"/>
      <c r="AK1606" s="531"/>
      <c r="AM1606" s="594"/>
      <c r="AN1606" s="535"/>
      <c r="AP1606" s="535"/>
      <c r="AQ1606" s="535"/>
    </row>
    <row r="1607" spans="1:43" s="513" customFormat="1" ht="16.5" hidden="1" customHeight="1" outlineLevel="2">
      <c r="A1607" s="584"/>
      <c r="B1607" s="596" t="s">
        <v>940</v>
      </c>
      <c r="C1607" s="592">
        <f>'Sal._benef.'!$I$32</f>
        <v>500</v>
      </c>
      <c r="D1607" s="592">
        <f>C1607</f>
        <v>500</v>
      </c>
      <c r="E1607" s="592">
        <f t="shared" ref="E1607:G1610" si="1477">D1607</f>
        <v>500</v>
      </c>
      <c r="F1607" s="592">
        <f>E1607</f>
        <v>500</v>
      </c>
      <c r="G1607" s="592">
        <f>F1607</f>
        <v>500</v>
      </c>
      <c r="H1607" s="592">
        <f t="shared" ref="H1607:W1610" si="1478">G1607</f>
        <v>500</v>
      </c>
      <c r="I1607" s="592">
        <f t="shared" si="1478"/>
        <v>500</v>
      </c>
      <c r="J1607" s="592">
        <f t="shared" si="1478"/>
        <v>500</v>
      </c>
      <c r="K1607" s="592">
        <f t="shared" si="1478"/>
        <v>500</v>
      </c>
      <c r="L1607" s="592">
        <f t="shared" si="1478"/>
        <v>500</v>
      </c>
      <c r="M1607" s="592">
        <f t="shared" si="1478"/>
        <v>500</v>
      </c>
      <c r="N1607" s="592">
        <f t="shared" si="1478"/>
        <v>500</v>
      </c>
      <c r="O1607" s="592">
        <f t="shared" si="1478"/>
        <v>500</v>
      </c>
      <c r="P1607" s="592">
        <f t="shared" si="1478"/>
        <v>500</v>
      </c>
      <c r="Q1607" s="592">
        <f t="shared" si="1478"/>
        <v>500</v>
      </c>
      <c r="R1607" s="592">
        <f t="shared" si="1478"/>
        <v>500</v>
      </c>
      <c r="S1607" s="592">
        <f t="shared" si="1478"/>
        <v>500</v>
      </c>
      <c r="T1607" s="592">
        <f t="shared" si="1478"/>
        <v>500</v>
      </c>
      <c r="U1607" s="592">
        <f t="shared" si="1478"/>
        <v>500</v>
      </c>
      <c r="V1607" s="592">
        <f t="shared" si="1478"/>
        <v>500</v>
      </c>
      <c r="W1607" s="592">
        <f t="shared" si="1478"/>
        <v>500</v>
      </c>
      <c r="X1607" s="592">
        <f t="shared" ref="X1607:AF1610" si="1479">W1607</f>
        <v>500</v>
      </c>
      <c r="Y1607" s="592">
        <f t="shared" si="1479"/>
        <v>500</v>
      </c>
      <c r="Z1607" s="592">
        <f t="shared" si="1479"/>
        <v>500</v>
      </c>
      <c r="AA1607" s="592">
        <f t="shared" si="1479"/>
        <v>500</v>
      </c>
      <c r="AB1607" s="592">
        <f t="shared" si="1479"/>
        <v>500</v>
      </c>
      <c r="AC1607" s="592">
        <f t="shared" si="1479"/>
        <v>500</v>
      </c>
      <c r="AD1607" s="592">
        <f t="shared" si="1479"/>
        <v>500</v>
      </c>
      <c r="AE1607" s="592">
        <f t="shared" si="1479"/>
        <v>500</v>
      </c>
      <c r="AF1607" s="592">
        <f t="shared" si="1479"/>
        <v>500</v>
      </c>
      <c r="AH1607" s="538"/>
      <c r="AK1607" s="531"/>
      <c r="AM1607" s="594"/>
      <c r="AN1607" s="535"/>
      <c r="AP1607" s="540"/>
      <c r="AQ1607" s="540"/>
    </row>
    <row r="1608" spans="1:43" s="513" customFormat="1" ht="16.5" hidden="1" customHeight="1" outlineLevel="2">
      <c r="A1608" s="584"/>
      <c r="B1608" s="596" t="s">
        <v>941</v>
      </c>
      <c r="C1608" s="592">
        <f>'Sal._benef.'!$K$32</f>
        <v>5.53</v>
      </c>
      <c r="D1608" s="592">
        <f>C1608</f>
        <v>5.53</v>
      </c>
      <c r="E1608" s="592">
        <f t="shared" si="1477"/>
        <v>5.53</v>
      </c>
      <c r="F1608" s="592">
        <f t="shared" si="1477"/>
        <v>5.53</v>
      </c>
      <c r="G1608" s="592">
        <f t="shared" si="1477"/>
        <v>5.53</v>
      </c>
      <c r="H1608" s="592">
        <f t="shared" si="1478"/>
        <v>5.53</v>
      </c>
      <c r="I1608" s="592">
        <f t="shared" si="1478"/>
        <v>5.53</v>
      </c>
      <c r="J1608" s="592">
        <f t="shared" si="1478"/>
        <v>5.53</v>
      </c>
      <c r="K1608" s="592">
        <f t="shared" si="1478"/>
        <v>5.53</v>
      </c>
      <c r="L1608" s="592">
        <f t="shared" si="1478"/>
        <v>5.53</v>
      </c>
      <c r="M1608" s="592">
        <f t="shared" si="1478"/>
        <v>5.53</v>
      </c>
      <c r="N1608" s="592">
        <f t="shared" si="1478"/>
        <v>5.53</v>
      </c>
      <c r="O1608" s="592">
        <f t="shared" si="1478"/>
        <v>5.53</v>
      </c>
      <c r="P1608" s="592">
        <f t="shared" si="1478"/>
        <v>5.53</v>
      </c>
      <c r="Q1608" s="592">
        <f t="shared" si="1478"/>
        <v>5.53</v>
      </c>
      <c r="R1608" s="592">
        <f t="shared" si="1478"/>
        <v>5.53</v>
      </c>
      <c r="S1608" s="592">
        <f t="shared" si="1478"/>
        <v>5.53</v>
      </c>
      <c r="T1608" s="592">
        <f t="shared" si="1478"/>
        <v>5.53</v>
      </c>
      <c r="U1608" s="592">
        <f t="shared" si="1478"/>
        <v>5.53</v>
      </c>
      <c r="V1608" s="592">
        <f t="shared" si="1478"/>
        <v>5.53</v>
      </c>
      <c r="W1608" s="592">
        <f t="shared" si="1478"/>
        <v>5.53</v>
      </c>
      <c r="X1608" s="592">
        <f t="shared" si="1479"/>
        <v>5.53</v>
      </c>
      <c r="Y1608" s="592">
        <f t="shared" si="1479"/>
        <v>5.53</v>
      </c>
      <c r="Z1608" s="592">
        <f t="shared" si="1479"/>
        <v>5.53</v>
      </c>
      <c r="AA1608" s="592">
        <f t="shared" si="1479"/>
        <v>5.53</v>
      </c>
      <c r="AB1608" s="592">
        <f t="shared" si="1479"/>
        <v>5.53</v>
      </c>
      <c r="AC1608" s="592">
        <f t="shared" si="1479"/>
        <v>5.53</v>
      </c>
      <c r="AD1608" s="592">
        <f t="shared" si="1479"/>
        <v>5.53</v>
      </c>
      <c r="AE1608" s="592">
        <f t="shared" si="1479"/>
        <v>5.53</v>
      </c>
      <c r="AF1608" s="592">
        <f t="shared" si="1479"/>
        <v>5.53</v>
      </c>
      <c r="AH1608" s="538"/>
      <c r="AK1608" s="531"/>
      <c r="AM1608" s="594"/>
      <c r="AN1608" s="535"/>
      <c r="AP1608" s="540"/>
      <c r="AQ1608" s="540"/>
    </row>
    <row r="1609" spans="1:43" s="513" customFormat="1" ht="16.5" hidden="1" customHeight="1" outlineLevel="2">
      <c r="A1609" s="584"/>
      <c r="B1609" s="596" t="s">
        <v>942</v>
      </c>
      <c r="C1609" s="592">
        <f>'Sal._benef.'!$J$32</f>
        <v>123.21240000000003</v>
      </c>
      <c r="D1609" s="592">
        <f>C1609</f>
        <v>123.21240000000003</v>
      </c>
      <c r="E1609" s="592">
        <f t="shared" si="1477"/>
        <v>123.21240000000003</v>
      </c>
      <c r="F1609" s="592">
        <f t="shared" si="1477"/>
        <v>123.21240000000003</v>
      </c>
      <c r="G1609" s="592">
        <f t="shared" si="1477"/>
        <v>123.21240000000003</v>
      </c>
      <c r="H1609" s="592">
        <f t="shared" si="1478"/>
        <v>123.21240000000003</v>
      </c>
      <c r="I1609" s="592">
        <f t="shared" si="1478"/>
        <v>123.21240000000003</v>
      </c>
      <c r="J1609" s="592">
        <f t="shared" si="1478"/>
        <v>123.21240000000003</v>
      </c>
      <c r="K1609" s="592">
        <f t="shared" si="1478"/>
        <v>123.21240000000003</v>
      </c>
      <c r="L1609" s="592">
        <f t="shared" si="1478"/>
        <v>123.21240000000003</v>
      </c>
      <c r="M1609" s="592">
        <f t="shared" si="1478"/>
        <v>123.21240000000003</v>
      </c>
      <c r="N1609" s="592">
        <f t="shared" si="1478"/>
        <v>123.21240000000003</v>
      </c>
      <c r="O1609" s="592">
        <f t="shared" si="1478"/>
        <v>123.21240000000003</v>
      </c>
      <c r="P1609" s="592">
        <f t="shared" si="1478"/>
        <v>123.21240000000003</v>
      </c>
      <c r="Q1609" s="592">
        <f t="shared" si="1478"/>
        <v>123.21240000000003</v>
      </c>
      <c r="R1609" s="592">
        <f t="shared" si="1478"/>
        <v>123.21240000000003</v>
      </c>
      <c r="S1609" s="592">
        <f t="shared" si="1478"/>
        <v>123.21240000000003</v>
      </c>
      <c r="T1609" s="592">
        <f t="shared" si="1478"/>
        <v>123.21240000000003</v>
      </c>
      <c r="U1609" s="592">
        <f t="shared" si="1478"/>
        <v>123.21240000000003</v>
      </c>
      <c r="V1609" s="592">
        <f t="shared" si="1478"/>
        <v>123.21240000000003</v>
      </c>
      <c r="W1609" s="592">
        <f t="shared" si="1478"/>
        <v>123.21240000000003</v>
      </c>
      <c r="X1609" s="592">
        <f t="shared" si="1479"/>
        <v>123.21240000000003</v>
      </c>
      <c r="Y1609" s="592">
        <f t="shared" si="1479"/>
        <v>123.21240000000003</v>
      </c>
      <c r="Z1609" s="592">
        <f t="shared" si="1479"/>
        <v>123.21240000000003</v>
      </c>
      <c r="AA1609" s="592">
        <f t="shared" si="1479"/>
        <v>123.21240000000003</v>
      </c>
      <c r="AB1609" s="592">
        <f t="shared" si="1479"/>
        <v>123.21240000000003</v>
      </c>
      <c r="AC1609" s="592">
        <f t="shared" si="1479"/>
        <v>123.21240000000003</v>
      </c>
      <c r="AD1609" s="592">
        <f t="shared" si="1479"/>
        <v>123.21240000000003</v>
      </c>
      <c r="AE1609" s="592">
        <f t="shared" si="1479"/>
        <v>123.21240000000003</v>
      </c>
      <c r="AF1609" s="592">
        <f t="shared" si="1479"/>
        <v>123.21240000000003</v>
      </c>
      <c r="AH1609" s="538"/>
      <c r="AK1609" s="531"/>
      <c r="AM1609" s="594"/>
      <c r="AN1609" s="535"/>
      <c r="AP1609" s="540"/>
      <c r="AQ1609" s="540"/>
    </row>
    <row r="1610" spans="1:43" s="513" customFormat="1" ht="16.5" hidden="1" customHeight="1" outlineLevel="2">
      <c r="A1610" s="584"/>
      <c r="B1610" s="572" t="s">
        <v>862</v>
      </c>
      <c r="C1610" s="592">
        <v>0</v>
      </c>
      <c r="D1610" s="592">
        <f t="shared" ref="D1610" si="1480">C1610</f>
        <v>0</v>
      </c>
      <c r="E1610" s="592">
        <f t="shared" si="1477"/>
        <v>0</v>
      </c>
      <c r="F1610" s="592">
        <f t="shared" si="1477"/>
        <v>0</v>
      </c>
      <c r="G1610" s="592">
        <f t="shared" si="1477"/>
        <v>0</v>
      </c>
      <c r="H1610" s="592">
        <f t="shared" si="1478"/>
        <v>0</v>
      </c>
      <c r="I1610" s="592">
        <f t="shared" si="1478"/>
        <v>0</v>
      </c>
      <c r="J1610" s="592">
        <f t="shared" si="1478"/>
        <v>0</v>
      </c>
      <c r="K1610" s="592">
        <f t="shared" si="1478"/>
        <v>0</v>
      </c>
      <c r="L1610" s="592">
        <f t="shared" si="1478"/>
        <v>0</v>
      </c>
      <c r="M1610" s="592">
        <f t="shared" si="1478"/>
        <v>0</v>
      </c>
      <c r="N1610" s="592">
        <f t="shared" si="1478"/>
        <v>0</v>
      </c>
      <c r="O1610" s="592">
        <f t="shared" si="1478"/>
        <v>0</v>
      </c>
      <c r="P1610" s="592">
        <f t="shared" si="1478"/>
        <v>0</v>
      </c>
      <c r="Q1610" s="592">
        <f t="shared" si="1478"/>
        <v>0</v>
      </c>
      <c r="R1610" s="592">
        <f t="shared" si="1478"/>
        <v>0</v>
      </c>
      <c r="S1610" s="592">
        <f t="shared" si="1478"/>
        <v>0</v>
      </c>
      <c r="T1610" s="592">
        <f t="shared" si="1478"/>
        <v>0</v>
      </c>
      <c r="U1610" s="592">
        <f t="shared" si="1478"/>
        <v>0</v>
      </c>
      <c r="V1610" s="592">
        <f t="shared" si="1478"/>
        <v>0</v>
      </c>
      <c r="W1610" s="592">
        <f t="shared" si="1478"/>
        <v>0</v>
      </c>
      <c r="X1610" s="592">
        <f t="shared" si="1479"/>
        <v>0</v>
      </c>
      <c r="Y1610" s="592">
        <f t="shared" si="1479"/>
        <v>0</v>
      </c>
      <c r="Z1610" s="592">
        <f t="shared" si="1479"/>
        <v>0</v>
      </c>
      <c r="AA1610" s="592">
        <f t="shared" si="1479"/>
        <v>0</v>
      </c>
      <c r="AB1610" s="592">
        <f t="shared" si="1479"/>
        <v>0</v>
      </c>
      <c r="AC1610" s="592">
        <f t="shared" si="1479"/>
        <v>0</v>
      </c>
      <c r="AD1610" s="592">
        <f t="shared" si="1479"/>
        <v>0</v>
      </c>
      <c r="AE1610" s="592">
        <f t="shared" si="1479"/>
        <v>0</v>
      </c>
      <c r="AF1610" s="592">
        <f t="shared" si="1479"/>
        <v>0</v>
      </c>
      <c r="AH1610" s="538"/>
      <c r="AK1610" s="531"/>
      <c r="AM1610" s="594"/>
      <c r="AN1610" s="535"/>
      <c r="AP1610" s="540"/>
      <c r="AQ1610" s="540"/>
    </row>
    <row r="1611" spans="1:43" s="668" customFormat="1" ht="16.5" hidden="1" customHeight="1" outlineLevel="2">
      <c r="A1611" s="584"/>
      <c r="B1611" s="671" t="str">
        <f>B1598</f>
        <v>Auxiliar de CPD</v>
      </c>
      <c r="C1611" s="570">
        <f>C1612*(C1613+C1614+C1615+C1616)</f>
        <v>628.74239999999998</v>
      </c>
      <c r="D1611" s="570">
        <f t="shared" ref="D1611:AF1611" si="1481">D1612*(D1613+D1614+D1615+D1616)</f>
        <v>628.74239999999998</v>
      </c>
      <c r="E1611" s="570">
        <f t="shared" si="1481"/>
        <v>628.74239999999998</v>
      </c>
      <c r="F1611" s="570">
        <f t="shared" si="1481"/>
        <v>628.74239999999998</v>
      </c>
      <c r="G1611" s="570">
        <f t="shared" si="1481"/>
        <v>628.74239999999998</v>
      </c>
      <c r="H1611" s="570">
        <f t="shared" si="1481"/>
        <v>628.74239999999998</v>
      </c>
      <c r="I1611" s="570">
        <f t="shared" si="1481"/>
        <v>628.74239999999998</v>
      </c>
      <c r="J1611" s="570">
        <f t="shared" si="1481"/>
        <v>628.74239999999998</v>
      </c>
      <c r="K1611" s="570">
        <f t="shared" si="1481"/>
        <v>628.74239999999998</v>
      </c>
      <c r="L1611" s="570">
        <f t="shared" si="1481"/>
        <v>628.74239999999998</v>
      </c>
      <c r="M1611" s="570">
        <f t="shared" si="1481"/>
        <v>628.74239999999998</v>
      </c>
      <c r="N1611" s="570">
        <f t="shared" si="1481"/>
        <v>628.74239999999998</v>
      </c>
      <c r="O1611" s="570">
        <f t="shared" si="1481"/>
        <v>628.74239999999998</v>
      </c>
      <c r="P1611" s="570">
        <f t="shared" si="1481"/>
        <v>628.74239999999998</v>
      </c>
      <c r="Q1611" s="570">
        <f t="shared" si="1481"/>
        <v>628.74239999999998</v>
      </c>
      <c r="R1611" s="570">
        <f t="shared" si="1481"/>
        <v>628.74239999999998</v>
      </c>
      <c r="S1611" s="570">
        <f t="shared" si="1481"/>
        <v>628.74239999999998</v>
      </c>
      <c r="T1611" s="570">
        <f t="shared" si="1481"/>
        <v>628.74239999999998</v>
      </c>
      <c r="U1611" s="570">
        <f t="shared" si="1481"/>
        <v>628.74239999999998</v>
      </c>
      <c r="V1611" s="570">
        <f t="shared" si="1481"/>
        <v>628.74239999999998</v>
      </c>
      <c r="W1611" s="570">
        <f t="shared" si="1481"/>
        <v>628.74239999999998</v>
      </c>
      <c r="X1611" s="570">
        <f t="shared" si="1481"/>
        <v>628.74239999999998</v>
      </c>
      <c r="Y1611" s="570">
        <f t="shared" si="1481"/>
        <v>628.74239999999998</v>
      </c>
      <c r="Z1611" s="570">
        <f t="shared" si="1481"/>
        <v>628.74239999999998</v>
      </c>
      <c r="AA1611" s="570">
        <f t="shared" si="1481"/>
        <v>628.74239999999998</v>
      </c>
      <c r="AB1611" s="570">
        <f t="shared" si="1481"/>
        <v>628.74239999999998</v>
      </c>
      <c r="AC1611" s="570">
        <f t="shared" si="1481"/>
        <v>628.74239999999998</v>
      </c>
      <c r="AD1611" s="570">
        <f t="shared" si="1481"/>
        <v>628.74239999999998</v>
      </c>
      <c r="AE1611" s="570">
        <f t="shared" si="1481"/>
        <v>628.74239999999998</v>
      </c>
      <c r="AF1611" s="570">
        <f t="shared" si="1481"/>
        <v>628.74239999999998</v>
      </c>
      <c r="AG1611" s="546"/>
      <c r="AH1611" s="571"/>
      <c r="AK1611" s="531"/>
      <c r="AM1611" s="594"/>
      <c r="AN1611" s="535"/>
      <c r="AP1611" s="669"/>
      <c r="AQ1611" s="669"/>
    </row>
    <row r="1612" spans="1:43" ht="16.5" hidden="1" customHeight="1" outlineLevel="2">
      <c r="A1612" s="584"/>
      <c r="B1612" s="672" t="s">
        <v>805</v>
      </c>
      <c r="C1612" s="573">
        <f t="shared" ref="C1612:AF1612" si="1482">C1599</f>
        <v>1</v>
      </c>
      <c r="D1612" s="573">
        <f t="shared" si="1482"/>
        <v>1</v>
      </c>
      <c r="E1612" s="573">
        <f t="shared" si="1482"/>
        <v>1</v>
      </c>
      <c r="F1612" s="573">
        <f t="shared" si="1482"/>
        <v>1</v>
      </c>
      <c r="G1612" s="573">
        <f t="shared" si="1482"/>
        <v>1</v>
      </c>
      <c r="H1612" s="573">
        <f t="shared" si="1482"/>
        <v>1</v>
      </c>
      <c r="I1612" s="573">
        <f t="shared" si="1482"/>
        <v>1</v>
      </c>
      <c r="J1612" s="573">
        <f t="shared" si="1482"/>
        <v>1</v>
      </c>
      <c r="K1612" s="573">
        <f t="shared" si="1482"/>
        <v>1</v>
      </c>
      <c r="L1612" s="573">
        <f t="shared" si="1482"/>
        <v>1</v>
      </c>
      <c r="M1612" s="573">
        <f t="shared" si="1482"/>
        <v>1</v>
      </c>
      <c r="N1612" s="573">
        <f t="shared" si="1482"/>
        <v>1</v>
      </c>
      <c r="O1612" s="573">
        <f t="shared" si="1482"/>
        <v>1</v>
      </c>
      <c r="P1612" s="573">
        <f t="shared" si="1482"/>
        <v>1</v>
      </c>
      <c r="Q1612" s="573">
        <f t="shared" si="1482"/>
        <v>1</v>
      </c>
      <c r="R1612" s="573">
        <f t="shared" si="1482"/>
        <v>1</v>
      </c>
      <c r="S1612" s="573">
        <f t="shared" si="1482"/>
        <v>1</v>
      </c>
      <c r="T1612" s="573">
        <f t="shared" si="1482"/>
        <v>1</v>
      </c>
      <c r="U1612" s="573">
        <f t="shared" si="1482"/>
        <v>1</v>
      </c>
      <c r="V1612" s="573">
        <f t="shared" si="1482"/>
        <v>1</v>
      </c>
      <c r="W1612" s="573">
        <f t="shared" si="1482"/>
        <v>1</v>
      </c>
      <c r="X1612" s="573">
        <f t="shared" si="1482"/>
        <v>1</v>
      </c>
      <c r="Y1612" s="573">
        <f t="shared" si="1482"/>
        <v>1</v>
      </c>
      <c r="Z1612" s="573">
        <f t="shared" si="1482"/>
        <v>1</v>
      </c>
      <c r="AA1612" s="573">
        <f t="shared" si="1482"/>
        <v>1</v>
      </c>
      <c r="AB1612" s="573">
        <f t="shared" si="1482"/>
        <v>1</v>
      </c>
      <c r="AC1612" s="573">
        <f t="shared" si="1482"/>
        <v>1</v>
      </c>
      <c r="AD1612" s="573">
        <f t="shared" si="1482"/>
        <v>1</v>
      </c>
      <c r="AE1612" s="573">
        <f t="shared" si="1482"/>
        <v>1</v>
      </c>
      <c r="AF1612" s="573">
        <f t="shared" si="1482"/>
        <v>1</v>
      </c>
      <c r="AH1612" s="538"/>
      <c r="AK1612" s="531"/>
      <c r="AM1612" s="594"/>
      <c r="AN1612" s="535"/>
      <c r="AP1612" s="535"/>
      <c r="AQ1612" s="535"/>
    </row>
    <row r="1613" spans="1:43" s="513" customFormat="1" ht="16.5" hidden="1" customHeight="1" outlineLevel="2">
      <c r="A1613" s="584"/>
      <c r="B1613" s="596" t="s">
        <v>940</v>
      </c>
      <c r="C1613" s="592">
        <f>'Sal._benef.'!$I$33</f>
        <v>500</v>
      </c>
      <c r="D1613" s="592">
        <f>C1613</f>
        <v>500</v>
      </c>
      <c r="E1613" s="592">
        <f t="shared" ref="E1613:G1616" si="1483">D1613</f>
        <v>500</v>
      </c>
      <c r="F1613" s="592">
        <f t="shared" si="1483"/>
        <v>500</v>
      </c>
      <c r="G1613" s="592">
        <f>F1613</f>
        <v>500</v>
      </c>
      <c r="H1613" s="592">
        <f t="shared" ref="H1613:W1616" si="1484">G1613</f>
        <v>500</v>
      </c>
      <c r="I1613" s="592">
        <f t="shared" si="1484"/>
        <v>500</v>
      </c>
      <c r="J1613" s="592">
        <f t="shared" si="1484"/>
        <v>500</v>
      </c>
      <c r="K1613" s="592">
        <f t="shared" si="1484"/>
        <v>500</v>
      </c>
      <c r="L1613" s="592">
        <f t="shared" si="1484"/>
        <v>500</v>
      </c>
      <c r="M1613" s="592">
        <f t="shared" si="1484"/>
        <v>500</v>
      </c>
      <c r="N1613" s="592">
        <f t="shared" si="1484"/>
        <v>500</v>
      </c>
      <c r="O1613" s="592">
        <f t="shared" si="1484"/>
        <v>500</v>
      </c>
      <c r="P1613" s="592">
        <f t="shared" si="1484"/>
        <v>500</v>
      </c>
      <c r="Q1613" s="592">
        <f t="shared" si="1484"/>
        <v>500</v>
      </c>
      <c r="R1613" s="592">
        <f t="shared" si="1484"/>
        <v>500</v>
      </c>
      <c r="S1613" s="592">
        <f t="shared" si="1484"/>
        <v>500</v>
      </c>
      <c r="T1613" s="592">
        <f t="shared" si="1484"/>
        <v>500</v>
      </c>
      <c r="U1613" s="592">
        <f t="shared" si="1484"/>
        <v>500</v>
      </c>
      <c r="V1613" s="592">
        <f t="shared" si="1484"/>
        <v>500</v>
      </c>
      <c r="W1613" s="592">
        <f t="shared" si="1484"/>
        <v>500</v>
      </c>
      <c r="X1613" s="592">
        <f t="shared" ref="X1613:AF1616" si="1485">W1613</f>
        <v>500</v>
      </c>
      <c r="Y1613" s="592">
        <f t="shared" si="1485"/>
        <v>500</v>
      </c>
      <c r="Z1613" s="592">
        <f t="shared" si="1485"/>
        <v>500</v>
      </c>
      <c r="AA1613" s="592">
        <f t="shared" si="1485"/>
        <v>500</v>
      </c>
      <c r="AB1613" s="592">
        <f t="shared" si="1485"/>
        <v>500</v>
      </c>
      <c r="AC1613" s="592">
        <f t="shared" si="1485"/>
        <v>500</v>
      </c>
      <c r="AD1613" s="592">
        <f t="shared" si="1485"/>
        <v>500</v>
      </c>
      <c r="AE1613" s="592">
        <f t="shared" si="1485"/>
        <v>500</v>
      </c>
      <c r="AF1613" s="592">
        <f t="shared" si="1485"/>
        <v>500</v>
      </c>
      <c r="AH1613" s="538"/>
      <c r="AK1613" s="531"/>
      <c r="AM1613" s="594"/>
      <c r="AN1613" s="535"/>
      <c r="AP1613" s="540"/>
      <c r="AQ1613" s="540"/>
    </row>
    <row r="1614" spans="1:43" s="513" customFormat="1" ht="16.5" hidden="1" customHeight="1" outlineLevel="2">
      <c r="A1614" s="584"/>
      <c r="B1614" s="596" t="s">
        <v>941</v>
      </c>
      <c r="C1614" s="592">
        <f>'Sal._benef.'!$K$33</f>
        <v>5.53</v>
      </c>
      <c r="D1614" s="592">
        <f>C1614</f>
        <v>5.53</v>
      </c>
      <c r="E1614" s="592">
        <f t="shared" si="1483"/>
        <v>5.53</v>
      </c>
      <c r="F1614" s="592">
        <f t="shared" si="1483"/>
        <v>5.53</v>
      </c>
      <c r="G1614" s="592">
        <f t="shared" si="1483"/>
        <v>5.53</v>
      </c>
      <c r="H1614" s="592">
        <f t="shared" si="1484"/>
        <v>5.53</v>
      </c>
      <c r="I1614" s="592">
        <f t="shared" si="1484"/>
        <v>5.53</v>
      </c>
      <c r="J1614" s="592">
        <f t="shared" si="1484"/>
        <v>5.53</v>
      </c>
      <c r="K1614" s="592">
        <f t="shared" si="1484"/>
        <v>5.53</v>
      </c>
      <c r="L1614" s="592">
        <f t="shared" si="1484"/>
        <v>5.53</v>
      </c>
      <c r="M1614" s="592">
        <f t="shared" si="1484"/>
        <v>5.53</v>
      </c>
      <c r="N1614" s="592">
        <f t="shared" si="1484"/>
        <v>5.53</v>
      </c>
      <c r="O1614" s="592">
        <f t="shared" si="1484"/>
        <v>5.53</v>
      </c>
      <c r="P1614" s="592">
        <f t="shared" si="1484"/>
        <v>5.53</v>
      </c>
      <c r="Q1614" s="592">
        <f t="shared" si="1484"/>
        <v>5.53</v>
      </c>
      <c r="R1614" s="592">
        <f t="shared" si="1484"/>
        <v>5.53</v>
      </c>
      <c r="S1614" s="592">
        <f t="shared" si="1484"/>
        <v>5.53</v>
      </c>
      <c r="T1614" s="592">
        <f t="shared" si="1484"/>
        <v>5.53</v>
      </c>
      <c r="U1614" s="592">
        <f t="shared" si="1484"/>
        <v>5.53</v>
      </c>
      <c r="V1614" s="592">
        <f t="shared" si="1484"/>
        <v>5.53</v>
      </c>
      <c r="W1614" s="592">
        <f t="shared" si="1484"/>
        <v>5.53</v>
      </c>
      <c r="X1614" s="592">
        <f t="shared" si="1485"/>
        <v>5.53</v>
      </c>
      <c r="Y1614" s="592">
        <f t="shared" si="1485"/>
        <v>5.53</v>
      </c>
      <c r="Z1614" s="592">
        <f t="shared" si="1485"/>
        <v>5.53</v>
      </c>
      <c r="AA1614" s="592">
        <f t="shared" si="1485"/>
        <v>5.53</v>
      </c>
      <c r="AB1614" s="592">
        <f t="shared" si="1485"/>
        <v>5.53</v>
      </c>
      <c r="AC1614" s="592">
        <f t="shared" si="1485"/>
        <v>5.53</v>
      </c>
      <c r="AD1614" s="592">
        <f t="shared" si="1485"/>
        <v>5.53</v>
      </c>
      <c r="AE1614" s="592">
        <f t="shared" si="1485"/>
        <v>5.53</v>
      </c>
      <c r="AF1614" s="592">
        <f t="shared" si="1485"/>
        <v>5.53</v>
      </c>
      <c r="AH1614" s="538"/>
      <c r="AK1614" s="531"/>
      <c r="AM1614" s="594"/>
      <c r="AN1614" s="535"/>
      <c r="AP1614" s="540"/>
      <c r="AQ1614" s="540"/>
    </row>
    <row r="1615" spans="1:43" s="513" customFormat="1" ht="16.5" hidden="1" customHeight="1" outlineLevel="2">
      <c r="A1615" s="584"/>
      <c r="B1615" s="596" t="s">
        <v>942</v>
      </c>
      <c r="C1615" s="592">
        <f>'Sal._benef.'!$J$33</f>
        <v>123.21240000000003</v>
      </c>
      <c r="D1615" s="592">
        <f>C1615</f>
        <v>123.21240000000003</v>
      </c>
      <c r="E1615" s="592">
        <f t="shared" si="1483"/>
        <v>123.21240000000003</v>
      </c>
      <c r="F1615" s="592">
        <f t="shared" si="1483"/>
        <v>123.21240000000003</v>
      </c>
      <c r="G1615" s="592">
        <f t="shared" si="1483"/>
        <v>123.21240000000003</v>
      </c>
      <c r="H1615" s="592">
        <f t="shared" si="1484"/>
        <v>123.21240000000003</v>
      </c>
      <c r="I1615" s="592">
        <f t="shared" si="1484"/>
        <v>123.21240000000003</v>
      </c>
      <c r="J1615" s="592">
        <f t="shared" si="1484"/>
        <v>123.21240000000003</v>
      </c>
      <c r="K1615" s="592">
        <f t="shared" si="1484"/>
        <v>123.21240000000003</v>
      </c>
      <c r="L1615" s="592">
        <f t="shared" si="1484"/>
        <v>123.21240000000003</v>
      </c>
      <c r="M1615" s="592">
        <f t="shared" si="1484"/>
        <v>123.21240000000003</v>
      </c>
      <c r="N1615" s="592">
        <f t="shared" si="1484"/>
        <v>123.21240000000003</v>
      </c>
      <c r="O1615" s="592">
        <f t="shared" si="1484"/>
        <v>123.21240000000003</v>
      </c>
      <c r="P1615" s="592">
        <f t="shared" si="1484"/>
        <v>123.21240000000003</v>
      </c>
      <c r="Q1615" s="592">
        <f t="shared" si="1484"/>
        <v>123.21240000000003</v>
      </c>
      <c r="R1615" s="592">
        <f t="shared" si="1484"/>
        <v>123.21240000000003</v>
      </c>
      <c r="S1615" s="592">
        <f t="shared" si="1484"/>
        <v>123.21240000000003</v>
      </c>
      <c r="T1615" s="592">
        <f t="shared" si="1484"/>
        <v>123.21240000000003</v>
      </c>
      <c r="U1615" s="592">
        <f t="shared" si="1484"/>
        <v>123.21240000000003</v>
      </c>
      <c r="V1615" s="592">
        <f t="shared" si="1484"/>
        <v>123.21240000000003</v>
      </c>
      <c r="W1615" s="592">
        <f t="shared" si="1484"/>
        <v>123.21240000000003</v>
      </c>
      <c r="X1615" s="592">
        <f t="shared" si="1485"/>
        <v>123.21240000000003</v>
      </c>
      <c r="Y1615" s="592">
        <f t="shared" si="1485"/>
        <v>123.21240000000003</v>
      </c>
      <c r="Z1615" s="592">
        <f t="shared" si="1485"/>
        <v>123.21240000000003</v>
      </c>
      <c r="AA1615" s="592">
        <f t="shared" si="1485"/>
        <v>123.21240000000003</v>
      </c>
      <c r="AB1615" s="592">
        <f t="shared" si="1485"/>
        <v>123.21240000000003</v>
      </c>
      <c r="AC1615" s="592">
        <f t="shared" si="1485"/>
        <v>123.21240000000003</v>
      </c>
      <c r="AD1615" s="592">
        <f t="shared" si="1485"/>
        <v>123.21240000000003</v>
      </c>
      <c r="AE1615" s="592">
        <f t="shared" si="1485"/>
        <v>123.21240000000003</v>
      </c>
      <c r="AF1615" s="592">
        <f t="shared" si="1485"/>
        <v>123.21240000000003</v>
      </c>
      <c r="AH1615" s="538"/>
      <c r="AK1615" s="531"/>
      <c r="AM1615" s="594"/>
      <c r="AN1615" s="535"/>
      <c r="AP1615" s="540"/>
      <c r="AQ1615" s="540"/>
    </row>
    <row r="1616" spans="1:43" s="513" customFormat="1" ht="16.5" hidden="1" customHeight="1" outlineLevel="2">
      <c r="A1616" s="584"/>
      <c r="B1616" s="596" t="s">
        <v>862</v>
      </c>
      <c r="C1616" s="592">
        <v>0</v>
      </c>
      <c r="D1616" s="592">
        <f t="shared" ref="D1616" si="1486">C1616</f>
        <v>0</v>
      </c>
      <c r="E1616" s="592">
        <f t="shared" si="1483"/>
        <v>0</v>
      </c>
      <c r="F1616" s="592">
        <f t="shared" si="1483"/>
        <v>0</v>
      </c>
      <c r="G1616" s="592">
        <f t="shared" si="1483"/>
        <v>0</v>
      </c>
      <c r="H1616" s="592">
        <f t="shared" si="1484"/>
        <v>0</v>
      </c>
      <c r="I1616" s="592">
        <f t="shared" si="1484"/>
        <v>0</v>
      </c>
      <c r="J1616" s="592">
        <f t="shared" si="1484"/>
        <v>0</v>
      </c>
      <c r="K1616" s="592">
        <f t="shared" si="1484"/>
        <v>0</v>
      </c>
      <c r="L1616" s="592">
        <f t="shared" si="1484"/>
        <v>0</v>
      </c>
      <c r="M1616" s="592">
        <f t="shared" si="1484"/>
        <v>0</v>
      </c>
      <c r="N1616" s="592">
        <f t="shared" si="1484"/>
        <v>0</v>
      </c>
      <c r="O1616" s="592">
        <f t="shared" si="1484"/>
        <v>0</v>
      </c>
      <c r="P1616" s="592">
        <f t="shared" si="1484"/>
        <v>0</v>
      </c>
      <c r="Q1616" s="592">
        <f t="shared" si="1484"/>
        <v>0</v>
      </c>
      <c r="R1616" s="592">
        <f t="shared" si="1484"/>
        <v>0</v>
      </c>
      <c r="S1616" s="592">
        <f t="shared" si="1484"/>
        <v>0</v>
      </c>
      <c r="T1616" s="592">
        <f t="shared" si="1484"/>
        <v>0</v>
      </c>
      <c r="U1616" s="592">
        <f t="shared" si="1484"/>
        <v>0</v>
      </c>
      <c r="V1616" s="592">
        <f t="shared" si="1484"/>
        <v>0</v>
      </c>
      <c r="W1616" s="592">
        <f t="shared" si="1484"/>
        <v>0</v>
      </c>
      <c r="X1616" s="592">
        <f t="shared" si="1485"/>
        <v>0</v>
      </c>
      <c r="Y1616" s="592">
        <f t="shared" si="1485"/>
        <v>0</v>
      </c>
      <c r="Z1616" s="592">
        <f t="shared" si="1485"/>
        <v>0</v>
      </c>
      <c r="AA1616" s="592">
        <f t="shared" si="1485"/>
        <v>0</v>
      </c>
      <c r="AB1616" s="592">
        <f t="shared" si="1485"/>
        <v>0</v>
      </c>
      <c r="AC1616" s="592">
        <f t="shared" si="1485"/>
        <v>0</v>
      </c>
      <c r="AD1616" s="592">
        <f t="shared" si="1485"/>
        <v>0</v>
      </c>
      <c r="AE1616" s="592">
        <f t="shared" si="1485"/>
        <v>0</v>
      </c>
      <c r="AF1616" s="592">
        <f t="shared" si="1485"/>
        <v>0</v>
      </c>
      <c r="AH1616" s="538"/>
      <c r="AK1616" s="531"/>
      <c r="AM1616" s="594"/>
      <c r="AN1616" s="535"/>
      <c r="AP1616" s="540"/>
      <c r="AQ1616" s="540"/>
    </row>
    <row r="1617" spans="1:43" s="666" customFormat="1" ht="17.100000000000001" hidden="1" customHeight="1" outlineLevel="2" collapsed="1">
      <c r="A1617" s="584"/>
      <c r="B1617" s="665" t="s">
        <v>943</v>
      </c>
      <c r="C1617" s="599">
        <f>SUM(C1618,C1621)/10^3</f>
        <v>0.73593999999999993</v>
      </c>
      <c r="D1617" s="599">
        <f t="shared" ref="D1617:AF1617" si="1487">SUM(D1618,D1621)/10^3</f>
        <v>1.1039099999999999</v>
      </c>
      <c r="E1617" s="599">
        <f t="shared" si="1487"/>
        <v>1.1039099999999999</v>
      </c>
      <c r="F1617" s="599">
        <f t="shared" si="1487"/>
        <v>1.1039099999999999</v>
      </c>
      <c r="G1617" s="599">
        <f t="shared" si="1487"/>
        <v>1.1039099999999999</v>
      </c>
      <c r="H1617" s="599">
        <f t="shared" si="1487"/>
        <v>1.1039099999999999</v>
      </c>
      <c r="I1617" s="599">
        <f t="shared" si="1487"/>
        <v>1.1039099999999999</v>
      </c>
      <c r="J1617" s="599">
        <f t="shared" si="1487"/>
        <v>1.1039099999999999</v>
      </c>
      <c r="K1617" s="599">
        <f t="shared" si="1487"/>
        <v>1.1039099999999999</v>
      </c>
      <c r="L1617" s="599">
        <f t="shared" si="1487"/>
        <v>1.1039099999999999</v>
      </c>
      <c r="M1617" s="599">
        <f t="shared" si="1487"/>
        <v>1.1039099999999999</v>
      </c>
      <c r="N1617" s="599">
        <f t="shared" si="1487"/>
        <v>1.1039099999999999</v>
      </c>
      <c r="O1617" s="599">
        <f t="shared" si="1487"/>
        <v>1.1039099999999999</v>
      </c>
      <c r="P1617" s="599">
        <f t="shared" si="1487"/>
        <v>1.1039099999999999</v>
      </c>
      <c r="Q1617" s="599">
        <f t="shared" si="1487"/>
        <v>1.1039099999999999</v>
      </c>
      <c r="R1617" s="599">
        <f t="shared" si="1487"/>
        <v>1.1039099999999999</v>
      </c>
      <c r="S1617" s="599">
        <f t="shared" si="1487"/>
        <v>1.1039099999999999</v>
      </c>
      <c r="T1617" s="599">
        <f t="shared" si="1487"/>
        <v>1.1039099999999999</v>
      </c>
      <c r="U1617" s="599">
        <f t="shared" si="1487"/>
        <v>1.1039099999999999</v>
      </c>
      <c r="V1617" s="599">
        <f t="shared" si="1487"/>
        <v>1.1039099999999999</v>
      </c>
      <c r="W1617" s="599">
        <f t="shared" si="1487"/>
        <v>1.1039099999999999</v>
      </c>
      <c r="X1617" s="599">
        <f t="shared" si="1487"/>
        <v>1.1039099999999999</v>
      </c>
      <c r="Y1617" s="599">
        <f t="shared" si="1487"/>
        <v>1.1039099999999999</v>
      </c>
      <c r="Z1617" s="599">
        <f t="shared" si="1487"/>
        <v>1.1039099999999999</v>
      </c>
      <c r="AA1617" s="599">
        <f t="shared" si="1487"/>
        <v>1.1039099999999999</v>
      </c>
      <c r="AB1617" s="599">
        <f t="shared" si="1487"/>
        <v>1.1039099999999999</v>
      </c>
      <c r="AC1617" s="599">
        <f t="shared" si="1487"/>
        <v>1.1039099999999999</v>
      </c>
      <c r="AD1617" s="599">
        <f t="shared" si="1487"/>
        <v>1.1039099999999999</v>
      </c>
      <c r="AE1617" s="599">
        <f t="shared" si="1487"/>
        <v>1.1039099999999999</v>
      </c>
      <c r="AF1617" s="599">
        <f t="shared" si="1487"/>
        <v>1.1039099999999999</v>
      </c>
      <c r="AG1617" s="564"/>
      <c r="AH1617" s="578">
        <f>SUM(C1617:AF1617)</f>
        <v>32.749329999999979</v>
      </c>
      <c r="AK1617" s="531"/>
      <c r="AM1617" s="594"/>
      <c r="AN1617" s="535"/>
      <c r="AP1617" s="667"/>
      <c r="AQ1617" s="667"/>
    </row>
    <row r="1618" spans="1:43" s="668" customFormat="1" ht="16.5" hidden="1" customHeight="1" outlineLevel="3">
      <c r="A1618" s="584"/>
      <c r="B1618" s="673" t="str">
        <f>B1605</f>
        <v>Auxiliar de atendimento</v>
      </c>
      <c r="C1618" s="660">
        <f>C1619*C1620</f>
        <v>367.96999999999997</v>
      </c>
      <c r="D1618" s="660">
        <f t="shared" ref="D1618:AF1618" si="1488">D1619*D1620</f>
        <v>735.93999999999994</v>
      </c>
      <c r="E1618" s="660">
        <f t="shared" si="1488"/>
        <v>735.93999999999994</v>
      </c>
      <c r="F1618" s="660">
        <f t="shared" si="1488"/>
        <v>735.93999999999994</v>
      </c>
      <c r="G1618" s="660">
        <f t="shared" si="1488"/>
        <v>735.93999999999994</v>
      </c>
      <c r="H1618" s="660">
        <f t="shared" si="1488"/>
        <v>735.93999999999994</v>
      </c>
      <c r="I1618" s="660">
        <f t="shared" si="1488"/>
        <v>735.93999999999994</v>
      </c>
      <c r="J1618" s="660">
        <f t="shared" si="1488"/>
        <v>735.93999999999994</v>
      </c>
      <c r="K1618" s="660">
        <f t="shared" si="1488"/>
        <v>735.93999999999994</v>
      </c>
      <c r="L1618" s="660">
        <f t="shared" si="1488"/>
        <v>735.93999999999994</v>
      </c>
      <c r="M1618" s="660">
        <f t="shared" si="1488"/>
        <v>735.93999999999994</v>
      </c>
      <c r="N1618" s="660">
        <f t="shared" si="1488"/>
        <v>735.93999999999994</v>
      </c>
      <c r="O1618" s="660">
        <f t="shared" si="1488"/>
        <v>735.93999999999994</v>
      </c>
      <c r="P1618" s="660">
        <f t="shared" si="1488"/>
        <v>735.93999999999994</v>
      </c>
      <c r="Q1618" s="660">
        <f t="shared" si="1488"/>
        <v>735.93999999999994</v>
      </c>
      <c r="R1618" s="660">
        <f t="shared" si="1488"/>
        <v>735.93999999999994</v>
      </c>
      <c r="S1618" s="660">
        <f t="shared" si="1488"/>
        <v>735.93999999999994</v>
      </c>
      <c r="T1618" s="660">
        <f t="shared" si="1488"/>
        <v>735.93999999999994</v>
      </c>
      <c r="U1618" s="660">
        <f t="shared" si="1488"/>
        <v>735.93999999999994</v>
      </c>
      <c r="V1618" s="660">
        <f t="shared" si="1488"/>
        <v>735.93999999999994</v>
      </c>
      <c r="W1618" s="660">
        <f t="shared" si="1488"/>
        <v>735.93999999999994</v>
      </c>
      <c r="X1618" s="660">
        <f t="shared" si="1488"/>
        <v>735.93999999999994</v>
      </c>
      <c r="Y1618" s="660">
        <f t="shared" si="1488"/>
        <v>735.93999999999994</v>
      </c>
      <c r="Z1618" s="660">
        <f t="shared" si="1488"/>
        <v>735.93999999999994</v>
      </c>
      <c r="AA1618" s="660">
        <f t="shared" si="1488"/>
        <v>735.93999999999994</v>
      </c>
      <c r="AB1618" s="660">
        <f t="shared" si="1488"/>
        <v>735.93999999999994</v>
      </c>
      <c r="AC1618" s="660">
        <f t="shared" si="1488"/>
        <v>735.93999999999994</v>
      </c>
      <c r="AD1618" s="660">
        <f t="shared" si="1488"/>
        <v>735.93999999999994</v>
      </c>
      <c r="AE1618" s="660">
        <f t="shared" si="1488"/>
        <v>735.93999999999994</v>
      </c>
      <c r="AF1618" s="660">
        <f t="shared" si="1488"/>
        <v>735.93999999999994</v>
      </c>
      <c r="AG1618" s="546"/>
      <c r="AH1618" s="546"/>
      <c r="AK1618" s="531"/>
      <c r="AM1618" s="594"/>
      <c r="AN1618" s="535"/>
      <c r="AP1618" s="669"/>
      <c r="AQ1618" s="669"/>
    </row>
    <row r="1619" spans="1:43" ht="16.5" hidden="1" customHeight="1" outlineLevel="3">
      <c r="A1619" s="584"/>
      <c r="B1619" s="674" t="s">
        <v>805</v>
      </c>
      <c r="C1619" s="573">
        <f t="shared" ref="C1619:AF1619" si="1489">C1596</f>
        <v>1</v>
      </c>
      <c r="D1619" s="573">
        <f t="shared" si="1489"/>
        <v>2</v>
      </c>
      <c r="E1619" s="573">
        <f t="shared" si="1489"/>
        <v>2</v>
      </c>
      <c r="F1619" s="573">
        <f t="shared" si="1489"/>
        <v>2</v>
      </c>
      <c r="G1619" s="573">
        <f t="shared" si="1489"/>
        <v>2</v>
      </c>
      <c r="H1619" s="573">
        <f t="shared" si="1489"/>
        <v>2</v>
      </c>
      <c r="I1619" s="573">
        <f t="shared" si="1489"/>
        <v>2</v>
      </c>
      <c r="J1619" s="573">
        <f t="shared" si="1489"/>
        <v>2</v>
      </c>
      <c r="K1619" s="573">
        <f t="shared" si="1489"/>
        <v>2</v>
      </c>
      <c r="L1619" s="573">
        <f t="shared" si="1489"/>
        <v>2</v>
      </c>
      <c r="M1619" s="573">
        <f t="shared" si="1489"/>
        <v>2</v>
      </c>
      <c r="N1619" s="573">
        <f t="shared" si="1489"/>
        <v>2</v>
      </c>
      <c r="O1619" s="573">
        <f t="shared" si="1489"/>
        <v>2</v>
      </c>
      <c r="P1619" s="573">
        <f t="shared" si="1489"/>
        <v>2</v>
      </c>
      <c r="Q1619" s="573">
        <f t="shared" si="1489"/>
        <v>2</v>
      </c>
      <c r="R1619" s="573">
        <f t="shared" si="1489"/>
        <v>2</v>
      </c>
      <c r="S1619" s="573">
        <f t="shared" si="1489"/>
        <v>2</v>
      </c>
      <c r="T1619" s="573">
        <f t="shared" si="1489"/>
        <v>2</v>
      </c>
      <c r="U1619" s="573">
        <f t="shared" si="1489"/>
        <v>2</v>
      </c>
      <c r="V1619" s="573">
        <f t="shared" si="1489"/>
        <v>2</v>
      </c>
      <c r="W1619" s="573">
        <f t="shared" si="1489"/>
        <v>2</v>
      </c>
      <c r="X1619" s="573">
        <f t="shared" si="1489"/>
        <v>2</v>
      </c>
      <c r="Y1619" s="573">
        <f t="shared" si="1489"/>
        <v>2</v>
      </c>
      <c r="Z1619" s="573">
        <f t="shared" si="1489"/>
        <v>2</v>
      </c>
      <c r="AA1619" s="573">
        <f t="shared" si="1489"/>
        <v>2</v>
      </c>
      <c r="AB1619" s="573">
        <f t="shared" si="1489"/>
        <v>2</v>
      </c>
      <c r="AC1619" s="573">
        <f t="shared" si="1489"/>
        <v>2</v>
      </c>
      <c r="AD1619" s="573">
        <f t="shared" si="1489"/>
        <v>2</v>
      </c>
      <c r="AE1619" s="573">
        <f t="shared" si="1489"/>
        <v>2</v>
      </c>
      <c r="AF1619" s="573">
        <f t="shared" si="1489"/>
        <v>2</v>
      </c>
      <c r="AH1619" s="513"/>
      <c r="AK1619" s="531"/>
      <c r="AM1619" s="594"/>
      <c r="AN1619" s="535"/>
      <c r="AP1619" s="535"/>
      <c r="AQ1619" s="535"/>
    </row>
    <row r="1620" spans="1:43" ht="16.5" hidden="1" customHeight="1" outlineLevel="3">
      <c r="A1620" s="584"/>
      <c r="B1620" s="674" t="s">
        <v>888</v>
      </c>
      <c r="C1620" s="592">
        <f>EPIs_unif.!$D$28+EPIs_unif.!$D$55</f>
        <v>367.96999999999997</v>
      </c>
      <c r="D1620" s="592">
        <f t="shared" ref="D1620:AF1620" si="1490">C1620</f>
        <v>367.96999999999997</v>
      </c>
      <c r="E1620" s="592">
        <f t="shared" si="1490"/>
        <v>367.96999999999997</v>
      </c>
      <c r="F1620" s="592">
        <f t="shared" si="1490"/>
        <v>367.96999999999997</v>
      </c>
      <c r="G1620" s="592">
        <f t="shared" si="1490"/>
        <v>367.96999999999997</v>
      </c>
      <c r="H1620" s="592">
        <f t="shared" si="1490"/>
        <v>367.96999999999997</v>
      </c>
      <c r="I1620" s="592">
        <f t="shared" si="1490"/>
        <v>367.96999999999997</v>
      </c>
      <c r="J1620" s="592">
        <f t="shared" si="1490"/>
        <v>367.96999999999997</v>
      </c>
      <c r="K1620" s="592">
        <f t="shared" si="1490"/>
        <v>367.96999999999997</v>
      </c>
      <c r="L1620" s="592">
        <f t="shared" si="1490"/>
        <v>367.96999999999997</v>
      </c>
      <c r="M1620" s="592">
        <f t="shared" si="1490"/>
        <v>367.96999999999997</v>
      </c>
      <c r="N1620" s="592">
        <f t="shared" si="1490"/>
        <v>367.96999999999997</v>
      </c>
      <c r="O1620" s="592">
        <f t="shared" si="1490"/>
        <v>367.96999999999997</v>
      </c>
      <c r="P1620" s="592">
        <f t="shared" si="1490"/>
        <v>367.96999999999997</v>
      </c>
      <c r="Q1620" s="592">
        <f t="shared" si="1490"/>
        <v>367.96999999999997</v>
      </c>
      <c r="R1620" s="592">
        <f t="shared" si="1490"/>
        <v>367.96999999999997</v>
      </c>
      <c r="S1620" s="592">
        <f t="shared" si="1490"/>
        <v>367.96999999999997</v>
      </c>
      <c r="T1620" s="592">
        <f t="shared" si="1490"/>
        <v>367.96999999999997</v>
      </c>
      <c r="U1620" s="592">
        <f t="shared" si="1490"/>
        <v>367.96999999999997</v>
      </c>
      <c r="V1620" s="592">
        <f t="shared" si="1490"/>
        <v>367.96999999999997</v>
      </c>
      <c r="W1620" s="592">
        <f t="shared" si="1490"/>
        <v>367.96999999999997</v>
      </c>
      <c r="X1620" s="592">
        <f t="shared" si="1490"/>
        <v>367.96999999999997</v>
      </c>
      <c r="Y1620" s="592">
        <f t="shared" si="1490"/>
        <v>367.96999999999997</v>
      </c>
      <c r="Z1620" s="592">
        <f t="shared" si="1490"/>
        <v>367.96999999999997</v>
      </c>
      <c r="AA1620" s="592">
        <f t="shared" si="1490"/>
        <v>367.96999999999997</v>
      </c>
      <c r="AB1620" s="592">
        <f t="shared" si="1490"/>
        <v>367.96999999999997</v>
      </c>
      <c r="AC1620" s="592">
        <f t="shared" si="1490"/>
        <v>367.96999999999997</v>
      </c>
      <c r="AD1620" s="592">
        <f t="shared" si="1490"/>
        <v>367.96999999999997</v>
      </c>
      <c r="AE1620" s="592">
        <f t="shared" si="1490"/>
        <v>367.96999999999997</v>
      </c>
      <c r="AF1620" s="592">
        <f t="shared" si="1490"/>
        <v>367.96999999999997</v>
      </c>
      <c r="AH1620" s="513"/>
      <c r="AK1620" s="531"/>
      <c r="AM1620" s="594"/>
      <c r="AN1620" s="535"/>
      <c r="AP1620" s="535"/>
      <c r="AQ1620" s="535"/>
    </row>
    <row r="1621" spans="1:43" s="668" customFormat="1" ht="16.5" hidden="1" customHeight="1" outlineLevel="3">
      <c r="A1621" s="584"/>
      <c r="B1621" s="673" t="str">
        <f>B1611</f>
        <v>Auxiliar de CPD</v>
      </c>
      <c r="C1621" s="660">
        <f>C1622*C1623</f>
        <v>367.96999999999997</v>
      </c>
      <c r="D1621" s="660">
        <f t="shared" ref="D1621:AF1621" si="1491">D1622*D1623</f>
        <v>367.96999999999997</v>
      </c>
      <c r="E1621" s="660">
        <f t="shared" si="1491"/>
        <v>367.96999999999997</v>
      </c>
      <c r="F1621" s="660">
        <f t="shared" si="1491"/>
        <v>367.96999999999997</v>
      </c>
      <c r="G1621" s="660">
        <f t="shared" si="1491"/>
        <v>367.96999999999997</v>
      </c>
      <c r="H1621" s="660">
        <f t="shared" si="1491"/>
        <v>367.96999999999997</v>
      </c>
      <c r="I1621" s="660">
        <f t="shared" si="1491"/>
        <v>367.96999999999997</v>
      </c>
      <c r="J1621" s="660">
        <f t="shared" si="1491"/>
        <v>367.96999999999997</v>
      </c>
      <c r="K1621" s="660">
        <f t="shared" si="1491"/>
        <v>367.96999999999997</v>
      </c>
      <c r="L1621" s="660">
        <f t="shared" si="1491"/>
        <v>367.96999999999997</v>
      </c>
      <c r="M1621" s="660">
        <f t="shared" si="1491"/>
        <v>367.96999999999997</v>
      </c>
      <c r="N1621" s="660">
        <f t="shared" si="1491"/>
        <v>367.96999999999997</v>
      </c>
      <c r="O1621" s="660">
        <f t="shared" si="1491"/>
        <v>367.96999999999997</v>
      </c>
      <c r="P1621" s="660">
        <f t="shared" si="1491"/>
        <v>367.96999999999997</v>
      </c>
      <c r="Q1621" s="660">
        <f t="shared" si="1491"/>
        <v>367.96999999999997</v>
      </c>
      <c r="R1621" s="660">
        <f t="shared" si="1491"/>
        <v>367.96999999999997</v>
      </c>
      <c r="S1621" s="660">
        <f t="shared" si="1491"/>
        <v>367.96999999999997</v>
      </c>
      <c r="T1621" s="660">
        <f t="shared" si="1491"/>
        <v>367.96999999999997</v>
      </c>
      <c r="U1621" s="660">
        <f t="shared" si="1491"/>
        <v>367.96999999999997</v>
      </c>
      <c r="V1621" s="660">
        <f t="shared" si="1491"/>
        <v>367.96999999999997</v>
      </c>
      <c r="W1621" s="660">
        <f t="shared" si="1491"/>
        <v>367.96999999999997</v>
      </c>
      <c r="X1621" s="660">
        <f t="shared" si="1491"/>
        <v>367.96999999999997</v>
      </c>
      <c r="Y1621" s="660">
        <f t="shared" si="1491"/>
        <v>367.96999999999997</v>
      </c>
      <c r="Z1621" s="660">
        <f t="shared" si="1491"/>
        <v>367.96999999999997</v>
      </c>
      <c r="AA1621" s="660">
        <f t="shared" si="1491"/>
        <v>367.96999999999997</v>
      </c>
      <c r="AB1621" s="660">
        <f t="shared" si="1491"/>
        <v>367.96999999999997</v>
      </c>
      <c r="AC1621" s="660">
        <f t="shared" si="1491"/>
        <v>367.96999999999997</v>
      </c>
      <c r="AD1621" s="660">
        <f t="shared" si="1491"/>
        <v>367.96999999999997</v>
      </c>
      <c r="AE1621" s="660">
        <f t="shared" si="1491"/>
        <v>367.96999999999997</v>
      </c>
      <c r="AF1621" s="660">
        <f t="shared" si="1491"/>
        <v>367.96999999999997</v>
      </c>
      <c r="AG1621" s="546"/>
      <c r="AH1621" s="546"/>
      <c r="AK1621" s="531"/>
      <c r="AM1621" s="594"/>
      <c r="AN1621" s="535"/>
      <c r="AP1621" s="669"/>
      <c r="AQ1621" s="669"/>
    </row>
    <row r="1622" spans="1:43" ht="16.5" hidden="1" customHeight="1" outlineLevel="3">
      <c r="A1622" s="584"/>
      <c r="B1622" s="674" t="s">
        <v>805</v>
      </c>
      <c r="C1622" s="573">
        <f t="shared" ref="C1622:AF1622" si="1492">C1599</f>
        <v>1</v>
      </c>
      <c r="D1622" s="573">
        <f t="shared" si="1492"/>
        <v>1</v>
      </c>
      <c r="E1622" s="573">
        <f t="shared" si="1492"/>
        <v>1</v>
      </c>
      <c r="F1622" s="573">
        <f t="shared" si="1492"/>
        <v>1</v>
      </c>
      <c r="G1622" s="573">
        <f t="shared" si="1492"/>
        <v>1</v>
      </c>
      <c r="H1622" s="573">
        <f t="shared" si="1492"/>
        <v>1</v>
      </c>
      <c r="I1622" s="573">
        <f t="shared" si="1492"/>
        <v>1</v>
      </c>
      <c r="J1622" s="573">
        <f t="shared" si="1492"/>
        <v>1</v>
      </c>
      <c r="K1622" s="573">
        <f t="shared" si="1492"/>
        <v>1</v>
      </c>
      <c r="L1622" s="573">
        <f t="shared" si="1492"/>
        <v>1</v>
      </c>
      <c r="M1622" s="573">
        <f t="shared" si="1492"/>
        <v>1</v>
      </c>
      <c r="N1622" s="573">
        <f t="shared" si="1492"/>
        <v>1</v>
      </c>
      <c r="O1622" s="573">
        <f t="shared" si="1492"/>
        <v>1</v>
      </c>
      <c r="P1622" s="573">
        <f t="shared" si="1492"/>
        <v>1</v>
      </c>
      <c r="Q1622" s="573">
        <f t="shared" si="1492"/>
        <v>1</v>
      </c>
      <c r="R1622" s="573">
        <f t="shared" si="1492"/>
        <v>1</v>
      </c>
      <c r="S1622" s="573">
        <f t="shared" si="1492"/>
        <v>1</v>
      </c>
      <c r="T1622" s="573">
        <f t="shared" si="1492"/>
        <v>1</v>
      </c>
      <c r="U1622" s="573">
        <f t="shared" si="1492"/>
        <v>1</v>
      </c>
      <c r="V1622" s="573">
        <f t="shared" si="1492"/>
        <v>1</v>
      </c>
      <c r="W1622" s="573">
        <f t="shared" si="1492"/>
        <v>1</v>
      </c>
      <c r="X1622" s="573">
        <f t="shared" si="1492"/>
        <v>1</v>
      </c>
      <c r="Y1622" s="573">
        <f t="shared" si="1492"/>
        <v>1</v>
      </c>
      <c r="Z1622" s="573">
        <f t="shared" si="1492"/>
        <v>1</v>
      </c>
      <c r="AA1622" s="573">
        <f t="shared" si="1492"/>
        <v>1</v>
      </c>
      <c r="AB1622" s="573">
        <f t="shared" si="1492"/>
        <v>1</v>
      </c>
      <c r="AC1622" s="573">
        <f t="shared" si="1492"/>
        <v>1</v>
      </c>
      <c r="AD1622" s="573">
        <f t="shared" si="1492"/>
        <v>1</v>
      </c>
      <c r="AE1622" s="573">
        <f t="shared" si="1492"/>
        <v>1</v>
      </c>
      <c r="AF1622" s="573">
        <f t="shared" si="1492"/>
        <v>1</v>
      </c>
      <c r="AH1622" s="513"/>
      <c r="AK1622" s="531"/>
      <c r="AM1622" s="594"/>
      <c r="AN1622" s="535"/>
      <c r="AP1622" s="535"/>
      <c r="AQ1622" s="535"/>
    </row>
    <row r="1623" spans="1:43" ht="16.5" hidden="1" customHeight="1" outlineLevel="3">
      <c r="A1623" s="584"/>
      <c r="B1623" s="674" t="s">
        <v>888</v>
      </c>
      <c r="C1623" s="592">
        <f>EPIs_unif.!$D$28+EPIs_unif.!$D$55</f>
        <v>367.96999999999997</v>
      </c>
      <c r="D1623" s="592">
        <f t="shared" ref="D1623:AF1623" si="1493">C1623</f>
        <v>367.96999999999997</v>
      </c>
      <c r="E1623" s="592">
        <f t="shared" si="1493"/>
        <v>367.96999999999997</v>
      </c>
      <c r="F1623" s="592">
        <f t="shared" si="1493"/>
        <v>367.96999999999997</v>
      </c>
      <c r="G1623" s="592">
        <f t="shared" si="1493"/>
        <v>367.96999999999997</v>
      </c>
      <c r="H1623" s="592">
        <f t="shared" si="1493"/>
        <v>367.96999999999997</v>
      </c>
      <c r="I1623" s="592">
        <f t="shared" si="1493"/>
        <v>367.96999999999997</v>
      </c>
      <c r="J1623" s="592">
        <f t="shared" si="1493"/>
        <v>367.96999999999997</v>
      </c>
      <c r="K1623" s="592">
        <f t="shared" si="1493"/>
        <v>367.96999999999997</v>
      </c>
      <c r="L1623" s="592">
        <f t="shared" si="1493"/>
        <v>367.96999999999997</v>
      </c>
      <c r="M1623" s="592">
        <f t="shared" si="1493"/>
        <v>367.96999999999997</v>
      </c>
      <c r="N1623" s="592">
        <f t="shared" si="1493"/>
        <v>367.96999999999997</v>
      </c>
      <c r="O1623" s="592">
        <f t="shared" si="1493"/>
        <v>367.96999999999997</v>
      </c>
      <c r="P1623" s="592">
        <f t="shared" si="1493"/>
        <v>367.96999999999997</v>
      </c>
      <c r="Q1623" s="592">
        <f t="shared" si="1493"/>
        <v>367.96999999999997</v>
      </c>
      <c r="R1623" s="592">
        <f t="shared" si="1493"/>
        <v>367.96999999999997</v>
      </c>
      <c r="S1623" s="592">
        <f t="shared" si="1493"/>
        <v>367.96999999999997</v>
      </c>
      <c r="T1623" s="592">
        <f t="shared" si="1493"/>
        <v>367.96999999999997</v>
      </c>
      <c r="U1623" s="592">
        <f t="shared" si="1493"/>
        <v>367.96999999999997</v>
      </c>
      <c r="V1623" s="592">
        <f t="shared" si="1493"/>
        <v>367.96999999999997</v>
      </c>
      <c r="W1623" s="592">
        <f t="shared" si="1493"/>
        <v>367.96999999999997</v>
      </c>
      <c r="X1623" s="592">
        <f t="shared" si="1493"/>
        <v>367.96999999999997</v>
      </c>
      <c r="Y1623" s="592">
        <f t="shared" si="1493"/>
        <v>367.96999999999997</v>
      </c>
      <c r="Z1623" s="592">
        <f t="shared" si="1493"/>
        <v>367.96999999999997</v>
      </c>
      <c r="AA1623" s="592">
        <f t="shared" si="1493"/>
        <v>367.96999999999997</v>
      </c>
      <c r="AB1623" s="592">
        <f t="shared" si="1493"/>
        <v>367.96999999999997</v>
      </c>
      <c r="AC1623" s="592">
        <f t="shared" si="1493"/>
        <v>367.96999999999997</v>
      </c>
      <c r="AD1623" s="592">
        <f t="shared" si="1493"/>
        <v>367.96999999999997</v>
      </c>
      <c r="AE1623" s="592">
        <f t="shared" si="1493"/>
        <v>367.96999999999997</v>
      </c>
      <c r="AF1623" s="592">
        <f t="shared" si="1493"/>
        <v>367.96999999999997</v>
      </c>
      <c r="AH1623" s="513"/>
      <c r="AK1623" s="531"/>
      <c r="AM1623" s="594"/>
      <c r="AN1623" s="535"/>
      <c r="AP1623" s="535"/>
      <c r="AQ1623" s="535"/>
    </row>
    <row r="1624" spans="1:43" ht="4.5" hidden="1" customHeight="1" outlineLevel="3">
      <c r="A1624" s="584"/>
      <c r="B1624" s="681"/>
      <c r="C1624" s="683"/>
      <c r="D1624" s="683"/>
      <c r="E1624" s="682"/>
      <c r="F1624" s="682"/>
      <c r="G1624" s="682"/>
      <c r="H1624" s="684"/>
      <c r="I1624" s="682"/>
      <c r="J1624" s="682"/>
      <c r="K1624" s="682"/>
      <c r="L1624" s="682"/>
      <c r="M1624" s="682"/>
      <c r="N1624" s="682"/>
      <c r="O1624" s="682"/>
      <c r="P1624" s="682"/>
      <c r="Q1624" s="682"/>
      <c r="R1624" s="682"/>
      <c r="S1624" s="682"/>
      <c r="T1624" s="682"/>
      <c r="U1624" s="682"/>
      <c r="V1624" s="682"/>
      <c r="W1624" s="682"/>
      <c r="X1624" s="682"/>
      <c r="Y1624" s="682"/>
      <c r="Z1624" s="682"/>
      <c r="AA1624" s="682"/>
      <c r="AB1624" s="682"/>
      <c r="AC1624" s="682"/>
      <c r="AD1624" s="682"/>
      <c r="AE1624" s="682"/>
      <c r="AF1624" s="682"/>
      <c r="AH1624" s="685"/>
      <c r="AK1624" s="531"/>
      <c r="AM1624" s="594"/>
      <c r="AN1624" s="535"/>
      <c r="AP1624" s="535"/>
      <c r="AQ1624" s="535"/>
    </row>
    <row r="1625" spans="1:43" ht="16.5" customHeight="1">
      <c r="A1625" s="584"/>
      <c r="B1625" s="749" t="s">
        <v>871</v>
      </c>
      <c r="C1625" s="710">
        <f t="shared" ref="C1625:AF1625" si="1494">SUM(C1627,C1664,C1680,C1684,C1700,C1703,C1734)*C3</f>
        <v>726.75657898000009</v>
      </c>
      <c r="D1625" s="710">
        <f t="shared" si="1494"/>
        <v>727.20442897999999</v>
      </c>
      <c r="E1625" s="710">
        <f t="shared" si="1494"/>
        <v>727.47502898000005</v>
      </c>
      <c r="F1625" s="710">
        <f t="shared" si="1494"/>
        <v>728.15152898000008</v>
      </c>
      <c r="G1625" s="710">
        <f t="shared" si="1494"/>
        <v>728.15152898000008</v>
      </c>
      <c r="H1625" s="710">
        <f t="shared" si="1494"/>
        <v>728.15152898000008</v>
      </c>
      <c r="I1625" s="710">
        <f t="shared" si="1494"/>
        <v>827.15575910000007</v>
      </c>
      <c r="J1625" s="710">
        <f t="shared" si="1494"/>
        <v>827.15575910000007</v>
      </c>
      <c r="K1625" s="710">
        <f t="shared" si="1494"/>
        <v>827.15575910000007</v>
      </c>
      <c r="L1625" s="710">
        <f t="shared" si="1494"/>
        <v>827.29105909999998</v>
      </c>
      <c r="M1625" s="710">
        <f t="shared" si="1494"/>
        <v>827.29105909999998</v>
      </c>
      <c r="N1625" s="710">
        <f t="shared" si="1494"/>
        <v>827.29105909999998</v>
      </c>
      <c r="O1625" s="710">
        <f t="shared" si="1494"/>
        <v>827.29105909999998</v>
      </c>
      <c r="P1625" s="710">
        <f t="shared" si="1494"/>
        <v>827.29105909999998</v>
      </c>
      <c r="Q1625" s="710">
        <f t="shared" si="1494"/>
        <v>827.29105909999998</v>
      </c>
      <c r="R1625" s="710">
        <f t="shared" si="1494"/>
        <v>827.29105909999998</v>
      </c>
      <c r="S1625" s="710">
        <f t="shared" si="1494"/>
        <v>827.29105909999998</v>
      </c>
      <c r="T1625" s="710">
        <f t="shared" si="1494"/>
        <v>827.29105909999998</v>
      </c>
      <c r="U1625" s="710">
        <f t="shared" si="1494"/>
        <v>828.10285909999993</v>
      </c>
      <c r="V1625" s="710">
        <f t="shared" si="1494"/>
        <v>828.10285909999993</v>
      </c>
      <c r="W1625" s="710">
        <f t="shared" si="1494"/>
        <v>828.10285909999993</v>
      </c>
      <c r="X1625" s="710">
        <f t="shared" si="1494"/>
        <v>828.10285909999993</v>
      </c>
      <c r="Y1625" s="710">
        <f t="shared" si="1494"/>
        <v>828.10285909999993</v>
      </c>
      <c r="Z1625" s="710">
        <f t="shared" si="1494"/>
        <v>828.10285909999993</v>
      </c>
      <c r="AA1625" s="710">
        <f t="shared" si="1494"/>
        <v>828.10285909999993</v>
      </c>
      <c r="AB1625" s="710">
        <f t="shared" si="1494"/>
        <v>828.10285909999993</v>
      </c>
      <c r="AC1625" s="710">
        <f t="shared" si="1494"/>
        <v>828.23815910000008</v>
      </c>
      <c r="AD1625" s="710">
        <f t="shared" si="1494"/>
        <v>828.23815910000008</v>
      </c>
      <c r="AE1625" s="710">
        <f t="shared" si="1494"/>
        <v>828.23815910000008</v>
      </c>
      <c r="AF1625" s="710">
        <f t="shared" si="1494"/>
        <v>828.23815910000008</v>
      </c>
      <c r="AG1625" s="750"/>
      <c r="AH1625" s="751">
        <f>SUM(C1625:AF1625)</f>
        <v>24230.75294228</v>
      </c>
      <c r="AK1625" s="531"/>
      <c r="AM1625" s="533"/>
      <c r="AN1625" s="535"/>
      <c r="AP1625" s="535"/>
      <c r="AQ1625" s="534"/>
    </row>
    <row r="1626" spans="1:43" s="620" customFormat="1" ht="14.4" collapsed="1">
      <c r="A1626" s="584"/>
      <c r="B1626" s="618" t="s">
        <v>886</v>
      </c>
      <c r="C1626" s="545">
        <f>SUM(C1686,C1689,C1692,C1695,C1698)</f>
        <v>5</v>
      </c>
      <c r="D1626" s="545">
        <f t="shared" ref="D1626:AF1626" si="1495">SUM(D1686,D1689,D1692,D1695,D1698)</f>
        <v>5</v>
      </c>
      <c r="E1626" s="545">
        <f t="shared" si="1495"/>
        <v>5</v>
      </c>
      <c r="F1626" s="545">
        <f t="shared" si="1495"/>
        <v>5</v>
      </c>
      <c r="G1626" s="545">
        <f t="shared" si="1495"/>
        <v>5</v>
      </c>
      <c r="H1626" s="545">
        <f t="shared" si="1495"/>
        <v>5</v>
      </c>
      <c r="I1626" s="545">
        <f t="shared" si="1495"/>
        <v>6</v>
      </c>
      <c r="J1626" s="545">
        <f t="shared" si="1495"/>
        <v>6</v>
      </c>
      <c r="K1626" s="545">
        <f t="shared" si="1495"/>
        <v>6</v>
      </c>
      <c r="L1626" s="545">
        <f t="shared" si="1495"/>
        <v>6</v>
      </c>
      <c r="M1626" s="545">
        <f t="shared" si="1495"/>
        <v>6</v>
      </c>
      <c r="N1626" s="545">
        <f t="shared" si="1495"/>
        <v>6</v>
      </c>
      <c r="O1626" s="545">
        <f t="shared" si="1495"/>
        <v>6</v>
      </c>
      <c r="P1626" s="545">
        <f t="shared" si="1495"/>
        <v>6</v>
      </c>
      <c r="Q1626" s="545">
        <f t="shared" si="1495"/>
        <v>6</v>
      </c>
      <c r="R1626" s="545">
        <f t="shared" si="1495"/>
        <v>6</v>
      </c>
      <c r="S1626" s="545">
        <f t="shared" si="1495"/>
        <v>6</v>
      </c>
      <c r="T1626" s="545">
        <f t="shared" si="1495"/>
        <v>6</v>
      </c>
      <c r="U1626" s="545">
        <f t="shared" si="1495"/>
        <v>6</v>
      </c>
      <c r="V1626" s="545">
        <f t="shared" si="1495"/>
        <v>6</v>
      </c>
      <c r="W1626" s="545">
        <f t="shared" si="1495"/>
        <v>6</v>
      </c>
      <c r="X1626" s="545">
        <f t="shared" si="1495"/>
        <v>6</v>
      </c>
      <c r="Y1626" s="545">
        <f t="shared" si="1495"/>
        <v>6</v>
      </c>
      <c r="Z1626" s="545">
        <f t="shared" si="1495"/>
        <v>6</v>
      </c>
      <c r="AA1626" s="545">
        <f t="shared" si="1495"/>
        <v>6</v>
      </c>
      <c r="AB1626" s="545">
        <f t="shared" si="1495"/>
        <v>6</v>
      </c>
      <c r="AC1626" s="545">
        <f t="shared" si="1495"/>
        <v>6</v>
      </c>
      <c r="AD1626" s="545">
        <f t="shared" si="1495"/>
        <v>6</v>
      </c>
      <c r="AE1626" s="545">
        <f t="shared" si="1495"/>
        <v>6</v>
      </c>
      <c r="AF1626" s="545">
        <f t="shared" si="1495"/>
        <v>6</v>
      </c>
      <c r="AG1626" s="546"/>
      <c r="AH1626" s="619"/>
      <c r="AI1626" s="546"/>
      <c r="AJ1626" s="546"/>
      <c r="AK1626" s="531"/>
      <c r="AL1626" s="546"/>
      <c r="AM1626" s="548"/>
      <c r="AN1626" s="540"/>
      <c r="AO1626" s="546"/>
      <c r="AP1626" s="549"/>
      <c r="AQ1626" s="549"/>
    </row>
    <row r="1627" spans="1:43" s="564" customFormat="1" ht="16.5" hidden="1" customHeight="1" outlineLevel="1" collapsed="1">
      <c r="A1627" s="584"/>
      <c r="B1627" s="576" t="s">
        <v>1041</v>
      </c>
      <c r="C1627" s="577">
        <f>SUM(C1628,C1631,C1634,C1637,C1640,C1643,C1646,C1649,C1652,C1655,C1658,C1661)*12/10^3</f>
        <v>307.5</v>
      </c>
      <c r="D1627" s="577">
        <f t="shared" ref="D1627:AF1627" si="1496">SUM(D1628,D1631,D1634,D1637,D1640,D1643,D1646,D1649,D1652,D1655,D1658,D1661)*12/10^3</f>
        <v>307.5</v>
      </c>
      <c r="E1627" s="577">
        <f t="shared" si="1496"/>
        <v>307.5</v>
      </c>
      <c r="F1627" s="577">
        <f t="shared" si="1496"/>
        <v>307.5</v>
      </c>
      <c r="G1627" s="577">
        <f t="shared" si="1496"/>
        <v>307.5</v>
      </c>
      <c r="H1627" s="577">
        <f t="shared" si="1496"/>
        <v>307.5</v>
      </c>
      <c r="I1627" s="577">
        <f t="shared" si="1496"/>
        <v>307.5</v>
      </c>
      <c r="J1627" s="577">
        <f t="shared" si="1496"/>
        <v>307.5</v>
      </c>
      <c r="K1627" s="577">
        <f t="shared" si="1496"/>
        <v>307.5</v>
      </c>
      <c r="L1627" s="577">
        <f t="shared" si="1496"/>
        <v>307.5</v>
      </c>
      <c r="M1627" s="577">
        <f t="shared" si="1496"/>
        <v>307.5</v>
      </c>
      <c r="N1627" s="577">
        <f t="shared" si="1496"/>
        <v>307.5</v>
      </c>
      <c r="O1627" s="577">
        <f t="shared" si="1496"/>
        <v>307.5</v>
      </c>
      <c r="P1627" s="577">
        <f t="shared" si="1496"/>
        <v>307.5</v>
      </c>
      <c r="Q1627" s="577">
        <f t="shared" si="1496"/>
        <v>307.5</v>
      </c>
      <c r="R1627" s="577">
        <f t="shared" si="1496"/>
        <v>307.5</v>
      </c>
      <c r="S1627" s="577">
        <f t="shared" si="1496"/>
        <v>307.5</v>
      </c>
      <c r="T1627" s="577">
        <f t="shared" si="1496"/>
        <v>307.5</v>
      </c>
      <c r="U1627" s="577">
        <f t="shared" si="1496"/>
        <v>307.5</v>
      </c>
      <c r="V1627" s="577">
        <f t="shared" si="1496"/>
        <v>307.5</v>
      </c>
      <c r="W1627" s="577">
        <f t="shared" si="1496"/>
        <v>307.5</v>
      </c>
      <c r="X1627" s="577">
        <f t="shared" si="1496"/>
        <v>307.5</v>
      </c>
      <c r="Y1627" s="577">
        <f t="shared" si="1496"/>
        <v>307.5</v>
      </c>
      <c r="Z1627" s="577">
        <f t="shared" si="1496"/>
        <v>307.5</v>
      </c>
      <c r="AA1627" s="577">
        <f t="shared" si="1496"/>
        <v>307.5</v>
      </c>
      <c r="AB1627" s="577">
        <f t="shared" si="1496"/>
        <v>307.5</v>
      </c>
      <c r="AC1627" s="577">
        <f t="shared" si="1496"/>
        <v>307.5</v>
      </c>
      <c r="AD1627" s="577">
        <f t="shared" si="1496"/>
        <v>307.5</v>
      </c>
      <c r="AE1627" s="577">
        <f t="shared" si="1496"/>
        <v>307.5</v>
      </c>
      <c r="AF1627" s="577">
        <f t="shared" si="1496"/>
        <v>307.5</v>
      </c>
      <c r="AH1627" s="578">
        <f>SUM(C1627:AF1627)</f>
        <v>9225</v>
      </c>
      <c r="AJ1627" s="566"/>
      <c r="AK1627" s="515"/>
      <c r="AM1627" s="686"/>
      <c r="AN1627" s="535"/>
      <c r="AP1627" s="568"/>
      <c r="AQ1627" s="568"/>
    </row>
    <row r="1628" spans="1:43" s="546" customFormat="1" ht="16.5" hidden="1" customHeight="1" outlineLevel="2">
      <c r="A1628" s="584"/>
      <c r="B1628" s="569" t="s">
        <v>1085</v>
      </c>
      <c r="C1628" s="570">
        <f>C1629*C1630</f>
        <v>20000</v>
      </c>
      <c r="D1628" s="570">
        <f t="shared" ref="D1628:AF1628" si="1497">D1629*D1630</f>
        <v>20000</v>
      </c>
      <c r="E1628" s="570">
        <f t="shared" si="1497"/>
        <v>20000</v>
      </c>
      <c r="F1628" s="570">
        <f t="shared" si="1497"/>
        <v>20000</v>
      </c>
      <c r="G1628" s="570">
        <f t="shared" si="1497"/>
        <v>20000</v>
      </c>
      <c r="H1628" s="570">
        <f t="shared" si="1497"/>
        <v>20000</v>
      </c>
      <c r="I1628" s="570">
        <f t="shared" si="1497"/>
        <v>20000</v>
      </c>
      <c r="J1628" s="570">
        <f t="shared" si="1497"/>
        <v>20000</v>
      </c>
      <c r="K1628" s="570">
        <f t="shared" si="1497"/>
        <v>20000</v>
      </c>
      <c r="L1628" s="570">
        <f t="shared" si="1497"/>
        <v>20000</v>
      </c>
      <c r="M1628" s="570">
        <f t="shared" si="1497"/>
        <v>20000</v>
      </c>
      <c r="N1628" s="570">
        <f t="shared" si="1497"/>
        <v>20000</v>
      </c>
      <c r="O1628" s="570">
        <f t="shared" si="1497"/>
        <v>20000</v>
      </c>
      <c r="P1628" s="570">
        <f t="shared" si="1497"/>
        <v>20000</v>
      </c>
      <c r="Q1628" s="570">
        <f t="shared" si="1497"/>
        <v>20000</v>
      </c>
      <c r="R1628" s="570">
        <f t="shared" si="1497"/>
        <v>20000</v>
      </c>
      <c r="S1628" s="570">
        <f t="shared" si="1497"/>
        <v>20000</v>
      </c>
      <c r="T1628" s="570">
        <f t="shared" si="1497"/>
        <v>20000</v>
      </c>
      <c r="U1628" s="570">
        <f t="shared" si="1497"/>
        <v>20000</v>
      </c>
      <c r="V1628" s="570">
        <f t="shared" si="1497"/>
        <v>20000</v>
      </c>
      <c r="W1628" s="570">
        <f t="shared" si="1497"/>
        <v>20000</v>
      </c>
      <c r="X1628" s="570">
        <f t="shared" si="1497"/>
        <v>20000</v>
      </c>
      <c r="Y1628" s="570">
        <f t="shared" si="1497"/>
        <v>20000</v>
      </c>
      <c r="Z1628" s="570">
        <f t="shared" si="1497"/>
        <v>20000</v>
      </c>
      <c r="AA1628" s="570">
        <f t="shared" si="1497"/>
        <v>20000</v>
      </c>
      <c r="AB1628" s="570">
        <f t="shared" si="1497"/>
        <v>20000</v>
      </c>
      <c r="AC1628" s="570">
        <f t="shared" si="1497"/>
        <v>20000</v>
      </c>
      <c r="AD1628" s="570">
        <f t="shared" si="1497"/>
        <v>20000</v>
      </c>
      <c r="AE1628" s="570">
        <f t="shared" si="1497"/>
        <v>20000</v>
      </c>
      <c r="AF1628" s="570">
        <f t="shared" si="1497"/>
        <v>20000</v>
      </c>
      <c r="AH1628" s="571"/>
      <c r="AK1628" s="687"/>
      <c r="AM1628" s="688"/>
      <c r="AN1628" s="535"/>
      <c r="AP1628" s="549"/>
      <c r="AQ1628" s="549"/>
    </row>
    <row r="1629" spans="1:43" s="513" customFormat="1" ht="16.5" hidden="1" customHeight="1" outlineLevel="2">
      <c r="A1629" s="584"/>
      <c r="B1629" s="572" t="s">
        <v>805</v>
      </c>
      <c r="C1629" s="643">
        <v>1</v>
      </c>
      <c r="D1629" s="643">
        <f>C1629</f>
        <v>1</v>
      </c>
      <c r="E1629" s="643">
        <f t="shared" ref="E1629:T1630" si="1498">D1629</f>
        <v>1</v>
      </c>
      <c r="F1629" s="643">
        <f t="shared" si="1498"/>
        <v>1</v>
      </c>
      <c r="G1629" s="643">
        <f t="shared" si="1498"/>
        <v>1</v>
      </c>
      <c r="H1629" s="643">
        <f t="shared" si="1498"/>
        <v>1</v>
      </c>
      <c r="I1629" s="643">
        <f t="shared" si="1498"/>
        <v>1</v>
      </c>
      <c r="J1629" s="643">
        <f t="shared" si="1498"/>
        <v>1</v>
      </c>
      <c r="K1629" s="643">
        <f t="shared" si="1498"/>
        <v>1</v>
      </c>
      <c r="L1629" s="643">
        <f t="shared" si="1498"/>
        <v>1</v>
      </c>
      <c r="M1629" s="643">
        <f t="shared" si="1498"/>
        <v>1</v>
      </c>
      <c r="N1629" s="643">
        <f t="shared" si="1498"/>
        <v>1</v>
      </c>
      <c r="O1629" s="643">
        <f t="shared" si="1498"/>
        <v>1</v>
      </c>
      <c r="P1629" s="643">
        <f t="shared" si="1498"/>
        <v>1</v>
      </c>
      <c r="Q1629" s="643">
        <f t="shared" si="1498"/>
        <v>1</v>
      </c>
      <c r="R1629" s="643">
        <f t="shared" si="1498"/>
        <v>1</v>
      </c>
      <c r="S1629" s="643">
        <f t="shared" si="1498"/>
        <v>1</v>
      </c>
      <c r="T1629" s="643">
        <f t="shared" si="1498"/>
        <v>1</v>
      </c>
      <c r="U1629" s="643">
        <f t="shared" ref="U1629:AF1630" si="1499">T1629</f>
        <v>1</v>
      </c>
      <c r="V1629" s="643">
        <f t="shared" si="1499"/>
        <v>1</v>
      </c>
      <c r="W1629" s="643">
        <f t="shared" si="1499"/>
        <v>1</v>
      </c>
      <c r="X1629" s="643">
        <f t="shared" si="1499"/>
        <v>1</v>
      </c>
      <c r="Y1629" s="643">
        <f t="shared" si="1499"/>
        <v>1</v>
      </c>
      <c r="Z1629" s="643">
        <f t="shared" si="1499"/>
        <v>1</v>
      </c>
      <c r="AA1629" s="643">
        <f t="shared" si="1499"/>
        <v>1</v>
      </c>
      <c r="AB1629" s="643">
        <f t="shared" si="1499"/>
        <v>1</v>
      </c>
      <c r="AC1629" s="643">
        <f t="shared" si="1499"/>
        <v>1</v>
      </c>
      <c r="AD1629" s="643">
        <f t="shared" si="1499"/>
        <v>1</v>
      </c>
      <c r="AE1629" s="643">
        <f t="shared" si="1499"/>
        <v>1</v>
      </c>
      <c r="AF1629" s="643">
        <f t="shared" si="1499"/>
        <v>1</v>
      </c>
      <c r="AG1629" s="574" t="e">
        <f>#REF!</f>
        <v>#REF!</v>
      </c>
      <c r="AH1629" s="538"/>
      <c r="AK1629" s="515"/>
      <c r="AM1629" s="526"/>
      <c r="AN1629" s="535"/>
      <c r="AP1629" s="540"/>
      <c r="AQ1629" s="540"/>
    </row>
    <row r="1630" spans="1:43" s="513" customFormat="1" ht="16.5" hidden="1" customHeight="1" outlineLevel="2">
      <c r="A1630" s="584"/>
      <c r="B1630" s="572" t="s">
        <v>888</v>
      </c>
      <c r="C1630" s="574">
        <f>Insumos!$E$114</f>
        <v>20000</v>
      </c>
      <c r="D1630" s="574">
        <f>C1630</f>
        <v>20000</v>
      </c>
      <c r="E1630" s="574">
        <f t="shared" si="1498"/>
        <v>20000</v>
      </c>
      <c r="F1630" s="574">
        <f t="shared" si="1498"/>
        <v>20000</v>
      </c>
      <c r="G1630" s="574">
        <f t="shared" si="1498"/>
        <v>20000</v>
      </c>
      <c r="H1630" s="574">
        <f t="shared" si="1498"/>
        <v>20000</v>
      </c>
      <c r="I1630" s="574">
        <f t="shared" si="1498"/>
        <v>20000</v>
      </c>
      <c r="J1630" s="574">
        <f t="shared" si="1498"/>
        <v>20000</v>
      </c>
      <c r="K1630" s="574">
        <f t="shared" si="1498"/>
        <v>20000</v>
      </c>
      <c r="L1630" s="574">
        <f t="shared" si="1498"/>
        <v>20000</v>
      </c>
      <c r="M1630" s="574">
        <f t="shared" si="1498"/>
        <v>20000</v>
      </c>
      <c r="N1630" s="574">
        <f t="shared" si="1498"/>
        <v>20000</v>
      </c>
      <c r="O1630" s="574">
        <f t="shared" si="1498"/>
        <v>20000</v>
      </c>
      <c r="P1630" s="574">
        <f t="shared" si="1498"/>
        <v>20000</v>
      </c>
      <c r="Q1630" s="574">
        <f t="shared" si="1498"/>
        <v>20000</v>
      </c>
      <c r="R1630" s="574">
        <f t="shared" si="1498"/>
        <v>20000</v>
      </c>
      <c r="S1630" s="574">
        <f t="shared" si="1498"/>
        <v>20000</v>
      </c>
      <c r="T1630" s="574">
        <f t="shared" si="1498"/>
        <v>20000</v>
      </c>
      <c r="U1630" s="574">
        <f t="shared" si="1499"/>
        <v>20000</v>
      </c>
      <c r="V1630" s="574">
        <f t="shared" si="1499"/>
        <v>20000</v>
      </c>
      <c r="W1630" s="574">
        <f t="shared" si="1499"/>
        <v>20000</v>
      </c>
      <c r="X1630" s="574">
        <f t="shared" si="1499"/>
        <v>20000</v>
      </c>
      <c r="Y1630" s="574">
        <f t="shared" si="1499"/>
        <v>20000</v>
      </c>
      <c r="Z1630" s="574">
        <f t="shared" si="1499"/>
        <v>20000</v>
      </c>
      <c r="AA1630" s="574">
        <f t="shared" si="1499"/>
        <v>20000</v>
      </c>
      <c r="AB1630" s="574">
        <f t="shared" si="1499"/>
        <v>20000</v>
      </c>
      <c r="AC1630" s="574">
        <f t="shared" si="1499"/>
        <v>20000</v>
      </c>
      <c r="AD1630" s="574">
        <f t="shared" si="1499"/>
        <v>20000</v>
      </c>
      <c r="AE1630" s="574">
        <f t="shared" si="1499"/>
        <v>20000</v>
      </c>
      <c r="AF1630" s="574">
        <f t="shared" si="1499"/>
        <v>20000</v>
      </c>
      <c r="AH1630" s="538"/>
      <c r="AK1630" s="515"/>
      <c r="AM1630" s="526"/>
      <c r="AN1630" s="535"/>
      <c r="AP1630" s="540"/>
      <c r="AQ1630" s="540"/>
    </row>
    <row r="1631" spans="1:43" s="546" customFormat="1" ht="16.5" hidden="1" customHeight="1" outlineLevel="2">
      <c r="A1631" s="584"/>
      <c r="B1631" s="569" t="s">
        <v>1086</v>
      </c>
      <c r="C1631" s="570">
        <f>C1632*C1633</f>
        <v>250</v>
      </c>
      <c r="D1631" s="570">
        <f t="shared" ref="D1631:AF1631" si="1500">D1632*D1633</f>
        <v>250</v>
      </c>
      <c r="E1631" s="570">
        <f t="shared" si="1500"/>
        <v>250</v>
      </c>
      <c r="F1631" s="570">
        <f t="shared" si="1500"/>
        <v>250</v>
      </c>
      <c r="G1631" s="570">
        <f t="shared" si="1500"/>
        <v>250</v>
      </c>
      <c r="H1631" s="570">
        <f t="shared" si="1500"/>
        <v>250</v>
      </c>
      <c r="I1631" s="570">
        <f t="shared" si="1500"/>
        <v>250</v>
      </c>
      <c r="J1631" s="570">
        <f t="shared" si="1500"/>
        <v>250</v>
      </c>
      <c r="K1631" s="570">
        <f t="shared" si="1500"/>
        <v>250</v>
      </c>
      <c r="L1631" s="570">
        <f t="shared" si="1500"/>
        <v>250</v>
      </c>
      <c r="M1631" s="570">
        <f t="shared" si="1500"/>
        <v>250</v>
      </c>
      <c r="N1631" s="570">
        <f t="shared" si="1500"/>
        <v>250</v>
      </c>
      <c r="O1631" s="570">
        <f t="shared" si="1500"/>
        <v>250</v>
      </c>
      <c r="P1631" s="570">
        <f t="shared" si="1500"/>
        <v>250</v>
      </c>
      <c r="Q1631" s="570">
        <f t="shared" si="1500"/>
        <v>250</v>
      </c>
      <c r="R1631" s="570">
        <f t="shared" si="1500"/>
        <v>250</v>
      </c>
      <c r="S1631" s="570">
        <f t="shared" si="1500"/>
        <v>250</v>
      </c>
      <c r="T1631" s="570">
        <f t="shared" si="1500"/>
        <v>250</v>
      </c>
      <c r="U1631" s="570">
        <f t="shared" si="1500"/>
        <v>250</v>
      </c>
      <c r="V1631" s="570">
        <f t="shared" si="1500"/>
        <v>250</v>
      </c>
      <c r="W1631" s="570">
        <f t="shared" si="1500"/>
        <v>250</v>
      </c>
      <c r="X1631" s="570">
        <f t="shared" si="1500"/>
        <v>250</v>
      </c>
      <c r="Y1631" s="570">
        <f t="shared" si="1500"/>
        <v>250</v>
      </c>
      <c r="Z1631" s="570">
        <f t="shared" si="1500"/>
        <v>250</v>
      </c>
      <c r="AA1631" s="570">
        <f t="shared" si="1500"/>
        <v>250</v>
      </c>
      <c r="AB1631" s="570">
        <f t="shared" si="1500"/>
        <v>250</v>
      </c>
      <c r="AC1631" s="570">
        <f t="shared" si="1500"/>
        <v>250</v>
      </c>
      <c r="AD1631" s="570">
        <f t="shared" si="1500"/>
        <v>250</v>
      </c>
      <c r="AE1631" s="570">
        <f t="shared" si="1500"/>
        <v>250</v>
      </c>
      <c r="AF1631" s="570">
        <f t="shared" si="1500"/>
        <v>250</v>
      </c>
      <c r="AH1631" s="571"/>
      <c r="AK1631" s="687"/>
      <c r="AM1631" s="688"/>
      <c r="AN1631" s="535"/>
      <c r="AP1631" s="549"/>
      <c r="AQ1631" s="549"/>
    </row>
    <row r="1632" spans="1:43" s="513" customFormat="1" ht="16.5" hidden="1" customHeight="1" outlineLevel="2">
      <c r="A1632" s="584"/>
      <c r="B1632" s="572" t="s">
        <v>805</v>
      </c>
      <c r="C1632" s="643">
        <v>1</v>
      </c>
      <c r="D1632" s="643">
        <f>C1632</f>
        <v>1</v>
      </c>
      <c r="E1632" s="643">
        <f t="shared" ref="E1632:AF1633" si="1501">D1632</f>
        <v>1</v>
      </c>
      <c r="F1632" s="643">
        <f t="shared" si="1501"/>
        <v>1</v>
      </c>
      <c r="G1632" s="643">
        <f t="shared" si="1501"/>
        <v>1</v>
      </c>
      <c r="H1632" s="643">
        <f t="shared" si="1501"/>
        <v>1</v>
      </c>
      <c r="I1632" s="643">
        <f t="shared" si="1501"/>
        <v>1</v>
      </c>
      <c r="J1632" s="643">
        <f t="shared" si="1501"/>
        <v>1</v>
      </c>
      <c r="K1632" s="643">
        <f t="shared" si="1501"/>
        <v>1</v>
      </c>
      <c r="L1632" s="643">
        <f t="shared" si="1501"/>
        <v>1</v>
      </c>
      <c r="M1632" s="643">
        <f t="shared" si="1501"/>
        <v>1</v>
      </c>
      <c r="N1632" s="643">
        <f t="shared" si="1501"/>
        <v>1</v>
      </c>
      <c r="O1632" s="643">
        <f t="shared" si="1501"/>
        <v>1</v>
      </c>
      <c r="P1632" s="643">
        <f t="shared" si="1501"/>
        <v>1</v>
      </c>
      <c r="Q1632" s="643">
        <f t="shared" si="1501"/>
        <v>1</v>
      </c>
      <c r="R1632" s="643">
        <f t="shared" si="1501"/>
        <v>1</v>
      </c>
      <c r="S1632" s="643">
        <f t="shared" si="1501"/>
        <v>1</v>
      </c>
      <c r="T1632" s="643">
        <f t="shared" si="1501"/>
        <v>1</v>
      </c>
      <c r="U1632" s="643">
        <f t="shared" si="1501"/>
        <v>1</v>
      </c>
      <c r="V1632" s="643">
        <f t="shared" si="1501"/>
        <v>1</v>
      </c>
      <c r="W1632" s="643">
        <f t="shared" si="1501"/>
        <v>1</v>
      </c>
      <c r="X1632" s="643">
        <f t="shared" si="1501"/>
        <v>1</v>
      </c>
      <c r="Y1632" s="643">
        <f t="shared" si="1501"/>
        <v>1</v>
      </c>
      <c r="Z1632" s="643">
        <f t="shared" si="1501"/>
        <v>1</v>
      </c>
      <c r="AA1632" s="643">
        <f t="shared" si="1501"/>
        <v>1</v>
      </c>
      <c r="AB1632" s="643">
        <f t="shared" si="1501"/>
        <v>1</v>
      </c>
      <c r="AC1632" s="643">
        <f t="shared" si="1501"/>
        <v>1</v>
      </c>
      <c r="AD1632" s="643">
        <f t="shared" si="1501"/>
        <v>1</v>
      </c>
      <c r="AE1632" s="643">
        <f t="shared" si="1501"/>
        <v>1</v>
      </c>
      <c r="AF1632" s="643">
        <f t="shared" si="1501"/>
        <v>1</v>
      </c>
      <c r="AG1632" s="574" t="e">
        <f t="shared" ref="AG1632" si="1502">AG1629</f>
        <v>#REF!</v>
      </c>
      <c r="AH1632" s="538"/>
      <c r="AK1632" s="515"/>
      <c r="AM1632" s="526"/>
      <c r="AN1632" s="535"/>
      <c r="AP1632" s="540"/>
      <c r="AQ1632" s="540"/>
    </row>
    <row r="1633" spans="1:43" s="513" customFormat="1" ht="16.5" hidden="1" customHeight="1" outlineLevel="2">
      <c r="A1633" s="584"/>
      <c r="B1633" s="572" t="s">
        <v>888</v>
      </c>
      <c r="C1633" s="574">
        <f>Insumos!$E$127</f>
        <v>250</v>
      </c>
      <c r="D1633" s="574">
        <f>C1633</f>
        <v>250</v>
      </c>
      <c r="E1633" s="574">
        <f t="shared" si="1501"/>
        <v>250</v>
      </c>
      <c r="F1633" s="574">
        <f t="shared" si="1501"/>
        <v>250</v>
      </c>
      <c r="G1633" s="574">
        <f t="shared" si="1501"/>
        <v>250</v>
      </c>
      <c r="H1633" s="574">
        <f t="shared" si="1501"/>
        <v>250</v>
      </c>
      <c r="I1633" s="574">
        <f t="shared" si="1501"/>
        <v>250</v>
      </c>
      <c r="J1633" s="574">
        <f t="shared" si="1501"/>
        <v>250</v>
      </c>
      <c r="K1633" s="574">
        <f t="shared" si="1501"/>
        <v>250</v>
      </c>
      <c r="L1633" s="574">
        <f t="shared" si="1501"/>
        <v>250</v>
      </c>
      <c r="M1633" s="574">
        <f t="shared" si="1501"/>
        <v>250</v>
      </c>
      <c r="N1633" s="574">
        <f t="shared" si="1501"/>
        <v>250</v>
      </c>
      <c r="O1633" s="574">
        <f t="shared" si="1501"/>
        <v>250</v>
      </c>
      <c r="P1633" s="574">
        <f t="shared" si="1501"/>
        <v>250</v>
      </c>
      <c r="Q1633" s="574">
        <f t="shared" si="1501"/>
        <v>250</v>
      </c>
      <c r="R1633" s="574">
        <f t="shared" si="1501"/>
        <v>250</v>
      </c>
      <c r="S1633" s="574">
        <f t="shared" si="1501"/>
        <v>250</v>
      </c>
      <c r="T1633" s="574">
        <f t="shared" si="1501"/>
        <v>250</v>
      </c>
      <c r="U1633" s="574">
        <f t="shared" si="1501"/>
        <v>250</v>
      </c>
      <c r="V1633" s="574">
        <f t="shared" si="1501"/>
        <v>250</v>
      </c>
      <c r="W1633" s="574">
        <f t="shared" si="1501"/>
        <v>250</v>
      </c>
      <c r="X1633" s="574">
        <f t="shared" si="1501"/>
        <v>250</v>
      </c>
      <c r="Y1633" s="574">
        <f t="shared" si="1501"/>
        <v>250</v>
      </c>
      <c r="Z1633" s="574">
        <f t="shared" si="1501"/>
        <v>250</v>
      </c>
      <c r="AA1633" s="574">
        <f t="shared" si="1501"/>
        <v>250</v>
      </c>
      <c r="AB1633" s="574">
        <f t="shared" si="1501"/>
        <v>250</v>
      </c>
      <c r="AC1633" s="574">
        <f t="shared" si="1501"/>
        <v>250</v>
      </c>
      <c r="AD1633" s="574">
        <f t="shared" si="1501"/>
        <v>250</v>
      </c>
      <c r="AE1633" s="574">
        <f t="shared" si="1501"/>
        <v>250</v>
      </c>
      <c r="AF1633" s="574">
        <f t="shared" si="1501"/>
        <v>250</v>
      </c>
      <c r="AH1633" s="538"/>
      <c r="AK1633" s="515"/>
      <c r="AM1633" s="526"/>
      <c r="AN1633" s="535"/>
      <c r="AP1633" s="540"/>
      <c r="AQ1633" s="540"/>
    </row>
    <row r="1634" spans="1:43" s="546" customFormat="1" ht="16.5" hidden="1" customHeight="1" outlineLevel="2">
      <c r="A1634" s="584"/>
      <c r="B1634" s="569" t="s">
        <v>1003</v>
      </c>
      <c r="C1634" s="570">
        <f>C1635*C1636</f>
        <v>600</v>
      </c>
      <c r="D1634" s="570">
        <f t="shared" ref="D1634:AF1634" si="1503">D1635*D1636</f>
        <v>600</v>
      </c>
      <c r="E1634" s="570">
        <f t="shared" si="1503"/>
        <v>600</v>
      </c>
      <c r="F1634" s="570">
        <f t="shared" si="1503"/>
        <v>600</v>
      </c>
      <c r="G1634" s="570">
        <f t="shared" si="1503"/>
        <v>600</v>
      </c>
      <c r="H1634" s="570">
        <f t="shared" si="1503"/>
        <v>600</v>
      </c>
      <c r="I1634" s="570">
        <f t="shared" si="1503"/>
        <v>600</v>
      </c>
      <c r="J1634" s="570">
        <f t="shared" si="1503"/>
        <v>600</v>
      </c>
      <c r="K1634" s="570">
        <f t="shared" si="1503"/>
        <v>600</v>
      </c>
      <c r="L1634" s="570">
        <f t="shared" si="1503"/>
        <v>600</v>
      </c>
      <c r="M1634" s="570">
        <f t="shared" si="1503"/>
        <v>600</v>
      </c>
      <c r="N1634" s="570">
        <f t="shared" si="1503"/>
        <v>600</v>
      </c>
      <c r="O1634" s="570">
        <f t="shared" si="1503"/>
        <v>600</v>
      </c>
      <c r="P1634" s="570">
        <f t="shared" si="1503"/>
        <v>600</v>
      </c>
      <c r="Q1634" s="570">
        <f t="shared" si="1503"/>
        <v>600</v>
      </c>
      <c r="R1634" s="570">
        <f t="shared" si="1503"/>
        <v>600</v>
      </c>
      <c r="S1634" s="570">
        <f t="shared" si="1503"/>
        <v>600</v>
      </c>
      <c r="T1634" s="570">
        <f t="shared" si="1503"/>
        <v>600</v>
      </c>
      <c r="U1634" s="570">
        <f t="shared" si="1503"/>
        <v>600</v>
      </c>
      <c r="V1634" s="570">
        <f t="shared" si="1503"/>
        <v>600</v>
      </c>
      <c r="W1634" s="570">
        <f t="shared" si="1503"/>
        <v>600</v>
      </c>
      <c r="X1634" s="570">
        <f t="shared" si="1503"/>
        <v>600</v>
      </c>
      <c r="Y1634" s="570">
        <f t="shared" si="1503"/>
        <v>600</v>
      </c>
      <c r="Z1634" s="570">
        <f t="shared" si="1503"/>
        <v>600</v>
      </c>
      <c r="AA1634" s="570">
        <f t="shared" si="1503"/>
        <v>600</v>
      </c>
      <c r="AB1634" s="570">
        <f t="shared" si="1503"/>
        <v>600</v>
      </c>
      <c r="AC1634" s="570">
        <f t="shared" si="1503"/>
        <v>600</v>
      </c>
      <c r="AD1634" s="570">
        <f t="shared" si="1503"/>
        <v>600</v>
      </c>
      <c r="AE1634" s="570">
        <f t="shared" si="1503"/>
        <v>600</v>
      </c>
      <c r="AF1634" s="570">
        <f t="shared" si="1503"/>
        <v>600</v>
      </c>
      <c r="AH1634" s="571"/>
      <c r="AK1634" s="687"/>
      <c r="AM1634" s="688"/>
      <c r="AN1634" s="535"/>
      <c r="AP1634" s="549"/>
      <c r="AQ1634" s="549"/>
    </row>
    <row r="1635" spans="1:43" s="513" customFormat="1" ht="16.5" hidden="1" customHeight="1" outlineLevel="2">
      <c r="A1635" s="584"/>
      <c r="B1635" s="572" t="s">
        <v>805</v>
      </c>
      <c r="C1635" s="643">
        <v>1</v>
      </c>
      <c r="D1635" s="643">
        <f>C1635</f>
        <v>1</v>
      </c>
      <c r="E1635" s="643">
        <f t="shared" ref="E1635:AF1636" si="1504">D1635</f>
        <v>1</v>
      </c>
      <c r="F1635" s="643">
        <f t="shared" si="1504"/>
        <v>1</v>
      </c>
      <c r="G1635" s="643">
        <f t="shared" si="1504"/>
        <v>1</v>
      </c>
      <c r="H1635" s="643">
        <f t="shared" si="1504"/>
        <v>1</v>
      </c>
      <c r="I1635" s="643">
        <f t="shared" si="1504"/>
        <v>1</v>
      </c>
      <c r="J1635" s="643">
        <f t="shared" si="1504"/>
        <v>1</v>
      </c>
      <c r="K1635" s="643">
        <f t="shared" si="1504"/>
        <v>1</v>
      </c>
      <c r="L1635" s="643">
        <f t="shared" si="1504"/>
        <v>1</v>
      </c>
      <c r="M1635" s="643">
        <f t="shared" si="1504"/>
        <v>1</v>
      </c>
      <c r="N1635" s="643">
        <f t="shared" si="1504"/>
        <v>1</v>
      </c>
      <c r="O1635" s="643">
        <f t="shared" si="1504"/>
        <v>1</v>
      </c>
      <c r="P1635" s="643">
        <f t="shared" si="1504"/>
        <v>1</v>
      </c>
      <c r="Q1635" s="643">
        <f t="shared" si="1504"/>
        <v>1</v>
      </c>
      <c r="R1635" s="643">
        <f t="shared" si="1504"/>
        <v>1</v>
      </c>
      <c r="S1635" s="643">
        <f t="shared" si="1504"/>
        <v>1</v>
      </c>
      <c r="T1635" s="643">
        <f t="shared" si="1504"/>
        <v>1</v>
      </c>
      <c r="U1635" s="643">
        <f t="shared" si="1504"/>
        <v>1</v>
      </c>
      <c r="V1635" s="643">
        <f t="shared" si="1504"/>
        <v>1</v>
      </c>
      <c r="W1635" s="643">
        <f t="shared" si="1504"/>
        <v>1</v>
      </c>
      <c r="X1635" s="643">
        <f t="shared" si="1504"/>
        <v>1</v>
      </c>
      <c r="Y1635" s="643">
        <f t="shared" si="1504"/>
        <v>1</v>
      </c>
      <c r="Z1635" s="643">
        <f t="shared" si="1504"/>
        <v>1</v>
      </c>
      <c r="AA1635" s="643">
        <f t="shared" si="1504"/>
        <v>1</v>
      </c>
      <c r="AB1635" s="643">
        <f t="shared" si="1504"/>
        <v>1</v>
      </c>
      <c r="AC1635" s="643">
        <f t="shared" si="1504"/>
        <v>1</v>
      </c>
      <c r="AD1635" s="643">
        <f t="shared" si="1504"/>
        <v>1</v>
      </c>
      <c r="AE1635" s="643">
        <f t="shared" si="1504"/>
        <v>1</v>
      </c>
      <c r="AF1635" s="643">
        <f t="shared" si="1504"/>
        <v>1</v>
      </c>
      <c r="AG1635" s="574" t="e">
        <f t="shared" ref="AG1635" si="1505">AG1632</f>
        <v>#REF!</v>
      </c>
      <c r="AH1635" s="538"/>
      <c r="AK1635" s="515"/>
      <c r="AM1635" s="526"/>
      <c r="AN1635" s="535"/>
      <c r="AP1635" s="540"/>
      <c r="AQ1635" s="540"/>
    </row>
    <row r="1636" spans="1:43" s="513" customFormat="1" ht="16.5" hidden="1" customHeight="1" outlineLevel="2">
      <c r="A1636" s="584"/>
      <c r="B1636" s="572" t="s">
        <v>888</v>
      </c>
      <c r="C1636" s="574">
        <f>Insumos!$E$109</f>
        <v>600</v>
      </c>
      <c r="D1636" s="574">
        <f>C1636</f>
        <v>600</v>
      </c>
      <c r="E1636" s="574">
        <f t="shared" si="1504"/>
        <v>600</v>
      </c>
      <c r="F1636" s="574">
        <f t="shared" si="1504"/>
        <v>600</v>
      </c>
      <c r="G1636" s="574">
        <f t="shared" si="1504"/>
        <v>600</v>
      </c>
      <c r="H1636" s="574">
        <f t="shared" si="1504"/>
        <v>600</v>
      </c>
      <c r="I1636" s="574">
        <f t="shared" si="1504"/>
        <v>600</v>
      </c>
      <c r="J1636" s="574">
        <f t="shared" si="1504"/>
        <v>600</v>
      </c>
      <c r="K1636" s="574">
        <f t="shared" si="1504"/>
        <v>600</v>
      </c>
      <c r="L1636" s="574">
        <f t="shared" si="1504"/>
        <v>600</v>
      </c>
      <c r="M1636" s="574">
        <f t="shared" si="1504"/>
        <v>600</v>
      </c>
      <c r="N1636" s="574">
        <f t="shared" si="1504"/>
        <v>600</v>
      </c>
      <c r="O1636" s="574">
        <f t="shared" si="1504"/>
        <v>600</v>
      </c>
      <c r="P1636" s="574">
        <f t="shared" si="1504"/>
        <v>600</v>
      </c>
      <c r="Q1636" s="574">
        <f t="shared" si="1504"/>
        <v>600</v>
      </c>
      <c r="R1636" s="574">
        <f t="shared" si="1504"/>
        <v>600</v>
      </c>
      <c r="S1636" s="574">
        <f t="shared" si="1504"/>
        <v>600</v>
      </c>
      <c r="T1636" s="574">
        <f t="shared" si="1504"/>
        <v>600</v>
      </c>
      <c r="U1636" s="574">
        <f t="shared" si="1504"/>
        <v>600</v>
      </c>
      <c r="V1636" s="574">
        <f t="shared" si="1504"/>
        <v>600</v>
      </c>
      <c r="W1636" s="574">
        <f t="shared" si="1504"/>
        <v>600</v>
      </c>
      <c r="X1636" s="574">
        <f t="shared" si="1504"/>
        <v>600</v>
      </c>
      <c r="Y1636" s="574">
        <f t="shared" si="1504"/>
        <v>600</v>
      </c>
      <c r="Z1636" s="574">
        <f t="shared" si="1504"/>
        <v>600</v>
      </c>
      <c r="AA1636" s="574">
        <f t="shared" si="1504"/>
        <v>600</v>
      </c>
      <c r="AB1636" s="574">
        <f t="shared" si="1504"/>
        <v>600</v>
      </c>
      <c r="AC1636" s="574">
        <f t="shared" si="1504"/>
        <v>600</v>
      </c>
      <c r="AD1636" s="574">
        <f t="shared" si="1504"/>
        <v>600</v>
      </c>
      <c r="AE1636" s="574">
        <f t="shared" si="1504"/>
        <v>600</v>
      </c>
      <c r="AF1636" s="574">
        <f t="shared" si="1504"/>
        <v>600</v>
      </c>
      <c r="AH1636" s="538"/>
      <c r="AK1636" s="515"/>
      <c r="AM1636" s="526"/>
      <c r="AN1636" s="535"/>
      <c r="AP1636" s="540"/>
      <c r="AQ1636" s="540"/>
    </row>
    <row r="1637" spans="1:43" s="546" customFormat="1" ht="16.5" hidden="1" customHeight="1" outlineLevel="2">
      <c r="A1637" s="584"/>
      <c r="B1637" s="569" t="s">
        <v>1087</v>
      </c>
      <c r="C1637" s="570">
        <f>C1638*C1639</f>
        <v>1200</v>
      </c>
      <c r="D1637" s="570">
        <f t="shared" ref="D1637:AF1637" si="1506">D1638*D1639</f>
        <v>1200</v>
      </c>
      <c r="E1637" s="570">
        <f t="shared" si="1506"/>
        <v>1200</v>
      </c>
      <c r="F1637" s="570">
        <f t="shared" si="1506"/>
        <v>1200</v>
      </c>
      <c r="G1637" s="570">
        <f t="shared" si="1506"/>
        <v>1200</v>
      </c>
      <c r="H1637" s="570">
        <f t="shared" si="1506"/>
        <v>1200</v>
      </c>
      <c r="I1637" s="570">
        <f t="shared" si="1506"/>
        <v>1200</v>
      </c>
      <c r="J1637" s="570">
        <f t="shared" si="1506"/>
        <v>1200</v>
      </c>
      <c r="K1637" s="570">
        <f t="shared" si="1506"/>
        <v>1200</v>
      </c>
      <c r="L1637" s="570">
        <f t="shared" si="1506"/>
        <v>1200</v>
      </c>
      <c r="M1637" s="570">
        <f t="shared" si="1506"/>
        <v>1200</v>
      </c>
      <c r="N1637" s="570">
        <f t="shared" si="1506"/>
        <v>1200</v>
      </c>
      <c r="O1637" s="570">
        <f t="shared" si="1506"/>
        <v>1200</v>
      </c>
      <c r="P1637" s="570">
        <f t="shared" si="1506"/>
        <v>1200</v>
      </c>
      <c r="Q1637" s="570">
        <f t="shared" si="1506"/>
        <v>1200</v>
      </c>
      <c r="R1637" s="570">
        <f t="shared" si="1506"/>
        <v>1200</v>
      </c>
      <c r="S1637" s="570">
        <f t="shared" si="1506"/>
        <v>1200</v>
      </c>
      <c r="T1637" s="570">
        <f t="shared" si="1506"/>
        <v>1200</v>
      </c>
      <c r="U1637" s="570">
        <f t="shared" si="1506"/>
        <v>1200</v>
      </c>
      <c r="V1637" s="570">
        <f t="shared" si="1506"/>
        <v>1200</v>
      </c>
      <c r="W1637" s="570">
        <f t="shared" si="1506"/>
        <v>1200</v>
      </c>
      <c r="X1637" s="570">
        <f t="shared" si="1506"/>
        <v>1200</v>
      </c>
      <c r="Y1637" s="570">
        <f t="shared" si="1506"/>
        <v>1200</v>
      </c>
      <c r="Z1637" s="570">
        <f t="shared" si="1506"/>
        <v>1200</v>
      </c>
      <c r="AA1637" s="570">
        <f t="shared" si="1506"/>
        <v>1200</v>
      </c>
      <c r="AB1637" s="570">
        <f t="shared" si="1506"/>
        <v>1200</v>
      </c>
      <c r="AC1637" s="570">
        <f t="shared" si="1506"/>
        <v>1200</v>
      </c>
      <c r="AD1637" s="570">
        <f t="shared" si="1506"/>
        <v>1200</v>
      </c>
      <c r="AE1637" s="570">
        <f t="shared" si="1506"/>
        <v>1200</v>
      </c>
      <c r="AF1637" s="570">
        <f t="shared" si="1506"/>
        <v>1200</v>
      </c>
      <c r="AH1637" s="571"/>
      <c r="AK1637" s="687"/>
      <c r="AM1637" s="688"/>
      <c r="AN1637" s="535"/>
      <c r="AP1637" s="549"/>
      <c r="AQ1637" s="549"/>
    </row>
    <row r="1638" spans="1:43" s="513" customFormat="1" ht="16.5" hidden="1" customHeight="1" outlineLevel="2">
      <c r="A1638" s="584"/>
      <c r="B1638" s="572" t="s">
        <v>805</v>
      </c>
      <c r="C1638" s="643">
        <v>1</v>
      </c>
      <c r="D1638" s="643">
        <f>C1638</f>
        <v>1</v>
      </c>
      <c r="E1638" s="643">
        <f t="shared" ref="E1638:T1639" si="1507">D1638</f>
        <v>1</v>
      </c>
      <c r="F1638" s="643">
        <f t="shared" si="1507"/>
        <v>1</v>
      </c>
      <c r="G1638" s="643">
        <f t="shared" si="1507"/>
        <v>1</v>
      </c>
      <c r="H1638" s="643">
        <f t="shared" si="1507"/>
        <v>1</v>
      </c>
      <c r="I1638" s="643">
        <f t="shared" si="1507"/>
        <v>1</v>
      </c>
      <c r="J1638" s="643">
        <f t="shared" si="1507"/>
        <v>1</v>
      </c>
      <c r="K1638" s="643">
        <f t="shared" si="1507"/>
        <v>1</v>
      </c>
      <c r="L1638" s="643">
        <f t="shared" si="1507"/>
        <v>1</v>
      </c>
      <c r="M1638" s="643">
        <f t="shared" si="1507"/>
        <v>1</v>
      </c>
      <c r="N1638" s="643">
        <f t="shared" si="1507"/>
        <v>1</v>
      </c>
      <c r="O1638" s="643">
        <f t="shared" si="1507"/>
        <v>1</v>
      </c>
      <c r="P1638" s="643">
        <f t="shared" si="1507"/>
        <v>1</v>
      </c>
      <c r="Q1638" s="643">
        <f t="shared" si="1507"/>
        <v>1</v>
      </c>
      <c r="R1638" s="643">
        <f t="shared" si="1507"/>
        <v>1</v>
      </c>
      <c r="S1638" s="643">
        <f t="shared" si="1507"/>
        <v>1</v>
      </c>
      <c r="T1638" s="643">
        <f t="shared" si="1507"/>
        <v>1</v>
      </c>
      <c r="U1638" s="643">
        <f t="shared" ref="U1638:AF1639" si="1508">T1638</f>
        <v>1</v>
      </c>
      <c r="V1638" s="643">
        <f t="shared" si="1508"/>
        <v>1</v>
      </c>
      <c r="W1638" s="643">
        <f t="shared" si="1508"/>
        <v>1</v>
      </c>
      <c r="X1638" s="643">
        <f t="shared" si="1508"/>
        <v>1</v>
      </c>
      <c r="Y1638" s="643">
        <f t="shared" si="1508"/>
        <v>1</v>
      </c>
      <c r="Z1638" s="643">
        <f t="shared" si="1508"/>
        <v>1</v>
      </c>
      <c r="AA1638" s="643">
        <f t="shared" si="1508"/>
        <v>1</v>
      </c>
      <c r="AB1638" s="643">
        <f t="shared" si="1508"/>
        <v>1</v>
      </c>
      <c r="AC1638" s="643">
        <f t="shared" si="1508"/>
        <v>1</v>
      </c>
      <c r="AD1638" s="643">
        <f t="shared" si="1508"/>
        <v>1</v>
      </c>
      <c r="AE1638" s="643">
        <f t="shared" si="1508"/>
        <v>1</v>
      </c>
      <c r="AF1638" s="643">
        <f t="shared" si="1508"/>
        <v>1</v>
      </c>
      <c r="AG1638" s="574" t="e">
        <f t="shared" ref="AG1638" si="1509">AG1635</f>
        <v>#REF!</v>
      </c>
      <c r="AH1638" s="538"/>
      <c r="AK1638" s="515"/>
      <c r="AM1638" s="526"/>
      <c r="AN1638" s="535"/>
      <c r="AP1638" s="540"/>
      <c r="AQ1638" s="540"/>
    </row>
    <row r="1639" spans="1:43" s="513" customFormat="1" ht="16.5" hidden="1" customHeight="1" outlineLevel="2">
      <c r="A1639" s="584"/>
      <c r="B1639" s="572" t="s">
        <v>888</v>
      </c>
      <c r="C1639" s="574">
        <f>Insumos!$E$119</f>
        <v>1200</v>
      </c>
      <c r="D1639" s="574">
        <f>C1639</f>
        <v>1200</v>
      </c>
      <c r="E1639" s="574">
        <f t="shared" si="1507"/>
        <v>1200</v>
      </c>
      <c r="F1639" s="574">
        <f t="shared" si="1507"/>
        <v>1200</v>
      </c>
      <c r="G1639" s="574">
        <f t="shared" si="1507"/>
        <v>1200</v>
      </c>
      <c r="H1639" s="574">
        <f t="shared" si="1507"/>
        <v>1200</v>
      </c>
      <c r="I1639" s="574">
        <f t="shared" si="1507"/>
        <v>1200</v>
      </c>
      <c r="J1639" s="574">
        <f t="shared" si="1507"/>
        <v>1200</v>
      </c>
      <c r="K1639" s="574">
        <f t="shared" si="1507"/>
        <v>1200</v>
      </c>
      <c r="L1639" s="574">
        <f t="shared" si="1507"/>
        <v>1200</v>
      </c>
      <c r="M1639" s="574">
        <f t="shared" si="1507"/>
        <v>1200</v>
      </c>
      <c r="N1639" s="574">
        <f t="shared" si="1507"/>
        <v>1200</v>
      </c>
      <c r="O1639" s="574">
        <f t="shared" si="1507"/>
        <v>1200</v>
      </c>
      <c r="P1639" s="574">
        <f t="shared" si="1507"/>
        <v>1200</v>
      </c>
      <c r="Q1639" s="574">
        <f t="shared" si="1507"/>
        <v>1200</v>
      </c>
      <c r="R1639" s="574">
        <f t="shared" si="1507"/>
        <v>1200</v>
      </c>
      <c r="S1639" s="574">
        <f t="shared" si="1507"/>
        <v>1200</v>
      </c>
      <c r="T1639" s="574">
        <f t="shared" si="1507"/>
        <v>1200</v>
      </c>
      <c r="U1639" s="574">
        <f t="shared" si="1508"/>
        <v>1200</v>
      </c>
      <c r="V1639" s="574">
        <f t="shared" si="1508"/>
        <v>1200</v>
      </c>
      <c r="W1639" s="574">
        <f t="shared" si="1508"/>
        <v>1200</v>
      </c>
      <c r="X1639" s="574">
        <f t="shared" si="1508"/>
        <v>1200</v>
      </c>
      <c r="Y1639" s="574">
        <f t="shared" si="1508"/>
        <v>1200</v>
      </c>
      <c r="Z1639" s="574">
        <f t="shared" si="1508"/>
        <v>1200</v>
      </c>
      <c r="AA1639" s="574">
        <f t="shared" si="1508"/>
        <v>1200</v>
      </c>
      <c r="AB1639" s="574">
        <f t="shared" si="1508"/>
        <v>1200</v>
      </c>
      <c r="AC1639" s="574">
        <f t="shared" si="1508"/>
        <v>1200</v>
      </c>
      <c r="AD1639" s="574">
        <f t="shared" si="1508"/>
        <v>1200</v>
      </c>
      <c r="AE1639" s="574">
        <f t="shared" si="1508"/>
        <v>1200</v>
      </c>
      <c r="AF1639" s="574">
        <f t="shared" si="1508"/>
        <v>1200</v>
      </c>
      <c r="AH1639" s="538"/>
      <c r="AK1639" s="515"/>
      <c r="AM1639" s="526"/>
      <c r="AN1639" s="535"/>
      <c r="AP1639" s="540"/>
      <c r="AQ1639" s="540"/>
    </row>
    <row r="1640" spans="1:43" s="546" customFormat="1" ht="16.5" hidden="1" customHeight="1" outlineLevel="2">
      <c r="A1640" s="584"/>
      <c r="B1640" s="569" t="s">
        <v>1088</v>
      </c>
      <c r="C1640" s="570">
        <f>C1641*C1642</f>
        <v>400</v>
      </c>
      <c r="D1640" s="570">
        <f t="shared" ref="D1640:AF1640" si="1510">D1641*D1642</f>
        <v>400</v>
      </c>
      <c r="E1640" s="570">
        <f t="shared" si="1510"/>
        <v>400</v>
      </c>
      <c r="F1640" s="570">
        <f t="shared" si="1510"/>
        <v>400</v>
      </c>
      <c r="G1640" s="570">
        <f t="shared" si="1510"/>
        <v>400</v>
      </c>
      <c r="H1640" s="570">
        <f t="shared" si="1510"/>
        <v>400</v>
      </c>
      <c r="I1640" s="570">
        <f t="shared" si="1510"/>
        <v>400</v>
      </c>
      <c r="J1640" s="570">
        <f t="shared" si="1510"/>
        <v>400</v>
      </c>
      <c r="K1640" s="570">
        <f t="shared" si="1510"/>
        <v>400</v>
      </c>
      <c r="L1640" s="570">
        <f t="shared" si="1510"/>
        <v>400</v>
      </c>
      <c r="M1640" s="570">
        <f t="shared" si="1510"/>
        <v>400</v>
      </c>
      <c r="N1640" s="570">
        <f t="shared" si="1510"/>
        <v>400</v>
      </c>
      <c r="O1640" s="570">
        <f t="shared" si="1510"/>
        <v>400</v>
      </c>
      <c r="P1640" s="570">
        <f t="shared" si="1510"/>
        <v>400</v>
      </c>
      <c r="Q1640" s="570">
        <f t="shared" si="1510"/>
        <v>400</v>
      </c>
      <c r="R1640" s="570">
        <f t="shared" si="1510"/>
        <v>400</v>
      </c>
      <c r="S1640" s="570">
        <f t="shared" si="1510"/>
        <v>400</v>
      </c>
      <c r="T1640" s="570">
        <f t="shared" si="1510"/>
        <v>400</v>
      </c>
      <c r="U1640" s="570">
        <f t="shared" si="1510"/>
        <v>400</v>
      </c>
      <c r="V1640" s="570">
        <f t="shared" si="1510"/>
        <v>400</v>
      </c>
      <c r="W1640" s="570">
        <f t="shared" si="1510"/>
        <v>400</v>
      </c>
      <c r="X1640" s="570">
        <f t="shared" si="1510"/>
        <v>400</v>
      </c>
      <c r="Y1640" s="570">
        <f t="shared" si="1510"/>
        <v>400</v>
      </c>
      <c r="Z1640" s="570">
        <f t="shared" si="1510"/>
        <v>400</v>
      </c>
      <c r="AA1640" s="570">
        <f t="shared" si="1510"/>
        <v>400</v>
      </c>
      <c r="AB1640" s="570">
        <f t="shared" si="1510"/>
        <v>400</v>
      </c>
      <c r="AC1640" s="570">
        <f t="shared" si="1510"/>
        <v>400</v>
      </c>
      <c r="AD1640" s="570">
        <f t="shared" si="1510"/>
        <v>400</v>
      </c>
      <c r="AE1640" s="570">
        <f t="shared" si="1510"/>
        <v>400</v>
      </c>
      <c r="AF1640" s="570">
        <f t="shared" si="1510"/>
        <v>400</v>
      </c>
      <c r="AH1640" s="571"/>
      <c r="AK1640" s="687"/>
      <c r="AM1640" s="688"/>
      <c r="AN1640" s="535"/>
      <c r="AP1640" s="549"/>
      <c r="AQ1640" s="549"/>
    </row>
    <row r="1641" spans="1:43" s="513" customFormat="1" ht="16.5" hidden="1" customHeight="1" outlineLevel="2">
      <c r="A1641" s="584"/>
      <c r="B1641" s="572" t="s">
        <v>805</v>
      </c>
      <c r="C1641" s="643">
        <v>1</v>
      </c>
      <c r="D1641" s="643">
        <f>C1641</f>
        <v>1</v>
      </c>
      <c r="E1641" s="643">
        <f t="shared" ref="E1641:T1642" si="1511">D1641</f>
        <v>1</v>
      </c>
      <c r="F1641" s="643">
        <f t="shared" si="1511"/>
        <v>1</v>
      </c>
      <c r="G1641" s="643">
        <f t="shared" si="1511"/>
        <v>1</v>
      </c>
      <c r="H1641" s="643">
        <f t="shared" si="1511"/>
        <v>1</v>
      </c>
      <c r="I1641" s="643">
        <f t="shared" si="1511"/>
        <v>1</v>
      </c>
      <c r="J1641" s="643">
        <f t="shared" si="1511"/>
        <v>1</v>
      </c>
      <c r="K1641" s="643">
        <f t="shared" si="1511"/>
        <v>1</v>
      </c>
      <c r="L1641" s="643">
        <f t="shared" si="1511"/>
        <v>1</v>
      </c>
      <c r="M1641" s="643">
        <f t="shared" si="1511"/>
        <v>1</v>
      </c>
      <c r="N1641" s="643">
        <f t="shared" si="1511"/>
        <v>1</v>
      </c>
      <c r="O1641" s="643">
        <f t="shared" si="1511"/>
        <v>1</v>
      </c>
      <c r="P1641" s="643">
        <f t="shared" si="1511"/>
        <v>1</v>
      </c>
      <c r="Q1641" s="643">
        <f t="shared" si="1511"/>
        <v>1</v>
      </c>
      <c r="R1641" s="643">
        <f t="shared" si="1511"/>
        <v>1</v>
      </c>
      <c r="S1641" s="643">
        <f t="shared" si="1511"/>
        <v>1</v>
      </c>
      <c r="T1641" s="643">
        <f t="shared" si="1511"/>
        <v>1</v>
      </c>
      <c r="U1641" s="643">
        <f t="shared" ref="U1641:AF1642" si="1512">T1641</f>
        <v>1</v>
      </c>
      <c r="V1641" s="643">
        <f t="shared" si="1512"/>
        <v>1</v>
      </c>
      <c r="W1641" s="643">
        <f t="shared" si="1512"/>
        <v>1</v>
      </c>
      <c r="X1641" s="643">
        <f t="shared" si="1512"/>
        <v>1</v>
      </c>
      <c r="Y1641" s="643">
        <f t="shared" si="1512"/>
        <v>1</v>
      </c>
      <c r="Z1641" s="643">
        <f t="shared" si="1512"/>
        <v>1</v>
      </c>
      <c r="AA1641" s="643">
        <f t="shared" si="1512"/>
        <v>1</v>
      </c>
      <c r="AB1641" s="643">
        <f t="shared" si="1512"/>
        <v>1</v>
      </c>
      <c r="AC1641" s="643">
        <f t="shared" si="1512"/>
        <v>1</v>
      </c>
      <c r="AD1641" s="643">
        <f t="shared" si="1512"/>
        <v>1</v>
      </c>
      <c r="AE1641" s="643">
        <f t="shared" si="1512"/>
        <v>1</v>
      </c>
      <c r="AF1641" s="643">
        <f t="shared" si="1512"/>
        <v>1</v>
      </c>
      <c r="AG1641" s="574" t="e">
        <f t="shared" ref="AG1641" si="1513">AG1638</f>
        <v>#REF!</v>
      </c>
      <c r="AH1641" s="538"/>
      <c r="AK1641" s="515"/>
      <c r="AM1641" s="526"/>
      <c r="AN1641" s="535"/>
      <c r="AP1641" s="540"/>
      <c r="AQ1641" s="540"/>
    </row>
    <row r="1642" spans="1:43" s="513" customFormat="1" ht="16.5" hidden="1" customHeight="1" outlineLevel="2">
      <c r="A1642" s="584"/>
      <c r="B1642" s="572" t="s">
        <v>888</v>
      </c>
      <c r="C1642" s="574">
        <f>Insumos!$E$153</f>
        <v>400</v>
      </c>
      <c r="D1642" s="574">
        <f>C1642</f>
        <v>400</v>
      </c>
      <c r="E1642" s="574">
        <f t="shared" si="1511"/>
        <v>400</v>
      </c>
      <c r="F1642" s="574">
        <f t="shared" si="1511"/>
        <v>400</v>
      </c>
      <c r="G1642" s="574">
        <f t="shared" si="1511"/>
        <v>400</v>
      </c>
      <c r="H1642" s="574">
        <f t="shared" si="1511"/>
        <v>400</v>
      </c>
      <c r="I1642" s="574">
        <f t="shared" si="1511"/>
        <v>400</v>
      </c>
      <c r="J1642" s="574">
        <f t="shared" si="1511"/>
        <v>400</v>
      </c>
      <c r="K1642" s="574">
        <f t="shared" si="1511"/>
        <v>400</v>
      </c>
      <c r="L1642" s="574">
        <f t="shared" si="1511"/>
        <v>400</v>
      </c>
      <c r="M1642" s="574">
        <f t="shared" si="1511"/>
        <v>400</v>
      </c>
      <c r="N1642" s="574">
        <f t="shared" si="1511"/>
        <v>400</v>
      </c>
      <c r="O1642" s="574">
        <f t="shared" si="1511"/>
        <v>400</v>
      </c>
      <c r="P1642" s="574">
        <f t="shared" si="1511"/>
        <v>400</v>
      </c>
      <c r="Q1642" s="574">
        <f t="shared" si="1511"/>
        <v>400</v>
      </c>
      <c r="R1642" s="574">
        <f t="shared" si="1511"/>
        <v>400</v>
      </c>
      <c r="S1642" s="574">
        <f t="shared" si="1511"/>
        <v>400</v>
      </c>
      <c r="T1642" s="574">
        <f t="shared" si="1511"/>
        <v>400</v>
      </c>
      <c r="U1642" s="574">
        <f t="shared" si="1512"/>
        <v>400</v>
      </c>
      <c r="V1642" s="574">
        <f t="shared" si="1512"/>
        <v>400</v>
      </c>
      <c r="W1642" s="574">
        <f t="shared" si="1512"/>
        <v>400</v>
      </c>
      <c r="X1642" s="574">
        <f t="shared" si="1512"/>
        <v>400</v>
      </c>
      <c r="Y1642" s="574">
        <f t="shared" si="1512"/>
        <v>400</v>
      </c>
      <c r="Z1642" s="574">
        <f t="shared" si="1512"/>
        <v>400</v>
      </c>
      <c r="AA1642" s="574">
        <f t="shared" si="1512"/>
        <v>400</v>
      </c>
      <c r="AB1642" s="574">
        <f t="shared" si="1512"/>
        <v>400</v>
      </c>
      <c r="AC1642" s="574">
        <f t="shared" si="1512"/>
        <v>400</v>
      </c>
      <c r="AD1642" s="574">
        <f t="shared" si="1512"/>
        <v>400</v>
      </c>
      <c r="AE1642" s="574">
        <f t="shared" si="1512"/>
        <v>400</v>
      </c>
      <c r="AF1642" s="574">
        <f t="shared" si="1512"/>
        <v>400</v>
      </c>
      <c r="AH1642" s="538"/>
      <c r="AK1642" s="515"/>
      <c r="AM1642" s="526"/>
      <c r="AN1642" s="535"/>
      <c r="AP1642" s="540"/>
      <c r="AQ1642" s="540"/>
    </row>
    <row r="1643" spans="1:43" s="546" customFormat="1" ht="16.5" hidden="1" customHeight="1" outlineLevel="2">
      <c r="A1643" s="584"/>
      <c r="B1643" s="569" t="s">
        <v>1089</v>
      </c>
      <c r="C1643" s="570">
        <f>C1644*C1645</f>
        <v>300</v>
      </c>
      <c r="D1643" s="570">
        <f t="shared" ref="D1643:AF1643" si="1514">D1644*D1645</f>
        <v>300</v>
      </c>
      <c r="E1643" s="570">
        <f t="shared" si="1514"/>
        <v>300</v>
      </c>
      <c r="F1643" s="570">
        <f t="shared" si="1514"/>
        <v>300</v>
      </c>
      <c r="G1643" s="570">
        <f t="shared" si="1514"/>
        <v>300</v>
      </c>
      <c r="H1643" s="570">
        <f t="shared" si="1514"/>
        <v>300</v>
      </c>
      <c r="I1643" s="570">
        <f t="shared" si="1514"/>
        <v>300</v>
      </c>
      <c r="J1643" s="570">
        <f t="shared" si="1514"/>
        <v>300</v>
      </c>
      <c r="K1643" s="570">
        <f t="shared" si="1514"/>
        <v>300</v>
      </c>
      <c r="L1643" s="570">
        <f t="shared" si="1514"/>
        <v>300</v>
      </c>
      <c r="M1643" s="570">
        <f t="shared" si="1514"/>
        <v>300</v>
      </c>
      <c r="N1643" s="570">
        <f t="shared" si="1514"/>
        <v>300</v>
      </c>
      <c r="O1643" s="570">
        <f t="shared" si="1514"/>
        <v>300</v>
      </c>
      <c r="P1643" s="570">
        <f t="shared" si="1514"/>
        <v>300</v>
      </c>
      <c r="Q1643" s="570">
        <f t="shared" si="1514"/>
        <v>300</v>
      </c>
      <c r="R1643" s="570">
        <f t="shared" si="1514"/>
        <v>300</v>
      </c>
      <c r="S1643" s="570">
        <f t="shared" si="1514"/>
        <v>300</v>
      </c>
      <c r="T1643" s="570">
        <f t="shared" si="1514"/>
        <v>300</v>
      </c>
      <c r="U1643" s="570">
        <f t="shared" si="1514"/>
        <v>300</v>
      </c>
      <c r="V1643" s="570">
        <f t="shared" si="1514"/>
        <v>300</v>
      </c>
      <c r="W1643" s="570">
        <f t="shared" si="1514"/>
        <v>300</v>
      </c>
      <c r="X1643" s="570">
        <f t="shared" si="1514"/>
        <v>300</v>
      </c>
      <c r="Y1643" s="570">
        <f t="shared" si="1514"/>
        <v>300</v>
      </c>
      <c r="Z1643" s="570">
        <f t="shared" si="1514"/>
        <v>300</v>
      </c>
      <c r="AA1643" s="570">
        <f t="shared" si="1514"/>
        <v>300</v>
      </c>
      <c r="AB1643" s="570">
        <f t="shared" si="1514"/>
        <v>300</v>
      </c>
      <c r="AC1643" s="570">
        <f t="shared" si="1514"/>
        <v>300</v>
      </c>
      <c r="AD1643" s="570">
        <f t="shared" si="1514"/>
        <v>300</v>
      </c>
      <c r="AE1643" s="570">
        <f t="shared" si="1514"/>
        <v>300</v>
      </c>
      <c r="AF1643" s="570">
        <f t="shared" si="1514"/>
        <v>300</v>
      </c>
      <c r="AH1643" s="571"/>
      <c r="AK1643" s="687"/>
      <c r="AM1643" s="688"/>
      <c r="AN1643" s="535"/>
      <c r="AP1643" s="549"/>
      <c r="AQ1643" s="549"/>
    </row>
    <row r="1644" spans="1:43" s="513" customFormat="1" ht="16.5" hidden="1" customHeight="1" outlineLevel="2">
      <c r="A1644" s="584"/>
      <c r="B1644" s="572" t="s">
        <v>805</v>
      </c>
      <c r="C1644" s="643">
        <v>1</v>
      </c>
      <c r="D1644" s="643">
        <f>C1644</f>
        <v>1</v>
      </c>
      <c r="E1644" s="643">
        <f t="shared" ref="E1644:T1645" si="1515">D1644</f>
        <v>1</v>
      </c>
      <c r="F1644" s="643">
        <f t="shared" si="1515"/>
        <v>1</v>
      </c>
      <c r="G1644" s="643">
        <f t="shared" si="1515"/>
        <v>1</v>
      </c>
      <c r="H1644" s="643">
        <f t="shared" si="1515"/>
        <v>1</v>
      </c>
      <c r="I1644" s="643">
        <f t="shared" si="1515"/>
        <v>1</v>
      </c>
      <c r="J1644" s="643">
        <f t="shared" si="1515"/>
        <v>1</v>
      </c>
      <c r="K1644" s="643">
        <f t="shared" si="1515"/>
        <v>1</v>
      </c>
      <c r="L1644" s="643">
        <f t="shared" si="1515"/>
        <v>1</v>
      </c>
      <c r="M1644" s="643">
        <f t="shared" si="1515"/>
        <v>1</v>
      </c>
      <c r="N1644" s="643">
        <f t="shared" si="1515"/>
        <v>1</v>
      </c>
      <c r="O1644" s="643">
        <f t="shared" si="1515"/>
        <v>1</v>
      </c>
      <c r="P1644" s="643">
        <f t="shared" si="1515"/>
        <v>1</v>
      </c>
      <c r="Q1644" s="643">
        <f t="shared" si="1515"/>
        <v>1</v>
      </c>
      <c r="R1644" s="643">
        <f t="shared" si="1515"/>
        <v>1</v>
      </c>
      <c r="S1644" s="643">
        <f t="shared" si="1515"/>
        <v>1</v>
      </c>
      <c r="T1644" s="643">
        <f t="shared" si="1515"/>
        <v>1</v>
      </c>
      <c r="U1644" s="643">
        <f t="shared" ref="U1644:AF1645" si="1516">T1644</f>
        <v>1</v>
      </c>
      <c r="V1644" s="643">
        <f t="shared" si="1516"/>
        <v>1</v>
      </c>
      <c r="W1644" s="643">
        <f t="shared" si="1516"/>
        <v>1</v>
      </c>
      <c r="X1644" s="643">
        <f t="shared" si="1516"/>
        <v>1</v>
      </c>
      <c r="Y1644" s="643">
        <f t="shared" si="1516"/>
        <v>1</v>
      </c>
      <c r="Z1644" s="643">
        <f t="shared" si="1516"/>
        <v>1</v>
      </c>
      <c r="AA1644" s="643">
        <f t="shared" si="1516"/>
        <v>1</v>
      </c>
      <c r="AB1644" s="643">
        <f t="shared" si="1516"/>
        <v>1</v>
      </c>
      <c r="AC1644" s="643">
        <f t="shared" si="1516"/>
        <v>1</v>
      </c>
      <c r="AD1644" s="643">
        <f t="shared" si="1516"/>
        <v>1</v>
      </c>
      <c r="AE1644" s="643">
        <f t="shared" si="1516"/>
        <v>1</v>
      </c>
      <c r="AF1644" s="643">
        <f t="shared" si="1516"/>
        <v>1</v>
      </c>
      <c r="AG1644" s="574" t="e">
        <f t="shared" ref="AG1644" si="1517">AG1641</f>
        <v>#REF!</v>
      </c>
      <c r="AH1644" s="538"/>
      <c r="AK1644" s="515"/>
      <c r="AM1644" s="526"/>
      <c r="AN1644" s="535"/>
      <c r="AP1644" s="540"/>
      <c r="AQ1644" s="540"/>
    </row>
    <row r="1645" spans="1:43" s="513" customFormat="1" ht="16.5" hidden="1" customHeight="1" outlineLevel="2">
      <c r="A1645" s="584"/>
      <c r="B1645" s="572" t="s">
        <v>888</v>
      </c>
      <c r="C1645" s="574">
        <f>Insumos!$E$121</f>
        <v>300</v>
      </c>
      <c r="D1645" s="574">
        <f>C1645</f>
        <v>300</v>
      </c>
      <c r="E1645" s="574">
        <f t="shared" si="1515"/>
        <v>300</v>
      </c>
      <c r="F1645" s="574">
        <f t="shared" si="1515"/>
        <v>300</v>
      </c>
      <c r="G1645" s="574">
        <f t="shared" si="1515"/>
        <v>300</v>
      </c>
      <c r="H1645" s="574">
        <f t="shared" si="1515"/>
        <v>300</v>
      </c>
      <c r="I1645" s="574">
        <f t="shared" si="1515"/>
        <v>300</v>
      </c>
      <c r="J1645" s="574">
        <f t="shared" si="1515"/>
        <v>300</v>
      </c>
      <c r="K1645" s="574">
        <f t="shared" si="1515"/>
        <v>300</v>
      </c>
      <c r="L1645" s="574">
        <f t="shared" si="1515"/>
        <v>300</v>
      </c>
      <c r="M1645" s="574">
        <f t="shared" si="1515"/>
        <v>300</v>
      </c>
      <c r="N1645" s="574">
        <f t="shared" si="1515"/>
        <v>300</v>
      </c>
      <c r="O1645" s="574">
        <f t="shared" si="1515"/>
        <v>300</v>
      </c>
      <c r="P1645" s="574">
        <f t="shared" si="1515"/>
        <v>300</v>
      </c>
      <c r="Q1645" s="574">
        <f t="shared" si="1515"/>
        <v>300</v>
      </c>
      <c r="R1645" s="574">
        <f t="shared" si="1515"/>
        <v>300</v>
      </c>
      <c r="S1645" s="574">
        <f t="shared" si="1515"/>
        <v>300</v>
      </c>
      <c r="T1645" s="574">
        <f t="shared" si="1515"/>
        <v>300</v>
      </c>
      <c r="U1645" s="574">
        <f t="shared" si="1516"/>
        <v>300</v>
      </c>
      <c r="V1645" s="574">
        <f t="shared" si="1516"/>
        <v>300</v>
      </c>
      <c r="W1645" s="574">
        <f t="shared" si="1516"/>
        <v>300</v>
      </c>
      <c r="X1645" s="574">
        <f t="shared" si="1516"/>
        <v>300</v>
      </c>
      <c r="Y1645" s="574">
        <f t="shared" si="1516"/>
        <v>300</v>
      </c>
      <c r="Z1645" s="574">
        <f t="shared" si="1516"/>
        <v>300</v>
      </c>
      <c r="AA1645" s="574">
        <f t="shared" si="1516"/>
        <v>300</v>
      </c>
      <c r="AB1645" s="574">
        <f t="shared" si="1516"/>
        <v>300</v>
      </c>
      <c r="AC1645" s="574">
        <f t="shared" si="1516"/>
        <v>300</v>
      </c>
      <c r="AD1645" s="574">
        <f t="shared" si="1516"/>
        <v>300</v>
      </c>
      <c r="AE1645" s="574">
        <f t="shared" si="1516"/>
        <v>300</v>
      </c>
      <c r="AF1645" s="574">
        <f t="shared" si="1516"/>
        <v>300</v>
      </c>
      <c r="AH1645" s="538"/>
      <c r="AK1645" s="515"/>
      <c r="AM1645" s="526"/>
      <c r="AN1645" s="535"/>
      <c r="AP1645" s="540"/>
      <c r="AQ1645" s="540"/>
    </row>
    <row r="1646" spans="1:43" s="546" customFormat="1" ht="16.5" hidden="1" customHeight="1" outlineLevel="2">
      <c r="A1646" s="584"/>
      <c r="B1646" s="569" t="s">
        <v>1090</v>
      </c>
      <c r="C1646" s="570">
        <f>C1647*C1648</f>
        <v>150</v>
      </c>
      <c r="D1646" s="570">
        <f t="shared" ref="D1646" si="1518">D1647*D1648</f>
        <v>150</v>
      </c>
      <c r="E1646" s="570">
        <f>E1647*E1648</f>
        <v>150</v>
      </c>
      <c r="F1646" s="570">
        <f t="shared" ref="F1646:AF1646" si="1519">F1647*F1648</f>
        <v>150</v>
      </c>
      <c r="G1646" s="570">
        <f t="shared" si="1519"/>
        <v>150</v>
      </c>
      <c r="H1646" s="570">
        <f t="shared" si="1519"/>
        <v>150</v>
      </c>
      <c r="I1646" s="570">
        <f t="shared" si="1519"/>
        <v>150</v>
      </c>
      <c r="J1646" s="570">
        <f t="shared" si="1519"/>
        <v>150</v>
      </c>
      <c r="K1646" s="570">
        <f t="shared" si="1519"/>
        <v>150</v>
      </c>
      <c r="L1646" s="570">
        <f t="shared" si="1519"/>
        <v>150</v>
      </c>
      <c r="M1646" s="570">
        <f t="shared" si="1519"/>
        <v>150</v>
      </c>
      <c r="N1646" s="570">
        <f t="shared" si="1519"/>
        <v>150</v>
      </c>
      <c r="O1646" s="570">
        <f t="shared" si="1519"/>
        <v>150</v>
      </c>
      <c r="P1646" s="570">
        <f t="shared" si="1519"/>
        <v>150</v>
      </c>
      <c r="Q1646" s="570">
        <f t="shared" si="1519"/>
        <v>150</v>
      </c>
      <c r="R1646" s="570">
        <f t="shared" si="1519"/>
        <v>150</v>
      </c>
      <c r="S1646" s="570">
        <f t="shared" si="1519"/>
        <v>150</v>
      </c>
      <c r="T1646" s="570">
        <f t="shared" si="1519"/>
        <v>150</v>
      </c>
      <c r="U1646" s="570">
        <f t="shared" si="1519"/>
        <v>150</v>
      </c>
      <c r="V1646" s="570">
        <f t="shared" si="1519"/>
        <v>150</v>
      </c>
      <c r="W1646" s="570">
        <f t="shared" si="1519"/>
        <v>150</v>
      </c>
      <c r="X1646" s="570">
        <f t="shared" si="1519"/>
        <v>150</v>
      </c>
      <c r="Y1646" s="570">
        <f t="shared" si="1519"/>
        <v>150</v>
      </c>
      <c r="Z1646" s="570">
        <f t="shared" si="1519"/>
        <v>150</v>
      </c>
      <c r="AA1646" s="570">
        <f t="shared" si="1519"/>
        <v>150</v>
      </c>
      <c r="AB1646" s="570">
        <f t="shared" si="1519"/>
        <v>150</v>
      </c>
      <c r="AC1646" s="570">
        <f t="shared" si="1519"/>
        <v>150</v>
      </c>
      <c r="AD1646" s="570">
        <f t="shared" si="1519"/>
        <v>150</v>
      </c>
      <c r="AE1646" s="570">
        <f t="shared" si="1519"/>
        <v>150</v>
      </c>
      <c r="AF1646" s="570">
        <f t="shared" si="1519"/>
        <v>150</v>
      </c>
      <c r="AH1646" s="571"/>
      <c r="AK1646" s="687"/>
      <c r="AM1646" s="688"/>
      <c r="AN1646" s="535"/>
      <c r="AP1646" s="549"/>
      <c r="AQ1646" s="549"/>
    </row>
    <row r="1647" spans="1:43" s="513" customFormat="1" ht="16.5" hidden="1" customHeight="1" outlineLevel="2">
      <c r="A1647" s="584"/>
      <c r="B1647" s="572" t="s">
        <v>805</v>
      </c>
      <c r="C1647" s="643">
        <v>1</v>
      </c>
      <c r="D1647" s="643">
        <f>C1647</f>
        <v>1</v>
      </c>
      <c r="E1647" s="643">
        <f t="shared" ref="E1647:T1648" si="1520">D1647</f>
        <v>1</v>
      </c>
      <c r="F1647" s="643">
        <f t="shared" si="1520"/>
        <v>1</v>
      </c>
      <c r="G1647" s="643">
        <f t="shared" si="1520"/>
        <v>1</v>
      </c>
      <c r="H1647" s="643">
        <f t="shared" si="1520"/>
        <v>1</v>
      </c>
      <c r="I1647" s="643">
        <f t="shared" si="1520"/>
        <v>1</v>
      </c>
      <c r="J1647" s="643">
        <f t="shared" si="1520"/>
        <v>1</v>
      </c>
      <c r="K1647" s="643">
        <f t="shared" si="1520"/>
        <v>1</v>
      </c>
      <c r="L1647" s="643">
        <f t="shared" si="1520"/>
        <v>1</v>
      </c>
      <c r="M1647" s="643">
        <f t="shared" si="1520"/>
        <v>1</v>
      </c>
      <c r="N1647" s="643">
        <f t="shared" si="1520"/>
        <v>1</v>
      </c>
      <c r="O1647" s="643">
        <f t="shared" si="1520"/>
        <v>1</v>
      </c>
      <c r="P1647" s="643">
        <f t="shared" si="1520"/>
        <v>1</v>
      </c>
      <c r="Q1647" s="643">
        <f t="shared" si="1520"/>
        <v>1</v>
      </c>
      <c r="R1647" s="643">
        <f t="shared" si="1520"/>
        <v>1</v>
      </c>
      <c r="S1647" s="643">
        <f t="shared" si="1520"/>
        <v>1</v>
      </c>
      <c r="T1647" s="643">
        <f t="shared" si="1520"/>
        <v>1</v>
      </c>
      <c r="U1647" s="643">
        <f t="shared" ref="U1647:AF1648" si="1521">T1647</f>
        <v>1</v>
      </c>
      <c r="V1647" s="643">
        <f t="shared" si="1521"/>
        <v>1</v>
      </c>
      <c r="W1647" s="643">
        <f t="shared" si="1521"/>
        <v>1</v>
      </c>
      <c r="X1647" s="643">
        <f t="shared" si="1521"/>
        <v>1</v>
      </c>
      <c r="Y1647" s="643">
        <f t="shared" si="1521"/>
        <v>1</v>
      </c>
      <c r="Z1647" s="643">
        <f t="shared" si="1521"/>
        <v>1</v>
      </c>
      <c r="AA1647" s="643">
        <f t="shared" si="1521"/>
        <v>1</v>
      </c>
      <c r="AB1647" s="643">
        <f t="shared" si="1521"/>
        <v>1</v>
      </c>
      <c r="AC1647" s="643">
        <f t="shared" si="1521"/>
        <v>1</v>
      </c>
      <c r="AD1647" s="643">
        <f t="shared" si="1521"/>
        <v>1</v>
      </c>
      <c r="AE1647" s="643">
        <f t="shared" si="1521"/>
        <v>1</v>
      </c>
      <c r="AF1647" s="643">
        <f t="shared" si="1521"/>
        <v>1</v>
      </c>
      <c r="AG1647" s="574" t="e">
        <f t="shared" ref="AG1647" si="1522">AG1644</f>
        <v>#REF!</v>
      </c>
      <c r="AH1647" s="538"/>
      <c r="AK1647" s="515"/>
      <c r="AM1647" s="526"/>
      <c r="AN1647" s="535"/>
      <c r="AP1647" s="540"/>
      <c r="AQ1647" s="540"/>
    </row>
    <row r="1648" spans="1:43" s="513" customFormat="1" ht="16.5" hidden="1" customHeight="1" outlineLevel="2">
      <c r="A1648" s="584"/>
      <c r="B1648" s="572" t="s">
        <v>888</v>
      </c>
      <c r="C1648" s="574">
        <f>Insumos!$E$139</f>
        <v>150</v>
      </c>
      <c r="D1648" s="574">
        <f>C1648</f>
        <v>150</v>
      </c>
      <c r="E1648" s="574">
        <f t="shared" si="1520"/>
        <v>150</v>
      </c>
      <c r="F1648" s="574">
        <f t="shared" si="1520"/>
        <v>150</v>
      </c>
      <c r="G1648" s="574">
        <f t="shared" si="1520"/>
        <v>150</v>
      </c>
      <c r="H1648" s="574">
        <f t="shared" si="1520"/>
        <v>150</v>
      </c>
      <c r="I1648" s="574">
        <f t="shared" si="1520"/>
        <v>150</v>
      </c>
      <c r="J1648" s="574">
        <f t="shared" si="1520"/>
        <v>150</v>
      </c>
      <c r="K1648" s="574">
        <f t="shared" si="1520"/>
        <v>150</v>
      </c>
      <c r="L1648" s="574">
        <f t="shared" si="1520"/>
        <v>150</v>
      </c>
      <c r="M1648" s="574">
        <f t="shared" si="1520"/>
        <v>150</v>
      </c>
      <c r="N1648" s="574">
        <f t="shared" si="1520"/>
        <v>150</v>
      </c>
      <c r="O1648" s="574">
        <f t="shared" si="1520"/>
        <v>150</v>
      </c>
      <c r="P1648" s="574">
        <f t="shared" si="1520"/>
        <v>150</v>
      </c>
      <c r="Q1648" s="574">
        <f t="shared" si="1520"/>
        <v>150</v>
      </c>
      <c r="R1648" s="574">
        <f t="shared" si="1520"/>
        <v>150</v>
      </c>
      <c r="S1648" s="574">
        <f t="shared" si="1520"/>
        <v>150</v>
      </c>
      <c r="T1648" s="574">
        <f t="shared" si="1520"/>
        <v>150</v>
      </c>
      <c r="U1648" s="574">
        <f t="shared" si="1521"/>
        <v>150</v>
      </c>
      <c r="V1648" s="574">
        <f t="shared" si="1521"/>
        <v>150</v>
      </c>
      <c r="W1648" s="574">
        <f t="shared" si="1521"/>
        <v>150</v>
      </c>
      <c r="X1648" s="574">
        <f t="shared" si="1521"/>
        <v>150</v>
      </c>
      <c r="Y1648" s="574">
        <f t="shared" si="1521"/>
        <v>150</v>
      </c>
      <c r="Z1648" s="574">
        <f t="shared" si="1521"/>
        <v>150</v>
      </c>
      <c r="AA1648" s="574">
        <f t="shared" si="1521"/>
        <v>150</v>
      </c>
      <c r="AB1648" s="574">
        <f t="shared" si="1521"/>
        <v>150</v>
      </c>
      <c r="AC1648" s="574">
        <f t="shared" si="1521"/>
        <v>150</v>
      </c>
      <c r="AD1648" s="574">
        <f t="shared" si="1521"/>
        <v>150</v>
      </c>
      <c r="AE1648" s="574">
        <f t="shared" si="1521"/>
        <v>150</v>
      </c>
      <c r="AF1648" s="574">
        <f t="shared" si="1521"/>
        <v>150</v>
      </c>
      <c r="AH1648" s="538"/>
      <c r="AK1648" s="515"/>
      <c r="AM1648" s="526"/>
      <c r="AN1648" s="535"/>
      <c r="AP1648" s="540"/>
      <c r="AQ1648" s="540"/>
    </row>
    <row r="1649" spans="1:43" s="546" customFormat="1" ht="16.5" hidden="1" customHeight="1" outlineLevel="2">
      <c r="A1649" s="584"/>
      <c r="B1649" s="569" t="s">
        <v>1049</v>
      </c>
      <c r="C1649" s="570">
        <f>C1650*C1651</f>
        <v>750</v>
      </c>
      <c r="D1649" s="570">
        <f t="shared" ref="D1649:AF1649" si="1523">D1650*D1651</f>
        <v>750</v>
      </c>
      <c r="E1649" s="570">
        <f t="shared" si="1523"/>
        <v>750</v>
      </c>
      <c r="F1649" s="570">
        <f t="shared" si="1523"/>
        <v>750</v>
      </c>
      <c r="G1649" s="570">
        <f t="shared" si="1523"/>
        <v>750</v>
      </c>
      <c r="H1649" s="570">
        <f t="shared" si="1523"/>
        <v>750</v>
      </c>
      <c r="I1649" s="570">
        <f t="shared" si="1523"/>
        <v>750</v>
      </c>
      <c r="J1649" s="570">
        <f t="shared" si="1523"/>
        <v>750</v>
      </c>
      <c r="K1649" s="570">
        <f t="shared" si="1523"/>
        <v>750</v>
      </c>
      <c r="L1649" s="570">
        <f t="shared" si="1523"/>
        <v>750</v>
      </c>
      <c r="M1649" s="570">
        <f t="shared" si="1523"/>
        <v>750</v>
      </c>
      <c r="N1649" s="570">
        <f t="shared" si="1523"/>
        <v>750</v>
      </c>
      <c r="O1649" s="570">
        <f t="shared" si="1523"/>
        <v>750</v>
      </c>
      <c r="P1649" s="570">
        <f t="shared" si="1523"/>
        <v>750</v>
      </c>
      <c r="Q1649" s="570">
        <f t="shared" si="1523"/>
        <v>750</v>
      </c>
      <c r="R1649" s="570">
        <f t="shared" si="1523"/>
        <v>750</v>
      </c>
      <c r="S1649" s="570">
        <f t="shared" si="1523"/>
        <v>750</v>
      </c>
      <c r="T1649" s="570">
        <f t="shared" si="1523"/>
        <v>750</v>
      </c>
      <c r="U1649" s="570">
        <f t="shared" si="1523"/>
        <v>750</v>
      </c>
      <c r="V1649" s="570">
        <f t="shared" si="1523"/>
        <v>750</v>
      </c>
      <c r="W1649" s="570">
        <f t="shared" si="1523"/>
        <v>750</v>
      </c>
      <c r="X1649" s="570">
        <f t="shared" si="1523"/>
        <v>750</v>
      </c>
      <c r="Y1649" s="570">
        <f t="shared" si="1523"/>
        <v>750</v>
      </c>
      <c r="Z1649" s="570">
        <f t="shared" si="1523"/>
        <v>750</v>
      </c>
      <c r="AA1649" s="570">
        <f t="shared" si="1523"/>
        <v>750</v>
      </c>
      <c r="AB1649" s="570">
        <f t="shared" si="1523"/>
        <v>750</v>
      </c>
      <c r="AC1649" s="570">
        <f t="shared" si="1523"/>
        <v>750</v>
      </c>
      <c r="AD1649" s="570">
        <f t="shared" si="1523"/>
        <v>750</v>
      </c>
      <c r="AE1649" s="570">
        <f t="shared" si="1523"/>
        <v>750</v>
      </c>
      <c r="AF1649" s="570">
        <f t="shared" si="1523"/>
        <v>750</v>
      </c>
      <c r="AH1649" s="571"/>
      <c r="AK1649" s="687"/>
      <c r="AM1649" s="688"/>
      <c r="AN1649" s="535"/>
      <c r="AP1649" s="549"/>
      <c r="AQ1649" s="549"/>
    </row>
    <row r="1650" spans="1:43" s="513" customFormat="1" ht="16.5" hidden="1" customHeight="1" outlineLevel="2">
      <c r="A1650" s="584"/>
      <c r="B1650" s="572" t="s">
        <v>805</v>
      </c>
      <c r="C1650" s="643">
        <v>1</v>
      </c>
      <c r="D1650" s="643">
        <f>C1650</f>
        <v>1</v>
      </c>
      <c r="E1650" s="643">
        <f t="shared" ref="E1650:T1651" si="1524">D1650</f>
        <v>1</v>
      </c>
      <c r="F1650" s="643">
        <f t="shared" si="1524"/>
        <v>1</v>
      </c>
      <c r="G1650" s="643">
        <f t="shared" si="1524"/>
        <v>1</v>
      </c>
      <c r="H1650" s="643">
        <f t="shared" si="1524"/>
        <v>1</v>
      </c>
      <c r="I1650" s="643">
        <f t="shared" si="1524"/>
        <v>1</v>
      </c>
      <c r="J1650" s="643">
        <f t="shared" si="1524"/>
        <v>1</v>
      </c>
      <c r="K1650" s="643">
        <f t="shared" si="1524"/>
        <v>1</v>
      </c>
      <c r="L1650" s="643">
        <f t="shared" si="1524"/>
        <v>1</v>
      </c>
      <c r="M1650" s="643">
        <f t="shared" si="1524"/>
        <v>1</v>
      </c>
      <c r="N1650" s="643">
        <f t="shared" si="1524"/>
        <v>1</v>
      </c>
      <c r="O1650" s="643">
        <f t="shared" si="1524"/>
        <v>1</v>
      </c>
      <c r="P1650" s="643">
        <f t="shared" si="1524"/>
        <v>1</v>
      </c>
      <c r="Q1650" s="643">
        <f t="shared" si="1524"/>
        <v>1</v>
      </c>
      <c r="R1650" s="643">
        <f t="shared" si="1524"/>
        <v>1</v>
      </c>
      <c r="S1650" s="643">
        <f t="shared" si="1524"/>
        <v>1</v>
      </c>
      <c r="T1650" s="643">
        <f t="shared" si="1524"/>
        <v>1</v>
      </c>
      <c r="U1650" s="643">
        <f t="shared" ref="U1650:AF1651" si="1525">T1650</f>
        <v>1</v>
      </c>
      <c r="V1650" s="643">
        <f t="shared" si="1525"/>
        <v>1</v>
      </c>
      <c r="W1650" s="643">
        <f t="shared" si="1525"/>
        <v>1</v>
      </c>
      <c r="X1650" s="643">
        <f t="shared" si="1525"/>
        <v>1</v>
      </c>
      <c r="Y1650" s="643">
        <f t="shared" si="1525"/>
        <v>1</v>
      </c>
      <c r="Z1650" s="643">
        <f t="shared" si="1525"/>
        <v>1</v>
      </c>
      <c r="AA1650" s="643">
        <f t="shared" si="1525"/>
        <v>1</v>
      </c>
      <c r="AB1650" s="643">
        <f t="shared" si="1525"/>
        <v>1</v>
      </c>
      <c r="AC1650" s="643">
        <f t="shared" si="1525"/>
        <v>1</v>
      </c>
      <c r="AD1650" s="643">
        <f t="shared" si="1525"/>
        <v>1</v>
      </c>
      <c r="AE1650" s="643">
        <f t="shared" si="1525"/>
        <v>1</v>
      </c>
      <c r="AF1650" s="643">
        <f t="shared" si="1525"/>
        <v>1</v>
      </c>
      <c r="AG1650" s="574" t="e">
        <f t="shared" ref="AG1650" si="1526">AG1647</f>
        <v>#REF!</v>
      </c>
      <c r="AH1650" s="538"/>
      <c r="AK1650" s="515"/>
      <c r="AM1650" s="526"/>
      <c r="AN1650" s="535"/>
      <c r="AP1650" s="540"/>
      <c r="AQ1650" s="540"/>
    </row>
    <row r="1651" spans="1:43" s="513" customFormat="1" ht="16.5" hidden="1" customHeight="1" outlineLevel="2">
      <c r="A1651" s="584"/>
      <c r="B1651" s="572" t="s">
        <v>888</v>
      </c>
      <c r="C1651" s="574">
        <f>Insumos!$E$131</f>
        <v>750</v>
      </c>
      <c r="D1651" s="574">
        <f>C1651</f>
        <v>750</v>
      </c>
      <c r="E1651" s="574">
        <f t="shared" si="1524"/>
        <v>750</v>
      </c>
      <c r="F1651" s="574">
        <f t="shared" si="1524"/>
        <v>750</v>
      </c>
      <c r="G1651" s="574">
        <f t="shared" si="1524"/>
        <v>750</v>
      </c>
      <c r="H1651" s="574">
        <f t="shared" si="1524"/>
        <v>750</v>
      </c>
      <c r="I1651" s="574">
        <f t="shared" si="1524"/>
        <v>750</v>
      </c>
      <c r="J1651" s="574">
        <f t="shared" si="1524"/>
        <v>750</v>
      </c>
      <c r="K1651" s="574">
        <f t="shared" si="1524"/>
        <v>750</v>
      </c>
      <c r="L1651" s="574">
        <f t="shared" si="1524"/>
        <v>750</v>
      </c>
      <c r="M1651" s="574">
        <f t="shared" si="1524"/>
        <v>750</v>
      </c>
      <c r="N1651" s="574">
        <f t="shared" si="1524"/>
        <v>750</v>
      </c>
      <c r="O1651" s="574">
        <f t="shared" si="1524"/>
        <v>750</v>
      </c>
      <c r="P1651" s="574">
        <f t="shared" si="1524"/>
        <v>750</v>
      </c>
      <c r="Q1651" s="574">
        <f t="shared" si="1524"/>
        <v>750</v>
      </c>
      <c r="R1651" s="574">
        <f t="shared" si="1524"/>
        <v>750</v>
      </c>
      <c r="S1651" s="574">
        <f t="shared" si="1524"/>
        <v>750</v>
      </c>
      <c r="T1651" s="574">
        <f t="shared" si="1524"/>
        <v>750</v>
      </c>
      <c r="U1651" s="574">
        <f t="shared" si="1525"/>
        <v>750</v>
      </c>
      <c r="V1651" s="574">
        <f t="shared" si="1525"/>
        <v>750</v>
      </c>
      <c r="W1651" s="574">
        <f t="shared" si="1525"/>
        <v>750</v>
      </c>
      <c r="X1651" s="574">
        <f t="shared" si="1525"/>
        <v>750</v>
      </c>
      <c r="Y1651" s="574">
        <f t="shared" si="1525"/>
        <v>750</v>
      </c>
      <c r="Z1651" s="574">
        <f t="shared" si="1525"/>
        <v>750</v>
      </c>
      <c r="AA1651" s="574">
        <f t="shared" si="1525"/>
        <v>750</v>
      </c>
      <c r="AB1651" s="574">
        <f t="shared" si="1525"/>
        <v>750</v>
      </c>
      <c r="AC1651" s="574">
        <f t="shared" si="1525"/>
        <v>750</v>
      </c>
      <c r="AD1651" s="574">
        <f t="shared" si="1525"/>
        <v>750</v>
      </c>
      <c r="AE1651" s="574">
        <f t="shared" si="1525"/>
        <v>750</v>
      </c>
      <c r="AF1651" s="574">
        <f t="shared" si="1525"/>
        <v>750</v>
      </c>
      <c r="AH1651" s="538"/>
      <c r="AK1651" s="515"/>
      <c r="AM1651" s="526"/>
      <c r="AN1651" s="535"/>
      <c r="AP1651" s="540"/>
      <c r="AQ1651" s="540"/>
    </row>
    <row r="1652" spans="1:43" s="546" customFormat="1" ht="16.5" hidden="1" customHeight="1" outlineLevel="2">
      <c r="A1652" s="584"/>
      <c r="B1652" s="569" t="s">
        <v>1044</v>
      </c>
      <c r="C1652" s="570">
        <f>C1653*C1654</f>
        <v>750</v>
      </c>
      <c r="D1652" s="570">
        <f t="shared" ref="D1652:AF1652" si="1527">D1653*D1654</f>
        <v>750</v>
      </c>
      <c r="E1652" s="570">
        <f t="shared" si="1527"/>
        <v>750</v>
      </c>
      <c r="F1652" s="570">
        <f t="shared" si="1527"/>
        <v>750</v>
      </c>
      <c r="G1652" s="570">
        <f t="shared" si="1527"/>
        <v>750</v>
      </c>
      <c r="H1652" s="570">
        <f t="shared" si="1527"/>
        <v>750</v>
      </c>
      <c r="I1652" s="570">
        <f t="shared" si="1527"/>
        <v>750</v>
      </c>
      <c r="J1652" s="570">
        <f t="shared" si="1527"/>
        <v>750</v>
      </c>
      <c r="K1652" s="570">
        <f t="shared" si="1527"/>
        <v>750</v>
      </c>
      <c r="L1652" s="570">
        <f t="shared" si="1527"/>
        <v>750</v>
      </c>
      <c r="M1652" s="570">
        <f t="shared" si="1527"/>
        <v>750</v>
      </c>
      <c r="N1652" s="570">
        <f t="shared" si="1527"/>
        <v>750</v>
      </c>
      <c r="O1652" s="570">
        <f t="shared" si="1527"/>
        <v>750</v>
      </c>
      <c r="P1652" s="570">
        <f t="shared" si="1527"/>
        <v>750</v>
      </c>
      <c r="Q1652" s="570">
        <f t="shared" si="1527"/>
        <v>750</v>
      </c>
      <c r="R1652" s="570">
        <f t="shared" si="1527"/>
        <v>750</v>
      </c>
      <c r="S1652" s="570">
        <f t="shared" si="1527"/>
        <v>750</v>
      </c>
      <c r="T1652" s="570">
        <f t="shared" si="1527"/>
        <v>750</v>
      </c>
      <c r="U1652" s="570">
        <f t="shared" si="1527"/>
        <v>750</v>
      </c>
      <c r="V1652" s="570">
        <f t="shared" si="1527"/>
        <v>750</v>
      </c>
      <c r="W1652" s="570">
        <f t="shared" si="1527"/>
        <v>750</v>
      </c>
      <c r="X1652" s="570">
        <f t="shared" si="1527"/>
        <v>750</v>
      </c>
      <c r="Y1652" s="570">
        <f t="shared" si="1527"/>
        <v>750</v>
      </c>
      <c r="Z1652" s="570">
        <f t="shared" si="1527"/>
        <v>750</v>
      </c>
      <c r="AA1652" s="570">
        <f t="shared" si="1527"/>
        <v>750</v>
      </c>
      <c r="AB1652" s="570">
        <f t="shared" si="1527"/>
        <v>750</v>
      </c>
      <c r="AC1652" s="570">
        <f t="shared" si="1527"/>
        <v>750</v>
      </c>
      <c r="AD1652" s="570">
        <f t="shared" si="1527"/>
        <v>750</v>
      </c>
      <c r="AE1652" s="570">
        <f t="shared" si="1527"/>
        <v>750</v>
      </c>
      <c r="AF1652" s="570">
        <f t="shared" si="1527"/>
        <v>750</v>
      </c>
      <c r="AH1652" s="571"/>
      <c r="AK1652" s="687"/>
      <c r="AM1652" s="688"/>
      <c r="AN1652" s="535"/>
      <c r="AP1652" s="549"/>
      <c r="AQ1652" s="549"/>
    </row>
    <row r="1653" spans="1:43" s="513" customFormat="1" ht="16.5" hidden="1" customHeight="1" outlineLevel="2">
      <c r="A1653" s="584"/>
      <c r="B1653" s="572" t="s">
        <v>805</v>
      </c>
      <c r="C1653" s="643">
        <v>1</v>
      </c>
      <c r="D1653" s="643">
        <f>C1653</f>
        <v>1</v>
      </c>
      <c r="E1653" s="643">
        <f t="shared" ref="E1653:T1654" si="1528">D1653</f>
        <v>1</v>
      </c>
      <c r="F1653" s="643">
        <f t="shared" si="1528"/>
        <v>1</v>
      </c>
      <c r="G1653" s="643">
        <f t="shared" si="1528"/>
        <v>1</v>
      </c>
      <c r="H1653" s="643">
        <f t="shared" si="1528"/>
        <v>1</v>
      </c>
      <c r="I1653" s="643">
        <f t="shared" si="1528"/>
        <v>1</v>
      </c>
      <c r="J1653" s="643">
        <f t="shared" si="1528"/>
        <v>1</v>
      </c>
      <c r="K1653" s="643">
        <f t="shared" si="1528"/>
        <v>1</v>
      </c>
      <c r="L1653" s="643">
        <f t="shared" si="1528"/>
        <v>1</v>
      </c>
      <c r="M1653" s="643">
        <f t="shared" si="1528"/>
        <v>1</v>
      </c>
      <c r="N1653" s="643">
        <f t="shared" si="1528"/>
        <v>1</v>
      </c>
      <c r="O1653" s="643">
        <f t="shared" si="1528"/>
        <v>1</v>
      </c>
      <c r="P1653" s="643">
        <f t="shared" si="1528"/>
        <v>1</v>
      </c>
      <c r="Q1653" s="643">
        <f t="shared" si="1528"/>
        <v>1</v>
      </c>
      <c r="R1653" s="643">
        <f t="shared" si="1528"/>
        <v>1</v>
      </c>
      <c r="S1653" s="643">
        <f t="shared" si="1528"/>
        <v>1</v>
      </c>
      <c r="T1653" s="643">
        <f t="shared" si="1528"/>
        <v>1</v>
      </c>
      <c r="U1653" s="643">
        <f t="shared" ref="U1653:AF1654" si="1529">T1653</f>
        <v>1</v>
      </c>
      <c r="V1653" s="643">
        <f t="shared" si="1529"/>
        <v>1</v>
      </c>
      <c r="W1653" s="643">
        <f t="shared" si="1529"/>
        <v>1</v>
      </c>
      <c r="X1653" s="643">
        <f t="shared" si="1529"/>
        <v>1</v>
      </c>
      <c r="Y1653" s="643">
        <f t="shared" si="1529"/>
        <v>1</v>
      </c>
      <c r="Z1653" s="643">
        <f t="shared" si="1529"/>
        <v>1</v>
      </c>
      <c r="AA1653" s="643">
        <f t="shared" si="1529"/>
        <v>1</v>
      </c>
      <c r="AB1653" s="643">
        <f t="shared" si="1529"/>
        <v>1</v>
      </c>
      <c r="AC1653" s="643">
        <f t="shared" si="1529"/>
        <v>1</v>
      </c>
      <c r="AD1653" s="643">
        <f t="shared" si="1529"/>
        <v>1</v>
      </c>
      <c r="AE1653" s="643">
        <f t="shared" si="1529"/>
        <v>1</v>
      </c>
      <c r="AF1653" s="643">
        <f t="shared" si="1529"/>
        <v>1</v>
      </c>
      <c r="AG1653" s="574" t="e">
        <f t="shared" ref="AG1653" si="1530">AG1650</f>
        <v>#REF!</v>
      </c>
      <c r="AH1653" s="538"/>
      <c r="AK1653" s="515"/>
      <c r="AM1653" s="526"/>
      <c r="AN1653" s="535"/>
      <c r="AP1653" s="540"/>
      <c r="AQ1653" s="540"/>
    </row>
    <row r="1654" spans="1:43" s="513" customFormat="1" ht="16.5" hidden="1" customHeight="1" outlineLevel="2">
      <c r="A1654" s="584"/>
      <c r="B1654" s="572" t="s">
        <v>888</v>
      </c>
      <c r="C1654" s="574">
        <f>Insumos!$E$133</f>
        <v>750</v>
      </c>
      <c r="D1654" s="574">
        <f>C1654</f>
        <v>750</v>
      </c>
      <c r="E1654" s="574">
        <f t="shared" si="1528"/>
        <v>750</v>
      </c>
      <c r="F1654" s="574">
        <f t="shared" si="1528"/>
        <v>750</v>
      </c>
      <c r="G1654" s="574">
        <f t="shared" si="1528"/>
        <v>750</v>
      </c>
      <c r="H1654" s="574">
        <f t="shared" si="1528"/>
        <v>750</v>
      </c>
      <c r="I1654" s="574">
        <f t="shared" si="1528"/>
        <v>750</v>
      </c>
      <c r="J1654" s="574">
        <f t="shared" si="1528"/>
        <v>750</v>
      </c>
      <c r="K1654" s="574">
        <f t="shared" si="1528"/>
        <v>750</v>
      </c>
      <c r="L1654" s="574">
        <f t="shared" si="1528"/>
        <v>750</v>
      </c>
      <c r="M1654" s="574">
        <f t="shared" si="1528"/>
        <v>750</v>
      </c>
      <c r="N1654" s="574">
        <f t="shared" si="1528"/>
        <v>750</v>
      </c>
      <c r="O1654" s="574">
        <f t="shared" si="1528"/>
        <v>750</v>
      </c>
      <c r="P1654" s="574">
        <f t="shared" si="1528"/>
        <v>750</v>
      </c>
      <c r="Q1654" s="574">
        <f t="shared" si="1528"/>
        <v>750</v>
      </c>
      <c r="R1654" s="574">
        <f t="shared" si="1528"/>
        <v>750</v>
      </c>
      <c r="S1654" s="574">
        <f t="shared" si="1528"/>
        <v>750</v>
      </c>
      <c r="T1654" s="574">
        <f t="shared" si="1528"/>
        <v>750</v>
      </c>
      <c r="U1654" s="574">
        <f t="shared" si="1529"/>
        <v>750</v>
      </c>
      <c r="V1654" s="574">
        <f t="shared" si="1529"/>
        <v>750</v>
      </c>
      <c r="W1654" s="574">
        <f t="shared" si="1529"/>
        <v>750</v>
      </c>
      <c r="X1654" s="574">
        <f t="shared" si="1529"/>
        <v>750</v>
      </c>
      <c r="Y1654" s="574">
        <f t="shared" si="1529"/>
        <v>750</v>
      </c>
      <c r="Z1654" s="574">
        <f t="shared" si="1529"/>
        <v>750</v>
      </c>
      <c r="AA1654" s="574">
        <f t="shared" si="1529"/>
        <v>750</v>
      </c>
      <c r="AB1654" s="574">
        <f t="shared" si="1529"/>
        <v>750</v>
      </c>
      <c r="AC1654" s="574">
        <f t="shared" si="1529"/>
        <v>750</v>
      </c>
      <c r="AD1654" s="574">
        <f t="shared" si="1529"/>
        <v>750</v>
      </c>
      <c r="AE1654" s="574">
        <f t="shared" si="1529"/>
        <v>750</v>
      </c>
      <c r="AF1654" s="574">
        <f t="shared" si="1529"/>
        <v>750</v>
      </c>
      <c r="AH1654" s="538"/>
      <c r="AK1654" s="515"/>
      <c r="AM1654" s="526"/>
      <c r="AN1654" s="535"/>
      <c r="AP1654" s="540"/>
      <c r="AQ1654" s="540"/>
    </row>
    <row r="1655" spans="1:43" s="546" customFormat="1" ht="16.5" hidden="1" customHeight="1" outlineLevel="2">
      <c r="A1655" s="584"/>
      <c r="B1655" s="569" t="s">
        <v>1057</v>
      </c>
      <c r="C1655" s="570">
        <f>C1656*C1657</f>
        <v>125</v>
      </c>
      <c r="D1655" s="570">
        <f t="shared" ref="D1655:AF1655" si="1531">D1656*D1657</f>
        <v>125</v>
      </c>
      <c r="E1655" s="570">
        <f t="shared" si="1531"/>
        <v>125</v>
      </c>
      <c r="F1655" s="570">
        <f t="shared" si="1531"/>
        <v>125</v>
      </c>
      <c r="G1655" s="570">
        <f t="shared" si="1531"/>
        <v>125</v>
      </c>
      <c r="H1655" s="570">
        <f t="shared" si="1531"/>
        <v>125</v>
      </c>
      <c r="I1655" s="570">
        <f t="shared" si="1531"/>
        <v>125</v>
      </c>
      <c r="J1655" s="570">
        <f t="shared" si="1531"/>
        <v>125</v>
      </c>
      <c r="K1655" s="570">
        <f t="shared" si="1531"/>
        <v>125</v>
      </c>
      <c r="L1655" s="570">
        <f t="shared" si="1531"/>
        <v>125</v>
      </c>
      <c r="M1655" s="570">
        <f t="shared" si="1531"/>
        <v>125</v>
      </c>
      <c r="N1655" s="570">
        <f t="shared" si="1531"/>
        <v>125</v>
      </c>
      <c r="O1655" s="570">
        <f t="shared" si="1531"/>
        <v>125</v>
      </c>
      <c r="P1655" s="570">
        <f t="shared" si="1531"/>
        <v>125</v>
      </c>
      <c r="Q1655" s="570">
        <f t="shared" si="1531"/>
        <v>125</v>
      </c>
      <c r="R1655" s="570">
        <f t="shared" si="1531"/>
        <v>125</v>
      </c>
      <c r="S1655" s="570">
        <f t="shared" si="1531"/>
        <v>125</v>
      </c>
      <c r="T1655" s="570">
        <f t="shared" si="1531"/>
        <v>125</v>
      </c>
      <c r="U1655" s="570">
        <f t="shared" si="1531"/>
        <v>125</v>
      </c>
      <c r="V1655" s="570">
        <f t="shared" si="1531"/>
        <v>125</v>
      </c>
      <c r="W1655" s="570">
        <f t="shared" si="1531"/>
        <v>125</v>
      </c>
      <c r="X1655" s="570">
        <f t="shared" si="1531"/>
        <v>125</v>
      </c>
      <c r="Y1655" s="570">
        <f t="shared" si="1531"/>
        <v>125</v>
      </c>
      <c r="Z1655" s="570">
        <f t="shared" si="1531"/>
        <v>125</v>
      </c>
      <c r="AA1655" s="570">
        <f t="shared" si="1531"/>
        <v>125</v>
      </c>
      <c r="AB1655" s="570">
        <f t="shared" si="1531"/>
        <v>125</v>
      </c>
      <c r="AC1655" s="570">
        <f t="shared" si="1531"/>
        <v>125</v>
      </c>
      <c r="AD1655" s="570">
        <f t="shared" si="1531"/>
        <v>125</v>
      </c>
      <c r="AE1655" s="570">
        <f t="shared" si="1531"/>
        <v>125</v>
      </c>
      <c r="AF1655" s="570">
        <f t="shared" si="1531"/>
        <v>125</v>
      </c>
      <c r="AH1655" s="571"/>
      <c r="AK1655" s="687"/>
      <c r="AM1655" s="688"/>
      <c r="AN1655" s="535"/>
      <c r="AP1655" s="549"/>
      <c r="AQ1655" s="549"/>
    </row>
    <row r="1656" spans="1:43" s="513" customFormat="1" ht="16.5" hidden="1" customHeight="1" outlineLevel="2">
      <c r="A1656" s="584"/>
      <c r="B1656" s="572" t="s">
        <v>805</v>
      </c>
      <c r="C1656" s="643">
        <v>1</v>
      </c>
      <c r="D1656" s="643">
        <f>C1656</f>
        <v>1</v>
      </c>
      <c r="E1656" s="643">
        <f t="shared" ref="E1656:AF1656" si="1532">D1656</f>
        <v>1</v>
      </c>
      <c r="F1656" s="643">
        <f t="shared" si="1532"/>
        <v>1</v>
      </c>
      <c r="G1656" s="643">
        <f t="shared" si="1532"/>
        <v>1</v>
      </c>
      <c r="H1656" s="643">
        <f t="shared" si="1532"/>
        <v>1</v>
      </c>
      <c r="I1656" s="643">
        <f t="shared" si="1532"/>
        <v>1</v>
      </c>
      <c r="J1656" s="643">
        <f t="shared" si="1532"/>
        <v>1</v>
      </c>
      <c r="K1656" s="643">
        <f t="shared" si="1532"/>
        <v>1</v>
      </c>
      <c r="L1656" s="643">
        <f t="shared" si="1532"/>
        <v>1</v>
      </c>
      <c r="M1656" s="643">
        <f t="shared" si="1532"/>
        <v>1</v>
      </c>
      <c r="N1656" s="643">
        <f t="shared" si="1532"/>
        <v>1</v>
      </c>
      <c r="O1656" s="643">
        <f t="shared" si="1532"/>
        <v>1</v>
      </c>
      <c r="P1656" s="643">
        <f t="shared" si="1532"/>
        <v>1</v>
      </c>
      <c r="Q1656" s="643">
        <f t="shared" si="1532"/>
        <v>1</v>
      </c>
      <c r="R1656" s="643">
        <f t="shared" si="1532"/>
        <v>1</v>
      </c>
      <c r="S1656" s="643">
        <f t="shared" si="1532"/>
        <v>1</v>
      </c>
      <c r="T1656" s="643">
        <f t="shared" si="1532"/>
        <v>1</v>
      </c>
      <c r="U1656" s="643">
        <f t="shared" si="1532"/>
        <v>1</v>
      </c>
      <c r="V1656" s="643">
        <f t="shared" si="1532"/>
        <v>1</v>
      </c>
      <c r="W1656" s="643">
        <f t="shared" si="1532"/>
        <v>1</v>
      </c>
      <c r="X1656" s="643">
        <f t="shared" si="1532"/>
        <v>1</v>
      </c>
      <c r="Y1656" s="643">
        <f t="shared" si="1532"/>
        <v>1</v>
      </c>
      <c r="Z1656" s="643">
        <f t="shared" si="1532"/>
        <v>1</v>
      </c>
      <c r="AA1656" s="643">
        <f t="shared" si="1532"/>
        <v>1</v>
      </c>
      <c r="AB1656" s="643">
        <f t="shared" si="1532"/>
        <v>1</v>
      </c>
      <c r="AC1656" s="643">
        <f t="shared" si="1532"/>
        <v>1</v>
      </c>
      <c r="AD1656" s="643">
        <f t="shared" si="1532"/>
        <v>1</v>
      </c>
      <c r="AE1656" s="643">
        <f t="shared" si="1532"/>
        <v>1</v>
      </c>
      <c r="AF1656" s="643">
        <f t="shared" si="1532"/>
        <v>1</v>
      </c>
      <c r="AG1656" s="574" t="e">
        <f t="shared" ref="AG1656" si="1533">AG1653</f>
        <v>#REF!</v>
      </c>
      <c r="AH1656" s="538"/>
      <c r="AK1656" s="515"/>
      <c r="AM1656" s="526"/>
      <c r="AN1656" s="535"/>
      <c r="AP1656" s="540"/>
      <c r="AQ1656" s="540"/>
    </row>
    <row r="1657" spans="1:43" s="513" customFormat="1" ht="16.5" hidden="1" customHeight="1" outlineLevel="2">
      <c r="A1657" s="584"/>
      <c r="B1657" s="572" t="s">
        <v>888</v>
      </c>
      <c r="C1657" s="574">
        <f>Insumos!$E$156</f>
        <v>125</v>
      </c>
      <c r="D1657" s="574">
        <f>C1657</f>
        <v>125</v>
      </c>
      <c r="E1657" s="574">
        <f t="shared" ref="E1657:AF1657" si="1534">D1657</f>
        <v>125</v>
      </c>
      <c r="F1657" s="574">
        <f t="shared" si="1534"/>
        <v>125</v>
      </c>
      <c r="G1657" s="574">
        <f t="shared" si="1534"/>
        <v>125</v>
      </c>
      <c r="H1657" s="574">
        <f t="shared" si="1534"/>
        <v>125</v>
      </c>
      <c r="I1657" s="574">
        <f t="shared" si="1534"/>
        <v>125</v>
      </c>
      <c r="J1657" s="574">
        <f t="shared" si="1534"/>
        <v>125</v>
      </c>
      <c r="K1657" s="574">
        <f t="shared" si="1534"/>
        <v>125</v>
      </c>
      <c r="L1657" s="574">
        <f t="shared" si="1534"/>
        <v>125</v>
      </c>
      <c r="M1657" s="574">
        <f t="shared" si="1534"/>
        <v>125</v>
      </c>
      <c r="N1657" s="574">
        <f t="shared" si="1534"/>
        <v>125</v>
      </c>
      <c r="O1657" s="574">
        <f t="shared" si="1534"/>
        <v>125</v>
      </c>
      <c r="P1657" s="574">
        <f t="shared" si="1534"/>
        <v>125</v>
      </c>
      <c r="Q1657" s="574">
        <f t="shared" si="1534"/>
        <v>125</v>
      </c>
      <c r="R1657" s="574">
        <f t="shared" si="1534"/>
        <v>125</v>
      </c>
      <c r="S1657" s="574">
        <f t="shared" si="1534"/>
        <v>125</v>
      </c>
      <c r="T1657" s="574">
        <f t="shared" si="1534"/>
        <v>125</v>
      </c>
      <c r="U1657" s="574">
        <f t="shared" si="1534"/>
        <v>125</v>
      </c>
      <c r="V1657" s="574">
        <f t="shared" si="1534"/>
        <v>125</v>
      </c>
      <c r="W1657" s="574">
        <f t="shared" si="1534"/>
        <v>125</v>
      </c>
      <c r="X1657" s="574">
        <f t="shared" si="1534"/>
        <v>125</v>
      </c>
      <c r="Y1657" s="574">
        <f t="shared" si="1534"/>
        <v>125</v>
      </c>
      <c r="Z1657" s="574">
        <f t="shared" si="1534"/>
        <v>125</v>
      </c>
      <c r="AA1657" s="574">
        <f t="shared" si="1534"/>
        <v>125</v>
      </c>
      <c r="AB1657" s="574">
        <f t="shared" si="1534"/>
        <v>125</v>
      </c>
      <c r="AC1657" s="574">
        <f t="shared" si="1534"/>
        <v>125</v>
      </c>
      <c r="AD1657" s="574">
        <f t="shared" si="1534"/>
        <v>125</v>
      </c>
      <c r="AE1657" s="574">
        <f t="shared" si="1534"/>
        <v>125</v>
      </c>
      <c r="AF1657" s="574">
        <f t="shared" si="1534"/>
        <v>125</v>
      </c>
      <c r="AH1657" s="538"/>
      <c r="AK1657" s="515"/>
      <c r="AM1657" s="526"/>
      <c r="AN1657" s="535"/>
      <c r="AP1657" s="540"/>
      <c r="AQ1657" s="540"/>
    </row>
    <row r="1658" spans="1:43" s="546" customFormat="1" ht="16.5" hidden="1" customHeight="1" outlineLevel="2">
      <c r="A1658" s="584"/>
      <c r="B1658" s="569" t="s">
        <v>1091</v>
      </c>
      <c r="C1658" s="570">
        <f>C1659*C1660</f>
        <v>600</v>
      </c>
      <c r="D1658" s="570">
        <f t="shared" ref="D1658:AF1658" si="1535">D1659*D1660</f>
        <v>600</v>
      </c>
      <c r="E1658" s="570">
        <f t="shared" si="1535"/>
        <v>600</v>
      </c>
      <c r="F1658" s="570">
        <f t="shared" si="1535"/>
        <v>600</v>
      </c>
      <c r="G1658" s="570">
        <f t="shared" si="1535"/>
        <v>600</v>
      </c>
      <c r="H1658" s="570">
        <f t="shared" si="1535"/>
        <v>600</v>
      </c>
      <c r="I1658" s="570">
        <f t="shared" si="1535"/>
        <v>600</v>
      </c>
      <c r="J1658" s="570">
        <f t="shared" si="1535"/>
        <v>600</v>
      </c>
      <c r="K1658" s="570">
        <f t="shared" si="1535"/>
        <v>600</v>
      </c>
      <c r="L1658" s="570">
        <f t="shared" si="1535"/>
        <v>600</v>
      </c>
      <c r="M1658" s="570">
        <f t="shared" si="1535"/>
        <v>600</v>
      </c>
      <c r="N1658" s="570">
        <f t="shared" si="1535"/>
        <v>600</v>
      </c>
      <c r="O1658" s="570">
        <f t="shared" si="1535"/>
        <v>600</v>
      </c>
      <c r="P1658" s="570">
        <f t="shared" si="1535"/>
        <v>600</v>
      </c>
      <c r="Q1658" s="570">
        <f t="shared" si="1535"/>
        <v>600</v>
      </c>
      <c r="R1658" s="570">
        <f t="shared" si="1535"/>
        <v>600</v>
      </c>
      <c r="S1658" s="570">
        <f t="shared" si="1535"/>
        <v>600</v>
      </c>
      <c r="T1658" s="570">
        <f t="shared" si="1535"/>
        <v>600</v>
      </c>
      <c r="U1658" s="570">
        <f t="shared" si="1535"/>
        <v>600</v>
      </c>
      <c r="V1658" s="570">
        <f t="shared" si="1535"/>
        <v>600</v>
      </c>
      <c r="W1658" s="570">
        <f t="shared" si="1535"/>
        <v>600</v>
      </c>
      <c r="X1658" s="570">
        <f t="shared" si="1535"/>
        <v>600</v>
      </c>
      <c r="Y1658" s="570">
        <f t="shared" si="1535"/>
        <v>600</v>
      </c>
      <c r="Z1658" s="570">
        <f t="shared" si="1535"/>
        <v>600</v>
      </c>
      <c r="AA1658" s="570">
        <f t="shared" si="1535"/>
        <v>600</v>
      </c>
      <c r="AB1658" s="570">
        <f t="shared" si="1535"/>
        <v>600</v>
      </c>
      <c r="AC1658" s="570">
        <f t="shared" si="1535"/>
        <v>600</v>
      </c>
      <c r="AD1658" s="570">
        <f t="shared" si="1535"/>
        <v>600</v>
      </c>
      <c r="AE1658" s="570">
        <f t="shared" si="1535"/>
        <v>600</v>
      </c>
      <c r="AF1658" s="570">
        <f t="shared" si="1535"/>
        <v>600</v>
      </c>
      <c r="AH1658" s="571"/>
      <c r="AK1658" s="687"/>
      <c r="AM1658" s="688"/>
      <c r="AN1658" s="535"/>
      <c r="AP1658" s="549"/>
      <c r="AQ1658" s="549"/>
    </row>
    <row r="1659" spans="1:43" s="513" customFormat="1" ht="16.5" hidden="1" customHeight="1" outlineLevel="2">
      <c r="A1659" s="584"/>
      <c r="B1659" s="572" t="s">
        <v>805</v>
      </c>
      <c r="C1659" s="643">
        <v>1</v>
      </c>
      <c r="D1659" s="643">
        <f>C1659</f>
        <v>1</v>
      </c>
      <c r="E1659" s="643">
        <f t="shared" ref="E1659:T1660" si="1536">D1659</f>
        <v>1</v>
      </c>
      <c r="F1659" s="643">
        <f t="shared" si="1536"/>
        <v>1</v>
      </c>
      <c r="G1659" s="643">
        <f t="shared" si="1536"/>
        <v>1</v>
      </c>
      <c r="H1659" s="643">
        <f t="shared" si="1536"/>
        <v>1</v>
      </c>
      <c r="I1659" s="643">
        <f t="shared" si="1536"/>
        <v>1</v>
      </c>
      <c r="J1659" s="643">
        <f t="shared" si="1536"/>
        <v>1</v>
      </c>
      <c r="K1659" s="643">
        <f t="shared" si="1536"/>
        <v>1</v>
      </c>
      <c r="L1659" s="643">
        <f t="shared" si="1536"/>
        <v>1</v>
      </c>
      <c r="M1659" s="643">
        <f t="shared" si="1536"/>
        <v>1</v>
      </c>
      <c r="N1659" s="643">
        <f t="shared" si="1536"/>
        <v>1</v>
      </c>
      <c r="O1659" s="643">
        <f t="shared" si="1536"/>
        <v>1</v>
      </c>
      <c r="P1659" s="643">
        <f t="shared" si="1536"/>
        <v>1</v>
      </c>
      <c r="Q1659" s="643">
        <f t="shared" si="1536"/>
        <v>1</v>
      </c>
      <c r="R1659" s="643">
        <f t="shared" si="1536"/>
        <v>1</v>
      </c>
      <c r="S1659" s="643">
        <f t="shared" si="1536"/>
        <v>1</v>
      </c>
      <c r="T1659" s="643">
        <f t="shared" si="1536"/>
        <v>1</v>
      </c>
      <c r="U1659" s="643">
        <f t="shared" ref="U1659:AF1660" si="1537">T1659</f>
        <v>1</v>
      </c>
      <c r="V1659" s="643">
        <f t="shared" si="1537"/>
        <v>1</v>
      </c>
      <c r="W1659" s="643">
        <f t="shared" si="1537"/>
        <v>1</v>
      </c>
      <c r="X1659" s="643">
        <f t="shared" si="1537"/>
        <v>1</v>
      </c>
      <c r="Y1659" s="643">
        <f t="shared" si="1537"/>
        <v>1</v>
      </c>
      <c r="Z1659" s="643">
        <f t="shared" si="1537"/>
        <v>1</v>
      </c>
      <c r="AA1659" s="643">
        <f t="shared" si="1537"/>
        <v>1</v>
      </c>
      <c r="AB1659" s="643">
        <f t="shared" si="1537"/>
        <v>1</v>
      </c>
      <c r="AC1659" s="643">
        <f t="shared" si="1537"/>
        <v>1</v>
      </c>
      <c r="AD1659" s="643">
        <f t="shared" si="1537"/>
        <v>1</v>
      </c>
      <c r="AE1659" s="643">
        <f t="shared" si="1537"/>
        <v>1</v>
      </c>
      <c r="AF1659" s="643">
        <f t="shared" si="1537"/>
        <v>1</v>
      </c>
      <c r="AG1659" s="574" t="e">
        <f t="shared" ref="AG1659" si="1538">AG1656</f>
        <v>#REF!</v>
      </c>
      <c r="AH1659" s="538"/>
      <c r="AK1659" s="515"/>
      <c r="AM1659" s="526"/>
      <c r="AN1659" s="535"/>
      <c r="AP1659" s="540"/>
      <c r="AQ1659" s="540"/>
    </row>
    <row r="1660" spans="1:43" s="513" customFormat="1" ht="16.5" hidden="1" customHeight="1" outlineLevel="2">
      <c r="A1660" s="584"/>
      <c r="B1660" s="572" t="s">
        <v>888</v>
      </c>
      <c r="C1660" s="574">
        <f>Insumos!$E$115</f>
        <v>600</v>
      </c>
      <c r="D1660" s="574">
        <f>C1660</f>
        <v>600</v>
      </c>
      <c r="E1660" s="574">
        <f t="shared" si="1536"/>
        <v>600</v>
      </c>
      <c r="F1660" s="574">
        <f t="shared" si="1536"/>
        <v>600</v>
      </c>
      <c r="G1660" s="574">
        <f t="shared" si="1536"/>
        <v>600</v>
      </c>
      <c r="H1660" s="574">
        <f t="shared" si="1536"/>
        <v>600</v>
      </c>
      <c r="I1660" s="574">
        <f t="shared" si="1536"/>
        <v>600</v>
      </c>
      <c r="J1660" s="574">
        <f t="shared" si="1536"/>
        <v>600</v>
      </c>
      <c r="K1660" s="574">
        <f t="shared" si="1536"/>
        <v>600</v>
      </c>
      <c r="L1660" s="574">
        <f t="shared" si="1536"/>
        <v>600</v>
      </c>
      <c r="M1660" s="574">
        <f t="shared" si="1536"/>
        <v>600</v>
      </c>
      <c r="N1660" s="574">
        <f t="shared" si="1536"/>
        <v>600</v>
      </c>
      <c r="O1660" s="574">
        <f t="shared" si="1536"/>
        <v>600</v>
      </c>
      <c r="P1660" s="574">
        <f t="shared" si="1536"/>
        <v>600</v>
      </c>
      <c r="Q1660" s="574">
        <f t="shared" si="1536"/>
        <v>600</v>
      </c>
      <c r="R1660" s="574">
        <f t="shared" si="1536"/>
        <v>600</v>
      </c>
      <c r="S1660" s="574">
        <f t="shared" si="1536"/>
        <v>600</v>
      </c>
      <c r="T1660" s="574">
        <f t="shared" si="1536"/>
        <v>600</v>
      </c>
      <c r="U1660" s="574">
        <f t="shared" si="1537"/>
        <v>600</v>
      </c>
      <c r="V1660" s="574">
        <f t="shared" si="1537"/>
        <v>600</v>
      </c>
      <c r="W1660" s="574">
        <f t="shared" si="1537"/>
        <v>600</v>
      </c>
      <c r="X1660" s="574">
        <f t="shared" si="1537"/>
        <v>600</v>
      </c>
      <c r="Y1660" s="574">
        <f t="shared" si="1537"/>
        <v>600</v>
      </c>
      <c r="Z1660" s="574">
        <f t="shared" si="1537"/>
        <v>600</v>
      </c>
      <c r="AA1660" s="574">
        <f t="shared" si="1537"/>
        <v>600</v>
      </c>
      <c r="AB1660" s="574">
        <f t="shared" si="1537"/>
        <v>600</v>
      </c>
      <c r="AC1660" s="574">
        <f t="shared" si="1537"/>
        <v>600</v>
      </c>
      <c r="AD1660" s="574">
        <f t="shared" si="1537"/>
        <v>600</v>
      </c>
      <c r="AE1660" s="574">
        <f t="shared" si="1537"/>
        <v>600</v>
      </c>
      <c r="AF1660" s="574">
        <f t="shared" si="1537"/>
        <v>600</v>
      </c>
      <c r="AH1660" s="538"/>
      <c r="AK1660" s="515"/>
      <c r="AM1660" s="526"/>
      <c r="AN1660" s="535"/>
      <c r="AP1660" s="540"/>
      <c r="AQ1660" s="540"/>
    </row>
    <row r="1661" spans="1:43" s="546" customFormat="1" ht="16.5" hidden="1" customHeight="1" outlineLevel="2">
      <c r="A1661" s="584"/>
      <c r="B1661" s="569" t="s">
        <v>1092</v>
      </c>
      <c r="C1661" s="570">
        <f>C1662*C1663</f>
        <v>500</v>
      </c>
      <c r="D1661" s="570">
        <f t="shared" ref="D1661:AF1661" si="1539">D1662*D1663</f>
        <v>500</v>
      </c>
      <c r="E1661" s="570">
        <f t="shared" si="1539"/>
        <v>500</v>
      </c>
      <c r="F1661" s="570">
        <f t="shared" si="1539"/>
        <v>500</v>
      </c>
      <c r="G1661" s="570">
        <f t="shared" si="1539"/>
        <v>500</v>
      </c>
      <c r="H1661" s="570">
        <f t="shared" si="1539"/>
        <v>500</v>
      </c>
      <c r="I1661" s="570">
        <f t="shared" si="1539"/>
        <v>500</v>
      </c>
      <c r="J1661" s="570">
        <f t="shared" si="1539"/>
        <v>500</v>
      </c>
      <c r="K1661" s="570">
        <f t="shared" si="1539"/>
        <v>500</v>
      </c>
      <c r="L1661" s="570">
        <f t="shared" si="1539"/>
        <v>500</v>
      </c>
      <c r="M1661" s="570">
        <f t="shared" si="1539"/>
        <v>500</v>
      </c>
      <c r="N1661" s="570">
        <f t="shared" si="1539"/>
        <v>500</v>
      </c>
      <c r="O1661" s="570">
        <f t="shared" si="1539"/>
        <v>500</v>
      </c>
      <c r="P1661" s="570">
        <f t="shared" si="1539"/>
        <v>500</v>
      </c>
      <c r="Q1661" s="570">
        <f t="shared" si="1539"/>
        <v>500</v>
      </c>
      <c r="R1661" s="570">
        <f t="shared" si="1539"/>
        <v>500</v>
      </c>
      <c r="S1661" s="570">
        <f t="shared" si="1539"/>
        <v>500</v>
      </c>
      <c r="T1661" s="570">
        <f t="shared" si="1539"/>
        <v>500</v>
      </c>
      <c r="U1661" s="570">
        <f t="shared" si="1539"/>
        <v>500</v>
      </c>
      <c r="V1661" s="570">
        <f t="shared" si="1539"/>
        <v>500</v>
      </c>
      <c r="W1661" s="570">
        <f t="shared" si="1539"/>
        <v>500</v>
      </c>
      <c r="X1661" s="570">
        <f t="shared" si="1539"/>
        <v>500</v>
      </c>
      <c r="Y1661" s="570">
        <f t="shared" si="1539"/>
        <v>500</v>
      </c>
      <c r="Z1661" s="570">
        <f t="shared" si="1539"/>
        <v>500</v>
      </c>
      <c r="AA1661" s="570">
        <f t="shared" si="1539"/>
        <v>500</v>
      </c>
      <c r="AB1661" s="570">
        <f t="shared" si="1539"/>
        <v>500</v>
      </c>
      <c r="AC1661" s="570">
        <f t="shared" si="1539"/>
        <v>500</v>
      </c>
      <c r="AD1661" s="570">
        <f t="shared" si="1539"/>
        <v>500</v>
      </c>
      <c r="AE1661" s="570">
        <f t="shared" si="1539"/>
        <v>500</v>
      </c>
      <c r="AF1661" s="570">
        <f t="shared" si="1539"/>
        <v>500</v>
      </c>
      <c r="AH1661" s="571"/>
      <c r="AK1661" s="687"/>
      <c r="AM1661" s="688"/>
      <c r="AN1661" s="535"/>
      <c r="AP1661" s="549"/>
      <c r="AQ1661" s="549"/>
    </row>
    <row r="1662" spans="1:43" s="513" customFormat="1" ht="16.5" hidden="1" customHeight="1" outlineLevel="2">
      <c r="A1662" s="584"/>
      <c r="B1662" s="572" t="s">
        <v>805</v>
      </c>
      <c r="C1662" s="643">
        <v>1</v>
      </c>
      <c r="D1662" s="643">
        <f>C1662</f>
        <v>1</v>
      </c>
      <c r="E1662" s="643">
        <f t="shared" ref="E1662:T1663" si="1540">D1662</f>
        <v>1</v>
      </c>
      <c r="F1662" s="643">
        <f t="shared" si="1540"/>
        <v>1</v>
      </c>
      <c r="G1662" s="643">
        <f t="shared" si="1540"/>
        <v>1</v>
      </c>
      <c r="H1662" s="643">
        <f t="shared" si="1540"/>
        <v>1</v>
      </c>
      <c r="I1662" s="643">
        <f t="shared" si="1540"/>
        <v>1</v>
      </c>
      <c r="J1662" s="643">
        <f t="shared" si="1540"/>
        <v>1</v>
      </c>
      <c r="K1662" s="643">
        <f t="shared" si="1540"/>
        <v>1</v>
      </c>
      <c r="L1662" s="643">
        <f t="shared" si="1540"/>
        <v>1</v>
      </c>
      <c r="M1662" s="643">
        <f t="shared" si="1540"/>
        <v>1</v>
      </c>
      <c r="N1662" s="643">
        <f t="shared" si="1540"/>
        <v>1</v>
      </c>
      <c r="O1662" s="643">
        <f t="shared" si="1540"/>
        <v>1</v>
      </c>
      <c r="P1662" s="643">
        <f t="shared" si="1540"/>
        <v>1</v>
      </c>
      <c r="Q1662" s="643">
        <f t="shared" si="1540"/>
        <v>1</v>
      </c>
      <c r="R1662" s="643">
        <f t="shared" si="1540"/>
        <v>1</v>
      </c>
      <c r="S1662" s="643">
        <f t="shared" si="1540"/>
        <v>1</v>
      </c>
      <c r="T1662" s="643">
        <f t="shared" si="1540"/>
        <v>1</v>
      </c>
      <c r="U1662" s="643">
        <f t="shared" ref="U1662:AF1663" si="1541">T1662</f>
        <v>1</v>
      </c>
      <c r="V1662" s="643">
        <f t="shared" si="1541"/>
        <v>1</v>
      </c>
      <c r="W1662" s="643">
        <f t="shared" si="1541"/>
        <v>1</v>
      </c>
      <c r="X1662" s="643">
        <f t="shared" si="1541"/>
        <v>1</v>
      </c>
      <c r="Y1662" s="643">
        <f t="shared" si="1541"/>
        <v>1</v>
      </c>
      <c r="Z1662" s="643">
        <f t="shared" si="1541"/>
        <v>1</v>
      </c>
      <c r="AA1662" s="643">
        <f t="shared" si="1541"/>
        <v>1</v>
      </c>
      <c r="AB1662" s="643">
        <f t="shared" si="1541"/>
        <v>1</v>
      </c>
      <c r="AC1662" s="643">
        <f t="shared" si="1541"/>
        <v>1</v>
      </c>
      <c r="AD1662" s="643">
        <f t="shared" si="1541"/>
        <v>1</v>
      </c>
      <c r="AE1662" s="643">
        <f t="shared" si="1541"/>
        <v>1</v>
      </c>
      <c r="AF1662" s="643">
        <f t="shared" si="1541"/>
        <v>1</v>
      </c>
      <c r="AG1662" s="574" t="e">
        <f t="shared" ref="AG1662" si="1542">AG1659</f>
        <v>#REF!</v>
      </c>
      <c r="AH1662" s="538"/>
      <c r="AK1662" s="515"/>
      <c r="AM1662" s="526"/>
      <c r="AN1662" s="535"/>
      <c r="AP1662" s="540"/>
      <c r="AQ1662" s="540"/>
    </row>
    <row r="1663" spans="1:43" s="513" customFormat="1" ht="16.5" hidden="1" customHeight="1" outlineLevel="2">
      <c r="A1663" s="584"/>
      <c r="B1663" s="572" t="s">
        <v>888</v>
      </c>
      <c r="C1663" s="574">
        <f>Insumos!$E$152</f>
        <v>500</v>
      </c>
      <c r="D1663" s="574">
        <f>C1663</f>
        <v>500</v>
      </c>
      <c r="E1663" s="574">
        <f t="shared" si="1540"/>
        <v>500</v>
      </c>
      <c r="F1663" s="574">
        <f t="shared" si="1540"/>
        <v>500</v>
      </c>
      <c r="G1663" s="574">
        <f t="shared" si="1540"/>
        <v>500</v>
      </c>
      <c r="H1663" s="574">
        <f t="shared" si="1540"/>
        <v>500</v>
      </c>
      <c r="I1663" s="574">
        <f t="shared" si="1540"/>
        <v>500</v>
      </c>
      <c r="J1663" s="574">
        <f t="shared" si="1540"/>
        <v>500</v>
      </c>
      <c r="K1663" s="574">
        <f t="shared" si="1540"/>
        <v>500</v>
      </c>
      <c r="L1663" s="574">
        <f t="shared" si="1540"/>
        <v>500</v>
      </c>
      <c r="M1663" s="574">
        <f t="shared" si="1540"/>
        <v>500</v>
      </c>
      <c r="N1663" s="574">
        <f t="shared" si="1540"/>
        <v>500</v>
      </c>
      <c r="O1663" s="574">
        <f t="shared" si="1540"/>
        <v>500</v>
      </c>
      <c r="P1663" s="574">
        <f t="shared" si="1540"/>
        <v>500</v>
      </c>
      <c r="Q1663" s="574">
        <f t="shared" si="1540"/>
        <v>500</v>
      </c>
      <c r="R1663" s="574">
        <f t="shared" si="1540"/>
        <v>500</v>
      </c>
      <c r="S1663" s="574">
        <f t="shared" si="1540"/>
        <v>500</v>
      </c>
      <c r="T1663" s="574">
        <f t="shared" si="1540"/>
        <v>500</v>
      </c>
      <c r="U1663" s="574">
        <f t="shared" si="1541"/>
        <v>500</v>
      </c>
      <c r="V1663" s="574">
        <f t="shared" si="1541"/>
        <v>500</v>
      </c>
      <c r="W1663" s="574">
        <f t="shared" si="1541"/>
        <v>500</v>
      </c>
      <c r="X1663" s="574">
        <f t="shared" si="1541"/>
        <v>500</v>
      </c>
      <c r="Y1663" s="574">
        <f t="shared" si="1541"/>
        <v>500</v>
      </c>
      <c r="Z1663" s="574">
        <f t="shared" si="1541"/>
        <v>500</v>
      </c>
      <c r="AA1663" s="574">
        <f t="shared" si="1541"/>
        <v>500</v>
      </c>
      <c r="AB1663" s="574">
        <f t="shared" si="1541"/>
        <v>500</v>
      </c>
      <c r="AC1663" s="574">
        <f t="shared" si="1541"/>
        <v>500</v>
      </c>
      <c r="AD1663" s="574">
        <f t="shared" si="1541"/>
        <v>500</v>
      </c>
      <c r="AE1663" s="574">
        <f t="shared" si="1541"/>
        <v>500</v>
      </c>
      <c r="AF1663" s="574">
        <f t="shared" si="1541"/>
        <v>500</v>
      </c>
      <c r="AH1663" s="538"/>
      <c r="AK1663" s="515"/>
      <c r="AM1663" s="526"/>
      <c r="AN1663" s="535"/>
      <c r="AP1663" s="540"/>
      <c r="AQ1663" s="540"/>
    </row>
    <row r="1664" spans="1:43" s="564" customFormat="1" ht="16.5" hidden="1" customHeight="1" outlineLevel="1" collapsed="1">
      <c r="A1664" s="584"/>
      <c r="B1664" s="576" t="s">
        <v>1093</v>
      </c>
      <c r="C1664" s="577">
        <f>SUM(C1665,C1668,C1671,C1674,C1677)*12/10^3</f>
        <v>24.260529999999999</v>
      </c>
      <c r="D1664" s="577">
        <f t="shared" ref="D1664:AF1664" si="1543">SUM(D1665,D1668,D1671,D1674,D1677)*12/10^3</f>
        <v>24.708380000000002</v>
      </c>
      <c r="E1664" s="577">
        <f t="shared" si="1543"/>
        <v>24.978980000000004</v>
      </c>
      <c r="F1664" s="577">
        <f t="shared" si="1543"/>
        <v>25.655480000000004</v>
      </c>
      <c r="G1664" s="577">
        <f t="shared" si="1543"/>
        <v>25.655480000000004</v>
      </c>
      <c r="H1664" s="577">
        <f t="shared" si="1543"/>
        <v>25.655480000000004</v>
      </c>
      <c r="I1664" s="577">
        <f t="shared" si="1543"/>
        <v>26.826504999999997</v>
      </c>
      <c r="J1664" s="577">
        <f t="shared" si="1543"/>
        <v>26.826504999999997</v>
      </c>
      <c r="K1664" s="577">
        <f t="shared" si="1543"/>
        <v>26.826504999999997</v>
      </c>
      <c r="L1664" s="577">
        <f t="shared" si="1543"/>
        <v>26.961805000000002</v>
      </c>
      <c r="M1664" s="577">
        <f>SUM(M1665,M1668,M1671,M1674,M1677)*12/10^3</f>
        <v>26.961805000000002</v>
      </c>
      <c r="N1664" s="577">
        <f t="shared" si="1543"/>
        <v>26.961805000000002</v>
      </c>
      <c r="O1664" s="577">
        <f t="shared" si="1543"/>
        <v>26.961805000000002</v>
      </c>
      <c r="P1664" s="577">
        <f t="shared" si="1543"/>
        <v>26.961805000000002</v>
      </c>
      <c r="Q1664" s="577">
        <f t="shared" si="1543"/>
        <v>26.961805000000002</v>
      </c>
      <c r="R1664" s="577">
        <f t="shared" si="1543"/>
        <v>26.961805000000002</v>
      </c>
      <c r="S1664" s="577">
        <f t="shared" si="1543"/>
        <v>26.961805000000002</v>
      </c>
      <c r="T1664" s="577">
        <f t="shared" si="1543"/>
        <v>26.961805000000002</v>
      </c>
      <c r="U1664" s="577">
        <f t="shared" si="1543"/>
        <v>27.773605000000003</v>
      </c>
      <c r="V1664" s="577">
        <f t="shared" si="1543"/>
        <v>27.773605000000003</v>
      </c>
      <c r="W1664" s="577">
        <f t="shared" si="1543"/>
        <v>27.773605000000003</v>
      </c>
      <c r="X1664" s="577">
        <f t="shared" si="1543"/>
        <v>27.773605000000003</v>
      </c>
      <c r="Y1664" s="577">
        <f t="shared" si="1543"/>
        <v>27.773605000000003</v>
      </c>
      <c r="Z1664" s="577">
        <f t="shared" si="1543"/>
        <v>27.773605000000003</v>
      </c>
      <c r="AA1664" s="577">
        <f t="shared" si="1543"/>
        <v>27.773605000000003</v>
      </c>
      <c r="AB1664" s="577">
        <f t="shared" si="1543"/>
        <v>27.773605000000003</v>
      </c>
      <c r="AC1664" s="577">
        <f t="shared" si="1543"/>
        <v>27.908905000000001</v>
      </c>
      <c r="AD1664" s="577">
        <f t="shared" si="1543"/>
        <v>27.908905000000001</v>
      </c>
      <c r="AE1664" s="577">
        <f t="shared" si="1543"/>
        <v>27.908905000000001</v>
      </c>
      <c r="AF1664" s="577">
        <f t="shared" si="1543"/>
        <v>27.908905000000001</v>
      </c>
      <c r="AH1664" s="578">
        <f>SUM(C1664:AF1664)</f>
        <v>807.87455000000011</v>
      </c>
      <c r="AJ1664" s="566"/>
      <c r="AK1664" s="515"/>
      <c r="AM1664" s="686"/>
      <c r="AN1664" s="535"/>
      <c r="AP1664" s="568"/>
      <c r="AQ1664" s="568"/>
    </row>
    <row r="1665" spans="1:43" s="546" customFormat="1" ht="16.5" hidden="1" customHeight="1" outlineLevel="2">
      <c r="A1665" s="584"/>
      <c r="B1665" s="569" t="s">
        <v>1094</v>
      </c>
      <c r="C1665" s="570">
        <f>C1666*C1667</f>
        <v>34.958333333333336</v>
      </c>
      <c r="D1665" s="570">
        <f t="shared" ref="D1665:AF1665" si="1544">D1666*D1667</f>
        <v>38.454166666666666</v>
      </c>
      <c r="E1665" s="570">
        <f t="shared" si="1544"/>
        <v>38.454166666666666</v>
      </c>
      <c r="F1665" s="570">
        <f t="shared" si="1544"/>
        <v>38.454166666666666</v>
      </c>
      <c r="G1665" s="570">
        <f t="shared" si="1544"/>
        <v>38.454166666666666</v>
      </c>
      <c r="H1665" s="570">
        <f t="shared" si="1544"/>
        <v>38.454166666666666</v>
      </c>
      <c r="I1665" s="570">
        <f t="shared" si="1544"/>
        <v>40.202083333333334</v>
      </c>
      <c r="J1665" s="570">
        <f t="shared" si="1544"/>
        <v>40.202083333333334</v>
      </c>
      <c r="K1665" s="570">
        <f t="shared" si="1544"/>
        <v>40.202083333333334</v>
      </c>
      <c r="L1665" s="570">
        <f t="shared" si="1544"/>
        <v>40.202083333333334</v>
      </c>
      <c r="M1665" s="570">
        <f t="shared" si="1544"/>
        <v>40.202083333333334</v>
      </c>
      <c r="N1665" s="570">
        <f t="shared" si="1544"/>
        <v>40.202083333333334</v>
      </c>
      <c r="O1665" s="570">
        <f t="shared" si="1544"/>
        <v>40.202083333333334</v>
      </c>
      <c r="P1665" s="570">
        <f t="shared" si="1544"/>
        <v>40.202083333333334</v>
      </c>
      <c r="Q1665" s="570">
        <f t="shared" si="1544"/>
        <v>40.202083333333334</v>
      </c>
      <c r="R1665" s="570">
        <f t="shared" si="1544"/>
        <v>40.202083333333334</v>
      </c>
      <c r="S1665" s="570">
        <f t="shared" si="1544"/>
        <v>40.202083333333334</v>
      </c>
      <c r="T1665" s="570">
        <f t="shared" si="1544"/>
        <v>40.202083333333334</v>
      </c>
      <c r="U1665" s="570">
        <f t="shared" si="1544"/>
        <v>40.202083333333334</v>
      </c>
      <c r="V1665" s="570">
        <f t="shared" si="1544"/>
        <v>40.202083333333334</v>
      </c>
      <c r="W1665" s="570">
        <f t="shared" si="1544"/>
        <v>40.202083333333334</v>
      </c>
      <c r="X1665" s="570">
        <f t="shared" si="1544"/>
        <v>40.202083333333334</v>
      </c>
      <c r="Y1665" s="570">
        <f t="shared" si="1544"/>
        <v>40.202083333333334</v>
      </c>
      <c r="Z1665" s="570">
        <f t="shared" si="1544"/>
        <v>40.202083333333334</v>
      </c>
      <c r="AA1665" s="570">
        <f t="shared" si="1544"/>
        <v>40.202083333333334</v>
      </c>
      <c r="AB1665" s="570">
        <f t="shared" si="1544"/>
        <v>40.202083333333334</v>
      </c>
      <c r="AC1665" s="570">
        <f t="shared" si="1544"/>
        <v>40.202083333333334</v>
      </c>
      <c r="AD1665" s="570">
        <f t="shared" si="1544"/>
        <v>40.202083333333334</v>
      </c>
      <c r="AE1665" s="570">
        <f t="shared" si="1544"/>
        <v>40.202083333333334</v>
      </c>
      <c r="AF1665" s="570">
        <f t="shared" si="1544"/>
        <v>40.202083333333334</v>
      </c>
      <c r="AH1665" s="571"/>
      <c r="AK1665" s="687"/>
      <c r="AM1665" s="688"/>
      <c r="AN1665" s="535"/>
      <c r="AP1665" s="549"/>
      <c r="AQ1665" s="549"/>
    </row>
    <row r="1666" spans="1:43" s="586" customFormat="1" ht="16.5" hidden="1" customHeight="1" outlineLevel="2">
      <c r="A1666" s="584"/>
      <c r="B1666" s="585" t="s">
        <v>805</v>
      </c>
      <c r="C1666" s="720">
        <f t="shared" ref="C1666:AF1666" si="1545">C1626+C1384+C1475</f>
        <v>10</v>
      </c>
      <c r="D1666" s="720">
        <f t="shared" si="1545"/>
        <v>11</v>
      </c>
      <c r="E1666" s="720">
        <f t="shared" si="1545"/>
        <v>11</v>
      </c>
      <c r="F1666" s="720">
        <f t="shared" si="1545"/>
        <v>11</v>
      </c>
      <c r="G1666" s="720">
        <f t="shared" si="1545"/>
        <v>11</v>
      </c>
      <c r="H1666" s="720">
        <f t="shared" si="1545"/>
        <v>11</v>
      </c>
      <c r="I1666" s="720">
        <f t="shared" si="1545"/>
        <v>11.5</v>
      </c>
      <c r="J1666" s="720">
        <f t="shared" si="1545"/>
        <v>11.5</v>
      </c>
      <c r="K1666" s="720">
        <f t="shared" si="1545"/>
        <v>11.5</v>
      </c>
      <c r="L1666" s="720">
        <f t="shared" si="1545"/>
        <v>11.5</v>
      </c>
      <c r="M1666" s="720">
        <f t="shared" si="1545"/>
        <v>11.5</v>
      </c>
      <c r="N1666" s="720">
        <f t="shared" si="1545"/>
        <v>11.5</v>
      </c>
      <c r="O1666" s="720">
        <f t="shared" si="1545"/>
        <v>11.5</v>
      </c>
      <c r="P1666" s="720">
        <f t="shared" si="1545"/>
        <v>11.5</v>
      </c>
      <c r="Q1666" s="720">
        <f t="shared" si="1545"/>
        <v>11.5</v>
      </c>
      <c r="R1666" s="720">
        <f t="shared" si="1545"/>
        <v>11.5</v>
      </c>
      <c r="S1666" s="720">
        <f t="shared" si="1545"/>
        <v>11.5</v>
      </c>
      <c r="T1666" s="720">
        <f t="shared" si="1545"/>
        <v>11.5</v>
      </c>
      <c r="U1666" s="720">
        <f t="shared" si="1545"/>
        <v>11.5</v>
      </c>
      <c r="V1666" s="720">
        <f t="shared" si="1545"/>
        <v>11.5</v>
      </c>
      <c r="W1666" s="720">
        <f t="shared" si="1545"/>
        <v>11.5</v>
      </c>
      <c r="X1666" s="720">
        <f t="shared" si="1545"/>
        <v>11.5</v>
      </c>
      <c r="Y1666" s="720">
        <f t="shared" si="1545"/>
        <v>11.5</v>
      </c>
      <c r="Z1666" s="720">
        <f t="shared" si="1545"/>
        <v>11.5</v>
      </c>
      <c r="AA1666" s="720">
        <f t="shared" si="1545"/>
        <v>11.5</v>
      </c>
      <c r="AB1666" s="720">
        <f t="shared" si="1545"/>
        <v>11.5</v>
      </c>
      <c r="AC1666" s="720">
        <f t="shared" si="1545"/>
        <v>11.5</v>
      </c>
      <c r="AD1666" s="720">
        <f t="shared" si="1545"/>
        <v>11.5</v>
      </c>
      <c r="AE1666" s="720">
        <f t="shared" si="1545"/>
        <v>11.5</v>
      </c>
      <c r="AF1666" s="720">
        <f t="shared" si="1545"/>
        <v>11.5</v>
      </c>
      <c r="AG1666" s="632"/>
      <c r="AH1666" s="587"/>
      <c r="AK1666" s="726"/>
      <c r="AM1666" s="735"/>
      <c r="AN1666" s="590"/>
      <c r="AP1666" s="591"/>
      <c r="AQ1666" s="591"/>
    </row>
    <row r="1667" spans="1:43" s="586" customFormat="1" ht="16.5" hidden="1" customHeight="1" outlineLevel="2">
      <c r="A1667" s="584"/>
      <c r="B1667" s="585" t="s">
        <v>1066</v>
      </c>
      <c r="C1667" s="632">
        <f>Insumos!$E$124</f>
        <v>3.4958333333333336</v>
      </c>
      <c r="D1667" s="632">
        <f>C1667</f>
        <v>3.4958333333333336</v>
      </c>
      <c r="E1667" s="632">
        <f t="shared" ref="E1667:AF1667" si="1546">D1667</f>
        <v>3.4958333333333336</v>
      </c>
      <c r="F1667" s="632">
        <f t="shared" si="1546"/>
        <v>3.4958333333333336</v>
      </c>
      <c r="G1667" s="632">
        <f t="shared" si="1546"/>
        <v>3.4958333333333336</v>
      </c>
      <c r="H1667" s="632">
        <f t="shared" si="1546"/>
        <v>3.4958333333333336</v>
      </c>
      <c r="I1667" s="632">
        <f t="shared" si="1546"/>
        <v>3.4958333333333336</v>
      </c>
      <c r="J1667" s="632">
        <f t="shared" si="1546"/>
        <v>3.4958333333333336</v>
      </c>
      <c r="K1667" s="632">
        <f t="shared" si="1546"/>
        <v>3.4958333333333336</v>
      </c>
      <c r="L1667" s="632">
        <f t="shared" si="1546"/>
        <v>3.4958333333333336</v>
      </c>
      <c r="M1667" s="632">
        <f t="shared" si="1546"/>
        <v>3.4958333333333336</v>
      </c>
      <c r="N1667" s="632">
        <f t="shared" si="1546"/>
        <v>3.4958333333333336</v>
      </c>
      <c r="O1667" s="632">
        <f t="shared" si="1546"/>
        <v>3.4958333333333336</v>
      </c>
      <c r="P1667" s="632">
        <f t="shared" si="1546"/>
        <v>3.4958333333333336</v>
      </c>
      <c r="Q1667" s="632">
        <f t="shared" si="1546"/>
        <v>3.4958333333333336</v>
      </c>
      <c r="R1667" s="632">
        <f t="shared" si="1546"/>
        <v>3.4958333333333336</v>
      </c>
      <c r="S1667" s="632">
        <f t="shared" si="1546"/>
        <v>3.4958333333333336</v>
      </c>
      <c r="T1667" s="632">
        <f t="shared" si="1546"/>
        <v>3.4958333333333336</v>
      </c>
      <c r="U1667" s="632">
        <f t="shared" si="1546"/>
        <v>3.4958333333333336</v>
      </c>
      <c r="V1667" s="632">
        <f t="shared" si="1546"/>
        <v>3.4958333333333336</v>
      </c>
      <c r="W1667" s="632">
        <f t="shared" si="1546"/>
        <v>3.4958333333333336</v>
      </c>
      <c r="X1667" s="632">
        <f t="shared" si="1546"/>
        <v>3.4958333333333336</v>
      </c>
      <c r="Y1667" s="632">
        <f t="shared" si="1546"/>
        <v>3.4958333333333336</v>
      </c>
      <c r="Z1667" s="632">
        <f t="shared" si="1546"/>
        <v>3.4958333333333336</v>
      </c>
      <c r="AA1667" s="632">
        <f t="shared" si="1546"/>
        <v>3.4958333333333336</v>
      </c>
      <c r="AB1667" s="632">
        <f t="shared" si="1546"/>
        <v>3.4958333333333336</v>
      </c>
      <c r="AC1667" s="632">
        <f t="shared" si="1546"/>
        <v>3.4958333333333336</v>
      </c>
      <c r="AD1667" s="632">
        <f t="shared" si="1546"/>
        <v>3.4958333333333336</v>
      </c>
      <c r="AE1667" s="632">
        <f t="shared" si="1546"/>
        <v>3.4958333333333336</v>
      </c>
      <c r="AF1667" s="632">
        <f t="shared" si="1546"/>
        <v>3.4958333333333336</v>
      </c>
      <c r="AH1667" s="587"/>
      <c r="AK1667" s="726"/>
      <c r="AM1667" s="735"/>
      <c r="AN1667" s="590"/>
      <c r="AP1667" s="591"/>
      <c r="AQ1667" s="591"/>
    </row>
    <row r="1668" spans="1:43" s="634" customFormat="1" ht="16.5" hidden="1" customHeight="1" outlineLevel="2">
      <c r="A1668" s="584"/>
      <c r="B1668" s="580" t="s">
        <v>1095</v>
      </c>
      <c r="C1668" s="637">
        <f>C1669*C1670</f>
        <v>800.52499999999998</v>
      </c>
      <c r="D1668" s="637">
        <f t="shared" ref="D1668:AF1668" si="1547">D1669*D1670</f>
        <v>834.35</v>
      </c>
      <c r="E1668" s="637">
        <f t="shared" si="1547"/>
        <v>856.9</v>
      </c>
      <c r="F1668" s="637">
        <f t="shared" si="1547"/>
        <v>913.27499999999998</v>
      </c>
      <c r="G1668" s="637">
        <f t="shared" si="1547"/>
        <v>913.27499999999998</v>
      </c>
      <c r="H1668" s="637">
        <f t="shared" si="1547"/>
        <v>913.27499999999998</v>
      </c>
      <c r="I1668" s="637">
        <f t="shared" si="1547"/>
        <v>1009.1125000000001</v>
      </c>
      <c r="J1668" s="637">
        <f t="shared" si="1547"/>
        <v>1009.1125000000001</v>
      </c>
      <c r="K1668" s="637">
        <f t="shared" si="1547"/>
        <v>1009.1125000000001</v>
      </c>
      <c r="L1668" s="637">
        <f t="shared" si="1547"/>
        <v>1020.3875</v>
      </c>
      <c r="M1668" s="637">
        <f t="shared" si="1547"/>
        <v>1020.3875</v>
      </c>
      <c r="N1668" s="637">
        <f t="shared" si="1547"/>
        <v>1020.3875</v>
      </c>
      <c r="O1668" s="637">
        <f t="shared" si="1547"/>
        <v>1020.3875</v>
      </c>
      <c r="P1668" s="637">
        <f t="shared" si="1547"/>
        <v>1020.3875</v>
      </c>
      <c r="Q1668" s="637">
        <f t="shared" si="1547"/>
        <v>1020.3875</v>
      </c>
      <c r="R1668" s="637">
        <f t="shared" si="1547"/>
        <v>1020.3875</v>
      </c>
      <c r="S1668" s="637">
        <f t="shared" si="1547"/>
        <v>1020.3875</v>
      </c>
      <c r="T1668" s="637">
        <f t="shared" si="1547"/>
        <v>1020.3875</v>
      </c>
      <c r="U1668" s="637">
        <f t="shared" si="1547"/>
        <v>1088.0375000000001</v>
      </c>
      <c r="V1668" s="637">
        <f t="shared" si="1547"/>
        <v>1088.0375000000001</v>
      </c>
      <c r="W1668" s="637">
        <f t="shared" si="1547"/>
        <v>1088.0375000000001</v>
      </c>
      <c r="X1668" s="637">
        <f t="shared" si="1547"/>
        <v>1088.0375000000001</v>
      </c>
      <c r="Y1668" s="637">
        <f t="shared" si="1547"/>
        <v>1088.0375000000001</v>
      </c>
      <c r="Z1668" s="637">
        <f t="shared" si="1547"/>
        <v>1088.0375000000001</v>
      </c>
      <c r="AA1668" s="637">
        <f t="shared" si="1547"/>
        <v>1088.0375000000001</v>
      </c>
      <c r="AB1668" s="637">
        <f t="shared" si="1547"/>
        <v>1088.0375000000001</v>
      </c>
      <c r="AC1668" s="637">
        <f t="shared" si="1547"/>
        <v>1099.3125</v>
      </c>
      <c r="AD1668" s="637">
        <f t="shared" si="1547"/>
        <v>1099.3125</v>
      </c>
      <c r="AE1668" s="637">
        <f t="shared" si="1547"/>
        <v>1099.3125</v>
      </c>
      <c r="AF1668" s="637">
        <f t="shared" si="1547"/>
        <v>1099.3125</v>
      </c>
      <c r="AH1668" s="635"/>
      <c r="AK1668" s="736"/>
      <c r="AM1668" s="737"/>
      <c r="AN1668" s="590"/>
      <c r="AP1668" s="636"/>
      <c r="AQ1668" s="636"/>
    </row>
    <row r="1669" spans="1:43" s="586" customFormat="1" ht="16.5" hidden="1" customHeight="1" outlineLevel="2">
      <c r="A1669" s="584"/>
      <c r="B1669" s="585" t="s">
        <v>805</v>
      </c>
      <c r="C1669" s="720">
        <f t="shared" ref="C1669:AF1669" si="1548">SUM(C19,C252,C423,C523,C625,C760,C1093)</f>
        <v>71</v>
      </c>
      <c r="D1669" s="720">
        <f t="shared" si="1548"/>
        <v>74</v>
      </c>
      <c r="E1669" s="720">
        <f t="shared" si="1548"/>
        <v>76</v>
      </c>
      <c r="F1669" s="720">
        <f t="shared" si="1548"/>
        <v>81</v>
      </c>
      <c r="G1669" s="720">
        <f t="shared" si="1548"/>
        <v>81</v>
      </c>
      <c r="H1669" s="720">
        <f t="shared" si="1548"/>
        <v>81</v>
      </c>
      <c r="I1669" s="720">
        <f t="shared" si="1548"/>
        <v>89.5</v>
      </c>
      <c r="J1669" s="720">
        <f t="shared" si="1548"/>
        <v>89.5</v>
      </c>
      <c r="K1669" s="720">
        <f t="shared" si="1548"/>
        <v>89.5</v>
      </c>
      <c r="L1669" s="720">
        <f t="shared" si="1548"/>
        <v>90.5</v>
      </c>
      <c r="M1669" s="720">
        <f t="shared" si="1548"/>
        <v>90.5</v>
      </c>
      <c r="N1669" s="720">
        <f t="shared" si="1548"/>
        <v>90.5</v>
      </c>
      <c r="O1669" s="720">
        <f t="shared" si="1548"/>
        <v>90.5</v>
      </c>
      <c r="P1669" s="720">
        <f t="shared" si="1548"/>
        <v>90.5</v>
      </c>
      <c r="Q1669" s="720">
        <f t="shared" si="1548"/>
        <v>90.5</v>
      </c>
      <c r="R1669" s="720">
        <f t="shared" si="1548"/>
        <v>90.5</v>
      </c>
      <c r="S1669" s="720">
        <f t="shared" si="1548"/>
        <v>90.5</v>
      </c>
      <c r="T1669" s="720">
        <f t="shared" si="1548"/>
        <v>90.5</v>
      </c>
      <c r="U1669" s="720">
        <f t="shared" si="1548"/>
        <v>96.5</v>
      </c>
      <c r="V1669" s="720">
        <f t="shared" si="1548"/>
        <v>96.5</v>
      </c>
      <c r="W1669" s="720">
        <f t="shared" si="1548"/>
        <v>96.5</v>
      </c>
      <c r="X1669" s="720">
        <f t="shared" si="1548"/>
        <v>96.5</v>
      </c>
      <c r="Y1669" s="720">
        <f t="shared" si="1548"/>
        <v>96.5</v>
      </c>
      <c r="Z1669" s="720">
        <f t="shared" si="1548"/>
        <v>96.5</v>
      </c>
      <c r="AA1669" s="720">
        <f t="shared" si="1548"/>
        <v>96.5</v>
      </c>
      <c r="AB1669" s="720">
        <f t="shared" si="1548"/>
        <v>96.5</v>
      </c>
      <c r="AC1669" s="720">
        <f t="shared" si="1548"/>
        <v>97.5</v>
      </c>
      <c r="AD1669" s="720">
        <f t="shared" si="1548"/>
        <v>97.5</v>
      </c>
      <c r="AE1669" s="720">
        <f t="shared" si="1548"/>
        <v>97.5</v>
      </c>
      <c r="AF1669" s="720">
        <f t="shared" si="1548"/>
        <v>97.5</v>
      </c>
      <c r="AG1669" s="622"/>
      <c r="AH1669" s="587"/>
      <c r="AK1669" s="726"/>
      <c r="AM1669" s="735"/>
      <c r="AN1669" s="590"/>
      <c r="AP1669" s="591"/>
      <c r="AQ1669" s="591"/>
    </row>
    <row r="1670" spans="1:43" s="586" customFormat="1" ht="16.5" hidden="1" customHeight="1" outlineLevel="2">
      <c r="A1670" s="584"/>
      <c r="B1670" s="585" t="s">
        <v>1066</v>
      </c>
      <c r="C1670" s="632">
        <f>Insumos!$E$125</f>
        <v>11.275</v>
      </c>
      <c r="D1670" s="632">
        <f>C1670</f>
        <v>11.275</v>
      </c>
      <c r="E1670" s="632">
        <f t="shared" ref="E1670:AF1670" si="1549">D1670</f>
        <v>11.275</v>
      </c>
      <c r="F1670" s="632">
        <f t="shared" si="1549"/>
        <v>11.275</v>
      </c>
      <c r="G1670" s="632">
        <f t="shared" si="1549"/>
        <v>11.275</v>
      </c>
      <c r="H1670" s="632">
        <f t="shared" si="1549"/>
        <v>11.275</v>
      </c>
      <c r="I1670" s="632">
        <f t="shared" si="1549"/>
        <v>11.275</v>
      </c>
      <c r="J1670" s="632">
        <f t="shared" si="1549"/>
        <v>11.275</v>
      </c>
      <c r="K1670" s="632">
        <f t="shared" si="1549"/>
        <v>11.275</v>
      </c>
      <c r="L1670" s="632">
        <f t="shared" si="1549"/>
        <v>11.275</v>
      </c>
      <c r="M1670" s="632">
        <f t="shared" si="1549"/>
        <v>11.275</v>
      </c>
      <c r="N1670" s="632">
        <f t="shared" si="1549"/>
        <v>11.275</v>
      </c>
      <c r="O1670" s="632">
        <f t="shared" si="1549"/>
        <v>11.275</v>
      </c>
      <c r="P1670" s="632">
        <f t="shared" si="1549"/>
        <v>11.275</v>
      </c>
      <c r="Q1670" s="632">
        <f t="shared" si="1549"/>
        <v>11.275</v>
      </c>
      <c r="R1670" s="632">
        <f t="shared" si="1549"/>
        <v>11.275</v>
      </c>
      <c r="S1670" s="632">
        <f t="shared" si="1549"/>
        <v>11.275</v>
      </c>
      <c r="T1670" s="632">
        <f t="shared" si="1549"/>
        <v>11.275</v>
      </c>
      <c r="U1670" s="632">
        <f t="shared" si="1549"/>
        <v>11.275</v>
      </c>
      <c r="V1670" s="632">
        <f t="shared" si="1549"/>
        <v>11.275</v>
      </c>
      <c r="W1670" s="632">
        <f t="shared" si="1549"/>
        <v>11.275</v>
      </c>
      <c r="X1670" s="632">
        <f t="shared" si="1549"/>
        <v>11.275</v>
      </c>
      <c r="Y1670" s="632">
        <f t="shared" si="1549"/>
        <v>11.275</v>
      </c>
      <c r="Z1670" s="632">
        <f t="shared" si="1549"/>
        <v>11.275</v>
      </c>
      <c r="AA1670" s="632">
        <f t="shared" si="1549"/>
        <v>11.275</v>
      </c>
      <c r="AB1670" s="632">
        <f t="shared" si="1549"/>
        <v>11.275</v>
      </c>
      <c r="AC1670" s="632">
        <f t="shared" si="1549"/>
        <v>11.275</v>
      </c>
      <c r="AD1670" s="632">
        <f t="shared" si="1549"/>
        <v>11.275</v>
      </c>
      <c r="AE1670" s="632">
        <f t="shared" si="1549"/>
        <v>11.275</v>
      </c>
      <c r="AF1670" s="632">
        <f t="shared" si="1549"/>
        <v>11.275</v>
      </c>
      <c r="AH1670" s="587"/>
      <c r="AK1670" s="726"/>
      <c r="AM1670" s="735"/>
      <c r="AN1670" s="590"/>
      <c r="AP1670" s="591"/>
      <c r="AQ1670" s="591"/>
    </row>
    <row r="1671" spans="1:43" s="634" customFormat="1" ht="16.5" hidden="1" customHeight="1" outlineLevel="2">
      <c r="A1671" s="584"/>
      <c r="B1671" s="580" t="s">
        <v>1096</v>
      </c>
      <c r="C1671" s="637">
        <f>C1672*C1673</f>
        <v>172.31</v>
      </c>
      <c r="D1671" s="637">
        <f t="shared" ref="D1671:AF1671" si="1550">D1672*D1673</f>
        <v>172.31</v>
      </c>
      <c r="E1671" s="637">
        <f t="shared" si="1550"/>
        <v>172.31</v>
      </c>
      <c r="F1671" s="637">
        <f t="shared" si="1550"/>
        <v>172.31</v>
      </c>
      <c r="G1671" s="637">
        <f t="shared" si="1550"/>
        <v>172.31</v>
      </c>
      <c r="H1671" s="637">
        <f t="shared" si="1550"/>
        <v>172.31</v>
      </c>
      <c r="I1671" s="637">
        <f t="shared" si="1550"/>
        <v>172.31</v>
      </c>
      <c r="J1671" s="637">
        <f t="shared" si="1550"/>
        <v>172.31</v>
      </c>
      <c r="K1671" s="637">
        <f t="shared" si="1550"/>
        <v>172.31</v>
      </c>
      <c r="L1671" s="637">
        <f t="shared" si="1550"/>
        <v>172.31</v>
      </c>
      <c r="M1671" s="637">
        <f t="shared" si="1550"/>
        <v>172.31</v>
      </c>
      <c r="N1671" s="637">
        <f t="shared" si="1550"/>
        <v>172.31</v>
      </c>
      <c r="O1671" s="637">
        <f t="shared" si="1550"/>
        <v>172.31</v>
      </c>
      <c r="P1671" s="637">
        <f t="shared" si="1550"/>
        <v>172.31</v>
      </c>
      <c r="Q1671" s="637">
        <f t="shared" si="1550"/>
        <v>172.31</v>
      </c>
      <c r="R1671" s="637">
        <f t="shared" si="1550"/>
        <v>172.31</v>
      </c>
      <c r="S1671" s="637">
        <f t="shared" si="1550"/>
        <v>172.31</v>
      </c>
      <c r="T1671" s="637">
        <f t="shared" si="1550"/>
        <v>172.31</v>
      </c>
      <c r="U1671" s="637">
        <f t="shared" si="1550"/>
        <v>172.31</v>
      </c>
      <c r="V1671" s="637">
        <f t="shared" si="1550"/>
        <v>172.31</v>
      </c>
      <c r="W1671" s="637">
        <f t="shared" si="1550"/>
        <v>172.31</v>
      </c>
      <c r="X1671" s="637">
        <f t="shared" si="1550"/>
        <v>172.31</v>
      </c>
      <c r="Y1671" s="637">
        <f t="shared" si="1550"/>
        <v>172.31</v>
      </c>
      <c r="Z1671" s="637">
        <f t="shared" si="1550"/>
        <v>172.31</v>
      </c>
      <c r="AA1671" s="637">
        <f t="shared" si="1550"/>
        <v>172.31</v>
      </c>
      <c r="AB1671" s="637">
        <f t="shared" si="1550"/>
        <v>172.31</v>
      </c>
      <c r="AC1671" s="637">
        <f t="shared" si="1550"/>
        <v>172.31</v>
      </c>
      <c r="AD1671" s="637">
        <f t="shared" si="1550"/>
        <v>172.31</v>
      </c>
      <c r="AE1671" s="637">
        <f t="shared" si="1550"/>
        <v>172.31</v>
      </c>
      <c r="AF1671" s="637">
        <f t="shared" si="1550"/>
        <v>172.31</v>
      </c>
      <c r="AH1671" s="635"/>
      <c r="AK1671" s="736"/>
      <c r="AM1671" s="737"/>
      <c r="AN1671" s="590"/>
      <c r="AP1671" s="636"/>
      <c r="AQ1671" s="636"/>
    </row>
    <row r="1672" spans="1:43" s="586" customFormat="1" ht="16.5" hidden="1" customHeight="1" outlineLevel="2">
      <c r="A1672" s="584"/>
      <c r="B1672" s="585" t="s">
        <v>805</v>
      </c>
      <c r="C1672" s="720">
        <v>1</v>
      </c>
      <c r="D1672" s="720">
        <f>C1672</f>
        <v>1</v>
      </c>
      <c r="E1672" s="720">
        <f t="shared" ref="E1672:T1673" si="1551">D1672</f>
        <v>1</v>
      </c>
      <c r="F1672" s="720">
        <f t="shared" si="1551"/>
        <v>1</v>
      </c>
      <c r="G1672" s="720">
        <f t="shared" si="1551"/>
        <v>1</v>
      </c>
      <c r="H1672" s="720">
        <f t="shared" si="1551"/>
        <v>1</v>
      </c>
      <c r="I1672" s="720">
        <f t="shared" si="1551"/>
        <v>1</v>
      </c>
      <c r="J1672" s="720">
        <f t="shared" si="1551"/>
        <v>1</v>
      </c>
      <c r="K1672" s="720">
        <f t="shared" si="1551"/>
        <v>1</v>
      </c>
      <c r="L1672" s="720">
        <f t="shared" si="1551"/>
        <v>1</v>
      </c>
      <c r="M1672" s="720">
        <f t="shared" si="1551"/>
        <v>1</v>
      </c>
      <c r="N1672" s="720">
        <f t="shared" si="1551"/>
        <v>1</v>
      </c>
      <c r="O1672" s="720">
        <f t="shared" si="1551"/>
        <v>1</v>
      </c>
      <c r="P1672" s="720">
        <f t="shared" si="1551"/>
        <v>1</v>
      </c>
      <c r="Q1672" s="720">
        <f t="shared" si="1551"/>
        <v>1</v>
      </c>
      <c r="R1672" s="720">
        <f t="shared" si="1551"/>
        <v>1</v>
      </c>
      <c r="S1672" s="720">
        <f t="shared" si="1551"/>
        <v>1</v>
      </c>
      <c r="T1672" s="720">
        <f t="shared" si="1551"/>
        <v>1</v>
      </c>
      <c r="U1672" s="720">
        <f t="shared" ref="U1672:AF1673" si="1552">T1672</f>
        <v>1</v>
      </c>
      <c r="V1672" s="720">
        <f t="shared" si="1552"/>
        <v>1</v>
      </c>
      <c r="W1672" s="720">
        <f t="shared" si="1552"/>
        <v>1</v>
      </c>
      <c r="X1672" s="720">
        <f t="shared" si="1552"/>
        <v>1</v>
      </c>
      <c r="Y1672" s="720">
        <f t="shared" si="1552"/>
        <v>1</v>
      </c>
      <c r="Z1672" s="720">
        <f t="shared" si="1552"/>
        <v>1</v>
      </c>
      <c r="AA1672" s="720">
        <f t="shared" si="1552"/>
        <v>1</v>
      </c>
      <c r="AB1672" s="720">
        <f t="shared" si="1552"/>
        <v>1</v>
      </c>
      <c r="AC1672" s="720">
        <f t="shared" si="1552"/>
        <v>1</v>
      </c>
      <c r="AD1672" s="720">
        <f t="shared" si="1552"/>
        <v>1</v>
      </c>
      <c r="AE1672" s="720">
        <f t="shared" si="1552"/>
        <v>1</v>
      </c>
      <c r="AF1672" s="720">
        <f t="shared" si="1552"/>
        <v>1</v>
      </c>
      <c r="AG1672" s="622"/>
      <c r="AH1672" s="587"/>
      <c r="AK1672" s="726"/>
      <c r="AM1672" s="735"/>
      <c r="AN1672" s="590"/>
      <c r="AP1672" s="591"/>
      <c r="AQ1672" s="591"/>
    </row>
    <row r="1673" spans="1:43" s="586" customFormat="1" ht="16.5" hidden="1" customHeight="1" outlineLevel="2">
      <c r="A1673" s="584"/>
      <c r="B1673" s="585" t="s">
        <v>888</v>
      </c>
      <c r="C1673" s="632">
        <f>Insumos!$E$120</f>
        <v>172.31</v>
      </c>
      <c r="D1673" s="632">
        <f>C1673</f>
        <v>172.31</v>
      </c>
      <c r="E1673" s="632">
        <f t="shared" si="1551"/>
        <v>172.31</v>
      </c>
      <c r="F1673" s="632">
        <f t="shared" si="1551"/>
        <v>172.31</v>
      </c>
      <c r="G1673" s="632">
        <f t="shared" si="1551"/>
        <v>172.31</v>
      </c>
      <c r="H1673" s="632">
        <f t="shared" si="1551"/>
        <v>172.31</v>
      </c>
      <c r="I1673" s="632">
        <f t="shared" si="1551"/>
        <v>172.31</v>
      </c>
      <c r="J1673" s="632">
        <f t="shared" si="1551"/>
        <v>172.31</v>
      </c>
      <c r="K1673" s="632">
        <f t="shared" si="1551"/>
        <v>172.31</v>
      </c>
      <c r="L1673" s="632">
        <f t="shared" si="1551"/>
        <v>172.31</v>
      </c>
      <c r="M1673" s="632">
        <f t="shared" si="1551"/>
        <v>172.31</v>
      </c>
      <c r="N1673" s="632">
        <f t="shared" si="1551"/>
        <v>172.31</v>
      </c>
      <c r="O1673" s="632">
        <f t="shared" si="1551"/>
        <v>172.31</v>
      </c>
      <c r="P1673" s="632">
        <f t="shared" si="1551"/>
        <v>172.31</v>
      </c>
      <c r="Q1673" s="632">
        <f t="shared" si="1551"/>
        <v>172.31</v>
      </c>
      <c r="R1673" s="632">
        <f t="shared" si="1551"/>
        <v>172.31</v>
      </c>
      <c r="S1673" s="632">
        <f t="shared" si="1551"/>
        <v>172.31</v>
      </c>
      <c r="T1673" s="632">
        <f t="shared" si="1551"/>
        <v>172.31</v>
      </c>
      <c r="U1673" s="632">
        <f t="shared" si="1552"/>
        <v>172.31</v>
      </c>
      <c r="V1673" s="632">
        <f t="shared" si="1552"/>
        <v>172.31</v>
      </c>
      <c r="W1673" s="632">
        <f t="shared" si="1552"/>
        <v>172.31</v>
      </c>
      <c r="X1673" s="632">
        <f t="shared" si="1552"/>
        <v>172.31</v>
      </c>
      <c r="Y1673" s="632">
        <f t="shared" si="1552"/>
        <v>172.31</v>
      </c>
      <c r="Z1673" s="632">
        <f t="shared" si="1552"/>
        <v>172.31</v>
      </c>
      <c r="AA1673" s="632">
        <f t="shared" si="1552"/>
        <v>172.31</v>
      </c>
      <c r="AB1673" s="632">
        <f t="shared" si="1552"/>
        <v>172.31</v>
      </c>
      <c r="AC1673" s="632">
        <f t="shared" si="1552"/>
        <v>172.31</v>
      </c>
      <c r="AD1673" s="632">
        <f t="shared" si="1552"/>
        <v>172.31</v>
      </c>
      <c r="AE1673" s="632">
        <f t="shared" si="1552"/>
        <v>172.31</v>
      </c>
      <c r="AF1673" s="632">
        <f t="shared" si="1552"/>
        <v>172.31</v>
      </c>
      <c r="AH1673" s="587"/>
      <c r="AK1673" s="726"/>
      <c r="AM1673" s="735"/>
      <c r="AN1673" s="590"/>
      <c r="AP1673" s="591"/>
      <c r="AQ1673" s="591"/>
    </row>
    <row r="1674" spans="1:43" s="634" customFormat="1" ht="16.5" hidden="1" customHeight="1" outlineLevel="2">
      <c r="A1674" s="584"/>
      <c r="B1674" s="580" t="s">
        <v>1097</v>
      </c>
      <c r="C1674" s="637">
        <f>C1675*C1676</f>
        <v>263.91750000000002</v>
      </c>
      <c r="D1674" s="637">
        <f t="shared" ref="D1674:AF1674" si="1553">D1675*D1676</f>
        <v>263.91750000000002</v>
      </c>
      <c r="E1674" s="637">
        <f t="shared" si="1553"/>
        <v>263.91750000000002</v>
      </c>
      <c r="F1674" s="637">
        <f t="shared" si="1553"/>
        <v>263.91750000000002</v>
      </c>
      <c r="G1674" s="637">
        <f t="shared" si="1553"/>
        <v>263.91750000000002</v>
      </c>
      <c r="H1674" s="637">
        <f t="shared" si="1553"/>
        <v>263.91750000000002</v>
      </c>
      <c r="I1674" s="637">
        <f t="shared" si="1553"/>
        <v>263.91750000000002</v>
      </c>
      <c r="J1674" s="637">
        <f t="shared" si="1553"/>
        <v>263.91750000000002</v>
      </c>
      <c r="K1674" s="637">
        <f t="shared" si="1553"/>
        <v>263.91750000000002</v>
      </c>
      <c r="L1674" s="637">
        <f t="shared" si="1553"/>
        <v>263.91750000000002</v>
      </c>
      <c r="M1674" s="637">
        <f t="shared" si="1553"/>
        <v>263.91750000000002</v>
      </c>
      <c r="N1674" s="637">
        <f t="shared" si="1553"/>
        <v>263.91750000000002</v>
      </c>
      <c r="O1674" s="637">
        <f t="shared" si="1553"/>
        <v>263.91750000000002</v>
      </c>
      <c r="P1674" s="637">
        <f t="shared" si="1553"/>
        <v>263.91750000000002</v>
      </c>
      <c r="Q1674" s="637">
        <f t="shared" si="1553"/>
        <v>263.91750000000002</v>
      </c>
      <c r="R1674" s="637">
        <f t="shared" si="1553"/>
        <v>263.91750000000002</v>
      </c>
      <c r="S1674" s="637">
        <f t="shared" si="1553"/>
        <v>263.91750000000002</v>
      </c>
      <c r="T1674" s="637">
        <f t="shared" si="1553"/>
        <v>263.91750000000002</v>
      </c>
      <c r="U1674" s="637">
        <f t="shared" si="1553"/>
        <v>263.91750000000002</v>
      </c>
      <c r="V1674" s="637">
        <f t="shared" si="1553"/>
        <v>263.91750000000002</v>
      </c>
      <c r="W1674" s="637">
        <f t="shared" si="1553"/>
        <v>263.91750000000002</v>
      </c>
      <c r="X1674" s="637">
        <f t="shared" si="1553"/>
        <v>263.91750000000002</v>
      </c>
      <c r="Y1674" s="637">
        <f t="shared" si="1553"/>
        <v>263.91750000000002</v>
      </c>
      <c r="Z1674" s="637">
        <f t="shared" si="1553"/>
        <v>263.91750000000002</v>
      </c>
      <c r="AA1674" s="637">
        <f t="shared" si="1553"/>
        <v>263.91750000000002</v>
      </c>
      <c r="AB1674" s="637">
        <f t="shared" si="1553"/>
        <v>263.91750000000002</v>
      </c>
      <c r="AC1674" s="637">
        <f t="shared" si="1553"/>
        <v>263.91750000000002</v>
      </c>
      <c r="AD1674" s="637">
        <f t="shared" si="1553"/>
        <v>263.91750000000002</v>
      </c>
      <c r="AE1674" s="637">
        <f t="shared" si="1553"/>
        <v>263.91750000000002</v>
      </c>
      <c r="AF1674" s="637">
        <f t="shared" si="1553"/>
        <v>263.91750000000002</v>
      </c>
      <c r="AH1674" s="635"/>
      <c r="AK1674" s="736"/>
      <c r="AM1674" s="737"/>
      <c r="AN1674" s="590"/>
      <c r="AP1674" s="636"/>
      <c r="AQ1674" s="636"/>
    </row>
    <row r="1675" spans="1:43" s="586" customFormat="1" ht="16.5" hidden="1" customHeight="1" outlineLevel="2">
      <c r="A1675" s="584"/>
      <c r="B1675" s="585" t="s">
        <v>805</v>
      </c>
      <c r="C1675" s="720">
        <v>1</v>
      </c>
      <c r="D1675" s="720">
        <v>1</v>
      </c>
      <c r="E1675" s="720">
        <v>1</v>
      </c>
      <c r="F1675" s="720">
        <v>1</v>
      </c>
      <c r="G1675" s="720">
        <v>1</v>
      </c>
      <c r="H1675" s="720">
        <v>1</v>
      </c>
      <c r="I1675" s="720">
        <v>1</v>
      </c>
      <c r="J1675" s="720">
        <v>1</v>
      </c>
      <c r="K1675" s="720">
        <v>1</v>
      </c>
      <c r="L1675" s="720">
        <v>1</v>
      </c>
      <c r="M1675" s="720">
        <v>1</v>
      </c>
      <c r="N1675" s="720">
        <v>1</v>
      </c>
      <c r="O1675" s="720">
        <v>1</v>
      </c>
      <c r="P1675" s="720">
        <v>1</v>
      </c>
      <c r="Q1675" s="720">
        <v>1</v>
      </c>
      <c r="R1675" s="720">
        <v>1</v>
      </c>
      <c r="S1675" s="720">
        <v>1</v>
      </c>
      <c r="T1675" s="720">
        <v>1</v>
      </c>
      <c r="U1675" s="720">
        <v>1</v>
      </c>
      <c r="V1675" s="720">
        <v>1</v>
      </c>
      <c r="W1675" s="720">
        <v>1</v>
      </c>
      <c r="X1675" s="720">
        <v>1</v>
      </c>
      <c r="Y1675" s="720">
        <v>1</v>
      </c>
      <c r="Z1675" s="720">
        <v>1</v>
      </c>
      <c r="AA1675" s="720">
        <v>1</v>
      </c>
      <c r="AB1675" s="720">
        <v>1</v>
      </c>
      <c r="AC1675" s="720">
        <v>1</v>
      </c>
      <c r="AD1675" s="720">
        <v>1</v>
      </c>
      <c r="AE1675" s="720">
        <v>1</v>
      </c>
      <c r="AF1675" s="720">
        <v>1</v>
      </c>
      <c r="AG1675" s="622"/>
      <c r="AH1675" s="587"/>
      <c r="AK1675" s="726"/>
      <c r="AM1675" s="735"/>
      <c r="AN1675" s="590"/>
      <c r="AP1675" s="591"/>
      <c r="AQ1675" s="591"/>
    </row>
    <row r="1676" spans="1:43" s="586" customFormat="1" ht="16.5" hidden="1" customHeight="1" outlineLevel="2">
      <c r="A1676" s="584"/>
      <c r="B1676" s="585" t="s">
        <v>888</v>
      </c>
      <c r="C1676" s="632">
        <f>Insumos!$E$129</f>
        <v>263.91750000000002</v>
      </c>
      <c r="D1676" s="632">
        <f>C1676</f>
        <v>263.91750000000002</v>
      </c>
      <c r="E1676" s="632">
        <f t="shared" ref="E1676:AF1676" si="1554">D1676</f>
        <v>263.91750000000002</v>
      </c>
      <c r="F1676" s="632">
        <f t="shared" si="1554"/>
        <v>263.91750000000002</v>
      </c>
      <c r="G1676" s="632">
        <f t="shared" si="1554"/>
        <v>263.91750000000002</v>
      </c>
      <c r="H1676" s="632">
        <f t="shared" si="1554"/>
        <v>263.91750000000002</v>
      </c>
      <c r="I1676" s="632">
        <f t="shared" si="1554"/>
        <v>263.91750000000002</v>
      </c>
      <c r="J1676" s="632">
        <f t="shared" si="1554"/>
        <v>263.91750000000002</v>
      </c>
      <c r="K1676" s="632">
        <f t="shared" si="1554"/>
        <v>263.91750000000002</v>
      </c>
      <c r="L1676" s="632">
        <f t="shared" si="1554"/>
        <v>263.91750000000002</v>
      </c>
      <c r="M1676" s="632">
        <f t="shared" si="1554"/>
        <v>263.91750000000002</v>
      </c>
      <c r="N1676" s="632">
        <f t="shared" si="1554"/>
        <v>263.91750000000002</v>
      </c>
      <c r="O1676" s="632">
        <f t="shared" si="1554"/>
        <v>263.91750000000002</v>
      </c>
      <c r="P1676" s="632">
        <f t="shared" si="1554"/>
        <v>263.91750000000002</v>
      </c>
      <c r="Q1676" s="632">
        <f t="shared" si="1554"/>
        <v>263.91750000000002</v>
      </c>
      <c r="R1676" s="632">
        <f t="shared" si="1554"/>
        <v>263.91750000000002</v>
      </c>
      <c r="S1676" s="632">
        <f t="shared" si="1554"/>
        <v>263.91750000000002</v>
      </c>
      <c r="T1676" s="632">
        <f t="shared" si="1554"/>
        <v>263.91750000000002</v>
      </c>
      <c r="U1676" s="632">
        <f t="shared" si="1554"/>
        <v>263.91750000000002</v>
      </c>
      <c r="V1676" s="632">
        <f t="shared" si="1554"/>
        <v>263.91750000000002</v>
      </c>
      <c r="W1676" s="632">
        <f t="shared" si="1554"/>
        <v>263.91750000000002</v>
      </c>
      <c r="X1676" s="632">
        <f t="shared" si="1554"/>
        <v>263.91750000000002</v>
      </c>
      <c r="Y1676" s="632">
        <f t="shared" si="1554"/>
        <v>263.91750000000002</v>
      </c>
      <c r="Z1676" s="632">
        <f t="shared" si="1554"/>
        <v>263.91750000000002</v>
      </c>
      <c r="AA1676" s="632">
        <f t="shared" si="1554"/>
        <v>263.91750000000002</v>
      </c>
      <c r="AB1676" s="632">
        <f t="shared" si="1554"/>
        <v>263.91750000000002</v>
      </c>
      <c r="AC1676" s="632">
        <f t="shared" si="1554"/>
        <v>263.91750000000002</v>
      </c>
      <c r="AD1676" s="632">
        <f t="shared" si="1554"/>
        <v>263.91750000000002</v>
      </c>
      <c r="AE1676" s="632">
        <f t="shared" si="1554"/>
        <v>263.91750000000002</v>
      </c>
      <c r="AF1676" s="632">
        <f t="shared" si="1554"/>
        <v>263.91750000000002</v>
      </c>
      <c r="AH1676" s="587"/>
      <c r="AK1676" s="726"/>
      <c r="AM1676" s="735"/>
      <c r="AN1676" s="590"/>
      <c r="AP1676" s="591"/>
      <c r="AQ1676" s="591"/>
    </row>
    <row r="1677" spans="1:43" s="634" customFormat="1" ht="16.5" hidden="1" customHeight="1" outlineLevel="2">
      <c r="A1677" s="584"/>
      <c r="B1677" s="580" t="s">
        <v>1098</v>
      </c>
      <c r="C1677" s="637">
        <f>C1678*C1679</f>
        <v>750</v>
      </c>
      <c r="D1677" s="637">
        <f t="shared" ref="D1677:AF1677" si="1555">D1678*D1679</f>
        <v>750</v>
      </c>
      <c r="E1677" s="637">
        <f t="shared" si="1555"/>
        <v>750</v>
      </c>
      <c r="F1677" s="637">
        <f t="shared" si="1555"/>
        <v>750</v>
      </c>
      <c r="G1677" s="637">
        <f t="shared" si="1555"/>
        <v>750</v>
      </c>
      <c r="H1677" s="637">
        <f t="shared" si="1555"/>
        <v>750</v>
      </c>
      <c r="I1677" s="637">
        <f t="shared" si="1555"/>
        <v>750</v>
      </c>
      <c r="J1677" s="637">
        <f t="shared" si="1555"/>
        <v>750</v>
      </c>
      <c r="K1677" s="637">
        <f t="shared" si="1555"/>
        <v>750</v>
      </c>
      <c r="L1677" s="637">
        <f t="shared" si="1555"/>
        <v>750</v>
      </c>
      <c r="M1677" s="637">
        <f t="shared" si="1555"/>
        <v>750</v>
      </c>
      <c r="N1677" s="637">
        <f t="shared" si="1555"/>
        <v>750</v>
      </c>
      <c r="O1677" s="637">
        <f t="shared" si="1555"/>
        <v>750</v>
      </c>
      <c r="P1677" s="637">
        <f t="shared" si="1555"/>
        <v>750</v>
      </c>
      <c r="Q1677" s="637">
        <f t="shared" si="1555"/>
        <v>750</v>
      </c>
      <c r="R1677" s="637">
        <f t="shared" si="1555"/>
        <v>750</v>
      </c>
      <c r="S1677" s="637">
        <f t="shared" si="1555"/>
        <v>750</v>
      </c>
      <c r="T1677" s="637">
        <f t="shared" si="1555"/>
        <v>750</v>
      </c>
      <c r="U1677" s="637">
        <f t="shared" si="1555"/>
        <v>750</v>
      </c>
      <c r="V1677" s="637">
        <f t="shared" si="1555"/>
        <v>750</v>
      </c>
      <c r="W1677" s="637">
        <f t="shared" si="1555"/>
        <v>750</v>
      </c>
      <c r="X1677" s="637">
        <f t="shared" si="1555"/>
        <v>750</v>
      </c>
      <c r="Y1677" s="637">
        <f t="shared" si="1555"/>
        <v>750</v>
      </c>
      <c r="Z1677" s="637">
        <f t="shared" si="1555"/>
        <v>750</v>
      </c>
      <c r="AA1677" s="637">
        <f t="shared" si="1555"/>
        <v>750</v>
      </c>
      <c r="AB1677" s="637">
        <f t="shared" si="1555"/>
        <v>750</v>
      </c>
      <c r="AC1677" s="637">
        <f t="shared" si="1555"/>
        <v>750</v>
      </c>
      <c r="AD1677" s="637">
        <f t="shared" si="1555"/>
        <v>750</v>
      </c>
      <c r="AE1677" s="637">
        <f t="shared" si="1555"/>
        <v>750</v>
      </c>
      <c r="AF1677" s="637">
        <f t="shared" si="1555"/>
        <v>750</v>
      </c>
      <c r="AH1677" s="635"/>
      <c r="AK1677" s="736"/>
      <c r="AM1677" s="737"/>
      <c r="AN1677" s="590"/>
      <c r="AP1677" s="636"/>
      <c r="AQ1677" s="636"/>
    </row>
    <row r="1678" spans="1:43" s="586" customFormat="1" ht="16.5" hidden="1" customHeight="1" outlineLevel="2">
      <c r="A1678" s="584"/>
      <c r="B1678" s="585" t="s">
        <v>805</v>
      </c>
      <c r="C1678" s="720">
        <v>1</v>
      </c>
      <c r="D1678" s="720">
        <f>C1678</f>
        <v>1</v>
      </c>
      <c r="E1678" s="720">
        <f t="shared" ref="E1678:T1679" si="1556">D1678</f>
        <v>1</v>
      </c>
      <c r="F1678" s="720">
        <f t="shared" si="1556"/>
        <v>1</v>
      </c>
      <c r="G1678" s="720">
        <f t="shared" si="1556"/>
        <v>1</v>
      </c>
      <c r="H1678" s="720">
        <f t="shared" si="1556"/>
        <v>1</v>
      </c>
      <c r="I1678" s="720">
        <f t="shared" si="1556"/>
        <v>1</v>
      </c>
      <c r="J1678" s="720">
        <f t="shared" si="1556"/>
        <v>1</v>
      </c>
      <c r="K1678" s="720">
        <f t="shared" si="1556"/>
        <v>1</v>
      </c>
      <c r="L1678" s="720">
        <f t="shared" si="1556"/>
        <v>1</v>
      </c>
      <c r="M1678" s="720">
        <f t="shared" si="1556"/>
        <v>1</v>
      </c>
      <c r="N1678" s="720">
        <f t="shared" si="1556"/>
        <v>1</v>
      </c>
      <c r="O1678" s="720">
        <f t="shared" si="1556"/>
        <v>1</v>
      </c>
      <c r="P1678" s="720">
        <f t="shared" si="1556"/>
        <v>1</v>
      </c>
      <c r="Q1678" s="720">
        <f t="shared" si="1556"/>
        <v>1</v>
      </c>
      <c r="R1678" s="720">
        <f t="shared" si="1556"/>
        <v>1</v>
      </c>
      <c r="S1678" s="720">
        <f t="shared" si="1556"/>
        <v>1</v>
      </c>
      <c r="T1678" s="720">
        <f t="shared" si="1556"/>
        <v>1</v>
      </c>
      <c r="U1678" s="720">
        <f t="shared" ref="U1678:AF1679" si="1557">T1678</f>
        <v>1</v>
      </c>
      <c r="V1678" s="720">
        <f t="shared" si="1557"/>
        <v>1</v>
      </c>
      <c r="W1678" s="720">
        <f t="shared" si="1557"/>
        <v>1</v>
      </c>
      <c r="X1678" s="720">
        <f t="shared" si="1557"/>
        <v>1</v>
      </c>
      <c r="Y1678" s="720">
        <f t="shared" si="1557"/>
        <v>1</v>
      </c>
      <c r="Z1678" s="720">
        <f t="shared" si="1557"/>
        <v>1</v>
      </c>
      <c r="AA1678" s="720">
        <f t="shared" si="1557"/>
        <v>1</v>
      </c>
      <c r="AB1678" s="720">
        <f t="shared" si="1557"/>
        <v>1</v>
      </c>
      <c r="AC1678" s="720">
        <f t="shared" si="1557"/>
        <v>1</v>
      </c>
      <c r="AD1678" s="720">
        <f t="shared" si="1557"/>
        <v>1</v>
      </c>
      <c r="AE1678" s="720">
        <f t="shared" si="1557"/>
        <v>1</v>
      </c>
      <c r="AF1678" s="720">
        <f t="shared" si="1557"/>
        <v>1</v>
      </c>
      <c r="AG1678" s="622"/>
      <c r="AH1678" s="587"/>
      <c r="AK1678" s="726"/>
      <c r="AM1678" s="735"/>
      <c r="AN1678" s="590"/>
      <c r="AP1678" s="591"/>
      <c r="AQ1678" s="591"/>
    </row>
    <row r="1679" spans="1:43" s="586" customFormat="1" ht="16.5" hidden="1" customHeight="1" outlineLevel="2">
      <c r="A1679" s="584"/>
      <c r="B1679" s="585" t="s">
        <v>888</v>
      </c>
      <c r="C1679" s="632">
        <f>Insumos!$E$141</f>
        <v>750</v>
      </c>
      <c r="D1679" s="632">
        <f>C1679</f>
        <v>750</v>
      </c>
      <c r="E1679" s="632">
        <f t="shared" si="1556"/>
        <v>750</v>
      </c>
      <c r="F1679" s="632">
        <f t="shared" si="1556"/>
        <v>750</v>
      </c>
      <c r="G1679" s="632">
        <f t="shared" si="1556"/>
        <v>750</v>
      </c>
      <c r="H1679" s="632">
        <f t="shared" si="1556"/>
        <v>750</v>
      </c>
      <c r="I1679" s="632">
        <f t="shared" si="1556"/>
        <v>750</v>
      </c>
      <c r="J1679" s="632">
        <f t="shared" si="1556"/>
        <v>750</v>
      </c>
      <c r="K1679" s="632">
        <f t="shared" si="1556"/>
        <v>750</v>
      </c>
      <c r="L1679" s="632">
        <f t="shared" si="1556"/>
        <v>750</v>
      </c>
      <c r="M1679" s="632">
        <f t="shared" si="1556"/>
        <v>750</v>
      </c>
      <c r="N1679" s="632">
        <f t="shared" si="1556"/>
        <v>750</v>
      </c>
      <c r="O1679" s="632">
        <f t="shared" si="1556"/>
        <v>750</v>
      </c>
      <c r="P1679" s="632">
        <f t="shared" si="1556"/>
        <v>750</v>
      </c>
      <c r="Q1679" s="632">
        <f t="shared" si="1556"/>
        <v>750</v>
      </c>
      <c r="R1679" s="632">
        <f t="shared" si="1556"/>
        <v>750</v>
      </c>
      <c r="S1679" s="632">
        <f t="shared" si="1556"/>
        <v>750</v>
      </c>
      <c r="T1679" s="632">
        <f t="shared" si="1556"/>
        <v>750</v>
      </c>
      <c r="U1679" s="632">
        <f t="shared" si="1557"/>
        <v>750</v>
      </c>
      <c r="V1679" s="632">
        <f t="shared" si="1557"/>
        <v>750</v>
      </c>
      <c r="W1679" s="632">
        <f t="shared" si="1557"/>
        <v>750</v>
      </c>
      <c r="X1679" s="632">
        <f t="shared" si="1557"/>
        <v>750</v>
      </c>
      <c r="Y1679" s="632">
        <f t="shared" si="1557"/>
        <v>750</v>
      </c>
      <c r="Z1679" s="632">
        <f t="shared" si="1557"/>
        <v>750</v>
      </c>
      <c r="AA1679" s="632">
        <f t="shared" si="1557"/>
        <v>750</v>
      </c>
      <c r="AB1679" s="632">
        <f t="shared" si="1557"/>
        <v>750</v>
      </c>
      <c r="AC1679" s="632">
        <f t="shared" si="1557"/>
        <v>750</v>
      </c>
      <c r="AD1679" s="632">
        <f t="shared" si="1557"/>
        <v>750</v>
      </c>
      <c r="AE1679" s="632">
        <f t="shared" si="1557"/>
        <v>750</v>
      </c>
      <c r="AF1679" s="632">
        <f t="shared" si="1557"/>
        <v>750</v>
      </c>
      <c r="AH1679" s="587"/>
      <c r="AK1679" s="726"/>
      <c r="AM1679" s="735"/>
      <c r="AN1679" s="590"/>
      <c r="AP1679" s="591"/>
      <c r="AQ1679" s="591"/>
    </row>
    <row r="1680" spans="1:43" s="726" customFormat="1" ht="16.5" hidden="1" customHeight="1" outlineLevel="1" collapsed="1">
      <c r="A1680" s="584"/>
      <c r="B1680" s="665" t="s">
        <v>890</v>
      </c>
      <c r="C1680" s="734">
        <f>SUM(C1681)*12/10^3</f>
        <v>15.134908500000002</v>
      </c>
      <c r="D1680" s="734">
        <f t="shared" ref="D1680:AF1680" si="1558">SUM(D1681)*12/10^3</f>
        <v>15.134908500000002</v>
      </c>
      <c r="E1680" s="734">
        <f t="shared" si="1558"/>
        <v>15.134908500000002</v>
      </c>
      <c r="F1680" s="734">
        <f t="shared" si="1558"/>
        <v>15.134908500000002</v>
      </c>
      <c r="G1680" s="734">
        <f t="shared" si="1558"/>
        <v>15.134908500000002</v>
      </c>
      <c r="H1680" s="734">
        <f t="shared" si="1558"/>
        <v>15.134908500000002</v>
      </c>
      <c r="I1680" s="734">
        <f t="shared" si="1558"/>
        <v>15.134908500000002</v>
      </c>
      <c r="J1680" s="734">
        <f t="shared" si="1558"/>
        <v>15.134908500000002</v>
      </c>
      <c r="K1680" s="734">
        <f t="shared" si="1558"/>
        <v>15.134908500000002</v>
      </c>
      <c r="L1680" s="734">
        <f t="shared" si="1558"/>
        <v>15.134908500000002</v>
      </c>
      <c r="M1680" s="734">
        <f t="shared" si="1558"/>
        <v>15.134908500000002</v>
      </c>
      <c r="N1680" s="734">
        <f t="shared" si="1558"/>
        <v>15.134908500000002</v>
      </c>
      <c r="O1680" s="734">
        <f t="shared" si="1558"/>
        <v>15.134908500000002</v>
      </c>
      <c r="P1680" s="734">
        <f t="shared" si="1558"/>
        <v>15.134908500000002</v>
      </c>
      <c r="Q1680" s="734">
        <f t="shared" si="1558"/>
        <v>15.134908500000002</v>
      </c>
      <c r="R1680" s="734">
        <f t="shared" si="1558"/>
        <v>15.134908500000002</v>
      </c>
      <c r="S1680" s="734">
        <f t="shared" si="1558"/>
        <v>15.134908500000002</v>
      </c>
      <c r="T1680" s="734">
        <f t="shared" si="1558"/>
        <v>15.134908500000002</v>
      </c>
      <c r="U1680" s="734">
        <f t="shared" si="1558"/>
        <v>15.134908500000002</v>
      </c>
      <c r="V1680" s="734">
        <f t="shared" si="1558"/>
        <v>15.134908500000002</v>
      </c>
      <c r="W1680" s="734">
        <f t="shared" si="1558"/>
        <v>15.134908500000002</v>
      </c>
      <c r="X1680" s="734">
        <f t="shared" si="1558"/>
        <v>15.134908500000002</v>
      </c>
      <c r="Y1680" s="734">
        <f t="shared" si="1558"/>
        <v>15.134908500000002</v>
      </c>
      <c r="Z1680" s="734">
        <f t="shared" si="1558"/>
        <v>15.134908500000002</v>
      </c>
      <c r="AA1680" s="734">
        <f t="shared" si="1558"/>
        <v>15.134908500000002</v>
      </c>
      <c r="AB1680" s="734">
        <f t="shared" si="1558"/>
        <v>15.134908500000002</v>
      </c>
      <c r="AC1680" s="734">
        <f t="shared" si="1558"/>
        <v>15.134908500000002</v>
      </c>
      <c r="AD1680" s="734">
        <f t="shared" si="1558"/>
        <v>15.134908500000002</v>
      </c>
      <c r="AE1680" s="734">
        <f t="shared" si="1558"/>
        <v>15.134908500000002</v>
      </c>
      <c r="AF1680" s="734">
        <f t="shared" si="1558"/>
        <v>15.134908500000002</v>
      </c>
      <c r="AH1680" s="728">
        <f>SUM(C1680:AF1680)</f>
        <v>454.04725499999989</v>
      </c>
      <c r="AJ1680" s="729"/>
      <c r="AM1680" s="701"/>
      <c r="AN1680" s="590"/>
      <c r="AP1680" s="588"/>
      <c r="AQ1680" s="588"/>
    </row>
    <row r="1681" spans="1:43" s="513" customFormat="1" ht="16.5" hidden="1" customHeight="1" outlineLevel="2">
      <c r="A1681" s="584"/>
      <c r="B1681" s="569" t="s">
        <v>1099</v>
      </c>
      <c r="C1681" s="574">
        <f>C1682*C1683</f>
        <v>1261.242375</v>
      </c>
      <c r="D1681" s="574">
        <f t="shared" ref="D1681:AF1681" si="1559">D1682*D1683</f>
        <v>1261.242375</v>
      </c>
      <c r="E1681" s="574">
        <f t="shared" si="1559"/>
        <v>1261.242375</v>
      </c>
      <c r="F1681" s="574">
        <f t="shared" si="1559"/>
        <v>1261.242375</v>
      </c>
      <c r="G1681" s="574">
        <f t="shared" si="1559"/>
        <v>1261.242375</v>
      </c>
      <c r="H1681" s="574">
        <f>H1682*H1683</f>
        <v>1261.242375</v>
      </c>
      <c r="I1681" s="574">
        <f t="shared" si="1559"/>
        <v>1261.242375</v>
      </c>
      <c r="J1681" s="574">
        <f t="shared" si="1559"/>
        <v>1261.242375</v>
      </c>
      <c r="K1681" s="574">
        <f t="shared" si="1559"/>
        <v>1261.242375</v>
      </c>
      <c r="L1681" s="574">
        <f t="shared" si="1559"/>
        <v>1261.242375</v>
      </c>
      <c r="M1681" s="574">
        <f t="shared" si="1559"/>
        <v>1261.242375</v>
      </c>
      <c r="N1681" s="574">
        <f t="shared" si="1559"/>
        <v>1261.242375</v>
      </c>
      <c r="O1681" s="574">
        <f t="shared" si="1559"/>
        <v>1261.242375</v>
      </c>
      <c r="P1681" s="574">
        <f t="shared" si="1559"/>
        <v>1261.242375</v>
      </c>
      <c r="Q1681" s="574">
        <f t="shared" si="1559"/>
        <v>1261.242375</v>
      </c>
      <c r="R1681" s="574">
        <f t="shared" si="1559"/>
        <v>1261.242375</v>
      </c>
      <c r="S1681" s="574">
        <f t="shared" si="1559"/>
        <v>1261.242375</v>
      </c>
      <c r="T1681" s="574">
        <f t="shared" si="1559"/>
        <v>1261.242375</v>
      </c>
      <c r="U1681" s="574">
        <f t="shared" si="1559"/>
        <v>1261.242375</v>
      </c>
      <c r="V1681" s="574">
        <f t="shared" si="1559"/>
        <v>1261.242375</v>
      </c>
      <c r="W1681" s="574">
        <f t="shared" si="1559"/>
        <v>1261.242375</v>
      </c>
      <c r="X1681" s="574">
        <f t="shared" si="1559"/>
        <v>1261.242375</v>
      </c>
      <c r="Y1681" s="574">
        <f t="shared" si="1559"/>
        <v>1261.242375</v>
      </c>
      <c r="Z1681" s="574">
        <f t="shared" si="1559"/>
        <v>1261.242375</v>
      </c>
      <c r="AA1681" s="574">
        <f t="shared" si="1559"/>
        <v>1261.242375</v>
      </c>
      <c r="AB1681" s="574">
        <f t="shared" si="1559"/>
        <v>1261.242375</v>
      </c>
      <c r="AC1681" s="574">
        <f t="shared" si="1559"/>
        <v>1261.242375</v>
      </c>
      <c r="AD1681" s="574">
        <f t="shared" si="1559"/>
        <v>1261.242375</v>
      </c>
      <c r="AE1681" s="574">
        <f t="shared" si="1559"/>
        <v>1261.242375</v>
      </c>
      <c r="AF1681" s="574">
        <f t="shared" si="1559"/>
        <v>1261.242375</v>
      </c>
      <c r="AH1681" s="538"/>
      <c r="AK1681" s="515"/>
      <c r="AM1681" s="526"/>
      <c r="AN1681" s="535"/>
      <c r="AP1681" s="540"/>
      <c r="AQ1681" s="540"/>
    </row>
    <row r="1682" spans="1:43" s="513" customFormat="1" ht="16.5" hidden="1" customHeight="1" outlineLevel="2">
      <c r="A1682" s="584"/>
      <c r="B1682" s="572" t="s">
        <v>805</v>
      </c>
      <c r="C1682" s="643">
        <v>1</v>
      </c>
      <c r="D1682" s="643">
        <f>C1682</f>
        <v>1</v>
      </c>
      <c r="E1682" s="643">
        <f t="shared" ref="E1682:T1683" si="1560">D1682</f>
        <v>1</v>
      </c>
      <c r="F1682" s="643">
        <f t="shared" si="1560"/>
        <v>1</v>
      </c>
      <c r="G1682" s="643">
        <f t="shared" si="1560"/>
        <v>1</v>
      </c>
      <c r="H1682" s="643">
        <f t="shared" si="1560"/>
        <v>1</v>
      </c>
      <c r="I1682" s="643">
        <f t="shared" si="1560"/>
        <v>1</v>
      </c>
      <c r="J1682" s="643">
        <f t="shared" si="1560"/>
        <v>1</v>
      </c>
      <c r="K1682" s="643">
        <f t="shared" si="1560"/>
        <v>1</v>
      </c>
      <c r="L1682" s="643">
        <f t="shared" si="1560"/>
        <v>1</v>
      </c>
      <c r="M1682" s="643">
        <f t="shared" si="1560"/>
        <v>1</v>
      </c>
      <c r="N1682" s="643">
        <f t="shared" si="1560"/>
        <v>1</v>
      </c>
      <c r="O1682" s="643">
        <f t="shared" si="1560"/>
        <v>1</v>
      </c>
      <c r="P1682" s="643">
        <f t="shared" si="1560"/>
        <v>1</v>
      </c>
      <c r="Q1682" s="643">
        <f t="shared" si="1560"/>
        <v>1</v>
      </c>
      <c r="R1682" s="643">
        <f t="shared" si="1560"/>
        <v>1</v>
      </c>
      <c r="S1682" s="643">
        <f t="shared" si="1560"/>
        <v>1</v>
      </c>
      <c r="T1682" s="643">
        <f t="shared" si="1560"/>
        <v>1</v>
      </c>
      <c r="U1682" s="643">
        <f t="shared" ref="U1682:AD1683" si="1561">T1682</f>
        <v>1</v>
      </c>
      <c r="V1682" s="643">
        <f t="shared" si="1561"/>
        <v>1</v>
      </c>
      <c r="W1682" s="643">
        <f t="shared" si="1561"/>
        <v>1</v>
      </c>
      <c r="X1682" s="643">
        <f t="shared" si="1561"/>
        <v>1</v>
      </c>
      <c r="Y1682" s="643">
        <f t="shared" si="1561"/>
        <v>1</v>
      </c>
      <c r="Z1682" s="643">
        <f t="shared" si="1561"/>
        <v>1</v>
      </c>
      <c r="AA1682" s="643">
        <f t="shared" si="1561"/>
        <v>1</v>
      </c>
      <c r="AB1682" s="643">
        <f t="shared" si="1561"/>
        <v>1</v>
      </c>
      <c r="AC1682" s="643">
        <f t="shared" si="1561"/>
        <v>1</v>
      </c>
      <c r="AD1682" s="643">
        <f>AC1682</f>
        <v>1</v>
      </c>
      <c r="AE1682" s="643">
        <f t="shared" ref="AE1682:AF1683" si="1562">AD1682</f>
        <v>1</v>
      </c>
      <c r="AF1682" s="643">
        <f t="shared" si="1562"/>
        <v>1</v>
      </c>
      <c r="AH1682" s="538"/>
      <c r="AK1682" s="515"/>
      <c r="AM1682" s="526"/>
      <c r="AN1682" s="535"/>
      <c r="AP1682" s="540"/>
      <c r="AQ1682" s="540"/>
    </row>
    <row r="1683" spans="1:43" s="513" customFormat="1" ht="16.5" hidden="1" customHeight="1" outlineLevel="2">
      <c r="A1683" s="584"/>
      <c r="B1683" s="572" t="s">
        <v>888</v>
      </c>
      <c r="C1683" s="574">
        <f>CAPEX!$C$217*(0.83%+0.42%)</f>
        <v>1261.242375</v>
      </c>
      <c r="D1683" s="574">
        <f>C1683</f>
        <v>1261.242375</v>
      </c>
      <c r="E1683" s="574">
        <f t="shared" si="1560"/>
        <v>1261.242375</v>
      </c>
      <c r="F1683" s="574">
        <f t="shared" si="1560"/>
        <v>1261.242375</v>
      </c>
      <c r="G1683" s="574">
        <f t="shared" si="1560"/>
        <v>1261.242375</v>
      </c>
      <c r="H1683" s="574">
        <f t="shared" si="1560"/>
        <v>1261.242375</v>
      </c>
      <c r="I1683" s="574">
        <f t="shared" si="1560"/>
        <v>1261.242375</v>
      </c>
      <c r="J1683" s="574">
        <f t="shared" si="1560"/>
        <v>1261.242375</v>
      </c>
      <c r="K1683" s="574">
        <f t="shared" si="1560"/>
        <v>1261.242375</v>
      </c>
      <c r="L1683" s="574">
        <f t="shared" si="1560"/>
        <v>1261.242375</v>
      </c>
      <c r="M1683" s="574">
        <f t="shared" si="1560"/>
        <v>1261.242375</v>
      </c>
      <c r="N1683" s="574">
        <f t="shared" si="1560"/>
        <v>1261.242375</v>
      </c>
      <c r="O1683" s="574">
        <f t="shared" si="1560"/>
        <v>1261.242375</v>
      </c>
      <c r="P1683" s="574">
        <f t="shared" si="1560"/>
        <v>1261.242375</v>
      </c>
      <c r="Q1683" s="574">
        <f t="shared" si="1560"/>
        <v>1261.242375</v>
      </c>
      <c r="R1683" s="574">
        <f t="shared" si="1560"/>
        <v>1261.242375</v>
      </c>
      <c r="S1683" s="574">
        <f t="shared" si="1560"/>
        <v>1261.242375</v>
      </c>
      <c r="T1683" s="574">
        <f t="shared" si="1560"/>
        <v>1261.242375</v>
      </c>
      <c r="U1683" s="574">
        <f t="shared" si="1561"/>
        <v>1261.242375</v>
      </c>
      <c r="V1683" s="574">
        <f t="shared" si="1561"/>
        <v>1261.242375</v>
      </c>
      <c r="W1683" s="574">
        <f t="shared" si="1561"/>
        <v>1261.242375</v>
      </c>
      <c r="X1683" s="574">
        <f t="shared" si="1561"/>
        <v>1261.242375</v>
      </c>
      <c r="Y1683" s="574">
        <f t="shared" si="1561"/>
        <v>1261.242375</v>
      </c>
      <c r="Z1683" s="574">
        <f t="shared" si="1561"/>
        <v>1261.242375</v>
      </c>
      <c r="AA1683" s="574">
        <f t="shared" si="1561"/>
        <v>1261.242375</v>
      </c>
      <c r="AB1683" s="574">
        <f t="shared" si="1561"/>
        <v>1261.242375</v>
      </c>
      <c r="AC1683" s="574">
        <f t="shared" si="1561"/>
        <v>1261.242375</v>
      </c>
      <c r="AD1683" s="574">
        <f t="shared" si="1561"/>
        <v>1261.242375</v>
      </c>
      <c r="AE1683" s="574">
        <f t="shared" si="1562"/>
        <v>1261.242375</v>
      </c>
      <c r="AF1683" s="574">
        <f t="shared" si="1562"/>
        <v>1261.242375</v>
      </c>
      <c r="AH1683" s="538"/>
      <c r="AK1683" s="515"/>
      <c r="AM1683" s="526"/>
      <c r="AN1683" s="535"/>
      <c r="AP1683" s="540"/>
      <c r="AQ1683" s="540"/>
    </row>
    <row r="1684" spans="1:43" s="666" customFormat="1" ht="16.5" hidden="1" customHeight="1" outlineLevel="1" collapsed="1">
      <c r="A1684" s="584"/>
      <c r="B1684" s="665" t="s">
        <v>926</v>
      </c>
      <c r="C1684" s="577">
        <f>(C1685+C1688+C1694+C1691+C1697)*12/10^3</f>
        <v>199.68959999999998</v>
      </c>
      <c r="D1684" s="577">
        <f t="shared" ref="D1684:AF1684" si="1563">(D1685+D1688+D1694+D1691+D1697)*12/10^3</f>
        <v>199.68959999999998</v>
      </c>
      <c r="E1684" s="577">
        <f t="shared" si="1563"/>
        <v>199.68959999999998</v>
      </c>
      <c r="F1684" s="577">
        <f t="shared" si="1563"/>
        <v>199.68959999999998</v>
      </c>
      <c r="G1684" s="577">
        <f t="shared" si="1563"/>
        <v>199.68959999999998</v>
      </c>
      <c r="H1684" s="577">
        <f t="shared" si="1563"/>
        <v>199.68959999999998</v>
      </c>
      <c r="I1684" s="577">
        <f t="shared" si="1563"/>
        <v>252.66</v>
      </c>
      <c r="J1684" s="577">
        <f t="shared" si="1563"/>
        <v>252.66</v>
      </c>
      <c r="K1684" s="577">
        <f t="shared" si="1563"/>
        <v>252.66</v>
      </c>
      <c r="L1684" s="577">
        <f t="shared" si="1563"/>
        <v>252.66</v>
      </c>
      <c r="M1684" s="577">
        <f t="shared" si="1563"/>
        <v>252.66</v>
      </c>
      <c r="N1684" s="577">
        <f t="shared" si="1563"/>
        <v>252.66</v>
      </c>
      <c r="O1684" s="577">
        <f t="shared" si="1563"/>
        <v>252.66</v>
      </c>
      <c r="P1684" s="577">
        <f t="shared" si="1563"/>
        <v>252.66</v>
      </c>
      <c r="Q1684" s="577">
        <f t="shared" si="1563"/>
        <v>252.66</v>
      </c>
      <c r="R1684" s="577">
        <f t="shared" si="1563"/>
        <v>252.66</v>
      </c>
      <c r="S1684" s="577">
        <f t="shared" si="1563"/>
        <v>252.66</v>
      </c>
      <c r="T1684" s="577">
        <f t="shared" si="1563"/>
        <v>252.66</v>
      </c>
      <c r="U1684" s="577">
        <f t="shared" si="1563"/>
        <v>252.66</v>
      </c>
      <c r="V1684" s="577">
        <f t="shared" si="1563"/>
        <v>252.66</v>
      </c>
      <c r="W1684" s="577">
        <f t="shared" si="1563"/>
        <v>252.66</v>
      </c>
      <c r="X1684" s="577">
        <f t="shared" si="1563"/>
        <v>252.66</v>
      </c>
      <c r="Y1684" s="577">
        <f t="shared" si="1563"/>
        <v>252.66</v>
      </c>
      <c r="Z1684" s="577">
        <f t="shared" si="1563"/>
        <v>252.66</v>
      </c>
      <c r="AA1684" s="577">
        <f t="shared" si="1563"/>
        <v>252.66</v>
      </c>
      <c r="AB1684" s="577">
        <f t="shared" si="1563"/>
        <v>252.66</v>
      </c>
      <c r="AC1684" s="577">
        <f t="shared" si="1563"/>
        <v>252.66</v>
      </c>
      <c r="AD1684" s="577">
        <f t="shared" si="1563"/>
        <v>252.66</v>
      </c>
      <c r="AE1684" s="577">
        <f t="shared" si="1563"/>
        <v>252.66</v>
      </c>
      <c r="AF1684" s="577">
        <f t="shared" si="1563"/>
        <v>252.66</v>
      </c>
      <c r="AG1684" s="627"/>
      <c r="AH1684" s="578">
        <f>SUM(C1684:AF1684)</f>
        <v>7261.9775999999974</v>
      </c>
      <c r="AK1684" s="515"/>
      <c r="AM1684" s="689"/>
      <c r="AN1684" s="535"/>
      <c r="AP1684" s="667"/>
      <c r="AQ1684" s="667"/>
    </row>
    <row r="1685" spans="1:43" s="546" customFormat="1" ht="16.5" hidden="1" customHeight="1" outlineLevel="2" collapsed="1">
      <c r="A1685" s="584"/>
      <c r="B1685" s="580" t="s">
        <v>1100</v>
      </c>
      <c r="C1685" s="581">
        <f>C1686*C1687</f>
        <v>4282.92</v>
      </c>
      <c r="D1685" s="581">
        <f t="shared" ref="D1685:AF1685" si="1564">D1686*D1687</f>
        <v>4282.92</v>
      </c>
      <c r="E1685" s="581">
        <f t="shared" si="1564"/>
        <v>4282.92</v>
      </c>
      <c r="F1685" s="581">
        <f t="shared" si="1564"/>
        <v>4282.92</v>
      </c>
      <c r="G1685" s="581">
        <f t="shared" si="1564"/>
        <v>4282.92</v>
      </c>
      <c r="H1685" s="581">
        <f t="shared" si="1564"/>
        <v>4282.92</v>
      </c>
      <c r="I1685" s="581">
        <f t="shared" si="1564"/>
        <v>4282.92</v>
      </c>
      <c r="J1685" s="581">
        <f t="shared" si="1564"/>
        <v>4282.92</v>
      </c>
      <c r="K1685" s="581">
        <f t="shared" si="1564"/>
        <v>4282.92</v>
      </c>
      <c r="L1685" s="581">
        <f t="shared" si="1564"/>
        <v>4282.92</v>
      </c>
      <c r="M1685" s="581">
        <f t="shared" si="1564"/>
        <v>4282.92</v>
      </c>
      <c r="N1685" s="581">
        <f t="shared" si="1564"/>
        <v>4282.92</v>
      </c>
      <c r="O1685" s="581">
        <f t="shared" si="1564"/>
        <v>4282.92</v>
      </c>
      <c r="P1685" s="581">
        <f t="shared" si="1564"/>
        <v>4282.92</v>
      </c>
      <c r="Q1685" s="581">
        <f t="shared" si="1564"/>
        <v>4282.92</v>
      </c>
      <c r="R1685" s="581">
        <f t="shared" si="1564"/>
        <v>4282.92</v>
      </c>
      <c r="S1685" s="581">
        <f t="shared" si="1564"/>
        <v>4282.92</v>
      </c>
      <c r="T1685" s="581">
        <f t="shared" si="1564"/>
        <v>4282.92</v>
      </c>
      <c r="U1685" s="581">
        <f t="shared" si="1564"/>
        <v>4282.92</v>
      </c>
      <c r="V1685" s="581">
        <f t="shared" si="1564"/>
        <v>4282.92</v>
      </c>
      <c r="W1685" s="581">
        <f t="shared" si="1564"/>
        <v>4282.92</v>
      </c>
      <c r="X1685" s="581">
        <f t="shared" si="1564"/>
        <v>4282.92</v>
      </c>
      <c r="Y1685" s="581">
        <f t="shared" si="1564"/>
        <v>4282.92</v>
      </c>
      <c r="Z1685" s="581">
        <f t="shared" si="1564"/>
        <v>4282.92</v>
      </c>
      <c r="AA1685" s="581">
        <f t="shared" si="1564"/>
        <v>4282.92</v>
      </c>
      <c r="AB1685" s="581">
        <f t="shared" si="1564"/>
        <v>4282.92</v>
      </c>
      <c r="AC1685" s="581">
        <f t="shared" si="1564"/>
        <v>4282.92</v>
      </c>
      <c r="AD1685" s="581">
        <f t="shared" si="1564"/>
        <v>4282.92</v>
      </c>
      <c r="AE1685" s="581">
        <f t="shared" si="1564"/>
        <v>4282.92</v>
      </c>
      <c r="AF1685" s="581">
        <f t="shared" si="1564"/>
        <v>4282.92</v>
      </c>
      <c r="AH1685" s="571"/>
      <c r="AK1685" s="687"/>
      <c r="AM1685" s="688"/>
      <c r="AN1685" s="535"/>
      <c r="AP1685" s="549"/>
      <c r="AQ1685" s="549"/>
    </row>
    <row r="1686" spans="1:43" ht="16.5" hidden="1" customHeight="1" outlineLevel="2">
      <c r="A1686" s="584"/>
      <c r="B1686" s="641" t="s">
        <v>805</v>
      </c>
      <c r="C1686" s="553">
        <v>2</v>
      </c>
      <c r="D1686" s="553">
        <v>2</v>
      </c>
      <c r="E1686" s="553">
        <v>2</v>
      </c>
      <c r="F1686" s="553">
        <v>2</v>
      </c>
      <c r="G1686" s="553">
        <v>2</v>
      </c>
      <c r="H1686" s="553">
        <v>2</v>
      </c>
      <c r="I1686" s="553">
        <v>2</v>
      </c>
      <c r="J1686" s="553">
        <v>2</v>
      </c>
      <c r="K1686" s="553">
        <v>2</v>
      </c>
      <c r="L1686" s="553">
        <v>2</v>
      </c>
      <c r="M1686" s="553">
        <v>2</v>
      </c>
      <c r="N1686" s="553">
        <v>2</v>
      </c>
      <c r="O1686" s="553">
        <v>2</v>
      </c>
      <c r="P1686" s="553">
        <v>2</v>
      </c>
      <c r="Q1686" s="553">
        <v>2</v>
      </c>
      <c r="R1686" s="553">
        <v>2</v>
      </c>
      <c r="S1686" s="553">
        <v>2</v>
      </c>
      <c r="T1686" s="553">
        <v>2</v>
      </c>
      <c r="U1686" s="553">
        <v>2</v>
      </c>
      <c r="V1686" s="553">
        <v>2</v>
      </c>
      <c r="W1686" s="553">
        <v>2</v>
      </c>
      <c r="X1686" s="553">
        <v>2</v>
      </c>
      <c r="Y1686" s="553">
        <v>2</v>
      </c>
      <c r="Z1686" s="553">
        <v>2</v>
      </c>
      <c r="AA1686" s="553">
        <v>2</v>
      </c>
      <c r="AB1686" s="553">
        <v>2</v>
      </c>
      <c r="AC1686" s="553">
        <v>2</v>
      </c>
      <c r="AD1686" s="553">
        <v>2</v>
      </c>
      <c r="AE1686" s="553">
        <v>2</v>
      </c>
      <c r="AF1686" s="553">
        <v>2</v>
      </c>
      <c r="AH1686" s="538"/>
      <c r="AN1686" s="535"/>
      <c r="AP1686" s="535"/>
      <c r="AQ1686" s="535"/>
    </row>
    <row r="1687" spans="1:43" s="513" customFormat="1" ht="16.5" hidden="1" customHeight="1" outlineLevel="2">
      <c r="A1687" s="584"/>
      <c r="B1687" s="641" t="s">
        <v>924</v>
      </c>
      <c r="C1687" s="592">
        <f>'Sal._benef.'!$D$31</f>
        <v>2141.46</v>
      </c>
      <c r="D1687" s="592">
        <f>C1687</f>
        <v>2141.46</v>
      </c>
      <c r="E1687" s="592">
        <f t="shared" ref="E1687:AF1687" si="1565">D1687</f>
        <v>2141.46</v>
      </c>
      <c r="F1687" s="592">
        <f t="shared" si="1565"/>
        <v>2141.46</v>
      </c>
      <c r="G1687" s="592">
        <f t="shared" si="1565"/>
        <v>2141.46</v>
      </c>
      <c r="H1687" s="592">
        <f t="shared" si="1565"/>
        <v>2141.46</v>
      </c>
      <c r="I1687" s="592">
        <f t="shared" si="1565"/>
        <v>2141.46</v>
      </c>
      <c r="J1687" s="592">
        <f t="shared" si="1565"/>
        <v>2141.46</v>
      </c>
      <c r="K1687" s="592">
        <f t="shared" si="1565"/>
        <v>2141.46</v>
      </c>
      <c r="L1687" s="592">
        <f t="shared" si="1565"/>
        <v>2141.46</v>
      </c>
      <c r="M1687" s="592">
        <f t="shared" si="1565"/>
        <v>2141.46</v>
      </c>
      <c r="N1687" s="592">
        <f t="shared" si="1565"/>
        <v>2141.46</v>
      </c>
      <c r="O1687" s="592">
        <f t="shared" si="1565"/>
        <v>2141.46</v>
      </c>
      <c r="P1687" s="592">
        <f t="shared" si="1565"/>
        <v>2141.46</v>
      </c>
      <c r="Q1687" s="592">
        <f t="shared" si="1565"/>
        <v>2141.46</v>
      </c>
      <c r="R1687" s="592">
        <f t="shared" si="1565"/>
        <v>2141.46</v>
      </c>
      <c r="S1687" s="592">
        <f t="shared" si="1565"/>
        <v>2141.46</v>
      </c>
      <c r="T1687" s="592">
        <f t="shared" si="1565"/>
        <v>2141.46</v>
      </c>
      <c r="U1687" s="592">
        <f t="shared" si="1565"/>
        <v>2141.46</v>
      </c>
      <c r="V1687" s="592">
        <f t="shared" si="1565"/>
        <v>2141.46</v>
      </c>
      <c r="W1687" s="592">
        <f t="shared" si="1565"/>
        <v>2141.46</v>
      </c>
      <c r="X1687" s="592">
        <f t="shared" si="1565"/>
        <v>2141.46</v>
      </c>
      <c r="Y1687" s="592">
        <f t="shared" si="1565"/>
        <v>2141.46</v>
      </c>
      <c r="Z1687" s="592">
        <f t="shared" si="1565"/>
        <v>2141.46</v>
      </c>
      <c r="AA1687" s="592">
        <f t="shared" si="1565"/>
        <v>2141.46</v>
      </c>
      <c r="AB1687" s="592">
        <f t="shared" si="1565"/>
        <v>2141.46</v>
      </c>
      <c r="AC1687" s="592">
        <f t="shared" si="1565"/>
        <v>2141.46</v>
      </c>
      <c r="AD1687" s="592">
        <f t="shared" si="1565"/>
        <v>2141.46</v>
      </c>
      <c r="AE1687" s="592">
        <f t="shared" si="1565"/>
        <v>2141.46</v>
      </c>
      <c r="AF1687" s="592">
        <f t="shared" si="1565"/>
        <v>2141.46</v>
      </c>
      <c r="AH1687" s="538"/>
      <c r="AK1687" s="515"/>
      <c r="AM1687" s="526"/>
      <c r="AN1687" s="535"/>
      <c r="AP1687" s="540"/>
      <c r="AQ1687" s="540"/>
    </row>
    <row r="1688" spans="1:43" s="668" customFormat="1" ht="16.5" hidden="1" customHeight="1" outlineLevel="2">
      <c r="A1688" s="584"/>
      <c r="B1688" s="580" t="s">
        <v>1101</v>
      </c>
      <c r="C1688" s="581">
        <f>C1689*C1690</f>
        <v>9677.8799999999992</v>
      </c>
      <c r="D1688" s="581">
        <f t="shared" ref="D1688:AF1688" si="1566">D1689*D1690</f>
        <v>9677.8799999999992</v>
      </c>
      <c r="E1688" s="581">
        <f t="shared" si="1566"/>
        <v>9677.8799999999992</v>
      </c>
      <c r="F1688" s="581">
        <f t="shared" si="1566"/>
        <v>9677.8799999999992</v>
      </c>
      <c r="G1688" s="581">
        <f t="shared" si="1566"/>
        <v>9677.8799999999992</v>
      </c>
      <c r="H1688" s="581">
        <f t="shared" si="1566"/>
        <v>9677.8799999999992</v>
      </c>
      <c r="I1688" s="581">
        <f t="shared" si="1566"/>
        <v>9677.8799999999992</v>
      </c>
      <c r="J1688" s="581">
        <f t="shared" si="1566"/>
        <v>9677.8799999999992</v>
      </c>
      <c r="K1688" s="581">
        <f t="shared" si="1566"/>
        <v>9677.8799999999992</v>
      </c>
      <c r="L1688" s="581">
        <f t="shared" si="1566"/>
        <v>9677.8799999999992</v>
      </c>
      <c r="M1688" s="581">
        <f t="shared" si="1566"/>
        <v>9677.8799999999992</v>
      </c>
      <c r="N1688" s="581">
        <f t="shared" si="1566"/>
        <v>9677.8799999999992</v>
      </c>
      <c r="O1688" s="581">
        <f t="shared" si="1566"/>
        <v>9677.8799999999992</v>
      </c>
      <c r="P1688" s="581">
        <f t="shared" si="1566"/>
        <v>9677.8799999999992</v>
      </c>
      <c r="Q1688" s="581">
        <f t="shared" si="1566"/>
        <v>9677.8799999999992</v>
      </c>
      <c r="R1688" s="581">
        <f t="shared" si="1566"/>
        <v>9677.8799999999992</v>
      </c>
      <c r="S1688" s="581">
        <f t="shared" si="1566"/>
        <v>9677.8799999999992</v>
      </c>
      <c r="T1688" s="581">
        <f t="shared" si="1566"/>
        <v>9677.8799999999992</v>
      </c>
      <c r="U1688" s="581">
        <f t="shared" si="1566"/>
        <v>9677.8799999999992</v>
      </c>
      <c r="V1688" s="581">
        <f t="shared" si="1566"/>
        <v>9677.8799999999992</v>
      </c>
      <c r="W1688" s="581">
        <f t="shared" si="1566"/>
        <v>9677.8799999999992</v>
      </c>
      <c r="X1688" s="581">
        <f t="shared" si="1566"/>
        <v>9677.8799999999992</v>
      </c>
      <c r="Y1688" s="581">
        <f t="shared" si="1566"/>
        <v>9677.8799999999992</v>
      </c>
      <c r="Z1688" s="581">
        <f t="shared" si="1566"/>
        <v>9677.8799999999992</v>
      </c>
      <c r="AA1688" s="581">
        <f t="shared" si="1566"/>
        <v>9677.8799999999992</v>
      </c>
      <c r="AB1688" s="581">
        <f t="shared" si="1566"/>
        <v>9677.8799999999992</v>
      </c>
      <c r="AC1688" s="581">
        <f t="shared" si="1566"/>
        <v>9677.8799999999992</v>
      </c>
      <c r="AD1688" s="581">
        <f t="shared" si="1566"/>
        <v>9677.8799999999992</v>
      </c>
      <c r="AE1688" s="581">
        <f t="shared" si="1566"/>
        <v>9677.8799999999992</v>
      </c>
      <c r="AF1688" s="581">
        <f t="shared" si="1566"/>
        <v>9677.8799999999992</v>
      </c>
      <c r="AG1688" s="546"/>
      <c r="AH1688" s="571"/>
      <c r="AK1688" s="687"/>
      <c r="AM1688" s="690"/>
      <c r="AN1688" s="535"/>
      <c r="AP1688" s="669"/>
      <c r="AQ1688" s="669"/>
    </row>
    <row r="1689" spans="1:43" s="513" customFormat="1" ht="16.5" hidden="1" customHeight="1" outlineLevel="2">
      <c r="A1689" s="584"/>
      <c r="B1689" s="641" t="s">
        <v>805</v>
      </c>
      <c r="C1689" s="553">
        <v>1</v>
      </c>
      <c r="D1689" s="553">
        <f>C1689</f>
        <v>1</v>
      </c>
      <c r="E1689" s="553">
        <f t="shared" ref="E1689:T1690" si="1567">D1689</f>
        <v>1</v>
      </c>
      <c r="F1689" s="553">
        <f t="shared" si="1567"/>
        <v>1</v>
      </c>
      <c r="G1689" s="553">
        <f t="shared" si="1567"/>
        <v>1</v>
      </c>
      <c r="H1689" s="553">
        <f t="shared" si="1567"/>
        <v>1</v>
      </c>
      <c r="I1689" s="553">
        <f t="shared" si="1567"/>
        <v>1</v>
      </c>
      <c r="J1689" s="553">
        <f t="shared" si="1567"/>
        <v>1</v>
      </c>
      <c r="K1689" s="553">
        <f t="shared" si="1567"/>
        <v>1</v>
      </c>
      <c r="L1689" s="553">
        <f t="shared" si="1567"/>
        <v>1</v>
      </c>
      <c r="M1689" s="553">
        <f t="shared" si="1567"/>
        <v>1</v>
      </c>
      <c r="N1689" s="553">
        <f t="shared" si="1567"/>
        <v>1</v>
      </c>
      <c r="O1689" s="553">
        <f t="shared" si="1567"/>
        <v>1</v>
      </c>
      <c r="P1689" s="553">
        <f t="shared" si="1567"/>
        <v>1</v>
      </c>
      <c r="Q1689" s="553">
        <f t="shared" si="1567"/>
        <v>1</v>
      </c>
      <c r="R1689" s="553">
        <f t="shared" si="1567"/>
        <v>1</v>
      </c>
      <c r="S1689" s="553">
        <f t="shared" si="1567"/>
        <v>1</v>
      </c>
      <c r="T1689" s="553">
        <f t="shared" si="1567"/>
        <v>1</v>
      </c>
      <c r="U1689" s="553">
        <f t="shared" ref="U1689:AF1690" si="1568">T1689</f>
        <v>1</v>
      </c>
      <c r="V1689" s="553">
        <f t="shared" si="1568"/>
        <v>1</v>
      </c>
      <c r="W1689" s="553">
        <f t="shared" si="1568"/>
        <v>1</v>
      </c>
      <c r="X1689" s="553">
        <f t="shared" si="1568"/>
        <v>1</v>
      </c>
      <c r="Y1689" s="553">
        <f t="shared" si="1568"/>
        <v>1</v>
      </c>
      <c r="Z1689" s="553">
        <f t="shared" si="1568"/>
        <v>1</v>
      </c>
      <c r="AA1689" s="553">
        <f t="shared" si="1568"/>
        <v>1</v>
      </c>
      <c r="AB1689" s="553">
        <f t="shared" si="1568"/>
        <v>1</v>
      </c>
      <c r="AC1689" s="553">
        <f t="shared" si="1568"/>
        <v>1</v>
      </c>
      <c r="AD1689" s="553">
        <f t="shared" si="1568"/>
        <v>1</v>
      </c>
      <c r="AE1689" s="553">
        <f t="shared" si="1568"/>
        <v>1</v>
      </c>
      <c r="AF1689" s="553">
        <f t="shared" si="1568"/>
        <v>1</v>
      </c>
      <c r="AH1689" s="538"/>
      <c r="AK1689" s="515"/>
      <c r="AM1689" s="526"/>
      <c r="AN1689" s="535"/>
      <c r="AP1689" s="540"/>
      <c r="AQ1689" s="540"/>
    </row>
    <row r="1690" spans="1:43" ht="16.5" hidden="1" customHeight="1" outlineLevel="2">
      <c r="A1690" s="584"/>
      <c r="B1690" s="641" t="s">
        <v>924</v>
      </c>
      <c r="C1690" s="592">
        <f>'Sal._benef.'!$D$34</f>
        <v>9677.8799999999992</v>
      </c>
      <c r="D1690" s="592">
        <f>C1690</f>
        <v>9677.8799999999992</v>
      </c>
      <c r="E1690" s="592">
        <f t="shared" si="1567"/>
        <v>9677.8799999999992</v>
      </c>
      <c r="F1690" s="592">
        <f t="shared" si="1567"/>
        <v>9677.8799999999992</v>
      </c>
      <c r="G1690" s="592">
        <f t="shared" si="1567"/>
        <v>9677.8799999999992</v>
      </c>
      <c r="H1690" s="592">
        <f t="shared" si="1567"/>
        <v>9677.8799999999992</v>
      </c>
      <c r="I1690" s="592">
        <f t="shared" si="1567"/>
        <v>9677.8799999999992</v>
      </c>
      <c r="J1690" s="592">
        <f t="shared" si="1567"/>
        <v>9677.8799999999992</v>
      </c>
      <c r="K1690" s="592">
        <f t="shared" si="1567"/>
        <v>9677.8799999999992</v>
      </c>
      <c r="L1690" s="592">
        <f t="shared" si="1567"/>
        <v>9677.8799999999992</v>
      </c>
      <c r="M1690" s="592">
        <f t="shared" si="1567"/>
        <v>9677.8799999999992</v>
      </c>
      <c r="N1690" s="592">
        <f t="shared" si="1567"/>
        <v>9677.8799999999992</v>
      </c>
      <c r="O1690" s="592">
        <f t="shared" si="1567"/>
        <v>9677.8799999999992</v>
      </c>
      <c r="P1690" s="592">
        <f t="shared" si="1567"/>
        <v>9677.8799999999992</v>
      </c>
      <c r="Q1690" s="592">
        <f t="shared" si="1567"/>
        <v>9677.8799999999992</v>
      </c>
      <c r="R1690" s="592">
        <f t="shared" si="1567"/>
        <v>9677.8799999999992</v>
      </c>
      <c r="S1690" s="592">
        <f t="shared" si="1567"/>
        <v>9677.8799999999992</v>
      </c>
      <c r="T1690" s="592">
        <f t="shared" si="1567"/>
        <v>9677.8799999999992</v>
      </c>
      <c r="U1690" s="592">
        <f t="shared" si="1568"/>
        <v>9677.8799999999992</v>
      </c>
      <c r="V1690" s="592">
        <f t="shared" si="1568"/>
        <v>9677.8799999999992</v>
      </c>
      <c r="W1690" s="592">
        <f t="shared" si="1568"/>
        <v>9677.8799999999992</v>
      </c>
      <c r="X1690" s="592">
        <f t="shared" si="1568"/>
        <v>9677.8799999999992</v>
      </c>
      <c r="Y1690" s="592">
        <f t="shared" si="1568"/>
        <v>9677.8799999999992</v>
      </c>
      <c r="Z1690" s="592">
        <f t="shared" si="1568"/>
        <v>9677.8799999999992</v>
      </c>
      <c r="AA1690" s="592">
        <f t="shared" si="1568"/>
        <v>9677.8799999999992</v>
      </c>
      <c r="AB1690" s="592">
        <f t="shared" si="1568"/>
        <v>9677.8799999999992</v>
      </c>
      <c r="AC1690" s="592">
        <f t="shared" si="1568"/>
        <v>9677.8799999999992</v>
      </c>
      <c r="AD1690" s="592">
        <f t="shared" si="1568"/>
        <v>9677.8799999999992</v>
      </c>
      <c r="AE1690" s="592">
        <f t="shared" si="1568"/>
        <v>9677.8799999999992</v>
      </c>
      <c r="AF1690" s="592">
        <f t="shared" si="1568"/>
        <v>9677.8799999999992</v>
      </c>
      <c r="AH1690" s="538"/>
      <c r="AN1690" s="535"/>
      <c r="AP1690" s="535"/>
      <c r="AQ1690" s="535"/>
    </row>
    <row r="1691" spans="1:43" s="546" customFormat="1" ht="16.5" hidden="1" customHeight="1" outlineLevel="2">
      <c r="A1691" s="584"/>
      <c r="B1691" s="580" t="s">
        <v>1102</v>
      </c>
      <c r="C1691" s="581">
        <f>C1692*C1693</f>
        <v>838</v>
      </c>
      <c r="D1691" s="581">
        <f t="shared" ref="D1691:AF1691" si="1569">D1692*D1693</f>
        <v>838</v>
      </c>
      <c r="E1691" s="581">
        <f t="shared" si="1569"/>
        <v>838</v>
      </c>
      <c r="F1691" s="581">
        <f t="shared" si="1569"/>
        <v>838</v>
      </c>
      <c r="G1691" s="581">
        <f t="shared" si="1569"/>
        <v>838</v>
      </c>
      <c r="H1691" s="581">
        <f t="shared" si="1569"/>
        <v>838</v>
      </c>
      <c r="I1691" s="581">
        <f t="shared" si="1569"/>
        <v>838</v>
      </c>
      <c r="J1691" s="581">
        <f t="shared" si="1569"/>
        <v>838</v>
      </c>
      <c r="K1691" s="581">
        <f t="shared" si="1569"/>
        <v>838</v>
      </c>
      <c r="L1691" s="581">
        <f t="shared" si="1569"/>
        <v>838</v>
      </c>
      <c r="M1691" s="581">
        <f t="shared" si="1569"/>
        <v>838</v>
      </c>
      <c r="N1691" s="581">
        <f t="shared" si="1569"/>
        <v>838</v>
      </c>
      <c r="O1691" s="581">
        <f t="shared" si="1569"/>
        <v>838</v>
      </c>
      <c r="P1691" s="581">
        <f t="shared" si="1569"/>
        <v>838</v>
      </c>
      <c r="Q1691" s="581">
        <f t="shared" si="1569"/>
        <v>838</v>
      </c>
      <c r="R1691" s="581">
        <f t="shared" si="1569"/>
        <v>838</v>
      </c>
      <c r="S1691" s="581">
        <f t="shared" si="1569"/>
        <v>838</v>
      </c>
      <c r="T1691" s="581">
        <f t="shared" si="1569"/>
        <v>838</v>
      </c>
      <c r="U1691" s="581">
        <f t="shared" si="1569"/>
        <v>838</v>
      </c>
      <c r="V1691" s="581">
        <f t="shared" si="1569"/>
        <v>838</v>
      </c>
      <c r="W1691" s="581">
        <f t="shared" si="1569"/>
        <v>838</v>
      </c>
      <c r="X1691" s="581">
        <f t="shared" si="1569"/>
        <v>838</v>
      </c>
      <c r="Y1691" s="581">
        <f t="shared" si="1569"/>
        <v>838</v>
      </c>
      <c r="Z1691" s="581">
        <f t="shared" si="1569"/>
        <v>838</v>
      </c>
      <c r="AA1691" s="581">
        <f t="shared" si="1569"/>
        <v>838</v>
      </c>
      <c r="AB1691" s="581">
        <f t="shared" si="1569"/>
        <v>838</v>
      </c>
      <c r="AC1691" s="581">
        <f t="shared" si="1569"/>
        <v>838</v>
      </c>
      <c r="AD1691" s="581">
        <f t="shared" si="1569"/>
        <v>838</v>
      </c>
      <c r="AE1691" s="581">
        <f t="shared" si="1569"/>
        <v>838</v>
      </c>
      <c r="AF1691" s="581">
        <f t="shared" si="1569"/>
        <v>838</v>
      </c>
      <c r="AH1691" s="571"/>
      <c r="AK1691" s="687"/>
      <c r="AM1691" s="688"/>
      <c r="AN1691" s="535"/>
      <c r="AP1691" s="549"/>
      <c r="AQ1691" s="549"/>
    </row>
    <row r="1692" spans="1:43" s="513" customFormat="1" ht="16.5" hidden="1" customHeight="1" outlineLevel="2">
      <c r="A1692" s="584"/>
      <c r="B1692" s="641" t="s">
        <v>805</v>
      </c>
      <c r="C1692" s="553">
        <v>1</v>
      </c>
      <c r="D1692" s="553">
        <f>C1692</f>
        <v>1</v>
      </c>
      <c r="E1692" s="553">
        <f t="shared" ref="E1692:T1693" si="1570">D1692</f>
        <v>1</v>
      </c>
      <c r="F1692" s="553">
        <f t="shared" si="1570"/>
        <v>1</v>
      </c>
      <c r="G1692" s="553">
        <f t="shared" si="1570"/>
        <v>1</v>
      </c>
      <c r="H1692" s="553">
        <f t="shared" si="1570"/>
        <v>1</v>
      </c>
      <c r="I1692" s="553">
        <f t="shared" si="1570"/>
        <v>1</v>
      </c>
      <c r="J1692" s="553">
        <f t="shared" si="1570"/>
        <v>1</v>
      </c>
      <c r="K1692" s="553">
        <f t="shared" si="1570"/>
        <v>1</v>
      </c>
      <c r="L1692" s="553">
        <f t="shared" si="1570"/>
        <v>1</v>
      </c>
      <c r="M1692" s="553">
        <f t="shared" si="1570"/>
        <v>1</v>
      </c>
      <c r="N1692" s="553">
        <f t="shared" si="1570"/>
        <v>1</v>
      </c>
      <c r="O1692" s="553">
        <f t="shared" si="1570"/>
        <v>1</v>
      </c>
      <c r="P1692" s="553">
        <f t="shared" si="1570"/>
        <v>1</v>
      </c>
      <c r="Q1692" s="553">
        <f t="shared" si="1570"/>
        <v>1</v>
      </c>
      <c r="R1692" s="553">
        <f t="shared" si="1570"/>
        <v>1</v>
      </c>
      <c r="S1692" s="553">
        <f t="shared" si="1570"/>
        <v>1</v>
      </c>
      <c r="T1692" s="553">
        <f t="shared" si="1570"/>
        <v>1</v>
      </c>
      <c r="U1692" s="553">
        <f t="shared" ref="U1692:AF1693" si="1571">T1692</f>
        <v>1</v>
      </c>
      <c r="V1692" s="553">
        <f t="shared" si="1571"/>
        <v>1</v>
      </c>
      <c r="W1692" s="553">
        <f t="shared" si="1571"/>
        <v>1</v>
      </c>
      <c r="X1692" s="553">
        <f t="shared" si="1571"/>
        <v>1</v>
      </c>
      <c r="Y1692" s="553">
        <f t="shared" si="1571"/>
        <v>1</v>
      </c>
      <c r="Z1692" s="553">
        <f t="shared" si="1571"/>
        <v>1</v>
      </c>
      <c r="AA1692" s="553">
        <f t="shared" si="1571"/>
        <v>1</v>
      </c>
      <c r="AB1692" s="553">
        <f t="shared" si="1571"/>
        <v>1</v>
      </c>
      <c r="AC1692" s="553">
        <f t="shared" si="1571"/>
        <v>1</v>
      </c>
      <c r="AD1692" s="553">
        <f t="shared" si="1571"/>
        <v>1</v>
      </c>
      <c r="AE1692" s="553">
        <f t="shared" si="1571"/>
        <v>1</v>
      </c>
      <c r="AF1692" s="553">
        <f t="shared" si="1571"/>
        <v>1</v>
      </c>
      <c r="AG1692" s="614"/>
      <c r="AH1692" s="538"/>
      <c r="AK1692" s="515"/>
      <c r="AM1692" s="526"/>
      <c r="AN1692" s="535"/>
      <c r="AP1692" s="540"/>
      <c r="AQ1692" s="540"/>
    </row>
    <row r="1693" spans="1:43" ht="16.5" hidden="1" customHeight="1" outlineLevel="2">
      <c r="A1693" s="584"/>
      <c r="B1693" s="641" t="s">
        <v>924</v>
      </c>
      <c r="C1693" s="592">
        <f>'Sal._benef.'!$D$35</f>
        <v>838</v>
      </c>
      <c r="D1693" s="592">
        <f>C1693</f>
        <v>838</v>
      </c>
      <c r="E1693" s="592">
        <f t="shared" si="1570"/>
        <v>838</v>
      </c>
      <c r="F1693" s="592">
        <f t="shared" si="1570"/>
        <v>838</v>
      </c>
      <c r="G1693" s="592">
        <f t="shared" si="1570"/>
        <v>838</v>
      </c>
      <c r="H1693" s="592">
        <f t="shared" si="1570"/>
        <v>838</v>
      </c>
      <c r="I1693" s="592">
        <f t="shared" si="1570"/>
        <v>838</v>
      </c>
      <c r="J1693" s="592">
        <f t="shared" si="1570"/>
        <v>838</v>
      </c>
      <c r="K1693" s="592">
        <f t="shared" si="1570"/>
        <v>838</v>
      </c>
      <c r="L1693" s="592">
        <f t="shared" si="1570"/>
        <v>838</v>
      </c>
      <c r="M1693" s="592">
        <f t="shared" si="1570"/>
        <v>838</v>
      </c>
      <c r="N1693" s="592">
        <f t="shared" si="1570"/>
        <v>838</v>
      </c>
      <c r="O1693" s="592">
        <f t="shared" si="1570"/>
        <v>838</v>
      </c>
      <c r="P1693" s="592">
        <f t="shared" si="1570"/>
        <v>838</v>
      </c>
      <c r="Q1693" s="592">
        <f t="shared" si="1570"/>
        <v>838</v>
      </c>
      <c r="R1693" s="592">
        <f t="shared" si="1570"/>
        <v>838</v>
      </c>
      <c r="S1693" s="592">
        <f t="shared" si="1570"/>
        <v>838</v>
      </c>
      <c r="T1693" s="592">
        <f t="shared" si="1570"/>
        <v>838</v>
      </c>
      <c r="U1693" s="592">
        <f t="shared" si="1571"/>
        <v>838</v>
      </c>
      <c r="V1693" s="592">
        <f>U1693</f>
        <v>838</v>
      </c>
      <c r="W1693" s="592">
        <f t="shared" si="1571"/>
        <v>838</v>
      </c>
      <c r="X1693" s="592">
        <f t="shared" si="1571"/>
        <v>838</v>
      </c>
      <c r="Y1693" s="592">
        <f t="shared" si="1571"/>
        <v>838</v>
      </c>
      <c r="Z1693" s="592">
        <f t="shared" si="1571"/>
        <v>838</v>
      </c>
      <c r="AA1693" s="592">
        <f t="shared" si="1571"/>
        <v>838</v>
      </c>
      <c r="AB1693" s="592">
        <f t="shared" si="1571"/>
        <v>838</v>
      </c>
      <c r="AC1693" s="592">
        <f t="shared" si="1571"/>
        <v>838</v>
      </c>
      <c r="AD1693" s="592">
        <f t="shared" si="1571"/>
        <v>838</v>
      </c>
      <c r="AE1693" s="592">
        <f t="shared" si="1571"/>
        <v>838</v>
      </c>
      <c r="AF1693" s="592">
        <f t="shared" si="1571"/>
        <v>838</v>
      </c>
      <c r="AH1693" s="538"/>
      <c r="AN1693" s="535"/>
      <c r="AP1693" s="535"/>
      <c r="AQ1693" s="535"/>
    </row>
    <row r="1694" spans="1:43" s="668" customFormat="1" ht="16.5" hidden="1" customHeight="1" outlineLevel="2">
      <c r="A1694" s="584"/>
      <c r="B1694" s="580" t="s">
        <v>1103</v>
      </c>
      <c r="C1694" s="581">
        <f>C1695*C1696</f>
        <v>0</v>
      </c>
      <c r="D1694" s="581">
        <f t="shared" ref="D1694:AF1694" si="1572">D1695*D1696</f>
        <v>0</v>
      </c>
      <c r="E1694" s="581">
        <f t="shared" si="1572"/>
        <v>0</v>
      </c>
      <c r="F1694" s="581">
        <f t="shared" si="1572"/>
        <v>0</v>
      </c>
      <c r="G1694" s="581">
        <f t="shared" si="1572"/>
        <v>0</v>
      </c>
      <c r="H1694" s="581">
        <f t="shared" si="1572"/>
        <v>0</v>
      </c>
      <c r="I1694" s="581">
        <f t="shared" si="1572"/>
        <v>4414.2</v>
      </c>
      <c r="J1694" s="581">
        <f t="shared" si="1572"/>
        <v>4414.2</v>
      </c>
      <c r="K1694" s="581">
        <f t="shared" si="1572"/>
        <v>4414.2</v>
      </c>
      <c r="L1694" s="581">
        <f t="shared" si="1572"/>
        <v>4414.2</v>
      </c>
      <c r="M1694" s="581">
        <f t="shared" si="1572"/>
        <v>4414.2</v>
      </c>
      <c r="N1694" s="581">
        <f t="shared" si="1572"/>
        <v>4414.2</v>
      </c>
      <c r="O1694" s="581">
        <f t="shared" si="1572"/>
        <v>4414.2</v>
      </c>
      <c r="P1694" s="581">
        <f t="shared" si="1572"/>
        <v>4414.2</v>
      </c>
      <c r="Q1694" s="581">
        <f t="shared" si="1572"/>
        <v>4414.2</v>
      </c>
      <c r="R1694" s="581">
        <f t="shared" si="1572"/>
        <v>4414.2</v>
      </c>
      <c r="S1694" s="581">
        <f t="shared" si="1572"/>
        <v>4414.2</v>
      </c>
      <c r="T1694" s="581">
        <f t="shared" si="1572"/>
        <v>4414.2</v>
      </c>
      <c r="U1694" s="581">
        <f t="shared" si="1572"/>
        <v>4414.2</v>
      </c>
      <c r="V1694" s="581">
        <f t="shared" si="1572"/>
        <v>4414.2</v>
      </c>
      <c r="W1694" s="581">
        <f t="shared" si="1572"/>
        <v>4414.2</v>
      </c>
      <c r="X1694" s="581">
        <f t="shared" si="1572"/>
        <v>4414.2</v>
      </c>
      <c r="Y1694" s="581">
        <f t="shared" si="1572"/>
        <v>4414.2</v>
      </c>
      <c r="Z1694" s="581">
        <f t="shared" si="1572"/>
        <v>4414.2</v>
      </c>
      <c r="AA1694" s="581">
        <f t="shared" si="1572"/>
        <v>4414.2</v>
      </c>
      <c r="AB1694" s="581">
        <f t="shared" si="1572"/>
        <v>4414.2</v>
      </c>
      <c r="AC1694" s="581">
        <f t="shared" si="1572"/>
        <v>4414.2</v>
      </c>
      <c r="AD1694" s="581">
        <f t="shared" si="1572"/>
        <v>4414.2</v>
      </c>
      <c r="AE1694" s="581">
        <f t="shared" si="1572"/>
        <v>4414.2</v>
      </c>
      <c r="AF1694" s="581">
        <f t="shared" si="1572"/>
        <v>4414.2</v>
      </c>
      <c r="AG1694" s="546"/>
      <c r="AH1694" s="571"/>
      <c r="AK1694" s="687"/>
      <c r="AM1694" s="690"/>
      <c r="AN1694" s="535"/>
      <c r="AP1694" s="669"/>
      <c r="AQ1694" s="669"/>
    </row>
    <row r="1695" spans="1:43" ht="16.5" hidden="1" customHeight="1" outlineLevel="2">
      <c r="A1695" s="584"/>
      <c r="B1695" s="641" t="s">
        <v>805</v>
      </c>
      <c r="C1695" s="553">
        <v>0</v>
      </c>
      <c r="D1695" s="553">
        <v>0</v>
      </c>
      <c r="E1695" s="553">
        <v>0</v>
      </c>
      <c r="F1695" s="553">
        <v>0</v>
      </c>
      <c r="G1695" s="553">
        <v>0</v>
      </c>
      <c r="H1695" s="553">
        <v>0</v>
      </c>
      <c r="I1695" s="553">
        <v>1</v>
      </c>
      <c r="J1695" s="553">
        <f t="shared" ref="J1695:Y1696" si="1573">I1695</f>
        <v>1</v>
      </c>
      <c r="K1695" s="553">
        <f t="shared" si="1573"/>
        <v>1</v>
      </c>
      <c r="L1695" s="553">
        <f t="shared" si="1573"/>
        <v>1</v>
      </c>
      <c r="M1695" s="553">
        <f t="shared" si="1573"/>
        <v>1</v>
      </c>
      <c r="N1695" s="553">
        <f t="shared" si="1573"/>
        <v>1</v>
      </c>
      <c r="O1695" s="553">
        <f t="shared" si="1573"/>
        <v>1</v>
      </c>
      <c r="P1695" s="553">
        <f t="shared" si="1573"/>
        <v>1</v>
      </c>
      <c r="Q1695" s="553">
        <f t="shared" si="1573"/>
        <v>1</v>
      </c>
      <c r="R1695" s="553">
        <f t="shared" si="1573"/>
        <v>1</v>
      </c>
      <c r="S1695" s="553">
        <f t="shared" si="1573"/>
        <v>1</v>
      </c>
      <c r="T1695" s="553">
        <f t="shared" si="1573"/>
        <v>1</v>
      </c>
      <c r="U1695" s="553">
        <f t="shared" si="1573"/>
        <v>1</v>
      </c>
      <c r="V1695" s="553">
        <f t="shared" si="1573"/>
        <v>1</v>
      </c>
      <c r="W1695" s="553">
        <f t="shared" si="1573"/>
        <v>1</v>
      </c>
      <c r="X1695" s="553">
        <f t="shared" si="1573"/>
        <v>1</v>
      </c>
      <c r="Y1695" s="553">
        <f t="shared" si="1573"/>
        <v>1</v>
      </c>
      <c r="Z1695" s="553">
        <f t="shared" ref="Z1695:AF1696" si="1574">Y1695</f>
        <v>1</v>
      </c>
      <c r="AA1695" s="553">
        <f t="shared" si="1574"/>
        <v>1</v>
      </c>
      <c r="AB1695" s="553">
        <f t="shared" si="1574"/>
        <v>1</v>
      </c>
      <c r="AC1695" s="553">
        <f t="shared" si="1574"/>
        <v>1</v>
      </c>
      <c r="AD1695" s="553">
        <f t="shared" si="1574"/>
        <v>1</v>
      </c>
      <c r="AE1695" s="553">
        <f t="shared" si="1574"/>
        <v>1</v>
      </c>
      <c r="AF1695" s="553">
        <f t="shared" si="1574"/>
        <v>1</v>
      </c>
      <c r="AH1695" s="538"/>
      <c r="AN1695" s="535"/>
      <c r="AP1695" s="535"/>
      <c r="AQ1695" s="535"/>
    </row>
    <row r="1696" spans="1:43" ht="16.5" hidden="1" customHeight="1" outlineLevel="2">
      <c r="A1696" s="584"/>
      <c r="B1696" s="641" t="s">
        <v>924</v>
      </c>
      <c r="C1696" s="592">
        <f>'Sal._benef.'!$D$36</f>
        <v>4414.2</v>
      </c>
      <c r="D1696" s="592">
        <f>C1696</f>
        <v>4414.2</v>
      </c>
      <c r="E1696" s="592">
        <f t="shared" ref="E1696:T1696" si="1575">D1696</f>
        <v>4414.2</v>
      </c>
      <c r="F1696" s="592">
        <f t="shared" si="1575"/>
        <v>4414.2</v>
      </c>
      <c r="G1696" s="592">
        <f t="shared" si="1575"/>
        <v>4414.2</v>
      </c>
      <c r="H1696" s="592">
        <f t="shared" si="1575"/>
        <v>4414.2</v>
      </c>
      <c r="I1696" s="592">
        <f t="shared" si="1575"/>
        <v>4414.2</v>
      </c>
      <c r="J1696" s="592">
        <f t="shared" si="1575"/>
        <v>4414.2</v>
      </c>
      <c r="K1696" s="592">
        <f t="shared" si="1575"/>
        <v>4414.2</v>
      </c>
      <c r="L1696" s="592">
        <f t="shared" si="1575"/>
        <v>4414.2</v>
      </c>
      <c r="M1696" s="592">
        <f t="shared" si="1575"/>
        <v>4414.2</v>
      </c>
      <c r="N1696" s="592">
        <f t="shared" si="1575"/>
        <v>4414.2</v>
      </c>
      <c r="O1696" s="592">
        <f t="shared" si="1575"/>
        <v>4414.2</v>
      </c>
      <c r="P1696" s="592">
        <f t="shared" si="1575"/>
        <v>4414.2</v>
      </c>
      <c r="Q1696" s="592">
        <f t="shared" si="1575"/>
        <v>4414.2</v>
      </c>
      <c r="R1696" s="592">
        <f t="shared" si="1575"/>
        <v>4414.2</v>
      </c>
      <c r="S1696" s="592">
        <f t="shared" si="1575"/>
        <v>4414.2</v>
      </c>
      <c r="T1696" s="592">
        <f t="shared" si="1575"/>
        <v>4414.2</v>
      </c>
      <c r="U1696" s="592">
        <f t="shared" si="1573"/>
        <v>4414.2</v>
      </c>
      <c r="V1696" s="592">
        <f t="shared" si="1573"/>
        <v>4414.2</v>
      </c>
      <c r="W1696" s="592">
        <f t="shared" si="1573"/>
        <v>4414.2</v>
      </c>
      <c r="X1696" s="592">
        <f t="shared" si="1573"/>
        <v>4414.2</v>
      </c>
      <c r="Y1696" s="592">
        <f t="shared" si="1573"/>
        <v>4414.2</v>
      </c>
      <c r="Z1696" s="592">
        <f t="shared" si="1574"/>
        <v>4414.2</v>
      </c>
      <c r="AA1696" s="592">
        <f t="shared" si="1574"/>
        <v>4414.2</v>
      </c>
      <c r="AB1696" s="592">
        <f t="shared" si="1574"/>
        <v>4414.2</v>
      </c>
      <c r="AC1696" s="592">
        <f t="shared" si="1574"/>
        <v>4414.2</v>
      </c>
      <c r="AD1696" s="592">
        <f t="shared" si="1574"/>
        <v>4414.2</v>
      </c>
      <c r="AE1696" s="592">
        <f t="shared" si="1574"/>
        <v>4414.2</v>
      </c>
      <c r="AF1696" s="592">
        <f t="shared" si="1574"/>
        <v>4414.2</v>
      </c>
      <c r="AH1696" s="538"/>
      <c r="AN1696" s="535"/>
      <c r="AP1696" s="535"/>
      <c r="AQ1696" s="535"/>
    </row>
    <row r="1697" spans="1:43" s="668" customFormat="1" ht="16.5" hidden="1" customHeight="1" outlineLevel="2">
      <c r="A1697" s="584"/>
      <c r="B1697" s="580" t="s">
        <v>1104</v>
      </c>
      <c r="C1697" s="581">
        <f>C1698*C1699</f>
        <v>1842</v>
      </c>
      <c r="D1697" s="581">
        <f t="shared" ref="D1697:AF1697" si="1576">D1698*D1699</f>
        <v>1842</v>
      </c>
      <c r="E1697" s="581">
        <f t="shared" si="1576"/>
        <v>1842</v>
      </c>
      <c r="F1697" s="581">
        <f t="shared" si="1576"/>
        <v>1842</v>
      </c>
      <c r="G1697" s="581">
        <f t="shared" si="1576"/>
        <v>1842</v>
      </c>
      <c r="H1697" s="581">
        <f t="shared" si="1576"/>
        <v>1842</v>
      </c>
      <c r="I1697" s="581">
        <f t="shared" si="1576"/>
        <v>1842</v>
      </c>
      <c r="J1697" s="581">
        <f t="shared" si="1576"/>
        <v>1842</v>
      </c>
      <c r="K1697" s="581">
        <f t="shared" si="1576"/>
        <v>1842</v>
      </c>
      <c r="L1697" s="581">
        <f t="shared" si="1576"/>
        <v>1842</v>
      </c>
      <c r="M1697" s="581">
        <f t="shared" si="1576"/>
        <v>1842</v>
      </c>
      <c r="N1697" s="581">
        <f t="shared" si="1576"/>
        <v>1842</v>
      </c>
      <c r="O1697" s="581">
        <f t="shared" si="1576"/>
        <v>1842</v>
      </c>
      <c r="P1697" s="581">
        <f t="shared" si="1576"/>
        <v>1842</v>
      </c>
      <c r="Q1697" s="581">
        <f t="shared" si="1576"/>
        <v>1842</v>
      </c>
      <c r="R1697" s="581">
        <f t="shared" si="1576"/>
        <v>1842</v>
      </c>
      <c r="S1697" s="581">
        <f t="shared" si="1576"/>
        <v>1842</v>
      </c>
      <c r="T1697" s="581">
        <f t="shared" si="1576"/>
        <v>1842</v>
      </c>
      <c r="U1697" s="581">
        <f t="shared" si="1576"/>
        <v>1842</v>
      </c>
      <c r="V1697" s="581">
        <f t="shared" si="1576"/>
        <v>1842</v>
      </c>
      <c r="W1697" s="581">
        <f t="shared" si="1576"/>
        <v>1842</v>
      </c>
      <c r="X1697" s="581">
        <f t="shared" si="1576"/>
        <v>1842</v>
      </c>
      <c r="Y1697" s="581">
        <f t="shared" si="1576"/>
        <v>1842</v>
      </c>
      <c r="Z1697" s="581">
        <f t="shared" si="1576"/>
        <v>1842</v>
      </c>
      <c r="AA1697" s="581">
        <f t="shared" si="1576"/>
        <v>1842</v>
      </c>
      <c r="AB1697" s="581">
        <f t="shared" si="1576"/>
        <v>1842</v>
      </c>
      <c r="AC1697" s="581">
        <f t="shared" si="1576"/>
        <v>1842</v>
      </c>
      <c r="AD1697" s="581">
        <f t="shared" si="1576"/>
        <v>1842</v>
      </c>
      <c r="AE1697" s="581">
        <f t="shared" si="1576"/>
        <v>1842</v>
      </c>
      <c r="AF1697" s="581">
        <f t="shared" si="1576"/>
        <v>1842</v>
      </c>
      <c r="AG1697" s="546"/>
      <c r="AH1697" s="571"/>
      <c r="AK1697" s="687"/>
      <c r="AM1697" s="690"/>
      <c r="AN1697" s="535"/>
      <c r="AP1697" s="669"/>
      <c r="AQ1697" s="669"/>
    </row>
    <row r="1698" spans="1:43" ht="16.5" hidden="1" customHeight="1" outlineLevel="2">
      <c r="A1698" s="584"/>
      <c r="B1698" s="641" t="s">
        <v>805</v>
      </c>
      <c r="C1698" s="553">
        <v>1</v>
      </c>
      <c r="D1698" s="553">
        <f>C1698</f>
        <v>1</v>
      </c>
      <c r="E1698" s="553">
        <f t="shared" ref="E1698:T1699" si="1577">D1698</f>
        <v>1</v>
      </c>
      <c r="F1698" s="553">
        <f t="shared" si="1577"/>
        <v>1</v>
      </c>
      <c r="G1698" s="553">
        <f t="shared" si="1577"/>
        <v>1</v>
      </c>
      <c r="H1698" s="553">
        <f t="shared" si="1577"/>
        <v>1</v>
      </c>
      <c r="I1698" s="553">
        <f t="shared" si="1577"/>
        <v>1</v>
      </c>
      <c r="J1698" s="553">
        <f t="shared" si="1577"/>
        <v>1</v>
      </c>
      <c r="K1698" s="553">
        <f t="shared" si="1577"/>
        <v>1</v>
      </c>
      <c r="L1698" s="553">
        <f t="shared" si="1577"/>
        <v>1</v>
      </c>
      <c r="M1698" s="553">
        <f t="shared" si="1577"/>
        <v>1</v>
      </c>
      <c r="N1698" s="553">
        <f t="shared" si="1577"/>
        <v>1</v>
      </c>
      <c r="O1698" s="553">
        <f t="shared" si="1577"/>
        <v>1</v>
      </c>
      <c r="P1698" s="553">
        <f t="shared" si="1577"/>
        <v>1</v>
      </c>
      <c r="Q1698" s="553">
        <f t="shared" si="1577"/>
        <v>1</v>
      </c>
      <c r="R1698" s="553">
        <f t="shared" si="1577"/>
        <v>1</v>
      </c>
      <c r="S1698" s="553">
        <f t="shared" si="1577"/>
        <v>1</v>
      </c>
      <c r="T1698" s="553">
        <f t="shared" si="1577"/>
        <v>1</v>
      </c>
      <c r="U1698" s="553">
        <f t="shared" ref="U1698:AF1699" si="1578">T1698</f>
        <v>1</v>
      </c>
      <c r="V1698" s="553">
        <f t="shared" si="1578"/>
        <v>1</v>
      </c>
      <c r="W1698" s="553">
        <f t="shared" si="1578"/>
        <v>1</v>
      </c>
      <c r="X1698" s="553">
        <f t="shared" si="1578"/>
        <v>1</v>
      </c>
      <c r="Y1698" s="553">
        <f t="shared" si="1578"/>
        <v>1</v>
      </c>
      <c r="Z1698" s="553">
        <f t="shared" si="1578"/>
        <v>1</v>
      </c>
      <c r="AA1698" s="553">
        <f t="shared" si="1578"/>
        <v>1</v>
      </c>
      <c r="AB1698" s="553">
        <f t="shared" si="1578"/>
        <v>1</v>
      </c>
      <c r="AC1698" s="553">
        <f t="shared" si="1578"/>
        <v>1</v>
      </c>
      <c r="AD1698" s="553">
        <f t="shared" si="1578"/>
        <v>1</v>
      </c>
      <c r="AE1698" s="553">
        <f t="shared" si="1578"/>
        <v>1</v>
      </c>
      <c r="AF1698" s="553">
        <f t="shared" si="1578"/>
        <v>1</v>
      </c>
      <c r="AH1698" s="538"/>
      <c r="AN1698" s="535"/>
      <c r="AP1698" s="535"/>
      <c r="AQ1698" s="535"/>
    </row>
    <row r="1699" spans="1:43" ht="16.5" hidden="1" customHeight="1" outlineLevel="2">
      <c r="A1699" s="584"/>
      <c r="B1699" s="641" t="s">
        <v>924</v>
      </c>
      <c r="C1699" s="592">
        <f>'Sal._benef.'!$D$29</f>
        <v>1842</v>
      </c>
      <c r="D1699" s="592">
        <f>C1699</f>
        <v>1842</v>
      </c>
      <c r="E1699" s="592">
        <f t="shared" si="1577"/>
        <v>1842</v>
      </c>
      <c r="F1699" s="592">
        <f t="shared" si="1577"/>
        <v>1842</v>
      </c>
      <c r="G1699" s="592">
        <f t="shared" si="1577"/>
        <v>1842</v>
      </c>
      <c r="H1699" s="592">
        <f t="shared" si="1577"/>
        <v>1842</v>
      </c>
      <c r="I1699" s="592">
        <f t="shared" si="1577"/>
        <v>1842</v>
      </c>
      <c r="J1699" s="592">
        <f t="shared" si="1577"/>
        <v>1842</v>
      </c>
      <c r="K1699" s="592">
        <f t="shared" si="1577"/>
        <v>1842</v>
      </c>
      <c r="L1699" s="592">
        <f t="shared" si="1577"/>
        <v>1842</v>
      </c>
      <c r="M1699" s="592">
        <f t="shared" si="1577"/>
        <v>1842</v>
      </c>
      <c r="N1699" s="592">
        <f t="shared" si="1577"/>
        <v>1842</v>
      </c>
      <c r="O1699" s="592">
        <f t="shared" si="1577"/>
        <v>1842</v>
      </c>
      <c r="P1699" s="592">
        <f t="shared" si="1577"/>
        <v>1842</v>
      </c>
      <c r="Q1699" s="592">
        <f t="shared" si="1577"/>
        <v>1842</v>
      </c>
      <c r="R1699" s="592">
        <f t="shared" si="1577"/>
        <v>1842</v>
      </c>
      <c r="S1699" s="592">
        <f t="shared" si="1577"/>
        <v>1842</v>
      </c>
      <c r="T1699" s="592">
        <f t="shared" si="1577"/>
        <v>1842</v>
      </c>
      <c r="U1699" s="592">
        <f t="shared" si="1578"/>
        <v>1842</v>
      </c>
      <c r="V1699" s="592">
        <f t="shared" si="1578"/>
        <v>1842</v>
      </c>
      <c r="W1699" s="592">
        <f t="shared" si="1578"/>
        <v>1842</v>
      </c>
      <c r="X1699" s="592">
        <f t="shared" si="1578"/>
        <v>1842</v>
      </c>
      <c r="Y1699" s="592">
        <f t="shared" si="1578"/>
        <v>1842</v>
      </c>
      <c r="Z1699" s="592">
        <f t="shared" si="1578"/>
        <v>1842</v>
      </c>
      <c r="AA1699" s="592">
        <f t="shared" si="1578"/>
        <v>1842</v>
      </c>
      <c r="AB1699" s="592">
        <f t="shared" si="1578"/>
        <v>1842</v>
      </c>
      <c r="AC1699" s="592">
        <f t="shared" si="1578"/>
        <v>1842</v>
      </c>
      <c r="AD1699" s="592">
        <f t="shared" si="1578"/>
        <v>1842</v>
      </c>
      <c r="AE1699" s="592">
        <f t="shared" si="1578"/>
        <v>1842</v>
      </c>
      <c r="AF1699" s="592">
        <f t="shared" si="1578"/>
        <v>1842</v>
      </c>
      <c r="AH1699" s="538"/>
      <c r="AN1699" s="535"/>
      <c r="AP1699" s="535"/>
      <c r="AQ1699" s="535"/>
    </row>
    <row r="1700" spans="1:43" s="666" customFormat="1" ht="16.5" hidden="1" customHeight="1" outlineLevel="1" collapsed="1">
      <c r="A1700" s="584"/>
      <c r="B1700" s="665" t="s">
        <v>936</v>
      </c>
      <c r="C1700" s="577">
        <f>C1701</f>
        <v>141.83952288</v>
      </c>
      <c r="D1700" s="577">
        <f t="shared" ref="D1700:AF1700" si="1579">D1701</f>
        <v>141.83952288</v>
      </c>
      <c r="E1700" s="577">
        <f t="shared" si="1579"/>
        <v>141.83952288</v>
      </c>
      <c r="F1700" s="577">
        <f t="shared" si="1579"/>
        <v>141.83952288</v>
      </c>
      <c r="G1700" s="577">
        <f t="shared" si="1579"/>
        <v>141.83952288</v>
      </c>
      <c r="H1700" s="577">
        <f t="shared" si="1579"/>
        <v>141.83952288</v>
      </c>
      <c r="I1700" s="577">
        <f t="shared" si="1579"/>
        <v>179.46439800000002</v>
      </c>
      <c r="J1700" s="577">
        <f t="shared" si="1579"/>
        <v>179.46439800000002</v>
      </c>
      <c r="K1700" s="577">
        <f t="shared" si="1579"/>
        <v>179.46439800000002</v>
      </c>
      <c r="L1700" s="577">
        <f t="shared" si="1579"/>
        <v>179.46439800000002</v>
      </c>
      <c r="M1700" s="577">
        <f t="shared" si="1579"/>
        <v>179.46439800000002</v>
      </c>
      <c r="N1700" s="577">
        <f t="shared" si="1579"/>
        <v>179.46439800000002</v>
      </c>
      <c r="O1700" s="577">
        <f t="shared" si="1579"/>
        <v>179.46439800000002</v>
      </c>
      <c r="P1700" s="577">
        <f t="shared" si="1579"/>
        <v>179.46439800000002</v>
      </c>
      <c r="Q1700" s="577">
        <f t="shared" si="1579"/>
        <v>179.46439800000002</v>
      </c>
      <c r="R1700" s="577">
        <f t="shared" si="1579"/>
        <v>179.46439800000002</v>
      </c>
      <c r="S1700" s="577">
        <f t="shared" si="1579"/>
        <v>179.46439800000002</v>
      </c>
      <c r="T1700" s="577">
        <f t="shared" si="1579"/>
        <v>179.46439800000002</v>
      </c>
      <c r="U1700" s="577">
        <f t="shared" si="1579"/>
        <v>179.46439800000002</v>
      </c>
      <c r="V1700" s="577">
        <f t="shared" si="1579"/>
        <v>179.46439800000002</v>
      </c>
      <c r="W1700" s="577">
        <f t="shared" si="1579"/>
        <v>179.46439800000002</v>
      </c>
      <c r="X1700" s="577">
        <f t="shared" si="1579"/>
        <v>179.46439800000002</v>
      </c>
      <c r="Y1700" s="577">
        <f t="shared" si="1579"/>
        <v>179.46439800000002</v>
      </c>
      <c r="Z1700" s="577">
        <f t="shared" si="1579"/>
        <v>179.46439800000002</v>
      </c>
      <c r="AA1700" s="577">
        <f t="shared" si="1579"/>
        <v>179.46439800000002</v>
      </c>
      <c r="AB1700" s="577">
        <f t="shared" si="1579"/>
        <v>179.46439800000002</v>
      </c>
      <c r="AC1700" s="577">
        <f t="shared" si="1579"/>
        <v>179.46439800000002</v>
      </c>
      <c r="AD1700" s="577">
        <f t="shared" si="1579"/>
        <v>179.46439800000002</v>
      </c>
      <c r="AE1700" s="577">
        <f t="shared" si="1579"/>
        <v>179.46439800000002</v>
      </c>
      <c r="AF1700" s="577">
        <f t="shared" si="1579"/>
        <v>179.46439800000002</v>
      </c>
      <c r="AG1700" s="564"/>
      <c r="AH1700" s="578">
        <f>SUM(C1700:AF1700)</f>
        <v>5158.1826892800018</v>
      </c>
      <c r="AK1700" s="515"/>
      <c r="AM1700" s="689"/>
      <c r="AN1700" s="535"/>
      <c r="AP1700" s="667"/>
      <c r="AQ1700" s="667"/>
    </row>
    <row r="1701" spans="1:43" s="668" customFormat="1" ht="16.5" hidden="1" customHeight="1" outlineLevel="2">
      <c r="A1701" s="584"/>
      <c r="B1701" s="580" t="s">
        <v>937</v>
      </c>
      <c r="C1701" s="570">
        <f t="shared" ref="C1701:AF1701" si="1580">C1684*C1702</f>
        <v>141.83952288</v>
      </c>
      <c r="D1701" s="570">
        <f t="shared" si="1580"/>
        <v>141.83952288</v>
      </c>
      <c r="E1701" s="570">
        <f t="shared" si="1580"/>
        <v>141.83952288</v>
      </c>
      <c r="F1701" s="570">
        <f t="shared" si="1580"/>
        <v>141.83952288</v>
      </c>
      <c r="G1701" s="570">
        <f t="shared" si="1580"/>
        <v>141.83952288</v>
      </c>
      <c r="H1701" s="570">
        <f t="shared" si="1580"/>
        <v>141.83952288</v>
      </c>
      <c r="I1701" s="570">
        <f t="shared" si="1580"/>
        <v>179.46439800000002</v>
      </c>
      <c r="J1701" s="570">
        <f t="shared" si="1580"/>
        <v>179.46439800000002</v>
      </c>
      <c r="K1701" s="570">
        <f t="shared" si="1580"/>
        <v>179.46439800000002</v>
      </c>
      <c r="L1701" s="570">
        <f t="shared" si="1580"/>
        <v>179.46439800000002</v>
      </c>
      <c r="M1701" s="570">
        <f t="shared" si="1580"/>
        <v>179.46439800000002</v>
      </c>
      <c r="N1701" s="570">
        <f t="shared" si="1580"/>
        <v>179.46439800000002</v>
      </c>
      <c r="O1701" s="570">
        <f t="shared" si="1580"/>
        <v>179.46439800000002</v>
      </c>
      <c r="P1701" s="570">
        <f t="shared" si="1580"/>
        <v>179.46439800000002</v>
      </c>
      <c r="Q1701" s="570">
        <f t="shared" si="1580"/>
        <v>179.46439800000002</v>
      </c>
      <c r="R1701" s="570">
        <f t="shared" si="1580"/>
        <v>179.46439800000002</v>
      </c>
      <c r="S1701" s="570">
        <f t="shared" si="1580"/>
        <v>179.46439800000002</v>
      </c>
      <c r="T1701" s="570">
        <f t="shared" si="1580"/>
        <v>179.46439800000002</v>
      </c>
      <c r="U1701" s="570">
        <f t="shared" si="1580"/>
        <v>179.46439800000002</v>
      </c>
      <c r="V1701" s="570">
        <f t="shared" si="1580"/>
        <v>179.46439800000002</v>
      </c>
      <c r="W1701" s="570">
        <f t="shared" si="1580"/>
        <v>179.46439800000002</v>
      </c>
      <c r="X1701" s="570">
        <f t="shared" si="1580"/>
        <v>179.46439800000002</v>
      </c>
      <c r="Y1701" s="570">
        <f t="shared" si="1580"/>
        <v>179.46439800000002</v>
      </c>
      <c r="Z1701" s="570">
        <f t="shared" si="1580"/>
        <v>179.46439800000002</v>
      </c>
      <c r="AA1701" s="570">
        <f t="shared" si="1580"/>
        <v>179.46439800000002</v>
      </c>
      <c r="AB1701" s="570">
        <f t="shared" si="1580"/>
        <v>179.46439800000002</v>
      </c>
      <c r="AC1701" s="570">
        <f t="shared" si="1580"/>
        <v>179.46439800000002</v>
      </c>
      <c r="AD1701" s="570">
        <f t="shared" si="1580"/>
        <v>179.46439800000002</v>
      </c>
      <c r="AE1701" s="570">
        <f t="shared" si="1580"/>
        <v>179.46439800000002</v>
      </c>
      <c r="AF1701" s="570">
        <f t="shared" si="1580"/>
        <v>179.46439800000002</v>
      </c>
      <c r="AG1701" s="546"/>
      <c r="AH1701" s="571"/>
      <c r="AK1701" s="687"/>
      <c r="AM1701" s="690"/>
      <c r="AN1701" s="535"/>
      <c r="AP1701" s="669"/>
      <c r="AQ1701" s="669"/>
    </row>
    <row r="1702" spans="1:43" ht="16.5" hidden="1" customHeight="1" outlineLevel="2">
      <c r="A1702" s="584"/>
      <c r="B1702" s="585" t="s">
        <v>938</v>
      </c>
      <c r="C1702" s="670">
        <f>'Sal._benef.'!$F$11</f>
        <v>0.71030000000000004</v>
      </c>
      <c r="D1702" s="670">
        <f>C1702</f>
        <v>0.71030000000000004</v>
      </c>
      <c r="E1702" s="670">
        <f t="shared" ref="E1702:AF1702" si="1581">D1702</f>
        <v>0.71030000000000004</v>
      </c>
      <c r="F1702" s="670">
        <f t="shared" si="1581"/>
        <v>0.71030000000000004</v>
      </c>
      <c r="G1702" s="670">
        <f t="shared" si="1581"/>
        <v>0.71030000000000004</v>
      </c>
      <c r="H1702" s="670">
        <f t="shared" si="1581"/>
        <v>0.71030000000000004</v>
      </c>
      <c r="I1702" s="670">
        <f t="shared" si="1581"/>
        <v>0.71030000000000004</v>
      </c>
      <c r="J1702" s="670">
        <f t="shared" si="1581"/>
        <v>0.71030000000000004</v>
      </c>
      <c r="K1702" s="670">
        <f t="shared" si="1581"/>
        <v>0.71030000000000004</v>
      </c>
      <c r="L1702" s="670">
        <f t="shared" si="1581"/>
        <v>0.71030000000000004</v>
      </c>
      <c r="M1702" s="670">
        <f t="shared" si="1581"/>
        <v>0.71030000000000004</v>
      </c>
      <c r="N1702" s="670">
        <f t="shared" si="1581"/>
        <v>0.71030000000000004</v>
      </c>
      <c r="O1702" s="670">
        <f t="shared" si="1581"/>
        <v>0.71030000000000004</v>
      </c>
      <c r="P1702" s="670">
        <f t="shared" si="1581"/>
        <v>0.71030000000000004</v>
      </c>
      <c r="Q1702" s="670">
        <f t="shared" si="1581"/>
        <v>0.71030000000000004</v>
      </c>
      <c r="R1702" s="670">
        <f t="shared" si="1581"/>
        <v>0.71030000000000004</v>
      </c>
      <c r="S1702" s="670">
        <f t="shared" si="1581"/>
        <v>0.71030000000000004</v>
      </c>
      <c r="T1702" s="670">
        <f t="shared" si="1581"/>
        <v>0.71030000000000004</v>
      </c>
      <c r="U1702" s="670">
        <f t="shared" si="1581"/>
        <v>0.71030000000000004</v>
      </c>
      <c r="V1702" s="670">
        <f t="shared" si="1581"/>
        <v>0.71030000000000004</v>
      </c>
      <c r="W1702" s="670">
        <f t="shared" si="1581"/>
        <v>0.71030000000000004</v>
      </c>
      <c r="X1702" s="670">
        <f t="shared" si="1581"/>
        <v>0.71030000000000004</v>
      </c>
      <c r="Y1702" s="670">
        <f t="shared" si="1581"/>
        <v>0.71030000000000004</v>
      </c>
      <c r="Z1702" s="670">
        <f t="shared" si="1581"/>
        <v>0.71030000000000004</v>
      </c>
      <c r="AA1702" s="670">
        <f t="shared" si="1581"/>
        <v>0.71030000000000004</v>
      </c>
      <c r="AB1702" s="670">
        <f t="shared" si="1581"/>
        <v>0.71030000000000004</v>
      </c>
      <c r="AC1702" s="670">
        <f t="shared" si="1581"/>
        <v>0.71030000000000004</v>
      </c>
      <c r="AD1702" s="670">
        <f t="shared" si="1581"/>
        <v>0.71030000000000004</v>
      </c>
      <c r="AE1702" s="670">
        <f t="shared" si="1581"/>
        <v>0.71030000000000004</v>
      </c>
      <c r="AF1702" s="670">
        <f t="shared" si="1581"/>
        <v>0.71030000000000004</v>
      </c>
      <c r="AH1702" s="538"/>
      <c r="AN1702" s="535"/>
      <c r="AP1702" s="535"/>
      <c r="AQ1702" s="535"/>
    </row>
    <row r="1703" spans="1:43" s="666" customFormat="1" ht="16.5" hidden="1" customHeight="1" outlineLevel="1" collapsed="1">
      <c r="A1703" s="584"/>
      <c r="B1703" s="665" t="s">
        <v>939</v>
      </c>
      <c r="C1703" s="577">
        <f>SUM(C1704,C1710,C1716,C1722,C1728)*12/10^3</f>
        <v>34.983057600000002</v>
      </c>
      <c r="D1703" s="577">
        <f t="shared" ref="D1703:AF1703" si="1582">SUM(D1704,D1710,D1716,D1722,D1728)*12/10^3</f>
        <v>34.983057600000002</v>
      </c>
      <c r="E1703" s="577">
        <f t="shared" si="1582"/>
        <v>34.983057600000002</v>
      </c>
      <c r="F1703" s="577">
        <f t="shared" si="1582"/>
        <v>34.983057600000002</v>
      </c>
      <c r="G1703" s="577">
        <f t="shared" si="1582"/>
        <v>34.983057600000002</v>
      </c>
      <c r="H1703" s="577">
        <f t="shared" si="1582"/>
        <v>34.983057600000002</v>
      </c>
      <c r="I1703" s="577">
        <f t="shared" si="1582"/>
        <v>41.049417599999991</v>
      </c>
      <c r="J1703" s="577">
        <f t="shared" si="1582"/>
        <v>41.049417599999991</v>
      </c>
      <c r="K1703" s="577">
        <f t="shared" si="1582"/>
        <v>41.049417599999991</v>
      </c>
      <c r="L1703" s="577">
        <f t="shared" si="1582"/>
        <v>41.049417599999991</v>
      </c>
      <c r="M1703" s="577">
        <f t="shared" si="1582"/>
        <v>41.049417599999991</v>
      </c>
      <c r="N1703" s="577">
        <f t="shared" si="1582"/>
        <v>41.049417599999991</v>
      </c>
      <c r="O1703" s="577">
        <f t="shared" si="1582"/>
        <v>41.049417599999991</v>
      </c>
      <c r="P1703" s="577">
        <f t="shared" si="1582"/>
        <v>41.049417599999991</v>
      </c>
      <c r="Q1703" s="577">
        <f t="shared" si="1582"/>
        <v>41.049417599999991</v>
      </c>
      <c r="R1703" s="577">
        <f t="shared" si="1582"/>
        <v>41.049417599999991</v>
      </c>
      <c r="S1703" s="577">
        <f t="shared" si="1582"/>
        <v>41.049417599999991</v>
      </c>
      <c r="T1703" s="577">
        <f t="shared" si="1582"/>
        <v>41.049417599999991</v>
      </c>
      <c r="U1703" s="577">
        <f t="shared" si="1582"/>
        <v>41.049417599999991</v>
      </c>
      <c r="V1703" s="577">
        <f t="shared" si="1582"/>
        <v>41.049417599999991</v>
      </c>
      <c r="W1703" s="577">
        <f t="shared" si="1582"/>
        <v>41.049417599999991</v>
      </c>
      <c r="X1703" s="577">
        <f t="shared" si="1582"/>
        <v>41.049417599999991</v>
      </c>
      <c r="Y1703" s="577">
        <f t="shared" si="1582"/>
        <v>41.049417599999991</v>
      </c>
      <c r="Z1703" s="577">
        <f t="shared" si="1582"/>
        <v>41.049417599999991</v>
      </c>
      <c r="AA1703" s="577">
        <f t="shared" si="1582"/>
        <v>41.049417599999991</v>
      </c>
      <c r="AB1703" s="577">
        <f t="shared" si="1582"/>
        <v>41.049417599999991</v>
      </c>
      <c r="AC1703" s="577">
        <f t="shared" si="1582"/>
        <v>41.049417599999991</v>
      </c>
      <c r="AD1703" s="577">
        <f t="shared" si="1582"/>
        <v>41.049417599999991</v>
      </c>
      <c r="AE1703" s="577">
        <f t="shared" si="1582"/>
        <v>41.049417599999991</v>
      </c>
      <c r="AF1703" s="577">
        <f t="shared" si="1582"/>
        <v>41.049417599999991</v>
      </c>
      <c r="AG1703" s="577" t="e">
        <f>SUM(AG1704,#REF!,#REF!,AG1710,AG1716,AG1722,AG1728)*12/10^3</f>
        <v>#REF!</v>
      </c>
      <c r="AH1703" s="578">
        <f>SUM(C1703:AF1703)</f>
        <v>1195.0843679999994</v>
      </c>
      <c r="AK1703" s="515"/>
      <c r="AM1703" s="689"/>
      <c r="AN1703" s="535"/>
      <c r="AP1703" s="667"/>
      <c r="AQ1703" s="667"/>
    </row>
    <row r="1704" spans="1:43" s="668" customFormat="1" ht="16.5" hidden="1" customHeight="1" outlineLevel="2">
      <c r="A1704" s="584"/>
      <c r="B1704" s="671" t="str">
        <f>B1685</f>
        <v>Auxiliar administrativo</v>
      </c>
      <c r="C1704" s="570">
        <f>C1705*(C1706+C1707+C1708+C1709)</f>
        <v>1257.4848</v>
      </c>
      <c r="D1704" s="570">
        <f t="shared" ref="D1704:AF1704" si="1583">D1705*(D1706+D1707+D1708+D1709)</f>
        <v>1257.4848</v>
      </c>
      <c r="E1704" s="570">
        <f t="shared" si="1583"/>
        <v>1257.4848</v>
      </c>
      <c r="F1704" s="570">
        <f t="shared" si="1583"/>
        <v>1257.4848</v>
      </c>
      <c r="G1704" s="570">
        <f t="shared" si="1583"/>
        <v>1257.4848</v>
      </c>
      <c r="H1704" s="570">
        <f t="shared" si="1583"/>
        <v>1257.4848</v>
      </c>
      <c r="I1704" s="570">
        <f t="shared" si="1583"/>
        <v>1257.4848</v>
      </c>
      <c r="J1704" s="570">
        <f t="shared" si="1583"/>
        <v>1257.4848</v>
      </c>
      <c r="K1704" s="570">
        <f t="shared" si="1583"/>
        <v>1257.4848</v>
      </c>
      <c r="L1704" s="570">
        <f t="shared" si="1583"/>
        <v>1257.4848</v>
      </c>
      <c r="M1704" s="570">
        <f t="shared" si="1583"/>
        <v>1257.4848</v>
      </c>
      <c r="N1704" s="570">
        <f t="shared" si="1583"/>
        <v>1257.4848</v>
      </c>
      <c r="O1704" s="570">
        <f t="shared" si="1583"/>
        <v>1257.4848</v>
      </c>
      <c r="P1704" s="570">
        <f t="shared" si="1583"/>
        <v>1257.4848</v>
      </c>
      <c r="Q1704" s="570">
        <f t="shared" si="1583"/>
        <v>1257.4848</v>
      </c>
      <c r="R1704" s="570">
        <f t="shared" si="1583"/>
        <v>1257.4848</v>
      </c>
      <c r="S1704" s="570">
        <f t="shared" si="1583"/>
        <v>1257.4848</v>
      </c>
      <c r="T1704" s="570">
        <f t="shared" si="1583"/>
        <v>1257.4848</v>
      </c>
      <c r="U1704" s="570">
        <f t="shared" si="1583"/>
        <v>1257.4848</v>
      </c>
      <c r="V1704" s="570">
        <f t="shared" si="1583"/>
        <v>1257.4848</v>
      </c>
      <c r="W1704" s="570">
        <f t="shared" si="1583"/>
        <v>1257.4848</v>
      </c>
      <c r="X1704" s="570">
        <f t="shared" si="1583"/>
        <v>1257.4848</v>
      </c>
      <c r="Y1704" s="570">
        <f t="shared" si="1583"/>
        <v>1257.4848</v>
      </c>
      <c r="Z1704" s="570">
        <f t="shared" si="1583"/>
        <v>1257.4848</v>
      </c>
      <c r="AA1704" s="570">
        <f t="shared" si="1583"/>
        <v>1257.4848</v>
      </c>
      <c r="AB1704" s="570">
        <f t="shared" si="1583"/>
        <v>1257.4848</v>
      </c>
      <c r="AC1704" s="570">
        <f t="shared" si="1583"/>
        <v>1257.4848</v>
      </c>
      <c r="AD1704" s="570">
        <f t="shared" si="1583"/>
        <v>1257.4848</v>
      </c>
      <c r="AE1704" s="570">
        <f t="shared" si="1583"/>
        <v>1257.4848</v>
      </c>
      <c r="AF1704" s="570">
        <f t="shared" si="1583"/>
        <v>1257.4848</v>
      </c>
      <c r="AG1704" s="546"/>
      <c r="AH1704" s="571"/>
      <c r="AK1704" s="687"/>
      <c r="AM1704" s="690"/>
      <c r="AN1704" s="535"/>
      <c r="AP1704" s="669"/>
      <c r="AQ1704" s="669"/>
    </row>
    <row r="1705" spans="1:43" ht="16.5" hidden="1" customHeight="1" outlineLevel="2">
      <c r="A1705" s="584"/>
      <c r="B1705" s="641" t="s">
        <v>805</v>
      </c>
      <c r="C1705" s="573">
        <f t="shared" ref="C1705:AF1705" si="1584">C1686</f>
        <v>2</v>
      </c>
      <c r="D1705" s="573">
        <f t="shared" si="1584"/>
        <v>2</v>
      </c>
      <c r="E1705" s="573">
        <f t="shared" si="1584"/>
        <v>2</v>
      </c>
      <c r="F1705" s="573">
        <f t="shared" si="1584"/>
        <v>2</v>
      </c>
      <c r="G1705" s="573">
        <f t="shared" si="1584"/>
        <v>2</v>
      </c>
      <c r="H1705" s="573">
        <f t="shared" si="1584"/>
        <v>2</v>
      </c>
      <c r="I1705" s="573">
        <f t="shared" si="1584"/>
        <v>2</v>
      </c>
      <c r="J1705" s="573">
        <f t="shared" si="1584"/>
        <v>2</v>
      </c>
      <c r="K1705" s="573">
        <f t="shared" si="1584"/>
        <v>2</v>
      </c>
      <c r="L1705" s="573">
        <f t="shared" si="1584"/>
        <v>2</v>
      </c>
      <c r="M1705" s="573">
        <f t="shared" si="1584"/>
        <v>2</v>
      </c>
      <c r="N1705" s="573">
        <f t="shared" si="1584"/>
        <v>2</v>
      </c>
      <c r="O1705" s="573">
        <f t="shared" si="1584"/>
        <v>2</v>
      </c>
      <c r="P1705" s="573">
        <f t="shared" si="1584"/>
        <v>2</v>
      </c>
      <c r="Q1705" s="573">
        <f t="shared" si="1584"/>
        <v>2</v>
      </c>
      <c r="R1705" s="573">
        <f t="shared" si="1584"/>
        <v>2</v>
      </c>
      <c r="S1705" s="573">
        <f t="shared" si="1584"/>
        <v>2</v>
      </c>
      <c r="T1705" s="573">
        <f t="shared" si="1584"/>
        <v>2</v>
      </c>
      <c r="U1705" s="573">
        <f t="shared" si="1584"/>
        <v>2</v>
      </c>
      <c r="V1705" s="573">
        <f t="shared" si="1584"/>
        <v>2</v>
      </c>
      <c r="W1705" s="573">
        <f t="shared" si="1584"/>
        <v>2</v>
      </c>
      <c r="X1705" s="573">
        <f t="shared" si="1584"/>
        <v>2</v>
      </c>
      <c r="Y1705" s="573">
        <f t="shared" si="1584"/>
        <v>2</v>
      </c>
      <c r="Z1705" s="573">
        <f t="shared" si="1584"/>
        <v>2</v>
      </c>
      <c r="AA1705" s="573">
        <f t="shared" si="1584"/>
        <v>2</v>
      </c>
      <c r="AB1705" s="573">
        <f t="shared" si="1584"/>
        <v>2</v>
      </c>
      <c r="AC1705" s="573">
        <f t="shared" si="1584"/>
        <v>2</v>
      </c>
      <c r="AD1705" s="573">
        <f t="shared" si="1584"/>
        <v>2</v>
      </c>
      <c r="AE1705" s="573">
        <f t="shared" si="1584"/>
        <v>2</v>
      </c>
      <c r="AF1705" s="573">
        <f t="shared" si="1584"/>
        <v>2</v>
      </c>
      <c r="AH1705" s="538"/>
      <c r="AN1705" s="535"/>
      <c r="AP1705" s="535"/>
      <c r="AQ1705" s="535"/>
    </row>
    <row r="1706" spans="1:43" s="513" customFormat="1" ht="16.5" hidden="1" customHeight="1" outlineLevel="2">
      <c r="A1706" s="584"/>
      <c r="B1706" s="596" t="s">
        <v>940</v>
      </c>
      <c r="C1706" s="592">
        <f>'Sal._benef.'!$I$31</f>
        <v>500</v>
      </c>
      <c r="D1706" s="592">
        <f>C1706</f>
        <v>500</v>
      </c>
      <c r="E1706" s="592">
        <f t="shared" ref="E1706:G1709" si="1585">D1706</f>
        <v>500</v>
      </c>
      <c r="F1706" s="592">
        <f t="shared" si="1585"/>
        <v>500</v>
      </c>
      <c r="G1706" s="592">
        <f>F1706</f>
        <v>500</v>
      </c>
      <c r="H1706" s="592">
        <f t="shared" ref="H1706:W1709" si="1586">G1706</f>
        <v>500</v>
      </c>
      <c r="I1706" s="592">
        <f t="shared" si="1586"/>
        <v>500</v>
      </c>
      <c r="J1706" s="592">
        <f t="shared" si="1586"/>
        <v>500</v>
      </c>
      <c r="K1706" s="592">
        <f t="shared" si="1586"/>
        <v>500</v>
      </c>
      <c r="L1706" s="592">
        <f t="shared" si="1586"/>
        <v>500</v>
      </c>
      <c r="M1706" s="592">
        <f t="shared" si="1586"/>
        <v>500</v>
      </c>
      <c r="N1706" s="592">
        <f t="shared" si="1586"/>
        <v>500</v>
      </c>
      <c r="O1706" s="592">
        <f t="shared" si="1586"/>
        <v>500</v>
      </c>
      <c r="P1706" s="592">
        <f t="shared" si="1586"/>
        <v>500</v>
      </c>
      <c r="Q1706" s="592">
        <f t="shared" si="1586"/>
        <v>500</v>
      </c>
      <c r="R1706" s="592">
        <f t="shared" si="1586"/>
        <v>500</v>
      </c>
      <c r="S1706" s="592">
        <f t="shared" si="1586"/>
        <v>500</v>
      </c>
      <c r="T1706" s="592">
        <f t="shared" si="1586"/>
        <v>500</v>
      </c>
      <c r="U1706" s="592">
        <f t="shared" si="1586"/>
        <v>500</v>
      </c>
      <c r="V1706" s="592">
        <f t="shared" si="1586"/>
        <v>500</v>
      </c>
      <c r="W1706" s="592">
        <f t="shared" si="1586"/>
        <v>500</v>
      </c>
      <c r="X1706" s="592">
        <f t="shared" ref="X1706:AF1709" si="1587">W1706</f>
        <v>500</v>
      </c>
      <c r="Y1706" s="592">
        <f t="shared" si="1587"/>
        <v>500</v>
      </c>
      <c r="Z1706" s="592">
        <f t="shared" si="1587"/>
        <v>500</v>
      </c>
      <c r="AA1706" s="592">
        <f t="shared" si="1587"/>
        <v>500</v>
      </c>
      <c r="AB1706" s="592">
        <f t="shared" si="1587"/>
        <v>500</v>
      </c>
      <c r="AC1706" s="592">
        <f t="shared" si="1587"/>
        <v>500</v>
      </c>
      <c r="AD1706" s="592">
        <f t="shared" si="1587"/>
        <v>500</v>
      </c>
      <c r="AE1706" s="592">
        <f t="shared" si="1587"/>
        <v>500</v>
      </c>
      <c r="AF1706" s="592">
        <f t="shared" si="1587"/>
        <v>500</v>
      </c>
      <c r="AH1706" s="538"/>
      <c r="AK1706" s="515"/>
      <c r="AM1706" s="526"/>
      <c r="AN1706" s="535"/>
      <c r="AP1706" s="540"/>
      <c r="AQ1706" s="540"/>
    </row>
    <row r="1707" spans="1:43" s="513" customFormat="1" ht="16.5" hidden="1" customHeight="1" outlineLevel="2">
      <c r="A1707" s="584"/>
      <c r="B1707" s="596" t="s">
        <v>941</v>
      </c>
      <c r="C1707" s="592">
        <f>'Sal._benef.'!$K$31</f>
        <v>5.53</v>
      </c>
      <c r="D1707" s="592">
        <f>C1707</f>
        <v>5.53</v>
      </c>
      <c r="E1707" s="592">
        <f t="shared" si="1585"/>
        <v>5.53</v>
      </c>
      <c r="F1707" s="592">
        <f t="shared" si="1585"/>
        <v>5.53</v>
      </c>
      <c r="G1707" s="592">
        <f t="shared" si="1585"/>
        <v>5.53</v>
      </c>
      <c r="H1707" s="592">
        <f t="shared" si="1586"/>
        <v>5.53</v>
      </c>
      <c r="I1707" s="592">
        <f t="shared" si="1586"/>
        <v>5.53</v>
      </c>
      <c r="J1707" s="592">
        <f t="shared" si="1586"/>
        <v>5.53</v>
      </c>
      <c r="K1707" s="592">
        <f t="shared" si="1586"/>
        <v>5.53</v>
      </c>
      <c r="L1707" s="592">
        <f t="shared" si="1586"/>
        <v>5.53</v>
      </c>
      <c r="M1707" s="592">
        <f t="shared" si="1586"/>
        <v>5.53</v>
      </c>
      <c r="N1707" s="592">
        <f t="shared" si="1586"/>
        <v>5.53</v>
      </c>
      <c r="O1707" s="592">
        <f t="shared" si="1586"/>
        <v>5.53</v>
      </c>
      <c r="P1707" s="592">
        <f t="shared" si="1586"/>
        <v>5.53</v>
      </c>
      <c r="Q1707" s="592">
        <f t="shared" si="1586"/>
        <v>5.53</v>
      </c>
      <c r="R1707" s="592">
        <f t="shared" si="1586"/>
        <v>5.53</v>
      </c>
      <c r="S1707" s="592">
        <f t="shared" si="1586"/>
        <v>5.53</v>
      </c>
      <c r="T1707" s="592">
        <f t="shared" si="1586"/>
        <v>5.53</v>
      </c>
      <c r="U1707" s="592">
        <f t="shared" si="1586"/>
        <v>5.53</v>
      </c>
      <c r="V1707" s="592">
        <f t="shared" si="1586"/>
        <v>5.53</v>
      </c>
      <c r="W1707" s="592">
        <f t="shared" si="1586"/>
        <v>5.53</v>
      </c>
      <c r="X1707" s="592">
        <f t="shared" si="1587"/>
        <v>5.53</v>
      </c>
      <c r="Y1707" s="592">
        <f t="shared" si="1587"/>
        <v>5.53</v>
      </c>
      <c r="Z1707" s="592">
        <f t="shared" si="1587"/>
        <v>5.53</v>
      </c>
      <c r="AA1707" s="592">
        <f t="shared" si="1587"/>
        <v>5.53</v>
      </c>
      <c r="AB1707" s="592">
        <f t="shared" si="1587"/>
        <v>5.53</v>
      </c>
      <c r="AC1707" s="592">
        <f t="shared" si="1587"/>
        <v>5.53</v>
      </c>
      <c r="AD1707" s="592">
        <f t="shared" si="1587"/>
        <v>5.53</v>
      </c>
      <c r="AE1707" s="592">
        <f t="shared" si="1587"/>
        <v>5.53</v>
      </c>
      <c r="AF1707" s="592">
        <f t="shared" si="1587"/>
        <v>5.53</v>
      </c>
      <c r="AH1707" s="538"/>
      <c r="AK1707" s="515"/>
      <c r="AM1707" s="526"/>
      <c r="AN1707" s="535"/>
      <c r="AP1707" s="540"/>
      <c r="AQ1707" s="540"/>
    </row>
    <row r="1708" spans="1:43" s="513" customFormat="1" ht="16.5" hidden="1" customHeight="1" outlineLevel="2">
      <c r="A1708" s="584"/>
      <c r="B1708" s="596" t="s">
        <v>942</v>
      </c>
      <c r="C1708" s="592">
        <f>'Sal._benef.'!$J$31</f>
        <v>123.21240000000003</v>
      </c>
      <c r="D1708" s="592">
        <f>C1708</f>
        <v>123.21240000000003</v>
      </c>
      <c r="E1708" s="592">
        <f t="shared" si="1585"/>
        <v>123.21240000000003</v>
      </c>
      <c r="F1708" s="592">
        <f t="shared" si="1585"/>
        <v>123.21240000000003</v>
      </c>
      <c r="G1708" s="592">
        <f t="shared" si="1585"/>
        <v>123.21240000000003</v>
      </c>
      <c r="H1708" s="592">
        <f t="shared" si="1586"/>
        <v>123.21240000000003</v>
      </c>
      <c r="I1708" s="592">
        <f t="shared" si="1586"/>
        <v>123.21240000000003</v>
      </c>
      <c r="J1708" s="592">
        <f t="shared" si="1586"/>
        <v>123.21240000000003</v>
      </c>
      <c r="K1708" s="592">
        <f t="shared" si="1586"/>
        <v>123.21240000000003</v>
      </c>
      <c r="L1708" s="592">
        <f t="shared" si="1586"/>
        <v>123.21240000000003</v>
      </c>
      <c r="M1708" s="592">
        <f t="shared" si="1586"/>
        <v>123.21240000000003</v>
      </c>
      <c r="N1708" s="592">
        <f t="shared" si="1586"/>
        <v>123.21240000000003</v>
      </c>
      <c r="O1708" s="592">
        <f t="shared" si="1586"/>
        <v>123.21240000000003</v>
      </c>
      <c r="P1708" s="592">
        <f t="shared" si="1586"/>
        <v>123.21240000000003</v>
      </c>
      <c r="Q1708" s="592">
        <f t="shared" si="1586"/>
        <v>123.21240000000003</v>
      </c>
      <c r="R1708" s="592">
        <f t="shared" si="1586"/>
        <v>123.21240000000003</v>
      </c>
      <c r="S1708" s="592">
        <f t="shared" si="1586"/>
        <v>123.21240000000003</v>
      </c>
      <c r="T1708" s="592">
        <f t="shared" si="1586"/>
        <v>123.21240000000003</v>
      </c>
      <c r="U1708" s="592">
        <f t="shared" si="1586"/>
        <v>123.21240000000003</v>
      </c>
      <c r="V1708" s="592">
        <f t="shared" si="1586"/>
        <v>123.21240000000003</v>
      </c>
      <c r="W1708" s="592">
        <f t="shared" si="1586"/>
        <v>123.21240000000003</v>
      </c>
      <c r="X1708" s="592">
        <f t="shared" si="1587"/>
        <v>123.21240000000003</v>
      </c>
      <c r="Y1708" s="592">
        <f t="shared" si="1587"/>
        <v>123.21240000000003</v>
      </c>
      <c r="Z1708" s="592">
        <f t="shared" si="1587"/>
        <v>123.21240000000003</v>
      </c>
      <c r="AA1708" s="592">
        <f t="shared" si="1587"/>
        <v>123.21240000000003</v>
      </c>
      <c r="AB1708" s="592">
        <f t="shared" si="1587"/>
        <v>123.21240000000003</v>
      </c>
      <c r="AC1708" s="592">
        <f t="shared" si="1587"/>
        <v>123.21240000000003</v>
      </c>
      <c r="AD1708" s="592">
        <f t="shared" si="1587"/>
        <v>123.21240000000003</v>
      </c>
      <c r="AE1708" s="592">
        <f t="shared" si="1587"/>
        <v>123.21240000000003</v>
      </c>
      <c r="AF1708" s="592">
        <f t="shared" si="1587"/>
        <v>123.21240000000003</v>
      </c>
      <c r="AH1708" s="538"/>
      <c r="AK1708" s="515"/>
      <c r="AM1708" s="526"/>
      <c r="AN1708" s="535"/>
      <c r="AP1708" s="540"/>
      <c r="AQ1708" s="540"/>
    </row>
    <row r="1709" spans="1:43" s="513" customFormat="1" ht="16.5" hidden="1" customHeight="1" outlineLevel="2">
      <c r="A1709" s="584"/>
      <c r="B1709" s="596" t="s">
        <v>862</v>
      </c>
      <c r="C1709" s="592">
        <v>0</v>
      </c>
      <c r="D1709" s="592">
        <f t="shared" ref="D1709" si="1588">C1709</f>
        <v>0</v>
      </c>
      <c r="E1709" s="592">
        <f t="shared" si="1585"/>
        <v>0</v>
      </c>
      <c r="F1709" s="592">
        <f t="shared" si="1585"/>
        <v>0</v>
      </c>
      <c r="G1709" s="592">
        <f t="shared" si="1585"/>
        <v>0</v>
      </c>
      <c r="H1709" s="592">
        <f t="shared" si="1586"/>
        <v>0</v>
      </c>
      <c r="I1709" s="592">
        <f t="shared" si="1586"/>
        <v>0</v>
      </c>
      <c r="J1709" s="592">
        <f t="shared" si="1586"/>
        <v>0</v>
      </c>
      <c r="K1709" s="592">
        <f t="shared" si="1586"/>
        <v>0</v>
      </c>
      <c r="L1709" s="592">
        <f t="shared" si="1586"/>
        <v>0</v>
      </c>
      <c r="M1709" s="592">
        <f t="shared" si="1586"/>
        <v>0</v>
      </c>
      <c r="N1709" s="592">
        <f t="shared" si="1586"/>
        <v>0</v>
      </c>
      <c r="O1709" s="592">
        <f t="shared" si="1586"/>
        <v>0</v>
      </c>
      <c r="P1709" s="592">
        <f t="shared" si="1586"/>
        <v>0</v>
      </c>
      <c r="Q1709" s="592">
        <f t="shared" si="1586"/>
        <v>0</v>
      </c>
      <c r="R1709" s="592">
        <f t="shared" si="1586"/>
        <v>0</v>
      </c>
      <c r="S1709" s="592">
        <f t="shared" si="1586"/>
        <v>0</v>
      </c>
      <c r="T1709" s="592">
        <f t="shared" si="1586"/>
        <v>0</v>
      </c>
      <c r="U1709" s="592">
        <f t="shared" si="1586"/>
        <v>0</v>
      </c>
      <c r="V1709" s="592">
        <f t="shared" si="1586"/>
        <v>0</v>
      </c>
      <c r="W1709" s="592">
        <f t="shared" si="1586"/>
        <v>0</v>
      </c>
      <c r="X1709" s="592">
        <f t="shared" si="1587"/>
        <v>0</v>
      </c>
      <c r="Y1709" s="592">
        <f t="shared" si="1587"/>
        <v>0</v>
      </c>
      <c r="Z1709" s="592">
        <f t="shared" si="1587"/>
        <v>0</v>
      </c>
      <c r="AA1709" s="592">
        <f t="shared" si="1587"/>
        <v>0</v>
      </c>
      <c r="AB1709" s="592">
        <f t="shared" si="1587"/>
        <v>0</v>
      </c>
      <c r="AC1709" s="592">
        <f t="shared" si="1587"/>
        <v>0</v>
      </c>
      <c r="AD1709" s="592">
        <f t="shared" si="1587"/>
        <v>0</v>
      </c>
      <c r="AE1709" s="592">
        <f t="shared" si="1587"/>
        <v>0</v>
      </c>
      <c r="AF1709" s="592">
        <f t="shared" si="1587"/>
        <v>0</v>
      </c>
      <c r="AH1709" s="538"/>
      <c r="AK1709" s="515"/>
      <c r="AM1709" s="526"/>
      <c r="AN1709" s="535"/>
      <c r="AP1709" s="540"/>
      <c r="AQ1709" s="540"/>
    </row>
    <row r="1710" spans="1:43" s="668" customFormat="1" ht="16.5" hidden="1" customHeight="1" outlineLevel="2">
      <c r="A1710" s="584"/>
      <c r="B1710" s="671" t="str">
        <f>B1688</f>
        <v>Gerente</v>
      </c>
      <c r="C1710" s="570">
        <f>C1711*(C1712+C1713+C1714+C1715)</f>
        <v>505.53</v>
      </c>
      <c r="D1710" s="570">
        <f t="shared" ref="D1710:AF1710" si="1589">D1711*(D1712+D1713+D1714+D1715)</f>
        <v>505.53</v>
      </c>
      <c r="E1710" s="570">
        <f t="shared" si="1589"/>
        <v>505.53</v>
      </c>
      <c r="F1710" s="570">
        <f t="shared" si="1589"/>
        <v>505.53</v>
      </c>
      <c r="G1710" s="570">
        <f t="shared" si="1589"/>
        <v>505.53</v>
      </c>
      <c r="H1710" s="570">
        <f t="shared" si="1589"/>
        <v>505.53</v>
      </c>
      <c r="I1710" s="570">
        <f t="shared" si="1589"/>
        <v>505.53</v>
      </c>
      <c r="J1710" s="570">
        <f t="shared" si="1589"/>
        <v>505.53</v>
      </c>
      <c r="K1710" s="570">
        <f t="shared" si="1589"/>
        <v>505.53</v>
      </c>
      <c r="L1710" s="570">
        <f t="shared" si="1589"/>
        <v>505.53</v>
      </c>
      <c r="M1710" s="570">
        <f t="shared" si="1589"/>
        <v>505.53</v>
      </c>
      <c r="N1710" s="570">
        <f t="shared" si="1589"/>
        <v>505.53</v>
      </c>
      <c r="O1710" s="570">
        <f t="shared" si="1589"/>
        <v>505.53</v>
      </c>
      <c r="P1710" s="570">
        <f t="shared" si="1589"/>
        <v>505.53</v>
      </c>
      <c r="Q1710" s="570">
        <f t="shared" si="1589"/>
        <v>505.53</v>
      </c>
      <c r="R1710" s="570">
        <f t="shared" si="1589"/>
        <v>505.53</v>
      </c>
      <c r="S1710" s="570">
        <f t="shared" si="1589"/>
        <v>505.53</v>
      </c>
      <c r="T1710" s="570">
        <f t="shared" si="1589"/>
        <v>505.53</v>
      </c>
      <c r="U1710" s="570">
        <f t="shared" si="1589"/>
        <v>505.53</v>
      </c>
      <c r="V1710" s="570">
        <f t="shared" si="1589"/>
        <v>505.53</v>
      </c>
      <c r="W1710" s="570">
        <f t="shared" si="1589"/>
        <v>505.53</v>
      </c>
      <c r="X1710" s="570">
        <f t="shared" si="1589"/>
        <v>505.53</v>
      </c>
      <c r="Y1710" s="570">
        <f t="shared" si="1589"/>
        <v>505.53</v>
      </c>
      <c r="Z1710" s="570">
        <f t="shared" si="1589"/>
        <v>505.53</v>
      </c>
      <c r="AA1710" s="570">
        <f t="shared" si="1589"/>
        <v>505.53</v>
      </c>
      <c r="AB1710" s="570">
        <f t="shared" si="1589"/>
        <v>505.53</v>
      </c>
      <c r="AC1710" s="570">
        <f t="shared" si="1589"/>
        <v>505.53</v>
      </c>
      <c r="AD1710" s="570">
        <f t="shared" si="1589"/>
        <v>505.53</v>
      </c>
      <c r="AE1710" s="570">
        <f t="shared" si="1589"/>
        <v>505.53</v>
      </c>
      <c r="AF1710" s="570">
        <f t="shared" si="1589"/>
        <v>505.53</v>
      </c>
      <c r="AG1710" s="546"/>
      <c r="AH1710" s="571"/>
      <c r="AK1710" s="687"/>
      <c r="AM1710" s="690"/>
      <c r="AN1710" s="535"/>
      <c r="AP1710" s="669"/>
      <c r="AQ1710" s="669"/>
    </row>
    <row r="1711" spans="1:43" ht="16.5" hidden="1" customHeight="1" outlineLevel="2">
      <c r="A1711" s="584"/>
      <c r="B1711" s="641" t="s">
        <v>805</v>
      </c>
      <c r="C1711" s="573">
        <f t="shared" ref="C1711:AF1711" si="1590">C1689</f>
        <v>1</v>
      </c>
      <c r="D1711" s="573">
        <f t="shared" si="1590"/>
        <v>1</v>
      </c>
      <c r="E1711" s="573">
        <f t="shared" si="1590"/>
        <v>1</v>
      </c>
      <c r="F1711" s="573">
        <f t="shared" si="1590"/>
        <v>1</v>
      </c>
      <c r="G1711" s="573">
        <f t="shared" si="1590"/>
        <v>1</v>
      </c>
      <c r="H1711" s="573">
        <f t="shared" si="1590"/>
        <v>1</v>
      </c>
      <c r="I1711" s="573">
        <f t="shared" si="1590"/>
        <v>1</v>
      </c>
      <c r="J1711" s="573">
        <f t="shared" si="1590"/>
        <v>1</v>
      </c>
      <c r="K1711" s="573">
        <f t="shared" si="1590"/>
        <v>1</v>
      </c>
      <c r="L1711" s="573">
        <f t="shared" si="1590"/>
        <v>1</v>
      </c>
      <c r="M1711" s="573">
        <f t="shared" si="1590"/>
        <v>1</v>
      </c>
      <c r="N1711" s="573">
        <f t="shared" si="1590"/>
        <v>1</v>
      </c>
      <c r="O1711" s="573">
        <f t="shared" si="1590"/>
        <v>1</v>
      </c>
      <c r="P1711" s="573">
        <f t="shared" si="1590"/>
        <v>1</v>
      </c>
      <c r="Q1711" s="573">
        <f t="shared" si="1590"/>
        <v>1</v>
      </c>
      <c r="R1711" s="573">
        <f t="shared" si="1590"/>
        <v>1</v>
      </c>
      <c r="S1711" s="573">
        <f t="shared" si="1590"/>
        <v>1</v>
      </c>
      <c r="T1711" s="573">
        <f t="shared" si="1590"/>
        <v>1</v>
      </c>
      <c r="U1711" s="573">
        <f t="shared" si="1590"/>
        <v>1</v>
      </c>
      <c r="V1711" s="573">
        <f t="shared" si="1590"/>
        <v>1</v>
      </c>
      <c r="W1711" s="573">
        <f t="shared" si="1590"/>
        <v>1</v>
      </c>
      <c r="X1711" s="573">
        <f t="shared" si="1590"/>
        <v>1</v>
      </c>
      <c r="Y1711" s="573">
        <f t="shared" si="1590"/>
        <v>1</v>
      </c>
      <c r="Z1711" s="573">
        <f t="shared" si="1590"/>
        <v>1</v>
      </c>
      <c r="AA1711" s="573">
        <f t="shared" si="1590"/>
        <v>1</v>
      </c>
      <c r="AB1711" s="573">
        <f t="shared" si="1590"/>
        <v>1</v>
      </c>
      <c r="AC1711" s="573">
        <f t="shared" si="1590"/>
        <v>1</v>
      </c>
      <c r="AD1711" s="573">
        <f t="shared" si="1590"/>
        <v>1</v>
      </c>
      <c r="AE1711" s="573">
        <f t="shared" si="1590"/>
        <v>1</v>
      </c>
      <c r="AF1711" s="573">
        <f t="shared" si="1590"/>
        <v>1</v>
      </c>
      <c r="AH1711" s="538"/>
      <c r="AN1711" s="535"/>
      <c r="AP1711" s="535"/>
      <c r="AQ1711" s="535"/>
    </row>
    <row r="1712" spans="1:43" s="513" customFormat="1" ht="16.5" hidden="1" customHeight="1" outlineLevel="2">
      <c r="A1712" s="584"/>
      <c r="B1712" s="596" t="s">
        <v>940</v>
      </c>
      <c r="C1712" s="592">
        <f>'Sal._benef.'!$I$34</f>
        <v>500</v>
      </c>
      <c r="D1712" s="592">
        <f>C1712</f>
        <v>500</v>
      </c>
      <c r="E1712" s="592">
        <f t="shared" ref="E1712:G1715" si="1591">D1712</f>
        <v>500</v>
      </c>
      <c r="F1712" s="592">
        <f t="shared" si="1591"/>
        <v>500</v>
      </c>
      <c r="G1712" s="592">
        <f>F1712</f>
        <v>500</v>
      </c>
      <c r="H1712" s="592">
        <f t="shared" ref="H1712:W1715" si="1592">G1712</f>
        <v>500</v>
      </c>
      <c r="I1712" s="592">
        <f t="shared" si="1592"/>
        <v>500</v>
      </c>
      <c r="J1712" s="592">
        <f t="shared" si="1592"/>
        <v>500</v>
      </c>
      <c r="K1712" s="592">
        <f t="shared" si="1592"/>
        <v>500</v>
      </c>
      <c r="L1712" s="592">
        <f t="shared" si="1592"/>
        <v>500</v>
      </c>
      <c r="M1712" s="592">
        <f t="shared" si="1592"/>
        <v>500</v>
      </c>
      <c r="N1712" s="592">
        <f t="shared" si="1592"/>
        <v>500</v>
      </c>
      <c r="O1712" s="592">
        <f t="shared" si="1592"/>
        <v>500</v>
      </c>
      <c r="P1712" s="592">
        <f t="shared" si="1592"/>
        <v>500</v>
      </c>
      <c r="Q1712" s="592">
        <f t="shared" si="1592"/>
        <v>500</v>
      </c>
      <c r="R1712" s="592">
        <f t="shared" si="1592"/>
        <v>500</v>
      </c>
      <c r="S1712" s="592">
        <f t="shared" si="1592"/>
        <v>500</v>
      </c>
      <c r="T1712" s="592">
        <f t="shared" si="1592"/>
        <v>500</v>
      </c>
      <c r="U1712" s="592">
        <f t="shared" si="1592"/>
        <v>500</v>
      </c>
      <c r="V1712" s="592">
        <f t="shared" si="1592"/>
        <v>500</v>
      </c>
      <c r="W1712" s="592">
        <f t="shared" si="1592"/>
        <v>500</v>
      </c>
      <c r="X1712" s="592">
        <f t="shared" ref="X1712:AF1715" si="1593">W1712</f>
        <v>500</v>
      </c>
      <c r="Y1712" s="592">
        <f t="shared" si="1593"/>
        <v>500</v>
      </c>
      <c r="Z1712" s="592">
        <f t="shared" si="1593"/>
        <v>500</v>
      </c>
      <c r="AA1712" s="592">
        <f t="shared" si="1593"/>
        <v>500</v>
      </c>
      <c r="AB1712" s="592">
        <f t="shared" si="1593"/>
        <v>500</v>
      </c>
      <c r="AC1712" s="592">
        <f t="shared" si="1593"/>
        <v>500</v>
      </c>
      <c r="AD1712" s="592">
        <f t="shared" si="1593"/>
        <v>500</v>
      </c>
      <c r="AE1712" s="592">
        <f t="shared" si="1593"/>
        <v>500</v>
      </c>
      <c r="AF1712" s="592">
        <f t="shared" si="1593"/>
        <v>500</v>
      </c>
      <c r="AH1712" s="538"/>
      <c r="AK1712" s="515"/>
      <c r="AM1712" s="526"/>
      <c r="AN1712" s="535"/>
      <c r="AP1712" s="540"/>
      <c r="AQ1712" s="540"/>
    </row>
    <row r="1713" spans="1:43" s="513" customFormat="1" ht="16.5" hidden="1" customHeight="1" outlineLevel="2">
      <c r="A1713" s="584"/>
      <c r="B1713" s="596" t="s">
        <v>941</v>
      </c>
      <c r="C1713" s="592">
        <f>'Sal._benef.'!$K$34</f>
        <v>5.53</v>
      </c>
      <c r="D1713" s="592">
        <f>C1713</f>
        <v>5.53</v>
      </c>
      <c r="E1713" s="592">
        <f t="shared" si="1591"/>
        <v>5.53</v>
      </c>
      <c r="F1713" s="592">
        <f t="shared" si="1591"/>
        <v>5.53</v>
      </c>
      <c r="G1713" s="592">
        <f t="shared" si="1591"/>
        <v>5.53</v>
      </c>
      <c r="H1713" s="592">
        <f t="shared" si="1592"/>
        <v>5.53</v>
      </c>
      <c r="I1713" s="592">
        <f t="shared" si="1592"/>
        <v>5.53</v>
      </c>
      <c r="J1713" s="592">
        <f t="shared" si="1592"/>
        <v>5.53</v>
      </c>
      <c r="K1713" s="592">
        <f t="shared" si="1592"/>
        <v>5.53</v>
      </c>
      <c r="L1713" s="592">
        <f t="shared" si="1592"/>
        <v>5.53</v>
      </c>
      <c r="M1713" s="592">
        <f t="shared" si="1592"/>
        <v>5.53</v>
      </c>
      <c r="N1713" s="592">
        <f t="shared" si="1592"/>
        <v>5.53</v>
      </c>
      <c r="O1713" s="592">
        <f t="shared" si="1592"/>
        <v>5.53</v>
      </c>
      <c r="P1713" s="592">
        <f t="shared" si="1592"/>
        <v>5.53</v>
      </c>
      <c r="Q1713" s="592">
        <f t="shared" si="1592"/>
        <v>5.53</v>
      </c>
      <c r="R1713" s="592">
        <f t="shared" si="1592"/>
        <v>5.53</v>
      </c>
      <c r="S1713" s="592">
        <f t="shared" si="1592"/>
        <v>5.53</v>
      </c>
      <c r="T1713" s="592">
        <f t="shared" si="1592"/>
        <v>5.53</v>
      </c>
      <c r="U1713" s="592">
        <f t="shared" si="1592"/>
        <v>5.53</v>
      </c>
      <c r="V1713" s="592">
        <f t="shared" si="1592"/>
        <v>5.53</v>
      </c>
      <c r="W1713" s="592">
        <f t="shared" si="1592"/>
        <v>5.53</v>
      </c>
      <c r="X1713" s="592">
        <f t="shared" si="1593"/>
        <v>5.53</v>
      </c>
      <c r="Y1713" s="592">
        <f t="shared" si="1593"/>
        <v>5.53</v>
      </c>
      <c r="Z1713" s="592">
        <f t="shared" si="1593"/>
        <v>5.53</v>
      </c>
      <c r="AA1713" s="592">
        <f t="shared" si="1593"/>
        <v>5.53</v>
      </c>
      <c r="AB1713" s="592">
        <f t="shared" si="1593"/>
        <v>5.53</v>
      </c>
      <c r="AC1713" s="592">
        <f t="shared" si="1593"/>
        <v>5.53</v>
      </c>
      <c r="AD1713" s="592">
        <f t="shared" si="1593"/>
        <v>5.53</v>
      </c>
      <c r="AE1713" s="592">
        <f t="shared" si="1593"/>
        <v>5.53</v>
      </c>
      <c r="AF1713" s="592">
        <f t="shared" si="1593"/>
        <v>5.53</v>
      </c>
      <c r="AH1713" s="538"/>
      <c r="AK1713" s="515"/>
      <c r="AM1713" s="526"/>
      <c r="AN1713" s="535"/>
      <c r="AP1713" s="540"/>
      <c r="AQ1713" s="540"/>
    </row>
    <row r="1714" spans="1:43" s="513" customFormat="1" ht="16.5" hidden="1" customHeight="1" outlineLevel="2">
      <c r="A1714" s="584"/>
      <c r="B1714" s="596" t="s">
        <v>942</v>
      </c>
      <c r="C1714" s="592">
        <f>'Sal._benef.'!$J$34</f>
        <v>0</v>
      </c>
      <c r="D1714" s="592">
        <f>C1714</f>
        <v>0</v>
      </c>
      <c r="E1714" s="592">
        <f t="shared" si="1591"/>
        <v>0</v>
      </c>
      <c r="F1714" s="592">
        <f t="shared" si="1591"/>
        <v>0</v>
      </c>
      <c r="G1714" s="592">
        <f t="shared" si="1591"/>
        <v>0</v>
      </c>
      <c r="H1714" s="592">
        <f t="shared" si="1592"/>
        <v>0</v>
      </c>
      <c r="I1714" s="592">
        <f t="shared" si="1592"/>
        <v>0</v>
      </c>
      <c r="J1714" s="592">
        <f t="shared" si="1592"/>
        <v>0</v>
      </c>
      <c r="K1714" s="592">
        <f t="shared" si="1592"/>
        <v>0</v>
      </c>
      <c r="L1714" s="592">
        <f t="shared" si="1592"/>
        <v>0</v>
      </c>
      <c r="M1714" s="592">
        <f t="shared" si="1592"/>
        <v>0</v>
      </c>
      <c r="N1714" s="592">
        <f t="shared" si="1592"/>
        <v>0</v>
      </c>
      <c r="O1714" s="592">
        <f t="shared" si="1592"/>
        <v>0</v>
      </c>
      <c r="P1714" s="592">
        <f t="shared" si="1592"/>
        <v>0</v>
      </c>
      <c r="Q1714" s="592">
        <f t="shared" si="1592"/>
        <v>0</v>
      </c>
      <c r="R1714" s="592">
        <f t="shared" si="1592"/>
        <v>0</v>
      </c>
      <c r="S1714" s="592">
        <f t="shared" si="1592"/>
        <v>0</v>
      </c>
      <c r="T1714" s="592">
        <f t="shared" si="1592"/>
        <v>0</v>
      </c>
      <c r="U1714" s="592">
        <f t="shared" si="1592"/>
        <v>0</v>
      </c>
      <c r="V1714" s="592">
        <f t="shared" si="1592"/>
        <v>0</v>
      </c>
      <c r="W1714" s="592">
        <f t="shared" si="1592"/>
        <v>0</v>
      </c>
      <c r="X1714" s="592">
        <f t="shared" si="1593"/>
        <v>0</v>
      </c>
      <c r="Y1714" s="592">
        <f t="shared" si="1593"/>
        <v>0</v>
      </c>
      <c r="Z1714" s="592">
        <f t="shared" si="1593"/>
        <v>0</v>
      </c>
      <c r="AA1714" s="592">
        <f t="shared" si="1593"/>
        <v>0</v>
      </c>
      <c r="AB1714" s="592">
        <f t="shared" si="1593"/>
        <v>0</v>
      </c>
      <c r="AC1714" s="592">
        <f t="shared" si="1593"/>
        <v>0</v>
      </c>
      <c r="AD1714" s="592">
        <f t="shared" si="1593"/>
        <v>0</v>
      </c>
      <c r="AE1714" s="592">
        <f t="shared" si="1593"/>
        <v>0</v>
      </c>
      <c r="AF1714" s="592">
        <f t="shared" si="1593"/>
        <v>0</v>
      </c>
      <c r="AH1714" s="538"/>
      <c r="AK1714" s="515"/>
      <c r="AM1714" s="526"/>
      <c r="AN1714" s="535"/>
      <c r="AP1714" s="540"/>
      <c r="AQ1714" s="540"/>
    </row>
    <row r="1715" spans="1:43" s="513" customFormat="1" ht="16.5" hidden="1" customHeight="1" outlineLevel="2">
      <c r="A1715" s="584"/>
      <c r="B1715" s="596" t="s">
        <v>862</v>
      </c>
      <c r="C1715" s="592">
        <v>0</v>
      </c>
      <c r="D1715" s="592">
        <f t="shared" ref="D1715" si="1594">C1715</f>
        <v>0</v>
      </c>
      <c r="E1715" s="592">
        <f t="shared" si="1591"/>
        <v>0</v>
      </c>
      <c r="F1715" s="592">
        <f t="shared" si="1591"/>
        <v>0</v>
      </c>
      <c r="G1715" s="592">
        <f t="shared" si="1591"/>
        <v>0</v>
      </c>
      <c r="H1715" s="592">
        <f t="shared" si="1592"/>
        <v>0</v>
      </c>
      <c r="I1715" s="592">
        <f t="shared" si="1592"/>
        <v>0</v>
      </c>
      <c r="J1715" s="592">
        <f t="shared" si="1592"/>
        <v>0</v>
      </c>
      <c r="K1715" s="592">
        <f t="shared" si="1592"/>
        <v>0</v>
      </c>
      <c r="L1715" s="592">
        <f t="shared" si="1592"/>
        <v>0</v>
      </c>
      <c r="M1715" s="592">
        <f t="shared" si="1592"/>
        <v>0</v>
      </c>
      <c r="N1715" s="592">
        <f t="shared" si="1592"/>
        <v>0</v>
      </c>
      <c r="O1715" s="592">
        <f t="shared" si="1592"/>
        <v>0</v>
      </c>
      <c r="P1715" s="592">
        <f t="shared" si="1592"/>
        <v>0</v>
      </c>
      <c r="Q1715" s="592">
        <f t="shared" si="1592"/>
        <v>0</v>
      </c>
      <c r="R1715" s="592">
        <f t="shared" si="1592"/>
        <v>0</v>
      </c>
      <c r="S1715" s="592">
        <f t="shared" si="1592"/>
        <v>0</v>
      </c>
      <c r="T1715" s="592">
        <f t="shared" si="1592"/>
        <v>0</v>
      </c>
      <c r="U1715" s="592">
        <f t="shared" si="1592"/>
        <v>0</v>
      </c>
      <c r="V1715" s="592">
        <f t="shared" si="1592"/>
        <v>0</v>
      </c>
      <c r="W1715" s="592">
        <f t="shared" si="1592"/>
        <v>0</v>
      </c>
      <c r="X1715" s="592">
        <f t="shared" si="1593"/>
        <v>0</v>
      </c>
      <c r="Y1715" s="592">
        <f t="shared" si="1593"/>
        <v>0</v>
      </c>
      <c r="Z1715" s="592">
        <f t="shared" si="1593"/>
        <v>0</v>
      </c>
      <c r="AA1715" s="592">
        <f t="shared" si="1593"/>
        <v>0</v>
      </c>
      <c r="AB1715" s="592">
        <f t="shared" si="1593"/>
        <v>0</v>
      </c>
      <c r="AC1715" s="592">
        <f t="shared" si="1593"/>
        <v>0</v>
      </c>
      <c r="AD1715" s="592">
        <f t="shared" si="1593"/>
        <v>0</v>
      </c>
      <c r="AE1715" s="592">
        <f t="shared" si="1593"/>
        <v>0</v>
      </c>
      <c r="AF1715" s="592">
        <f t="shared" si="1593"/>
        <v>0</v>
      </c>
      <c r="AH1715" s="538"/>
      <c r="AK1715" s="515"/>
      <c r="AM1715" s="526"/>
      <c r="AN1715" s="535"/>
      <c r="AP1715" s="540"/>
      <c r="AQ1715" s="540"/>
    </row>
    <row r="1716" spans="1:43" s="668" customFormat="1" ht="16.5" hidden="1" customHeight="1" outlineLevel="2">
      <c r="A1716" s="584"/>
      <c r="B1716" s="671" t="str">
        <f>B1691</f>
        <v>Jovem aprendiz</v>
      </c>
      <c r="C1716" s="570">
        <f>C1717*(C1718+C1719+C1720+C1721)</f>
        <v>505.53</v>
      </c>
      <c r="D1716" s="570">
        <f t="shared" ref="D1716:AF1716" si="1595">D1717*(D1718+D1719+D1720+D1721)</f>
        <v>505.53</v>
      </c>
      <c r="E1716" s="570">
        <f t="shared" si="1595"/>
        <v>505.53</v>
      </c>
      <c r="F1716" s="570">
        <f t="shared" si="1595"/>
        <v>505.53</v>
      </c>
      <c r="G1716" s="570">
        <f t="shared" si="1595"/>
        <v>505.53</v>
      </c>
      <c r="H1716" s="570">
        <f t="shared" si="1595"/>
        <v>505.53</v>
      </c>
      <c r="I1716" s="570">
        <f t="shared" si="1595"/>
        <v>505.53</v>
      </c>
      <c r="J1716" s="570">
        <f t="shared" si="1595"/>
        <v>505.53</v>
      </c>
      <c r="K1716" s="570">
        <f t="shared" si="1595"/>
        <v>505.53</v>
      </c>
      <c r="L1716" s="570">
        <f t="shared" si="1595"/>
        <v>505.53</v>
      </c>
      <c r="M1716" s="570">
        <f t="shared" si="1595"/>
        <v>505.53</v>
      </c>
      <c r="N1716" s="570">
        <f t="shared" si="1595"/>
        <v>505.53</v>
      </c>
      <c r="O1716" s="570">
        <f t="shared" si="1595"/>
        <v>505.53</v>
      </c>
      <c r="P1716" s="570">
        <f t="shared" si="1595"/>
        <v>505.53</v>
      </c>
      <c r="Q1716" s="570">
        <f t="shared" si="1595"/>
        <v>505.53</v>
      </c>
      <c r="R1716" s="570">
        <f t="shared" si="1595"/>
        <v>505.53</v>
      </c>
      <c r="S1716" s="570">
        <f t="shared" si="1595"/>
        <v>505.53</v>
      </c>
      <c r="T1716" s="570">
        <f t="shared" si="1595"/>
        <v>505.53</v>
      </c>
      <c r="U1716" s="570">
        <f t="shared" si="1595"/>
        <v>505.53</v>
      </c>
      <c r="V1716" s="570">
        <f t="shared" si="1595"/>
        <v>505.53</v>
      </c>
      <c r="W1716" s="570">
        <f t="shared" si="1595"/>
        <v>505.53</v>
      </c>
      <c r="X1716" s="570">
        <f t="shared" si="1595"/>
        <v>505.53</v>
      </c>
      <c r="Y1716" s="570">
        <f t="shared" si="1595"/>
        <v>505.53</v>
      </c>
      <c r="Z1716" s="570">
        <f t="shared" si="1595"/>
        <v>505.53</v>
      </c>
      <c r="AA1716" s="570">
        <f t="shared" si="1595"/>
        <v>505.53</v>
      </c>
      <c r="AB1716" s="570">
        <f t="shared" si="1595"/>
        <v>505.53</v>
      </c>
      <c r="AC1716" s="570">
        <f t="shared" si="1595"/>
        <v>505.53</v>
      </c>
      <c r="AD1716" s="570">
        <f t="shared" si="1595"/>
        <v>505.53</v>
      </c>
      <c r="AE1716" s="570">
        <f t="shared" si="1595"/>
        <v>505.53</v>
      </c>
      <c r="AF1716" s="570">
        <f t="shared" si="1595"/>
        <v>505.53</v>
      </c>
      <c r="AG1716" s="546"/>
      <c r="AH1716" s="571"/>
      <c r="AK1716" s="687"/>
      <c r="AM1716" s="690"/>
      <c r="AN1716" s="535"/>
      <c r="AP1716" s="669"/>
      <c r="AQ1716" s="669"/>
    </row>
    <row r="1717" spans="1:43" ht="16.5" hidden="1" customHeight="1" outlineLevel="2">
      <c r="A1717" s="584"/>
      <c r="B1717" s="641" t="s">
        <v>805</v>
      </c>
      <c r="C1717" s="573">
        <f t="shared" ref="C1717:AF1717" si="1596">C1692</f>
        <v>1</v>
      </c>
      <c r="D1717" s="573">
        <f t="shared" si="1596"/>
        <v>1</v>
      </c>
      <c r="E1717" s="573">
        <f t="shared" si="1596"/>
        <v>1</v>
      </c>
      <c r="F1717" s="573">
        <f t="shared" si="1596"/>
        <v>1</v>
      </c>
      <c r="G1717" s="573">
        <f t="shared" si="1596"/>
        <v>1</v>
      </c>
      <c r="H1717" s="573">
        <f t="shared" si="1596"/>
        <v>1</v>
      </c>
      <c r="I1717" s="573">
        <f t="shared" si="1596"/>
        <v>1</v>
      </c>
      <c r="J1717" s="573">
        <f t="shared" si="1596"/>
        <v>1</v>
      </c>
      <c r="K1717" s="573">
        <f t="shared" si="1596"/>
        <v>1</v>
      </c>
      <c r="L1717" s="573">
        <f t="shared" si="1596"/>
        <v>1</v>
      </c>
      <c r="M1717" s="573">
        <f t="shared" si="1596"/>
        <v>1</v>
      </c>
      <c r="N1717" s="573">
        <f t="shared" si="1596"/>
        <v>1</v>
      </c>
      <c r="O1717" s="573">
        <f t="shared" si="1596"/>
        <v>1</v>
      </c>
      <c r="P1717" s="573">
        <f t="shared" si="1596"/>
        <v>1</v>
      </c>
      <c r="Q1717" s="573">
        <f t="shared" si="1596"/>
        <v>1</v>
      </c>
      <c r="R1717" s="573">
        <f t="shared" si="1596"/>
        <v>1</v>
      </c>
      <c r="S1717" s="573">
        <f t="shared" si="1596"/>
        <v>1</v>
      </c>
      <c r="T1717" s="573">
        <f t="shared" si="1596"/>
        <v>1</v>
      </c>
      <c r="U1717" s="573">
        <f t="shared" si="1596"/>
        <v>1</v>
      </c>
      <c r="V1717" s="573">
        <f t="shared" si="1596"/>
        <v>1</v>
      </c>
      <c r="W1717" s="573">
        <f t="shared" si="1596"/>
        <v>1</v>
      </c>
      <c r="X1717" s="573">
        <f t="shared" si="1596"/>
        <v>1</v>
      </c>
      <c r="Y1717" s="573">
        <f t="shared" si="1596"/>
        <v>1</v>
      </c>
      <c r="Z1717" s="573">
        <f t="shared" si="1596"/>
        <v>1</v>
      </c>
      <c r="AA1717" s="573">
        <f t="shared" si="1596"/>
        <v>1</v>
      </c>
      <c r="AB1717" s="573">
        <f t="shared" si="1596"/>
        <v>1</v>
      </c>
      <c r="AC1717" s="573">
        <f t="shared" si="1596"/>
        <v>1</v>
      </c>
      <c r="AD1717" s="573">
        <f t="shared" si="1596"/>
        <v>1</v>
      </c>
      <c r="AE1717" s="573">
        <f t="shared" si="1596"/>
        <v>1</v>
      </c>
      <c r="AF1717" s="573">
        <f t="shared" si="1596"/>
        <v>1</v>
      </c>
      <c r="AH1717" s="538"/>
      <c r="AN1717" s="535"/>
      <c r="AP1717" s="535"/>
      <c r="AQ1717" s="535"/>
    </row>
    <row r="1718" spans="1:43" s="513" customFormat="1" ht="16.5" hidden="1" customHeight="1" outlineLevel="2">
      <c r="A1718" s="584"/>
      <c r="B1718" s="596" t="s">
        <v>940</v>
      </c>
      <c r="C1718" s="592">
        <f>'Sal._benef.'!$I$35</f>
        <v>500</v>
      </c>
      <c r="D1718" s="592">
        <f>C1718</f>
        <v>500</v>
      </c>
      <c r="E1718" s="592">
        <f t="shared" ref="E1718:G1721" si="1597">D1718</f>
        <v>500</v>
      </c>
      <c r="F1718" s="592">
        <f t="shared" si="1597"/>
        <v>500</v>
      </c>
      <c r="G1718" s="592">
        <f>F1718</f>
        <v>500</v>
      </c>
      <c r="H1718" s="592">
        <f t="shared" ref="H1718:W1721" si="1598">G1718</f>
        <v>500</v>
      </c>
      <c r="I1718" s="592">
        <f t="shared" si="1598"/>
        <v>500</v>
      </c>
      <c r="J1718" s="592">
        <f t="shared" si="1598"/>
        <v>500</v>
      </c>
      <c r="K1718" s="592">
        <f t="shared" si="1598"/>
        <v>500</v>
      </c>
      <c r="L1718" s="592">
        <f t="shared" si="1598"/>
        <v>500</v>
      </c>
      <c r="M1718" s="592">
        <f t="shared" si="1598"/>
        <v>500</v>
      </c>
      <c r="N1718" s="592">
        <f t="shared" si="1598"/>
        <v>500</v>
      </c>
      <c r="O1718" s="592">
        <f t="shared" si="1598"/>
        <v>500</v>
      </c>
      <c r="P1718" s="592">
        <f t="shared" si="1598"/>
        <v>500</v>
      </c>
      <c r="Q1718" s="592">
        <f t="shared" si="1598"/>
        <v>500</v>
      </c>
      <c r="R1718" s="592">
        <f t="shared" si="1598"/>
        <v>500</v>
      </c>
      <c r="S1718" s="592">
        <f t="shared" si="1598"/>
        <v>500</v>
      </c>
      <c r="T1718" s="592">
        <f t="shared" si="1598"/>
        <v>500</v>
      </c>
      <c r="U1718" s="592">
        <f t="shared" si="1598"/>
        <v>500</v>
      </c>
      <c r="V1718" s="592">
        <f t="shared" si="1598"/>
        <v>500</v>
      </c>
      <c r="W1718" s="592">
        <f t="shared" si="1598"/>
        <v>500</v>
      </c>
      <c r="X1718" s="592">
        <f t="shared" ref="X1718:AF1721" si="1599">W1718</f>
        <v>500</v>
      </c>
      <c r="Y1718" s="592">
        <f t="shared" si="1599"/>
        <v>500</v>
      </c>
      <c r="Z1718" s="592">
        <f t="shared" si="1599"/>
        <v>500</v>
      </c>
      <c r="AA1718" s="592">
        <f t="shared" si="1599"/>
        <v>500</v>
      </c>
      <c r="AB1718" s="592">
        <f t="shared" si="1599"/>
        <v>500</v>
      </c>
      <c r="AC1718" s="592">
        <f t="shared" si="1599"/>
        <v>500</v>
      </c>
      <c r="AD1718" s="592">
        <f t="shared" si="1599"/>
        <v>500</v>
      </c>
      <c r="AE1718" s="592">
        <f t="shared" si="1599"/>
        <v>500</v>
      </c>
      <c r="AF1718" s="592">
        <f t="shared" si="1599"/>
        <v>500</v>
      </c>
      <c r="AH1718" s="538"/>
      <c r="AK1718" s="515"/>
      <c r="AM1718" s="526"/>
      <c r="AN1718" s="535"/>
      <c r="AP1718" s="540"/>
      <c r="AQ1718" s="540"/>
    </row>
    <row r="1719" spans="1:43" s="513" customFormat="1" ht="16.5" hidden="1" customHeight="1" outlineLevel="2">
      <c r="A1719" s="584"/>
      <c r="B1719" s="596" t="s">
        <v>941</v>
      </c>
      <c r="C1719" s="592">
        <f>'Sal._benef.'!$K$35</f>
        <v>5.53</v>
      </c>
      <c r="D1719" s="592">
        <f>C1719</f>
        <v>5.53</v>
      </c>
      <c r="E1719" s="592">
        <f t="shared" si="1597"/>
        <v>5.53</v>
      </c>
      <c r="F1719" s="592">
        <f t="shared" si="1597"/>
        <v>5.53</v>
      </c>
      <c r="G1719" s="592">
        <f t="shared" si="1597"/>
        <v>5.53</v>
      </c>
      <c r="H1719" s="592">
        <f t="shared" si="1598"/>
        <v>5.53</v>
      </c>
      <c r="I1719" s="592">
        <f t="shared" si="1598"/>
        <v>5.53</v>
      </c>
      <c r="J1719" s="592">
        <f t="shared" si="1598"/>
        <v>5.53</v>
      </c>
      <c r="K1719" s="592">
        <f t="shared" si="1598"/>
        <v>5.53</v>
      </c>
      <c r="L1719" s="592">
        <f t="shared" si="1598"/>
        <v>5.53</v>
      </c>
      <c r="M1719" s="592">
        <f t="shared" si="1598"/>
        <v>5.53</v>
      </c>
      <c r="N1719" s="592">
        <f t="shared" si="1598"/>
        <v>5.53</v>
      </c>
      <c r="O1719" s="592">
        <f t="shared" si="1598"/>
        <v>5.53</v>
      </c>
      <c r="P1719" s="592">
        <f t="shared" si="1598"/>
        <v>5.53</v>
      </c>
      <c r="Q1719" s="592">
        <f t="shared" si="1598"/>
        <v>5.53</v>
      </c>
      <c r="R1719" s="592">
        <f t="shared" si="1598"/>
        <v>5.53</v>
      </c>
      <c r="S1719" s="592">
        <f t="shared" si="1598"/>
        <v>5.53</v>
      </c>
      <c r="T1719" s="592">
        <f t="shared" si="1598"/>
        <v>5.53</v>
      </c>
      <c r="U1719" s="592">
        <f t="shared" si="1598"/>
        <v>5.53</v>
      </c>
      <c r="V1719" s="592">
        <f t="shared" si="1598"/>
        <v>5.53</v>
      </c>
      <c r="W1719" s="592">
        <f t="shared" si="1598"/>
        <v>5.53</v>
      </c>
      <c r="X1719" s="592">
        <f t="shared" si="1599"/>
        <v>5.53</v>
      </c>
      <c r="Y1719" s="592">
        <f t="shared" si="1599"/>
        <v>5.53</v>
      </c>
      <c r="Z1719" s="592">
        <f t="shared" si="1599"/>
        <v>5.53</v>
      </c>
      <c r="AA1719" s="592">
        <f t="shared" si="1599"/>
        <v>5.53</v>
      </c>
      <c r="AB1719" s="592">
        <f t="shared" si="1599"/>
        <v>5.53</v>
      </c>
      <c r="AC1719" s="592">
        <f t="shared" si="1599"/>
        <v>5.53</v>
      </c>
      <c r="AD1719" s="592">
        <f t="shared" si="1599"/>
        <v>5.53</v>
      </c>
      <c r="AE1719" s="592">
        <f t="shared" si="1599"/>
        <v>5.53</v>
      </c>
      <c r="AF1719" s="592">
        <f t="shared" si="1599"/>
        <v>5.53</v>
      </c>
      <c r="AH1719" s="538"/>
      <c r="AK1719" s="515"/>
      <c r="AM1719" s="526"/>
      <c r="AN1719" s="535"/>
      <c r="AP1719" s="540"/>
      <c r="AQ1719" s="540"/>
    </row>
    <row r="1720" spans="1:43" s="513" customFormat="1" ht="16.5" hidden="1" customHeight="1" outlineLevel="2">
      <c r="A1720" s="584"/>
      <c r="B1720" s="596" t="s">
        <v>942</v>
      </c>
      <c r="C1720" s="592">
        <f>'Sal._benef.'!$J$35</f>
        <v>0</v>
      </c>
      <c r="D1720" s="592">
        <f>C1720</f>
        <v>0</v>
      </c>
      <c r="E1720" s="592">
        <f t="shared" si="1597"/>
        <v>0</v>
      </c>
      <c r="F1720" s="592">
        <f t="shared" si="1597"/>
        <v>0</v>
      </c>
      <c r="G1720" s="592">
        <f t="shared" si="1597"/>
        <v>0</v>
      </c>
      <c r="H1720" s="592">
        <f t="shared" si="1598"/>
        <v>0</v>
      </c>
      <c r="I1720" s="592">
        <f t="shared" si="1598"/>
        <v>0</v>
      </c>
      <c r="J1720" s="592">
        <f t="shared" si="1598"/>
        <v>0</v>
      </c>
      <c r="K1720" s="592">
        <f t="shared" si="1598"/>
        <v>0</v>
      </c>
      <c r="L1720" s="592">
        <f t="shared" si="1598"/>
        <v>0</v>
      </c>
      <c r="M1720" s="592">
        <f t="shared" si="1598"/>
        <v>0</v>
      </c>
      <c r="N1720" s="592">
        <f t="shared" si="1598"/>
        <v>0</v>
      </c>
      <c r="O1720" s="592">
        <f t="shared" si="1598"/>
        <v>0</v>
      </c>
      <c r="P1720" s="592">
        <f t="shared" si="1598"/>
        <v>0</v>
      </c>
      <c r="Q1720" s="592">
        <f t="shared" si="1598"/>
        <v>0</v>
      </c>
      <c r="R1720" s="592">
        <f t="shared" si="1598"/>
        <v>0</v>
      </c>
      <c r="S1720" s="592">
        <f t="shared" si="1598"/>
        <v>0</v>
      </c>
      <c r="T1720" s="592">
        <f t="shared" si="1598"/>
        <v>0</v>
      </c>
      <c r="U1720" s="592">
        <f t="shared" si="1598"/>
        <v>0</v>
      </c>
      <c r="V1720" s="592">
        <f t="shared" si="1598"/>
        <v>0</v>
      </c>
      <c r="W1720" s="592">
        <f t="shared" si="1598"/>
        <v>0</v>
      </c>
      <c r="X1720" s="592">
        <f t="shared" si="1599"/>
        <v>0</v>
      </c>
      <c r="Y1720" s="592">
        <f t="shared" si="1599"/>
        <v>0</v>
      </c>
      <c r="Z1720" s="592">
        <f t="shared" si="1599"/>
        <v>0</v>
      </c>
      <c r="AA1720" s="592">
        <f t="shared" si="1599"/>
        <v>0</v>
      </c>
      <c r="AB1720" s="592">
        <f t="shared" si="1599"/>
        <v>0</v>
      </c>
      <c r="AC1720" s="592">
        <f t="shared" si="1599"/>
        <v>0</v>
      </c>
      <c r="AD1720" s="592">
        <f t="shared" si="1599"/>
        <v>0</v>
      </c>
      <c r="AE1720" s="592">
        <f t="shared" si="1599"/>
        <v>0</v>
      </c>
      <c r="AF1720" s="592">
        <f t="shared" si="1599"/>
        <v>0</v>
      </c>
      <c r="AH1720" s="538"/>
      <c r="AK1720" s="515"/>
      <c r="AM1720" s="526"/>
      <c r="AN1720" s="535"/>
      <c r="AP1720" s="540"/>
      <c r="AQ1720" s="540"/>
    </row>
    <row r="1721" spans="1:43" s="513" customFormat="1" ht="16.5" hidden="1" customHeight="1" outlineLevel="2">
      <c r="A1721" s="584"/>
      <c r="B1721" s="596" t="s">
        <v>862</v>
      </c>
      <c r="C1721" s="592">
        <v>0</v>
      </c>
      <c r="D1721" s="592">
        <f t="shared" ref="D1721" si="1600">C1721</f>
        <v>0</v>
      </c>
      <c r="E1721" s="592">
        <f t="shared" si="1597"/>
        <v>0</v>
      </c>
      <c r="F1721" s="592">
        <f t="shared" si="1597"/>
        <v>0</v>
      </c>
      <c r="G1721" s="592">
        <f t="shared" si="1597"/>
        <v>0</v>
      </c>
      <c r="H1721" s="592">
        <f t="shared" si="1598"/>
        <v>0</v>
      </c>
      <c r="I1721" s="592">
        <f t="shared" si="1598"/>
        <v>0</v>
      </c>
      <c r="J1721" s="592">
        <f t="shared" si="1598"/>
        <v>0</v>
      </c>
      <c r="K1721" s="592">
        <f t="shared" si="1598"/>
        <v>0</v>
      </c>
      <c r="L1721" s="592">
        <f t="shared" si="1598"/>
        <v>0</v>
      </c>
      <c r="M1721" s="592">
        <f t="shared" si="1598"/>
        <v>0</v>
      </c>
      <c r="N1721" s="592">
        <f t="shared" si="1598"/>
        <v>0</v>
      </c>
      <c r="O1721" s="592">
        <f t="shared" si="1598"/>
        <v>0</v>
      </c>
      <c r="P1721" s="592">
        <f t="shared" si="1598"/>
        <v>0</v>
      </c>
      <c r="Q1721" s="592">
        <f t="shared" si="1598"/>
        <v>0</v>
      </c>
      <c r="R1721" s="592">
        <f t="shared" si="1598"/>
        <v>0</v>
      </c>
      <c r="S1721" s="592">
        <f t="shared" si="1598"/>
        <v>0</v>
      </c>
      <c r="T1721" s="592">
        <f t="shared" si="1598"/>
        <v>0</v>
      </c>
      <c r="U1721" s="592">
        <f t="shared" si="1598"/>
        <v>0</v>
      </c>
      <c r="V1721" s="592">
        <f t="shared" si="1598"/>
        <v>0</v>
      </c>
      <c r="W1721" s="592">
        <f t="shared" si="1598"/>
        <v>0</v>
      </c>
      <c r="X1721" s="592">
        <f t="shared" si="1599"/>
        <v>0</v>
      </c>
      <c r="Y1721" s="592">
        <f t="shared" si="1599"/>
        <v>0</v>
      </c>
      <c r="Z1721" s="592">
        <f t="shared" si="1599"/>
        <v>0</v>
      </c>
      <c r="AA1721" s="592">
        <f t="shared" si="1599"/>
        <v>0</v>
      </c>
      <c r="AB1721" s="592">
        <f t="shared" si="1599"/>
        <v>0</v>
      </c>
      <c r="AC1721" s="592">
        <f t="shared" si="1599"/>
        <v>0</v>
      </c>
      <c r="AD1721" s="592">
        <f t="shared" si="1599"/>
        <v>0</v>
      </c>
      <c r="AE1721" s="592">
        <f t="shared" si="1599"/>
        <v>0</v>
      </c>
      <c r="AF1721" s="592">
        <f t="shared" si="1599"/>
        <v>0</v>
      </c>
      <c r="AH1721" s="538"/>
      <c r="AK1721" s="515"/>
      <c r="AM1721" s="526"/>
      <c r="AN1721" s="535"/>
      <c r="AP1721" s="540"/>
      <c r="AQ1721" s="540"/>
    </row>
    <row r="1722" spans="1:43" s="668" customFormat="1" ht="16.5" hidden="1" customHeight="1" outlineLevel="2">
      <c r="A1722" s="584"/>
      <c r="B1722" s="671" t="str">
        <f>B1694</f>
        <v>Técnico de segurança do trabalho</v>
      </c>
      <c r="C1722" s="555">
        <f>C1723*(C1724+C1725+C1726+C1727)</f>
        <v>0</v>
      </c>
      <c r="D1722" s="555">
        <f t="shared" ref="D1722:AF1722" si="1601">D1723*(D1724+D1725+D1726+D1727)</f>
        <v>0</v>
      </c>
      <c r="E1722" s="555">
        <f t="shared" si="1601"/>
        <v>0</v>
      </c>
      <c r="F1722" s="555">
        <f t="shared" si="1601"/>
        <v>0</v>
      </c>
      <c r="G1722" s="555">
        <f t="shared" si="1601"/>
        <v>0</v>
      </c>
      <c r="H1722" s="555">
        <f t="shared" si="1601"/>
        <v>0</v>
      </c>
      <c r="I1722" s="555">
        <f t="shared" si="1601"/>
        <v>505.53</v>
      </c>
      <c r="J1722" s="555">
        <f t="shared" si="1601"/>
        <v>505.53</v>
      </c>
      <c r="K1722" s="555">
        <f t="shared" si="1601"/>
        <v>505.53</v>
      </c>
      <c r="L1722" s="555">
        <f t="shared" si="1601"/>
        <v>505.53</v>
      </c>
      <c r="M1722" s="555">
        <f t="shared" si="1601"/>
        <v>505.53</v>
      </c>
      <c r="N1722" s="555">
        <f t="shared" si="1601"/>
        <v>505.53</v>
      </c>
      <c r="O1722" s="555">
        <f t="shared" si="1601"/>
        <v>505.53</v>
      </c>
      <c r="P1722" s="555">
        <f t="shared" si="1601"/>
        <v>505.53</v>
      </c>
      <c r="Q1722" s="555">
        <f t="shared" si="1601"/>
        <v>505.53</v>
      </c>
      <c r="R1722" s="555">
        <f t="shared" si="1601"/>
        <v>505.53</v>
      </c>
      <c r="S1722" s="555">
        <f t="shared" si="1601"/>
        <v>505.53</v>
      </c>
      <c r="T1722" s="555">
        <f t="shared" si="1601"/>
        <v>505.53</v>
      </c>
      <c r="U1722" s="555">
        <f t="shared" si="1601"/>
        <v>505.53</v>
      </c>
      <c r="V1722" s="555">
        <f t="shared" si="1601"/>
        <v>505.53</v>
      </c>
      <c r="W1722" s="555">
        <f t="shared" si="1601"/>
        <v>505.53</v>
      </c>
      <c r="X1722" s="555">
        <f t="shared" si="1601"/>
        <v>505.53</v>
      </c>
      <c r="Y1722" s="555">
        <f t="shared" si="1601"/>
        <v>505.53</v>
      </c>
      <c r="Z1722" s="555">
        <f t="shared" si="1601"/>
        <v>505.53</v>
      </c>
      <c r="AA1722" s="555">
        <f t="shared" si="1601"/>
        <v>505.53</v>
      </c>
      <c r="AB1722" s="555">
        <f t="shared" si="1601"/>
        <v>505.53</v>
      </c>
      <c r="AC1722" s="555">
        <f t="shared" si="1601"/>
        <v>505.53</v>
      </c>
      <c r="AD1722" s="555">
        <f t="shared" si="1601"/>
        <v>505.53</v>
      </c>
      <c r="AE1722" s="555">
        <f t="shared" si="1601"/>
        <v>505.53</v>
      </c>
      <c r="AF1722" s="555">
        <f t="shared" si="1601"/>
        <v>505.53</v>
      </c>
      <c r="AG1722" s="546"/>
      <c r="AH1722" s="571"/>
      <c r="AK1722" s="687"/>
      <c r="AM1722" s="690"/>
      <c r="AN1722" s="535"/>
      <c r="AP1722" s="669"/>
      <c r="AQ1722" s="669"/>
    </row>
    <row r="1723" spans="1:43" ht="16.5" hidden="1" customHeight="1" outlineLevel="2">
      <c r="A1723" s="584"/>
      <c r="B1723" s="641" t="s">
        <v>805</v>
      </c>
      <c r="C1723" s="573">
        <f t="shared" ref="C1723:AF1723" si="1602">C1695</f>
        <v>0</v>
      </c>
      <c r="D1723" s="573">
        <f t="shared" si="1602"/>
        <v>0</v>
      </c>
      <c r="E1723" s="573">
        <f t="shared" si="1602"/>
        <v>0</v>
      </c>
      <c r="F1723" s="573">
        <f t="shared" si="1602"/>
        <v>0</v>
      </c>
      <c r="G1723" s="573">
        <f t="shared" si="1602"/>
        <v>0</v>
      </c>
      <c r="H1723" s="573">
        <f t="shared" si="1602"/>
        <v>0</v>
      </c>
      <c r="I1723" s="573">
        <f t="shared" si="1602"/>
        <v>1</v>
      </c>
      <c r="J1723" s="573">
        <f t="shared" si="1602"/>
        <v>1</v>
      </c>
      <c r="K1723" s="573">
        <f t="shared" si="1602"/>
        <v>1</v>
      </c>
      <c r="L1723" s="573">
        <f t="shared" si="1602"/>
        <v>1</v>
      </c>
      <c r="M1723" s="573">
        <f t="shared" si="1602"/>
        <v>1</v>
      </c>
      <c r="N1723" s="573">
        <f t="shared" si="1602"/>
        <v>1</v>
      </c>
      <c r="O1723" s="573">
        <f t="shared" si="1602"/>
        <v>1</v>
      </c>
      <c r="P1723" s="573">
        <f t="shared" si="1602"/>
        <v>1</v>
      </c>
      <c r="Q1723" s="573">
        <f t="shared" si="1602"/>
        <v>1</v>
      </c>
      <c r="R1723" s="573">
        <f t="shared" si="1602"/>
        <v>1</v>
      </c>
      <c r="S1723" s="573">
        <f t="shared" si="1602"/>
        <v>1</v>
      </c>
      <c r="T1723" s="573">
        <f t="shared" si="1602"/>
        <v>1</v>
      </c>
      <c r="U1723" s="573">
        <f t="shared" si="1602"/>
        <v>1</v>
      </c>
      <c r="V1723" s="573">
        <f t="shared" si="1602"/>
        <v>1</v>
      </c>
      <c r="W1723" s="573">
        <f t="shared" si="1602"/>
        <v>1</v>
      </c>
      <c r="X1723" s="573">
        <f t="shared" si="1602"/>
        <v>1</v>
      </c>
      <c r="Y1723" s="573">
        <f t="shared" si="1602"/>
        <v>1</v>
      </c>
      <c r="Z1723" s="573">
        <f t="shared" si="1602"/>
        <v>1</v>
      </c>
      <c r="AA1723" s="573">
        <f t="shared" si="1602"/>
        <v>1</v>
      </c>
      <c r="AB1723" s="573">
        <f t="shared" si="1602"/>
        <v>1</v>
      </c>
      <c r="AC1723" s="573">
        <f t="shared" si="1602"/>
        <v>1</v>
      </c>
      <c r="AD1723" s="573">
        <f t="shared" si="1602"/>
        <v>1</v>
      </c>
      <c r="AE1723" s="573">
        <f t="shared" si="1602"/>
        <v>1</v>
      </c>
      <c r="AF1723" s="573">
        <f t="shared" si="1602"/>
        <v>1</v>
      </c>
      <c r="AH1723" s="538"/>
      <c r="AN1723" s="535"/>
      <c r="AP1723" s="535"/>
      <c r="AQ1723" s="535"/>
    </row>
    <row r="1724" spans="1:43" s="513" customFormat="1" ht="16.5" hidden="1" customHeight="1" outlineLevel="2">
      <c r="A1724" s="584"/>
      <c r="B1724" s="596" t="s">
        <v>940</v>
      </c>
      <c r="C1724" s="592">
        <f>'Sal._benef.'!$I$36</f>
        <v>500</v>
      </c>
      <c r="D1724" s="592">
        <f>C1724</f>
        <v>500</v>
      </c>
      <c r="E1724" s="592">
        <f t="shared" ref="E1724:G1727" si="1603">D1724</f>
        <v>500</v>
      </c>
      <c r="F1724" s="592">
        <f t="shared" si="1603"/>
        <v>500</v>
      </c>
      <c r="G1724" s="592">
        <f>F1724</f>
        <v>500</v>
      </c>
      <c r="H1724" s="592">
        <f t="shared" ref="H1724:W1727" si="1604">G1724</f>
        <v>500</v>
      </c>
      <c r="I1724" s="592">
        <f t="shared" si="1604"/>
        <v>500</v>
      </c>
      <c r="J1724" s="592">
        <f t="shared" si="1604"/>
        <v>500</v>
      </c>
      <c r="K1724" s="592">
        <f t="shared" si="1604"/>
        <v>500</v>
      </c>
      <c r="L1724" s="592">
        <f t="shared" si="1604"/>
        <v>500</v>
      </c>
      <c r="M1724" s="592">
        <f t="shared" si="1604"/>
        <v>500</v>
      </c>
      <c r="N1724" s="592">
        <f t="shared" si="1604"/>
        <v>500</v>
      </c>
      <c r="O1724" s="592">
        <f t="shared" si="1604"/>
        <v>500</v>
      </c>
      <c r="P1724" s="592">
        <f t="shared" si="1604"/>
        <v>500</v>
      </c>
      <c r="Q1724" s="592">
        <f t="shared" si="1604"/>
        <v>500</v>
      </c>
      <c r="R1724" s="592">
        <f t="shared" si="1604"/>
        <v>500</v>
      </c>
      <c r="S1724" s="592">
        <f t="shared" si="1604"/>
        <v>500</v>
      </c>
      <c r="T1724" s="592">
        <f t="shared" si="1604"/>
        <v>500</v>
      </c>
      <c r="U1724" s="592">
        <f t="shared" si="1604"/>
        <v>500</v>
      </c>
      <c r="V1724" s="592">
        <f t="shared" si="1604"/>
        <v>500</v>
      </c>
      <c r="W1724" s="592">
        <f t="shared" si="1604"/>
        <v>500</v>
      </c>
      <c r="X1724" s="592">
        <f t="shared" ref="X1724:AF1727" si="1605">W1724</f>
        <v>500</v>
      </c>
      <c r="Y1724" s="592">
        <f t="shared" si="1605"/>
        <v>500</v>
      </c>
      <c r="Z1724" s="592">
        <f t="shared" si="1605"/>
        <v>500</v>
      </c>
      <c r="AA1724" s="592">
        <f t="shared" si="1605"/>
        <v>500</v>
      </c>
      <c r="AB1724" s="592">
        <f t="shared" si="1605"/>
        <v>500</v>
      </c>
      <c r="AC1724" s="592">
        <f t="shared" si="1605"/>
        <v>500</v>
      </c>
      <c r="AD1724" s="592">
        <f t="shared" si="1605"/>
        <v>500</v>
      </c>
      <c r="AE1724" s="592">
        <f t="shared" si="1605"/>
        <v>500</v>
      </c>
      <c r="AF1724" s="592">
        <f t="shared" si="1605"/>
        <v>500</v>
      </c>
      <c r="AH1724" s="538"/>
      <c r="AK1724" s="515"/>
      <c r="AM1724" s="526"/>
      <c r="AN1724" s="535"/>
      <c r="AP1724" s="540"/>
      <c r="AQ1724" s="540"/>
    </row>
    <row r="1725" spans="1:43" s="513" customFormat="1" ht="16.5" hidden="1" customHeight="1" outlineLevel="2">
      <c r="A1725" s="584"/>
      <c r="B1725" s="596" t="s">
        <v>941</v>
      </c>
      <c r="C1725" s="592">
        <f>'Sal._benef.'!$K$36</f>
        <v>5.53</v>
      </c>
      <c r="D1725" s="592">
        <f>C1725</f>
        <v>5.53</v>
      </c>
      <c r="E1725" s="592">
        <f t="shared" si="1603"/>
        <v>5.53</v>
      </c>
      <c r="F1725" s="592">
        <f t="shared" si="1603"/>
        <v>5.53</v>
      </c>
      <c r="G1725" s="592">
        <f t="shared" si="1603"/>
        <v>5.53</v>
      </c>
      <c r="H1725" s="592">
        <f t="shared" si="1604"/>
        <v>5.53</v>
      </c>
      <c r="I1725" s="592">
        <f t="shared" si="1604"/>
        <v>5.53</v>
      </c>
      <c r="J1725" s="592">
        <f t="shared" si="1604"/>
        <v>5.53</v>
      </c>
      <c r="K1725" s="592">
        <f t="shared" si="1604"/>
        <v>5.53</v>
      </c>
      <c r="L1725" s="592">
        <f t="shared" si="1604"/>
        <v>5.53</v>
      </c>
      <c r="M1725" s="592">
        <f t="shared" si="1604"/>
        <v>5.53</v>
      </c>
      <c r="N1725" s="592">
        <f t="shared" si="1604"/>
        <v>5.53</v>
      </c>
      <c r="O1725" s="592">
        <f t="shared" si="1604"/>
        <v>5.53</v>
      </c>
      <c r="P1725" s="592">
        <f t="shared" si="1604"/>
        <v>5.53</v>
      </c>
      <c r="Q1725" s="592">
        <f t="shared" si="1604"/>
        <v>5.53</v>
      </c>
      <c r="R1725" s="592">
        <f t="shared" si="1604"/>
        <v>5.53</v>
      </c>
      <c r="S1725" s="592">
        <f t="shared" si="1604"/>
        <v>5.53</v>
      </c>
      <c r="T1725" s="592">
        <f t="shared" si="1604"/>
        <v>5.53</v>
      </c>
      <c r="U1725" s="592">
        <f t="shared" si="1604"/>
        <v>5.53</v>
      </c>
      <c r="V1725" s="592">
        <f t="shared" si="1604"/>
        <v>5.53</v>
      </c>
      <c r="W1725" s="592">
        <f t="shared" si="1604"/>
        <v>5.53</v>
      </c>
      <c r="X1725" s="592">
        <f t="shared" si="1605"/>
        <v>5.53</v>
      </c>
      <c r="Y1725" s="592">
        <f t="shared" si="1605"/>
        <v>5.53</v>
      </c>
      <c r="Z1725" s="592">
        <f t="shared" si="1605"/>
        <v>5.53</v>
      </c>
      <c r="AA1725" s="592">
        <f t="shared" si="1605"/>
        <v>5.53</v>
      </c>
      <c r="AB1725" s="592">
        <f t="shared" si="1605"/>
        <v>5.53</v>
      </c>
      <c r="AC1725" s="592">
        <f t="shared" si="1605"/>
        <v>5.53</v>
      </c>
      <c r="AD1725" s="592">
        <f t="shared" si="1605"/>
        <v>5.53</v>
      </c>
      <c r="AE1725" s="592">
        <f t="shared" si="1605"/>
        <v>5.53</v>
      </c>
      <c r="AF1725" s="592">
        <f t="shared" si="1605"/>
        <v>5.53</v>
      </c>
      <c r="AH1725" s="538"/>
      <c r="AK1725" s="515"/>
      <c r="AM1725" s="526"/>
      <c r="AN1725" s="535"/>
      <c r="AP1725" s="540"/>
      <c r="AQ1725" s="540"/>
    </row>
    <row r="1726" spans="1:43" s="513" customFormat="1" ht="16.5" hidden="1" customHeight="1" outlineLevel="2">
      <c r="A1726" s="584"/>
      <c r="B1726" s="596" t="s">
        <v>942</v>
      </c>
      <c r="C1726" s="592">
        <f>'Sal._benef.'!$J$36</f>
        <v>0</v>
      </c>
      <c r="D1726" s="592">
        <f>C1726</f>
        <v>0</v>
      </c>
      <c r="E1726" s="592">
        <f t="shared" si="1603"/>
        <v>0</v>
      </c>
      <c r="F1726" s="592">
        <f t="shared" si="1603"/>
        <v>0</v>
      </c>
      <c r="G1726" s="592">
        <f t="shared" si="1603"/>
        <v>0</v>
      </c>
      <c r="H1726" s="592">
        <f t="shared" si="1604"/>
        <v>0</v>
      </c>
      <c r="I1726" s="592">
        <f t="shared" si="1604"/>
        <v>0</v>
      </c>
      <c r="J1726" s="592">
        <f t="shared" si="1604"/>
        <v>0</v>
      </c>
      <c r="K1726" s="592">
        <f t="shared" si="1604"/>
        <v>0</v>
      </c>
      <c r="L1726" s="592">
        <f t="shared" si="1604"/>
        <v>0</v>
      </c>
      <c r="M1726" s="592">
        <f t="shared" si="1604"/>
        <v>0</v>
      </c>
      <c r="N1726" s="592">
        <f t="shared" si="1604"/>
        <v>0</v>
      </c>
      <c r="O1726" s="592">
        <f t="shared" si="1604"/>
        <v>0</v>
      </c>
      <c r="P1726" s="592">
        <f t="shared" si="1604"/>
        <v>0</v>
      </c>
      <c r="Q1726" s="592">
        <f t="shared" si="1604"/>
        <v>0</v>
      </c>
      <c r="R1726" s="592">
        <f t="shared" si="1604"/>
        <v>0</v>
      </c>
      <c r="S1726" s="592">
        <f t="shared" si="1604"/>
        <v>0</v>
      </c>
      <c r="T1726" s="592">
        <f t="shared" si="1604"/>
        <v>0</v>
      </c>
      <c r="U1726" s="592">
        <f t="shared" si="1604"/>
        <v>0</v>
      </c>
      <c r="V1726" s="592">
        <f t="shared" si="1604"/>
        <v>0</v>
      </c>
      <c r="W1726" s="592">
        <f t="shared" si="1604"/>
        <v>0</v>
      </c>
      <c r="X1726" s="592">
        <f t="shared" si="1605"/>
        <v>0</v>
      </c>
      <c r="Y1726" s="592">
        <f t="shared" si="1605"/>
        <v>0</v>
      </c>
      <c r="Z1726" s="592">
        <f t="shared" si="1605"/>
        <v>0</v>
      </c>
      <c r="AA1726" s="592">
        <f t="shared" si="1605"/>
        <v>0</v>
      </c>
      <c r="AB1726" s="592">
        <f t="shared" si="1605"/>
        <v>0</v>
      </c>
      <c r="AC1726" s="592">
        <f t="shared" si="1605"/>
        <v>0</v>
      </c>
      <c r="AD1726" s="592">
        <f t="shared" si="1605"/>
        <v>0</v>
      </c>
      <c r="AE1726" s="592">
        <f t="shared" si="1605"/>
        <v>0</v>
      </c>
      <c r="AF1726" s="592">
        <f t="shared" si="1605"/>
        <v>0</v>
      </c>
      <c r="AH1726" s="538"/>
      <c r="AK1726" s="515"/>
      <c r="AM1726" s="526"/>
      <c r="AN1726" s="535"/>
      <c r="AP1726" s="540"/>
      <c r="AQ1726" s="540"/>
    </row>
    <row r="1727" spans="1:43" s="513" customFormat="1" ht="16.5" hidden="1" customHeight="1" outlineLevel="2">
      <c r="A1727" s="584"/>
      <c r="B1727" s="596" t="s">
        <v>862</v>
      </c>
      <c r="C1727" s="592">
        <v>0</v>
      </c>
      <c r="D1727" s="592">
        <f t="shared" ref="D1727" si="1606">C1727</f>
        <v>0</v>
      </c>
      <c r="E1727" s="592">
        <f t="shared" si="1603"/>
        <v>0</v>
      </c>
      <c r="F1727" s="592">
        <f t="shared" si="1603"/>
        <v>0</v>
      </c>
      <c r="G1727" s="592">
        <f t="shared" si="1603"/>
        <v>0</v>
      </c>
      <c r="H1727" s="592">
        <f t="shared" si="1604"/>
        <v>0</v>
      </c>
      <c r="I1727" s="592">
        <f t="shared" si="1604"/>
        <v>0</v>
      </c>
      <c r="J1727" s="592">
        <f t="shared" si="1604"/>
        <v>0</v>
      </c>
      <c r="K1727" s="592">
        <f t="shared" si="1604"/>
        <v>0</v>
      </c>
      <c r="L1727" s="592">
        <f t="shared" si="1604"/>
        <v>0</v>
      </c>
      <c r="M1727" s="592">
        <f t="shared" si="1604"/>
        <v>0</v>
      </c>
      <c r="N1727" s="592">
        <f t="shared" si="1604"/>
        <v>0</v>
      </c>
      <c r="O1727" s="592">
        <f t="shared" si="1604"/>
        <v>0</v>
      </c>
      <c r="P1727" s="592">
        <f t="shared" si="1604"/>
        <v>0</v>
      </c>
      <c r="Q1727" s="592">
        <f t="shared" si="1604"/>
        <v>0</v>
      </c>
      <c r="R1727" s="592">
        <f t="shared" si="1604"/>
        <v>0</v>
      </c>
      <c r="S1727" s="592">
        <f t="shared" si="1604"/>
        <v>0</v>
      </c>
      <c r="T1727" s="592">
        <f t="shared" si="1604"/>
        <v>0</v>
      </c>
      <c r="U1727" s="592">
        <f t="shared" si="1604"/>
        <v>0</v>
      </c>
      <c r="V1727" s="592">
        <f t="shared" si="1604"/>
        <v>0</v>
      </c>
      <c r="W1727" s="592">
        <f t="shared" si="1604"/>
        <v>0</v>
      </c>
      <c r="X1727" s="592">
        <f t="shared" si="1605"/>
        <v>0</v>
      </c>
      <c r="Y1727" s="592">
        <f t="shared" si="1605"/>
        <v>0</v>
      </c>
      <c r="Z1727" s="592">
        <f t="shared" si="1605"/>
        <v>0</v>
      </c>
      <c r="AA1727" s="592">
        <f t="shared" si="1605"/>
        <v>0</v>
      </c>
      <c r="AB1727" s="592">
        <f t="shared" si="1605"/>
        <v>0</v>
      </c>
      <c r="AC1727" s="592">
        <f t="shared" si="1605"/>
        <v>0</v>
      </c>
      <c r="AD1727" s="592">
        <f t="shared" si="1605"/>
        <v>0</v>
      </c>
      <c r="AE1727" s="592">
        <f t="shared" si="1605"/>
        <v>0</v>
      </c>
      <c r="AF1727" s="592">
        <f t="shared" si="1605"/>
        <v>0</v>
      </c>
      <c r="AH1727" s="538"/>
      <c r="AK1727" s="515"/>
      <c r="AM1727" s="526"/>
      <c r="AN1727" s="535"/>
      <c r="AP1727" s="540"/>
      <c r="AQ1727" s="540"/>
    </row>
    <row r="1728" spans="1:43" s="668" customFormat="1" ht="16.5" hidden="1" customHeight="1" outlineLevel="2">
      <c r="A1728" s="584"/>
      <c r="B1728" s="671" t="str">
        <f>B1697</f>
        <v>Zelador</v>
      </c>
      <c r="C1728" s="555">
        <f>C1729*(C1730+C1731+C1732+C1733)</f>
        <v>646.71</v>
      </c>
      <c r="D1728" s="555">
        <f t="shared" ref="D1728:AF1728" si="1607">D1729*(D1730+D1731+D1732+D1733)</f>
        <v>646.71</v>
      </c>
      <c r="E1728" s="555">
        <f t="shared" si="1607"/>
        <v>646.71</v>
      </c>
      <c r="F1728" s="555">
        <f t="shared" si="1607"/>
        <v>646.71</v>
      </c>
      <c r="G1728" s="555">
        <f t="shared" si="1607"/>
        <v>646.71</v>
      </c>
      <c r="H1728" s="555">
        <f t="shared" si="1607"/>
        <v>646.71</v>
      </c>
      <c r="I1728" s="555">
        <f t="shared" si="1607"/>
        <v>646.71</v>
      </c>
      <c r="J1728" s="555">
        <f t="shared" si="1607"/>
        <v>646.71</v>
      </c>
      <c r="K1728" s="555">
        <f t="shared" si="1607"/>
        <v>646.71</v>
      </c>
      <c r="L1728" s="555">
        <f t="shared" si="1607"/>
        <v>646.71</v>
      </c>
      <c r="M1728" s="555">
        <f t="shared" si="1607"/>
        <v>646.71</v>
      </c>
      <c r="N1728" s="555">
        <f t="shared" si="1607"/>
        <v>646.71</v>
      </c>
      <c r="O1728" s="555">
        <f t="shared" si="1607"/>
        <v>646.71</v>
      </c>
      <c r="P1728" s="555">
        <f t="shared" si="1607"/>
        <v>646.71</v>
      </c>
      <c r="Q1728" s="555">
        <f t="shared" si="1607"/>
        <v>646.71</v>
      </c>
      <c r="R1728" s="555">
        <f t="shared" si="1607"/>
        <v>646.71</v>
      </c>
      <c r="S1728" s="555">
        <f t="shared" si="1607"/>
        <v>646.71</v>
      </c>
      <c r="T1728" s="555">
        <f t="shared" si="1607"/>
        <v>646.71</v>
      </c>
      <c r="U1728" s="555">
        <f t="shared" si="1607"/>
        <v>646.71</v>
      </c>
      <c r="V1728" s="555">
        <f t="shared" si="1607"/>
        <v>646.71</v>
      </c>
      <c r="W1728" s="555">
        <f t="shared" si="1607"/>
        <v>646.71</v>
      </c>
      <c r="X1728" s="555">
        <f t="shared" si="1607"/>
        <v>646.71</v>
      </c>
      <c r="Y1728" s="555">
        <f t="shared" si="1607"/>
        <v>646.71</v>
      </c>
      <c r="Z1728" s="555">
        <f t="shared" si="1607"/>
        <v>646.71</v>
      </c>
      <c r="AA1728" s="555">
        <f t="shared" si="1607"/>
        <v>646.71</v>
      </c>
      <c r="AB1728" s="555">
        <f t="shared" si="1607"/>
        <v>646.71</v>
      </c>
      <c r="AC1728" s="555">
        <f t="shared" si="1607"/>
        <v>646.71</v>
      </c>
      <c r="AD1728" s="555">
        <f t="shared" si="1607"/>
        <v>646.71</v>
      </c>
      <c r="AE1728" s="555">
        <f t="shared" si="1607"/>
        <v>646.71</v>
      </c>
      <c r="AF1728" s="555">
        <f t="shared" si="1607"/>
        <v>646.71</v>
      </c>
      <c r="AG1728" s="546"/>
      <c r="AH1728" s="571"/>
      <c r="AK1728" s="687"/>
      <c r="AM1728" s="690"/>
      <c r="AN1728" s="535"/>
      <c r="AP1728" s="669"/>
      <c r="AQ1728" s="669"/>
    </row>
    <row r="1729" spans="1:43" ht="16.5" hidden="1" customHeight="1" outlineLevel="2">
      <c r="A1729" s="584"/>
      <c r="B1729" s="641" t="s">
        <v>805</v>
      </c>
      <c r="C1729" s="573">
        <f t="shared" ref="C1729:AF1729" si="1608">C1698</f>
        <v>1</v>
      </c>
      <c r="D1729" s="573">
        <f t="shared" si="1608"/>
        <v>1</v>
      </c>
      <c r="E1729" s="573">
        <f t="shared" si="1608"/>
        <v>1</v>
      </c>
      <c r="F1729" s="573">
        <f t="shared" si="1608"/>
        <v>1</v>
      </c>
      <c r="G1729" s="573">
        <f t="shared" si="1608"/>
        <v>1</v>
      </c>
      <c r="H1729" s="573">
        <f t="shared" si="1608"/>
        <v>1</v>
      </c>
      <c r="I1729" s="573">
        <f t="shared" si="1608"/>
        <v>1</v>
      </c>
      <c r="J1729" s="573">
        <f t="shared" si="1608"/>
        <v>1</v>
      </c>
      <c r="K1729" s="573">
        <f t="shared" si="1608"/>
        <v>1</v>
      </c>
      <c r="L1729" s="573">
        <f t="shared" si="1608"/>
        <v>1</v>
      </c>
      <c r="M1729" s="573">
        <f t="shared" si="1608"/>
        <v>1</v>
      </c>
      <c r="N1729" s="573">
        <f t="shared" si="1608"/>
        <v>1</v>
      </c>
      <c r="O1729" s="573">
        <f t="shared" si="1608"/>
        <v>1</v>
      </c>
      <c r="P1729" s="573">
        <f t="shared" si="1608"/>
        <v>1</v>
      </c>
      <c r="Q1729" s="573">
        <f t="shared" si="1608"/>
        <v>1</v>
      </c>
      <c r="R1729" s="573">
        <f t="shared" si="1608"/>
        <v>1</v>
      </c>
      <c r="S1729" s="573">
        <f t="shared" si="1608"/>
        <v>1</v>
      </c>
      <c r="T1729" s="573">
        <f t="shared" si="1608"/>
        <v>1</v>
      </c>
      <c r="U1729" s="573">
        <f t="shared" si="1608"/>
        <v>1</v>
      </c>
      <c r="V1729" s="573">
        <f t="shared" si="1608"/>
        <v>1</v>
      </c>
      <c r="W1729" s="573">
        <f t="shared" si="1608"/>
        <v>1</v>
      </c>
      <c r="X1729" s="573">
        <f t="shared" si="1608"/>
        <v>1</v>
      </c>
      <c r="Y1729" s="573">
        <f t="shared" si="1608"/>
        <v>1</v>
      </c>
      <c r="Z1729" s="573">
        <f t="shared" si="1608"/>
        <v>1</v>
      </c>
      <c r="AA1729" s="573">
        <f t="shared" si="1608"/>
        <v>1</v>
      </c>
      <c r="AB1729" s="573">
        <f t="shared" si="1608"/>
        <v>1</v>
      </c>
      <c r="AC1729" s="573">
        <f t="shared" si="1608"/>
        <v>1</v>
      </c>
      <c r="AD1729" s="573">
        <f t="shared" si="1608"/>
        <v>1</v>
      </c>
      <c r="AE1729" s="573">
        <f t="shared" si="1608"/>
        <v>1</v>
      </c>
      <c r="AF1729" s="573">
        <f t="shared" si="1608"/>
        <v>1</v>
      </c>
      <c r="AH1729" s="538"/>
      <c r="AN1729" s="535"/>
      <c r="AP1729" s="535"/>
      <c r="AQ1729" s="535"/>
    </row>
    <row r="1730" spans="1:43" s="513" customFormat="1" ht="16.5" hidden="1" customHeight="1" outlineLevel="2">
      <c r="A1730" s="584"/>
      <c r="B1730" s="596" t="s">
        <v>940</v>
      </c>
      <c r="C1730" s="592">
        <f>'Sal._benef.'!$I$29</f>
        <v>500</v>
      </c>
      <c r="D1730" s="592">
        <f>C1730</f>
        <v>500</v>
      </c>
      <c r="E1730" s="592">
        <f t="shared" ref="E1730:G1733" si="1609">D1730</f>
        <v>500</v>
      </c>
      <c r="F1730" s="592">
        <f t="shared" si="1609"/>
        <v>500</v>
      </c>
      <c r="G1730" s="592">
        <f>F1730</f>
        <v>500</v>
      </c>
      <c r="H1730" s="592">
        <f t="shared" ref="H1730:W1733" si="1610">G1730</f>
        <v>500</v>
      </c>
      <c r="I1730" s="592">
        <f t="shared" si="1610"/>
        <v>500</v>
      </c>
      <c r="J1730" s="592">
        <f t="shared" si="1610"/>
        <v>500</v>
      </c>
      <c r="K1730" s="592">
        <f t="shared" si="1610"/>
        <v>500</v>
      </c>
      <c r="L1730" s="592">
        <f t="shared" si="1610"/>
        <v>500</v>
      </c>
      <c r="M1730" s="592">
        <f t="shared" si="1610"/>
        <v>500</v>
      </c>
      <c r="N1730" s="592">
        <f t="shared" si="1610"/>
        <v>500</v>
      </c>
      <c r="O1730" s="592">
        <f t="shared" si="1610"/>
        <v>500</v>
      </c>
      <c r="P1730" s="592">
        <f t="shared" si="1610"/>
        <v>500</v>
      </c>
      <c r="Q1730" s="592">
        <f t="shared" si="1610"/>
        <v>500</v>
      </c>
      <c r="R1730" s="592">
        <f t="shared" si="1610"/>
        <v>500</v>
      </c>
      <c r="S1730" s="592">
        <f t="shared" si="1610"/>
        <v>500</v>
      </c>
      <c r="T1730" s="592">
        <f t="shared" si="1610"/>
        <v>500</v>
      </c>
      <c r="U1730" s="592">
        <f t="shared" si="1610"/>
        <v>500</v>
      </c>
      <c r="V1730" s="592">
        <f t="shared" si="1610"/>
        <v>500</v>
      </c>
      <c r="W1730" s="592">
        <f t="shared" si="1610"/>
        <v>500</v>
      </c>
      <c r="X1730" s="592">
        <f t="shared" ref="X1730:AF1733" si="1611">W1730</f>
        <v>500</v>
      </c>
      <c r="Y1730" s="592">
        <f t="shared" si="1611"/>
        <v>500</v>
      </c>
      <c r="Z1730" s="592">
        <f t="shared" si="1611"/>
        <v>500</v>
      </c>
      <c r="AA1730" s="592">
        <f t="shared" si="1611"/>
        <v>500</v>
      </c>
      <c r="AB1730" s="592">
        <f t="shared" si="1611"/>
        <v>500</v>
      </c>
      <c r="AC1730" s="592">
        <f t="shared" si="1611"/>
        <v>500</v>
      </c>
      <c r="AD1730" s="592">
        <f t="shared" si="1611"/>
        <v>500</v>
      </c>
      <c r="AE1730" s="592">
        <f t="shared" si="1611"/>
        <v>500</v>
      </c>
      <c r="AF1730" s="592">
        <f t="shared" si="1611"/>
        <v>500</v>
      </c>
      <c r="AH1730" s="538"/>
      <c r="AK1730" s="515"/>
      <c r="AM1730" s="526"/>
      <c r="AN1730" s="535"/>
      <c r="AP1730" s="540"/>
      <c r="AQ1730" s="540"/>
    </row>
    <row r="1731" spans="1:43" s="513" customFormat="1" ht="16.5" hidden="1" customHeight="1" outlineLevel="2">
      <c r="A1731" s="584"/>
      <c r="B1731" s="596" t="s">
        <v>941</v>
      </c>
      <c r="C1731" s="592">
        <f>'Sal._benef.'!$K$29</f>
        <v>5.53</v>
      </c>
      <c r="D1731" s="592">
        <f>C1731</f>
        <v>5.53</v>
      </c>
      <c r="E1731" s="592">
        <f t="shared" si="1609"/>
        <v>5.53</v>
      </c>
      <c r="F1731" s="592">
        <f t="shared" si="1609"/>
        <v>5.53</v>
      </c>
      <c r="G1731" s="592">
        <f t="shared" si="1609"/>
        <v>5.53</v>
      </c>
      <c r="H1731" s="592">
        <f t="shared" si="1610"/>
        <v>5.53</v>
      </c>
      <c r="I1731" s="592">
        <f t="shared" si="1610"/>
        <v>5.53</v>
      </c>
      <c r="J1731" s="592">
        <f t="shared" si="1610"/>
        <v>5.53</v>
      </c>
      <c r="K1731" s="592">
        <f t="shared" si="1610"/>
        <v>5.53</v>
      </c>
      <c r="L1731" s="592">
        <f t="shared" si="1610"/>
        <v>5.53</v>
      </c>
      <c r="M1731" s="592">
        <f t="shared" si="1610"/>
        <v>5.53</v>
      </c>
      <c r="N1731" s="592">
        <f t="shared" si="1610"/>
        <v>5.53</v>
      </c>
      <c r="O1731" s="592">
        <f t="shared" si="1610"/>
        <v>5.53</v>
      </c>
      <c r="P1731" s="592">
        <f t="shared" si="1610"/>
        <v>5.53</v>
      </c>
      <c r="Q1731" s="592">
        <f t="shared" si="1610"/>
        <v>5.53</v>
      </c>
      <c r="R1731" s="592">
        <f t="shared" si="1610"/>
        <v>5.53</v>
      </c>
      <c r="S1731" s="592">
        <f t="shared" si="1610"/>
        <v>5.53</v>
      </c>
      <c r="T1731" s="592">
        <f t="shared" si="1610"/>
        <v>5.53</v>
      </c>
      <c r="U1731" s="592">
        <f t="shared" si="1610"/>
        <v>5.53</v>
      </c>
      <c r="V1731" s="592">
        <f t="shared" si="1610"/>
        <v>5.53</v>
      </c>
      <c r="W1731" s="592">
        <f t="shared" si="1610"/>
        <v>5.53</v>
      </c>
      <c r="X1731" s="592">
        <f t="shared" si="1611"/>
        <v>5.53</v>
      </c>
      <c r="Y1731" s="592">
        <f t="shared" si="1611"/>
        <v>5.53</v>
      </c>
      <c r="Z1731" s="592">
        <f t="shared" si="1611"/>
        <v>5.53</v>
      </c>
      <c r="AA1731" s="592">
        <f t="shared" si="1611"/>
        <v>5.53</v>
      </c>
      <c r="AB1731" s="592">
        <f t="shared" si="1611"/>
        <v>5.53</v>
      </c>
      <c r="AC1731" s="592">
        <f t="shared" si="1611"/>
        <v>5.53</v>
      </c>
      <c r="AD1731" s="592">
        <f t="shared" si="1611"/>
        <v>5.53</v>
      </c>
      <c r="AE1731" s="592">
        <f t="shared" si="1611"/>
        <v>5.53</v>
      </c>
      <c r="AF1731" s="592">
        <f t="shared" si="1611"/>
        <v>5.53</v>
      </c>
      <c r="AH1731" s="538"/>
      <c r="AK1731" s="515"/>
      <c r="AM1731" s="526"/>
      <c r="AN1731" s="535"/>
      <c r="AP1731" s="540"/>
      <c r="AQ1731" s="540"/>
    </row>
    <row r="1732" spans="1:43" s="513" customFormat="1" ht="16.5" hidden="1" customHeight="1" outlineLevel="2">
      <c r="A1732" s="584"/>
      <c r="B1732" s="596" t="s">
        <v>942</v>
      </c>
      <c r="C1732" s="592">
        <f>'Sal._benef.'!$J$29</f>
        <v>141.18</v>
      </c>
      <c r="D1732" s="592">
        <f>C1732</f>
        <v>141.18</v>
      </c>
      <c r="E1732" s="592">
        <f t="shared" si="1609"/>
        <v>141.18</v>
      </c>
      <c r="F1732" s="592">
        <f t="shared" si="1609"/>
        <v>141.18</v>
      </c>
      <c r="G1732" s="592">
        <f t="shared" si="1609"/>
        <v>141.18</v>
      </c>
      <c r="H1732" s="592">
        <f t="shared" si="1610"/>
        <v>141.18</v>
      </c>
      <c r="I1732" s="592">
        <f t="shared" si="1610"/>
        <v>141.18</v>
      </c>
      <c r="J1732" s="592">
        <f t="shared" si="1610"/>
        <v>141.18</v>
      </c>
      <c r="K1732" s="592">
        <f t="shared" si="1610"/>
        <v>141.18</v>
      </c>
      <c r="L1732" s="592">
        <f t="shared" si="1610"/>
        <v>141.18</v>
      </c>
      <c r="M1732" s="592">
        <f t="shared" si="1610"/>
        <v>141.18</v>
      </c>
      <c r="N1732" s="592">
        <f t="shared" si="1610"/>
        <v>141.18</v>
      </c>
      <c r="O1732" s="592">
        <f t="shared" si="1610"/>
        <v>141.18</v>
      </c>
      <c r="P1732" s="592">
        <f t="shared" si="1610"/>
        <v>141.18</v>
      </c>
      <c r="Q1732" s="592">
        <f t="shared" si="1610"/>
        <v>141.18</v>
      </c>
      <c r="R1732" s="592">
        <f t="shared" si="1610"/>
        <v>141.18</v>
      </c>
      <c r="S1732" s="592">
        <f t="shared" si="1610"/>
        <v>141.18</v>
      </c>
      <c r="T1732" s="592">
        <f t="shared" si="1610"/>
        <v>141.18</v>
      </c>
      <c r="U1732" s="592">
        <f t="shared" si="1610"/>
        <v>141.18</v>
      </c>
      <c r="V1732" s="592">
        <f t="shared" si="1610"/>
        <v>141.18</v>
      </c>
      <c r="W1732" s="592">
        <f t="shared" si="1610"/>
        <v>141.18</v>
      </c>
      <c r="X1732" s="592">
        <f t="shared" si="1611"/>
        <v>141.18</v>
      </c>
      <c r="Y1732" s="592">
        <f t="shared" si="1611"/>
        <v>141.18</v>
      </c>
      <c r="Z1732" s="592">
        <f t="shared" si="1611"/>
        <v>141.18</v>
      </c>
      <c r="AA1732" s="592">
        <f t="shared" si="1611"/>
        <v>141.18</v>
      </c>
      <c r="AB1732" s="592">
        <f t="shared" si="1611"/>
        <v>141.18</v>
      </c>
      <c r="AC1732" s="592">
        <f t="shared" si="1611"/>
        <v>141.18</v>
      </c>
      <c r="AD1732" s="592">
        <f t="shared" si="1611"/>
        <v>141.18</v>
      </c>
      <c r="AE1732" s="592">
        <f t="shared" si="1611"/>
        <v>141.18</v>
      </c>
      <c r="AF1732" s="592">
        <f t="shared" si="1611"/>
        <v>141.18</v>
      </c>
      <c r="AH1732" s="538"/>
      <c r="AK1732" s="515"/>
      <c r="AM1732" s="526"/>
      <c r="AN1732" s="535"/>
      <c r="AP1732" s="540"/>
      <c r="AQ1732" s="540"/>
    </row>
    <row r="1733" spans="1:43" s="513" customFormat="1" ht="16.5" hidden="1" customHeight="1" outlineLevel="2">
      <c r="A1733" s="584"/>
      <c r="B1733" s="596" t="s">
        <v>862</v>
      </c>
      <c r="C1733" s="592">
        <v>0</v>
      </c>
      <c r="D1733" s="592">
        <f t="shared" ref="D1733" si="1612">C1733</f>
        <v>0</v>
      </c>
      <c r="E1733" s="592">
        <f t="shared" si="1609"/>
        <v>0</v>
      </c>
      <c r="F1733" s="592">
        <f t="shared" si="1609"/>
        <v>0</v>
      </c>
      <c r="G1733" s="592">
        <f t="shared" si="1609"/>
        <v>0</v>
      </c>
      <c r="H1733" s="592">
        <f t="shared" si="1610"/>
        <v>0</v>
      </c>
      <c r="I1733" s="592">
        <f t="shared" si="1610"/>
        <v>0</v>
      </c>
      <c r="J1733" s="592">
        <f t="shared" si="1610"/>
        <v>0</v>
      </c>
      <c r="K1733" s="592">
        <f t="shared" si="1610"/>
        <v>0</v>
      </c>
      <c r="L1733" s="592">
        <f t="shared" si="1610"/>
        <v>0</v>
      </c>
      <c r="M1733" s="592">
        <f t="shared" si="1610"/>
        <v>0</v>
      </c>
      <c r="N1733" s="592">
        <f t="shared" si="1610"/>
        <v>0</v>
      </c>
      <c r="O1733" s="592">
        <f t="shared" si="1610"/>
        <v>0</v>
      </c>
      <c r="P1733" s="592">
        <f t="shared" si="1610"/>
        <v>0</v>
      </c>
      <c r="Q1733" s="592">
        <f t="shared" si="1610"/>
        <v>0</v>
      </c>
      <c r="R1733" s="592">
        <f t="shared" si="1610"/>
        <v>0</v>
      </c>
      <c r="S1733" s="592">
        <f t="shared" si="1610"/>
        <v>0</v>
      </c>
      <c r="T1733" s="592">
        <f t="shared" si="1610"/>
        <v>0</v>
      </c>
      <c r="U1733" s="592">
        <f t="shared" si="1610"/>
        <v>0</v>
      </c>
      <c r="V1733" s="592">
        <f t="shared" si="1610"/>
        <v>0</v>
      </c>
      <c r="W1733" s="592">
        <f t="shared" si="1610"/>
        <v>0</v>
      </c>
      <c r="X1733" s="592">
        <f t="shared" si="1611"/>
        <v>0</v>
      </c>
      <c r="Y1733" s="592">
        <f t="shared" si="1611"/>
        <v>0</v>
      </c>
      <c r="Z1733" s="592">
        <f t="shared" si="1611"/>
        <v>0</v>
      </c>
      <c r="AA1733" s="592">
        <f t="shared" si="1611"/>
        <v>0</v>
      </c>
      <c r="AB1733" s="592">
        <f t="shared" si="1611"/>
        <v>0</v>
      </c>
      <c r="AC1733" s="592">
        <f t="shared" si="1611"/>
        <v>0</v>
      </c>
      <c r="AD1733" s="592">
        <f t="shared" si="1611"/>
        <v>0</v>
      </c>
      <c r="AE1733" s="592">
        <f t="shared" si="1611"/>
        <v>0</v>
      </c>
      <c r="AF1733" s="592">
        <f t="shared" si="1611"/>
        <v>0</v>
      </c>
      <c r="AH1733" s="538"/>
      <c r="AK1733" s="515"/>
      <c r="AM1733" s="526"/>
      <c r="AN1733" s="535"/>
      <c r="AP1733" s="540"/>
      <c r="AQ1733" s="540"/>
    </row>
    <row r="1734" spans="1:43" s="666" customFormat="1" ht="17.100000000000001" hidden="1" customHeight="1" outlineLevel="1" collapsed="1">
      <c r="A1734" s="584"/>
      <c r="B1734" s="665" t="s">
        <v>943</v>
      </c>
      <c r="C1734" s="577">
        <f>SUM(C1735,C1738,C1741,C1744,C1747)/10^3</f>
        <v>3.3489599999999999</v>
      </c>
      <c r="D1734" s="577">
        <f t="shared" ref="D1734:AF1734" si="1613">SUM(D1735,D1738,D1741,D1744,D1747)/10^3</f>
        <v>3.3489599999999999</v>
      </c>
      <c r="E1734" s="577">
        <f t="shared" si="1613"/>
        <v>3.3489599999999999</v>
      </c>
      <c r="F1734" s="577">
        <f t="shared" si="1613"/>
        <v>3.3489599999999999</v>
      </c>
      <c r="G1734" s="577">
        <f t="shared" si="1613"/>
        <v>3.3489599999999999</v>
      </c>
      <c r="H1734" s="577">
        <f t="shared" si="1613"/>
        <v>3.3489599999999999</v>
      </c>
      <c r="I1734" s="577">
        <f t="shared" si="1613"/>
        <v>4.5205299999999999</v>
      </c>
      <c r="J1734" s="577">
        <f t="shared" si="1613"/>
        <v>4.5205299999999999</v>
      </c>
      <c r="K1734" s="577">
        <f t="shared" si="1613"/>
        <v>4.5205299999999999</v>
      </c>
      <c r="L1734" s="577">
        <f t="shared" si="1613"/>
        <v>4.5205299999999999</v>
      </c>
      <c r="M1734" s="577">
        <f t="shared" si="1613"/>
        <v>4.5205299999999999</v>
      </c>
      <c r="N1734" s="577">
        <f t="shared" si="1613"/>
        <v>4.5205299999999999</v>
      </c>
      <c r="O1734" s="577">
        <f t="shared" si="1613"/>
        <v>4.5205299999999999</v>
      </c>
      <c r="P1734" s="577">
        <f t="shared" si="1613"/>
        <v>4.5205299999999999</v>
      </c>
      <c r="Q1734" s="577">
        <f t="shared" si="1613"/>
        <v>4.5205299999999999</v>
      </c>
      <c r="R1734" s="577">
        <f t="shared" si="1613"/>
        <v>4.5205299999999999</v>
      </c>
      <c r="S1734" s="577">
        <f t="shared" si="1613"/>
        <v>4.5205299999999999</v>
      </c>
      <c r="T1734" s="577">
        <f t="shared" si="1613"/>
        <v>4.5205299999999999</v>
      </c>
      <c r="U1734" s="577">
        <f t="shared" si="1613"/>
        <v>4.5205299999999999</v>
      </c>
      <c r="V1734" s="577">
        <f t="shared" si="1613"/>
        <v>4.5205299999999999</v>
      </c>
      <c r="W1734" s="577">
        <f t="shared" si="1613"/>
        <v>4.5205299999999999</v>
      </c>
      <c r="X1734" s="577">
        <f t="shared" si="1613"/>
        <v>4.5205299999999999</v>
      </c>
      <c r="Y1734" s="577">
        <f t="shared" si="1613"/>
        <v>4.5205299999999999</v>
      </c>
      <c r="Z1734" s="577">
        <f t="shared" si="1613"/>
        <v>4.5205299999999999</v>
      </c>
      <c r="AA1734" s="577">
        <f t="shared" si="1613"/>
        <v>4.5205299999999999</v>
      </c>
      <c r="AB1734" s="577">
        <f t="shared" si="1613"/>
        <v>4.5205299999999999</v>
      </c>
      <c r="AC1734" s="577">
        <f t="shared" si="1613"/>
        <v>4.5205299999999999</v>
      </c>
      <c r="AD1734" s="577">
        <f t="shared" si="1613"/>
        <v>4.5205299999999999</v>
      </c>
      <c r="AE1734" s="577">
        <f t="shared" si="1613"/>
        <v>4.5205299999999999</v>
      </c>
      <c r="AF1734" s="577">
        <f t="shared" si="1613"/>
        <v>4.5205299999999999</v>
      </c>
      <c r="AG1734" s="564"/>
      <c r="AH1734" s="578">
        <f>SUM(C1734:AF1734)</f>
        <v>128.58647999999991</v>
      </c>
      <c r="AK1734" s="515"/>
      <c r="AM1734" s="689"/>
      <c r="AN1734" s="535"/>
      <c r="AP1734" s="667"/>
      <c r="AQ1734" s="667"/>
    </row>
    <row r="1735" spans="1:43" s="668" customFormat="1" ht="16.5" hidden="1" customHeight="1" outlineLevel="3">
      <c r="A1735" s="584"/>
      <c r="B1735" s="673" t="str">
        <f>B1704</f>
        <v>Auxiliar administrativo</v>
      </c>
      <c r="C1735" s="570">
        <f>C1736*C1737</f>
        <v>735.93999999999994</v>
      </c>
      <c r="D1735" s="570">
        <f t="shared" ref="D1735:AF1735" si="1614">D1736*D1737</f>
        <v>735.93999999999994</v>
      </c>
      <c r="E1735" s="570">
        <f t="shared" si="1614"/>
        <v>735.93999999999994</v>
      </c>
      <c r="F1735" s="570">
        <f t="shared" si="1614"/>
        <v>735.93999999999994</v>
      </c>
      <c r="G1735" s="570">
        <f t="shared" si="1614"/>
        <v>735.93999999999994</v>
      </c>
      <c r="H1735" s="570">
        <f t="shared" si="1614"/>
        <v>735.93999999999994</v>
      </c>
      <c r="I1735" s="570">
        <f t="shared" si="1614"/>
        <v>735.93999999999994</v>
      </c>
      <c r="J1735" s="570">
        <f t="shared" si="1614"/>
        <v>735.93999999999994</v>
      </c>
      <c r="K1735" s="570">
        <f t="shared" si="1614"/>
        <v>735.93999999999994</v>
      </c>
      <c r="L1735" s="570">
        <f t="shared" si="1614"/>
        <v>735.93999999999994</v>
      </c>
      <c r="M1735" s="570">
        <f t="shared" si="1614"/>
        <v>735.93999999999994</v>
      </c>
      <c r="N1735" s="570">
        <f t="shared" si="1614"/>
        <v>735.93999999999994</v>
      </c>
      <c r="O1735" s="570">
        <f t="shared" si="1614"/>
        <v>735.93999999999994</v>
      </c>
      <c r="P1735" s="570">
        <f t="shared" si="1614"/>
        <v>735.93999999999994</v>
      </c>
      <c r="Q1735" s="570">
        <f t="shared" si="1614"/>
        <v>735.93999999999994</v>
      </c>
      <c r="R1735" s="570">
        <f t="shared" si="1614"/>
        <v>735.93999999999994</v>
      </c>
      <c r="S1735" s="570">
        <f t="shared" si="1614"/>
        <v>735.93999999999994</v>
      </c>
      <c r="T1735" s="570">
        <f t="shared" si="1614"/>
        <v>735.93999999999994</v>
      </c>
      <c r="U1735" s="570">
        <f t="shared" si="1614"/>
        <v>735.93999999999994</v>
      </c>
      <c r="V1735" s="570">
        <f t="shared" si="1614"/>
        <v>735.93999999999994</v>
      </c>
      <c r="W1735" s="570">
        <f t="shared" si="1614"/>
        <v>735.93999999999994</v>
      </c>
      <c r="X1735" s="570">
        <f t="shared" si="1614"/>
        <v>735.93999999999994</v>
      </c>
      <c r="Y1735" s="570">
        <f t="shared" si="1614"/>
        <v>735.93999999999994</v>
      </c>
      <c r="Z1735" s="570">
        <f t="shared" si="1614"/>
        <v>735.93999999999994</v>
      </c>
      <c r="AA1735" s="570">
        <f t="shared" si="1614"/>
        <v>735.93999999999994</v>
      </c>
      <c r="AB1735" s="570">
        <f t="shared" si="1614"/>
        <v>735.93999999999994</v>
      </c>
      <c r="AC1735" s="570">
        <f t="shared" si="1614"/>
        <v>735.93999999999994</v>
      </c>
      <c r="AD1735" s="570">
        <f t="shared" si="1614"/>
        <v>735.93999999999994</v>
      </c>
      <c r="AE1735" s="570">
        <f t="shared" si="1614"/>
        <v>735.93999999999994</v>
      </c>
      <c r="AF1735" s="570">
        <f t="shared" si="1614"/>
        <v>735.93999999999994</v>
      </c>
      <c r="AG1735" s="546"/>
      <c r="AH1735" s="546"/>
      <c r="AK1735" s="687"/>
      <c r="AM1735" s="690"/>
      <c r="AN1735" s="535"/>
      <c r="AP1735" s="669"/>
      <c r="AQ1735" s="669"/>
    </row>
    <row r="1736" spans="1:43" ht="16.5" hidden="1" customHeight="1" outlineLevel="3">
      <c r="A1736" s="584"/>
      <c r="B1736" s="674" t="s">
        <v>805</v>
      </c>
      <c r="C1736" s="592">
        <f t="shared" ref="C1736:AF1736" si="1615">C1686</f>
        <v>2</v>
      </c>
      <c r="D1736" s="592">
        <f t="shared" si="1615"/>
        <v>2</v>
      </c>
      <c r="E1736" s="592">
        <f t="shared" si="1615"/>
        <v>2</v>
      </c>
      <c r="F1736" s="592">
        <f t="shared" si="1615"/>
        <v>2</v>
      </c>
      <c r="G1736" s="592">
        <f t="shared" si="1615"/>
        <v>2</v>
      </c>
      <c r="H1736" s="592">
        <f t="shared" si="1615"/>
        <v>2</v>
      </c>
      <c r="I1736" s="592">
        <f t="shared" si="1615"/>
        <v>2</v>
      </c>
      <c r="J1736" s="592">
        <f t="shared" si="1615"/>
        <v>2</v>
      </c>
      <c r="K1736" s="592">
        <f t="shared" si="1615"/>
        <v>2</v>
      </c>
      <c r="L1736" s="592">
        <f t="shared" si="1615"/>
        <v>2</v>
      </c>
      <c r="M1736" s="592">
        <f t="shared" si="1615"/>
        <v>2</v>
      </c>
      <c r="N1736" s="592">
        <f t="shared" si="1615"/>
        <v>2</v>
      </c>
      <c r="O1736" s="592">
        <f t="shared" si="1615"/>
        <v>2</v>
      </c>
      <c r="P1736" s="592">
        <f t="shared" si="1615"/>
        <v>2</v>
      </c>
      <c r="Q1736" s="592">
        <f t="shared" si="1615"/>
        <v>2</v>
      </c>
      <c r="R1736" s="592">
        <f t="shared" si="1615"/>
        <v>2</v>
      </c>
      <c r="S1736" s="592">
        <f t="shared" si="1615"/>
        <v>2</v>
      </c>
      <c r="T1736" s="592">
        <f t="shared" si="1615"/>
        <v>2</v>
      </c>
      <c r="U1736" s="592">
        <f t="shared" si="1615"/>
        <v>2</v>
      </c>
      <c r="V1736" s="592">
        <f t="shared" si="1615"/>
        <v>2</v>
      </c>
      <c r="W1736" s="592">
        <f t="shared" si="1615"/>
        <v>2</v>
      </c>
      <c r="X1736" s="592">
        <f t="shared" si="1615"/>
        <v>2</v>
      </c>
      <c r="Y1736" s="592">
        <f t="shared" si="1615"/>
        <v>2</v>
      </c>
      <c r="Z1736" s="592">
        <f t="shared" si="1615"/>
        <v>2</v>
      </c>
      <c r="AA1736" s="592">
        <f t="shared" si="1615"/>
        <v>2</v>
      </c>
      <c r="AB1736" s="592">
        <f t="shared" si="1615"/>
        <v>2</v>
      </c>
      <c r="AC1736" s="592">
        <f t="shared" si="1615"/>
        <v>2</v>
      </c>
      <c r="AD1736" s="592">
        <f t="shared" si="1615"/>
        <v>2</v>
      </c>
      <c r="AE1736" s="592">
        <f t="shared" si="1615"/>
        <v>2</v>
      </c>
      <c r="AF1736" s="592">
        <f t="shared" si="1615"/>
        <v>2</v>
      </c>
      <c r="AH1736" s="513"/>
      <c r="AN1736" s="535"/>
      <c r="AP1736" s="535"/>
      <c r="AQ1736" s="535"/>
    </row>
    <row r="1737" spans="1:43" ht="16.5" hidden="1" customHeight="1" outlineLevel="3">
      <c r="A1737" s="584"/>
      <c r="B1737" s="674" t="s">
        <v>888</v>
      </c>
      <c r="C1737" s="592">
        <f>EPIs_unif.!$D$28+EPIs_unif.!$D$55</f>
        <v>367.96999999999997</v>
      </c>
      <c r="D1737" s="592">
        <f t="shared" ref="D1737:AF1737" si="1616">C1737</f>
        <v>367.96999999999997</v>
      </c>
      <c r="E1737" s="592">
        <f t="shared" si="1616"/>
        <v>367.96999999999997</v>
      </c>
      <c r="F1737" s="592">
        <f t="shared" si="1616"/>
        <v>367.96999999999997</v>
      </c>
      <c r="G1737" s="592">
        <f t="shared" si="1616"/>
        <v>367.96999999999997</v>
      </c>
      <c r="H1737" s="592">
        <f t="shared" si="1616"/>
        <v>367.96999999999997</v>
      </c>
      <c r="I1737" s="592">
        <f t="shared" si="1616"/>
        <v>367.96999999999997</v>
      </c>
      <c r="J1737" s="592">
        <f t="shared" si="1616"/>
        <v>367.96999999999997</v>
      </c>
      <c r="K1737" s="592">
        <f t="shared" si="1616"/>
        <v>367.96999999999997</v>
      </c>
      <c r="L1737" s="592">
        <f t="shared" si="1616"/>
        <v>367.96999999999997</v>
      </c>
      <c r="M1737" s="592">
        <f t="shared" si="1616"/>
        <v>367.96999999999997</v>
      </c>
      <c r="N1737" s="592">
        <f t="shared" si="1616"/>
        <v>367.96999999999997</v>
      </c>
      <c r="O1737" s="592">
        <f t="shared" si="1616"/>
        <v>367.96999999999997</v>
      </c>
      <c r="P1737" s="592">
        <f t="shared" si="1616"/>
        <v>367.96999999999997</v>
      </c>
      <c r="Q1737" s="592">
        <f t="shared" si="1616"/>
        <v>367.96999999999997</v>
      </c>
      <c r="R1737" s="592">
        <f t="shared" si="1616"/>
        <v>367.96999999999997</v>
      </c>
      <c r="S1737" s="592">
        <f t="shared" si="1616"/>
        <v>367.96999999999997</v>
      </c>
      <c r="T1737" s="592">
        <f t="shared" si="1616"/>
        <v>367.96999999999997</v>
      </c>
      <c r="U1737" s="592">
        <f t="shared" si="1616"/>
        <v>367.96999999999997</v>
      </c>
      <c r="V1737" s="592">
        <f t="shared" si="1616"/>
        <v>367.96999999999997</v>
      </c>
      <c r="W1737" s="592">
        <f t="shared" si="1616"/>
        <v>367.96999999999997</v>
      </c>
      <c r="X1737" s="592">
        <f t="shared" si="1616"/>
        <v>367.96999999999997</v>
      </c>
      <c r="Y1737" s="592">
        <f t="shared" si="1616"/>
        <v>367.96999999999997</v>
      </c>
      <c r="Z1737" s="592">
        <f t="shared" si="1616"/>
        <v>367.96999999999997</v>
      </c>
      <c r="AA1737" s="592">
        <f t="shared" si="1616"/>
        <v>367.96999999999997</v>
      </c>
      <c r="AB1737" s="592">
        <f t="shared" si="1616"/>
        <v>367.96999999999997</v>
      </c>
      <c r="AC1737" s="592">
        <f t="shared" si="1616"/>
        <v>367.96999999999997</v>
      </c>
      <c r="AD1737" s="592">
        <f t="shared" si="1616"/>
        <v>367.96999999999997</v>
      </c>
      <c r="AE1737" s="592">
        <f t="shared" si="1616"/>
        <v>367.96999999999997</v>
      </c>
      <c r="AF1737" s="592">
        <f t="shared" si="1616"/>
        <v>367.96999999999997</v>
      </c>
      <c r="AH1737" s="513"/>
      <c r="AN1737" s="535"/>
      <c r="AP1737" s="535"/>
      <c r="AQ1737" s="535"/>
    </row>
    <row r="1738" spans="1:43" s="668" customFormat="1" ht="16.5" hidden="1" customHeight="1" outlineLevel="3">
      <c r="A1738" s="584"/>
      <c r="B1738" s="673" t="str">
        <f>B1710</f>
        <v>Gerente</v>
      </c>
      <c r="C1738" s="570">
        <f>C1739*C1740</f>
        <v>367.96999999999997</v>
      </c>
      <c r="D1738" s="570">
        <f t="shared" ref="D1738:AF1738" si="1617">D1739*D1740</f>
        <v>367.96999999999997</v>
      </c>
      <c r="E1738" s="570">
        <f t="shared" si="1617"/>
        <v>367.96999999999997</v>
      </c>
      <c r="F1738" s="570">
        <f t="shared" si="1617"/>
        <v>367.96999999999997</v>
      </c>
      <c r="G1738" s="570">
        <f t="shared" si="1617"/>
        <v>367.96999999999997</v>
      </c>
      <c r="H1738" s="570">
        <f t="shared" si="1617"/>
        <v>367.96999999999997</v>
      </c>
      <c r="I1738" s="570">
        <f t="shared" si="1617"/>
        <v>367.96999999999997</v>
      </c>
      <c r="J1738" s="570">
        <f t="shared" si="1617"/>
        <v>367.96999999999997</v>
      </c>
      <c r="K1738" s="570">
        <f t="shared" si="1617"/>
        <v>367.96999999999997</v>
      </c>
      <c r="L1738" s="570">
        <f t="shared" si="1617"/>
        <v>367.96999999999997</v>
      </c>
      <c r="M1738" s="570">
        <f t="shared" si="1617"/>
        <v>367.96999999999997</v>
      </c>
      <c r="N1738" s="570">
        <f t="shared" si="1617"/>
        <v>367.96999999999997</v>
      </c>
      <c r="O1738" s="570">
        <f t="shared" si="1617"/>
        <v>367.96999999999997</v>
      </c>
      <c r="P1738" s="570">
        <f t="shared" si="1617"/>
        <v>367.96999999999997</v>
      </c>
      <c r="Q1738" s="570">
        <f t="shared" si="1617"/>
        <v>367.96999999999997</v>
      </c>
      <c r="R1738" s="570">
        <f t="shared" si="1617"/>
        <v>367.96999999999997</v>
      </c>
      <c r="S1738" s="570">
        <f t="shared" si="1617"/>
        <v>367.96999999999997</v>
      </c>
      <c r="T1738" s="570">
        <f t="shared" si="1617"/>
        <v>367.96999999999997</v>
      </c>
      <c r="U1738" s="570">
        <f t="shared" si="1617"/>
        <v>367.96999999999997</v>
      </c>
      <c r="V1738" s="570">
        <f t="shared" si="1617"/>
        <v>367.96999999999997</v>
      </c>
      <c r="W1738" s="570">
        <f t="shared" si="1617"/>
        <v>367.96999999999997</v>
      </c>
      <c r="X1738" s="570">
        <f t="shared" si="1617"/>
        <v>367.96999999999997</v>
      </c>
      <c r="Y1738" s="570">
        <f t="shared" si="1617"/>
        <v>367.96999999999997</v>
      </c>
      <c r="Z1738" s="570">
        <f t="shared" si="1617"/>
        <v>367.96999999999997</v>
      </c>
      <c r="AA1738" s="570">
        <f t="shared" si="1617"/>
        <v>367.96999999999997</v>
      </c>
      <c r="AB1738" s="570">
        <f t="shared" si="1617"/>
        <v>367.96999999999997</v>
      </c>
      <c r="AC1738" s="570">
        <f t="shared" si="1617"/>
        <v>367.96999999999997</v>
      </c>
      <c r="AD1738" s="570">
        <f t="shared" si="1617"/>
        <v>367.96999999999997</v>
      </c>
      <c r="AE1738" s="570">
        <f t="shared" si="1617"/>
        <v>367.96999999999997</v>
      </c>
      <c r="AF1738" s="570">
        <f t="shared" si="1617"/>
        <v>367.96999999999997</v>
      </c>
      <c r="AG1738" s="546"/>
      <c r="AH1738" s="546"/>
      <c r="AK1738" s="687"/>
      <c r="AM1738" s="690"/>
      <c r="AN1738" s="535"/>
      <c r="AP1738" s="669"/>
      <c r="AQ1738" s="669"/>
    </row>
    <row r="1739" spans="1:43" ht="16.5" hidden="1" customHeight="1" outlineLevel="3">
      <c r="A1739" s="584"/>
      <c r="B1739" s="674" t="s">
        <v>805</v>
      </c>
      <c r="C1739" s="592">
        <f t="shared" ref="C1739:AF1739" si="1618">C1689</f>
        <v>1</v>
      </c>
      <c r="D1739" s="592">
        <f t="shared" si="1618"/>
        <v>1</v>
      </c>
      <c r="E1739" s="592">
        <f t="shared" si="1618"/>
        <v>1</v>
      </c>
      <c r="F1739" s="592">
        <f t="shared" si="1618"/>
        <v>1</v>
      </c>
      <c r="G1739" s="592">
        <f t="shared" si="1618"/>
        <v>1</v>
      </c>
      <c r="H1739" s="592">
        <f t="shared" si="1618"/>
        <v>1</v>
      </c>
      <c r="I1739" s="592">
        <f t="shared" si="1618"/>
        <v>1</v>
      </c>
      <c r="J1739" s="592">
        <f t="shared" si="1618"/>
        <v>1</v>
      </c>
      <c r="K1739" s="592">
        <f t="shared" si="1618"/>
        <v>1</v>
      </c>
      <c r="L1739" s="592">
        <f t="shared" si="1618"/>
        <v>1</v>
      </c>
      <c r="M1739" s="592">
        <f t="shared" si="1618"/>
        <v>1</v>
      </c>
      <c r="N1739" s="592">
        <f t="shared" si="1618"/>
        <v>1</v>
      </c>
      <c r="O1739" s="592">
        <f t="shared" si="1618"/>
        <v>1</v>
      </c>
      <c r="P1739" s="592">
        <f t="shared" si="1618"/>
        <v>1</v>
      </c>
      <c r="Q1739" s="592">
        <f t="shared" si="1618"/>
        <v>1</v>
      </c>
      <c r="R1739" s="592">
        <f t="shared" si="1618"/>
        <v>1</v>
      </c>
      <c r="S1739" s="592">
        <f t="shared" si="1618"/>
        <v>1</v>
      </c>
      <c r="T1739" s="592">
        <f t="shared" si="1618"/>
        <v>1</v>
      </c>
      <c r="U1739" s="592">
        <f t="shared" si="1618"/>
        <v>1</v>
      </c>
      <c r="V1739" s="592">
        <f t="shared" si="1618"/>
        <v>1</v>
      </c>
      <c r="W1739" s="592">
        <f t="shared" si="1618"/>
        <v>1</v>
      </c>
      <c r="X1739" s="592">
        <f t="shared" si="1618"/>
        <v>1</v>
      </c>
      <c r="Y1739" s="592">
        <f t="shared" si="1618"/>
        <v>1</v>
      </c>
      <c r="Z1739" s="592">
        <f t="shared" si="1618"/>
        <v>1</v>
      </c>
      <c r="AA1739" s="592">
        <f t="shared" si="1618"/>
        <v>1</v>
      </c>
      <c r="AB1739" s="592">
        <f t="shared" si="1618"/>
        <v>1</v>
      </c>
      <c r="AC1739" s="592">
        <f t="shared" si="1618"/>
        <v>1</v>
      </c>
      <c r="AD1739" s="592">
        <f t="shared" si="1618"/>
        <v>1</v>
      </c>
      <c r="AE1739" s="592">
        <f t="shared" si="1618"/>
        <v>1</v>
      </c>
      <c r="AF1739" s="592">
        <f t="shared" si="1618"/>
        <v>1</v>
      </c>
      <c r="AH1739" s="513"/>
      <c r="AN1739" s="535"/>
      <c r="AP1739" s="535"/>
      <c r="AQ1739" s="535"/>
    </row>
    <row r="1740" spans="1:43" ht="16.5" hidden="1" customHeight="1" outlineLevel="3">
      <c r="A1740" s="584"/>
      <c r="B1740" s="674" t="s">
        <v>888</v>
      </c>
      <c r="C1740" s="592">
        <f>EPIs_unif.!$D$28+EPIs_unif.!$D$55</f>
        <v>367.96999999999997</v>
      </c>
      <c r="D1740" s="592">
        <f t="shared" ref="D1740:AF1740" si="1619">C1740</f>
        <v>367.96999999999997</v>
      </c>
      <c r="E1740" s="592">
        <f t="shared" si="1619"/>
        <v>367.96999999999997</v>
      </c>
      <c r="F1740" s="592">
        <f t="shared" si="1619"/>
        <v>367.96999999999997</v>
      </c>
      <c r="G1740" s="592">
        <f t="shared" si="1619"/>
        <v>367.96999999999997</v>
      </c>
      <c r="H1740" s="592">
        <f t="shared" si="1619"/>
        <v>367.96999999999997</v>
      </c>
      <c r="I1740" s="592">
        <f t="shared" si="1619"/>
        <v>367.96999999999997</v>
      </c>
      <c r="J1740" s="592">
        <f t="shared" si="1619"/>
        <v>367.96999999999997</v>
      </c>
      <c r="K1740" s="592">
        <f t="shared" si="1619"/>
        <v>367.96999999999997</v>
      </c>
      <c r="L1740" s="592">
        <f t="shared" si="1619"/>
        <v>367.96999999999997</v>
      </c>
      <c r="M1740" s="592">
        <f t="shared" si="1619"/>
        <v>367.96999999999997</v>
      </c>
      <c r="N1740" s="592">
        <f t="shared" si="1619"/>
        <v>367.96999999999997</v>
      </c>
      <c r="O1740" s="592">
        <f t="shared" si="1619"/>
        <v>367.96999999999997</v>
      </c>
      <c r="P1740" s="592">
        <f t="shared" si="1619"/>
        <v>367.96999999999997</v>
      </c>
      <c r="Q1740" s="592">
        <f t="shared" si="1619"/>
        <v>367.96999999999997</v>
      </c>
      <c r="R1740" s="592">
        <f t="shared" si="1619"/>
        <v>367.96999999999997</v>
      </c>
      <c r="S1740" s="592">
        <f t="shared" si="1619"/>
        <v>367.96999999999997</v>
      </c>
      <c r="T1740" s="592">
        <f t="shared" si="1619"/>
        <v>367.96999999999997</v>
      </c>
      <c r="U1740" s="592">
        <f t="shared" si="1619"/>
        <v>367.96999999999997</v>
      </c>
      <c r="V1740" s="592">
        <f t="shared" si="1619"/>
        <v>367.96999999999997</v>
      </c>
      <c r="W1740" s="592">
        <f t="shared" si="1619"/>
        <v>367.96999999999997</v>
      </c>
      <c r="X1740" s="592">
        <f t="shared" si="1619"/>
        <v>367.96999999999997</v>
      </c>
      <c r="Y1740" s="592">
        <f t="shared" si="1619"/>
        <v>367.96999999999997</v>
      </c>
      <c r="Z1740" s="592">
        <f t="shared" si="1619"/>
        <v>367.96999999999997</v>
      </c>
      <c r="AA1740" s="592">
        <f t="shared" si="1619"/>
        <v>367.96999999999997</v>
      </c>
      <c r="AB1740" s="592">
        <f t="shared" si="1619"/>
        <v>367.96999999999997</v>
      </c>
      <c r="AC1740" s="592">
        <f t="shared" si="1619"/>
        <v>367.96999999999997</v>
      </c>
      <c r="AD1740" s="592">
        <f t="shared" si="1619"/>
        <v>367.96999999999997</v>
      </c>
      <c r="AE1740" s="592">
        <f t="shared" si="1619"/>
        <v>367.96999999999997</v>
      </c>
      <c r="AF1740" s="592">
        <f t="shared" si="1619"/>
        <v>367.96999999999997</v>
      </c>
      <c r="AH1740" s="513"/>
      <c r="AN1740" s="535"/>
      <c r="AP1740" s="535"/>
      <c r="AQ1740" s="535"/>
    </row>
    <row r="1741" spans="1:43" s="668" customFormat="1" ht="16.5" hidden="1" customHeight="1" outlineLevel="3">
      <c r="A1741" s="584"/>
      <c r="B1741" s="673" t="str">
        <f>B1716</f>
        <v>Jovem aprendiz</v>
      </c>
      <c r="C1741" s="570">
        <f>C1742*C1743</f>
        <v>367.96999999999997</v>
      </c>
      <c r="D1741" s="570">
        <f t="shared" ref="D1741:AF1741" si="1620">D1742*D1743</f>
        <v>367.96999999999997</v>
      </c>
      <c r="E1741" s="570">
        <f t="shared" si="1620"/>
        <v>367.96999999999997</v>
      </c>
      <c r="F1741" s="570">
        <f t="shared" si="1620"/>
        <v>367.96999999999997</v>
      </c>
      <c r="G1741" s="570">
        <f t="shared" si="1620"/>
        <v>367.96999999999997</v>
      </c>
      <c r="H1741" s="570">
        <f t="shared" si="1620"/>
        <v>367.96999999999997</v>
      </c>
      <c r="I1741" s="570">
        <f t="shared" si="1620"/>
        <v>367.96999999999997</v>
      </c>
      <c r="J1741" s="570">
        <f t="shared" si="1620"/>
        <v>367.96999999999997</v>
      </c>
      <c r="K1741" s="570">
        <f t="shared" si="1620"/>
        <v>367.96999999999997</v>
      </c>
      <c r="L1741" s="570">
        <f t="shared" si="1620"/>
        <v>367.96999999999997</v>
      </c>
      <c r="M1741" s="570">
        <f t="shared" si="1620"/>
        <v>367.96999999999997</v>
      </c>
      <c r="N1741" s="570">
        <f t="shared" si="1620"/>
        <v>367.96999999999997</v>
      </c>
      <c r="O1741" s="570">
        <f t="shared" si="1620"/>
        <v>367.96999999999997</v>
      </c>
      <c r="P1741" s="570">
        <f t="shared" si="1620"/>
        <v>367.96999999999997</v>
      </c>
      <c r="Q1741" s="570">
        <f t="shared" si="1620"/>
        <v>367.96999999999997</v>
      </c>
      <c r="R1741" s="570">
        <f t="shared" si="1620"/>
        <v>367.96999999999997</v>
      </c>
      <c r="S1741" s="570">
        <f t="shared" si="1620"/>
        <v>367.96999999999997</v>
      </c>
      <c r="T1741" s="570">
        <f t="shared" si="1620"/>
        <v>367.96999999999997</v>
      </c>
      <c r="U1741" s="570">
        <f t="shared" si="1620"/>
        <v>367.96999999999997</v>
      </c>
      <c r="V1741" s="570">
        <f t="shared" si="1620"/>
        <v>367.96999999999997</v>
      </c>
      <c r="W1741" s="570">
        <f t="shared" si="1620"/>
        <v>367.96999999999997</v>
      </c>
      <c r="X1741" s="570">
        <f t="shared" si="1620"/>
        <v>367.96999999999997</v>
      </c>
      <c r="Y1741" s="570">
        <f t="shared" si="1620"/>
        <v>367.96999999999997</v>
      </c>
      <c r="Z1741" s="570">
        <f t="shared" si="1620"/>
        <v>367.96999999999997</v>
      </c>
      <c r="AA1741" s="570">
        <f t="shared" si="1620"/>
        <v>367.96999999999997</v>
      </c>
      <c r="AB1741" s="570">
        <f t="shared" si="1620"/>
        <v>367.96999999999997</v>
      </c>
      <c r="AC1741" s="570">
        <f t="shared" si="1620"/>
        <v>367.96999999999997</v>
      </c>
      <c r="AD1741" s="570">
        <f t="shared" si="1620"/>
        <v>367.96999999999997</v>
      </c>
      <c r="AE1741" s="570">
        <f t="shared" si="1620"/>
        <v>367.96999999999997</v>
      </c>
      <c r="AF1741" s="570">
        <f t="shared" si="1620"/>
        <v>367.96999999999997</v>
      </c>
      <c r="AG1741" s="546"/>
      <c r="AH1741" s="546"/>
      <c r="AK1741" s="687"/>
      <c r="AM1741" s="690"/>
      <c r="AN1741" s="535"/>
      <c r="AP1741" s="669"/>
      <c r="AQ1741" s="669"/>
    </row>
    <row r="1742" spans="1:43" ht="16.5" hidden="1" customHeight="1" outlineLevel="3">
      <c r="A1742" s="584"/>
      <c r="B1742" s="674" t="s">
        <v>805</v>
      </c>
      <c r="C1742" s="592">
        <f t="shared" ref="C1742:AF1742" si="1621">C1692</f>
        <v>1</v>
      </c>
      <c r="D1742" s="592">
        <f t="shared" si="1621"/>
        <v>1</v>
      </c>
      <c r="E1742" s="592">
        <f t="shared" si="1621"/>
        <v>1</v>
      </c>
      <c r="F1742" s="592">
        <f t="shared" si="1621"/>
        <v>1</v>
      </c>
      <c r="G1742" s="592">
        <f t="shared" si="1621"/>
        <v>1</v>
      </c>
      <c r="H1742" s="592">
        <f t="shared" si="1621"/>
        <v>1</v>
      </c>
      <c r="I1742" s="592">
        <f t="shared" si="1621"/>
        <v>1</v>
      </c>
      <c r="J1742" s="592">
        <f t="shared" si="1621"/>
        <v>1</v>
      </c>
      <c r="K1742" s="592">
        <f t="shared" si="1621"/>
        <v>1</v>
      </c>
      <c r="L1742" s="592">
        <f t="shared" si="1621"/>
        <v>1</v>
      </c>
      <c r="M1742" s="592">
        <f t="shared" si="1621"/>
        <v>1</v>
      </c>
      <c r="N1742" s="592">
        <f t="shared" si="1621"/>
        <v>1</v>
      </c>
      <c r="O1742" s="592">
        <f t="shared" si="1621"/>
        <v>1</v>
      </c>
      <c r="P1742" s="592">
        <f t="shared" si="1621"/>
        <v>1</v>
      </c>
      <c r="Q1742" s="592">
        <f t="shared" si="1621"/>
        <v>1</v>
      </c>
      <c r="R1742" s="592">
        <f t="shared" si="1621"/>
        <v>1</v>
      </c>
      <c r="S1742" s="592">
        <f t="shared" si="1621"/>
        <v>1</v>
      </c>
      <c r="T1742" s="592">
        <f t="shared" si="1621"/>
        <v>1</v>
      </c>
      <c r="U1742" s="592">
        <f t="shared" si="1621"/>
        <v>1</v>
      </c>
      <c r="V1742" s="592">
        <f t="shared" si="1621"/>
        <v>1</v>
      </c>
      <c r="W1742" s="592">
        <f t="shared" si="1621"/>
        <v>1</v>
      </c>
      <c r="X1742" s="592">
        <f t="shared" si="1621"/>
        <v>1</v>
      </c>
      <c r="Y1742" s="592">
        <f t="shared" si="1621"/>
        <v>1</v>
      </c>
      <c r="Z1742" s="592">
        <f t="shared" si="1621"/>
        <v>1</v>
      </c>
      <c r="AA1742" s="592">
        <f t="shared" si="1621"/>
        <v>1</v>
      </c>
      <c r="AB1742" s="592">
        <f t="shared" si="1621"/>
        <v>1</v>
      </c>
      <c r="AC1742" s="592">
        <f t="shared" si="1621"/>
        <v>1</v>
      </c>
      <c r="AD1742" s="592">
        <f t="shared" si="1621"/>
        <v>1</v>
      </c>
      <c r="AE1742" s="592">
        <f t="shared" si="1621"/>
        <v>1</v>
      </c>
      <c r="AF1742" s="592">
        <f t="shared" si="1621"/>
        <v>1</v>
      </c>
      <c r="AH1742" s="513"/>
      <c r="AN1742" s="535"/>
      <c r="AP1742" s="535"/>
      <c r="AQ1742" s="535"/>
    </row>
    <row r="1743" spans="1:43" ht="16.5" hidden="1" customHeight="1" outlineLevel="3">
      <c r="A1743" s="584"/>
      <c r="B1743" s="674" t="s">
        <v>888</v>
      </c>
      <c r="C1743" s="592">
        <f>EPIs_unif.!$D$28+EPIs_unif.!$D$55</f>
        <v>367.96999999999997</v>
      </c>
      <c r="D1743" s="592">
        <f t="shared" ref="D1743:AF1743" si="1622">C1743</f>
        <v>367.96999999999997</v>
      </c>
      <c r="E1743" s="592">
        <f t="shared" si="1622"/>
        <v>367.96999999999997</v>
      </c>
      <c r="F1743" s="592">
        <f t="shared" si="1622"/>
        <v>367.96999999999997</v>
      </c>
      <c r="G1743" s="592">
        <f t="shared" si="1622"/>
        <v>367.96999999999997</v>
      </c>
      <c r="H1743" s="592">
        <f t="shared" si="1622"/>
        <v>367.96999999999997</v>
      </c>
      <c r="I1743" s="592">
        <f t="shared" si="1622"/>
        <v>367.96999999999997</v>
      </c>
      <c r="J1743" s="592">
        <f t="shared" si="1622"/>
        <v>367.96999999999997</v>
      </c>
      <c r="K1743" s="592">
        <f t="shared" si="1622"/>
        <v>367.96999999999997</v>
      </c>
      <c r="L1743" s="592">
        <f t="shared" si="1622"/>
        <v>367.96999999999997</v>
      </c>
      <c r="M1743" s="592">
        <f t="shared" si="1622"/>
        <v>367.96999999999997</v>
      </c>
      <c r="N1743" s="592">
        <f t="shared" si="1622"/>
        <v>367.96999999999997</v>
      </c>
      <c r="O1743" s="592">
        <f t="shared" si="1622"/>
        <v>367.96999999999997</v>
      </c>
      <c r="P1743" s="592">
        <f t="shared" si="1622"/>
        <v>367.96999999999997</v>
      </c>
      <c r="Q1743" s="592">
        <f t="shared" si="1622"/>
        <v>367.96999999999997</v>
      </c>
      <c r="R1743" s="592">
        <f t="shared" si="1622"/>
        <v>367.96999999999997</v>
      </c>
      <c r="S1743" s="592">
        <f t="shared" si="1622"/>
        <v>367.96999999999997</v>
      </c>
      <c r="T1743" s="592">
        <f t="shared" si="1622"/>
        <v>367.96999999999997</v>
      </c>
      <c r="U1743" s="592">
        <f t="shared" si="1622"/>
        <v>367.96999999999997</v>
      </c>
      <c r="V1743" s="592">
        <f t="shared" si="1622"/>
        <v>367.96999999999997</v>
      </c>
      <c r="W1743" s="592">
        <f t="shared" si="1622"/>
        <v>367.96999999999997</v>
      </c>
      <c r="X1743" s="592">
        <f t="shared" si="1622"/>
        <v>367.96999999999997</v>
      </c>
      <c r="Y1743" s="592">
        <f t="shared" si="1622"/>
        <v>367.96999999999997</v>
      </c>
      <c r="Z1743" s="592">
        <f t="shared" si="1622"/>
        <v>367.96999999999997</v>
      </c>
      <c r="AA1743" s="592">
        <f t="shared" si="1622"/>
        <v>367.96999999999997</v>
      </c>
      <c r="AB1743" s="592">
        <f t="shared" si="1622"/>
        <v>367.96999999999997</v>
      </c>
      <c r="AC1743" s="592">
        <f t="shared" si="1622"/>
        <v>367.96999999999997</v>
      </c>
      <c r="AD1743" s="592">
        <f t="shared" si="1622"/>
        <v>367.96999999999997</v>
      </c>
      <c r="AE1743" s="592">
        <f t="shared" si="1622"/>
        <v>367.96999999999997</v>
      </c>
      <c r="AF1743" s="592">
        <f t="shared" si="1622"/>
        <v>367.96999999999997</v>
      </c>
      <c r="AH1743" s="513"/>
      <c r="AN1743" s="535"/>
      <c r="AP1743" s="535"/>
      <c r="AQ1743" s="535"/>
    </row>
    <row r="1744" spans="1:43" s="668" customFormat="1" ht="16.5" hidden="1" customHeight="1" outlineLevel="3">
      <c r="A1744" s="584"/>
      <c r="B1744" s="673" t="str">
        <f>B1722</f>
        <v>Técnico de segurança do trabalho</v>
      </c>
      <c r="C1744" s="570">
        <f>C1745*C1746</f>
        <v>0</v>
      </c>
      <c r="D1744" s="570">
        <f t="shared" ref="D1744:AF1744" si="1623">D1745*D1746</f>
        <v>0</v>
      </c>
      <c r="E1744" s="570">
        <f t="shared" si="1623"/>
        <v>0</v>
      </c>
      <c r="F1744" s="570">
        <f t="shared" si="1623"/>
        <v>0</v>
      </c>
      <c r="G1744" s="570">
        <f t="shared" si="1623"/>
        <v>0</v>
      </c>
      <c r="H1744" s="570">
        <f t="shared" si="1623"/>
        <v>0</v>
      </c>
      <c r="I1744" s="570">
        <f t="shared" si="1623"/>
        <v>1171.57</v>
      </c>
      <c r="J1744" s="570">
        <f t="shared" si="1623"/>
        <v>1171.57</v>
      </c>
      <c r="K1744" s="570">
        <f t="shared" si="1623"/>
        <v>1171.57</v>
      </c>
      <c r="L1744" s="570">
        <f t="shared" si="1623"/>
        <v>1171.57</v>
      </c>
      <c r="M1744" s="570">
        <f t="shared" si="1623"/>
        <v>1171.57</v>
      </c>
      <c r="N1744" s="570">
        <f t="shared" si="1623"/>
        <v>1171.57</v>
      </c>
      <c r="O1744" s="570">
        <f t="shared" si="1623"/>
        <v>1171.57</v>
      </c>
      <c r="P1744" s="570">
        <f t="shared" si="1623"/>
        <v>1171.57</v>
      </c>
      <c r="Q1744" s="570">
        <f t="shared" si="1623"/>
        <v>1171.57</v>
      </c>
      <c r="R1744" s="570">
        <f t="shared" si="1623"/>
        <v>1171.57</v>
      </c>
      <c r="S1744" s="570">
        <f t="shared" si="1623"/>
        <v>1171.57</v>
      </c>
      <c r="T1744" s="570">
        <f t="shared" si="1623"/>
        <v>1171.57</v>
      </c>
      <c r="U1744" s="570">
        <f t="shared" si="1623"/>
        <v>1171.57</v>
      </c>
      <c r="V1744" s="570">
        <f t="shared" si="1623"/>
        <v>1171.57</v>
      </c>
      <c r="W1744" s="570">
        <f t="shared" si="1623"/>
        <v>1171.57</v>
      </c>
      <c r="X1744" s="570">
        <f t="shared" si="1623"/>
        <v>1171.57</v>
      </c>
      <c r="Y1744" s="570">
        <f t="shared" si="1623"/>
        <v>1171.57</v>
      </c>
      <c r="Z1744" s="570">
        <f t="shared" si="1623"/>
        <v>1171.57</v>
      </c>
      <c r="AA1744" s="570">
        <f t="shared" si="1623"/>
        <v>1171.57</v>
      </c>
      <c r="AB1744" s="570">
        <f t="shared" si="1623"/>
        <v>1171.57</v>
      </c>
      <c r="AC1744" s="570">
        <f t="shared" si="1623"/>
        <v>1171.57</v>
      </c>
      <c r="AD1744" s="570">
        <f t="shared" si="1623"/>
        <v>1171.57</v>
      </c>
      <c r="AE1744" s="570">
        <f t="shared" si="1623"/>
        <v>1171.57</v>
      </c>
      <c r="AF1744" s="570">
        <f t="shared" si="1623"/>
        <v>1171.57</v>
      </c>
      <c r="AG1744" s="546"/>
      <c r="AH1744" s="546"/>
      <c r="AK1744" s="687"/>
      <c r="AM1744" s="690"/>
      <c r="AN1744" s="535"/>
      <c r="AP1744" s="669"/>
      <c r="AQ1744" s="669"/>
    </row>
    <row r="1745" spans="1:43" ht="16.5" hidden="1" customHeight="1" outlineLevel="3">
      <c r="A1745" s="584"/>
      <c r="B1745" s="674" t="s">
        <v>805</v>
      </c>
      <c r="C1745" s="592">
        <f t="shared" ref="C1745:AF1745" si="1624">C1695</f>
        <v>0</v>
      </c>
      <c r="D1745" s="592">
        <f t="shared" si="1624"/>
        <v>0</v>
      </c>
      <c r="E1745" s="592">
        <f t="shared" si="1624"/>
        <v>0</v>
      </c>
      <c r="F1745" s="592">
        <f t="shared" si="1624"/>
        <v>0</v>
      </c>
      <c r="G1745" s="592">
        <f t="shared" si="1624"/>
        <v>0</v>
      </c>
      <c r="H1745" s="592">
        <f t="shared" si="1624"/>
        <v>0</v>
      </c>
      <c r="I1745" s="592">
        <f t="shared" si="1624"/>
        <v>1</v>
      </c>
      <c r="J1745" s="592">
        <f t="shared" si="1624"/>
        <v>1</v>
      </c>
      <c r="K1745" s="592">
        <f t="shared" si="1624"/>
        <v>1</v>
      </c>
      <c r="L1745" s="592">
        <f t="shared" si="1624"/>
        <v>1</v>
      </c>
      <c r="M1745" s="592">
        <f t="shared" si="1624"/>
        <v>1</v>
      </c>
      <c r="N1745" s="592">
        <f t="shared" si="1624"/>
        <v>1</v>
      </c>
      <c r="O1745" s="592">
        <f t="shared" si="1624"/>
        <v>1</v>
      </c>
      <c r="P1745" s="592">
        <f t="shared" si="1624"/>
        <v>1</v>
      </c>
      <c r="Q1745" s="592">
        <f t="shared" si="1624"/>
        <v>1</v>
      </c>
      <c r="R1745" s="592">
        <f t="shared" si="1624"/>
        <v>1</v>
      </c>
      <c r="S1745" s="592">
        <f t="shared" si="1624"/>
        <v>1</v>
      </c>
      <c r="T1745" s="592">
        <f t="shared" si="1624"/>
        <v>1</v>
      </c>
      <c r="U1745" s="592">
        <f t="shared" si="1624"/>
        <v>1</v>
      </c>
      <c r="V1745" s="592">
        <f t="shared" si="1624"/>
        <v>1</v>
      </c>
      <c r="W1745" s="592">
        <f t="shared" si="1624"/>
        <v>1</v>
      </c>
      <c r="X1745" s="592">
        <f t="shared" si="1624"/>
        <v>1</v>
      </c>
      <c r="Y1745" s="592">
        <f t="shared" si="1624"/>
        <v>1</v>
      </c>
      <c r="Z1745" s="592">
        <f t="shared" si="1624"/>
        <v>1</v>
      </c>
      <c r="AA1745" s="592">
        <f t="shared" si="1624"/>
        <v>1</v>
      </c>
      <c r="AB1745" s="592">
        <f t="shared" si="1624"/>
        <v>1</v>
      </c>
      <c r="AC1745" s="592">
        <f t="shared" si="1624"/>
        <v>1</v>
      </c>
      <c r="AD1745" s="592">
        <f t="shared" si="1624"/>
        <v>1</v>
      </c>
      <c r="AE1745" s="592">
        <f t="shared" si="1624"/>
        <v>1</v>
      </c>
      <c r="AF1745" s="592">
        <f t="shared" si="1624"/>
        <v>1</v>
      </c>
      <c r="AH1745" s="513"/>
      <c r="AN1745" s="535"/>
      <c r="AP1745" s="535"/>
      <c r="AQ1745" s="535"/>
    </row>
    <row r="1746" spans="1:43" ht="16.5" hidden="1" customHeight="1" outlineLevel="3">
      <c r="A1746" s="584"/>
      <c r="B1746" s="674" t="s">
        <v>888</v>
      </c>
      <c r="C1746" s="592">
        <f>EPIs_unif.!$D$29+EPIs_unif.!$D$56</f>
        <v>1171.57</v>
      </c>
      <c r="D1746" s="592">
        <f t="shared" ref="D1746:AF1746" si="1625">C1746</f>
        <v>1171.57</v>
      </c>
      <c r="E1746" s="592">
        <f t="shared" si="1625"/>
        <v>1171.57</v>
      </c>
      <c r="F1746" s="592">
        <f t="shared" si="1625"/>
        <v>1171.57</v>
      </c>
      <c r="G1746" s="592">
        <f t="shared" si="1625"/>
        <v>1171.57</v>
      </c>
      <c r="H1746" s="592">
        <f t="shared" si="1625"/>
        <v>1171.57</v>
      </c>
      <c r="I1746" s="592">
        <f t="shared" si="1625"/>
        <v>1171.57</v>
      </c>
      <c r="J1746" s="592">
        <f t="shared" si="1625"/>
        <v>1171.57</v>
      </c>
      <c r="K1746" s="592">
        <f t="shared" si="1625"/>
        <v>1171.57</v>
      </c>
      <c r="L1746" s="592">
        <f t="shared" si="1625"/>
        <v>1171.57</v>
      </c>
      <c r="M1746" s="592">
        <f t="shared" si="1625"/>
        <v>1171.57</v>
      </c>
      <c r="N1746" s="592">
        <f t="shared" si="1625"/>
        <v>1171.57</v>
      </c>
      <c r="O1746" s="592">
        <f t="shared" si="1625"/>
        <v>1171.57</v>
      </c>
      <c r="P1746" s="592">
        <f t="shared" si="1625"/>
        <v>1171.57</v>
      </c>
      <c r="Q1746" s="592">
        <f t="shared" si="1625"/>
        <v>1171.57</v>
      </c>
      <c r="R1746" s="592">
        <f t="shared" si="1625"/>
        <v>1171.57</v>
      </c>
      <c r="S1746" s="592">
        <f t="shared" si="1625"/>
        <v>1171.57</v>
      </c>
      <c r="T1746" s="592">
        <f t="shared" si="1625"/>
        <v>1171.57</v>
      </c>
      <c r="U1746" s="592">
        <f t="shared" si="1625"/>
        <v>1171.57</v>
      </c>
      <c r="V1746" s="592">
        <f t="shared" si="1625"/>
        <v>1171.57</v>
      </c>
      <c r="W1746" s="592">
        <f t="shared" si="1625"/>
        <v>1171.57</v>
      </c>
      <c r="X1746" s="592">
        <f t="shared" si="1625"/>
        <v>1171.57</v>
      </c>
      <c r="Y1746" s="592">
        <f t="shared" si="1625"/>
        <v>1171.57</v>
      </c>
      <c r="Z1746" s="592">
        <f t="shared" si="1625"/>
        <v>1171.57</v>
      </c>
      <c r="AA1746" s="592">
        <f t="shared" si="1625"/>
        <v>1171.57</v>
      </c>
      <c r="AB1746" s="592">
        <f t="shared" si="1625"/>
        <v>1171.57</v>
      </c>
      <c r="AC1746" s="592">
        <f t="shared" si="1625"/>
        <v>1171.57</v>
      </c>
      <c r="AD1746" s="592">
        <f t="shared" si="1625"/>
        <v>1171.57</v>
      </c>
      <c r="AE1746" s="592">
        <f t="shared" si="1625"/>
        <v>1171.57</v>
      </c>
      <c r="AF1746" s="592">
        <f t="shared" si="1625"/>
        <v>1171.57</v>
      </c>
      <c r="AH1746" s="513"/>
      <c r="AN1746" s="535"/>
      <c r="AP1746" s="535"/>
      <c r="AQ1746" s="535"/>
    </row>
    <row r="1747" spans="1:43" s="668" customFormat="1" ht="16.5" hidden="1" customHeight="1" outlineLevel="3">
      <c r="A1747" s="584"/>
      <c r="B1747" s="673" t="str">
        <f>B1728</f>
        <v>Zelador</v>
      </c>
      <c r="C1747" s="570">
        <f>C1748*C1749</f>
        <v>1877.08</v>
      </c>
      <c r="D1747" s="570">
        <f t="shared" ref="D1747:AF1747" si="1626">D1748*D1749</f>
        <v>1877.08</v>
      </c>
      <c r="E1747" s="570">
        <f t="shared" si="1626"/>
        <v>1877.08</v>
      </c>
      <c r="F1747" s="570">
        <f t="shared" si="1626"/>
        <v>1877.08</v>
      </c>
      <c r="G1747" s="570">
        <f t="shared" si="1626"/>
        <v>1877.08</v>
      </c>
      <c r="H1747" s="570">
        <f t="shared" si="1626"/>
        <v>1877.08</v>
      </c>
      <c r="I1747" s="570">
        <f t="shared" si="1626"/>
        <v>1877.08</v>
      </c>
      <c r="J1747" s="570">
        <f t="shared" si="1626"/>
        <v>1877.08</v>
      </c>
      <c r="K1747" s="570">
        <f t="shared" si="1626"/>
        <v>1877.08</v>
      </c>
      <c r="L1747" s="570">
        <f t="shared" si="1626"/>
        <v>1877.08</v>
      </c>
      <c r="M1747" s="570">
        <f t="shared" si="1626"/>
        <v>1877.08</v>
      </c>
      <c r="N1747" s="570">
        <f t="shared" si="1626"/>
        <v>1877.08</v>
      </c>
      <c r="O1747" s="570">
        <f t="shared" si="1626"/>
        <v>1877.08</v>
      </c>
      <c r="P1747" s="570">
        <f t="shared" si="1626"/>
        <v>1877.08</v>
      </c>
      <c r="Q1747" s="570">
        <f t="shared" si="1626"/>
        <v>1877.08</v>
      </c>
      <c r="R1747" s="570">
        <f t="shared" si="1626"/>
        <v>1877.08</v>
      </c>
      <c r="S1747" s="570">
        <f t="shared" si="1626"/>
        <v>1877.08</v>
      </c>
      <c r="T1747" s="570">
        <f t="shared" si="1626"/>
        <v>1877.08</v>
      </c>
      <c r="U1747" s="570">
        <f t="shared" si="1626"/>
        <v>1877.08</v>
      </c>
      <c r="V1747" s="570">
        <f t="shared" si="1626"/>
        <v>1877.08</v>
      </c>
      <c r="W1747" s="570">
        <f t="shared" si="1626"/>
        <v>1877.08</v>
      </c>
      <c r="X1747" s="570">
        <f t="shared" si="1626"/>
        <v>1877.08</v>
      </c>
      <c r="Y1747" s="570">
        <f t="shared" si="1626"/>
        <v>1877.08</v>
      </c>
      <c r="Z1747" s="570">
        <f t="shared" si="1626"/>
        <v>1877.08</v>
      </c>
      <c r="AA1747" s="570">
        <f t="shared" si="1626"/>
        <v>1877.08</v>
      </c>
      <c r="AB1747" s="570">
        <f t="shared" si="1626"/>
        <v>1877.08</v>
      </c>
      <c r="AC1747" s="570">
        <f t="shared" si="1626"/>
        <v>1877.08</v>
      </c>
      <c r="AD1747" s="570">
        <f t="shared" si="1626"/>
        <v>1877.08</v>
      </c>
      <c r="AE1747" s="570">
        <f t="shared" si="1626"/>
        <v>1877.08</v>
      </c>
      <c r="AF1747" s="570">
        <f t="shared" si="1626"/>
        <v>1877.08</v>
      </c>
      <c r="AG1747" s="546"/>
      <c r="AH1747" s="546"/>
      <c r="AK1747" s="687"/>
      <c r="AM1747" s="690"/>
      <c r="AN1747" s="535"/>
      <c r="AP1747" s="669"/>
      <c r="AQ1747" s="669"/>
    </row>
    <row r="1748" spans="1:43" ht="16.5" hidden="1" customHeight="1" outlineLevel="3">
      <c r="A1748" s="584"/>
      <c r="B1748" s="674" t="s">
        <v>805</v>
      </c>
      <c r="C1748" s="592">
        <f t="shared" ref="C1748:AF1748" si="1627">C1698</f>
        <v>1</v>
      </c>
      <c r="D1748" s="592">
        <f t="shared" si="1627"/>
        <v>1</v>
      </c>
      <c r="E1748" s="592">
        <f t="shared" si="1627"/>
        <v>1</v>
      </c>
      <c r="F1748" s="592">
        <f t="shared" si="1627"/>
        <v>1</v>
      </c>
      <c r="G1748" s="592">
        <f t="shared" si="1627"/>
        <v>1</v>
      </c>
      <c r="H1748" s="592">
        <f t="shared" si="1627"/>
        <v>1</v>
      </c>
      <c r="I1748" s="592">
        <f t="shared" si="1627"/>
        <v>1</v>
      </c>
      <c r="J1748" s="592">
        <f t="shared" si="1627"/>
        <v>1</v>
      </c>
      <c r="K1748" s="592">
        <f t="shared" si="1627"/>
        <v>1</v>
      </c>
      <c r="L1748" s="592">
        <f t="shared" si="1627"/>
        <v>1</v>
      </c>
      <c r="M1748" s="592">
        <f t="shared" si="1627"/>
        <v>1</v>
      </c>
      <c r="N1748" s="592">
        <f t="shared" si="1627"/>
        <v>1</v>
      </c>
      <c r="O1748" s="592">
        <f t="shared" si="1627"/>
        <v>1</v>
      </c>
      <c r="P1748" s="592">
        <f t="shared" si="1627"/>
        <v>1</v>
      </c>
      <c r="Q1748" s="592">
        <f t="shared" si="1627"/>
        <v>1</v>
      </c>
      <c r="R1748" s="592">
        <f t="shared" si="1627"/>
        <v>1</v>
      </c>
      <c r="S1748" s="592">
        <f t="shared" si="1627"/>
        <v>1</v>
      </c>
      <c r="T1748" s="592">
        <f t="shared" si="1627"/>
        <v>1</v>
      </c>
      <c r="U1748" s="592">
        <f t="shared" si="1627"/>
        <v>1</v>
      </c>
      <c r="V1748" s="592">
        <f t="shared" si="1627"/>
        <v>1</v>
      </c>
      <c r="W1748" s="592">
        <f t="shared" si="1627"/>
        <v>1</v>
      </c>
      <c r="X1748" s="592">
        <f t="shared" si="1627"/>
        <v>1</v>
      </c>
      <c r="Y1748" s="592">
        <f t="shared" si="1627"/>
        <v>1</v>
      </c>
      <c r="Z1748" s="592">
        <f t="shared" si="1627"/>
        <v>1</v>
      </c>
      <c r="AA1748" s="592">
        <f t="shared" si="1627"/>
        <v>1</v>
      </c>
      <c r="AB1748" s="592">
        <f t="shared" si="1627"/>
        <v>1</v>
      </c>
      <c r="AC1748" s="592">
        <f t="shared" si="1627"/>
        <v>1</v>
      </c>
      <c r="AD1748" s="592">
        <f t="shared" si="1627"/>
        <v>1</v>
      </c>
      <c r="AE1748" s="592">
        <f t="shared" si="1627"/>
        <v>1</v>
      </c>
      <c r="AF1748" s="592">
        <f t="shared" si="1627"/>
        <v>1</v>
      </c>
      <c r="AH1748" s="513"/>
      <c r="AN1748" s="535"/>
      <c r="AP1748" s="535"/>
      <c r="AQ1748" s="535"/>
    </row>
    <row r="1749" spans="1:43" ht="16.5" hidden="1" customHeight="1" outlineLevel="3">
      <c r="A1749" s="584"/>
      <c r="B1749" s="674" t="s">
        <v>888</v>
      </c>
      <c r="C1749" s="592">
        <f>EPIs_unif.!$D$26+EPIs_unif.!$D$53</f>
        <v>1877.08</v>
      </c>
      <c r="D1749" s="592">
        <f t="shared" ref="D1749:AF1749" si="1628">C1749</f>
        <v>1877.08</v>
      </c>
      <c r="E1749" s="592">
        <f t="shared" si="1628"/>
        <v>1877.08</v>
      </c>
      <c r="F1749" s="592">
        <f t="shared" si="1628"/>
        <v>1877.08</v>
      </c>
      <c r="G1749" s="592">
        <f t="shared" si="1628"/>
        <v>1877.08</v>
      </c>
      <c r="H1749" s="592">
        <f t="shared" si="1628"/>
        <v>1877.08</v>
      </c>
      <c r="I1749" s="592">
        <f t="shared" si="1628"/>
        <v>1877.08</v>
      </c>
      <c r="J1749" s="592">
        <f t="shared" si="1628"/>
        <v>1877.08</v>
      </c>
      <c r="K1749" s="592">
        <f t="shared" si="1628"/>
        <v>1877.08</v>
      </c>
      <c r="L1749" s="592">
        <f t="shared" si="1628"/>
        <v>1877.08</v>
      </c>
      <c r="M1749" s="592">
        <f t="shared" si="1628"/>
        <v>1877.08</v>
      </c>
      <c r="N1749" s="592">
        <f t="shared" si="1628"/>
        <v>1877.08</v>
      </c>
      <c r="O1749" s="592">
        <f t="shared" si="1628"/>
        <v>1877.08</v>
      </c>
      <c r="P1749" s="592">
        <f t="shared" si="1628"/>
        <v>1877.08</v>
      </c>
      <c r="Q1749" s="592">
        <f t="shared" si="1628"/>
        <v>1877.08</v>
      </c>
      <c r="R1749" s="592">
        <f t="shared" si="1628"/>
        <v>1877.08</v>
      </c>
      <c r="S1749" s="592">
        <f t="shared" si="1628"/>
        <v>1877.08</v>
      </c>
      <c r="T1749" s="592">
        <f t="shared" si="1628"/>
        <v>1877.08</v>
      </c>
      <c r="U1749" s="592">
        <f t="shared" si="1628"/>
        <v>1877.08</v>
      </c>
      <c r="V1749" s="592">
        <f t="shared" si="1628"/>
        <v>1877.08</v>
      </c>
      <c r="W1749" s="592">
        <f t="shared" si="1628"/>
        <v>1877.08</v>
      </c>
      <c r="X1749" s="592">
        <f t="shared" si="1628"/>
        <v>1877.08</v>
      </c>
      <c r="Y1749" s="592">
        <f t="shared" si="1628"/>
        <v>1877.08</v>
      </c>
      <c r="Z1749" s="592">
        <f t="shared" si="1628"/>
        <v>1877.08</v>
      </c>
      <c r="AA1749" s="592">
        <f t="shared" si="1628"/>
        <v>1877.08</v>
      </c>
      <c r="AB1749" s="592">
        <f t="shared" si="1628"/>
        <v>1877.08</v>
      </c>
      <c r="AC1749" s="592">
        <f t="shared" si="1628"/>
        <v>1877.08</v>
      </c>
      <c r="AD1749" s="592">
        <f t="shared" si="1628"/>
        <v>1877.08</v>
      </c>
      <c r="AE1749" s="592">
        <f t="shared" si="1628"/>
        <v>1877.08</v>
      </c>
      <c r="AF1749" s="592">
        <f t="shared" si="1628"/>
        <v>1877.08</v>
      </c>
      <c r="AH1749" s="513"/>
      <c r="AN1749" s="535"/>
      <c r="AP1749" s="535"/>
      <c r="AQ1749" s="535"/>
    </row>
    <row r="1750" spans="1:43" s="513" customFormat="1" ht="16.5" hidden="1" customHeight="1" outlineLevel="2">
      <c r="A1750" s="663"/>
      <c r="B1750" s="691"/>
      <c r="C1750" s="691"/>
      <c r="D1750" s="691"/>
      <c r="E1750" s="691"/>
      <c r="F1750" s="691"/>
      <c r="G1750" s="691"/>
      <c r="H1750" s="692"/>
      <c r="I1750" s="691"/>
      <c r="J1750" s="691"/>
      <c r="K1750" s="691"/>
      <c r="L1750" s="691"/>
      <c r="M1750" s="691"/>
      <c r="N1750" s="691"/>
      <c r="O1750" s="691"/>
      <c r="P1750" s="691"/>
      <c r="Q1750" s="691"/>
      <c r="R1750" s="691"/>
      <c r="S1750" s="691"/>
      <c r="T1750" s="691"/>
      <c r="U1750" s="691"/>
      <c r="V1750" s="691"/>
      <c r="W1750" s="691"/>
      <c r="X1750" s="691"/>
      <c r="Y1750" s="691"/>
      <c r="Z1750" s="691"/>
      <c r="AA1750" s="691"/>
      <c r="AB1750" s="691"/>
      <c r="AC1750" s="691"/>
      <c r="AD1750" s="691"/>
      <c r="AE1750" s="691"/>
      <c r="AF1750" s="691"/>
      <c r="AH1750" s="662"/>
      <c r="AK1750" s="515"/>
      <c r="AM1750" s="526"/>
      <c r="AN1750" s="535">
        <f t="shared" ref="AN1750" si="1629">AM1750/30</f>
        <v>0</v>
      </c>
      <c r="AP1750" s="540"/>
      <c r="AQ1750" s="540"/>
    </row>
    <row r="1751" spans="1:43" ht="16.5" customHeight="1" collapsed="1">
      <c r="A1751" s="510"/>
      <c r="B1751" s="749" t="s">
        <v>1105</v>
      </c>
      <c r="C1751" s="710">
        <f>C1752*C1753</f>
        <v>0</v>
      </c>
      <c r="D1751" s="710">
        <f t="shared" ref="D1751:AF1751" si="1630">D1752*D1753</f>
        <v>0</v>
      </c>
      <c r="E1751" s="710">
        <f t="shared" si="1630"/>
        <v>0</v>
      </c>
      <c r="F1751" s="710">
        <f t="shared" si="1630"/>
        <v>0</v>
      </c>
      <c r="G1751" s="710">
        <f t="shared" si="1630"/>
        <v>0</v>
      </c>
      <c r="H1751" s="710">
        <f t="shared" si="1630"/>
        <v>0</v>
      </c>
      <c r="I1751" s="710">
        <f t="shared" si="1630"/>
        <v>0</v>
      </c>
      <c r="J1751" s="710">
        <f t="shared" si="1630"/>
        <v>0</v>
      </c>
      <c r="K1751" s="710">
        <f t="shared" si="1630"/>
        <v>0</v>
      </c>
      <c r="L1751" s="710">
        <f t="shared" si="1630"/>
        <v>0</v>
      </c>
      <c r="M1751" s="710">
        <f t="shared" si="1630"/>
        <v>0</v>
      </c>
      <c r="N1751" s="710">
        <f t="shared" si="1630"/>
        <v>0</v>
      </c>
      <c r="O1751" s="710">
        <f t="shared" si="1630"/>
        <v>0</v>
      </c>
      <c r="P1751" s="710">
        <f t="shared" si="1630"/>
        <v>0</v>
      </c>
      <c r="Q1751" s="710">
        <f t="shared" si="1630"/>
        <v>0</v>
      </c>
      <c r="R1751" s="710">
        <f t="shared" si="1630"/>
        <v>0</v>
      </c>
      <c r="S1751" s="710">
        <f t="shared" si="1630"/>
        <v>0</v>
      </c>
      <c r="T1751" s="710">
        <f t="shared" si="1630"/>
        <v>0</v>
      </c>
      <c r="U1751" s="710">
        <f t="shared" si="1630"/>
        <v>0</v>
      </c>
      <c r="V1751" s="710">
        <f t="shared" si="1630"/>
        <v>0</v>
      </c>
      <c r="W1751" s="710">
        <f t="shared" si="1630"/>
        <v>0</v>
      </c>
      <c r="X1751" s="710">
        <f t="shared" si="1630"/>
        <v>0</v>
      </c>
      <c r="Y1751" s="710">
        <f t="shared" si="1630"/>
        <v>0</v>
      </c>
      <c r="Z1751" s="710">
        <f t="shared" si="1630"/>
        <v>0</v>
      </c>
      <c r="AA1751" s="710">
        <f t="shared" si="1630"/>
        <v>0</v>
      </c>
      <c r="AB1751" s="710">
        <f t="shared" si="1630"/>
        <v>0</v>
      </c>
      <c r="AC1751" s="710">
        <f t="shared" si="1630"/>
        <v>0</v>
      </c>
      <c r="AD1751" s="710">
        <f t="shared" si="1630"/>
        <v>0</v>
      </c>
      <c r="AE1751" s="710">
        <f t="shared" si="1630"/>
        <v>0</v>
      </c>
      <c r="AF1751" s="710">
        <f t="shared" si="1630"/>
        <v>0</v>
      </c>
      <c r="AG1751" s="750"/>
      <c r="AH1751" s="751">
        <f>SUM(C1751:AF1751)</f>
        <v>0</v>
      </c>
      <c r="AK1751" s="531"/>
      <c r="AM1751" s="533"/>
      <c r="AN1751" s="535"/>
      <c r="AP1751" s="535"/>
      <c r="AQ1751" s="534"/>
    </row>
    <row r="1752" spans="1:43" ht="16.5" hidden="1" customHeight="1" outlineLevel="1">
      <c r="A1752" s="663"/>
      <c r="B1752" s="693" t="s">
        <v>28</v>
      </c>
      <c r="C1752" s="694">
        <v>0</v>
      </c>
      <c r="D1752" s="694">
        <v>0</v>
      </c>
      <c r="E1752" s="694">
        <v>0</v>
      </c>
      <c r="F1752" s="694">
        <v>0</v>
      </c>
      <c r="G1752" s="694">
        <v>0</v>
      </c>
      <c r="H1752" s="694">
        <v>0</v>
      </c>
      <c r="I1752" s="694">
        <v>0</v>
      </c>
      <c r="J1752" s="694">
        <v>0</v>
      </c>
      <c r="K1752" s="694">
        <v>0</v>
      </c>
      <c r="L1752" s="694">
        <v>0</v>
      </c>
      <c r="M1752" s="694">
        <v>0</v>
      </c>
      <c r="N1752" s="694">
        <v>0</v>
      </c>
      <c r="O1752" s="694">
        <v>0</v>
      </c>
      <c r="P1752" s="694">
        <v>0</v>
      </c>
      <c r="Q1752" s="694">
        <v>0</v>
      </c>
      <c r="R1752" s="694">
        <v>0</v>
      </c>
      <c r="S1752" s="694">
        <v>0</v>
      </c>
      <c r="T1752" s="694">
        <v>0</v>
      </c>
      <c r="U1752" s="694">
        <v>0</v>
      </c>
      <c r="V1752" s="694">
        <v>0</v>
      </c>
      <c r="W1752" s="694">
        <v>0</v>
      </c>
      <c r="X1752" s="694">
        <v>0</v>
      </c>
      <c r="Y1752" s="694">
        <v>0</v>
      </c>
      <c r="Z1752" s="694">
        <v>0</v>
      </c>
      <c r="AA1752" s="694">
        <v>0</v>
      </c>
      <c r="AB1752" s="694">
        <v>0</v>
      </c>
      <c r="AC1752" s="694">
        <v>0</v>
      </c>
      <c r="AD1752" s="694">
        <v>0</v>
      </c>
      <c r="AE1752" s="694">
        <v>0</v>
      </c>
      <c r="AF1752" s="694">
        <v>0</v>
      </c>
      <c r="AH1752" s="695"/>
    </row>
    <row r="1753" spans="1:43" ht="16.5" hidden="1" customHeight="1" outlineLevel="1">
      <c r="A1753" s="663"/>
      <c r="B1753" s="693" t="s">
        <v>1106</v>
      </c>
      <c r="C1753" s="151">
        <v>0.05</v>
      </c>
      <c r="D1753" s="151">
        <f>C1753</f>
        <v>0.05</v>
      </c>
      <c r="E1753" s="151">
        <f t="shared" ref="E1753:AF1753" si="1631">D1753</f>
        <v>0.05</v>
      </c>
      <c r="F1753" s="151">
        <f t="shared" si="1631"/>
        <v>0.05</v>
      </c>
      <c r="G1753" s="151">
        <f t="shared" si="1631"/>
        <v>0.05</v>
      </c>
      <c r="H1753" s="151">
        <f t="shared" si="1631"/>
        <v>0.05</v>
      </c>
      <c r="I1753" s="151">
        <f t="shared" si="1631"/>
        <v>0.05</v>
      </c>
      <c r="J1753" s="151">
        <f t="shared" si="1631"/>
        <v>0.05</v>
      </c>
      <c r="K1753" s="151">
        <f t="shared" si="1631"/>
        <v>0.05</v>
      </c>
      <c r="L1753" s="151">
        <f t="shared" si="1631"/>
        <v>0.05</v>
      </c>
      <c r="M1753" s="151">
        <f t="shared" si="1631"/>
        <v>0.05</v>
      </c>
      <c r="N1753" s="151">
        <f t="shared" si="1631"/>
        <v>0.05</v>
      </c>
      <c r="O1753" s="151">
        <f t="shared" si="1631"/>
        <v>0.05</v>
      </c>
      <c r="P1753" s="151">
        <f t="shared" si="1631"/>
        <v>0.05</v>
      </c>
      <c r="Q1753" s="151">
        <f t="shared" si="1631"/>
        <v>0.05</v>
      </c>
      <c r="R1753" s="151">
        <f t="shared" si="1631"/>
        <v>0.05</v>
      </c>
      <c r="S1753" s="151">
        <f t="shared" si="1631"/>
        <v>0.05</v>
      </c>
      <c r="T1753" s="151">
        <f t="shared" si="1631"/>
        <v>0.05</v>
      </c>
      <c r="U1753" s="151">
        <f t="shared" si="1631"/>
        <v>0.05</v>
      </c>
      <c r="V1753" s="151">
        <f t="shared" si="1631"/>
        <v>0.05</v>
      </c>
      <c r="W1753" s="151">
        <f t="shared" si="1631"/>
        <v>0.05</v>
      </c>
      <c r="X1753" s="151">
        <f t="shared" si="1631"/>
        <v>0.05</v>
      </c>
      <c r="Y1753" s="151">
        <f t="shared" si="1631"/>
        <v>0.05</v>
      </c>
      <c r="Z1753" s="151">
        <f t="shared" si="1631"/>
        <v>0.05</v>
      </c>
      <c r="AA1753" s="151">
        <f t="shared" si="1631"/>
        <v>0.05</v>
      </c>
      <c r="AB1753" s="151">
        <f t="shared" si="1631"/>
        <v>0.05</v>
      </c>
      <c r="AC1753" s="151">
        <f t="shared" si="1631"/>
        <v>0.05</v>
      </c>
      <c r="AD1753" s="151">
        <f t="shared" si="1631"/>
        <v>0.05</v>
      </c>
      <c r="AE1753" s="151">
        <f t="shared" si="1631"/>
        <v>0.05</v>
      </c>
      <c r="AF1753" s="151">
        <f t="shared" si="1631"/>
        <v>0.05</v>
      </c>
      <c r="AH1753" s="695"/>
    </row>
    <row r="1754" spans="1:43" ht="16.5" customHeight="1">
      <c r="A1754" s="510"/>
      <c r="B1754" s="511"/>
      <c r="C1754" s="512"/>
      <c r="D1754" s="510"/>
      <c r="E1754" s="512"/>
      <c r="F1754" s="512"/>
      <c r="G1754" s="512"/>
      <c r="H1754" s="512"/>
      <c r="I1754" s="512"/>
      <c r="J1754" s="512"/>
      <c r="K1754" s="512"/>
      <c r="L1754" s="512"/>
      <c r="M1754" s="512"/>
      <c r="N1754" s="512"/>
      <c r="O1754" s="512"/>
      <c r="P1754" s="512"/>
      <c r="Q1754" s="512"/>
      <c r="R1754" s="512"/>
      <c r="S1754" s="512"/>
      <c r="T1754" s="512"/>
      <c r="U1754" s="512"/>
      <c r="V1754" s="512"/>
      <c r="W1754" s="512"/>
      <c r="X1754" s="512"/>
      <c r="Y1754" s="512"/>
      <c r="Z1754" s="512"/>
      <c r="AA1754" s="512"/>
      <c r="AB1754" s="512"/>
      <c r="AC1754" s="512"/>
      <c r="AD1754" s="512"/>
      <c r="AE1754" s="512"/>
      <c r="AF1754" s="512"/>
    </row>
    <row r="1755" spans="1:43" ht="16.5" customHeight="1">
      <c r="A1755" s="510"/>
      <c r="B1755" s="697" t="s">
        <v>1107</v>
      </c>
      <c r="C1755" s="512"/>
      <c r="D1755" s="510"/>
      <c r="E1755" s="512"/>
      <c r="F1755" s="512"/>
      <c r="G1755" s="512"/>
      <c r="H1755" s="512"/>
      <c r="I1755" s="512"/>
      <c r="J1755" s="512"/>
      <c r="K1755" s="512"/>
      <c r="L1755" s="512"/>
      <c r="M1755" s="512"/>
      <c r="N1755" s="512"/>
      <c r="O1755" s="512"/>
      <c r="P1755" s="512"/>
      <c r="Q1755" s="512"/>
      <c r="R1755" s="512"/>
      <c r="S1755" s="512"/>
      <c r="T1755" s="512"/>
      <c r="U1755" s="512"/>
      <c r="V1755" s="512"/>
      <c r="W1755" s="512"/>
      <c r="X1755" s="512"/>
      <c r="Y1755" s="512"/>
      <c r="Z1755" s="512"/>
      <c r="AA1755" s="512"/>
      <c r="AB1755" s="512"/>
      <c r="AC1755" s="512"/>
      <c r="AD1755" s="512"/>
      <c r="AE1755" s="512"/>
      <c r="AF1755" s="512"/>
    </row>
    <row r="1756" spans="1:43" ht="16.5" customHeight="1">
      <c r="B1756" s="700" t="s">
        <v>1108</v>
      </c>
      <c r="C1756" s="513"/>
    </row>
    <row r="1757" spans="1:43" ht="16.5" customHeight="1">
      <c r="A1757" s="510" t="s">
        <v>1109</v>
      </c>
      <c r="B1757" s="510" t="s">
        <v>1110</v>
      </c>
      <c r="C1757" s="510">
        <v>80000</v>
      </c>
      <c r="D1757" s="510" t="s">
        <v>1111</v>
      </c>
    </row>
    <row r="1758" spans="1:43" ht="16.5" customHeight="1">
      <c r="A1758" s="510" t="s">
        <v>1112</v>
      </c>
      <c r="B1758" s="510" t="s">
        <v>1113</v>
      </c>
      <c r="C1758" s="510">
        <v>15000</v>
      </c>
      <c r="D1758" s="510" t="s">
        <v>1111</v>
      </c>
    </row>
    <row r="1759" spans="1:43" ht="16.5" customHeight="1">
      <c r="C1759" s="513"/>
    </row>
    <row r="1761" spans="1:12" ht="16.5" customHeight="1">
      <c r="A1761" s="699"/>
      <c r="B1761" s="510"/>
      <c r="C1761" s="686"/>
      <c r="D1761" s="686"/>
      <c r="E1761" s="686"/>
      <c r="F1761" s="686"/>
      <c r="G1761" s="686"/>
      <c r="H1761" s="686"/>
      <c r="I1761" s="686"/>
      <c r="J1761" s="686"/>
      <c r="K1761" s="513"/>
      <c r="L1761" s="513"/>
    </row>
  </sheetData>
  <autoFilter ref="B3:AF1754" xr:uid="{00000000-0009-0000-0000-000005000000}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C42FA-4ED6-426B-932F-1CC8AB7E8B5A}">
  <sheetPr codeName="Sheet8">
    <tabColor theme="1"/>
  </sheetPr>
  <dimension ref="A1:AM945"/>
  <sheetViews>
    <sheetView showGridLines="0" zoomScale="80" zoomScaleNormal="80" workbookViewId="0">
      <pane xSplit="4" ySplit="8" topLeftCell="G25" activePane="bottomRight" state="frozen"/>
      <selection pane="topRight" activeCell="E1" sqref="E1"/>
      <selection pane="bottomLeft" activeCell="A14" sqref="A14"/>
      <selection pane="bottomRight" activeCell="AH80" sqref="E80:AH81"/>
    </sheetView>
  </sheetViews>
  <sheetFormatPr defaultColWidth="18" defaultRowHeight="14.4" outlineLevelRow="1"/>
  <cols>
    <col min="1" max="1" width="7.33203125" style="155" customWidth="1"/>
    <col min="2" max="2" width="67.5546875" style="193" customWidth="1"/>
    <col min="3" max="3" width="19.5546875" style="193" customWidth="1"/>
    <col min="4" max="4" width="11.6640625" style="193" customWidth="1"/>
    <col min="5" max="5" width="13.5546875" style="155" bestFit="1" customWidth="1"/>
    <col min="6" max="6" width="17.5546875" style="162" bestFit="1" customWidth="1"/>
    <col min="7" max="7" width="19.33203125" style="155" bestFit="1" customWidth="1"/>
    <col min="8" max="9" width="12" style="155" bestFit="1" customWidth="1"/>
    <col min="10" max="10" width="11.5546875" style="155" customWidth="1"/>
    <col min="11" max="12" width="12" style="155" bestFit="1" customWidth="1"/>
    <col min="13" max="14" width="13.33203125" style="155" bestFit="1" customWidth="1"/>
    <col min="15" max="15" width="12" style="155" bestFit="1" customWidth="1"/>
    <col min="16" max="17" width="12.6640625" style="155" bestFit="1" customWidth="1"/>
    <col min="18" max="24" width="12" style="155" bestFit="1" customWidth="1"/>
    <col min="25" max="25" width="13.33203125" style="155" bestFit="1" customWidth="1"/>
    <col min="26" max="27" width="12.6640625" style="155" bestFit="1" customWidth="1"/>
    <col min="28" max="34" width="12" style="155" bestFit="1" customWidth="1"/>
    <col min="35" max="35" width="7.5546875" style="162" customWidth="1"/>
    <col min="36" max="36" width="18" style="155"/>
    <col min="37" max="37" width="7.33203125" style="155" bestFit="1" customWidth="1"/>
    <col min="38" max="16384" width="18" style="155"/>
  </cols>
  <sheetData>
    <row r="1" spans="1:39" ht="16.5" customHeight="1">
      <c r="A1" s="162"/>
      <c r="B1" s="191"/>
      <c r="C1" s="155"/>
      <c r="D1" s="162"/>
      <c r="F1" s="155"/>
      <c r="AH1" s="162"/>
      <c r="AI1" s="155"/>
      <c r="AK1" s="241"/>
      <c r="AM1" s="242"/>
    </row>
    <row r="2" spans="1:39" ht="16.5" customHeight="1">
      <c r="A2" s="152"/>
      <c r="B2" s="156"/>
      <c r="C2" s="156"/>
      <c r="D2" s="156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  <c r="AI2" s="154"/>
      <c r="AJ2" s="152"/>
      <c r="AK2" s="152"/>
      <c r="AL2" s="152"/>
    </row>
    <row r="3" spans="1:39" ht="16.5" customHeight="1">
      <c r="A3" s="152"/>
      <c r="B3" s="153" t="s">
        <v>798</v>
      </c>
      <c r="C3" s="153"/>
      <c r="D3" s="153"/>
      <c r="E3" s="153">
        <v>1</v>
      </c>
      <c r="F3" s="153">
        <v>1</v>
      </c>
      <c r="G3" s="153">
        <v>1</v>
      </c>
      <c r="H3" s="153">
        <v>1</v>
      </c>
      <c r="I3" s="153">
        <v>1</v>
      </c>
      <c r="J3" s="153">
        <v>1</v>
      </c>
      <c r="K3" s="153">
        <v>1</v>
      </c>
      <c r="L3" s="153">
        <v>1</v>
      </c>
      <c r="M3" s="153">
        <v>1</v>
      </c>
      <c r="N3" s="153">
        <v>1</v>
      </c>
      <c r="O3" s="153">
        <v>1</v>
      </c>
      <c r="P3" s="153">
        <v>1</v>
      </c>
      <c r="Q3" s="153">
        <v>1</v>
      </c>
      <c r="R3" s="153">
        <v>1</v>
      </c>
      <c r="S3" s="153">
        <v>1</v>
      </c>
      <c r="T3" s="153">
        <v>1</v>
      </c>
      <c r="U3" s="153">
        <v>1</v>
      </c>
      <c r="V3" s="153">
        <v>1</v>
      </c>
      <c r="W3" s="153">
        <v>1</v>
      </c>
      <c r="X3" s="153">
        <v>1</v>
      </c>
      <c r="Y3" s="153">
        <v>1</v>
      </c>
      <c r="Z3" s="153">
        <v>1</v>
      </c>
      <c r="AA3" s="153">
        <v>1</v>
      </c>
      <c r="AB3" s="153">
        <v>1</v>
      </c>
      <c r="AC3" s="153">
        <v>1</v>
      </c>
      <c r="AD3" s="153">
        <v>1</v>
      </c>
      <c r="AE3" s="153">
        <v>1</v>
      </c>
      <c r="AF3" s="153">
        <v>1</v>
      </c>
      <c r="AG3" s="153">
        <v>1</v>
      </c>
      <c r="AH3" s="153">
        <v>1</v>
      </c>
      <c r="AI3" s="154"/>
      <c r="AJ3" s="152"/>
      <c r="AK3" s="152"/>
      <c r="AL3" s="152"/>
    </row>
    <row r="4" spans="1:39" ht="3" customHeight="1">
      <c r="A4" s="152"/>
      <c r="B4" s="156"/>
      <c r="C4" s="156"/>
      <c r="D4" s="156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2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2"/>
      <c r="AE4" s="152"/>
      <c r="AF4" s="152"/>
      <c r="AG4" s="152"/>
      <c r="AH4" s="152"/>
      <c r="AI4" s="154"/>
      <c r="AJ4" s="152"/>
      <c r="AK4" s="152"/>
      <c r="AL4" s="152"/>
    </row>
    <row r="5" spans="1:39" ht="16.5" customHeight="1">
      <c r="A5" s="152"/>
      <c r="B5" s="456" t="s">
        <v>799</v>
      </c>
      <c r="C5" s="456"/>
      <c r="D5" s="456"/>
      <c r="E5" s="456">
        <v>1</v>
      </c>
      <c r="F5" s="456">
        <f t="shared" ref="F5:AH5" si="0">E5+1</f>
        <v>2</v>
      </c>
      <c r="G5" s="456">
        <f t="shared" si="0"/>
        <v>3</v>
      </c>
      <c r="H5" s="456">
        <f t="shared" si="0"/>
        <v>4</v>
      </c>
      <c r="I5" s="456">
        <f t="shared" si="0"/>
        <v>5</v>
      </c>
      <c r="J5" s="456">
        <f t="shared" si="0"/>
        <v>6</v>
      </c>
      <c r="K5" s="456">
        <f t="shared" si="0"/>
        <v>7</v>
      </c>
      <c r="L5" s="456">
        <f t="shared" si="0"/>
        <v>8</v>
      </c>
      <c r="M5" s="456">
        <f t="shared" si="0"/>
        <v>9</v>
      </c>
      <c r="N5" s="456">
        <f t="shared" si="0"/>
        <v>10</v>
      </c>
      <c r="O5" s="456">
        <f t="shared" si="0"/>
        <v>11</v>
      </c>
      <c r="P5" s="456">
        <f t="shared" si="0"/>
        <v>12</v>
      </c>
      <c r="Q5" s="456">
        <f t="shared" si="0"/>
        <v>13</v>
      </c>
      <c r="R5" s="456">
        <f t="shared" si="0"/>
        <v>14</v>
      </c>
      <c r="S5" s="456">
        <f t="shared" si="0"/>
        <v>15</v>
      </c>
      <c r="T5" s="456">
        <f t="shared" si="0"/>
        <v>16</v>
      </c>
      <c r="U5" s="456">
        <f t="shared" si="0"/>
        <v>17</v>
      </c>
      <c r="V5" s="456">
        <f t="shared" si="0"/>
        <v>18</v>
      </c>
      <c r="W5" s="456">
        <f t="shared" si="0"/>
        <v>19</v>
      </c>
      <c r="X5" s="456">
        <f t="shared" si="0"/>
        <v>20</v>
      </c>
      <c r="Y5" s="456">
        <f t="shared" si="0"/>
        <v>21</v>
      </c>
      <c r="Z5" s="456">
        <f t="shared" si="0"/>
        <v>22</v>
      </c>
      <c r="AA5" s="456">
        <f t="shared" si="0"/>
        <v>23</v>
      </c>
      <c r="AB5" s="456">
        <f t="shared" si="0"/>
        <v>24</v>
      </c>
      <c r="AC5" s="456">
        <f t="shared" si="0"/>
        <v>25</v>
      </c>
      <c r="AD5" s="456">
        <f t="shared" si="0"/>
        <v>26</v>
      </c>
      <c r="AE5" s="456">
        <f t="shared" si="0"/>
        <v>27</v>
      </c>
      <c r="AF5" s="456">
        <f t="shared" si="0"/>
        <v>28</v>
      </c>
      <c r="AG5" s="456">
        <f t="shared" si="0"/>
        <v>29</v>
      </c>
      <c r="AH5" s="456">
        <f t="shared" si="0"/>
        <v>30</v>
      </c>
      <c r="AI5" s="157"/>
      <c r="AJ5" s="152"/>
      <c r="AK5" s="192"/>
      <c r="AL5" s="152"/>
    </row>
    <row r="6" spans="1:39" s="162" customFormat="1" ht="3" customHeight="1">
      <c r="A6" s="152"/>
      <c r="B6" s="158"/>
      <c r="C6" s="158"/>
      <c r="D6" s="158"/>
      <c r="E6" s="159"/>
      <c r="F6" s="160"/>
      <c r="G6" s="160"/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60"/>
      <c r="AB6" s="160"/>
      <c r="AC6" s="160"/>
      <c r="AD6" s="160"/>
      <c r="AE6" s="160"/>
      <c r="AF6" s="160"/>
      <c r="AG6" s="160"/>
      <c r="AH6" s="160"/>
      <c r="AI6" s="160"/>
      <c r="AJ6" s="154"/>
      <c r="AK6" s="154"/>
      <c r="AL6" s="154"/>
    </row>
    <row r="7" spans="1:39" ht="16.5" customHeight="1">
      <c r="A7" s="152"/>
      <c r="B7" s="163" t="s">
        <v>801</v>
      </c>
      <c r="C7" s="163"/>
      <c r="D7" s="163"/>
      <c r="E7" s="164">
        <f t="shared" ref="E7:AH7" si="1">SUM(E9,E16,E24,E31,E36,E42,E48,E60,E64,E67,E71,E75)</f>
        <v>10775.031120895997</v>
      </c>
      <c r="F7" s="164">
        <f t="shared" si="1"/>
        <v>1472.4358093250448</v>
      </c>
      <c r="G7" s="164">
        <f t="shared" si="1"/>
        <v>1743.4786958342002</v>
      </c>
      <c r="H7" s="164">
        <f t="shared" si="1"/>
        <v>397.26424167420004</v>
      </c>
      <c r="I7" s="164">
        <f t="shared" si="1"/>
        <v>763.15204167420006</v>
      </c>
      <c r="J7" s="164">
        <f t="shared" si="1"/>
        <v>12305.51313337047</v>
      </c>
      <c r="K7" s="164">
        <f t="shared" si="1"/>
        <v>241.59493295294402</v>
      </c>
      <c r="L7" s="164">
        <f t="shared" si="1"/>
        <v>8189.1826116742004</v>
      </c>
      <c r="M7" s="164">
        <f t="shared" si="1"/>
        <v>43.404541674200004</v>
      </c>
      <c r="N7" s="164">
        <f t="shared" si="1"/>
        <v>845.77904167420013</v>
      </c>
      <c r="O7" s="164">
        <f t="shared" si="1"/>
        <v>1452.9584045185597</v>
      </c>
      <c r="P7" s="164">
        <f t="shared" si="1"/>
        <v>1099.803583204369</v>
      </c>
      <c r="Q7" s="164">
        <f t="shared" si="1"/>
        <v>797.93392010620016</v>
      </c>
      <c r="R7" s="164">
        <f t="shared" si="1"/>
        <v>178.80952295294401</v>
      </c>
      <c r="S7" s="164">
        <f t="shared" si="1"/>
        <v>8180.5448516742008</v>
      </c>
      <c r="T7" s="164">
        <f t="shared" si="1"/>
        <v>2648.0324560422537</v>
      </c>
      <c r="U7" s="164">
        <f t="shared" si="1"/>
        <v>783.53025167420014</v>
      </c>
      <c r="V7" s="164">
        <f t="shared" si="1"/>
        <v>351.64980167419998</v>
      </c>
      <c r="W7" s="164">
        <f t="shared" si="1"/>
        <v>825.99884167420009</v>
      </c>
      <c r="X7" s="164">
        <f t="shared" si="1"/>
        <v>49.327041674200004</v>
      </c>
      <c r="Y7" s="164">
        <f t="shared" si="1"/>
        <v>1270.9883857973036</v>
      </c>
      <c r="Z7" s="164">
        <f t="shared" si="1"/>
        <v>8611.8881932043714</v>
      </c>
      <c r="AA7" s="164">
        <f t="shared" si="1"/>
        <v>735.3069201062001</v>
      </c>
      <c r="AB7" s="164">
        <f t="shared" si="1"/>
        <v>757.22954167420005</v>
      </c>
      <c r="AC7" s="164">
        <f t="shared" si="1"/>
        <v>397.92364167420004</v>
      </c>
      <c r="AD7" s="164">
        <f t="shared" si="1"/>
        <v>3319.4787361862536</v>
      </c>
      <c r="AE7" s="164">
        <f t="shared" si="1"/>
        <v>63.7827516742</v>
      </c>
      <c r="AF7" s="164">
        <f t="shared" si="1"/>
        <v>1997.3976029529438</v>
      </c>
      <c r="AG7" s="164">
        <f t="shared" si="1"/>
        <v>6413.6611316742001</v>
      </c>
      <c r="AH7" s="164">
        <f t="shared" si="1"/>
        <v>63.404541674200004</v>
      </c>
      <c r="AI7" s="165"/>
      <c r="AJ7" s="152"/>
      <c r="AK7" s="152"/>
      <c r="AL7" s="152"/>
    </row>
    <row r="8" spans="1:39" s="162" customFormat="1" ht="3" customHeight="1">
      <c r="A8" s="152"/>
      <c r="B8" s="158"/>
      <c r="C8" s="158"/>
      <c r="D8" s="158"/>
      <c r="E8" s="167"/>
      <c r="F8" s="168"/>
      <c r="G8" s="168"/>
      <c r="H8" s="168"/>
      <c r="I8" s="168"/>
      <c r="J8" s="168"/>
      <c r="K8" s="168"/>
      <c r="L8" s="168"/>
      <c r="M8" s="168"/>
      <c r="N8" s="168"/>
      <c r="O8" s="168"/>
      <c r="P8" s="168"/>
      <c r="Q8" s="168"/>
      <c r="R8" s="168"/>
      <c r="S8" s="168"/>
      <c r="T8" s="168"/>
      <c r="U8" s="168"/>
      <c r="V8" s="168"/>
      <c r="W8" s="168"/>
      <c r="X8" s="168"/>
      <c r="Y8" s="168"/>
      <c r="Z8" s="168"/>
      <c r="AA8" s="168"/>
      <c r="AB8" s="168"/>
      <c r="AC8" s="168"/>
      <c r="AD8" s="168"/>
      <c r="AE8" s="168"/>
      <c r="AF8" s="168"/>
      <c r="AG8" s="168"/>
      <c r="AH8" s="168"/>
      <c r="AI8" s="160"/>
      <c r="AJ8" s="154"/>
      <c r="AK8" s="154"/>
      <c r="AL8" s="154"/>
    </row>
    <row r="9" spans="1:39" ht="16.5" customHeight="1">
      <c r="A9" s="152"/>
      <c r="B9" s="453" t="s">
        <v>802</v>
      </c>
      <c r="C9" s="453"/>
      <c r="D9" s="453"/>
      <c r="E9" s="454">
        <f t="shared" ref="E9:AH9" si="2">SUM(E11:E14)</f>
        <v>4510.7923900000005</v>
      </c>
      <c r="F9" s="454">
        <f t="shared" si="2"/>
        <v>0</v>
      </c>
      <c r="G9" s="454">
        <f t="shared" si="2"/>
        <v>713.82500000000005</v>
      </c>
      <c r="H9" s="454">
        <f t="shared" si="2"/>
        <v>0</v>
      </c>
      <c r="I9" s="454">
        <f t="shared" si="2"/>
        <v>713.82500000000005</v>
      </c>
      <c r="J9" s="454">
        <f t="shared" si="2"/>
        <v>30</v>
      </c>
      <c r="K9" s="454">
        <f t="shared" si="2"/>
        <v>0</v>
      </c>
      <c r="L9" s="454">
        <f t="shared" si="2"/>
        <v>4459.6323900000007</v>
      </c>
      <c r="M9" s="454">
        <f t="shared" si="2"/>
        <v>0</v>
      </c>
      <c r="N9" s="454">
        <f t="shared" si="2"/>
        <v>713.82500000000005</v>
      </c>
      <c r="O9" s="454">
        <f t="shared" si="2"/>
        <v>51.16</v>
      </c>
      <c r="P9" s="454">
        <f t="shared" si="2"/>
        <v>713.82500000000005</v>
      </c>
      <c r="Q9" s="454">
        <f t="shared" si="2"/>
        <v>0</v>
      </c>
      <c r="R9" s="454">
        <f t="shared" si="2"/>
        <v>0</v>
      </c>
      <c r="S9" s="454">
        <f t="shared" si="2"/>
        <v>4459.6323900000007</v>
      </c>
      <c r="T9" s="454">
        <f t="shared" si="2"/>
        <v>30</v>
      </c>
      <c r="U9" s="454">
        <f t="shared" si="2"/>
        <v>713.82500000000005</v>
      </c>
      <c r="V9" s="454">
        <f t="shared" si="2"/>
        <v>0</v>
      </c>
      <c r="W9" s="454">
        <f t="shared" si="2"/>
        <v>713.82500000000005</v>
      </c>
      <c r="X9" s="454">
        <f t="shared" si="2"/>
        <v>0</v>
      </c>
      <c r="Y9" s="454">
        <f t="shared" si="2"/>
        <v>51.16</v>
      </c>
      <c r="Z9" s="454">
        <f t="shared" si="2"/>
        <v>4459.6323900000007</v>
      </c>
      <c r="AA9" s="454">
        <f t="shared" si="2"/>
        <v>0</v>
      </c>
      <c r="AB9" s="454">
        <f t="shared" si="2"/>
        <v>713.82500000000005</v>
      </c>
      <c r="AC9" s="454">
        <f t="shared" si="2"/>
        <v>0</v>
      </c>
      <c r="AD9" s="454">
        <f t="shared" si="2"/>
        <v>743.82500000000005</v>
      </c>
      <c r="AE9" s="454">
        <f t="shared" si="2"/>
        <v>0</v>
      </c>
      <c r="AF9" s="454">
        <f t="shared" si="2"/>
        <v>0</v>
      </c>
      <c r="AG9" s="454">
        <f t="shared" si="2"/>
        <v>4459.6323900000007</v>
      </c>
      <c r="AH9" s="454">
        <f t="shared" si="2"/>
        <v>0</v>
      </c>
      <c r="AI9" s="169"/>
      <c r="AJ9" s="152"/>
      <c r="AK9" s="152"/>
      <c r="AL9" s="152"/>
    </row>
    <row r="10" spans="1:39" s="162" customFormat="1" ht="3" customHeight="1">
      <c r="A10" s="152"/>
      <c r="B10" s="223"/>
      <c r="C10" s="231"/>
      <c r="D10" s="231"/>
      <c r="E10" s="170"/>
      <c r="F10" s="170"/>
      <c r="G10" s="171"/>
      <c r="H10" s="171"/>
      <c r="I10" s="171"/>
      <c r="J10" s="171"/>
      <c r="K10" s="171"/>
      <c r="L10" s="171"/>
      <c r="M10" s="171"/>
      <c r="N10" s="171"/>
      <c r="O10" s="171"/>
      <c r="P10" s="171"/>
      <c r="Q10" s="171"/>
      <c r="R10" s="171"/>
      <c r="S10" s="171"/>
      <c r="T10" s="171"/>
      <c r="U10" s="171"/>
      <c r="V10" s="171"/>
      <c r="W10" s="171"/>
      <c r="X10" s="171"/>
      <c r="Y10" s="171"/>
      <c r="Z10" s="171"/>
      <c r="AA10" s="171"/>
      <c r="AB10" s="171"/>
      <c r="AC10" s="171"/>
      <c r="AD10" s="171"/>
      <c r="AE10" s="171"/>
      <c r="AF10" s="171"/>
      <c r="AG10" s="171"/>
      <c r="AH10" s="171"/>
      <c r="AI10" s="224"/>
      <c r="AJ10" s="154"/>
      <c r="AK10" s="154"/>
      <c r="AL10" s="154"/>
    </row>
    <row r="11" spans="1:39" s="162" customFormat="1" ht="16.5" customHeight="1" outlineLevel="1">
      <c r="A11" s="154"/>
      <c r="B11" s="225" t="s">
        <v>296</v>
      </c>
      <c r="C11" s="405" t="s">
        <v>296</v>
      </c>
      <c r="D11" s="405" t="s">
        <v>170</v>
      </c>
      <c r="E11" s="226">
        <f>CAPEX!C10</f>
        <v>30</v>
      </c>
      <c r="F11" s="226">
        <f>CAPEX!D10</f>
        <v>0</v>
      </c>
      <c r="G11" s="226">
        <f>CAPEX!E10</f>
        <v>0</v>
      </c>
      <c r="H11" s="226">
        <f>CAPEX!F10</f>
        <v>0</v>
      </c>
      <c r="I11" s="226">
        <f>CAPEX!G10</f>
        <v>0</v>
      </c>
      <c r="J11" s="226">
        <f>CAPEX!H10</f>
        <v>30</v>
      </c>
      <c r="K11" s="226">
        <f>CAPEX!I10</f>
        <v>0</v>
      </c>
      <c r="L11" s="226">
        <f>CAPEX!J10</f>
        <v>0</v>
      </c>
      <c r="M11" s="226">
        <f>CAPEX!K10</f>
        <v>0</v>
      </c>
      <c r="N11" s="226">
        <f>CAPEX!L10</f>
        <v>0</v>
      </c>
      <c r="O11" s="226">
        <f>CAPEX!M10</f>
        <v>30</v>
      </c>
      <c r="P11" s="226">
        <f>CAPEX!N10</f>
        <v>0</v>
      </c>
      <c r="Q11" s="226">
        <f>CAPEX!O10</f>
        <v>0</v>
      </c>
      <c r="R11" s="226">
        <f>CAPEX!P10</f>
        <v>0</v>
      </c>
      <c r="S11" s="226">
        <f>CAPEX!Q10</f>
        <v>0</v>
      </c>
      <c r="T11" s="226">
        <f>CAPEX!R10</f>
        <v>30</v>
      </c>
      <c r="U11" s="226">
        <f>CAPEX!S10</f>
        <v>0</v>
      </c>
      <c r="V11" s="226">
        <f>CAPEX!T10</f>
        <v>0</v>
      </c>
      <c r="W11" s="226">
        <f>CAPEX!U10</f>
        <v>0</v>
      </c>
      <c r="X11" s="226">
        <f>CAPEX!V10</f>
        <v>0</v>
      </c>
      <c r="Y11" s="226">
        <f>CAPEX!W10</f>
        <v>30</v>
      </c>
      <c r="Z11" s="226">
        <f>CAPEX!X10</f>
        <v>0</v>
      </c>
      <c r="AA11" s="226">
        <f>CAPEX!Y10</f>
        <v>0</v>
      </c>
      <c r="AB11" s="226">
        <f>CAPEX!Z10</f>
        <v>0</v>
      </c>
      <c r="AC11" s="226">
        <f>CAPEX!AA10</f>
        <v>0</v>
      </c>
      <c r="AD11" s="226">
        <f>CAPEX!AB10</f>
        <v>30</v>
      </c>
      <c r="AE11" s="226">
        <f>CAPEX!AC10</f>
        <v>0</v>
      </c>
      <c r="AF11" s="226">
        <f>CAPEX!AD10</f>
        <v>0</v>
      </c>
      <c r="AG11" s="226">
        <f>CAPEX!AE10</f>
        <v>0</v>
      </c>
      <c r="AH11" s="226">
        <f>CAPEX!AF10</f>
        <v>0</v>
      </c>
      <c r="AI11" s="227"/>
      <c r="AJ11" s="154"/>
      <c r="AK11" s="228"/>
      <c r="AL11" s="154"/>
    </row>
    <row r="12" spans="1:39" s="162" customFormat="1" ht="16.5" customHeight="1" outlineLevel="1">
      <c r="A12" s="154"/>
      <c r="B12" s="225" t="s">
        <v>297</v>
      </c>
      <c r="C12" s="405" t="s">
        <v>297</v>
      </c>
      <c r="D12" s="405" t="s">
        <v>170</v>
      </c>
      <c r="E12" s="226">
        <f>CAPEX!C14</f>
        <v>4424.8905500000001</v>
      </c>
      <c r="F12" s="226">
        <f>CAPEX!D14</f>
        <v>0</v>
      </c>
      <c r="G12" s="226">
        <f>CAPEX!E14</f>
        <v>0</v>
      </c>
      <c r="H12" s="226">
        <f>CAPEX!F14</f>
        <v>0</v>
      </c>
      <c r="I12" s="226">
        <f>CAPEX!G14</f>
        <v>0</v>
      </c>
      <c r="J12" s="226">
        <f>CAPEX!H14</f>
        <v>0</v>
      </c>
      <c r="K12" s="226">
        <f>CAPEX!I14</f>
        <v>0</v>
      </c>
      <c r="L12" s="226">
        <f>CAPEX!J14</f>
        <v>4403.7305500000002</v>
      </c>
      <c r="M12" s="226">
        <f>CAPEX!K14</f>
        <v>0</v>
      </c>
      <c r="N12" s="226">
        <f>CAPEX!L14</f>
        <v>0</v>
      </c>
      <c r="O12" s="226">
        <f>CAPEX!M14</f>
        <v>21.16</v>
      </c>
      <c r="P12" s="226">
        <f>CAPEX!N14</f>
        <v>0</v>
      </c>
      <c r="Q12" s="226">
        <f>CAPEX!O14</f>
        <v>0</v>
      </c>
      <c r="R12" s="226">
        <f>CAPEX!P14</f>
        <v>0</v>
      </c>
      <c r="S12" s="226">
        <f>CAPEX!Q14</f>
        <v>4403.7305500000002</v>
      </c>
      <c r="T12" s="226">
        <f>CAPEX!R14</f>
        <v>0</v>
      </c>
      <c r="U12" s="226">
        <f>CAPEX!S14</f>
        <v>0</v>
      </c>
      <c r="V12" s="226">
        <f>CAPEX!T14</f>
        <v>0</v>
      </c>
      <c r="W12" s="226">
        <f>CAPEX!U14</f>
        <v>0</v>
      </c>
      <c r="X12" s="226">
        <f>CAPEX!V14</f>
        <v>0</v>
      </c>
      <c r="Y12" s="226">
        <f>CAPEX!W14</f>
        <v>21.16</v>
      </c>
      <c r="Z12" s="226">
        <f>CAPEX!X14</f>
        <v>4403.7305500000002</v>
      </c>
      <c r="AA12" s="226">
        <f>CAPEX!Y14</f>
        <v>0</v>
      </c>
      <c r="AB12" s="226">
        <f>CAPEX!Z14</f>
        <v>0</v>
      </c>
      <c r="AC12" s="226">
        <f>CAPEX!AA14</f>
        <v>0</v>
      </c>
      <c r="AD12" s="226">
        <f>CAPEX!AB14</f>
        <v>0</v>
      </c>
      <c r="AE12" s="226">
        <f>CAPEX!AC14</f>
        <v>0</v>
      </c>
      <c r="AF12" s="226">
        <f>CAPEX!AD14</f>
        <v>0</v>
      </c>
      <c r="AG12" s="226">
        <f>CAPEX!AE14</f>
        <v>4403.7305500000002</v>
      </c>
      <c r="AH12" s="226">
        <f>CAPEX!AF14</f>
        <v>0</v>
      </c>
      <c r="AI12" s="227"/>
      <c r="AJ12" s="154"/>
      <c r="AK12" s="154"/>
      <c r="AL12" s="154"/>
    </row>
    <row r="13" spans="1:39" s="162" customFormat="1" ht="16.2" customHeight="1" outlineLevel="1">
      <c r="A13" s="154"/>
      <c r="B13" s="225" t="s">
        <v>298</v>
      </c>
      <c r="C13" s="405" t="s">
        <v>298</v>
      </c>
      <c r="D13" s="405" t="s">
        <v>170</v>
      </c>
      <c r="E13" s="226">
        <v>0</v>
      </c>
      <c r="F13" s="226">
        <v>0</v>
      </c>
      <c r="G13" s="226">
        <v>0</v>
      </c>
      <c r="H13" s="226">
        <v>0</v>
      </c>
      <c r="I13" s="226">
        <v>0</v>
      </c>
      <c r="J13" s="226">
        <v>0</v>
      </c>
      <c r="K13" s="226">
        <v>0</v>
      </c>
      <c r="L13" s="226">
        <v>0</v>
      </c>
      <c r="M13" s="226">
        <v>0</v>
      </c>
      <c r="N13" s="226">
        <v>0</v>
      </c>
      <c r="O13" s="226">
        <v>0</v>
      </c>
      <c r="P13" s="226">
        <v>0</v>
      </c>
      <c r="Q13" s="226">
        <v>0</v>
      </c>
      <c r="R13" s="226">
        <v>0</v>
      </c>
      <c r="S13" s="226">
        <v>0</v>
      </c>
      <c r="T13" s="226">
        <v>0</v>
      </c>
      <c r="U13" s="226">
        <v>0</v>
      </c>
      <c r="V13" s="226">
        <v>0</v>
      </c>
      <c r="W13" s="226">
        <v>0</v>
      </c>
      <c r="X13" s="226">
        <v>0</v>
      </c>
      <c r="Y13" s="226">
        <v>0</v>
      </c>
      <c r="Z13" s="226">
        <v>0</v>
      </c>
      <c r="AA13" s="226">
        <v>0</v>
      </c>
      <c r="AB13" s="226">
        <v>0</v>
      </c>
      <c r="AC13" s="226">
        <v>0</v>
      </c>
      <c r="AD13" s="226">
        <v>0</v>
      </c>
      <c r="AE13" s="226">
        <v>0</v>
      </c>
      <c r="AF13" s="226">
        <v>0</v>
      </c>
      <c r="AG13" s="226">
        <v>0</v>
      </c>
      <c r="AH13" s="226">
        <v>0</v>
      </c>
      <c r="AI13" s="227"/>
      <c r="AJ13" s="154"/>
      <c r="AK13" s="154"/>
      <c r="AL13" s="154"/>
    </row>
    <row r="14" spans="1:39" ht="16.5" customHeight="1" outlineLevel="1">
      <c r="A14" s="154"/>
      <c r="B14" s="225" t="s">
        <v>299</v>
      </c>
      <c r="C14" s="405" t="s">
        <v>299</v>
      </c>
      <c r="D14" s="405" t="s">
        <v>170</v>
      </c>
      <c r="E14" s="226">
        <f>CAPEX!C21</f>
        <v>55.90184</v>
      </c>
      <c r="F14" s="226">
        <f>CAPEX!D21</f>
        <v>0</v>
      </c>
      <c r="G14" s="226">
        <f>CAPEX!E21</f>
        <v>713.82500000000005</v>
      </c>
      <c r="H14" s="226">
        <f>CAPEX!F21</f>
        <v>0</v>
      </c>
      <c r="I14" s="226">
        <f>CAPEX!G21</f>
        <v>713.82500000000005</v>
      </c>
      <c r="J14" s="226">
        <f>CAPEX!H21</f>
        <v>0</v>
      </c>
      <c r="K14" s="226">
        <f>CAPEX!I21</f>
        <v>0</v>
      </c>
      <c r="L14" s="226">
        <f>CAPEX!J21</f>
        <v>55.90184</v>
      </c>
      <c r="M14" s="226">
        <f>CAPEX!K21</f>
        <v>0</v>
      </c>
      <c r="N14" s="226">
        <f>CAPEX!L21</f>
        <v>713.82500000000005</v>
      </c>
      <c r="O14" s="226">
        <f>CAPEX!M21</f>
        <v>0</v>
      </c>
      <c r="P14" s="226">
        <f>CAPEX!N21</f>
        <v>713.82500000000005</v>
      </c>
      <c r="Q14" s="226">
        <f>CAPEX!O21</f>
        <v>0</v>
      </c>
      <c r="R14" s="226">
        <f>CAPEX!P21</f>
        <v>0</v>
      </c>
      <c r="S14" s="226">
        <f>CAPEX!Q21</f>
        <v>55.90184</v>
      </c>
      <c r="T14" s="226">
        <f>CAPEX!R21</f>
        <v>0</v>
      </c>
      <c r="U14" s="226">
        <f>CAPEX!S21</f>
        <v>713.82500000000005</v>
      </c>
      <c r="V14" s="226">
        <f>CAPEX!T21</f>
        <v>0</v>
      </c>
      <c r="W14" s="226">
        <f>CAPEX!U21</f>
        <v>713.82500000000005</v>
      </c>
      <c r="X14" s="226">
        <f>CAPEX!V21</f>
        <v>0</v>
      </c>
      <c r="Y14" s="226">
        <f>CAPEX!W21</f>
        <v>0</v>
      </c>
      <c r="Z14" s="226">
        <f>CAPEX!X21</f>
        <v>55.90184</v>
      </c>
      <c r="AA14" s="226">
        <f>CAPEX!Y21</f>
        <v>0</v>
      </c>
      <c r="AB14" s="226">
        <f>CAPEX!Z21</f>
        <v>713.82500000000005</v>
      </c>
      <c r="AC14" s="226">
        <f>CAPEX!AA21</f>
        <v>0</v>
      </c>
      <c r="AD14" s="226">
        <f>CAPEX!AB21</f>
        <v>713.82500000000005</v>
      </c>
      <c r="AE14" s="226">
        <f>CAPEX!AC21</f>
        <v>0</v>
      </c>
      <c r="AF14" s="226">
        <f>CAPEX!AD21</f>
        <v>0</v>
      </c>
      <c r="AG14" s="226">
        <f>CAPEX!AE21</f>
        <v>55.90184</v>
      </c>
      <c r="AH14" s="226">
        <f>CAPEX!AF21</f>
        <v>0</v>
      </c>
      <c r="AI14" s="227"/>
      <c r="AJ14" s="152"/>
      <c r="AK14" s="152"/>
      <c r="AL14" s="152"/>
    </row>
    <row r="15" spans="1:39" ht="3" customHeight="1">
      <c r="A15" s="154"/>
      <c r="B15" s="229"/>
      <c r="C15" s="229"/>
      <c r="D15" s="229"/>
      <c r="E15" s="178"/>
      <c r="F15" s="179"/>
      <c r="G15" s="178"/>
      <c r="H15" s="178"/>
      <c r="I15" s="178"/>
      <c r="J15" s="178"/>
      <c r="K15" s="178"/>
      <c r="L15" s="178"/>
      <c r="M15" s="178"/>
      <c r="N15" s="178"/>
      <c r="O15" s="178"/>
      <c r="P15" s="178"/>
      <c r="Q15" s="178"/>
      <c r="R15" s="178"/>
      <c r="S15" s="178"/>
      <c r="T15" s="178"/>
      <c r="U15" s="178"/>
      <c r="V15" s="178"/>
      <c r="W15" s="178"/>
      <c r="X15" s="178"/>
      <c r="Y15" s="178"/>
      <c r="Z15" s="178"/>
      <c r="AA15" s="178"/>
      <c r="AB15" s="178"/>
      <c r="AC15" s="178"/>
      <c r="AD15" s="178"/>
      <c r="AE15" s="178"/>
      <c r="AF15" s="178"/>
      <c r="AG15" s="178"/>
      <c r="AH15" s="178"/>
      <c r="AI15" s="154"/>
      <c r="AJ15" s="152"/>
      <c r="AK15" s="152"/>
      <c r="AL15" s="152"/>
    </row>
    <row r="16" spans="1:39" ht="16.5" customHeight="1">
      <c r="A16" s="152"/>
      <c r="B16" s="453" t="s">
        <v>813</v>
      </c>
      <c r="C16" s="453"/>
      <c r="D16" s="453"/>
      <c r="E16" s="454">
        <f t="shared" ref="E16:AH16" si="3">SUM(E18:E21)</f>
        <v>1772.8062199999999</v>
      </c>
      <c r="F16" s="454">
        <f t="shared" si="3"/>
        <v>0</v>
      </c>
      <c r="G16" s="454">
        <f t="shared" si="3"/>
        <v>0</v>
      </c>
      <c r="H16" s="454">
        <f t="shared" si="3"/>
        <v>285.52999999999997</v>
      </c>
      <c r="I16" s="454">
        <f t="shared" si="3"/>
        <v>0</v>
      </c>
      <c r="J16" s="454">
        <f t="shared" si="3"/>
        <v>0</v>
      </c>
      <c r="K16" s="454">
        <f t="shared" si="3"/>
        <v>0</v>
      </c>
      <c r="L16" s="454">
        <f t="shared" si="3"/>
        <v>1772.8062199999999</v>
      </c>
      <c r="M16" s="454">
        <f t="shared" si="3"/>
        <v>0</v>
      </c>
      <c r="N16" s="454">
        <f t="shared" si="3"/>
        <v>0</v>
      </c>
      <c r="O16" s="454">
        <f t="shared" si="3"/>
        <v>285.52999999999997</v>
      </c>
      <c r="P16" s="454">
        <f t="shared" si="3"/>
        <v>0</v>
      </c>
      <c r="Q16" s="454">
        <f t="shared" si="3"/>
        <v>0</v>
      </c>
      <c r="R16" s="454">
        <f t="shared" si="3"/>
        <v>0</v>
      </c>
      <c r="S16" s="454">
        <f t="shared" si="3"/>
        <v>1772.8062199999999</v>
      </c>
      <c r="T16" s="454">
        <f t="shared" si="3"/>
        <v>0</v>
      </c>
      <c r="U16" s="454">
        <f t="shared" si="3"/>
        <v>0</v>
      </c>
      <c r="V16" s="454">
        <f t="shared" si="3"/>
        <v>285.52999999999997</v>
      </c>
      <c r="W16" s="454">
        <f t="shared" si="3"/>
        <v>0</v>
      </c>
      <c r="X16" s="454">
        <f t="shared" si="3"/>
        <v>0</v>
      </c>
      <c r="Y16" s="454">
        <f t="shared" si="3"/>
        <v>0</v>
      </c>
      <c r="Z16" s="454">
        <f t="shared" si="3"/>
        <v>1772.8062199999999</v>
      </c>
      <c r="AA16" s="454">
        <f t="shared" si="3"/>
        <v>0</v>
      </c>
      <c r="AB16" s="454">
        <f t="shared" si="3"/>
        <v>0</v>
      </c>
      <c r="AC16" s="454">
        <f t="shared" si="3"/>
        <v>285.52999999999997</v>
      </c>
      <c r="AD16" s="454">
        <f t="shared" si="3"/>
        <v>0</v>
      </c>
      <c r="AE16" s="454">
        <f t="shared" si="3"/>
        <v>0</v>
      </c>
      <c r="AF16" s="454">
        <f t="shared" si="3"/>
        <v>1772.8062199999999</v>
      </c>
      <c r="AG16" s="454">
        <f t="shared" si="3"/>
        <v>0</v>
      </c>
      <c r="AH16" s="454">
        <f t="shared" si="3"/>
        <v>0</v>
      </c>
      <c r="AI16" s="169"/>
      <c r="AJ16" s="152"/>
      <c r="AK16" s="152"/>
      <c r="AL16" s="152"/>
    </row>
    <row r="17" spans="1:38" ht="3" customHeight="1">
      <c r="A17" s="154"/>
      <c r="B17" s="223"/>
      <c r="C17" s="231"/>
      <c r="D17" s="231"/>
      <c r="E17" s="170"/>
      <c r="F17" s="170"/>
      <c r="G17" s="171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1"/>
      <c r="T17" s="171"/>
      <c r="U17" s="171"/>
      <c r="V17" s="171"/>
      <c r="W17" s="171"/>
      <c r="X17" s="171"/>
      <c r="Y17" s="171"/>
      <c r="Z17" s="171"/>
      <c r="AA17" s="171"/>
      <c r="AB17" s="171"/>
      <c r="AC17" s="171"/>
      <c r="AD17" s="171"/>
      <c r="AE17" s="171"/>
      <c r="AF17" s="171"/>
      <c r="AG17" s="171"/>
      <c r="AH17" s="171"/>
      <c r="AI17" s="224"/>
      <c r="AJ17" s="152"/>
      <c r="AK17" s="152"/>
      <c r="AL17" s="152"/>
    </row>
    <row r="18" spans="1:38" ht="16.5" customHeight="1" outlineLevel="1">
      <c r="A18" s="154"/>
      <c r="B18" s="225" t="s">
        <v>296</v>
      </c>
      <c r="C18" s="405" t="s">
        <v>296</v>
      </c>
      <c r="D18" s="405" t="s">
        <v>170</v>
      </c>
      <c r="E18" s="226">
        <v>0</v>
      </c>
      <c r="F18" s="226">
        <v>0</v>
      </c>
      <c r="G18" s="226">
        <v>0</v>
      </c>
      <c r="H18" s="226">
        <v>0</v>
      </c>
      <c r="I18" s="226">
        <v>0</v>
      </c>
      <c r="J18" s="226">
        <v>0</v>
      </c>
      <c r="K18" s="226">
        <v>0</v>
      </c>
      <c r="L18" s="226">
        <v>0</v>
      </c>
      <c r="M18" s="226">
        <v>0</v>
      </c>
      <c r="N18" s="226">
        <v>0</v>
      </c>
      <c r="O18" s="226">
        <v>0</v>
      </c>
      <c r="P18" s="226">
        <v>0</v>
      </c>
      <c r="Q18" s="226">
        <v>0</v>
      </c>
      <c r="R18" s="226">
        <v>0</v>
      </c>
      <c r="S18" s="226">
        <v>0</v>
      </c>
      <c r="T18" s="226">
        <v>0</v>
      </c>
      <c r="U18" s="226">
        <v>0</v>
      </c>
      <c r="V18" s="226">
        <v>0</v>
      </c>
      <c r="W18" s="226">
        <v>0</v>
      </c>
      <c r="X18" s="226">
        <v>0</v>
      </c>
      <c r="Y18" s="226">
        <v>0</v>
      </c>
      <c r="Z18" s="226">
        <v>0</v>
      </c>
      <c r="AA18" s="226">
        <v>0</v>
      </c>
      <c r="AB18" s="226">
        <v>0</v>
      </c>
      <c r="AC18" s="226">
        <v>0</v>
      </c>
      <c r="AD18" s="226">
        <v>0</v>
      </c>
      <c r="AE18" s="226">
        <v>0</v>
      </c>
      <c r="AF18" s="226">
        <v>0</v>
      </c>
      <c r="AG18" s="226">
        <v>0</v>
      </c>
      <c r="AH18" s="226">
        <v>0</v>
      </c>
      <c r="AI18" s="227"/>
      <c r="AJ18" s="152"/>
      <c r="AK18" s="152"/>
      <c r="AL18" s="152"/>
    </row>
    <row r="19" spans="1:38" ht="16.5" customHeight="1" outlineLevel="1">
      <c r="A19" s="154"/>
      <c r="B19" s="225" t="s">
        <v>297</v>
      </c>
      <c r="C19" s="405" t="s">
        <v>297</v>
      </c>
      <c r="D19" s="405" t="s">
        <v>170</v>
      </c>
      <c r="E19" s="226">
        <f>CAPEX!C32</f>
        <v>1761.4922199999999</v>
      </c>
      <c r="F19" s="226">
        <f>CAPEX!D32</f>
        <v>0</v>
      </c>
      <c r="G19" s="226">
        <f>CAPEX!E32</f>
        <v>0</v>
      </c>
      <c r="H19" s="226">
        <f>CAPEX!F32</f>
        <v>0</v>
      </c>
      <c r="I19" s="226">
        <f>CAPEX!G32</f>
        <v>0</v>
      </c>
      <c r="J19" s="226">
        <f>CAPEX!H32</f>
        <v>0</v>
      </c>
      <c r="K19" s="226">
        <f>CAPEX!I32</f>
        <v>0</v>
      </c>
      <c r="L19" s="226">
        <f>CAPEX!J32</f>
        <v>1761.4922199999999</v>
      </c>
      <c r="M19" s="226">
        <f>CAPEX!K32</f>
        <v>0</v>
      </c>
      <c r="N19" s="226">
        <f>CAPEX!L32</f>
        <v>0</v>
      </c>
      <c r="O19" s="226">
        <f>CAPEX!M32</f>
        <v>0</v>
      </c>
      <c r="P19" s="226">
        <f>CAPEX!N32</f>
        <v>0</v>
      </c>
      <c r="Q19" s="226">
        <f>CAPEX!O32</f>
        <v>0</v>
      </c>
      <c r="R19" s="226">
        <f>CAPEX!P32</f>
        <v>0</v>
      </c>
      <c r="S19" s="226">
        <f>CAPEX!Q32</f>
        <v>1761.4922199999999</v>
      </c>
      <c r="T19" s="226">
        <f>CAPEX!R32</f>
        <v>0</v>
      </c>
      <c r="U19" s="226">
        <f>CAPEX!S32</f>
        <v>0</v>
      </c>
      <c r="V19" s="226">
        <f>CAPEX!T32</f>
        <v>0</v>
      </c>
      <c r="W19" s="226">
        <f>CAPEX!U32</f>
        <v>0</v>
      </c>
      <c r="X19" s="226">
        <f>CAPEX!V32</f>
        <v>0</v>
      </c>
      <c r="Y19" s="226">
        <f>CAPEX!W32</f>
        <v>0</v>
      </c>
      <c r="Z19" s="226">
        <f>CAPEX!X32</f>
        <v>1761.4922199999999</v>
      </c>
      <c r="AA19" s="226">
        <f>CAPEX!Y32</f>
        <v>0</v>
      </c>
      <c r="AB19" s="226">
        <f>CAPEX!Z32</f>
        <v>0</v>
      </c>
      <c r="AC19" s="226">
        <f>CAPEX!AA32</f>
        <v>0</v>
      </c>
      <c r="AD19" s="226">
        <f>CAPEX!AB32</f>
        <v>0</v>
      </c>
      <c r="AE19" s="226">
        <f>CAPEX!AC32</f>
        <v>0</v>
      </c>
      <c r="AF19" s="226">
        <f>CAPEX!AD32</f>
        <v>1761.4922199999999</v>
      </c>
      <c r="AG19" s="226">
        <f>CAPEX!AE32</f>
        <v>0</v>
      </c>
      <c r="AH19" s="226">
        <f>CAPEX!AF32</f>
        <v>0</v>
      </c>
      <c r="AI19" s="227"/>
      <c r="AJ19" s="152"/>
      <c r="AK19" s="152"/>
      <c r="AL19" s="152"/>
    </row>
    <row r="20" spans="1:38" ht="16.5" customHeight="1" outlineLevel="1">
      <c r="A20" s="154"/>
      <c r="B20" s="225" t="s">
        <v>298</v>
      </c>
      <c r="C20" s="405" t="s">
        <v>298</v>
      </c>
      <c r="D20" s="405" t="s">
        <v>170</v>
      </c>
      <c r="E20" s="226">
        <v>0</v>
      </c>
      <c r="F20" s="226">
        <v>0</v>
      </c>
      <c r="G20" s="226">
        <v>0</v>
      </c>
      <c r="H20" s="226">
        <v>0</v>
      </c>
      <c r="I20" s="226">
        <v>0</v>
      </c>
      <c r="J20" s="226">
        <v>0</v>
      </c>
      <c r="K20" s="226">
        <v>0</v>
      </c>
      <c r="L20" s="226">
        <v>0</v>
      </c>
      <c r="M20" s="226">
        <v>0</v>
      </c>
      <c r="N20" s="226">
        <v>0</v>
      </c>
      <c r="O20" s="226">
        <v>0</v>
      </c>
      <c r="P20" s="226">
        <v>0</v>
      </c>
      <c r="Q20" s="226">
        <v>0</v>
      </c>
      <c r="R20" s="226">
        <v>0</v>
      </c>
      <c r="S20" s="226">
        <v>0</v>
      </c>
      <c r="T20" s="226">
        <v>0</v>
      </c>
      <c r="U20" s="226">
        <v>0</v>
      </c>
      <c r="V20" s="226">
        <v>0</v>
      </c>
      <c r="W20" s="226">
        <v>0</v>
      </c>
      <c r="X20" s="226">
        <v>0</v>
      </c>
      <c r="Y20" s="226">
        <v>0</v>
      </c>
      <c r="Z20" s="226">
        <v>0</v>
      </c>
      <c r="AA20" s="226">
        <v>0</v>
      </c>
      <c r="AB20" s="226">
        <v>0</v>
      </c>
      <c r="AC20" s="226">
        <v>0</v>
      </c>
      <c r="AD20" s="226">
        <v>0</v>
      </c>
      <c r="AE20" s="226">
        <v>0</v>
      </c>
      <c r="AF20" s="226">
        <v>0</v>
      </c>
      <c r="AG20" s="226">
        <v>0</v>
      </c>
      <c r="AH20" s="226">
        <v>0</v>
      </c>
      <c r="AI20" s="227"/>
      <c r="AJ20" s="152"/>
      <c r="AK20" s="152"/>
      <c r="AL20" s="152"/>
    </row>
    <row r="21" spans="1:38" ht="16.5" customHeight="1" outlineLevel="1">
      <c r="A21" s="154"/>
      <c r="B21" s="225" t="s">
        <v>299</v>
      </c>
      <c r="C21" s="405" t="s">
        <v>299</v>
      </c>
      <c r="D21" s="405" t="s">
        <v>170</v>
      </c>
      <c r="E21" s="226">
        <f>CAPEX!C36</f>
        <v>11.314</v>
      </c>
      <c r="F21" s="226">
        <f>CAPEX!D36</f>
        <v>0</v>
      </c>
      <c r="G21" s="226">
        <f>CAPEX!E36</f>
        <v>0</v>
      </c>
      <c r="H21" s="226">
        <f>CAPEX!F36</f>
        <v>285.52999999999997</v>
      </c>
      <c r="I21" s="226">
        <f>CAPEX!G36</f>
        <v>0</v>
      </c>
      <c r="J21" s="226">
        <f>CAPEX!H36</f>
        <v>0</v>
      </c>
      <c r="K21" s="226">
        <f>CAPEX!I36</f>
        <v>0</v>
      </c>
      <c r="L21" s="226">
        <f>CAPEX!J36</f>
        <v>11.314</v>
      </c>
      <c r="M21" s="226">
        <f>CAPEX!K36</f>
        <v>0</v>
      </c>
      <c r="N21" s="226">
        <f>CAPEX!L36</f>
        <v>0</v>
      </c>
      <c r="O21" s="226">
        <f>CAPEX!M36</f>
        <v>285.52999999999997</v>
      </c>
      <c r="P21" s="226">
        <f>CAPEX!N36</f>
        <v>0</v>
      </c>
      <c r="Q21" s="226">
        <f>CAPEX!O36</f>
        <v>0</v>
      </c>
      <c r="R21" s="226">
        <f>CAPEX!P36</f>
        <v>0</v>
      </c>
      <c r="S21" s="226">
        <f>CAPEX!Q36</f>
        <v>11.314</v>
      </c>
      <c r="T21" s="226">
        <f>CAPEX!R36</f>
        <v>0</v>
      </c>
      <c r="U21" s="226">
        <f>CAPEX!S36</f>
        <v>0</v>
      </c>
      <c r="V21" s="226">
        <f>CAPEX!T36</f>
        <v>285.52999999999997</v>
      </c>
      <c r="W21" s="226">
        <f>CAPEX!U36</f>
        <v>0</v>
      </c>
      <c r="X21" s="226">
        <f>CAPEX!V36</f>
        <v>0</v>
      </c>
      <c r="Y21" s="226">
        <f>CAPEX!W36</f>
        <v>0</v>
      </c>
      <c r="Z21" s="226">
        <f>CAPEX!X36</f>
        <v>11.314</v>
      </c>
      <c r="AA21" s="226">
        <f>CAPEX!Y36</f>
        <v>0</v>
      </c>
      <c r="AB21" s="226">
        <f>CAPEX!Z36</f>
        <v>0</v>
      </c>
      <c r="AC21" s="226">
        <f>CAPEX!AA36</f>
        <v>285.52999999999997</v>
      </c>
      <c r="AD21" s="226">
        <f>CAPEX!AB36</f>
        <v>0</v>
      </c>
      <c r="AE21" s="226">
        <f>CAPEX!AC36</f>
        <v>0</v>
      </c>
      <c r="AF21" s="226">
        <f>CAPEX!AD36</f>
        <v>11.314</v>
      </c>
      <c r="AG21" s="226">
        <f>CAPEX!AE36</f>
        <v>0</v>
      </c>
      <c r="AH21" s="226">
        <f>CAPEX!AF36</f>
        <v>0</v>
      </c>
      <c r="AI21" s="227"/>
      <c r="AJ21" s="152"/>
      <c r="AK21" s="152"/>
      <c r="AL21" s="152"/>
    </row>
    <row r="22" spans="1:38" s="162" customFormat="1" ht="3" customHeight="1">
      <c r="A22" s="154"/>
      <c r="B22" s="150"/>
      <c r="C22" s="150"/>
      <c r="D22" s="150"/>
      <c r="E22" s="172"/>
      <c r="F22" s="176"/>
      <c r="G22" s="176"/>
      <c r="H22" s="176"/>
      <c r="I22" s="176"/>
      <c r="J22" s="176"/>
      <c r="K22" s="176"/>
      <c r="L22" s="176"/>
      <c r="M22" s="176"/>
      <c r="N22" s="176"/>
      <c r="O22" s="176"/>
      <c r="P22" s="176"/>
      <c r="Q22" s="176"/>
      <c r="R22" s="176"/>
      <c r="S22" s="176"/>
      <c r="T22" s="176"/>
      <c r="U22" s="176"/>
      <c r="V22" s="176"/>
      <c r="W22" s="176"/>
      <c r="X22" s="176"/>
      <c r="Y22" s="176"/>
      <c r="Z22" s="176"/>
      <c r="AA22" s="176"/>
      <c r="AB22" s="176"/>
      <c r="AC22" s="176"/>
      <c r="AD22" s="176"/>
      <c r="AE22" s="176"/>
      <c r="AF22" s="176"/>
      <c r="AG22" s="176"/>
      <c r="AH22" s="176"/>
      <c r="AI22" s="173"/>
      <c r="AJ22" s="154"/>
      <c r="AK22" s="154"/>
      <c r="AL22" s="154"/>
    </row>
    <row r="23" spans="1:38" s="162" customFormat="1" ht="3" customHeight="1">
      <c r="A23" s="154"/>
      <c r="B23" s="150"/>
      <c r="C23" s="150"/>
      <c r="D23" s="150"/>
      <c r="E23" s="172"/>
      <c r="F23" s="176"/>
      <c r="G23" s="176"/>
      <c r="H23" s="176"/>
      <c r="I23" s="176"/>
      <c r="J23" s="176"/>
      <c r="K23" s="176"/>
      <c r="L23" s="176"/>
      <c r="M23" s="176"/>
      <c r="N23" s="176"/>
      <c r="O23" s="176"/>
      <c r="P23" s="176"/>
      <c r="Q23" s="176"/>
      <c r="R23" s="176"/>
      <c r="S23" s="176"/>
      <c r="T23" s="176"/>
      <c r="U23" s="176"/>
      <c r="V23" s="176"/>
      <c r="W23" s="176"/>
      <c r="X23" s="176"/>
      <c r="Y23" s="176"/>
      <c r="Z23" s="176"/>
      <c r="AA23" s="176"/>
      <c r="AB23" s="176"/>
      <c r="AC23" s="176"/>
      <c r="AD23" s="176"/>
      <c r="AE23" s="176"/>
      <c r="AF23" s="176"/>
      <c r="AG23" s="176"/>
      <c r="AH23" s="176"/>
      <c r="AI23" s="173"/>
      <c r="AJ23" s="154"/>
      <c r="AK23" s="154"/>
      <c r="AL23" s="154"/>
    </row>
    <row r="24" spans="1:38" ht="16.5" customHeight="1">
      <c r="A24" s="152"/>
      <c r="B24" s="453" t="s">
        <v>816</v>
      </c>
      <c r="C24" s="453"/>
      <c r="D24" s="453"/>
      <c r="E24" s="454">
        <f>SUM(E26:E29)</f>
        <v>0</v>
      </c>
      <c r="F24" s="454">
        <f t="shared" ref="F24:AH24" si="4">SUM(F26:F29)</f>
        <v>0</v>
      </c>
      <c r="G24" s="454">
        <f t="shared" si="4"/>
        <v>651.48476000000005</v>
      </c>
      <c r="H24" s="454">
        <f t="shared" si="4"/>
        <v>0</v>
      </c>
      <c r="I24" s="454">
        <f t="shared" si="4"/>
        <v>0</v>
      </c>
      <c r="J24" s="454">
        <f t="shared" si="4"/>
        <v>0</v>
      </c>
      <c r="K24" s="454">
        <f t="shared" si="4"/>
        <v>0</v>
      </c>
      <c r="L24" s="454">
        <f t="shared" si="4"/>
        <v>0</v>
      </c>
      <c r="M24" s="454">
        <f t="shared" si="4"/>
        <v>0</v>
      </c>
      <c r="N24" s="454">
        <f t="shared" si="4"/>
        <v>0</v>
      </c>
      <c r="O24" s="454">
        <f t="shared" si="4"/>
        <v>0</v>
      </c>
      <c r="P24" s="454">
        <f t="shared" si="4"/>
        <v>0</v>
      </c>
      <c r="Q24" s="454">
        <f t="shared" si="4"/>
        <v>651.48476000000005</v>
      </c>
      <c r="R24" s="454">
        <f t="shared" si="4"/>
        <v>0</v>
      </c>
      <c r="S24" s="454">
        <f t="shared" si="4"/>
        <v>0</v>
      </c>
      <c r="T24" s="454">
        <f t="shared" si="4"/>
        <v>0</v>
      </c>
      <c r="U24" s="454">
        <f t="shared" si="4"/>
        <v>0</v>
      </c>
      <c r="V24" s="454">
        <f t="shared" si="4"/>
        <v>0</v>
      </c>
      <c r="W24" s="454">
        <f t="shared" si="4"/>
        <v>0</v>
      </c>
      <c r="X24" s="454">
        <f t="shared" si="4"/>
        <v>0</v>
      </c>
      <c r="Y24" s="454">
        <f t="shared" si="4"/>
        <v>0</v>
      </c>
      <c r="Z24" s="454">
        <f t="shared" si="4"/>
        <v>0</v>
      </c>
      <c r="AA24" s="454">
        <f t="shared" si="4"/>
        <v>651.48476000000005</v>
      </c>
      <c r="AB24" s="454">
        <f t="shared" si="4"/>
        <v>0</v>
      </c>
      <c r="AC24" s="454">
        <f t="shared" si="4"/>
        <v>0</v>
      </c>
      <c r="AD24" s="454">
        <f t="shared" si="4"/>
        <v>0</v>
      </c>
      <c r="AE24" s="454">
        <f t="shared" si="4"/>
        <v>0</v>
      </c>
      <c r="AF24" s="454">
        <f t="shared" si="4"/>
        <v>0</v>
      </c>
      <c r="AG24" s="454">
        <f t="shared" si="4"/>
        <v>0</v>
      </c>
      <c r="AH24" s="454">
        <f t="shared" si="4"/>
        <v>0</v>
      </c>
      <c r="AI24" s="169"/>
      <c r="AJ24" s="152"/>
      <c r="AK24" s="152"/>
      <c r="AL24" s="152"/>
    </row>
    <row r="25" spans="1:38" ht="3" customHeight="1">
      <c r="A25" s="154"/>
      <c r="B25" s="223"/>
      <c r="C25" s="231"/>
      <c r="D25" s="231"/>
      <c r="E25" s="170"/>
      <c r="F25" s="170"/>
      <c r="G25" s="171"/>
      <c r="H25" s="171"/>
      <c r="I25" s="171"/>
      <c r="J25" s="171"/>
      <c r="K25" s="171"/>
      <c r="L25" s="171"/>
      <c r="M25" s="171"/>
      <c r="N25" s="171"/>
      <c r="O25" s="171"/>
      <c r="P25" s="171"/>
      <c r="Q25" s="171"/>
      <c r="R25" s="171"/>
      <c r="S25" s="171"/>
      <c r="T25" s="171"/>
      <c r="U25" s="171"/>
      <c r="V25" s="171"/>
      <c r="W25" s="171"/>
      <c r="X25" s="171"/>
      <c r="Y25" s="171"/>
      <c r="Z25" s="171"/>
      <c r="AA25" s="171"/>
      <c r="AB25" s="171"/>
      <c r="AC25" s="171"/>
      <c r="AD25" s="171"/>
      <c r="AE25" s="171"/>
      <c r="AF25" s="171"/>
      <c r="AG25" s="171"/>
      <c r="AH25" s="171"/>
      <c r="AI25" s="224"/>
      <c r="AJ25" s="152"/>
      <c r="AK25" s="152"/>
      <c r="AL25" s="152"/>
    </row>
    <row r="26" spans="1:38" ht="16.5" customHeight="1" outlineLevel="1">
      <c r="A26" s="154"/>
      <c r="B26" s="225" t="s">
        <v>296</v>
      </c>
      <c r="C26" s="405" t="s">
        <v>296</v>
      </c>
      <c r="D26" s="405" t="s">
        <v>170</v>
      </c>
      <c r="E26" s="226">
        <v>0</v>
      </c>
      <c r="F26" s="226">
        <v>0</v>
      </c>
      <c r="G26" s="226">
        <v>0</v>
      </c>
      <c r="H26" s="226">
        <v>0</v>
      </c>
      <c r="I26" s="226">
        <v>0</v>
      </c>
      <c r="J26" s="226">
        <v>0</v>
      </c>
      <c r="K26" s="226">
        <v>0</v>
      </c>
      <c r="L26" s="226">
        <v>0</v>
      </c>
      <c r="M26" s="226">
        <v>0</v>
      </c>
      <c r="N26" s="226">
        <v>0</v>
      </c>
      <c r="O26" s="226">
        <v>0</v>
      </c>
      <c r="P26" s="226">
        <v>0</v>
      </c>
      <c r="Q26" s="226">
        <v>0</v>
      </c>
      <c r="R26" s="226">
        <v>0</v>
      </c>
      <c r="S26" s="226">
        <v>0</v>
      </c>
      <c r="T26" s="226">
        <v>0</v>
      </c>
      <c r="U26" s="226">
        <v>0</v>
      </c>
      <c r="V26" s="226">
        <v>0</v>
      </c>
      <c r="W26" s="226">
        <v>0</v>
      </c>
      <c r="X26" s="226">
        <v>0</v>
      </c>
      <c r="Y26" s="226">
        <v>0</v>
      </c>
      <c r="Z26" s="226">
        <v>0</v>
      </c>
      <c r="AA26" s="226">
        <v>0</v>
      </c>
      <c r="AB26" s="226">
        <v>0</v>
      </c>
      <c r="AC26" s="226">
        <v>0</v>
      </c>
      <c r="AD26" s="226">
        <v>0</v>
      </c>
      <c r="AE26" s="226">
        <v>0</v>
      </c>
      <c r="AF26" s="226">
        <v>0</v>
      </c>
      <c r="AG26" s="226">
        <v>0</v>
      </c>
      <c r="AH26" s="226">
        <v>0</v>
      </c>
      <c r="AI26" s="227"/>
      <c r="AJ26" s="152"/>
      <c r="AK26" s="152"/>
      <c r="AL26" s="152"/>
    </row>
    <row r="27" spans="1:38" ht="17.100000000000001" customHeight="1" outlineLevel="1">
      <c r="A27" s="154"/>
      <c r="B27" s="225" t="s">
        <v>297</v>
      </c>
      <c r="C27" s="405" t="s">
        <v>297</v>
      </c>
      <c r="D27" s="405" t="s">
        <v>170</v>
      </c>
      <c r="E27" s="226">
        <f>CAPEX!C45</f>
        <v>0</v>
      </c>
      <c r="F27" s="226">
        <f>CAPEX!D45</f>
        <v>0</v>
      </c>
      <c r="G27" s="226">
        <f>CAPEX!E45</f>
        <v>648.71976000000006</v>
      </c>
      <c r="H27" s="226">
        <f>CAPEX!F45</f>
        <v>0</v>
      </c>
      <c r="I27" s="226">
        <f>CAPEX!G45</f>
        <v>0</v>
      </c>
      <c r="J27" s="226">
        <f>CAPEX!H45</f>
        <v>0</v>
      </c>
      <c r="K27" s="226">
        <f>CAPEX!I45</f>
        <v>0</v>
      </c>
      <c r="L27" s="226">
        <f>CAPEX!J45</f>
        <v>0</v>
      </c>
      <c r="M27" s="226">
        <f>CAPEX!K45</f>
        <v>0</v>
      </c>
      <c r="N27" s="226">
        <f>CAPEX!L45</f>
        <v>0</v>
      </c>
      <c r="O27" s="226">
        <f>CAPEX!M45</f>
        <v>0</v>
      </c>
      <c r="P27" s="226">
        <f>CAPEX!N45</f>
        <v>0</v>
      </c>
      <c r="Q27" s="226">
        <f>CAPEX!O45</f>
        <v>648.71976000000006</v>
      </c>
      <c r="R27" s="226">
        <f>CAPEX!P45</f>
        <v>0</v>
      </c>
      <c r="S27" s="226">
        <f>CAPEX!Q45</f>
        <v>0</v>
      </c>
      <c r="T27" s="226">
        <f>CAPEX!R45</f>
        <v>0</v>
      </c>
      <c r="U27" s="226">
        <f>CAPEX!S45</f>
        <v>0</v>
      </c>
      <c r="V27" s="226">
        <f>CAPEX!T45</f>
        <v>0</v>
      </c>
      <c r="W27" s="226">
        <f>CAPEX!U45</f>
        <v>0</v>
      </c>
      <c r="X27" s="226">
        <f>CAPEX!V45</f>
        <v>0</v>
      </c>
      <c r="Y27" s="226">
        <f>CAPEX!W45</f>
        <v>0</v>
      </c>
      <c r="Z27" s="226">
        <f>CAPEX!X45</f>
        <v>0</v>
      </c>
      <c r="AA27" s="226">
        <f>CAPEX!Y45</f>
        <v>648.71976000000006</v>
      </c>
      <c r="AB27" s="226">
        <f>CAPEX!Z45</f>
        <v>0</v>
      </c>
      <c r="AC27" s="226">
        <f>CAPEX!AA45</f>
        <v>0</v>
      </c>
      <c r="AD27" s="226">
        <f>CAPEX!AB45</f>
        <v>0</v>
      </c>
      <c r="AE27" s="226">
        <f>CAPEX!AC45</f>
        <v>0</v>
      </c>
      <c r="AF27" s="226">
        <f>CAPEX!AD45</f>
        <v>0</v>
      </c>
      <c r="AG27" s="226">
        <f>CAPEX!AE45</f>
        <v>0</v>
      </c>
      <c r="AH27" s="226">
        <f>CAPEX!AF45</f>
        <v>0</v>
      </c>
      <c r="AI27" s="227"/>
      <c r="AJ27" s="152"/>
      <c r="AK27" s="152"/>
      <c r="AL27" s="152"/>
    </row>
    <row r="28" spans="1:38" ht="16.5" customHeight="1" outlineLevel="1">
      <c r="A28" s="154"/>
      <c r="B28" s="225" t="s">
        <v>298</v>
      </c>
      <c r="C28" s="405" t="s">
        <v>298</v>
      </c>
      <c r="D28" s="405" t="s">
        <v>170</v>
      </c>
      <c r="E28" s="226">
        <v>0</v>
      </c>
      <c r="F28" s="226">
        <v>0</v>
      </c>
      <c r="G28" s="226">
        <v>0</v>
      </c>
      <c r="H28" s="226">
        <v>0</v>
      </c>
      <c r="I28" s="226">
        <v>0</v>
      </c>
      <c r="J28" s="226">
        <v>0</v>
      </c>
      <c r="K28" s="226">
        <v>0</v>
      </c>
      <c r="L28" s="226">
        <v>0</v>
      </c>
      <c r="M28" s="226">
        <v>0</v>
      </c>
      <c r="N28" s="226">
        <v>0</v>
      </c>
      <c r="O28" s="226">
        <v>0</v>
      </c>
      <c r="P28" s="226">
        <v>0</v>
      </c>
      <c r="Q28" s="226">
        <v>0</v>
      </c>
      <c r="R28" s="226">
        <v>0</v>
      </c>
      <c r="S28" s="226">
        <v>0</v>
      </c>
      <c r="T28" s="226">
        <v>0</v>
      </c>
      <c r="U28" s="226">
        <v>0</v>
      </c>
      <c r="V28" s="226">
        <v>0</v>
      </c>
      <c r="W28" s="226">
        <v>0</v>
      </c>
      <c r="X28" s="226">
        <v>0</v>
      </c>
      <c r="Y28" s="226">
        <v>0</v>
      </c>
      <c r="Z28" s="226">
        <v>0</v>
      </c>
      <c r="AA28" s="226">
        <v>0</v>
      </c>
      <c r="AB28" s="226">
        <v>0</v>
      </c>
      <c r="AC28" s="226">
        <v>0</v>
      </c>
      <c r="AD28" s="226">
        <v>0</v>
      </c>
      <c r="AE28" s="226">
        <v>0</v>
      </c>
      <c r="AF28" s="226">
        <v>0</v>
      </c>
      <c r="AG28" s="226">
        <v>0</v>
      </c>
      <c r="AH28" s="226">
        <v>0</v>
      </c>
      <c r="AI28" s="227"/>
      <c r="AJ28" s="152"/>
      <c r="AK28" s="152"/>
      <c r="AL28" s="152"/>
    </row>
    <row r="29" spans="1:38" ht="16.5" customHeight="1" outlineLevel="1">
      <c r="A29" s="154"/>
      <c r="B29" s="225" t="s">
        <v>299</v>
      </c>
      <c r="C29" s="405" t="s">
        <v>298</v>
      </c>
      <c r="D29" s="405" t="s">
        <v>170</v>
      </c>
      <c r="E29" s="226">
        <f>CAPEX!C49</f>
        <v>0</v>
      </c>
      <c r="F29" s="226">
        <f>CAPEX!D49</f>
        <v>0</v>
      </c>
      <c r="G29" s="226">
        <f>CAPEX!E49</f>
        <v>2.7650000000000001</v>
      </c>
      <c r="H29" s="226">
        <f>CAPEX!F49</f>
        <v>0</v>
      </c>
      <c r="I29" s="226">
        <f>CAPEX!G49</f>
        <v>0</v>
      </c>
      <c r="J29" s="226">
        <f>CAPEX!H49</f>
        <v>0</v>
      </c>
      <c r="K29" s="226">
        <f>CAPEX!I49</f>
        <v>0</v>
      </c>
      <c r="L29" s="226">
        <f>CAPEX!J49</f>
        <v>0</v>
      </c>
      <c r="M29" s="226">
        <f>CAPEX!K49</f>
        <v>0</v>
      </c>
      <c r="N29" s="226">
        <f>CAPEX!L49</f>
        <v>0</v>
      </c>
      <c r="O29" s="226">
        <f>CAPEX!M49</f>
        <v>0</v>
      </c>
      <c r="P29" s="226">
        <f>CAPEX!N49</f>
        <v>0</v>
      </c>
      <c r="Q29" s="226">
        <f>CAPEX!O49</f>
        <v>2.7650000000000001</v>
      </c>
      <c r="R29" s="226">
        <f>CAPEX!P49</f>
        <v>0</v>
      </c>
      <c r="S29" s="226">
        <f>CAPEX!Q49</f>
        <v>0</v>
      </c>
      <c r="T29" s="226">
        <f>CAPEX!R49</f>
        <v>0</v>
      </c>
      <c r="U29" s="226">
        <f>CAPEX!S49</f>
        <v>0</v>
      </c>
      <c r="V29" s="226">
        <f>CAPEX!T49</f>
        <v>0</v>
      </c>
      <c r="W29" s="226">
        <f>CAPEX!U49</f>
        <v>0</v>
      </c>
      <c r="X29" s="226">
        <f>CAPEX!V49</f>
        <v>0</v>
      </c>
      <c r="Y29" s="226">
        <f>CAPEX!W49</f>
        <v>0</v>
      </c>
      <c r="Z29" s="226">
        <f>CAPEX!X49</f>
        <v>0</v>
      </c>
      <c r="AA29" s="226">
        <f>CAPEX!Y49</f>
        <v>2.7650000000000001</v>
      </c>
      <c r="AB29" s="226">
        <f>CAPEX!Z49</f>
        <v>0</v>
      </c>
      <c r="AC29" s="226">
        <f>CAPEX!AA49</f>
        <v>0</v>
      </c>
      <c r="AD29" s="226">
        <f>CAPEX!AB49</f>
        <v>0</v>
      </c>
      <c r="AE29" s="226">
        <f>CAPEX!AC49</f>
        <v>0</v>
      </c>
      <c r="AF29" s="226">
        <f>CAPEX!AD49</f>
        <v>0</v>
      </c>
      <c r="AG29" s="226">
        <f>CAPEX!AE49</f>
        <v>0</v>
      </c>
      <c r="AH29" s="226">
        <f>CAPEX!AF49</f>
        <v>0</v>
      </c>
      <c r="AI29" s="227"/>
      <c r="AJ29" s="152"/>
      <c r="AK29" s="152"/>
      <c r="AL29" s="152"/>
    </row>
    <row r="30" spans="1:38" s="162" customFormat="1" ht="3" customHeight="1">
      <c r="A30" s="154"/>
      <c r="B30" s="150"/>
      <c r="C30" s="150"/>
      <c r="D30" s="150"/>
      <c r="E30" s="172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77"/>
      <c r="AH30" s="177"/>
      <c r="AI30" s="173"/>
      <c r="AJ30" s="154"/>
      <c r="AK30" s="154"/>
      <c r="AL30" s="154"/>
    </row>
    <row r="31" spans="1:38" ht="16.5" customHeight="1">
      <c r="A31" s="152"/>
      <c r="B31" s="453" t="s">
        <v>819</v>
      </c>
      <c r="C31" s="453"/>
      <c r="D31" s="453"/>
      <c r="E31" s="454">
        <f t="shared" ref="E31:AH31" si="5">SUM(E33:E35)</f>
        <v>1904.7016999999998</v>
      </c>
      <c r="F31" s="454">
        <f t="shared" si="5"/>
        <v>0</v>
      </c>
      <c r="G31" s="454">
        <f t="shared" si="5"/>
        <v>0</v>
      </c>
      <c r="H31" s="454">
        <f t="shared" si="5"/>
        <v>0</v>
      </c>
      <c r="I31" s="454">
        <f t="shared" si="5"/>
        <v>0</v>
      </c>
      <c r="J31" s="454">
        <f t="shared" si="5"/>
        <v>0</v>
      </c>
      <c r="K31" s="454">
        <f t="shared" si="5"/>
        <v>0</v>
      </c>
      <c r="L31" s="454">
        <f t="shared" si="5"/>
        <v>1904.7016999999998</v>
      </c>
      <c r="M31" s="454">
        <f t="shared" si="5"/>
        <v>0</v>
      </c>
      <c r="N31" s="454">
        <f t="shared" si="5"/>
        <v>0</v>
      </c>
      <c r="O31" s="454">
        <f t="shared" si="5"/>
        <v>0</v>
      </c>
      <c r="P31" s="454">
        <f t="shared" si="5"/>
        <v>0</v>
      </c>
      <c r="Q31" s="454">
        <f t="shared" si="5"/>
        <v>0</v>
      </c>
      <c r="R31" s="454">
        <f t="shared" si="5"/>
        <v>0</v>
      </c>
      <c r="S31" s="454">
        <f t="shared" si="5"/>
        <v>1904.7016999999998</v>
      </c>
      <c r="T31" s="454">
        <f t="shared" si="5"/>
        <v>0</v>
      </c>
      <c r="U31" s="454">
        <f t="shared" si="5"/>
        <v>0</v>
      </c>
      <c r="V31" s="454">
        <f t="shared" si="5"/>
        <v>0</v>
      </c>
      <c r="W31" s="454">
        <f t="shared" si="5"/>
        <v>0</v>
      </c>
      <c r="X31" s="454">
        <f t="shared" si="5"/>
        <v>0</v>
      </c>
      <c r="Y31" s="454">
        <f t="shared" si="5"/>
        <v>0</v>
      </c>
      <c r="Z31" s="454">
        <f t="shared" si="5"/>
        <v>1904.7016999999998</v>
      </c>
      <c r="AA31" s="454">
        <f t="shared" si="5"/>
        <v>0</v>
      </c>
      <c r="AB31" s="454">
        <f t="shared" si="5"/>
        <v>0</v>
      </c>
      <c r="AC31" s="454">
        <f t="shared" si="5"/>
        <v>0</v>
      </c>
      <c r="AD31" s="454">
        <f t="shared" si="5"/>
        <v>0</v>
      </c>
      <c r="AE31" s="454">
        <f t="shared" si="5"/>
        <v>0</v>
      </c>
      <c r="AF31" s="454">
        <f t="shared" si="5"/>
        <v>0</v>
      </c>
      <c r="AG31" s="454">
        <f t="shared" si="5"/>
        <v>1904.7016999999998</v>
      </c>
      <c r="AH31" s="454">
        <f t="shared" si="5"/>
        <v>0</v>
      </c>
      <c r="AI31" s="169"/>
      <c r="AJ31" s="152"/>
      <c r="AK31" s="152"/>
      <c r="AL31" s="152"/>
    </row>
    <row r="32" spans="1:38" ht="3" customHeight="1">
      <c r="A32" s="154"/>
      <c r="B32" s="223"/>
      <c r="C32" s="231"/>
      <c r="D32" s="231"/>
      <c r="E32" s="170"/>
      <c r="F32" s="170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1"/>
      <c r="T32" s="171"/>
      <c r="U32" s="171"/>
      <c r="V32" s="171"/>
      <c r="W32" s="171"/>
      <c r="X32" s="171"/>
      <c r="Y32" s="171"/>
      <c r="Z32" s="171"/>
      <c r="AA32" s="171"/>
      <c r="AB32" s="171"/>
      <c r="AC32" s="171"/>
      <c r="AD32" s="171"/>
      <c r="AE32" s="171"/>
      <c r="AF32" s="171"/>
      <c r="AG32" s="171"/>
      <c r="AH32" s="171"/>
      <c r="AI32" s="224"/>
      <c r="AJ32" s="152"/>
      <c r="AK32" s="152"/>
      <c r="AL32" s="152"/>
    </row>
    <row r="33" spans="1:38" ht="16.5" customHeight="1" outlineLevel="1">
      <c r="A33" s="154"/>
      <c r="B33" s="225" t="s">
        <v>296</v>
      </c>
      <c r="C33" s="405" t="s">
        <v>296</v>
      </c>
      <c r="D33" s="405" t="s">
        <v>170</v>
      </c>
      <c r="E33" s="226">
        <v>0</v>
      </c>
      <c r="F33" s="226">
        <v>0</v>
      </c>
      <c r="G33" s="226">
        <v>0</v>
      </c>
      <c r="H33" s="226">
        <v>0</v>
      </c>
      <c r="I33" s="226">
        <v>0</v>
      </c>
      <c r="J33" s="226">
        <v>0</v>
      </c>
      <c r="K33" s="226">
        <v>0</v>
      </c>
      <c r="L33" s="226">
        <v>0</v>
      </c>
      <c r="M33" s="226">
        <v>0</v>
      </c>
      <c r="N33" s="226">
        <v>0</v>
      </c>
      <c r="O33" s="226">
        <v>0</v>
      </c>
      <c r="P33" s="226">
        <v>0</v>
      </c>
      <c r="Q33" s="226">
        <v>0</v>
      </c>
      <c r="R33" s="226">
        <v>0</v>
      </c>
      <c r="S33" s="226">
        <v>0</v>
      </c>
      <c r="T33" s="226">
        <v>0</v>
      </c>
      <c r="U33" s="226">
        <v>0</v>
      </c>
      <c r="V33" s="226">
        <v>0</v>
      </c>
      <c r="W33" s="226">
        <v>0</v>
      </c>
      <c r="X33" s="226">
        <v>0</v>
      </c>
      <c r="Y33" s="226">
        <v>0</v>
      </c>
      <c r="Z33" s="226">
        <v>0</v>
      </c>
      <c r="AA33" s="226">
        <v>0</v>
      </c>
      <c r="AB33" s="226">
        <v>0</v>
      </c>
      <c r="AC33" s="226">
        <v>0</v>
      </c>
      <c r="AD33" s="226">
        <v>0</v>
      </c>
      <c r="AE33" s="226">
        <v>0</v>
      </c>
      <c r="AF33" s="226">
        <v>0</v>
      </c>
      <c r="AG33" s="226">
        <v>0</v>
      </c>
      <c r="AH33" s="226">
        <v>0</v>
      </c>
      <c r="AI33" s="227"/>
      <c r="AJ33" s="152"/>
      <c r="AK33" s="152"/>
      <c r="AL33" s="152"/>
    </row>
    <row r="34" spans="1:38" ht="16.5" customHeight="1" outlineLevel="1">
      <c r="A34" s="154"/>
      <c r="B34" s="225" t="s">
        <v>297</v>
      </c>
      <c r="C34" s="405" t="s">
        <v>297</v>
      </c>
      <c r="D34" s="405" t="s">
        <v>170</v>
      </c>
      <c r="E34" s="226">
        <f>CAPEX!C53</f>
        <v>1904.7016999999998</v>
      </c>
      <c r="F34" s="226">
        <f>CAPEX!D53</f>
        <v>0</v>
      </c>
      <c r="G34" s="226">
        <f>CAPEX!E53</f>
        <v>0</v>
      </c>
      <c r="H34" s="226">
        <f>CAPEX!F53</f>
        <v>0</v>
      </c>
      <c r="I34" s="226">
        <f>CAPEX!G53</f>
        <v>0</v>
      </c>
      <c r="J34" s="226">
        <f>CAPEX!H53</f>
        <v>0</v>
      </c>
      <c r="K34" s="226">
        <f>CAPEX!I53</f>
        <v>0</v>
      </c>
      <c r="L34" s="226">
        <f>CAPEX!J53</f>
        <v>1904.7016999999998</v>
      </c>
      <c r="M34" s="226">
        <f>CAPEX!K53</f>
        <v>0</v>
      </c>
      <c r="N34" s="226">
        <f>CAPEX!L53</f>
        <v>0</v>
      </c>
      <c r="O34" s="226">
        <f>CAPEX!M53</f>
        <v>0</v>
      </c>
      <c r="P34" s="226">
        <f>CAPEX!N53</f>
        <v>0</v>
      </c>
      <c r="Q34" s="226">
        <f>CAPEX!O53</f>
        <v>0</v>
      </c>
      <c r="R34" s="226">
        <f>CAPEX!P53</f>
        <v>0</v>
      </c>
      <c r="S34" s="226">
        <f>CAPEX!Q53</f>
        <v>1904.7016999999998</v>
      </c>
      <c r="T34" s="226">
        <f>CAPEX!R53</f>
        <v>0</v>
      </c>
      <c r="U34" s="226">
        <f>CAPEX!S53</f>
        <v>0</v>
      </c>
      <c r="V34" s="226">
        <f>CAPEX!T53</f>
        <v>0</v>
      </c>
      <c r="W34" s="226">
        <f>CAPEX!U53</f>
        <v>0</v>
      </c>
      <c r="X34" s="226">
        <f>CAPEX!V53</f>
        <v>0</v>
      </c>
      <c r="Y34" s="226">
        <f>CAPEX!W53</f>
        <v>0</v>
      </c>
      <c r="Z34" s="226">
        <f>CAPEX!X53</f>
        <v>1904.7016999999998</v>
      </c>
      <c r="AA34" s="226">
        <f>CAPEX!Y53</f>
        <v>0</v>
      </c>
      <c r="AB34" s="226">
        <f>CAPEX!Z53</f>
        <v>0</v>
      </c>
      <c r="AC34" s="226">
        <f>CAPEX!AA53</f>
        <v>0</v>
      </c>
      <c r="AD34" s="226">
        <f>CAPEX!AB53</f>
        <v>0</v>
      </c>
      <c r="AE34" s="226">
        <f>CAPEX!AC53</f>
        <v>0</v>
      </c>
      <c r="AF34" s="226">
        <f>CAPEX!AD53</f>
        <v>0</v>
      </c>
      <c r="AG34" s="226">
        <f>CAPEX!AE53</f>
        <v>1904.7016999999998</v>
      </c>
      <c r="AH34" s="226">
        <f>CAPEX!AF53</f>
        <v>0</v>
      </c>
      <c r="AI34" s="227"/>
      <c r="AJ34" s="152"/>
      <c r="AK34" s="152"/>
      <c r="AL34" s="152"/>
    </row>
    <row r="35" spans="1:38" ht="16.5" customHeight="1" outlineLevel="1">
      <c r="A35" s="154"/>
      <c r="B35" s="225" t="s">
        <v>298</v>
      </c>
      <c r="C35" s="405" t="s">
        <v>298</v>
      </c>
      <c r="D35" s="405" t="s">
        <v>170</v>
      </c>
      <c r="E35" s="226">
        <v>0</v>
      </c>
      <c r="F35" s="226">
        <v>0</v>
      </c>
      <c r="G35" s="226">
        <v>0</v>
      </c>
      <c r="H35" s="226">
        <v>0</v>
      </c>
      <c r="I35" s="226">
        <v>0</v>
      </c>
      <c r="J35" s="226">
        <v>0</v>
      </c>
      <c r="K35" s="226">
        <v>0</v>
      </c>
      <c r="L35" s="226">
        <v>0</v>
      </c>
      <c r="M35" s="226">
        <v>0</v>
      </c>
      <c r="N35" s="226">
        <v>0</v>
      </c>
      <c r="O35" s="226">
        <v>0</v>
      </c>
      <c r="P35" s="226">
        <v>0</v>
      </c>
      <c r="Q35" s="226">
        <v>0</v>
      </c>
      <c r="R35" s="226">
        <v>0</v>
      </c>
      <c r="S35" s="226">
        <v>0</v>
      </c>
      <c r="T35" s="226">
        <v>0</v>
      </c>
      <c r="U35" s="226">
        <v>0</v>
      </c>
      <c r="V35" s="226">
        <v>0</v>
      </c>
      <c r="W35" s="226">
        <v>0</v>
      </c>
      <c r="X35" s="226">
        <v>0</v>
      </c>
      <c r="Y35" s="226">
        <v>0</v>
      </c>
      <c r="Z35" s="226">
        <v>0</v>
      </c>
      <c r="AA35" s="226">
        <v>0</v>
      </c>
      <c r="AB35" s="226">
        <v>0</v>
      </c>
      <c r="AC35" s="226">
        <v>0</v>
      </c>
      <c r="AD35" s="226">
        <v>0</v>
      </c>
      <c r="AE35" s="226">
        <v>0</v>
      </c>
      <c r="AF35" s="226">
        <v>0</v>
      </c>
      <c r="AG35" s="226">
        <v>0</v>
      </c>
      <c r="AH35" s="226">
        <v>0</v>
      </c>
      <c r="AI35" s="227"/>
      <c r="AJ35" s="152"/>
      <c r="AK35" s="152"/>
      <c r="AL35" s="152"/>
    </row>
    <row r="36" spans="1:38" ht="16.5" customHeight="1">
      <c r="A36" s="152"/>
      <c r="B36" s="453" t="s">
        <v>822</v>
      </c>
      <c r="C36" s="453"/>
      <c r="D36" s="453"/>
      <c r="E36" s="454">
        <f t="shared" ref="E36" si="6">SUM(E38:E41)</f>
        <v>47.486600000000003</v>
      </c>
      <c r="F36" s="454">
        <f t="shared" ref="F36:AH36" si="7">SUM(F38:F40)</f>
        <v>0</v>
      </c>
      <c r="G36" s="454">
        <f t="shared" si="7"/>
        <v>0</v>
      </c>
      <c r="H36" s="454">
        <f t="shared" si="7"/>
        <v>3.0772000000000004</v>
      </c>
      <c r="I36" s="454">
        <f t="shared" si="7"/>
        <v>0</v>
      </c>
      <c r="J36" s="454">
        <f t="shared" si="7"/>
        <v>23.249400000000001</v>
      </c>
      <c r="K36" s="454">
        <f t="shared" si="7"/>
        <v>3.0772000000000004</v>
      </c>
      <c r="L36" s="454">
        <f t="shared" si="7"/>
        <v>0</v>
      </c>
      <c r="M36" s="454">
        <f t="shared" si="7"/>
        <v>0</v>
      </c>
      <c r="N36" s="454">
        <f t="shared" si="7"/>
        <v>3.2970000000000002</v>
      </c>
      <c r="O36" s="454">
        <f t="shared" si="7"/>
        <v>44.409400000000005</v>
      </c>
      <c r="P36" s="454">
        <f t="shared" si="7"/>
        <v>0</v>
      </c>
      <c r="Q36" s="454">
        <f t="shared" si="7"/>
        <v>3.2970000000000002</v>
      </c>
      <c r="R36" s="454">
        <f t="shared" si="7"/>
        <v>0</v>
      </c>
      <c r="S36" s="454">
        <f t="shared" si="7"/>
        <v>0</v>
      </c>
      <c r="T36" s="454">
        <f t="shared" si="7"/>
        <v>26.546400000000002</v>
      </c>
      <c r="U36" s="454">
        <f t="shared" si="7"/>
        <v>0</v>
      </c>
      <c r="V36" s="454">
        <f t="shared" si="7"/>
        <v>0</v>
      </c>
      <c r="W36" s="454">
        <f t="shared" si="7"/>
        <v>3.5168000000000004</v>
      </c>
      <c r="X36" s="454">
        <f t="shared" si="7"/>
        <v>0</v>
      </c>
      <c r="Y36" s="454">
        <f t="shared" si="7"/>
        <v>44.409400000000005</v>
      </c>
      <c r="Z36" s="454">
        <f t="shared" si="7"/>
        <v>3.5168000000000004</v>
      </c>
      <c r="AA36" s="454">
        <f t="shared" si="7"/>
        <v>0</v>
      </c>
      <c r="AB36" s="454">
        <f t="shared" si="7"/>
        <v>0</v>
      </c>
      <c r="AC36" s="454">
        <f t="shared" si="7"/>
        <v>3.7366000000000001</v>
      </c>
      <c r="AD36" s="454">
        <f t="shared" si="7"/>
        <v>23.249400000000001</v>
      </c>
      <c r="AE36" s="454">
        <f t="shared" si="7"/>
        <v>0</v>
      </c>
      <c r="AF36" s="454">
        <f t="shared" si="7"/>
        <v>3.7366000000000001</v>
      </c>
      <c r="AG36" s="454">
        <f t="shared" si="7"/>
        <v>0</v>
      </c>
      <c r="AH36" s="454">
        <f t="shared" si="7"/>
        <v>0</v>
      </c>
      <c r="AI36" s="169"/>
      <c r="AJ36" s="152"/>
      <c r="AK36" s="152"/>
      <c r="AL36" s="152"/>
    </row>
    <row r="37" spans="1:38" ht="3" customHeight="1">
      <c r="A37" s="154"/>
      <c r="B37" s="223"/>
      <c r="C37" s="231"/>
      <c r="D37" s="231"/>
      <c r="E37" s="170"/>
      <c r="F37" s="170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1"/>
      <c r="W37" s="171"/>
      <c r="X37" s="171"/>
      <c r="Y37" s="171"/>
      <c r="Z37" s="171"/>
      <c r="AA37" s="171"/>
      <c r="AB37" s="171"/>
      <c r="AC37" s="171"/>
      <c r="AD37" s="171"/>
      <c r="AE37" s="171"/>
      <c r="AF37" s="171"/>
      <c r="AG37" s="171"/>
      <c r="AH37" s="171"/>
      <c r="AI37" s="224"/>
      <c r="AJ37" s="152"/>
      <c r="AK37" s="152"/>
      <c r="AL37" s="152"/>
    </row>
    <row r="38" spans="1:38" ht="16.5" customHeight="1" outlineLevel="1">
      <c r="A38" s="154"/>
      <c r="B38" s="225" t="s">
        <v>296</v>
      </c>
      <c r="C38" s="405" t="s">
        <v>296</v>
      </c>
      <c r="D38" s="405" t="s">
        <v>171</v>
      </c>
      <c r="E38" s="226">
        <v>0</v>
      </c>
      <c r="F38" s="226">
        <v>0</v>
      </c>
      <c r="G38" s="226">
        <v>0</v>
      </c>
      <c r="H38" s="226">
        <v>0</v>
      </c>
      <c r="I38" s="226">
        <v>0</v>
      </c>
      <c r="J38" s="226">
        <v>0</v>
      </c>
      <c r="K38" s="226">
        <v>0</v>
      </c>
      <c r="L38" s="226">
        <v>0</v>
      </c>
      <c r="M38" s="226">
        <v>0</v>
      </c>
      <c r="N38" s="226">
        <v>0</v>
      </c>
      <c r="O38" s="226">
        <v>0</v>
      </c>
      <c r="P38" s="226">
        <v>0</v>
      </c>
      <c r="Q38" s="226">
        <v>0</v>
      </c>
      <c r="R38" s="226">
        <v>0</v>
      </c>
      <c r="S38" s="226">
        <v>0</v>
      </c>
      <c r="T38" s="226">
        <v>0</v>
      </c>
      <c r="U38" s="226">
        <v>0</v>
      </c>
      <c r="V38" s="226">
        <v>0</v>
      </c>
      <c r="W38" s="226">
        <v>0</v>
      </c>
      <c r="X38" s="226">
        <v>0</v>
      </c>
      <c r="Y38" s="226">
        <v>0</v>
      </c>
      <c r="Z38" s="226">
        <v>0</v>
      </c>
      <c r="AA38" s="226">
        <v>0</v>
      </c>
      <c r="AB38" s="226">
        <v>0</v>
      </c>
      <c r="AC38" s="226">
        <v>0</v>
      </c>
      <c r="AD38" s="226">
        <v>0</v>
      </c>
      <c r="AE38" s="226">
        <v>0</v>
      </c>
      <c r="AF38" s="226">
        <v>0</v>
      </c>
      <c r="AG38" s="226">
        <v>0</v>
      </c>
      <c r="AH38" s="226">
        <v>0</v>
      </c>
      <c r="AI38" s="227"/>
      <c r="AJ38" s="152"/>
      <c r="AK38" s="152"/>
      <c r="AL38" s="152"/>
    </row>
    <row r="39" spans="1:38" ht="16.5" customHeight="1" outlineLevel="1">
      <c r="A39" s="154"/>
      <c r="B39" s="225" t="s">
        <v>297</v>
      </c>
      <c r="C39" s="405" t="s">
        <v>297</v>
      </c>
      <c r="D39" s="405" t="s">
        <v>171</v>
      </c>
      <c r="E39" s="226">
        <f>CAPEX!C63</f>
        <v>21.16</v>
      </c>
      <c r="F39" s="226">
        <f>CAPEX!D63</f>
        <v>0</v>
      </c>
      <c r="G39" s="226">
        <f>CAPEX!E63</f>
        <v>0</v>
      </c>
      <c r="H39" s="226">
        <f>CAPEX!F63</f>
        <v>0</v>
      </c>
      <c r="I39" s="226">
        <f>CAPEX!G63</f>
        <v>0</v>
      </c>
      <c r="J39" s="226">
        <f>CAPEX!H63</f>
        <v>0</v>
      </c>
      <c r="K39" s="226">
        <f>CAPEX!I63</f>
        <v>0</v>
      </c>
      <c r="L39" s="226">
        <f>CAPEX!J63</f>
        <v>0</v>
      </c>
      <c r="M39" s="226">
        <f>CAPEX!K63</f>
        <v>0</v>
      </c>
      <c r="N39" s="226">
        <f>CAPEX!L63</f>
        <v>0</v>
      </c>
      <c r="O39" s="226">
        <f>CAPEX!M63</f>
        <v>21.16</v>
      </c>
      <c r="P39" s="226">
        <f>CAPEX!N63</f>
        <v>0</v>
      </c>
      <c r="Q39" s="226">
        <f>CAPEX!O63</f>
        <v>0</v>
      </c>
      <c r="R39" s="226">
        <f>CAPEX!P63</f>
        <v>0</v>
      </c>
      <c r="S39" s="226">
        <f>CAPEX!Q63</f>
        <v>0</v>
      </c>
      <c r="T39" s="226">
        <f>CAPEX!R63</f>
        <v>0</v>
      </c>
      <c r="U39" s="226">
        <f>CAPEX!S63</f>
        <v>0</v>
      </c>
      <c r="V39" s="226">
        <f>CAPEX!T63</f>
        <v>0</v>
      </c>
      <c r="W39" s="226">
        <f>CAPEX!U63</f>
        <v>0</v>
      </c>
      <c r="X39" s="226">
        <f>CAPEX!V63</f>
        <v>0</v>
      </c>
      <c r="Y39" s="226">
        <f>CAPEX!W63</f>
        <v>21.16</v>
      </c>
      <c r="Z39" s="226">
        <f>CAPEX!X63</f>
        <v>0</v>
      </c>
      <c r="AA39" s="226">
        <f>CAPEX!Y63</f>
        <v>0</v>
      </c>
      <c r="AB39" s="226">
        <f>CAPEX!Z63</f>
        <v>0</v>
      </c>
      <c r="AC39" s="226">
        <f>CAPEX!AA63</f>
        <v>0</v>
      </c>
      <c r="AD39" s="226">
        <f>CAPEX!AB63</f>
        <v>0</v>
      </c>
      <c r="AE39" s="226">
        <f>CAPEX!AC63</f>
        <v>0</v>
      </c>
      <c r="AF39" s="226">
        <f>CAPEX!AD63</f>
        <v>0</v>
      </c>
      <c r="AG39" s="226">
        <f>CAPEX!AE63</f>
        <v>0</v>
      </c>
      <c r="AH39" s="226">
        <f>CAPEX!AF63</f>
        <v>0</v>
      </c>
      <c r="AI39" s="227"/>
      <c r="AJ39" s="152"/>
      <c r="AK39" s="152"/>
      <c r="AL39" s="152"/>
    </row>
    <row r="40" spans="1:38" ht="16.5" customHeight="1" outlineLevel="1">
      <c r="A40" s="154"/>
      <c r="B40" s="225" t="s">
        <v>298</v>
      </c>
      <c r="C40" s="405" t="s">
        <v>298</v>
      </c>
      <c r="D40" s="405" t="s">
        <v>171</v>
      </c>
      <c r="E40" s="226">
        <f>CAPEX!C67</f>
        <v>26.326600000000003</v>
      </c>
      <c r="F40" s="226">
        <f>CAPEX!D67</f>
        <v>0</v>
      </c>
      <c r="G40" s="226">
        <f>CAPEX!E67</f>
        <v>0</v>
      </c>
      <c r="H40" s="226">
        <f>CAPEX!F67</f>
        <v>3.0772000000000004</v>
      </c>
      <c r="I40" s="226">
        <f>CAPEX!G67</f>
        <v>0</v>
      </c>
      <c r="J40" s="226">
        <f>CAPEX!H67</f>
        <v>23.249400000000001</v>
      </c>
      <c r="K40" s="226">
        <f>CAPEX!I67</f>
        <v>3.0772000000000004</v>
      </c>
      <c r="L40" s="226">
        <f>CAPEX!J67</f>
        <v>0</v>
      </c>
      <c r="M40" s="226">
        <f>CAPEX!K67</f>
        <v>0</v>
      </c>
      <c r="N40" s="226">
        <f>CAPEX!L67</f>
        <v>3.2970000000000002</v>
      </c>
      <c r="O40" s="226">
        <f>CAPEX!M67</f>
        <v>23.249400000000001</v>
      </c>
      <c r="P40" s="226">
        <f>CAPEX!N67</f>
        <v>0</v>
      </c>
      <c r="Q40" s="226">
        <f>CAPEX!O67</f>
        <v>3.2970000000000002</v>
      </c>
      <c r="R40" s="226">
        <f>CAPEX!P67</f>
        <v>0</v>
      </c>
      <c r="S40" s="226">
        <f>CAPEX!Q67</f>
        <v>0</v>
      </c>
      <c r="T40" s="226">
        <f>CAPEX!R67</f>
        <v>26.546400000000002</v>
      </c>
      <c r="U40" s="226">
        <f>CAPEX!S67</f>
        <v>0</v>
      </c>
      <c r="V40" s="226">
        <f>CAPEX!T67</f>
        <v>0</v>
      </c>
      <c r="W40" s="226">
        <f>CAPEX!U67</f>
        <v>3.5168000000000004</v>
      </c>
      <c r="X40" s="226">
        <f>CAPEX!V67</f>
        <v>0</v>
      </c>
      <c r="Y40" s="226">
        <f>CAPEX!W67</f>
        <v>23.249400000000001</v>
      </c>
      <c r="Z40" s="226">
        <f>CAPEX!X67</f>
        <v>3.5168000000000004</v>
      </c>
      <c r="AA40" s="226">
        <f>CAPEX!Y67</f>
        <v>0</v>
      </c>
      <c r="AB40" s="226">
        <f>CAPEX!Z67</f>
        <v>0</v>
      </c>
      <c r="AC40" s="226">
        <f>CAPEX!AA67</f>
        <v>3.7366000000000001</v>
      </c>
      <c r="AD40" s="226">
        <f>CAPEX!AB67</f>
        <v>23.249400000000001</v>
      </c>
      <c r="AE40" s="226">
        <f>CAPEX!AC67</f>
        <v>0</v>
      </c>
      <c r="AF40" s="226">
        <f>CAPEX!AD67</f>
        <v>3.7366000000000001</v>
      </c>
      <c r="AG40" s="226">
        <f>CAPEX!AE67</f>
        <v>0</v>
      </c>
      <c r="AH40" s="226">
        <f>CAPEX!AF67</f>
        <v>0</v>
      </c>
      <c r="AI40" s="227"/>
      <c r="AJ40" s="152"/>
      <c r="AK40" s="152"/>
      <c r="AL40" s="152"/>
    </row>
    <row r="41" spans="1:38" ht="3" customHeight="1">
      <c r="A41" s="154"/>
      <c r="B41" s="223"/>
      <c r="C41" s="231"/>
      <c r="D41" s="231"/>
      <c r="E41" s="170"/>
      <c r="F41" s="170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1"/>
      <c r="AE41" s="171"/>
      <c r="AF41" s="171"/>
      <c r="AG41" s="171"/>
      <c r="AH41" s="171"/>
      <c r="AI41" s="224"/>
      <c r="AJ41" s="152"/>
      <c r="AK41" s="152"/>
      <c r="AL41" s="152"/>
    </row>
    <row r="42" spans="1:38" ht="16.5" customHeight="1">
      <c r="A42" s="152"/>
      <c r="B42" s="453" t="s">
        <v>825</v>
      </c>
      <c r="C42" s="453"/>
      <c r="D42" s="453"/>
      <c r="E42" s="454">
        <f t="shared" ref="E42" si="8">SUM(E44:E47)</f>
        <v>415.93299999999999</v>
      </c>
      <c r="F42" s="454">
        <f t="shared" ref="F42:AH42" si="9">SUM(F44:F46)</f>
        <v>0</v>
      </c>
      <c r="G42" s="454">
        <f t="shared" si="9"/>
        <v>0</v>
      </c>
      <c r="H42" s="454">
        <f t="shared" si="9"/>
        <v>10.47</v>
      </c>
      <c r="I42" s="454">
        <f t="shared" si="9"/>
        <v>0</v>
      </c>
      <c r="J42" s="454">
        <f t="shared" si="9"/>
        <v>0</v>
      </c>
      <c r="K42" s="454">
        <f t="shared" si="9"/>
        <v>10.47</v>
      </c>
      <c r="L42" s="454">
        <f t="shared" si="9"/>
        <v>0</v>
      </c>
      <c r="M42" s="454">
        <f t="shared" si="9"/>
        <v>0</v>
      </c>
      <c r="N42" s="454">
        <f t="shared" si="9"/>
        <v>10.47</v>
      </c>
      <c r="O42" s="454">
        <f t="shared" si="9"/>
        <v>405.46300000000002</v>
      </c>
      <c r="P42" s="454">
        <f t="shared" si="9"/>
        <v>0</v>
      </c>
      <c r="Q42" s="454">
        <f t="shared" si="9"/>
        <v>10.47</v>
      </c>
      <c r="R42" s="454">
        <f t="shared" si="9"/>
        <v>0</v>
      </c>
      <c r="S42" s="454">
        <f t="shared" si="9"/>
        <v>0</v>
      </c>
      <c r="T42" s="454">
        <f t="shared" si="9"/>
        <v>10.47</v>
      </c>
      <c r="U42" s="454">
        <f t="shared" si="9"/>
        <v>0</v>
      </c>
      <c r="V42" s="454">
        <f t="shared" si="9"/>
        <v>0</v>
      </c>
      <c r="W42" s="454">
        <f t="shared" si="9"/>
        <v>10.47</v>
      </c>
      <c r="X42" s="454">
        <f t="shared" si="9"/>
        <v>0</v>
      </c>
      <c r="Y42" s="454">
        <f t="shared" si="9"/>
        <v>405.46300000000002</v>
      </c>
      <c r="Z42" s="454">
        <f t="shared" si="9"/>
        <v>10.47</v>
      </c>
      <c r="AA42" s="454">
        <f t="shared" si="9"/>
        <v>0</v>
      </c>
      <c r="AB42" s="454">
        <f t="shared" si="9"/>
        <v>0</v>
      </c>
      <c r="AC42" s="454">
        <f t="shared" si="9"/>
        <v>10.47</v>
      </c>
      <c r="AD42" s="454">
        <f t="shared" si="9"/>
        <v>0</v>
      </c>
      <c r="AE42" s="454">
        <f t="shared" si="9"/>
        <v>0</v>
      </c>
      <c r="AF42" s="454">
        <f t="shared" si="9"/>
        <v>10.47</v>
      </c>
      <c r="AG42" s="454">
        <f t="shared" si="9"/>
        <v>0</v>
      </c>
      <c r="AH42" s="454">
        <f t="shared" si="9"/>
        <v>0</v>
      </c>
      <c r="AI42" s="169"/>
      <c r="AJ42" s="152"/>
      <c r="AK42" s="152"/>
      <c r="AL42" s="152"/>
    </row>
    <row r="43" spans="1:38" s="162" customFormat="1" ht="3" customHeight="1">
      <c r="A43" s="152"/>
      <c r="B43" s="223"/>
      <c r="C43" s="231"/>
      <c r="D43" s="231"/>
      <c r="E43" s="170"/>
      <c r="F43" s="170"/>
      <c r="G43" s="171"/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1"/>
      <c r="AE43" s="171"/>
      <c r="AF43" s="171"/>
      <c r="AG43" s="171"/>
      <c r="AH43" s="171"/>
      <c r="AI43" s="224"/>
      <c r="AJ43" s="154"/>
      <c r="AK43" s="154"/>
      <c r="AL43" s="154"/>
    </row>
    <row r="44" spans="1:38" s="162" customFormat="1" ht="16.5" customHeight="1" outlineLevel="1">
      <c r="A44" s="154"/>
      <c r="B44" s="225" t="s">
        <v>296</v>
      </c>
      <c r="C44" s="405" t="s">
        <v>296</v>
      </c>
      <c r="D44" s="405" t="s">
        <v>171</v>
      </c>
      <c r="E44" s="226">
        <v>0</v>
      </c>
      <c r="F44" s="226">
        <v>0</v>
      </c>
      <c r="G44" s="226">
        <v>0</v>
      </c>
      <c r="H44" s="226">
        <v>0</v>
      </c>
      <c r="I44" s="226">
        <v>0</v>
      </c>
      <c r="J44" s="226">
        <v>0</v>
      </c>
      <c r="K44" s="226">
        <v>0</v>
      </c>
      <c r="L44" s="226">
        <v>0</v>
      </c>
      <c r="M44" s="226">
        <v>0</v>
      </c>
      <c r="N44" s="226">
        <v>0</v>
      </c>
      <c r="O44" s="226">
        <v>0</v>
      </c>
      <c r="P44" s="226">
        <v>0</v>
      </c>
      <c r="Q44" s="226">
        <v>0</v>
      </c>
      <c r="R44" s="226">
        <v>0</v>
      </c>
      <c r="S44" s="226">
        <v>0</v>
      </c>
      <c r="T44" s="226">
        <v>0</v>
      </c>
      <c r="U44" s="226">
        <v>0</v>
      </c>
      <c r="V44" s="226">
        <v>0</v>
      </c>
      <c r="W44" s="226">
        <v>0</v>
      </c>
      <c r="X44" s="226">
        <v>0</v>
      </c>
      <c r="Y44" s="226">
        <v>0</v>
      </c>
      <c r="Z44" s="226">
        <v>0</v>
      </c>
      <c r="AA44" s="226">
        <v>0</v>
      </c>
      <c r="AB44" s="226">
        <v>0</v>
      </c>
      <c r="AC44" s="226">
        <v>0</v>
      </c>
      <c r="AD44" s="226">
        <v>0</v>
      </c>
      <c r="AE44" s="226">
        <v>0</v>
      </c>
      <c r="AF44" s="226">
        <v>0</v>
      </c>
      <c r="AG44" s="226">
        <v>0</v>
      </c>
      <c r="AH44" s="226">
        <v>0</v>
      </c>
      <c r="AI44" s="227"/>
      <c r="AJ44" s="154"/>
      <c r="AK44" s="228"/>
      <c r="AL44" s="154"/>
    </row>
    <row r="45" spans="1:38" s="162" customFormat="1" ht="16.5" customHeight="1" outlineLevel="1">
      <c r="A45" s="154"/>
      <c r="B45" s="225" t="s">
        <v>297</v>
      </c>
      <c r="C45" s="405" t="s">
        <v>297</v>
      </c>
      <c r="D45" s="405" t="s">
        <v>171</v>
      </c>
      <c r="E45" s="226">
        <f>CAPEX!C77</f>
        <v>402.66500000000002</v>
      </c>
      <c r="F45" s="226">
        <f>CAPEX!D77</f>
        <v>0</v>
      </c>
      <c r="G45" s="226">
        <f>CAPEX!E77</f>
        <v>0</v>
      </c>
      <c r="H45" s="226">
        <f>CAPEX!F77</f>
        <v>0</v>
      </c>
      <c r="I45" s="226">
        <f>CAPEX!G77</f>
        <v>0</v>
      </c>
      <c r="J45" s="226">
        <f>CAPEX!H77</f>
        <v>0</v>
      </c>
      <c r="K45" s="226">
        <f>CAPEX!I77</f>
        <v>0</v>
      </c>
      <c r="L45" s="226">
        <f>CAPEX!J77</f>
        <v>0</v>
      </c>
      <c r="M45" s="226">
        <f>CAPEX!K77</f>
        <v>0</v>
      </c>
      <c r="N45" s="226">
        <f>CAPEX!L77</f>
        <v>0</v>
      </c>
      <c r="O45" s="226">
        <f>CAPEX!M77</f>
        <v>402.66500000000002</v>
      </c>
      <c r="P45" s="226">
        <f>CAPEX!N77</f>
        <v>0</v>
      </c>
      <c r="Q45" s="226">
        <f>CAPEX!O77</f>
        <v>0</v>
      </c>
      <c r="R45" s="226">
        <f>CAPEX!P77</f>
        <v>0</v>
      </c>
      <c r="S45" s="226">
        <f>CAPEX!Q77</f>
        <v>0</v>
      </c>
      <c r="T45" s="226">
        <f>CAPEX!R77</f>
        <v>0</v>
      </c>
      <c r="U45" s="226">
        <f>CAPEX!S77</f>
        <v>0</v>
      </c>
      <c r="V45" s="226">
        <f>CAPEX!T77</f>
        <v>0</v>
      </c>
      <c r="W45" s="226">
        <f>CAPEX!U77</f>
        <v>0</v>
      </c>
      <c r="X45" s="226">
        <f>CAPEX!V77</f>
        <v>0</v>
      </c>
      <c r="Y45" s="226">
        <f>CAPEX!W77</f>
        <v>402.66500000000002</v>
      </c>
      <c r="Z45" s="226">
        <f>CAPEX!X77</f>
        <v>0</v>
      </c>
      <c r="AA45" s="226">
        <f>CAPEX!Y77</f>
        <v>0</v>
      </c>
      <c r="AB45" s="226">
        <f>CAPEX!Z77</f>
        <v>0</v>
      </c>
      <c r="AC45" s="226">
        <f>CAPEX!AA77</f>
        <v>0</v>
      </c>
      <c r="AD45" s="226">
        <f>CAPEX!AB77</f>
        <v>0</v>
      </c>
      <c r="AE45" s="226">
        <f>CAPEX!AC77</f>
        <v>0</v>
      </c>
      <c r="AF45" s="226">
        <f>CAPEX!AD77</f>
        <v>0</v>
      </c>
      <c r="AG45" s="226">
        <f>CAPEX!AE77</f>
        <v>0</v>
      </c>
      <c r="AH45" s="226">
        <f>CAPEX!AF77</f>
        <v>0</v>
      </c>
      <c r="AI45" s="227"/>
      <c r="AJ45" s="154"/>
      <c r="AK45" s="154"/>
      <c r="AL45" s="154"/>
    </row>
    <row r="46" spans="1:38" s="162" customFormat="1" ht="16.5" customHeight="1" outlineLevel="1">
      <c r="A46" s="154"/>
      <c r="B46" s="225" t="s">
        <v>298</v>
      </c>
      <c r="C46" s="405" t="s">
        <v>298</v>
      </c>
      <c r="D46" s="405" t="s">
        <v>171</v>
      </c>
      <c r="E46" s="226">
        <f>CAPEX!C84</f>
        <v>13.268000000000001</v>
      </c>
      <c r="F46" s="226">
        <f>CAPEX!D84</f>
        <v>0</v>
      </c>
      <c r="G46" s="226">
        <f>CAPEX!E84</f>
        <v>0</v>
      </c>
      <c r="H46" s="226">
        <f>CAPEX!F84</f>
        <v>10.47</v>
      </c>
      <c r="I46" s="226">
        <f>CAPEX!G84</f>
        <v>0</v>
      </c>
      <c r="J46" s="226">
        <f>CAPEX!H84</f>
        <v>0</v>
      </c>
      <c r="K46" s="226">
        <f>CAPEX!I84</f>
        <v>10.47</v>
      </c>
      <c r="L46" s="226">
        <f>CAPEX!J84</f>
        <v>0</v>
      </c>
      <c r="M46" s="226">
        <f>CAPEX!K84</f>
        <v>0</v>
      </c>
      <c r="N46" s="226">
        <f>CAPEX!L84</f>
        <v>10.47</v>
      </c>
      <c r="O46" s="226">
        <f>CAPEX!M84</f>
        <v>2.798</v>
      </c>
      <c r="P46" s="226">
        <f>CAPEX!N84</f>
        <v>0</v>
      </c>
      <c r="Q46" s="226">
        <f>CAPEX!O84</f>
        <v>10.47</v>
      </c>
      <c r="R46" s="226">
        <f>CAPEX!P84</f>
        <v>0</v>
      </c>
      <c r="S46" s="226">
        <f>CAPEX!Q84</f>
        <v>0</v>
      </c>
      <c r="T46" s="226">
        <f>CAPEX!R84</f>
        <v>10.47</v>
      </c>
      <c r="U46" s="226">
        <f>CAPEX!S84</f>
        <v>0</v>
      </c>
      <c r="V46" s="226">
        <f>CAPEX!T84</f>
        <v>0</v>
      </c>
      <c r="W46" s="226">
        <f>CAPEX!U84</f>
        <v>10.47</v>
      </c>
      <c r="X46" s="226">
        <f>CAPEX!V84</f>
        <v>0</v>
      </c>
      <c r="Y46" s="226">
        <f>CAPEX!W84</f>
        <v>2.798</v>
      </c>
      <c r="Z46" s="226">
        <f>CAPEX!X84</f>
        <v>10.47</v>
      </c>
      <c r="AA46" s="226">
        <f>CAPEX!Y84</f>
        <v>0</v>
      </c>
      <c r="AB46" s="226">
        <f>CAPEX!Z84</f>
        <v>0</v>
      </c>
      <c r="AC46" s="226">
        <f>CAPEX!AA84</f>
        <v>10.47</v>
      </c>
      <c r="AD46" s="226">
        <f>CAPEX!AB84</f>
        <v>0</v>
      </c>
      <c r="AE46" s="226">
        <f>CAPEX!AC84</f>
        <v>0</v>
      </c>
      <c r="AF46" s="226">
        <f>CAPEX!AD84</f>
        <v>10.47</v>
      </c>
      <c r="AG46" s="226">
        <f>CAPEX!AE84</f>
        <v>0</v>
      </c>
      <c r="AH46" s="226">
        <f>CAPEX!AF84</f>
        <v>0</v>
      </c>
      <c r="AI46" s="227"/>
      <c r="AJ46" s="154"/>
      <c r="AK46" s="154"/>
      <c r="AL46" s="154"/>
    </row>
    <row r="47" spans="1:38" s="162" customFormat="1" ht="3" customHeight="1">
      <c r="A47" s="154"/>
      <c r="B47" s="150"/>
      <c r="C47" s="150"/>
      <c r="D47" s="150"/>
      <c r="E47" s="172"/>
      <c r="F47" s="177"/>
      <c r="G47" s="177"/>
      <c r="H47" s="177"/>
      <c r="I47" s="177"/>
      <c r="J47" s="177"/>
      <c r="K47" s="177"/>
      <c r="L47" s="177"/>
      <c r="M47" s="177"/>
      <c r="N47" s="177"/>
      <c r="O47" s="177"/>
      <c r="P47" s="177"/>
      <c r="Q47" s="177"/>
      <c r="R47" s="177"/>
      <c r="S47" s="177"/>
      <c r="T47" s="177"/>
      <c r="U47" s="177"/>
      <c r="V47" s="177"/>
      <c r="W47" s="177"/>
      <c r="X47" s="177"/>
      <c r="Y47" s="177"/>
      <c r="Z47" s="177"/>
      <c r="AA47" s="177"/>
      <c r="AB47" s="177"/>
      <c r="AC47" s="177"/>
      <c r="AD47" s="177"/>
      <c r="AE47" s="177"/>
      <c r="AF47" s="177"/>
      <c r="AG47" s="177"/>
      <c r="AH47" s="177"/>
      <c r="AI47" s="173"/>
      <c r="AJ47" s="154"/>
      <c r="AK47" s="154"/>
      <c r="AL47" s="154"/>
    </row>
    <row r="48" spans="1:38" ht="16.5" customHeight="1">
      <c r="A48" s="152"/>
      <c r="B48" s="453" t="s">
        <v>830</v>
      </c>
      <c r="C48" s="453"/>
      <c r="D48" s="453"/>
      <c r="E48" s="454">
        <f t="shared" ref="E48" si="10">SUM(E50:E53)</f>
        <v>455.72200000000004</v>
      </c>
      <c r="F48" s="454">
        <f t="shared" ref="F48:AH48" si="11">SUM(F50:F52)</f>
        <v>0</v>
      </c>
      <c r="G48" s="454">
        <f t="shared" si="11"/>
        <v>0</v>
      </c>
      <c r="H48" s="454">
        <f t="shared" si="11"/>
        <v>48.86</v>
      </c>
      <c r="I48" s="454">
        <f t="shared" si="11"/>
        <v>0</v>
      </c>
      <c r="J48" s="454">
        <f t="shared" si="11"/>
        <v>0</v>
      </c>
      <c r="K48" s="454">
        <f t="shared" si="11"/>
        <v>48.86</v>
      </c>
      <c r="L48" s="454">
        <f t="shared" si="11"/>
        <v>0</v>
      </c>
      <c r="M48" s="454">
        <f t="shared" si="11"/>
        <v>0</v>
      </c>
      <c r="N48" s="454">
        <f t="shared" si="11"/>
        <v>48.86</v>
      </c>
      <c r="O48" s="454">
        <f t="shared" si="11"/>
        <v>406.86200000000002</v>
      </c>
      <c r="P48" s="454">
        <f t="shared" si="11"/>
        <v>0</v>
      </c>
      <c r="Q48" s="454">
        <f t="shared" si="11"/>
        <v>48.86</v>
      </c>
      <c r="R48" s="454">
        <f t="shared" si="11"/>
        <v>0</v>
      </c>
      <c r="S48" s="454">
        <f t="shared" si="11"/>
        <v>0</v>
      </c>
      <c r="T48" s="454">
        <f t="shared" si="11"/>
        <v>48.86</v>
      </c>
      <c r="U48" s="454">
        <f t="shared" si="11"/>
        <v>0</v>
      </c>
      <c r="V48" s="454">
        <f t="shared" si="11"/>
        <v>0</v>
      </c>
      <c r="W48" s="454">
        <f t="shared" si="11"/>
        <v>48.86</v>
      </c>
      <c r="X48" s="454">
        <f t="shared" si="11"/>
        <v>0</v>
      </c>
      <c r="Y48" s="454">
        <f t="shared" si="11"/>
        <v>406.86200000000002</v>
      </c>
      <c r="Z48" s="454">
        <f t="shared" si="11"/>
        <v>48.86</v>
      </c>
      <c r="AA48" s="454">
        <f t="shared" si="11"/>
        <v>0</v>
      </c>
      <c r="AB48" s="454">
        <f t="shared" si="11"/>
        <v>0</v>
      </c>
      <c r="AC48" s="454">
        <f t="shared" si="11"/>
        <v>48.86</v>
      </c>
      <c r="AD48" s="454">
        <f t="shared" si="11"/>
        <v>0</v>
      </c>
      <c r="AE48" s="454">
        <f t="shared" si="11"/>
        <v>0</v>
      </c>
      <c r="AF48" s="454">
        <f t="shared" si="11"/>
        <v>48.86</v>
      </c>
      <c r="AG48" s="454">
        <f t="shared" si="11"/>
        <v>0</v>
      </c>
      <c r="AH48" s="454">
        <f t="shared" si="11"/>
        <v>0</v>
      </c>
      <c r="AI48" s="169"/>
      <c r="AJ48" s="152"/>
      <c r="AK48" s="152"/>
      <c r="AL48" s="152"/>
    </row>
    <row r="49" spans="1:38" ht="3" customHeight="1">
      <c r="A49" s="154"/>
      <c r="B49" s="223"/>
      <c r="C49" s="231"/>
      <c r="D49" s="231"/>
      <c r="E49" s="170"/>
      <c r="F49" s="170"/>
      <c r="G49" s="171"/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71"/>
      <c r="Y49" s="171"/>
      <c r="Z49" s="171"/>
      <c r="AA49" s="171"/>
      <c r="AB49" s="171"/>
      <c r="AC49" s="171"/>
      <c r="AD49" s="171"/>
      <c r="AE49" s="171"/>
      <c r="AF49" s="171"/>
      <c r="AG49" s="171"/>
      <c r="AH49" s="171"/>
      <c r="AI49" s="224"/>
      <c r="AJ49" s="152"/>
      <c r="AK49" s="152"/>
      <c r="AL49" s="152"/>
    </row>
    <row r="50" spans="1:38" ht="16.5" customHeight="1" outlineLevel="1">
      <c r="A50" s="154"/>
      <c r="B50" s="225" t="s">
        <v>296</v>
      </c>
      <c r="C50" s="405" t="s">
        <v>296</v>
      </c>
      <c r="D50" s="405" t="s">
        <v>171</v>
      </c>
      <c r="E50" s="226">
        <v>0</v>
      </c>
      <c r="F50" s="226">
        <v>0</v>
      </c>
      <c r="G50" s="226">
        <v>0</v>
      </c>
      <c r="H50" s="226">
        <v>0</v>
      </c>
      <c r="I50" s="226">
        <v>0</v>
      </c>
      <c r="J50" s="226">
        <v>0</v>
      </c>
      <c r="K50" s="226">
        <v>0</v>
      </c>
      <c r="L50" s="226">
        <v>0</v>
      </c>
      <c r="M50" s="226">
        <v>0</v>
      </c>
      <c r="N50" s="226">
        <v>0</v>
      </c>
      <c r="O50" s="226">
        <v>0</v>
      </c>
      <c r="P50" s="226">
        <v>0</v>
      </c>
      <c r="Q50" s="226">
        <v>0</v>
      </c>
      <c r="R50" s="226">
        <v>0</v>
      </c>
      <c r="S50" s="226">
        <v>0</v>
      </c>
      <c r="T50" s="226">
        <v>0</v>
      </c>
      <c r="U50" s="226">
        <v>0</v>
      </c>
      <c r="V50" s="226">
        <v>0</v>
      </c>
      <c r="W50" s="226">
        <v>0</v>
      </c>
      <c r="X50" s="226">
        <v>0</v>
      </c>
      <c r="Y50" s="226">
        <v>0</v>
      </c>
      <c r="Z50" s="226">
        <v>0</v>
      </c>
      <c r="AA50" s="226">
        <v>0</v>
      </c>
      <c r="AB50" s="226">
        <v>0</v>
      </c>
      <c r="AC50" s="226">
        <v>0</v>
      </c>
      <c r="AD50" s="226">
        <v>0</v>
      </c>
      <c r="AE50" s="226">
        <v>0</v>
      </c>
      <c r="AF50" s="226">
        <v>0</v>
      </c>
      <c r="AG50" s="226">
        <v>0</v>
      </c>
      <c r="AH50" s="226">
        <v>0</v>
      </c>
      <c r="AI50" s="226"/>
      <c r="AJ50" s="152"/>
      <c r="AK50" s="152"/>
      <c r="AL50" s="152"/>
    </row>
    <row r="51" spans="1:38" ht="16.5" customHeight="1" outlineLevel="1">
      <c r="A51" s="154"/>
      <c r="B51" s="230" t="s">
        <v>297</v>
      </c>
      <c r="C51" s="405" t="s">
        <v>297</v>
      </c>
      <c r="D51" s="405" t="s">
        <v>171</v>
      </c>
      <c r="E51" s="226">
        <f>CAPEX!C93</f>
        <v>402.66500000000002</v>
      </c>
      <c r="F51" s="226">
        <f>CAPEX!D93</f>
        <v>0</v>
      </c>
      <c r="G51" s="226">
        <f>CAPEX!E93</f>
        <v>0</v>
      </c>
      <c r="H51" s="226">
        <f>CAPEX!F93</f>
        <v>0</v>
      </c>
      <c r="I51" s="226">
        <f>CAPEX!G93</f>
        <v>0</v>
      </c>
      <c r="J51" s="226">
        <f>CAPEX!H93</f>
        <v>0</v>
      </c>
      <c r="K51" s="226">
        <f>CAPEX!I93</f>
        <v>0</v>
      </c>
      <c r="L51" s="226">
        <f>CAPEX!J93</f>
        <v>0</v>
      </c>
      <c r="M51" s="226">
        <f>CAPEX!K93</f>
        <v>0</v>
      </c>
      <c r="N51" s="226">
        <f>CAPEX!L93</f>
        <v>0</v>
      </c>
      <c r="O51" s="226">
        <f>CAPEX!M93</f>
        <v>402.66500000000002</v>
      </c>
      <c r="P51" s="226">
        <f>CAPEX!N93</f>
        <v>0</v>
      </c>
      <c r="Q51" s="226">
        <f>CAPEX!O93</f>
        <v>0</v>
      </c>
      <c r="R51" s="226">
        <f>CAPEX!P93</f>
        <v>0</v>
      </c>
      <c r="S51" s="226">
        <f>CAPEX!Q93</f>
        <v>0</v>
      </c>
      <c r="T51" s="226">
        <f>CAPEX!R93</f>
        <v>0</v>
      </c>
      <c r="U51" s="226">
        <f>CAPEX!S93</f>
        <v>0</v>
      </c>
      <c r="V51" s="226">
        <f>CAPEX!T93</f>
        <v>0</v>
      </c>
      <c r="W51" s="226">
        <f>CAPEX!U93</f>
        <v>0</v>
      </c>
      <c r="X51" s="226">
        <f>CAPEX!V93</f>
        <v>0</v>
      </c>
      <c r="Y51" s="226">
        <f>CAPEX!W93</f>
        <v>402.66500000000002</v>
      </c>
      <c r="Z51" s="226">
        <f>CAPEX!X93</f>
        <v>0</v>
      </c>
      <c r="AA51" s="226">
        <f>CAPEX!Y93</f>
        <v>0</v>
      </c>
      <c r="AB51" s="226">
        <f>CAPEX!Z93</f>
        <v>0</v>
      </c>
      <c r="AC51" s="226">
        <f>CAPEX!AA93</f>
        <v>0</v>
      </c>
      <c r="AD51" s="226">
        <f>CAPEX!AB93</f>
        <v>0</v>
      </c>
      <c r="AE51" s="226">
        <f>CAPEX!AC93</f>
        <v>0</v>
      </c>
      <c r="AF51" s="226">
        <f>CAPEX!AD93</f>
        <v>0</v>
      </c>
      <c r="AG51" s="226">
        <f>CAPEX!AE93</f>
        <v>0</v>
      </c>
      <c r="AH51" s="226">
        <f>CAPEX!AF93</f>
        <v>0</v>
      </c>
      <c r="AI51" s="227"/>
      <c r="AJ51" s="152"/>
      <c r="AK51" s="152"/>
      <c r="AL51" s="152"/>
    </row>
    <row r="52" spans="1:38" ht="16.5" customHeight="1" outlineLevel="1">
      <c r="A52" s="154"/>
      <c r="B52" s="230" t="s">
        <v>298</v>
      </c>
      <c r="C52" s="405" t="s">
        <v>298</v>
      </c>
      <c r="D52" s="405" t="s">
        <v>171</v>
      </c>
      <c r="E52" s="226">
        <f>CAPEX!C100</f>
        <v>53.057000000000002</v>
      </c>
      <c r="F52" s="226">
        <f>CAPEX!D100</f>
        <v>0</v>
      </c>
      <c r="G52" s="226">
        <f>CAPEX!E100</f>
        <v>0</v>
      </c>
      <c r="H52" s="226">
        <f>CAPEX!F100</f>
        <v>48.86</v>
      </c>
      <c r="I52" s="226">
        <f>CAPEX!G100</f>
        <v>0</v>
      </c>
      <c r="J52" s="226">
        <f>CAPEX!H100</f>
        <v>0</v>
      </c>
      <c r="K52" s="226">
        <f>CAPEX!I100</f>
        <v>48.86</v>
      </c>
      <c r="L52" s="226">
        <f>CAPEX!J100</f>
        <v>0</v>
      </c>
      <c r="M52" s="226">
        <f>CAPEX!K100</f>
        <v>0</v>
      </c>
      <c r="N52" s="226">
        <f>CAPEX!L100</f>
        <v>48.86</v>
      </c>
      <c r="O52" s="226">
        <f>CAPEX!M100</f>
        <v>4.1970000000000001</v>
      </c>
      <c r="P52" s="226">
        <f>CAPEX!N100</f>
        <v>0</v>
      </c>
      <c r="Q52" s="226">
        <f>CAPEX!O100</f>
        <v>48.86</v>
      </c>
      <c r="R52" s="226">
        <f>CAPEX!P100</f>
        <v>0</v>
      </c>
      <c r="S52" s="226">
        <f>CAPEX!Q100</f>
        <v>0</v>
      </c>
      <c r="T52" s="226">
        <f>CAPEX!R100</f>
        <v>48.86</v>
      </c>
      <c r="U52" s="226">
        <f>CAPEX!S100</f>
        <v>0</v>
      </c>
      <c r="V52" s="226">
        <f>CAPEX!T100</f>
        <v>0</v>
      </c>
      <c r="W52" s="226">
        <f>CAPEX!U100</f>
        <v>48.86</v>
      </c>
      <c r="X52" s="226">
        <f>CAPEX!V100</f>
        <v>0</v>
      </c>
      <c r="Y52" s="226">
        <f>CAPEX!W100</f>
        <v>4.1970000000000001</v>
      </c>
      <c r="Z52" s="226">
        <f>CAPEX!X100</f>
        <v>48.86</v>
      </c>
      <c r="AA52" s="226">
        <f>CAPEX!Y100</f>
        <v>0</v>
      </c>
      <c r="AB52" s="226">
        <f>CAPEX!Z100</f>
        <v>0</v>
      </c>
      <c r="AC52" s="226">
        <f>CAPEX!AA100</f>
        <v>48.86</v>
      </c>
      <c r="AD52" s="226">
        <f>CAPEX!AB100</f>
        <v>0</v>
      </c>
      <c r="AE52" s="226">
        <f>CAPEX!AC100</f>
        <v>0</v>
      </c>
      <c r="AF52" s="226">
        <f>CAPEX!AD100</f>
        <v>48.86</v>
      </c>
      <c r="AG52" s="226">
        <f>CAPEX!AE100</f>
        <v>0</v>
      </c>
      <c r="AH52" s="226">
        <f>CAPEX!AF100</f>
        <v>0</v>
      </c>
      <c r="AI52" s="227"/>
      <c r="AJ52" s="152"/>
      <c r="AK52" s="152"/>
      <c r="AL52" s="152"/>
    </row>
    <row r="53" spans="1:38" s="162" customFormat="1" ht="3" customHeight="1">
      <c r="A53" s="154"/>
      <c r="B53" s="150"/>
      <c r="C53" s="150"/>
      <c r="D53" s="150"/>
      <c r="E53" s="172"/>
      <c r="F53" s="177"/>
      <c r="G53" s="177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77"/>
      <c r="AE53" s="177"/>
      <c r="AF53" s="177"/>
      <c r="AG53" s="177"/>
      <c r="AH53" s="177"/>
      <c r="AI53" s="173"/>
      <c r="AJ53" s="154"/>
      <c r="AK53" s="154"/>
      <c r="AL53" s="154"/>
    </row>
    <row r="54" spans="1:38" ht="16.5" hidden="1" customHeight="1">
      <c r="A54" s="152"/>
      <c r="B54" s="453" t="s">
        <v>984</v>
      </c>
      <c r="C54" s="453"/>
      <c r="D54" s="453"/>
      <c r="E54" s="454">
        <f t="shared" ref="E54" si="12">SUM(E56:E59)</f>
        <v>0</v>
      </c>
      <c r="F54" s="454">
        <f t="shared" ref="F54:AH54" si="13">SUM(F56:F58)</f>
        <v>0</v>
      </c>
      <c r="G54" s="454">
        <f t="shared" si="13"/>
        <v>0</v>
      </c>
      <c r="H54" s="454">
        <f t="shared" si="13"/>
        <v>0</v>
      </c>
      <c r="I54" s="454">
        <f t="shared" si="13"/>
        <v>0</v>
      </c>
      <c r="J54" s="454">
        <f t="shared" si="13"/>
        <v>0</v>
      </c>
      <c r="K54" s="454">
        <f t="shared" si="13"/>
        <v>0</v>
      </c>
      <c r="L54" s="454">
        <f t="shared" si="13"/>
        <v>0</v>
      </c>
      <c r="M54" s="454">
        <f t="shared" si="13"/>
        <v>0</v>
      </c>
      <c r="N54" s="454">
        <f t="shared" si="13"/>
        <v>0</v>
      </c>
      <c r="O54" s="454">
        <f t="shared" si="13"/>
        <v>0</v>
      </c>
      <c r="P54" s="454">
        <f t="shared" si="13"/>
        <v>0</v>
      </c>
      <c r="Q54" s="454">
        <f t="shared" si="13"/>
        <v>0</v>
      </c>
      <c r="R54" s="454">
        <f t="shared" si="13"/>
        <v>0</v>
      </c>
      <c r="S54" s="454">
        <f t="shared" si="13"/>
        <v>0</v>
      </c>
      <c r="T54" s="454">
        <f t="shared" si="13"/>
        <v>0</v>
      </c>
      <c r="U54" s="454">
        <f t="shared" si="13"/>
        <v>0</v>
      </c>
      <c r="V54" s="454">
        <f t="shared" si="13"/>
        <v>0</v>
      </c>
      <c r="W54" s="454">
        <f t="shared" si="13"/>
        <v>0</v>
      </c>
      <c r="X54" s="454">
        <f t="shared" si="13"/>
        <v>0</v>
      </c>
      <c r="Y54" s="454">
        <f t="shared" si="13"/>
        <v>0</v>
      </c>
      <c r="Z54" s="454">
        <f t="shared" si="13"/>
        <v>0</v>
      </c>
      <c r="AA54" s="454">
        <f t="shared" si="13"/>
        <v>0</v>
      </c>
      <c r="AB54" s="454">
        <f t="shared" si="13"/>
        <v>0</v>
      </c>
      <c r="AC54" s="454">
        <f t="shared" si="13"/>
        <v>0</v>
      </c>
      <c r="AD54" s="454">
        <f t="shared" si="13"/>
        <v>0</v>
      </c>
      <c r="AE54" s="454">
        <f t="shared" si="13"/>
        <v>0</v>
      </c>
      <c r="AF54" s="454">
        <f t="shared" si="13"/>
        <v>0</v>
      </c>
      <c r="AG54" s="454">
        <f t="shared" si="13"/>
        <v>0</v>
      </c>
      <c r="AH54" s="454">
        <f t="shared" si="13"/>
        <v>0</v>
      </c>
      <c r="AI54" s="169"/>
      <c r="AJ54" s="152"/>
      <c r="AK54" s="152"/>
      <c r="AL54" s="152"/>
    </row>
    <row r="55" spans="1:38" ht="3" hidden="1" customHeight="1">
      <c r="A55" s="154"/>
      <c r="B55" s="223"/>
      <c r="C55" s="231"/>
      <c r="D55" s="231"/>
      <c r="E55" s="170"/>
      <c r="F55" s="170"/>
      <c r="G55" s="171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1"/>
      <c r="AE55" s="171"/>
      <c r="AF55" s="171"/>
      <c r="AG55" s="171"/>
      <c r="AH55" s="171"/>
      <c r="AI55" s="224"/>
      <c r="AJ55" s="152"/>
      <c r="AK55" s="152"/>
      <c r="AL55" s="152"/>
    </row>
    <row r="56" spans="1:38" ht="16.5" customHeight="1" outlineLevel="1">
      <c r="A56" s="154"/>
      <c r="B56" s="225" t="s">
        <v>296</v>
      </c>
      <c r="C56" s="405" t="s">
        <v>296</v>
      </c>
      <c r="D56" s="405" t="s">
        <v>170</v>
      </c>
      <c r="E56" s="226">
        <v>0</v>
      </c>
      <c r="F56" s="226">
        <v>0</v>
      </c>
      <c r="G56" s="226">
        <v>0</v>
      </c>
      <c r="H56" s="226">
        <v>0</v>
      </c>
      <c r="I56" s="226">
        <v>0</v>
      </c>
      <c r="J56" s="226">
        <v>0</v>
      </c>
      <c r="K56" s="226">
        <v>0</v>
      </c>
      <c r="L56" s="226">
        <v>0</v>
      </c>
      <c r="M56" s="226">
        <v>0</v>
      </c>
      <c r="N56" s="226">
        <v>0</v>
      </c>
      <c r="O56" s="226">
        <v>0</v>
      </c>
      <c r="P56" s="226">
        <v>0</v>
      </c>
      <c r="Q56" s="226">
        <v>0</v>
      </c>
      <c r="R56" s="226">
        <v>0</v>
      </c>
      <c r="S56" s="226">
        <v>0</v>
      </c>
      <c r="T56" s="226">
        <v>0</v>
      </c>
      <c r="U56" s="226">
        <v>0</v>
      </c>
      <c r="V56" s="226">
        <v>0</v>
      </c>
      <c r="W56" s="226">
        <v>0</v>
      </c>
      <c r="X56" s="226">
        <v>0</v>
      </c>
      <c r="Y56" s="226">
        <v>0</v>
      </c>
      <c r="Z56" s="226">
        <v>0</v>
      </c>
      <c r="AA56" s="226">
        <v>0</v>
      </c>
      <c r="AB56" s="226">
        <v>0</v>
      </c>
      <c r="AC56" s="226">
        <v>0</v>
      </c>
      <c r="AD56" s="226">
        <v>0</v>
      </c>
      <c r="AE56" s="226">
        <v>0</v>
      </c>
      <c r="AF56" s="226">
        <v>0</v>
      </c>
      <c r="AG56" s="226">
        <v>0</v>
      </c>
      <c r="AH56" s="226">
        <v>0</v>
      </c>
      <c r="AI56" s="227"/>
      <c r="AJ56" s="152"/>
      <c r="AK56" s="152"/>
      <c r="AL56" s="152"/>
    </row>
    <row r="57" spans="1:38" ht="16.5" customHeight="1" outlineLevel="1">
      <c r="A57" s="154"/>
      <c r="B57" s="225" t="s">
        <v>297</v>
      </c>
      <c r="C57" s="405" t="s">
        <v>297</v>
      </c>
      <c r="D57" s="405" t="s">
        <v>170</v>
      </c>
      <c r="E57" s="226">
        <v>0</v>
      </c>
      <c r="F57" s="226">
        <v>0</v>
      </c>
      <c r="G57" s="226">
        <v>0</v>
      </c>
      <c r="H57" s="226">
        <v>0</v>
      </c>
      <c r="I57" s="226">
        <v>0</v>
      </c>
      <c r="J57" s="226">
        <v>0</v>
      </c>
      <c r="K57" s="226">
        <v>0</v>
      </c>
      <c r="L57" s="226">
        <v>0</v>
      </c>
      <c r="M57" s="226">
        <v>0</v>
      </c>
      <c r="N57" s="226">
        <v>0</v>
      </c>
      <c r="O57" s="226">
        <v>0</v>
      </c>
      <c r="P57" s="226">
        <v>0</v>
      </c>
      <c r="Q57" s="226">
        <v>0</v>
      </c>
      <c r="R57" s="226">
        <v>0</v>
      </c>
      <c r="S57" s="226">
        <v>0</v>
      </c>
      <c r="T57" s="226">
        <v>0</v>
      </c>
      <c r="U57" s="226">
        <v>0</v>
      </c>
      <c r="V57" s="226">
        <v>0</v>
      </c>
      <c r="W57" s="226">
        <v>0</v>
      </c>
      <c r="X57" s="226">
        <v>0</v>
      </c>
      <c r="Y57" s="226">
        <v>0</v>
      </c>
      <c r="Z57" s="226">
        <v>0</v>
      </c>
      <c r="AA57" s="226">
        <v>0</v>
      </c>
      <c r="AB57" s="226">
        <v>0</v>
      </c>
      <c r="AC57" s="226">
        <v>0</v>
      </c>
      <c r="AD57" s="226">
        <v>0</v>
      </c>
      <c r="AE57" s="226">
        <v>0</v>
      </c>
      <c r="AF57" s="226">
        <v>0</v>
      </c>
      <c r="AG57" s="226">
        <v>0</v>
      </c>
      <c r="AH57" s="226">
        <v>0</v>
      </c>
      <c r="AI57" s="227"/>
      <c r="AJ57" s="152"/>
      <c r="AK57" s="152"/>
      <c r="AL57" s="152"/>
    </row>
    <row r="58" spans="1:38" ht="16.5" customHeight="1" outlineLevel="1" collapsed="1">
      <c r="A58" s="154"/>
      <c r="B58" s="225" t="s">
        <v>298</v>
      </c>
      <c r="C58" s="405" t="s">
        <v>298</v>
      </c>
      <c r="D58" s="405" t="s">
        <v>170</v>
      </c>
      <c r="E58" s="226">
        <v>0</v>
      </c>
      <c r="F58" s="226">
        <v>0</v>
      </c>
      <c r="G58" s="226">
        <v>0</v>
      </c>
      <c r="H58" s="226">
        <v>0</v>
      </c>
      <c r="I58" s="226">
        <v>0</v>
      </c>
      <c r="J58" s="226">
        <v>0</v>
      </c>
      <c r="K58" s="226">
        <v>0</v>
      </c>
      <c r="L58" s="226">
        <v>0</v>
      </c>
      <c r="M58" s="226">
        <v>0</v>
      </c>
      <c r="N58" s="226">
        <v>0</v>
      </c>
      <c r="O58" s="226">
        <v>0</v>
      </c>
      <c r="P58" s="226">
        <v>0</v>
      </c>
      <c r="Q58" s="226">
        <v>0</v>
      </c>
      <c r="R58" s="226">
        <v>0</v>
      </c>
      <c r="S58" s="226">
        <v>0</v>
      </c>
      <c r="T58" s="226">
        <v>0</v>
      </c>
      <c r="U58" s="226">
        <v>0</v>
      </c>
      <c r="V58" s="226">
        <v>0</v>
      </c>
      <c r="W58" s="226">
        <v>0</v>
      </c>
      <c r="X58" s="226">
        <v>0</v>
      </c>
      <c r="Y58" s="226">
        <v>0</v>
      </c>
      <c r="Z58" s="226">
        <v>0</v>
      </c>
      <c r="AA58" s="226">
        <v>0</v>
      </c>
      <c r="AB58" s="226">
        <v>0</v>
      </c>
      <c r="AC58" s="226">
        <v>0</v>
      </c>
      <c r="AD58" s="226">
        <v>0</v>
      </c>
      <c r="AE58" s="226">
        <v>0</v>
      </c>
      <c r="AF58" s="226">
        <v>0</v>
      </c>
      <c r="AG58" s="226">
        <v>0</v>
      </c>
      <c r="AH58" s="226">
        <v>0</v>
      </c>
      <c r="AI58" s="226"/>
      <c r="AJ58" s="152"/>
      <c r="AK58" s="152"/>
      <c r="AL58" s="152"/>
    </row>
    <row r="59" spans="1:38" ht="3" customHeight="1">
      <c r="A59" s="154"/>
      <c r="B59" s="231"/>
      <c r="C59" s="231"/>
      <c r="D59" s="231"/>
      <c r="E59" s="171"/>
      <c r="F59" s="171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1"/>
      <c r="AE59" s="171"/>
      <c r="AF59" s="171"/>
      <c r="AG59" s="171"/>
      <c r="AH59" s="171"/>
      <c r="AI59" s="224"/>
      <c r="AJ59" s="152"/>
      <c r="AK59" s="152"/>
      <c r="AL59" s="152"/>
    </row>
    <row r="60" spans="1:38" ht="16.5" customHeight="1">
      <c r="A60" s="152"/>
      <c r="B60" s="453" t="s">
        <v>1114</v>
      </c>
      <c r="C60" s="453"/>
      <c r="D60" s="453"/>
      <c r="E60" s="454">
        <f>SUM(E62:E63)</f>
        <v>365.43042089599805</v>
      </c>
      <c r="F60" s="454">
        <f t="shared" ref="F60:AH60" si="14">SUM(F62:F63)</f>
        <v>1410.9263993250449</v>
      </c>
      <c r="G60" s="454">
        <f t="shared" si="14"/>
        <v>378.16893583420006</v>
      </c>
      <c r="H60" s="454">
        <f t="shared" si="14"/>
        <v>49.327041674200004</v>
      </c>
      <c r="I60" s="454">
        <f t="shared" si="14"/>
        <v>49.327041674200004</v>
      </c>
      <c r="J60" s="454">
        <f t="shared" si="14"/>
        <v>12201.004333370471</v>
      </c>
      <c r="K60" s="454">
        <f t="shared" si="14"/>
        <v>168.31293295294401</v>
      </c>
      <c r="L60" s="454">
        <f t="shared" si="14"/>
        <v>52.042301674200004</v>
      </c>
      <c r="M60" s="454">
        <f t="shared" si="14"/>
        <v>43.404541674200004</v>
      </c>
      <c r="N60" s="454">
        <f t="shared" si="14"/>
        <v>69.327041674200004</v>
      </c>
      <c r="O60" s="454">
        <f t="shared" si="14"/>
        <v>107.3752145185596</v>
      </c>
      <c r="P60" s="454">
        <f t="shared" si="14"/>
        <v>347.06917320436901</v>
      </c>
      <c r="Q60" s="454">
        <f t="shared" si="14"/>
        <v>83.822160106200016</v>
      </c>
      <c r="R60" s="454">
        <f t="shared" si="14"/>
        <v>178.80952295294401</v>
      </c>
      <c r="S60" s="454">
        <f t="shared" si="14"/>
        <v>43.404541674200004</v>
      </c>
      <c r="T60" s="454">
        <f t="shared" si="14"/>
        <v>2480.8966560422537</v>
      </c>
      <c r="U60" s="454">
        <f t="shared" si="14"/>
        <v>58.830451674199999</v>
      </c>
      <c r="V60" s="454">
        <f t="shared" si="14"/>
        <v>66.119801674200005</v>
      </c>
      <c r="W60" s="454">
        <f t="shared" si="14"/>
        <v>49.327041674200004</v>
      </c>
      <c r="X60" s="454">
        <f t="shared" si="14"/>
        <v>49.327041674200004</v>
      </c>
      <c r="Y60" s="454">
        <f t="shared" si="14"/>
        <v>210.93519579730363</v>
      </c>
      <c r="Z60" s="454">
        <f t="shared" si="14"/>
        <v>372.99167320436902</v>
      </c>
      <c r="AA60" s="454">
        <f t="shared" si="14"/>
        <v>83.822160106200016</v>
      </c>
      <c r="AB60" s="454">
        <f t="shared" si="14"/>
        <v>43.404541674200004</v>
      </c>
      <c r="AC60" s="454">
        <f t="shared" si="14"/>
        <v>49.327041674200004</v>
      </c>
      <c r="AD60" s="454">
        <f t="shared" si="14"/>
        <v>2501.1449361862537</v>
      </c>
      <c r="AE60" s="454">
        <f t="shared" si="14"/>
        <v>52.9079516742</v>
      </c>
      <c r="AF60" s="454">
        <f t="shared" si="14"/>
        <v>161.52478295294401</v>
      </c>
      <c r="AG60" s="454">
        <f t="shared" si="14"/>
        <v>49.327041674200004</v>
      </c>
      <c r="AH60" s="454">
        <f t="shared" si="14"/>
        <v>63.404541674200004</v>
      </c>
      <c r="AI60" s="169"/>
      <c r="AJ60" s="152"/>
      <c r="AK60" s="152"/>
      <c r="AL60" s="152"/>
    </row>
    <row r="61" spans="1:38" ht="3" customHeight="1">
      <c r="A61" s="154"/>
      <c r="B61" s="223"/>
      <c r="C61" s="231"/>
      <c r="D61" s="231"/>
      <c r="E61" s="232"/>
      <c r="F61" s="232"/>
      <c r="G61" s="224"/>
      <c r="H61" s="224"/>
      <c r="I61" s="224"/>
      <c r="J61" s="224"/>
      <c r="K61" s="224"/>
      <c r="L61" s="224"/>
      <c r="M61" s="224"/>
      <c r="N61" s="224"/>
      <c r="O61" s="224"/>
      <c r="P61" s="224"/>
      <c r="Q61" s="224"/>
      <c r="R61" s="224"/>
      <c r="S61" s="224"/>
      <c r="T61" s="224"/>
      <c r="U61" s="224"/>
      <c r="V61" s="224"/>
      <c r="W61" s="224"/>
      <c r="X61" s="224"/>
      <c r="Y61" s="224"/>
      <c r="Z61" s="224"/>
      <c r="AA61" s="224"/>
      <c r="AB61" s="224"/>
      <c r="AC61" s="224"/>
      <c r="AD61" s="224"/>
      <c r="AE61" s="224"/>
      <c r="AF61" s="224"/>
      <c r="AG61" s="224"/>
      <c r="AH61" s="224"/>
      <c r="AI61" s="224"/>
      <c r="AJ61" s="152"/>
      <c r="AK61" s="152"/>
      <c r="AL61" s="152"/>
    </row>
    <row r="62" spans="1:38" ht="15.6" outlineLevel="1">
      <c r="A62" s="154"/>
      <c r="B62" s="225" t="s">
        <v>1115</v>
      </c>
      <c r="C62" s="405" t="s">
        <v>299</v>
      </c>
      <c r="D62" s="405" t="s">
        <v>170</v>
      </c>
      <c r="E62" s="226">
        <f>CAPEX!C109</f>
        <v>316.10337922179804</v>
      </c>
      <c r="F62" s="226">
        <f>CAPEX!D109</f>
        <v>1318.8112076508448</v>
      </c>
      <c r="G62" s="226">
        <f>CAPEX!E109</f>
        <v>334.76439416000005</v>
      </c>
      <c r="H62" s="226">
        <f>CAPEX!F109</f>
        <v>0</v>
      </c>
      <c r="I62" s="226">
        <f>CAPEX!G109</f>
        <v>0</v>
      </c>
      <c r="J62" s="226">
        <f>CAPEX!H109</f>
        <v>12157.53772166027</v>
      </c>
      <c r="K62" s="226">
        <f>CAPEX!I109</f>
        <v>0</v>
      </c>
      <c r="L62" s="226">
        <f>CAPEX!J109</f>
        <v>0</v>
      </c>
      <c r="M62" s="226">
        <f>CAPEX!K109</f>
        <v>0</v>
      </c>
      <c r="N62" s="226">
        <f>CAPEX!L109</f>
        <v>20</v>
      </c>
      <c r="O62" s="226">
        <f>CAPEX!M109</f>
        <v>58.048172844359605</v>
      </c>
      <c r="P62" s="226">
        <f>CAPEX!N109</f>
        <v>258.16122153016903</v>
      </c>
      <c r="Q62" s="226">
        <f>CAPEX!O109</f>
        <v>31.779858432000005</v>
      </c>
      <c r="R62" s="226">
        <f>CAPEX!P109</f>
        <v>20</v>
      </c>
      <c r="S62" s="226">
        <f>CAPEX!Q109</f>
        <v>0</v>
      </c>
      <c r="T62" s="226">
        <f>CAPEX!R109</f>
        <v>2431.5075443320538</v>
      </c>
      <c r="U62" s="226">
        <f>CAPEX!S109</f>
        <v>0</v>
      </c>
      <c r="V62" s="226">
        <f>CAPEX!T109</f>
        <v>20</v>
      </c>
      <c r="W62" s="226">
        <f>CAPEX!U109</f>
        <v>0</v>
      </c>
      <c r="X62" s="226">
        <f>CAPEX!V109</f>
        <v>0</v>
      </c>
      <c r="Y62" s="226">
        <f>CAPEX!W109</f>
        <v>58.048172844359605</v>
      </c>
      <c r="Z62" s="226">
        <f>CAPEX!X109</f>
        <v>278.16122153016903</v>
      </c>
      <c r="AA62" s="226">
        <f>CAPEX!Y109</f>
        <v>31.779858432000005</v>
      </c>
      <c r="AB62" s="226">
        <f>CAPEX!Z109</f>
        <v>0</v>
      </c>
      <c r="AC62" s="226">
        <f>CAPEX!AA109</f>
        <v>0</v>
      </c>
      <c r="AD62" s="226">
        <f>CAPEX!AB109</f>
        <v>2451.5075443320538</v>
      </c>
      <c r="AE62" s="226">
        <f>CAPEX!AC109</f>
        <v>0</v>
      </c>
      <c r="AF62" s="226">
        <f>CAPEX!AD109</f>
        <v>0</v>
      </c>
      <c r="AG62" s="226">
        <f>CAPEX!AE109</f>
        <v>0</v>
      </c>
      <c r="AH62" s="226">
        <f>CAPEX!AF109</f>
        <v>20</v>
      </c>
      <c r="AI62" s="227"/>
      <c r="AJ62" s="152"/>
      <c r="AK62" s="152"/>
      <c r="AL62" s="152"/>
    </row>
    <row r="63" spans="1:38" ht="15.6" outlineLevel="1">
      <c r="A63" s="154"/>
      <c r="B63" s="225" t="s">
        <v>298</v>
      </c>
      <c r="C63" s="405" t="s">
        <v>298</v>
      </c>
      <c r="D63" s="405" t="s">
        <v>170</v>
      </c>
      <c r="E63" s="226">
        <f>CAPEX!C156</f>
        <v>49.327041674200004</v>
      </c>
      <c r="F63" s="226">
        <f>CAPEX!D156</f>
        <v>92.115191674200005</v>
      </c>
      <c r="G63" s="226">
        <f>CAPEX!E156</f>
        <v>43.404541674200004</v>
      </c>
      <c r="H63" s="226">
        <f>CAPEX!F156</f>
        <v>49.327041674200004</v>
      </c>
      <c r="I63" s="226">
        <f>CAPEX!G156</f>
        <v>49.327041674200004</v>
      </c>
      <c r="J63" s="226">
        <f>CAPEX!H156</f>
        <v>43.466611710199999</v>
      </c>
      <c r="K63" s="226">
        <f>CAPEX!I156</f>
        <v>168.31293295294401</v>
      </c>
      <c r="L63" s="226">
        <f>CAPEX!J156</f>
        <v>52.042301674200004</v>
      </c>
      <c r="M63" s="226">
        <f>CAPEX!K156</f>
        <v>43.404541674200004</v>
      </c>
      <c r="N63" s="226">
        <f>CAPEX!L156</f>
        <v>49.327041674200004</v>
      </c>
      <c r="O63" s="226">
        <f>CAPEX!M156</f>
        <v>49.327041674200004</v>
      </c>
      <c r="P63" s="226">
        <f>CAPEX!N156</f>
        <v>88.907951674200007</v>
      </c>
      <c r="Q63" s="226">
        <f>CAPEX!O156</f>
        <v>52.042301674200004</v>
      </c>
      <c r="R63" s="226">
        <f>CAPEX!P156</f>
        <v>158.80952295294401</v>
      </c>
      <c r="S63" s="226">
        <f>CAPEX!Q156</f>
        <v>43.404541674200004</v>
      </c>
      <c r="T63" s="226">
        <f>CAPEX!R156</f>
        <v>49.389111710199998</v>
      </c>
      <c r="U63" s="226">
        <f>CAPEX!S156</f>
        <v>58.830451674199999</v>
      </c>
      <c r="V63" s="226">
        <f>CAPEX!T156</f>
        <v>46.119801674200005</v>
      </c>
      <c r="W63" s="226">
        <f>CAPEX!U156</f>
        <v>49.327041674200004</v>
      </c>
      <c r="X63" s="226">
        <f>CAPEX!V156</f>
        <v>49.327041674200004</v>
      </c>
      <c r="Y63" s="226">
        <f>CAPEX!W156</f>
        <v>152.88702295294402</v>
      </c>
      <c r="Z63" s="226">
        <f>CAPEX!X156</f>
        <v>94.830451674200006</v>
      </c>
      <c r="AA63" s="226">
        <f>CAPEX!Y156</f>
        <v>52.042301674200004</v>
      </c>
      <c r="AB63" s="226">
        <f>CAPEX!Z156</f>
        <v>43.404541674200004</v>
      </c>
      <c r="AC63" s="226">
        <f>CAPEX!AA156</f>
        <v>49.327041674200004</v>
      </c>
      <c r="AD63" s="226">
        <f>CAPEX!AB156</f>
        <v>49.637391854200004</v>
      </c>
      <c r="AE63" s="226">
        <f>CAPEX!AC156</f>
        <v>52.9079516742</v>
      </c>
      <c r="AF63" s="226">
        <f>CAPEX!AD156</f>
        <v>161.52478295294401</v>
      </c>
      <c r="AG63" s="226">
        <f>CAPEX!AE156</f>
        <v>49.327041674200004</v>
      </c>
      <c r="AH63" s="226">
        <f>CAPEX!AF156</f>
        <v>43.404541674200004</v>
      </c>
      <c r="AI63" s="227"/>
      <c r="AJ63" s="152"/>
      <c r="AK63" s="152"/>
      <c r="AL63" s="152"/>
    </row>
    <row r="64" spans="1:38" ht="16.5" customHeight="1">
      <c r="A64" s="152"/>
      <c r="B64" s="453" t="s">
        <v>861</v>
      </c>
      <c r="C64" s="453"/>
      <c r="D64" s="453"/>
      <c r="E64" s="454">
        <v>0</v>
      </c>
      <c r="F64" s="454">
        <v>0</v>
      </c>
      <c r="G64" s="454">
        <v>0</v>
      </c>
      <c r="H64" s="454">
        <v>0</v>
      </c>
      <c r="I64" s="454">
        <v>0</v>
      </c>
      <c r="J64" s="454">
        <v>0</v>
      </c>
      <c r="K64" s="454">
        <v>0</v>
      </c>
      <c r="L64" s="454">
        <v>0</v>
      </c>
      <c r="M64" s="454">
        <v>0</v>
      </c>
      <c r="N64" s="454">
        <v>0</v>
      </c>
      <c r="O64" s="454">
        <v>0</v>
      </c>
      <c r="P64" s="454">
        <v>0</v>
      </c>
      <c r="Q64" s="454">
        <v>0</v>
      </c>
      <c r="R64" s="454">
        <v>0</v>
      </c>
      <c r="S64" s="454">
        <v>0</v>
      </c>
      <c r="T64" s="454">
        <v>0</v>
      </c>
      <c r="U64" s="454">
        <v>0</v>
      </c>
      <c r="V64" s="454">
        <v>0</v>
      </c>
      <c r="W64" s="454">
        <v>0</v>
      </c>
      <c r="X64" s="454">
        <v>0</v>
      </c>
      <c r="Y64" s="454">
        <v>0</v>
      </c>
      <c r="Z64" s="454">
        <v>0</v>
      </c>
      <c r="AA64" s="454">
        <v>0</v>
      </c>
      <c r="AB64" s="454">
        <v>0</v>
      </c>
      <c r="AC64" s="454">
        <v>0</v>
      </c>
      <c r="AD64" s="454">
        <v>0</v>
      </c>
      <c r="AE64" s="454">
        <v>0</v>
      </c>
      <c r="AF64" s="454">
        <v>0</v>
      </c>
      <c r="AG64" s="454">
        <v>0</v>
      </c>
      <c r="AH64" s="454">
        <v>0</v>
      </c>
      <c r="AI64" s="169"/>
      <c r="AJ64" s="152"/>
      <c r="AK64" s="152"/>
      <c r="AL64" s="152"/>
    </row>
    <row r="65" spans="1:38" ht="16.5" customHeight="1" outlineLevel="1">
      <c r="A65" s="154"/>
      <c r="B65" s="225" t="s">
        <v>297</v>
      </c>
      <c r="C65" s="405" t="s">
        <v>297</v>
      </c>
      <c r="D65" s="405" t="s">
        <v>171</v>
      </c>
      <c r="E65" s="226">
        <v>0</v>
      </c>
      <c r="F65" s="226">
        <v>0</v>
      </c>
      <c r="G65" s="226">
        <v>0</v>
      </c>
      <c r="H65" s="226">
        <v>0</v>
      </c>
      <c r="I65" s="226">
        <v>0</v>
      </c>
      <c r="J65" s="226">
        <v>0</v>
      </c>
      <c r="K65" s="226">
        <v>0</v>
      </c>
      <c r="L65" s="226">
        <v>0</v>
      </c>
      <c r="M65" s="226">
        <v>0</v>
      </c>
      <c r="N65" s="226">
        <v>0</v>
      </c>
      <c r="O65" s="226">
        <v>0</v>
      </c>
      <c r="P65" s="226">
        <v>0</v>
      </c>
      <c r="Q65" s="226">
        <v>0</v>
      </c>
      <c r="R65" s="226">
        <v>0</v>
      </c>
      <c r="S65" s="226">
        <v>0</v>
      </c>
      <c r="T65" s="226">
        <v>0</v>
      </c>
      <c r="U65" s="226">
        <v>0</v>
      </c>
      <c r="V65" s="226">
        <v>0</v>
      </c>
      <c r="W65" s="226">
        <v>0</v>
      </c>
      <c r="X65" s="226">
        <v>0</v>
      </c>
      <c r="Y65" s="226">
        <v>0</v>
      </c>
      <c r="Z65" s="226">
        <v>0</v>
      </c>
      <c r="AA65" s="226">
        <v>0</v>
      </c>
      <c r="AB65" s="226">
        <v>0</v>
      </c>
      <c r="AC65" s="226">
        <v>0</v>
      </c>
      <c r="AD65" s="226">
        <v>0</v>
      </c>
      <c r="AE65" s="226">
        <v>0</v>
      </c>
      <c r="AF65" s="226">
        <v>0</v>
      </c>
      <c r="AG65" s="226">
        <v>0</v>
      </c>
      <c r="AH65" s="226">
        <v>0</v>
      </c>
      <c r="AI65" s="227"/>
      <c r="AJ65" s="152"/>
      <c r="AK65" s="152"/>
      <c r="AL65" s="152"/>
    </row>
    <row r="66" spans="1:38" ht="3" customHeight="1">
      <c r="A66" s="154"/>
      <c r="B66" s="223"/>
      <c r="C66" s="231"/>
      <c r="D66" s="231"/>
      <c r="E66" s="224"/>
      <c r="F66" s="224"/>
      <c r="G66" s="224"/>
      <c r="H66" s="224"/>
      <c r="I66" s="224"/>
      <c r="J66" s="224"/>
      <c r="K66" s="224"/>
      <c r="L66" s="224"/>
      <c r="M66" s="224"/>
      <c r="N66" s="224"/>
      <c r="O66" s="224"/>
      <c r="P66" s="224"/>
      <c r="Q66" s="224"/>
      <c r="R66" s="224"/>
      <c r="S66" s="224"/>
      <c r="T66" s="224"/>
      <c r="U66" s="224"/>
      <c r="V66" s="224"/>
      <c r="W66" s="224"/>
      <c r="X66" s="224"/>
      <c r="Y66" s="224"/>
      <c r="Z66" s="224"/>
      <c r="AA66" s="224"/>
      <c r="AB66" s="224"/>
      <c r="AC66" s="224"/>
      <c r="AD66" s="224"/>
      <c r="AE66" s="224"/>
      <c r="AF66" s="224"/>
      <c r="AG66" s="224"/>
      <c r="AH66" s="224"/>
      <c r="AI66" s="224"/>
      <c r="AJ66" s="152"/>
      <c r="AK66" s="152"/>
      <c r="AL66" s="152"/>
    </row>
    <row r="67" spans="1:38" ht="16.5" customHeight="1">
      <c r="A67" s="152"/>
      <c r="B67" s="453" t="s">
        <v>863</v>
      </c>
      <c r="C67" s="453"/>
      <c r="D67" s="453"/>
      <c r="E67" s="454">
        <f>SUM(E68:E70)</f>
        <v>175.2099</v>
      </c>
      <c r="F67" s="454">
        <f t="shared" ref="F67:AH67" si="15">SUM(F68:F70)</f>
        <v>61.509409999999995</v>
      </c>
      <c r="G67" s="454">
        <f t="shared" si="15"/>
        <v>0</v>
      </c>
      <c r="H67" s="454">
        <f t="shared" si="15"/>
        <v>0</v>
      </c>
      <c r="I67" s="454">
        <f t="shared" si="15"/>
        <v>0</v>
      </c>
      <c r="J67" s="454">
        <f t="shared" si="15"/>
        <v>25.209900000000001</v>
      </c>
      <c r="K67" s="454">
        <f t="shared" si="15"/>
        <v>10.874799999999999</v>
      </c>
      <c r="L67" s="454">
        <f t="shared" si="15"/>
        <v>0</v>
      </c>
      <c r="M67" s="454">
        <f t="shared" si="15"/>
        <v>0</v>
      </c>
      <c r="N67" s="454">
        <f t="shared" si="15"/>
        <v>0</v>
      </c>
      <c r="O67" s="454">
        <f t="shared" si="15"/>
        <v>25.209900000000001</v>
      </c>
      <c r="P67" s="454">
        <f t="shared" si="15"/>
        <v>38.909409999999994</v>
      </c>
      <c r="Q67" s="454">
        <f t="shared" si="15"/>
        <v>0</v>
      </c>
      <c r="R67" s="454">
        <f t="shared" si="15"/>
        <v>0</v>
      </c>
      <c r="S67" s="454">
        <f t="shared" si="15"/>
        <v>0</v>
      </c>
      <c r="T67" s="454">
        <f t="shared" si="15"/>
        <v>25.209900000000001</v>
      </c>
      <c r="U67" s="454">
        <f t="shared" si="15"/>
        <v>10.874799999999999</v>
      </c>
      <c r="V67" s="454">
        <f t="shared" si="15"/>
        <v>0</v>
      </c>
      <c r="W67" s="454">
        <f t="shared" si="15"/>
        <v>0</v>
      </c>
      <c r="X67" s="454">
        <f t="shared" si="15"/>
        <v>0</v>
      </c>
      <c r="Y67" s="454">
        <f t="shared" si="15"/>
        <v>25.209900000000001</v>
      </c>
      <c r="Z67" s="454">
        <f t="shared" si="15"/>
        <v>38.909409999999994</v>
      </c>
      <c r="AA67" s="454">
        <f t="shared" si="15"/>
        <v>0</v>
      </c>
      <c r="AB67" s="454">
        <f t="shared" si="15"/>
        <v>0</v>
      </c>
      <c r="AC67" s="454">
        <f t="shared" si="15"/>
        <v>0</v>
      </c>
      <c r="AD67" s="454">
        <f t="shared" si="15"/>
        <v>25.209900000000001</v>
      </c>
      <c r="AE67" s="454">
        <f t="shared" si="15"/>
        <v>10.874799999999999</v>
      </c>
      <c r="AF67" s="454">
        <f t="shared" si="15"/>
        <v>0</v>
      </c>
      <c r="AG67" s="454">
        <f t="shared" si="15"/>
        <v>0</v>
      </c>
      <c r="AH67" s="454">
        <f t="shared" si="15"/>
        <v>0</v>
      </c>
      <c r="AI67" s="169"/>
      <c r="AJ67" s="152"/>
      <c r="AK67" s="152"/>
      <c r="AL67" s="152"/>
    </row>
    <row r="68" spans="1:38" ht="16.5" customHeight="1" outlineLevel="1">
      <c r="A68" s="154"/>
      <c r="B68" s="225" t="s">
        <v>297</v>
      </c>
      <c r="C68" s="405" t="s">
        <v>296</v>
      </c>
      <c r="D68" s="405" t="s">
        <v>171</v>
      </c>
      <c r="E68" s="226">
        <v>0</v>
      </c>
      <c r="F68" s="226">
        <v>0</v>
      </c>
      <c r="G68" s="226">
        <v>0</v>
      </c>
      <c r="H68" s="226">
        <v>0</v>
      </c>
      <c r="I68" s="226">
        <v>0</v>
      </c>
      <c r="J68" s="226">
        <v>0</v>
      </c>
      <c r="K68" s="226">
        <v>0</v>
      </c>
      <c r="L68" s="226">
        <v>0</v>
      </c>
      <c r="M68" s="226">
        <v>0</v>
      </c>
      <c r="N68" s="226">
        <v>0</v>
      </c>
      <c r="O68" s="226">
        <v>0</v>
      </c>
      <c r="P68" s="226">
        <v>0</v>
      </c>
      <c r="Q68" s="226">
        <v>0</v>
      </c>
      <c r="R68" s="226">
        <v>0</v>
      </c>
      <c r="S68" s="226">
        <v>0</v>
      </c>
      <c r="T68" s="226">
        <v>0</v>
      </c>
      <c r="U68" s="226">
        <v>0</v>
      </c>
      <c r="V68" s="226">
        <v>0</v>
      </c>
      <c r="W68" s="226">
        <v>0</v>
      </c>
      <c r="X68" s="226">
        <v>0</v>
      </c>
      <c r="Y68" s="226">
        <v>0</v>
      </c>
      <c r="Z68" s="226">
        <v>0</v>
      </c>
      <c r="AA68" s="226">
        <v>0</v>
      </c>
      <c r="AB68" s="226">
        <v>0</v>
      </c>
      <c r="AC68" s="226">
        <v>0</v>
      </c>
      <c r="AD68" s="226">
        <v>0</v>
      </c>
      <c r="AE68" s="226">
        <v>0</v>
      </c>
      <c r="AF68" s="226">
        <v>0</v>
      </c>
      <c r="AG68" s="226">
        <v>0</v>
      </c>
      <c r="AH68" s="226">
        <v>0</v>
      </c>
      <c r="AI68" s="227"/>
      <c r="AJ68" s="152"/>
      <c r="AK68" s="152"/>
      <c r="AL68" s="152"/>
    </row>
    <row r="69" spans="1:38" ht="16.5" customHeight="1" outlineLevel="1">
      <c r="A69" s="154"/>
      <c r="B69" s="225" t="s">
        <v>298</v>
      </c>
      <c r="C69" s="405" t="s">
        <v>297</v>
      </c>
      <c r="D69" s="405" t="s">
        <v>171</v>
      </c>
      <c r="E69" s="226">
        <f>CAPEX!C190</f>
        <v>25.209900000000001</v>
      </c>
      <c r="F69" s="226">
        <f>CAPEX!D190</f>
        <v>38.909409999999994</v>
      </c>
      <c r="G69" s="226">
        <f>CAPEX!E190</f>
        <v>0</v>
      </c>
      <c r="H69" s="226">
        <f>CAPEX!F190</f>
        <v>0</v>
      </c>
      <c r="I69" s="226">
        <f>CAPEX!G190</f>
        <v>0</v>
      </c>
      <c r="J69" s="226">
        <f>CAPEX!H190</f>
        <v>25.209900000000001</v>
      </c>
      <c r="K69" s="226">
        <f>CAPEX!I190</f>
        <v>10.874799999999999</v>
      </c>
      <c r="L69" s="226">
        <f>CAPEX!J190</f>
        <v>0</v>
      </c>
      <c r="M69" s="226">
        <f>CAPEX!K190</f>
        <v>0</v>
      </c>
      <c r="N69" s="226">
        <f>CAPEX!L190</f>
        <v>0</v>
      </c>
      <c r="O69" s="226">
        <f>CAPEX!M190</f>
        <v>25.209900000000001</v>
      </c>
      <c r="P69" s="226">
        <f>CAPEX!N190</f>
        <v>38.909409999999994</v>
      </c>
      <c r="Q69" s="226">
        <f>CAPEX!O190</f>
        <v>0</v>
      </c>
      <c r="R69" s="226">
        <f>CAPEX!P190</f>
        <v>0</v>
      </c>
      <c r="S69" s="226">
        <f>CAPEX!Q190</f>
        <v>0</v>
      </c>
      <c r="T69" s="226">
        <f>CAPEX!R190</f>
        <v>25.209900000000001</v>
      </c>
      <c r="U69" s="226">
        <f>CAPEX!S190</f>
        <v>10.874799999999999</v>
      </c>
      <c r="V69" s="226">
        <f>CAPEX!T190</f>
        <v>0</v>
      </c>
      <c r="W69" s="226">
        <f>CAPEX!U190</f>
        <v>0</v>
      </c>
      <c r="X69" s="226">
        <f>CAPEX!V190</f>
        <v>0</v>
      </c>
      <c r="Y69" s="226">
        <f>CAPEX!W190</f>
        <v>25.209900000000001</v>
      </c>
      <c r="Z69" s="226">
        <f>CAPEX!X190</f>
        <v>38.909409999999994</v>
      </c>
      <c r="AA69" s="226">
        <f>CAPEX!Y190</f>
        <v>0</v>
      </c>
      <c r="AB69" s="226">
        <f>CAPEX!Z190</f>
        <v>0</v>
      </c>
      <c r="AC69" s="226">
        <f>CAPEX!AA190</f>
        <v>0</v>
      </c>
      <c r="AD69" s="226">
        <f>CAPEX!AB190</f>
        <v>25.209900000000001</v>
      </c>
      <c r="AE69" s="226">
        <f>CAPEX!AC190</f>
        <v>10.874799999999999</v>
      </c>
      <c r="AF69" s="226">
        <f>CAPEX!AD190</f>
        <v>0</v>
      </c>
      <c r="AG69" s="226">
        <f>CAPEX!AE190</f>
        <v>0</v>
      </c>
      <c r="AH69" s="226">
        <f>CAPEX!AF190</f>
        <v>0</v>
      </c>
      <c r="AI69" s="227"/>
      <c r="AJ69" s="152"/>
      <c r="AK69" s="152"/>
      <c r="AL69" s="152"/>
    </row>
    <row r="70" spans="1:38" ht="16.5" customHeight="1" outlineLevel="1">
      <c r="A70" s="154"/>
      <c r="B70" s="230" t="s">
        <v>868</v>
      </c>
      <c r="C70" s="405" t="s">
        <v>298</v>
      </c>
      <c r="D70" s="405" t="s">
        <v>171</v>
      </c>
      <c r="E70" s="226">
        <f>CAPEX!C203</f>
        <v>150</v>
      </c>
      <c r="F70" s="226">
        <f>CAPEX!D203</f>
        <v>22.6</v>
      </c>
      <c r="G70" s="226">
        <f>CAPEX!E203</f>
        <v>0</v>
      </c>
      <c r="H70" s="226">
        <f>CAPEX!F203</f>
        <v>0</v>
      </c>
      <c r="I70" s="226">
        <f>CAPEX!G203</f>
        <v>0</v>
      </c>
      <c r="J70" s="226">
        <f>CAPEX!H203</f>
        <v>0</v>
      </c>
      <c r="K70" s="226">
        <f>CAPEX!I203</f>
        <v>0</v>
      </c>
      <c r="L70" s="226">
        <f>CAPEX!J203</f>
        <v>0</v>
      </c>
      <c r="M70" s="226">
        <f>CAPEX!K203</f>
        <v>0</v>
      </c>
      <c r="N70" s="226">
        <f>CAPEX!L203</f>
        <v>0</v>
      </c>
      <c r="O70" s="226">
        <f>CAPEX!M203</f>
        <v>0</v>
      </c>
      <c r="P70" s="226">
        <f>CAPEX!N203</f>
        <v>0</v>
      </c>
      <c r="Q70" s="226">
        <f>CAPEX!O203</f>
        <v>0</v>
      </c>
      <c r="R70" s="226">
        <f>CAPEX!P203</f>
        <v>0</v>
      </c>
      <c r="S70" s="226">
        <f>CAPEX!Q203</f>
        <v>0</v>
      </c>
      <c r="T70" s="226">
        <f>CAPEX!R203</f>
        <v>0</v>
      </c>
      <c r="U70" s="226">
        <f>CAPEX!S203</f>
        <v>0</v>
      </c>
      <c r="V70" s="226">
        <f>CAPEX!T203</f>
        <v>0</v>
      </c>
      <c r="W70" s="226">
        <f>CAPEX!U203</f>
        <v>0</v>
      </c>
      <c r="X70" s="226">
        <f>CAPEX!V203</f>
        <v>0</v>
      </c>
      <c r="Y70" s="226">
        <f>CAPEX!W203</f>
        <v>0</v>
      </c>
      <c r="Z70" s="226">
        <f>CAPEX!X203</f>
        <v>0</v>
      </c>
      <c r="AA70" s="226">
        <f>CAPEX!Y203</f>
        <v>0</v>
      </c>
      <c r="AB70" s="226">
        <f>CAPEX!Z203</f>
        <v>0</v>
      </c>
      <c r="AC70" s="226">
        <f>CAPEX!AA203</f>
        <v>0</v>
      </c>
      <c r="AD70" s="226">
        <f>CAPEX!AB203</f>
        <v>0</v>
      </c>
      <c r="AE70" s="226">
        <f>CAPEX!AC203</f>
        <v>0</v>
      </c>
      <c r="AF70" s="226">
        <f>CAPEX!AD203</f>
        <v>0</v>
      </c>
      <c r="AG70" s="226">
        <f>CAPEX!AE203</f>
        <v>0</v>
      </c>
      <c r="AH70" s="226">
        <f>CAPEX!AF203</f>
        <v>0</v>
      </c>
      <c r="AI70" s="227"/>
      <c r="AJ70" s="152"/>
      <c r="AK70" s="152"/>
      <c r="AL70" s="152"/>
    </row>
    <row r="71" spans="1:38" ht="16.5" customHeight="1">
      <c r="A71" s="152"/>
      <c r="B71" s="453" t="s">
        <v>871</v>
      </c>
      <c r="C71" s="453"/>
      <c r="D71" s="453"/>
      <c r="E71" s="454">
        <f t="shared" ref="E71:AH71" si="16">SUM(E73)</f>
        <v>126.94889000000001</v>
      </c>
      <c r="F71" s="454">
        <f t="shared" si="16"/>
        <v>0</v>
      </c>
      <c r="G71" s="454">
        <f t="shared" si="16"/>
        <v>0</v>
      </c>
      <c r="H71" s="454">
        <f t="shared" si="16"/>
        <v>0</v>
      </c>
      <c r="I71" s="454">
        <f t="shared" si="16"/>
        <v>0</v>
      </c>
      <c r="J71" s="454">
        <f t="shared" si="16"/>
        <v>26.049499999999998</v>
      </c>
      <c r="K71" s="454">
        <f t="shared" si="16"/>
        <v>0</v>
      </c>
      <c r="L71" s="454">
        <f t="shared" si="16"/>
        <v>0</v>
      </c>
      <c r="M71" s="454">
        <f t="shared" si="16"/>
        <v>0</v>
      </c>
      <c r="N71" s="454">
        <f t="shared" si="16"/>
        <v>0</v>
      </c>
      <c r="O71" s="454">
        <f t="shared" si="16"/>
        <v>126.94889000000001</v>
      </c>
      <c r="P71" s="454">
        <f t="shared" si="16"/>
        <v>0</v>
      </c>
      <c r="Q71" s="454">
        <f t="shared" si="16"/>
        <v>0</v>
      </c>
      <c r="R71" s="454">
        <f t="shared" si="16"/>
        <v>0</v>
      </c>
      <c r="S71" s="454">
        <f t="shared" si="16"/>
        <v>0</v>
      </c>
      <c r="T71" s="454">
        <f t="shared" si="16"/>
        <v>26.049499999999998</v>
      </c>
      <c r="U71" s="454">
        <f t="shared" si="16"/>
        <v>0</v>
      </c>
      <c r="V71" s="454">
        <f t="shared" si="16"/>
        <v>0</v>
      </c>
      <c r="W71" s="454">
        <f t="shared" si="16"/>
        <v>0</v>
      </c>
      <c r="X71" s="454">
        <f t="shared" si="16"/>
        <v>0</v>
      </c>
      <c r="Y71" s="454">
        <f t="shared" si="16"/>
        <v>126.94889000000001</v>
      </c>
      <c r="Z71" s="454">
        <f t="shared" si="16"/>
        <v>0</v>
      </c>
      <c r="AA71" s="454">
        <f t="shared" si="16"/>
        <v>0</v>
      </c>
      <c r="AB71" s="454">
        <f t="shared" si="16"/>
        <v>0</v>
      </c>
      <c r="AC71" s="454">
        <f t="shared" si="16"/>
        <v>0</v>
      </c>
      <c r="AD71" s="454">
        <f t="shared" si="16"/>
        <v>26.049499999999998</v>
      </c>
      <c r="AE71" s="454">
        <f t="shared" si="16"/>
        <v>0</v>
      </c>
      <c r="AF71" s="454">
        <f t="shared" si="16"/>
        <v>0</v>
      </c>
      <c r="AG71" s="454">
        <f t="shared" si="16"/>
        <v>0</v>
      </c>
      <c r="AH71" s="454">
        <f t="shared" si="16"/>
        <v>0</v>
      </c>
      <c r="AI71" s="169"/>
      <c r="AJ71" s="152"/>
      <c r="AK71" s="152"/>
      <c r="AL71" s="152"/>
    </row>
    <row r="72" spans="1:38" ht="16.5" customHeight="1" outlineLevel="1">
      <c r="A72" s="154"/>
      <c r="B72" s="225" t="s">
        <v>297</v>
      </c>
      <c r="C72" s="405" t="s">
        <v>297</v>
      </c>
      <c r="D72" s="405" t="s">
        <v>171</v>
      </c>
      <c r="E72" s="226">
        <v>0</v>
      </c>
      <c r="F72" s="226">
        <v>0</v>
      </c>
      <c r="G72" s="226">
        <v>0</v>
      </c>
      <c r="H72" s="226">
        <v>0</v>
      </c>
      <c r="I72" s="226">
        <v>0</v>
      </c>
      <c r="J72" s="226">
        <v>0</v>
      </c>
      <c r="K72" s="226">
        <v>0</v>
      </c>
      <c r="L72" s="226">
        <v>0</v>
      </c>
      <c r="M72" s="226">
        <v>0</v>
      </c>
      <c r="N72" s="226">
        <v>0</v>
      </c>
      <c r="O72" s="226">
        <v>0</v>
      </c>
      <c r="P72" s="226">
        <v>0</v>
      </c>
      <c r="Q72" s="226">
        <v>0</v>
      </c>
      <c r="R72" s="226">
        <v>0</v>
      </c>
      <c r="S72" s="226">
        <v>0</v>
      </c>
      <c r="T72" s="226">
        <v>0</v>
      </c>
      <c r="U72" s="226">
        <v>0</v>
      </c>
      <c r="V72" s="226">
        <v>0</v>
      </c>
      <c r="W72" s="226">
        <v>0</v>
      </c>
      <c r="X72" s="226">
        <v>0</v>
      </c>
      <c r="Y72" s="226">
        <v>0</v>
      </c>
      <c r="Z72" s="226">
        <v>0</v>
      </c>
      <c r="AA72" s="226">
        <v>0</v>
      </c>
      <c r="AB72" s="226">
        <v>0</v>
      </c>
      <c r="AC72" s="226">
        <v>0</v>
      </c>
      <c r="AD72" s="226">
        <v>0</v>
      </c>
      <c r="AE72" s="226">
        <v>0</v>
      </c>
      <c r="AF72" s="226">
        <v>0</v>
      </c>
      <c r="AG72" s="226">
        <v>0</v>
      </c>
      <c r="AH72" s="226">
        <v>0</v>
      </c>
      <c r="AI72" s="227"/>
      <c r="AJ72" s="152"/>
      <c r="AK72" s="152"/>
      <c r="AL72" s="152"/>
    </row>
    <row r="73" spans="1:38" ht="16.5" customHeight="1" outlineLevel="1">
      <c r="A73" s="154"/>
      <c r="B73" s="225" t="s">
        <v>298</v>
      </c>
      <c r="C73" s="405" t="s">
        <v>298</v>
      </c>
      <c r="D73" s="405" t="s">
        <v>171</v>
      </c>
      <c r="E73" s="226">
        <f>CAPEX!C211</f>
        <v>126.94889000000001</v>
      </c>
      <c r="F73" s="226">
        <f>CAPEX!D211</f>
        <v>0</v>
      </c>
      <c r="G73" s="226">
        <f>CAPEX!E211</f>
        <v>0</v>
      </c>
      <c r="H73" s="226">
        <f>CAPEX!F211</f>
        <v>0</v>
      </c>
      <c r="I73" s="226">
        <f>CAPEX!G211</f>
        <v>0</v>
      </c>
      <c r="J73" s="226">
        <f>CAPEX!H211</f>
        <v>26.049499999999998</v>
      </c>
      <c r="K73" s="226">
        <f>CAPEX!I211</f>
        <v>0</v>
      </c>
      <c r="L73" s="226">
        <f>CAPEX!J211</f>
        <v>0</v>
      </c>
      <c r="M73" s="226">
        <f>CAPEX!K211</f>
        <v>0</v>
      </c>
      <c r="N73" s="226">
        <f>CAPEX!L211</f>
        <v>0</v>
      </c>
      <c r="O73" s="226">
        <f>CAPEX!M211</f>
        <v>126.94889000000001</v>
      </c>
      <c r="P73" s="226">
        <f>CAPEX!N211</f>
        <v>0</v>
      </c>
      <c r="Q73" s="226">
        <f>CAPEX!O211</f>
        <v>0</v>
      </c>
      <c r="R73" s="226">
        <f>CAPEX!P211</f>
        <v>0</v>
      </c>
      <c r="S73" s="226">
        <f>CAPEX!Q211</f>
        <v>0</v>
      </c>
      <c r="T73" s="226">
        <f>CAPEX!R211</f>
        <v>26.049499999999998</v>
      </c>
      <c r="U73" s="226">
        <f>CAPEX!S211</f>
        <v>0</v>
      </c>
      <c r="V73" s="226">
        <f>CAPEX!T211</f>
        <v>0</v>
      </c>
      <c r="W73" s="226">
        <f>CAPEX!U211</f>
        <v>0</v>
      </c>
      <c r="X73" s="226">
        <f>CAPEX!V211</f>
        <v>0</v>
      </c>
      <c r="Y73" s="226">
        <f>CAPEX!W211</f>
        <v>126.94889000000001</v>
      </c>
      <c r="Z73" s="226">
        <f>CAPEX!X211</f>
        <v>0</v>
      </c>
      <c r="AA73" s="226">
        <f>CAPEX!Y211</f>
        <v>0</v>
      </c>
      <c r="AB73" s="226">
        <f>CAPEX!Z211</f>
        <v>0</v>
      </c>
      <c r="AC73" s="226">
        <f>CAPEX!AA211</f>
        <v>0</v>
      </c>
      <c r="AD73" s="226">
        <f>CAPEX!AB211</f>
        <v>26.049499999999998</v>
      </c>
      <c r="AE73" s="226">
        <f>CAPEX!AC211</f>
        <v>0</v>
      </c>
      <c r="AF73" s="226">
        <f>CAPEX!AD211</f>
        <v>0</v>
      </c>
      <c r="AG73" s="226">
        <f>CAPEX!AE211</f>
        <v>0</v>
      </c>
      <c r="AH73" s="226">
        <f>CAPEX!AF211</f>
        <v>0</v>
      </c>
      <c r="AI73" s="227"/>
      <c r="AJ73" s="152"/>
      <c r="AK73" s="152"/>
      <c r="AL73" s="152"/>
    </row>
    <row r="74" spans="1:38" ht="3" customHeight="1">
      <c r="A74" s="154"/>
      <c r="B74" s="223"/>
      <c r="C74" s="231"/>
      <c r="D74" s="231"/>
      <c r="E74" s="224"/>
      <c r="F74" s="224"/>
      <c r="G74" s="224"/>
      <c r="H74" s="224"/>
      <c r="I74" s="224"/>
      <c r="J74" s="224"/>
      <c r="K74" s="224"/>
      <c r="L74" s="224"/>
      <c r="M74" s="224"/>
      <c r="N74" s="224"/>
      <c r="O74" s="224"/>
      <c r="P74" s="224"/>
      <c r="Q74" s="224"/>
      <c r="R74" s="224"/>
      <c r="S74" s="224"/>
      <c r="T74" s="224"/>
      <c r="U74" s="224"/>
      <c r="V74" s="224"/>
      <c r="W74" s="224"/>
      <c r="X74" s="224"/>
      <c r="Y74" s="224"/>
      <c r="Z74" s="224"/>
      <c r="AA74" s="224"/>
      <c r="AB74" s="224"/>
      <c r="AC74" s="224"/>
      <c r="AD74" s="224"/>
      <c r="AE74" s="224"/>
      <c r="AF74" s="224"/>
      <c r="AG74" s="224"/>
      <c r="AH74" s="224"/>
      <c r="AI74" s="224"/>
      <c r="AJ74" s="152"/>
      <c r="AK74" s="152"/>
      <c r="AL74" s="152"/>
    </row>
    <row r="75" spans="1:38" ht="16.5" customHeight="1">
      <c r="A75" s="152"/>
      <c r="B75" s="453" t="s">
        <v>874</v>
      </c>
      <c r="C75" s="453"/>
      <c r="D75" s="453"/>
      <c r="E75" s="454">
        <f t="shared" ref="E75:AH75" si="17">E77</f>
        <v>1000</v>
      </c>
      <c r="F75" s="454">
        <f t="shared" si="17"/>
        <v>0</v>
      </c>
      <c r="G75" s="454">
        <f t="shared" si="17"/>
        <v>0</v>
      </c>
      <c r="H75" s="454">
        <f t="shared" si="17"/>
        <v>0</v>
      </c>
      <c r="I75" s="454">
        <f t="shared" si="17"/>
        <v>0</v>
      </c>
      <c r="J75" s="454">
        <f t="shared" si="17"/>
        <v>0</v>
      </c>
      <c r="K75" s="454">
        <f t="shared" si="17"/>
        <v>0</v>
      </c>
      <c r="L75" s="454">
        <f t="shared" si="17"/>
        <v>0</v>
      </c>
      <c r="M75" s="454">
        <f t="shared" si="17"/>
        <v>0</v>
      </c>
      <c r="N75" s="454">
        <f t="shared" si="17"/>
        <v>0</v>
      </c>
      <c r="O75" s="454">
        <f t="shared" si="17"/>
        <v>0</v>
      </c>
      <c r="P75" s="454">
        <f t="shared" si="17"/>
        <v>0</v>
      </c>
      <c r="Q75" s="454">
        <f t="shared" si="17"/>
        <v>0</v>
      </c>
      <c r="R75" s="454">
        <f t="shared" si="17"/>
        <v>0</v>
      </c>
      <c r="S75" s="454">
        <f t="shared" si="17"/>
        <v>0</v>
      </c>
      <c r="T75" s="454">
        <f t="shared" si="17"/>
        <v>0</v>
      </c>
      <c r="U75" s="454">
        <f t="shared" si="17"/>
        <v>0</v>
      </c>
      <c r="V75" s="454">
        <f t="shared" si="17"/>
        <v>0</v>
      </c>
      <c r="W75" s="454">
        <f t="shared" si="17"/>
        <v>0</v>
      </c>
      <c r="X75" s="454">
        <f t="shared" si="17"/>
        <v>0</v>
      </c>
      <c r="Y75" s="454">
        <f t="shared" si="17"/>
        <v>0</v>
      </c>
      <c r="Z75" s="454">
        <f t="shared" si="17"/>
        <v>0</v>
      </c>
      <c r="AA75" s="454">
        <f t="shared" si="17"/>
        <v>0</v>
      </c>
      <c r="AB75" s="454">
        <f t="shared" si="17"/>
        <v>0</v>
      </c>
      <c r="AC75" s="454">
        <f t="shared" si="17"/>
        <v>0</v>
      </c>
      <c r="AD75" s="454">
        <f t="shared" si="17"/>
        <v>0</v>
      </c>
      <c r="AE75" s="454">
        <f t="shared" si="17"/>
        <v>0</v>
      </c>
      <c r="AF75" s="454">
        <f t="shared" si="17"/>
        <v>0</v>
      </c>
      <c r="AG75" s="454">
        <f t="shared" si="17"/>
        <v>0</v>
      </c>
      <c r="AH75" s="454">
        <f t="shared" si="17"/>
        <v>0</v>
      </c>
      <c r="AI75" s="169"/>
      <c r="AJ75" s="152"/>
      <c r="AK75" s="152"/>
      <c r="AL75" s="152"/>
    </row>
    <row r="76" spans="1:38" ht="3" customHeight="1">
      <c r="A76" s="154"/>
      <c r="B76" s="223"/>
      <c r="C76" s="231"/>
      <c r="D76" s="231"/>
      <c r="E76" s="170"/>
      <c r="F76" s="170"/>
      <c r="G76" s="171"/>
      <c r="H76" s="171"/>
      <c r="I76" s="171"/>
      <c r="J76" s="171"/>
      <c r="K76" s="171"/>
      <c r="L76" s="171"/>
      <c r="M76" s="171"/>
      <c r="N76" s="171"/>
      <c r="O76" s="171"/>
      <c r="P76" s="171"/>
      <c r="Q76" s="171"/>
      <c r="R76" s="171"/>
      <c r="S76" s="171"/>
      <c r="T76" s="171"/>
      <c r="U76" s="171"/>
      <c r="V76" s="171"/>
      <c r="W76" s="171"/>
      <c r="X76" s="171"/>
      <c r="Y76" s="171"/>
      <c r="Z76" s="171"/>
      <c r="AA76" s="171"/>
      <c r="AB76" s="171"/>
      <c r="AC76" s="171"/>
      <c r="AD76" s="171"/>
      <c r="AE76" s="171"/>
      <c r="AF76" s="171"/>
      <c r="AG76" s="171"/>
      <c r="AH76" s="171"/>
      <c r="AI76" s="224"/>
      <c r="AJ76" s="152"/>
      <c r="AK76" s="152"/>
      <c r="AL76" s="152"/>
    </row>
    <row r="77" spans="1:38" ht="16.5" customHeight="1" outlineLevel="1">
      <c r="A77" s="154"/>
      <c r="B77" s="225" t="s">
        <v>875</v>
      </c>
      <c r="C77" s="405" t="s">
        <v>299</v>
      </c>
      <c r="D77" s="405" t="s">
        <v>171</v>
      </c>
      <c r="E77" s="226">
        <f>CAPEX!C220</f>
        <v>1000</v>
      </c>
      <c r="F77" s="226">
        <f>CAPEX!D220</f>
        <v>0</v>
      </c>
      <c r="G77" s="226">
        <f>CAPEX!E220</f>
        <v>0</v>
      </c>
      <c r="H77" s="226">
        <f>CAPEX!F220</f>
        <v>0</v>
      </c>
      <c r="I77" s="226">
        <f>CAPEX!G220</f>
        <v>0</v>
      </c>
      <c r="J77" s="226">
        <f>CAPEX!H220</f>
        <v>0</v>
      </c>
      <c r="K77" s="226">
        <f>CAPEX!I220</f>
        <v>0</v>
      </c>
      <c r="L77" s="226">
        <f>CAPEX!J220</f>
        <v>0</v>
      </c>
      <c r="M77" s="226">
        <f>CAPEX!K220</f>
        <v>0</v>
      </c>
      <c r="N77" s="226">
        <f>CAPEX!L220</f>
        <v>0</v>
      </c>
      <c r="O77" s="226">
        <f>CAPEX!M220</f>
        <v>0</v>
      </c>
      <c r="P77" s="226">
        <f>CAPEX!N220</f>
        <v>0</v>
      </c>
      <c r="Q77" s="226">
        <f>CAPEX!O220</f>
        <v>0</v>
      </c>
      <c r="R77" s="226">
        <f>CAPEX!P220</f>
        <v>0</v>
      </c>
      <c r="S77" s="226">
        <f>CAPEX!Q220</f>
        <v>0</v>
      </c>
      <c r="T77" s="226">
        <f>CAPEX!R220</f>
        <v>0</v>
      </c>
      <c r="U77" s="226">
        <f>CAPEX!S220</f>
        <v>0</v>
      </c>
      <c r="V77" s="226">
        <f>CAPEX!T220</f>
        <v>0</v>
      </c>
      <c r="W77" s="226">
        <f>CAPEX!U220</f>
        <v>0</v>
      </c>
      <c r="X77" s="226">
        <f>CAPEX!V220</f>
        <v>0</v>
      </c>
      <c r="Y77" s="226">
        <f>CAPEX!W220</f>
        <v>0</v>
      </c>
      <c r="Z77" s="226">
        <f>CAPEX!X220</f>
        <v>0</v>
      </c>
      <c r="AA77" s="226">
        <f>CAPEX!Y220</f>
        <v>0</v>
      </c>
      <c r="AB77" s="226">
        <f>CAPEX!Z220</f>
        <v>0</v>
      </c>
      <c r="AC77" s="226">
        <f>CAPEX!AA220</f>
        <v>0</v>
      </c>
      <c r="AD77" s="226">
        <f>CAPEX!AB220</f>
        <v>0</v>
      </c>
      <c r="AE77" s="226">
        <f>CAPEX!AC220</f>
        <v>0</v>
      </c>
      <c r="AF77" s="226">
        <f>CAPEX!AD220</f>
        <v>0</v>
      </c>
      <c r="AG77" s="226">
        <f>CAPEX!AE220</f>
        <v>0</v>
      </c>
      <c r="AH77" s="226">
        <f>CAPEX!AF220</f>
        <v>0</v>
      </c>
      <c r="AI77" s="227"/>
      <c r="AJ77" s="152"/>
      <c r="AK77" s="152"/>
      <c r="AL77" s="152"/>
    </row>
    <row r="78" spans="1:38" ht="3" customHeight="1">
      <c r="A78" s="171"/>
      <c r="B78" s="171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71"/>
      <c r="N78" s="171"/>
      <c r="O78" s="171"/>
      <c r="P78" s="171"/>
      <c r="Q78" s="171"/>
      <c r="R78" s="171"/>
      <c r="S78" s="171"/>
      <c r="T78" s="171"/>
      <c r="U78" s="171"/>
      <c r="V78" s="171"/>
      <c r="W78" s="171"/>
      <c r="X78" s="171"/>
      <c r="Y78" s="171"/>
      <c r="Z78" s="171"/>
      <c r="AA78" s="171"/>
      <c r="AB78" s="171"/>
      <c r="AC78" s="171"/>
      <c r="AD78" s="171"/>
      <c r="AE78" s="171"/>
      <c r="AF78" s="171"/>
      <c r="AG78" s="171"/>
      <c r="AH78" s="171"/>
      <c r="AI78" s="224"/>
      <c r="AJ78" s="152"/>
      <c r="AK78" s="152"/>
      <c r="AL78" s="152"/>
    </row>
    <row r="79" spans="1:38" ht="16.5" customHeight="1">
      <c r="A79" s="154"/>
      <c r="B79" s="229"/>
      <c r="C79" s="229"/>
      <c r="D79" s="229"/>
      <c r="E79" s="152"/>
      <c r="F79" s="154"/>
      <c r="G79" s="152"/>
      <c r="H79" s="152"/>
      <c r="I79" s="152"/>
      <c r="J79" s="152"/>
      <c r="K79" s="152"/>
      <c r="L79" s="152"/>
      <c r="M79" s="152"/>
      <c r="N79" s="152"/>
      <c r="O79" s="152"/>
      <c r="P79" s="152"/>
      <c r="Q79" s="152"/>
      <c r="R79" s="152"/>
      <c r="S79" s="152"/>
      <c r="T79" s="152"/>
      <c r="U79" s="152"/>
      <c r="V79" s="152"/>
      <c r="W79" s="152"/>
      <c r="X79" s="152"/>
      <c r="Y79" s="152"/>
      <c r="Z79" s="152"/>
      <c r="AA79" s="152"/>
      <c r="AB79" s="152"/>
      <c r="AC79" s="152"/>
      <c r="AD79" s="152"/>
      <c r="AE79" s="152"/>
      <c r="AF79" s="152"/>
      <c r="AG79" s="152"/>
      <c r="AH79" s="152"/>
      <c r="AI79" s="154"/>
      <c r="AJ79" s="152"/>
      <c r="AK79" s="152"/>
      <c r="AL79" s="152"/>
    </row>
    <row r="80" spans="1:38" ht="16.5" customHeight="1">
      <c r="A80" s="154"/>
      <c r="B80" s="229"/>
      <c r="C80" s="229"/>
      <c r="D80" s="229"/>
      <c r="E80" s="763"/>
      <c r="F80" s="763"/>
      <c r="G80" s="763"/>
      <c r="H80" s="763"/>
      <c r="I80" s="763"/>
      <c r="J80" s="763"/>
      <c r="K80" s="763"/>
      <c r="L80" s="763"/>
      <c r="M80" s="763"/>
      <c r="N80" s="763"/>
      <c r="O80" s="763"/>
      <c r="P80" s="763"/>
      <c r="Q80" s="763"/>
      <c r="R80" s="763"/>
      <c r="S80" s="763"/>
      <c r="T80" s="763"/>
      <c r="U80" s="763"/>
      <c r="V80" s="763"/>
      <c r="W80" s="763"/>
      <c r="X80" s="763"/>
      <c r="Y80" s="763"/>
      <c r="Z80" s="763"/>
      <c r="AA80" s="763"/>
      <c r="AB80" s="763"/>
      <c r="AC80" s="763"/>
      <c r="AD80" s="763"/>
      <c r="AE80" s="763"/>
      <c r="AF80" s="763"/>
      <c r="AG80" s="763"/>
      <c r="AH80" s="763"/>
      <c r="AI80" s="154"/>
      <c r="AJ80" s="152"/>
      <c r="AK80" s="152"/>
      <c r="AL80" s="152"/>
    </row>
    <row r="81" spans="1:38" ht="16.5" customHeight="1">
      <c r="A81" s="154"/>
      <c r="B81" s="229"/>
      <c r="C81" s="229"/>
      <c r="D81" s="229"/>
      <c r="E81" s="152"/>
      <c r="F81" s="152"/>
      <c r="G81" s="152"/>
      <c r="H81" s="152"/>
      <c r="I81" s="152"/>
      <c r="J81" s="152"/>
      <c r="K81" s="152"/>
      <c r="L81" s="152"/>
      <c r="M81" s="152"/>
      <c r="N81" s="152"/>
      <c r="O81" s="152"/>
      <c r="P81" s="152"/>
      <c r="Q81" s="152"/>
      <c r="R81" s="152"/>
      <c r="S81" s="152"/>
      <c r="T81" s="152"/>
      <c r="U81" s="152"/>
      <c r="V81" s="152"/>
      <c r="W81" s="152"/>
      <c r="X81" s="152"/>
      <c r="Y81" s="152"/>
      <c r="Z81" s="152"/>
      <c r="AA81" s="152"/>
      <c r="AB81" s="152"/>
      <c r="AC81" s="152"/>
      <c r="AD81" s="152"/>
      <c r="AE81" s="152"/>
      <c r="AF81" s="152"/>
      <c r="AG81" s="152"/>
      <c r="AH81" s="152"/>
      <c r="AI81" s="154"/>
      <c r="AJ81" s="152"/>
      <c r="AK81" s="152"/>
      <c r="AL81" s="152"/>
    </row>
    <row r="82" spans="1:38" ht="16.5" customHeight="1">
      <c r="A82" s="162"/>
      <c r="AL82" s="152"/>
    </row>
    <row r="83" spans="1:38" ht="16.5" customHeight="1">
      <c r="A83" s="162"/>
    </row>
    <row r="84" spans="1:38" ht="16.5" customHeight="1">
      <c r="A84" s="162"/>
    </row>
    <row r="85" spans="1:38" ht="16.5" customHeight="1">
      <c r="A85" s="162"/>
    </row>
    <row r="86" spans="1:38" ht="16.5" customHeight="1">
      <c r="A86" s="162"/>
    </row>
    <row r="87" spans="1:38" ht="16.5" customHeight="1">
      <c r="A87" s="162"/>
    </row>
    <row r="88" spans="1:38" ht="16.5" customHeight="1">
      <c r="A88" s="162"/>
    </row>
    <row r="89" spans="1:38" ht="16.5" customHeight="1">
      <c r="A89" s="162"/>
    </row>
    <row r="90" spans="1:38" ht="16.5" customHeight="1">
      <c r="A90" s="162"/>
    </row>
    <row r="91" spans="1:38" ht="16.5" customHeight="1">
      <c r="A91" s="162"/>
    </row>
    <row r="92" spans="1:38" ht="16.5" customHeight="1">
      <c r="A92" s="162"/>
    </row>
    <row r="93" spans="1:38" ht="16.5" customHeight="1">
      <c r="A93" s="162"/>
    </row>
    <row r="94" spans="1:38" ht="16.5" customHeight="1">
      <c r="A94" s="162"/>
    </row>
    <row r="95" spans="1:38" ht="16.5" customHeight="1">
      <c r="A95" s="162"/>
    </row>
    <row r="96" spans="1:38" ht="16.5" customHeight="1">
      <c r="A96" s="162"/>
    </row>
    <row r="98" spans="1:1" ht="16.5" customHeight="1">
      <c r="A98" s="162"/>
    </row>
    <row r="99" spans="1:1" ht="16.5" customHeight="1">
      <c r="A99" s="162"/>
    </row>
    <row r="100" spans="1:1" ht="16.5" customHeight="1">
      <c r="A100" s="162"/>
    </row>
    <row r="102" spans="1:1" ht="16.5" customHeight="1">
      <c r="A102" s="162"/>
    </row>
    <row r="103" spans="1:1" ht="16.5" customHeight="1">
      <c r="A103" s="162"/>
    </row>
    <row r="104" spans="1:1" ht="16.5" customHeight="1">
      <c r="A104" s="162"/>
    </row>
    <row r="105" spans="1:1" ht="16.5" customHeight="1">
      <c r="A105" s="162"/>
    </row>
    <row r="106" spans="1:1" ht="16.5" customHeight="1">
      <c r="A106" s="162"/>
    </row>
    <row r="107" spans="1:1" ht="16.5" customHeight="1">
      <c r="A107" s="162"/>
    </row>
    <row r="108" spans="1:1" ht="16.5" customHeight="1">
      <c r="A108" s="162"/>
    </row>
    <row r="109" spans="1:1" ht="16.5" customHeight="1">
      <c r="A109" s="162"/>
    </row>
    <row r="110" spans="1:1" ht="16.5" customHeight="1">
      <c r="A110" s="162"/>
    </row>
    <row r="111" spans="1:1" ht="16.5" customHeight="1">
      <c r="A111" s="162"/>
    </row>
    <row r="112" spans="1:1" ht="16.5" customHeight="1">
      <c r="A112" s="162"/>
    </row>
    <row r="113" spans="1:1" ht="16.5" customHeight="1">
      <c r="A113" s="162"/>
    </row>
    <row r="114" spans="1:1" ht="16.5" customHeight="1">
      <c r="A114" s="162"/>
    </row>
    <row r="115" spans="1:1" ht="16.5" customHeight="1">
      <c r="A115" s="162"/>
    </row>
    <row r="116" spans="1:1" ht="16.5" customHeight="1">
      <c r="A116" s="162"/>
    </row>
    <row r="117" spans="1:1" ht="16.5" customHeight="1">
      <c r="A117" s="162"/>
    </row>
    <row r="118" spans="1:1" ht="16.5" customHeight="1">
      <c r="A118" s="162"/>
    </row>
    <row r="119" spans="1:1" ht="16.5" customHeight="1">
      <c r="A119" s="162"/>
    </row>
    <row r="120" spans="1:1" ht="16.5" customHeight="1">
      <c r="A120" s="162"/>
    </row>
    <row r="121" spans="1:1" ht="16.5" customHeight="1">
      <c r="A121" s="162"/>
    </row>
    <row r="122" spans="1:1" ht="16.5" customHeight="1">
      <c r="A122" s="162"/>
    </row>
    <row r="123" spans="1:1" ht="16.5" customHeight="1">
      <c r="A123" s="162"/>
    </row>
    <row r="124" spans="1:1" ht="16.5" customHeight="1">
      <c r="A124" s="162"/>
    </row>
    <row r="125" spans="1:1" ht="16.5" customHeight="1">
      <c r="A125" s="162"/>
    </row>
    <row r="126" spans="1:1" ht="16.5" customHeight="1">
      <c r="A126" s="162"/>
    </row>
    <row r="127" spans="1:1" ht="16.5" customHeight="1">
      <c r="A127" s="162"/>
    </row>
    <row r="128" spans="1:1" ht="16.5" customHeight="1">
      <c r="A128" s="162"/>
    </row>
    <row r="129" spans="1:1" ht="16.5" customHeight="1">
      <c r="A129" s="162"/>
    </row>
    <row r="130" spans="1:1" ht="16.5" customHeight="1">
      <c r="A130" s="162"/>
    </row>
    <row r="131" spans="1:1" ht="16.5" customHeight="1">
      <c r="A131" s="162"/>
    </row>
    <row r="132" spans="1:1" ht="16.5" customHeight="1">
      <c r="A132" s="162"/>
    </row>
    <row r="133" spans="1:1" ht="16.5" customHeight="1">
      <c r="A133" s="162"/>
    </row>
    <row r="134" spans="1:1" ht="16.5" customHeight="1">
      <c r="A134" s="162"/>
    </row>
    <row r="135" spans="1:1" ht="16.5" customHeight="1">
      <c r="A135" s="162"/>
    </row>
    <row r="136" spans="1:1" ht="16.5" customHeight="1">
      <c r="A136" s="162"/>
    </row>
    <row r="137" spans="1:1" ht="16.5" customHeight="1">
      <c r="A137" s="162"/>
    </row>
    <row r="138" spans="1:1" ht="16.5" customHeight="1">
      <c r="A138" s="162"/>
    </row>
    <row r="139" spans="1:1" ht="16.5" customHeight="1">
      <c r="A139" s="162"/>
    </row>
    <row r="140" spans="1:1" ht="16.5" customHeight="1">
      <c r="A140" s="162"/>
    </row>
    <row r="141" spans="1:1" ht="16.5" customHeight="1">
      <c r="A141" s="162"/>
    </row>
    <row r="142" spans="1:1" ht="16.5" customHeight="1">
      <c r="A142" s="162"/>
    </row>
    <row r="143" spans="1:1" ht="16.5" customHeight="1">
      <c r="A143" s="162"/>
    </row>
    <row r="144" spans="1:1" ht="16.5" customHeight="1">
      <c r="A144" s="162"/>
    </row>
    <row r="145" spans="1:1" ht="16.5" customHeight="1">
      <c r="A145" s="162"/>
    </row>
    <row r="146" spans="1:1" ht="16.5" customHeight="1">
      <c r="A146" s="162"/>
    </row>
    <row r="147" spans="1:1" ht="16.5" customHeight="1">
      <c r="A147" s="162"/>
    </row>
    <row r="148" spans="1:1" ht="16.5" customHeight="1">
      <c r="A148" s="162"/>
    </row>
    <row r="149" spans="1:1" ht="16.5" customHeight="1">
      <c r="A149" s="162"/>
    </row>
    <row r="150" spans="1:1" ht="16.5" customHeight="1">
      <c r="A150" s="162"/>
    </row>
    <row r="151" spans="1:1" ht="16.5" customHeight="1">
      <c r="A151" s="162"/>
    </row>
    <row r="152" spans="1:1" ht="16.5" customHeight="1">
      <c r="A152" s="162"/>
    </row>
    <row r="153" spans="1:1" ht="16.5" customHeight="1">
      <c r="A153" s="162"/>
    </row>
    <row r="154" spans="1:1" ht="16.5" customHeight="1">
      <c r="A154" s="162"/>
    </row>
    <row r="155" spans="1:1" ht="16.5" customHeight="1">
      <c r="A155" s="162"/>
    </row>
    <row r="156" spans="1:1" ht="16.5" customHeight="1">
      <c r="A156" s="162"/>
    </row>
    <row r="157" spans="1:1" ht="16.5" customHeight="1">
      <c r="A157" s="162"/>
    </row>
    <row r="158" spans="1:1" ht="16.5" customHeight="1">
      <c r="A158" s="162"/>
    </row>
    <row r="159" spans="1:1" ht="16.5" customHeight="1">
      <c r="A159" s="162"/>
    </row>
    <row r="160" spans="1:1" ht="16.5" customHeight="1">
      <c r="A160" s="162"/>
    </row>
    <row r="161" spans="1:1" ht="16.5" customHeight="1">
      <c r="A161" s="162"/>
    </row>
    <row r="162" spans="1:1" ht="16.5" customHeight="1">
      <c r="A162" s="162"/>
    </row>
    <row r="163" spans="1:1" ht="16.5" customHeight="1">
      <c r="A163" s="162"/>
    </row>
    <row r="164" spans="1:1" ht="16.5" customHeight="1">
      <c r="A164" s="162"/>
    </row>
    <row r="165" spans="1:1" ht="16.5" customHeight="1">
      <c r="A165" s="162"/>
    </row>
    <row r="166" spans="1:1" ht="16.5" customHeight="1">
      <c r="A166" s="162"/>
    </row>
    <row r="167" spans="1:1" ht="16.5" customHeight="1">
      <c r="A167" s="162"/>
    </row>
    <row r="168" spans="1:1" ht="16.5" customHeight="1">
      <c r="A168" s="162"/>
    </row>
    <row r="169" spans="1:1" ht="16.5" customHeight="1">
      <c r="A169" s="162"/>
    </row>
    <row r="170" spans="1:1" ht="16.5" customHeight="1">
      <c r="A170" s="162"/>
    </row>
    <row r="171" spans="1:1" ht="16.5" customHeight="1">
      <c r="A171" s="162"/>
    </row>
    <row r="172" spans="1:1" ht="16.5" customHeight="1">
      <c r="A172" s="162"/>
    </row>
    <row r="173" spans="1:1" ht="16.5" customHeight="1">
      <c r="A173" s="162"/>
    </row>
    <row r="174" spans="1:1" ht="16.5" customHeight="1">
      <c r="A174" s="162"/>
    </row>
    <row r="175" spans="1:1" ht="16.5" customHeight="1">
      <c r="A175" s="162"/>
    </row>
    <row r="176" spans="1:1" ht="16.5" customHeight="1">
      <c r="A176" s="162"/>
    </row>
    <row r="177" spans="1:1" ht="16.5" customHeight="1">
      <c r="A177" s="162"/>
    </row>
    <row r="178" spans="1:1" ht="16.5" customHeight="1">
      <c r="A178" s="162"/>
    </row>
    <row r="179" spans="1:1" ht="16.5" customHeight="1">
      <c r="A179" s="162"/>
    </row>
    <row r="180" spans="1:1" ht="16.5" customHeight="1">
      <c r="A180" s="162"/>
    </row>
    <row r="181" spans="1:1" ht="16.5" customHeight="1">
      <c r="A181" s="162"/>
    </row>
    <row r="182" spans="1:1" ht="16.5" customHeight="1">
      <c r="A182" s="162"/>
    </row>
    <row r="183" spans="1:1" ht="16.5" customHeight="1">
      <c r="A183" s="162"/>
    </row>
    <row r="184" spans="1:1" ht="16.5" customHeight="1">
      <c r="A184" s="162"/>
    </row>
    <row r="185" spans="1:1" ht="16.5" customHeight="1">
      <c r="A185" s="162"/>
    </row>
    <row r="186" spans="1:1" ht="16.5" customHeight="1">
      <c r="A186" s="162"/>
    </row>
    <row r="187" spans="1:1" ht="16.5" customHeight="1">
      <c r="A187" s="162"/>
    </row>
    <row r="188" spans="1:1" ht="16.5" customHeight="1">
      <c r="A188" s="162"/>
    </row>
    <row r="189" spans="1:1" ht="16.5" customHeight="1">
      <c r="A189" s="162"/>
    </row>
    <row r="190" spans="1:1" ht="16.5" customHeight="1">
      <c r="A190" s="162"/>
    </row>
    <row r="191" spans="1:1" ht="16.5" customHeight="1">
      <c r="A191" s="162"/>
    </row>
    <row r="192" spans="1:1" ht="16.5" customHeight="1">
      <c r="A192" s="162"/>
    </row>
    <row r="193" spans="1:1" ht="16.5" customHeight="1">
      <c r="A193" s="162"/>
    </row>
    <row r="194" spans="1:1" ht="16.5" customHeight="1">
      <c r="A194" s="162"/>
    </row>
    <row r="195" spans="1:1" ht="16.5" customHeight="1">
      <c r="A195" s="162"/>
    </row>
    <row r="197" spans="1:1" ht="16.5" customHeight="1">
      <c r="A197" s="162"/>
    </row>
    <row r="198" spans="1:1" ht="16.5" customHeight="1">
      <c r="A198" s="162"/>
    </row>
    <row r="199" spans="1:1" ht="16.5" customHeight="1">
      <c r="A199" s="162"/>
    </row>
    <row r="200" spans="1:1" ht="16.5" customHeight="1">
      <c r="A200" s="162"/>
    </row>
    <row r="201" spans="1:1" ht="16.5" customHeight="1">
      <c r="A201" s="162"/>
    </row>
    <row r="202" spans="1:1" ht="16.5" customHeight="1">
      <c r="A202" s="162"/>
    </row>
    <row r="203" spans="1:1" ht="16.5" customHeight="1">
      <c r="A203" s="162"/>
    </row>
    <row r="204" spans="1:1" ht="16.5" customHeight="1">
      <c r="A204" s="162"/>
    </row>
    <row r="205" spans="1:1" ht="16.5" customHeight="1">
      <c r="A205" s="162"/>
    </row>
    <row r="206" spans="1:1" ht="16.5" customHeight="1">
      <c r="A206" s="162"/>
    </row>
    <row r="207" spans="1:1" ht="16.5" customHeight="1">
      <c r="A207" s="162"/>
    </row>
    <row r="208" spans="1:1" ht="16.5" customHeight="1">
      <c r="A208" s="162"/>
    </row>
    <row r="209" spans="1:1" ht="16.5" customHeight="1">
      <c r="A209" s="162"/>
    </row>
    <row r="210" spans="1:1" ht="16.5" customHeight="1">
      <c r="A210" s="162"/>
    </row>
    <row r="211" spans="1:1" ht="16.5" customHeight="1">
      <c r="A211" s="162"/>
    </row>
    <row r="212" spans="1:1" ht="16.5" customHeight="1">
      <c r="A212" s="162"/>
    </row>
    <row r="213" spans="1:1" ht="16.5" customHeight="1">
      <c r="A213" s="162"/>
    </row>
    <row r="214" spans="1:1" ht="16.5" customHeight="1">
      <c r="A214" s="162"/>
    </row>
    <row r="215" spans="1:1" ht="16.5" customHeight="1">
      <c r="A215" s="162"/>
    </row>
    <row r="216" spans="1:1" ht="16.5" customHeight="1">
      <c r="A216" s="162"/>
    </row>
    <row r="217" spans="1:1" ht="16.5" customHeight="1">
      <c r="A217" s="162"/>
    </row>
    <row r="218" spans="1:1" ht="16.5" customHeight="1">
      <c r="A218" s="162"/>
    </row>
    <row r="219" spans="1:1" ht="16.5" customHeight="1">
      <c r="A219" s="162"/>
    </row>
    <row r="220" spans="1:1" ht="16.5" customHeight="1">
      <c r="A220" s="162"/>
    </row>
    <row r="221" spans="1:1" ht="16.5" customHeight="1">
      <c r="A221" s="162"/>
    </row>
    <row r="222" spans="1:1" ht="16.5" customHeight="1">
      <c r="A222" s="162"/>
    </row>
    <row r="223" spans="1:1" ht="16.5" customHeight="1">
      <c r="A223" s="162"/>
    </row>
    <row r="224" spans="1:1" ht="16.5" customHeight="1">
      <c r="A224" s="162"/>
    </row>
    <row r="225" spans="1:1" ht="16.5" customHeight="1">
      <c r="A225" s="162"/>
    </row>
    <row r="226" spans="1:1" ht="16.5" customHeight="1">
      <c r="A226" s="162"/>
    </row>
    <row r="227" spans="1:1" ht="16.5" customHeight="1">
      <c r="A227" s="162"/>
    </row>
    <row r="228" spans="1:1" ht="16.5" customHeight="1">
      <c r="A228" s="162"/>
    </row>
    <row r="229" spans="1:1" ht="16.5" customHeight="1">
      <c r="A229" s="162"/>
    </row>
    <row r="230" spans="1:1" ht="16.5" customHeight="1">
      <c r="A230" s="162"/>
    </row>
    <row r="231" spans="1:1" ht="16.5" customHeight="1">
      <c r="A231" s="162"/>
    </row>
    <row r="232" spans="1:1" ht="16.5" customHeight="1">
      <c r="A232" s="162"/>
    </row>
    <row r="233" spans="1:1" ht="16.5" customHeight="1">
      <c r="A233" s="162"/>
    </row>
    <row r="234" spans="1:1" ht="16.5" customHeight="1">
      <c r="A234" s="162"/>
    </row>
    <row r="235" spans="1:1" ht="16.5" customHeight="1">
      <c r="A235" s="162"/>
    </row>
    <row r="236" spans="1:1" ht="16.5" customHeight="1">
      <c r="A236" s="162"/>
    </row>
    <row r="237" spans="1:1" ht="16.5" customHeight="1">
      <c r="A237" s="162"/>
    </row>
    <row r="238" spans="1:1" ht="16.5" customHeight="1">
      <c r="A238" s="162"/>
    </row>
    <row r="239" spans="1:1" ht="16.5" customHeight="1">
      <c r="A239" s="162"/>
    </row>
    <row r="240" spans="1:1" ht="16.5" customHeight="1">
      <c r="A240" s="162"/>
    </row>
    <row r="241" spans="1:1" ht="16.5" customHeight="1">
      <c r="A241" s="162"/>
    </row>
    <row r="242" spans="1:1" ht="16.5" customHeight="1">
      <c r="A242" s="162"/>
    </row>
    <row r="243" spans="1:1" ht="16.5" customHeight="1">
      <c r="A243" s="162"/>
    </row>
    <row r="244" spans="1:1" ht="16.5" customHeight="1">
      <c r="A244" s="162"/>
    </row>
    <row r="245" spans="1:1" ht="16.5" customHeight="1">
      <c r="A245" s="162"/>
    </row>
    <row r="246" spans="1:1" ht="16.5" customHeight="1">
      <c r="A246" s="162"/>
    </row>
    <row r="248" spans="1:1" ht="16.5" customHeight="1">
      <c r="A248" s="162"/>
    </row>
    <row r="250" spans="1:1" ht="16.5" customHeight="1">
      <c r="A250" s="162"/>
    </row>
    <row r="251" spans="1:1" ht="16.5" customHeight="1">
      <c r="A251" s="162"/>
    </row>
    <row r="252" spans="1:1" ht="16.5" customHeight="1">
      <c r="A252" s="162"/>
    </row>
    <row r="253" spans="1:1" ht="16.5" customHeight="1">
      <c r="A253" s="162"/>
    </row>
    <row r="254" spans="1:1" ht="16.5" customHeight="1">
      <c r="A254" s="162"/>
    </row>
    <row r="255" spans="1:1" ht="16.5" customHeight="1">
      <c r="A255" s="162"/>
    </row>
    <row r="256" spans="1:1" ht="16.5" customHeight="1">
      <c r="A256" s="162"/>
    </row>
    <row r="257" spans="1:1" ht="16.5" customHeight="1">
      <c r="A257" s="162"/>
    </row>
    <row r="258" spans="1:1" ht="16.5" customHeight="1">
      <c r="A258" s="162"/>
    </row>
    <row r="259" spans="1:1" ht="16.5" customHeight="1">
      <c r="A259" s="162"/>
    </row>
    <row r="260" spans="1:1" ht="16.5" customHeight="1">
      <c r="A260" s="162"/>
    </row>
    <row r="261" spans="1:1" ht="16.5" customHeight="1">
      <c r="A261" s="162"/>
    </row>
    <row r="262" spans="1:1" ht="16.5" customHeight="1">
      <c r="A262" s="162"/>
    </row>
    <row r="263" spans="1:1" ht="16.5" customHeight="1">
      <c r="A263" s="162"/>
    </row>
    <row r="264" spans="1:1" ht="16.5" customHeight="1">
      <c r="A264" s="162"/>
    </row>
    <row r="265" spans="1:1" ht="16.5" customHeight="1">
      <c r="A265" s="162"/>
    </row>
    <row r="266" spans="1:1" ht="16.5" customHeight="1">
      <c r="A266" s="162"/>
    </row>
    <row r="267" spans="1:1" ht="16.5" customHeight="1">
      <c r="A267" s="162"/>
    </row>
    <row r="268" spans="1:1" ht="16.5" customHeight="1">
      <c r="A268" s="162"/>
    </row>
    <row r="269" spans="1:1" ht="16.5" customHeight="1">
      <c r="A269" s="162"/>
    </row>
    <row r="270" spans="1:1" ht="16.5" customHeight="1">
      <c r="A270" s="162"/>
    </row>
    <row r="271" spans="1:1" ht="16.5" customHeight="1">
      <c r="A271" s="162"/>
    </row>
    <row r="272" spans="1:1" ht="16.5" customHeight="1">
      <c r="A272" s="162"/>
    </row>
    <row r="273" spans="1:1" ht="16.5" customHeight="1">
      <c r="A273" s="162"/>
    </row>
    <row r="274" spans="1:1" ht="16.5" customHeight="1">
      <c r="A274" s="162"/>
    </row>
    <row r="275" spans="1:1" ht="16.5" customHeight="1">
      <c r="A275" s="162"/>
    </row>
    <row r="276" spans="1:1" ht="16.5" customHeight="1">
      <c r="A276" s="162"/>
    </row>
    <row r="277" spans="1:1" ht="16.5" customHeight="1">
      <c r="A277" s="162"/>
    </row>
    <row r="278" spans="1:1" ht="16.5" customHeight="1">
      <c r="A278" s="162"/>
    </row>
    <row r="279" spans="1:1" ht="16.5" customHeight="1">
      <c r="A279" s="162"/>
    </row>
    <row r="280" spans="1:1" ht="16.5" customHeight="1">
      <c r="A280" s="162"/>
    </row>
    <row r="281" spans="1:1" ht="16.5" customHeight="1">
      <c r="A281" s="162"/>
    </row>
    <row r="282" spans="1:1" ht="16.5" customHeight="1">
      <c r="A282" s="162"/>
    </row>
    <row r="283" spans="1:1" ht="16.5" customHeight="1">
      <c r="A283" s="162"/>
    </row>
    <row r="284" spans="1:1" ht="16.5" customHeight="1">
      <c r="A284" s="162"/>
    </row>
    <row r="285" spans="1:1" ht="16.5" customHeight="1">
      <c r="A285" s="162"/>
    </row>
    <row r="286" spans="1:1" ht="16.5" customHeight="1">
      <c r="A286" s="162"/>
    </row>
    <row r="287" spans="1:1" ht="16.5" customHeight="1">
      <c r="A287" s="162"/>
    </row>
    <row r="288" spans="1:1" ht="16.5" customHeight="1">
      <c r="A288" s="162"/>
    </row>
    <row r="289" spans="1:1" ht="16.5" customHeight="1">
      <c r="A289" s="162"/>
    </row>
    <row r="290" spans="1:1" ht="16.5" customHeight="1">
      <c r="A290" s="162"/>
    </row>
    <row r="291" spans="1:1" ht="16.5" customHeight="1">
      <c r="A291" s="162"/>
    </row>
    <row r="292" spans="1:1" ht="16.5" customHeight="1">
      <c r="A292" s="162"/>
    </row>
    <row r="293" spans="1:1" ht="16.5" customHeight="1">
      <c r="A293" s="162"/>
    </row>
    <row r="294" spans="1:1" ht="16.5" customHeight="1">
      <c r="A294" s="162"/>
    </row>
    <row r="295" spans="1:1" ht="16.5" customHeight="1">
      <c r="A295" s="162"/>
    </row>
    <row r="296" spans="1:1" ht="16.5" customHeight="1">
      <c r="A296" s="162"/>
    </row>
    <row r="297" spans="1:1" ht="16.5" customHeight="1">
      <c r="A297" s="162"/>
    </row>
    <row r="298" spans="1:1" ht="16.5" customHeight="1">
      <c r="A298" s="162"/>
    </row>
    <row r="299" spans="1:1" ht="16.5" customHeight="1">
      <c r="A299" s="162"/>
    </row>
    <row r="300" spans="1:1" ht="16.5" customHeight="1">
      <c r="A300" s="162"/>
    </row>
    <row r="301" spans="1:1" ht="16.5" customHeight="1">
      <c r="A301" s="162"/>
    </row>
    <row r="302" spans="1:1" ht="16.5" customHeight="1">
      <c r="A302" s="162"/>
    </row>
    <row r="303" spans="1:1" ht="16.5" customHeight="1">
      <c r="A303" s="162"/>
    </row>
    <row r="304" spans="1:1" ht="16.5" customHeight="1">
      <c r="A304" s="162"/>
    </row>
    <row r="305" spans="1:1" ht="16.5" customHeight="1">
      <c r="A305" s="162"/>
    </row>
    <row r="306" spans="1:1" ht="16.5" customHeight="1">
      <c r="A306" s="162"/>
    </row>
    <row r="307" spans="1:1" ht="16.5" customHeight="1">
      <c r="A307" s="162"/>
    </row>
    <row r="308" spans="1:1" ht="16.5" customHeight="1">
      <c r="A308" s="162"/>
    </row>
    <row r="309" spans="1:1" ht="16.5" customHeight="1">
      <c r="A309" s="162"/>
    </row>
    <row r="310" spans="1:1" ht="16.5" customHeight="1">
      <c r="A310" s="162"/>
    </row>
    <row r="311" spans="1:1" ht="16.5" customHeight="1">
      <c r="A311" s="162"/>
    </row>
    <row r="312" spans="1:1" ht="16.5" customHeight="1">
      <c r="A312" s="162"/>
    </row>
    <row r="313" spans="1:1" ht="16.5" customHeight="1">
      <c r="A313" s="162"/>
    </row>
    <row r="314" spans="1:1" ht="16.5" customHeight="1">
      <c r="A314" s="162"/>
    </row>
    <row r="315" spans="1:1" ht="16.5" customHeight="1">
      <c r="A315" s="162"/>
    </row>
    <row r="316" spans="1:1" ht="16.5" customHeight="1">
      <c r="A316" s="162"/>
    </row>
    <row r="317" spans="1:1" ht="16.5" customHeight="1">
      <c r="A317" s="162"/>
    </row>
    <row r="318" spans="1:1" ht="16.5" customHeight="1">
      <c r="A318" s="162"/>
    </row>
    <row r="319" spans="1:1" ht="16.5" customHeight="1">
      <c r="A319" s="162"/>
    </row>
    <row r="320" spans="1:1" ht="16.5" customHeight="1">
      <c r="A320" s="162"/>
    </row>
    <row r="321" spans="1:1" ht="16.5" customHeight="1">
      <c r="A321" s="162"/>
    </row>
    <row r="322" spans="1:1" ht="16.5" customHeight="1">
      <c r="A322" s="162"/>
    </row>
    <row r="323" spans="1:1" ht="16.5" customHeight="1">
      <c r="A323" s="162"/>
    </row>
    <row r="324" spans="1:1" ht="16.5" customHeight="1">
      <c r="A324" s="162"/>
    </row>
    <row r="325" spans="1:1" ht="16.5" customHeight="1">
      <c r="A325" s="162"/>
    </row>
    <row r="326" spans="1:1" ht="16.5" customHeight="1">
      <c r="A326" s="162"/>
    </row>
    <row r="327" spans="1:1" ht="16.5" customHeight="1">
      <c r="A327" s="162"/>
    </row>
    <row r="328" spans="1:1" ht="16.5" customHeight="1">
      <c r="A328" s="162"/>
    </row>
    <row r="329" spans="1:1" ht="16.5" customHeight="1">
      <c r="A329" s="162"/>
    </row>
    <row r="330" spans="1:1" ht="16.5" customHeight="1">
      <c r="A330" s="162"/>
    </row>
    <row r="331" spans="1:1" ht="16.5" customHeight="1">
      <c r="A331" s="162"/>
    </row>
    <row r="332" spans="1:1" ht="16.5" customHeight="1">
      <c r="A332" s="162"/>
    </row>
    <row r="333" spans="1:1" ht="16.5" customHeight="1">
      <c r="A333" s="162"/>
    </row>
    <row r="334" spans="1:1" ht="16.5" customHeight="1">
      <c r="A334" s="162"/>
    </row>
    <row r="335" spans="1:1" ht="16.5" customHeight="1">
      <c r="A335" s="162"/>
    </row>
    <row r="336" spans="1:1" ht="16.5" customHeight="1">
      <c r="A336" s="162"/>
    </row>
    <row r="337" spans="1:1" ht="16.5" customHeight="1">
      <c r="A337" s="162"/>
    </row>
    <row r="338" spans="1:1" ht="16.5" customHeight="1">
      <c r="A338" s="162"/>
    </row>
    <row r="339" spans="1:1" ht="16.5" customHeight="1">
      <c r="A339" s="162"/>
    </row>
    <row r="340" spans="1:1" ht="16.5" customHeight="1">
      <c r="A340" s="162"/>
    </row>
    <row r="341" spans="1:1" ht="16.5" customHeight="1">
      <c r="A341" s="162"/>
    </row>
    <row r="342" spans="1:1" ht="16.5" customHeight="1">
      <c r="A342" s="162"/>
    </row>
    <row r="343" spans="1:1" ht="16.5" customHeight="1">
      <c r="A343" s="162"/>
    </row>
    <row r="344" spans="1:1" ht="16.5" customHeight="1">
      <c r="A344" s="162"/>
    </row>
    <row r="345" spans="1:1" ht="16.5" customHeight="1">
      <c r="A345" s="162"/>
    </row>
    <row r="346" spans="1:1" ht="16.5" customHeight="1">
      <c r="A346" s="162"/>
    </row>
    <row r="347" spans="1:1" ht="16.5" customHeight="1">
      <c r="A347" s="162"/>
    </row>
    <row r="348" spans="1:1" ht="16.5" customHeight="1">
      <c r="A348" s="162"/>
    </row>
    <row r="349" spans="1:1" ht="16.5" customHeight="1">
      <c r="A349" s="162"/>
    </row>
    <row r="350" spans="1:1" ht="16.5" customHeight="1">
      <c r="A350" s="162"/>
    </row>
    <row r="351" spans="1:1" ht="16.5" customHeight="1">
      <c r="A351" s="162"/>
    </row>
    <row r="353" spans="1:1" ht="16.5" customHeight="1">
      <c r="A353" s="162"/>
    </row>
    <row r="354" spans="1:1" ht="16.5" customHeight="1">
      <c r="A354" s="162"/>
    </row>
    <row r="355" spans="1:1" ht="16.5" customHeight="1">
      <c r="A355" s="162"/>
    </row>
    <row r="356" spans="1:1" ht="16.5" customHeight="1">
      <c r="A356" s="162"/>
    </row>
    <row r="358" spans="1:1" ht="16.5" customHeight="1">
      <c r="A358" s="162"/>
    </row>
    <row r="359" spans="1:1" ht="16.5" customHeight="1">
      <c r="A359" s="162"/>
    </row>
    <row r="360" spans="1:1" ht="16.5" customHeight="1">
      <c r="A360" s="162"/>
    </row>
    <row r="361" spans="1:1" ht="16.5" customHeight="1">
      <c r="A361" s="162"/>
    </row>
    <row r="362" spans="1:1" ht="16.5" customHeight="1">
      <c r="A362" s="162"/>
    </row>
    <row r="363" spans="1:1" ht="16.5" customHeight="1">
      <c r="A363" s="162"/>
    </row>
    <row r="364" spans="1:1" ht="16.5" customHeight="1">
      <c r="A364" s="162"/>
    </row>
    <row r="365" spans="1:1" ht="16.5" customHeight="1">
      <c r="A365" s="162"/>
    </row>
    <row r="366" spans="1:1" ht="16.5" customHeight="1">
      <c r="A366" s="162"/>
    </row>
    <row r="367" spans="1:1" ht="16.5" customHeight="1">
      <c r="A367" s="162"/>
    </row>
    <row r="368" spans="1:1" ht="16.5" customHeight="1">
      <c r="A368" s="162"/>
    </row>
    <row r="369" spans="1:1" ht="16.5" customHeight="1">
      <c r="A369" s="162"/>
    </row>
    <row r="370" spans="1:1" ht="16.5" customHeight="1">
      <c r="A370" s="162"/>
    </row>
    <row r="371" spans="1:1" ht="16.5" customHeight="1">
      <c r="A371" s="162"/>
    </row>
    <row r="372" spans="1:1" ht="16.5" customHeight="1">
      <c r="A372" s="162"/>
    </row>
    <row r="373" spans="1:1" ht="16.5" customHeight="1">
      <c r="A373" s="162"/>
    </row>
    <row r="374" spans="1:1" ht="16.5" customHeight="1">
      <c r="A374" s="162"/>
    </row>
    <row r="375" spans="1:1" ht="16.5" customHeight="1">
      <c r="A375" s="162"/>
    </row>
    <row r="376" spans="1:1" ht="16.5" customHeight="1">
      <c r="A376" s="162"/>
    </row>
    <row r="378" spans="1:1" ht="16.5" customHeight="1">
      <c r="A378" s="162"/>
    </row>
    <row r="379" spans="1:1" ht="16.5" customHeight="1">
      <c r="A379" s="162"/>
    </row>
    <row r="380" spans="1:1" ht="16.5" customHeight="1">
      <c r="A380" s="162"/>
    </row>
    <row r="382" spans="1:1" ht="16.5" customHeight="1">
      <c r="A382" s="162"/>
    </row>
    <row r="383" spans="1:1" ht="16.5" customHeight="1">
      <c r="A383" s="162"/>
    </row>
    <row r="384" spans="1:1" ht="16.5" customHeight="1">
      <c r="A384" s="162"/>
    </row>
    <row r="385" spans="1:1" ht="16.5" customHeight="1">
      <c r="A385" s="162"/>
    </row>
    <row r="386" spans="1:1" ht="16.5" customHeight="1">
      <c r="A386" s="162"/>
    </row>
    <row r="387" spans="1:1" ht="16.5" customHeight="1">
      <c r="A387" s="162"/>
    </row>
    <row r="388" spans="1:1" ht="16.5" customHeight="1">
      <c r="A388" s="162"/>
    </row>
    <row r="389" spans="1:1" ht="16.5" customHeight="1">
      <c r="A389" s="162"/>
    </row>
    <row r="390" spans="1:1" ht="16.5" customHeight="1">
      <c r="A390" s="162"/>
    </row>
    <row r="391" spans="1:1" ht="16.5" customHeight="1">
      <c r="A391" s="162"/>
    </row>
    <row r="392" spans="1:1" ht="16.5" customHeight="1">
      <c r="A392" s="162"/>
    </row>
    <row r="393" spans="1:1" ht="16.5" customHeight="1">
      <c r="A393" s="162"/>
    </row>
    <row r="394" spans="1:1" ht="16.5" customHeight="1">
      <c r="A394" s="162"/>
    </row>
    <row r="395" spans="1:1" ht="16.5" customHeight="1">
      <c r="A395" s="162"/>
    </row>
    <row r="396" spans="1:1" ht="16.5" customHeight="1">
      <c r="A396" s="162"/>
    </row>
    <row r="397" spans="1:1" ht="16.5" customHeight="1">
      <c r="A397" s="162"/>
    </row>
    <row r="398" spans="1:1" ht="16.5" customHeight="1">
      <c r="A398" s="162"/>
    </row>
    <row r="399" spans="1:1" ht="16.5" customHeight="1">
      <c r="A399" s="162"/>
    </row>
    <row r="400" spans="1:1" ht="16.5" customHeight="1">
      <c r="A400" s="162"/>
    </row>
    <row r="401" spans="1:1" ht="16.5" customHeight="1">
      <c r="A401" s="162"/>
    </row>
    <row r="402" spans="1:1" ht="16.5" customHeight="1">
      <c r="A402" s="162"/>
    </row>
    <row r="403" spans="1:1" ht="16.5" customHeight="1">
      <c r="A403" s="162"/>
    </row>
    <row r="404" spans="1:1" ht="16.5" customHeight="1">
      <c r="A404" s="162"/>
    </row>
    <row r="405" spans="1:1" ht="16.5" customHeight="1">
      <c r="A405" s="162"/>
    </row>
    <row r="406" spans="1:1" ht="16.5" customHeight="1">
      <c r="A406" s="162"/>
    </row>
    <row r="407" spans="1:1" ht="16.5" customHeight="1">
      <c r="A407" s="162"/>
    </row>
    <row r="408" spans="1:1" ht="16.5" customHeight="1">
      <c r="A408" s="162"/>
    </row>
    <row r="409" spans="1:1" ht="16.5" customHeight="1">
      <c r="A409" s="162"/>
    </row>
    <row r="410" spans="1:1" ht="16.5" customHeight="1">
      <c r="A410" s="162"/>
    </row>
    <row r="411" spans="1:1" ht="16.5" customHeight="1">
      <c r="A411" s="162"/>
    </row>
    <row r="412" spans="1:1" ht="16.5" customHeight="1">
      <c r="A412" s="162"/>
    </row>
    <row r="413" spans="1:1" ht="16.5" customHeight="1">
      <c r="A413" s="162"/>
    </row>
    <row r="414" spans="1:1" ht="16.5" customHeight="1">
      <c r="A414" s="162"/>
    </row>
    <row r="415" spans="1:1" ht="16.5" customHeight="1">
      <c r="A415" s="162"/>
    </row>
    <row r="416" spans="1:1" ht="16.5" customHeight="1">
      <c r="A416" s="162"/>
    </row>
    <row r="417" spans="1:1" ht="16.5" customHeight="1">
      <c r="A417" s="162"/>
    </row>
    <row r="418" spans="1:1" ht="16.5" customHeight="1">
      <c r="A418" s="162"/>
    </row>
    <row r="420" spans="1:1" ht="16.5" customHeight="1">
      <c r="A420" s="162"/>
    </row>
    <row r="421" spans="1:1" ht="16.5" customHeight="1">
      <c r="A421" s="162"/>
    </row>
    <row r="422" spans="1:1" ht="16.5" customHeight="1">
      <c r="A422" s="162"/>
    </row>
    <row r="423" spans="1:1" ht="16.5" customHeight="1">
      <c r="A423" s="162"/>
    </row>
    <row r="424" spans="1:1" ht="16.5" customHeight="1">
      <c r="A424" s="162"/>
    </row>
    <row r="425" spans="1:1" ht="16.5" customHeight="1">
      <c r="A425" s="162"/>
    </row>
    <row r="426" spans="1:1" ht="16.5" customHeight="1">
      <c r="A426" s="162"/>
    </row>
    <row r="427" spans="1:1" ht="16.5" customHeight="1">
      <c r="A427" s="162"/>
    </row>
    <row r="428" spans="1:1" ht="16.5" customHeight="1">
      <c r="A428" s="162"/>
    </row>
    <row r="429" spans="1:1" ht="16.5" customHeight="1">
      <c r="A429" s="162"/>
    </row>
    <row r="430" spans="1:1" ht="16.5" customHeight="1">
      <c r="A430" s="162"/>
    </row>
    <row r="431" spans="1:1" ht="16.5" customHeight="1">
      <c r="A431" s="162"/>
    </row>
    <row r="432" spans="1:1" ht="16.5" customHeight="1">
      <c r="A432" s="162"/>
    </row>
    <row r="433" spans="1:1" ht="16.5" customHeight="1">
      <c r="A433" s="162"/>
    </row>
    <row r="434" spans="1:1" ht="16.5" customHeight="1">
      <c r="A434" s="162"/>
    </row>
    <row r="435" spans="1:1" ht="16.5" customHeight="1">
      <c r="A435" s="162"/>
    </row>
    <row r="436" spans="1:1" ht="16.5" customHeight="1">
      <c r="A436" s="162"/>
    </row>
    <row r="437" spans="1:1" ht="16.5" customHeight="1">
      <c r="A437" s="162"/>
    </row>
    <row r="438" spans="1:1" ht="16.5" customHeight="1">
      <c r="A438" s="162"/>
    </row>
    <row r="439" spans="1:1" ht="16.5" customHeight="1">
      <c r="A439" s="162"/>
    </row>
    <row r="441" spans="1:1" ht="16.5" customHeight="1">
      <c r="A441" s="162"/>
    </row>
    <row r="443" spans="1:1" ht="16.5" customHeight="1">
      <c r="A443" s="162"/>
    </row>
    <row r="444" spans="1:1" ht="16.5" customHeight="1">
      <c r="A444" s="162"/>
    </row>
    <row r="445" spans="1:1" ht="16.5" customHeight="1">
      <c r="A445" s="162"/>
    </row>
    <row r="446" spans="1:1" ht="16.5" customHeight="1">
      <c r="A446" s="162"/>
    </row>
    <row r="447" spans="1:1" ht="16.5" customHeight="1">
      <c r="A447" s="162"/>
    </row>
    <row r="448" spans="1:1" ht="16.5" customHeight="1">
      <c r="A448" s="162"/>
    </row>
    <row r="449" spans="1:1" ht="16.5" customHeight="1">
      <c r="A449" s="162"/>
    </row>
    <row r="450" spans="1:1" ht="16.5" customHeight="1">
      <c r="A450" s="162"/>
    </row>
    <row r="451" spans="1:1" ht="16.5" customHeight="1">
      <c r="A451" s="162"/>
    </row>
    <row r="452" spans="1:1" ht="16.5" customHeight="1">
      <c r="A452" s="162"/>
    </row>
    <row r="453" spans="1:1" ht="16.5" customHeight="1">
      <c r="A453" s="162"/>
    </row>
    <row r="454" spans="1:1" ht="16.5" customHeight="1">
      <c r="A454" s="162"/>
    </row>
    <row r="455" spans="1:1" ht="16.5" customHeight="1">
      <c r="A455" s="162"/>
    </row>
    <row r="456" spans="1:1" ht="16.5" customHeight="1">
      <c r="A456" s="162"/>
    </row>
    <row r="457" spans="1:1" ht="16.5" customHeight="1">
      <c r="A457" s="162"/>
    </row>
    <row r="458" spans="1:1" ht="16.5" customHeight="1">
      <c r="A458" s="162"/>
    </row>
    <row r="459" spans="1:1" ht="16.5" customHeight="1">
      <c r="A459" s="162"/>
    </row>
    <row r="460" spans="1:1" ht="16.5" customHeight="1">
      <c r="A460" s="162"/>
    </row>
    <row r="461" spans="1:1" ht="16.5" customHeight="1">
      <c r="A461" s="162"/>
    </row>
    <row r="462" spans="1:1" ht="16.5" customHeight="1">
      <c r="A462" s="162"/>
    </row>
    <row r="463" spans="1:1" ht="16.5" customHeight="1">
      <c r="A463" s="162"/>
    </row>
    <row r="464" spans="1:1" ht="16.5" customHeight="1">
      <c r="A464" s="162"/>
    </row>
    <row r="465" spans="1:1" ht="16.5" customHeight="1">
      <c r="A465" s="162"/>
    </row>
    <row r="466" spans="1:1" ht="16.5" customHeight="1">
      <c r="A466" s="162"/>
    </row>
    <row r="467" spans="1:1" ht="16.5" customHeight="1">
      <c r="A467" s="162"/>
    </row>
    <row r="468" spans="1:1" ht="16.5" customHeight="1">
      <c r="A468" s="162"/>
    </row>
    <row r="469" spans="1:1" ht="16.5" customHeight="1">
      <c r="A469" s="162"/>
    </row>
    <row r="470" spans="1:1" ht="16.5" customHeight="1">
      <c r="A470" s="162"/>
    </row>
    <row r="471" spans="1:1" ht="16.5" customHeight="1">
      <c r="A471" s="162"/>
    </row>
    <row r="472" spans="1:1" ht="16.5" customHeight="1">
      <c r="A472" s="162"/>
    </row>
    <row r="473" spans="1:1" ht="16.5" customHeight="1">
      <c r="A473" s="162"/>
    </row>
    <row r="474" spans="1:1" ht="16.5" customHeight="1">
      <c r="A474" s="162"/>
    </row>
    <row r="475" spans="1:1" ht="16.5" customHeight="1">
      <c r="A475" s="162"/>
    </row>
    <row r="476" spans="1:1" ht="16.5" customHeight="1">
      <c r="A476" s="162"/>
    </row>
    <row r="477" spans="1:1" ht="16.5" customHeight="1">
      <c r="A477" s="162"/>
    </row>
    <row r="478" spans="1:1" ht="16.5" customHeight="1">
      <c r="A478" s="162"/>
    </row>
    <row r="489" spans="1:1" ht="16.5" customHeight="1">
      <c r="A489" s="162"/>
    </row>
    <row r="490" spans="1:1" ht="16.5" customHeight="1">
      <c r="A490" s="162"/>
    </row>
    <row r="491" spans="1:1" ht="16.5" customHeight="1">
      <c r="A491" s="162"/>
    </row>
    <row r="492" spans="1:1" ht="16.5" customHeight="1">
      <c r="A492" s="162"/>
    </row>
    <row r="493" spans="1:1" ht="16.5" customHeight="1">
      <c r="A493" s="162"/>
    </row>
    <row r="494" spans="1:1" ht="16.5" customHeight="1">
      <c r="A494" s="162"/>
    </row>
    <row r="495" spans="1:1" ht="16.5" customHeight="1">
      <c r="A495" s="162"/>
    </row>
    <row r="496" spans="1:1" ht="16.5" customHeight="1">
      <c r="A496" s="162"/>
    </row>
    <row r="497" spans="1:1" ht="16.5" customHeight="1">
      <c r="A497" s="162"/>
    </row>
    <row r="498" spans="1:1" ht="16.5" customHeight="1">
      <c r="A498" s="162"/>
    </row>
    <row r="499" spans="1:1" ht="16.5" customHeight="1">
      <c r="A499" s="162"/>
    </row>
    <row r="500" spans="1:1" ht="16.5" customHeight="1">
      <c r="A500" s="162"/>
    </row>
    <row r="501" spans="1:1" ht="16.5" customHeight="1">
      <c r="A501" s="162"/>
    </row>
    <row r="502" spans="1:1" ht="16.5" customHeight="1">
      <c r="A502" s="162"/>
    </row>
    <row r="503" spans="1:1" ht="16.5" customHeight="1">
      <c r="A503" s="162"/>
    </row>
    <row r="504" spans="1:1" ht="16.5" customHeight="1">
      <c r="A504" s="162"/>
    </row>
    <row r="505" spans="1:1" ht="16.5" customHeight="1">
      <c r="A505" s="162"/>
    </row>
    <row r="506" spans="1:1" ht="16.5" customHeight="1">
      <c r="A506" s="162"/>
    </row>
    <row r="507" spans="1:1" ht="16.5" customHeight="1">
      <c r="A507" s="162"/>
    </row>
    <row r="508" spans="1:1" ht="16.5" customHeight="1">
      <c r="A508" s="162"/>
    </row>
    <row r="509" spans="1:1" ht="16.5" customHeight="1">
      <c r="A509" s="162"/>
    </row>
    <row r="510" spans="1:1" ht="16.5" customHeight="1">
      <c r="A510" s="162"/>
    </row>
    <row r="511" spans="1:1" ht="16.5" customHeight="1">
      <c r="A511" s="162"/>
    </row>
    <row r="512" spans="1:1" ht="16.5" customHeight="1">
      <c r="A512" s="162"/>
    </row>
    <row r="513" spans="1:1" ht="16.5" customHeight="1">
      <c r="A513" s="162"/>
    </row>
    <row r="514" spans="1:1" ht="16.5" customHeight="1">
      <c r="A514" s="162"/>
    </row>
    <row r="515" spans="1:1" ht="16.5" customHeight="1">
      <c r="A515" s="162"/>
    </row>
    <row r="516" spans="1:1" ht="16.5" customHeight="1">
      <c r="A516" s="162"/>
    </row>
    <row r="517" spans="1:1" ht="16.5" customHeight="1">
      <c r="A517" s="162"/>
    </row>
    <row r="518" spans="1:1" ht="16.5" customHeight="1">
      <c r="A518" s="162"/>
    </row>
    <row r="519" spans="1:1" ht="16.5" customHeight="1">
      <c r="A519" s="162"/>
    </row>
    <row r="520" spans="1:1" ht="16.5" customHeight="1">
      <c r="A520" s="162"/>
    </row>
    <row r="521" spans="1:1" ht="16.5" customHeight="1">
      <c r="A521" s="162"/>
    </row>
    <row r="522" spans="1:1" ht="16.5" customHeight="1">
      <c r="A522" s="162"/>
    </row>
    <row r="523" spans="1:1" ht="16.5" customHeight="1">
      <c r="A523" s="162"/>
    </row>
    <row r="524" spans="1:1" ht="16.5" customHeight="1">
      <c r="A524" s="162"/>
    </row>
    <row r="525" spans="1:1" ht="16.5" customHeight="1">
      <c r="A525" s="162"/>
    </row>
    <row r="526" spans="1:1" ht="16.5" customHeight="1">
      <c r="A526" s="162"/>
    </row>
    <row r="527" spans="1:1" ht="16.5" customHeight="1">
      <c r="A527" s="162"/>
    </row>
    <row r="528" spans="1:1" ht="16.5" customHeight="1">
      <c r="A528" s="162"/>
    </row>
    <row r="529" spans="1:1" ht="16.5" customHeight="1">
      <c r="A529" s="162"/>
    </row>
    <row r="530" spans="1:1" ht="16.5" customHeight="1">
      <c r="A530" s="162"/>
    </row>
    <row r="531" spans="1:1" ht="16.5" customHeight="1">
      <c r="A531" s="162"/>
    </row>
    <row r="532" spans="1:1" ht="16.5" customHeight="1">
      <c r="A532" s="162"/>
    </row>
    <row r="533" spans="1:1" ht="16.5" customHeight="1">
      <c r="A533" s="162"/>
    </row>
    <row r="534" spans="1:1" ht="16.5" customHeight="1">
      <c r="A534" s="162"/>
    </row>
    <row r="535" spans="1:1" ht="16.5" customHeight="1">
      <c r="A535" s="162"/>
    </row>
    <row r="536" spans="1:1" ht="16.5" customHeight="1">
      <c r="A536" s="162"/>
    </row>
    <row r="549" spans="1:1" ht="16.5" customHeight="1">
      <c r="A549" s="162"/>
    </row>
    <row r="550" spans="1:1" ht="16.5" customHeight="1">
      <c r="A550" s="162"/>
    </row>
    <row r="551" spans="1:1" ht="16.5" customHeight="1">
      <c r="A551" s="162"/>
    </row>
    <row r="552" spans="1:1" ht="16.5" customHeight="1">
      <c r="A552" s="162"/>
    </row>
    <row r="553" spans="1:1" ht="16.5" customHeight="1">
      <c r="A553" s="162"/>
    </row>
    <row r="554" spans="1:1" ht="16.5" customHeight="1">
      <c r="A554" s="162"/>
    </row>
    <row r="555" spans="1:1" ht="16.5" customHeight="1">
      <c r="A555" s="162"/>
    </row>
    <row r="556" spans="1:1" ht="16.5" customHeight="1">
      <c r="A556" s="162"/>
    </row>
    <row r="557" spans="1:1" ht="16.5" customHeight="1">
      <c r="A557" s="162"/>
    </row>
    <row r="558" spans="1:1" ht="16.5" customHeight="1">
      <c r="A558" s="162"/>
    </row>
    <row r="559" spans="1:1" ht="16.5" customHeight="1">
      <c r="A559" s="162"/>
    </row>
    <row r="560" spans="1:1" ht="16.5" customHeight="1">
      <c r="A560" s="162"/>
    </row>
    <row r="561" spans="1:1" ht="16.5" customHeight="1">
      <c r="A561" s="162"/>
    </row>
    <row r="562" spans="1:1" ht="16.5" customHeight="1">
      <c r="A562" s="162"/>
    </row>
    <row r="563" spans="1:1" ht="16.5" customHeight="1">
      <c r="A563" s="162"/>
    </row>
    <row r="564" spans="1:1" ht="16.5" customHeight="1">
      <c r="A564" s="162"/>
    </row>
    <row r="565" spans="1:1" ht="16.5" customHeight="1">
      <c r="A565" s="162"/>
    </row>
    <row r="566" spans="1:1" ht="16.5" customHeight="1">
      <c r="A566" s="162"/>
    </row>
    <row r="567" spans="1:1" ht="16.5" customHeight="1">
      <c r="A567" s="162"/>
    </row>
    <row r="568" spans="1:1" ht="16.5" customHeight="1">
      <c r="A568" s="162"/>
    </row>
    <row r="569" spans="1:1" ht="16.5" customHeight="1">
      <c r="A569" s="162"/>
    </row>
    <row r="570" spans="1:1" ht="16.5" customHeight="1">
      <c r="A570" s="162"/>
    </row>
    <row r="571" spans="1:1" ht="16.5" customHeight="1">
      <c r="A571" s="162"/>
    </row>
    <row r="572" spans="1:1" ht="16.5" customHeight="1">
      <c r="A572" s="162"/>
    </row>
    <row r="573" spans="1:1" ht="16.5" customHeight="1">
      <c r="A573" s="162"/>
    </row>
    <row r="574" spans="1:1" ht="16.5" customHeight="1">
      <c r="A574" s="162"/>
    </row>
    <row r="575" spans="1:1" ht="16.5" customHeight="1">
      <c r="A575" s="162"/>
    </row>
    <row r="576" spans="1:1" ht="16.5" customHeight="1">
      <c r="A576" s="162"/>
    </row>
    <row r="577" spans="1:1" ht="16.5" customHeight="1">
      <c r="A577" s="162"/>
    </row>
    <row r="578" spans="1:1" ht="16.5" customHeight="1">
      <c r="A578" s="162"/>
    </row>
    <row r="579" spans="1:1" ht="16.5" customHeight="1">
      <c r="A579" s="162"/>
    </row>
    <row r="580" spans="1:1" ht="16.5" customHeight="1">
      <c r="A580" s="162"/>
    </row>
    <row r="581" spans="1:1" ht="16.5" customHeight="1">
      <c r="A581" s="162"/>
    </row>
    <row r="582" spans="1:1" ht="16.5" customHeight="1">
      <c r="A582" s="162"/>
    </row>
    <row r="583" spans="1:1" ht="16.5" customHeight="1">
      <c r="A583" s="162"/>
    </row>
    <row r="584" spans="1:1" ht="16.5" customHeight="1">
      <c r="A584" s="162"/>
    </row>
    <row r="585" spans="1:1" ht="16.5" customHeight="1">
      <c r="A585" s="162"/>
    </row>
    <row r="586" spans="1:1" ht="16.5" customHeight="1">
      <c r="A586" s="162"/>
    </row>
    <row r="587" spans="1:1" ht="16.5" customHeight="1">
      <c r="A587" s="162"/>
    </row>
    <row r="588" spans="1:1" ht="16.5" customHeight="1">
      <c r="A588" s="162"/>
    </row>
    <row r="589" spans="1:1" ht="16.5" customHeight="1">
      <c r="A589" s="162"/>
    </row>
    <row r="590" spans="1:1" ht="16.5" customHeight="1">
      <c r="A590" s="162"/>
    </row>
    <row r="591" spans="1:1" ht="16.5" customHeight="1">
      <c r="A591" s="162"/>
    </row>
    <row r="592" spans="1:1" ht="16.5" customHeight="1">
      <c r="A592" s="162"/>
    </row>
    <row r="593" spans="1:1" ht="16.5" customHeight="1">
      <c r="A593" s="162"/>
    </row>
    <row r="594" spans="1:1" ht="16.5" customHeight="1">
      <c r="A594" s="162"/>
    </row>
    <row r="595" spans="1:1" ht="16.5" customHeight="1">
      <c r="A595" s="162"/>
    </row>
    <row r="596" spans="1:1" ht="16.5" customHeight="1">
      <c r="A596" s="162"/>
    </row>
    <row r="597" spans="1:1" ht="16.5" customHeight="1">
      <c r="A597" s="162"/>
    </row>
    <row r="598" spans="1:1" ht="16.5" customHeight="1">
      <c r="A598" s="162"/>
    </row>
    <row r="599" spans="1:1" ht="16.5" customHeight="1">
      <c r="A599" s="162"/>
    </row>
    <row r="600" spans="1:1" ht="16.5" customHeight="1">
      <c r="A600" s="162"/>
    </row>
    <row r="601" spans="1:1" ht="16.5" customHeight="1">
      <c r="A601" s="162"/>
    </row>
    <row r="602" spans="1:1" ht="16.5" customHeight="1">
      <c r="A602" s="162"/>
    </row>
    <row r="603" spans="1:1" ht="16.5" customHeight="1">
      <c r="A603" s="162"/>
    </row>
    <row r="604" spans="1:1" ht="16.5" customHeight="1">
      <c r="A604" s="162"/>
    </row>
    <row r="605" spans="1:1" ht="16.5" customHeight="1">
      <c r="A605" s="162"/>
    </row>
    <row r="606" spans="1:1" ht="16.5" customHeight="1">
      <c r="A606" s="162"/>
    </row>
    <row r="608" spans="1:1" ht="16.5" customHeight="1">
      <c r="A608" s="162"/>
    </row>
    <row r="609" spans="1:1" ht="16.5" customHeight="1">
      <c r="A609" s="162"/>
    </row>
    <row r="610" spans="1:1" ht="16.5" customHeight="1">
      <c r="A610" s="162"/>
    </row>
    <row r="611" spans="1:1" ht="16.5" customHeight="1">
      <c r="A611" s="162"/>
    </row>
    <row r="612" spans="1:1" ht="16.5" customHeight="1">
      <c r="A612" s="162"/>
    </row>
    <row r="613" spans="1:1" ht="16.5" customHeight="1">
      <c r="A613" s="162"/>
    </row>
    <row r="614" spans="1:1" ht="16.5" customHeight="1">
      <c r="A614" s="162"/>
    </row>
    <row r="615" spans="1:1" ht="16.5" customHeight="1">
      <c r="A615" s="162"/>
    </row>
    <row r="616" spans="1:1" ht="16.5" customHeight="1">
      <c r="A616" s="162"/>
    </row>
    <row r="617" spans="1:1" ht="16.5" customHeight="1">
      <c r="A617" s="162"/>
    </row>
    <row r="618" spans="1:1" ht="16.5" customHeight="1">
      <c r="A618" s="162"/>
    </row>
    <row r="619" spans="1:1" ht="16.5" customHeight="1">
      <c r="A619" s="162"/>
    </row>
    <row r="620" spans="1:1" ht="16.5" customHeight="1">
      <c r="A620" s="162"/>
    </row>
    <row r="621" spans="1:1" ht="16.5" customHeight="1">
      <c r="A621" s="162"/>
    </row>
    <row r="622" spans="1:1" ht="16.5" customHeight="1">
      <c r="A622" s="162"/>
    </row>
    <row r="623" spans="1:1" ht="16.5" customHeight="1">
      <c r="A623" s="162"/>
    </row>
    <row r="624" spans="1:1" ht="16.5" customHeight="1">
      <c r="A624" s="162"/>
    </row>
    <row r="625" spans="1:1" ht="16.5" customHeight="1">
      <c r="A625" s="162"/>
    </row>
    <row r="626" spans="1:1" ht="16.5" customHeight="1">
      <c r="A626" s="162"/>
    </row>
    <row r="627" spans="1:1" ht="16.5" customHeight="1">
      <c r="A627" s="162"/>
    </row>
    <row r="629" spans="1:1" ht="16.5" customHeight="1">
      <c r="A629" s="162"/>
    </row>
    <row r="630" spans="1:1" ht="16.5" customHeight="1">
      <c r="A630" s="162"/>
    </row>
    <row r="631" spans="1:1" ht="16.5" customHeight="1">
      <c r="A631" s="162"/>
    </row>
    <row r="632" spans="1:1" ht="16.5" customHeight="1">
      <c r="A632" s="162"/>
    </row>
    <row r="634" spans="1:1" ht="16.5" customHeight="1">
      <c r="A634" s="162"/>
    </row>
    <row r="635" spans="1:1" ht="16.5" customHeight="1">
      <c r="A635" s="162"/>
    </row>
    <row r="636" spans="1:1" ht="16.5" customHeight="1">
      <c r="A636" s="162"/>
    </row>
    <row r="637" spans="1:1" ht="16.5" customHeight="1">
      <c r="A637" s="162"/>
    </row>
    <row r="638" spans="1:1" ht="16.5" customHeight="1">
      <c r="A638" s="162"/>
    </row>
    <row r="639" spans="1:1" ht="16.5" customHeight="1">
      <c r="A639" s="162"/>
    </row>
    <row r="640" spans="1:1" ht="16.5" customHeight="1">
      <c r="A640" s="162"/>
    </row>
    <row r="641" spans="1:1" ht="16.5" customHeight="1">
      <c r="A641" s="162"/>
    </row>
    <row r="642" spans="1:1" ht="16.5" customHeight="1">
      <c r="A642" s="162"/>
    </row>
    <row r="643" spans="1:1" ht="16.5" customHeight="1">
      <c r="A643" s="162"/>
    </row>
    <row r="644" spans="1:1" ht="16.5" customHeight="1">
      <c r="A644" s="162"/>
    </row>
    <row r="645" spans="1:1" ht="16.5" customHeight="1">
      <c r="A645" s="162"/>
    </row>
    <row r="646" spans="1:1" ht="16.5" customHeight="1">
      <c r="A646" s="162"/>
    </row>
    <row r="647" spans="1:1" ht="16.5" customHeight="1">
      <c r="A647" s="162"/>
    </row>
    <row r="648" spans="1:1" ht="16.5" customHeight="1">
      <c r="A648" s="162"/>
    </row>
    <row r="649" spans="1:1" ht="16.5" customHeight="1">
      <c r="A649" s="162"/>
    </row>
    <row r="650" spans="1:1" ht="16.5" customHeight="1">
      <c r="A650" s="162"/>
    </row>
    <row r="651" spans="1:1" ht="16.5" customHeight="1">
      <c r="A651" s="162"/>
    </row>
    <row r="652" spans="1:1" ht="16.5" customHeight="1">
      <c r="A652" s="162"/>
    </row>
    <row r="653" spans="1:1" ht="16.5" customHeight="1">
      <c r="A653" s="162"/>
    </row>
    <row r="654" spans="1:1" ht="16.5" customHeight="1">
      <c r="A654" s="162"/>
    </row>
    <row r="655" spans="1:1" ht="16.5" customHeight="1">
      <c r="A655" s="162"/>
    </row>
    <row r="656" spans="1:1" ht="16.5" customHeight="1">
      <c r="A656" s="162"/>
    </row>
    <row r="657" spans="1:1" ht="16.5" customHeight="1">
      <c r="A657" s="162"/>
    </row>
    <row r="658" spans="1:1" ht="16.5" customHeight="1">
      <c r="A658" s="162"/>
    </row>
    <row r="659" spans="1:1" ht="16.5" customHeight="1">
      <c r="A659" s="162"/>
    </row>
    <row r="660" spans="1:1" ht="16.5" customHeight="1">
      <c r="A660" s="162"/>
    </row>
    <row r="661" spans="1:1" ht="16.5" customHeight="1">
      <c r="A661" s="162"/>
    </row>
    <row r="662" spans="1:1" ht="16.5" customHeight="1">
      <c r="A662" s="162"/>
    </row>
    <row r="663" spans="1:1" ht="16.5" customHeight="1">
      <c r="A663" s="162"/>
    </row>
    <row r="664" spans="1:1" ht="16.5" customHeight="1">
      <c r="A664" s="162"/>
    </row>
    <row r="665" spans="1:1" ht="16.5" customHeight="1">
      <c r="A665" s="162"/>
    </row>
    <row r="666" spans="1:1" ht="16.5" customHeight="1">
      <c r="A666" s="162"/>
    </row>
    <row r="667" spans="1:1" ht="16.5" customHeight="1">
      <c r="A667" s="162"/>
    </row>
    <row r="668" spans="1:1" ht="16.5" customHeight="1">
      <c r="A668" s="162"/>
    </row>
    <row r="669" spans="1:1" ht="16.5" customHeight="1">
      <c r="A669" s="162"/>
    </row>
    <row r="670" spans="1:1" ht="16.5" customHeight="1">
      <c r="A670" s="162"/>
    </row>
    <row r="671" spans="1:1" ht="16.5" customHeight="1">
      <c r="A671" s="162"/>
    </row>
    <row r="672" spans="1:1" ht="16.5" customHeight="1">
      <c r="A672" s="162"/>
    </row>
    <row r="673" spans="1:1" ht="16.5" customHeight="1">
      <c r="A673" s="162"/>
    </row>
    <row r="674" spans="1:1" ht="16.5" customHeight="1">
      <c r="A674" s="162"/>
    </row>
    <row r="675" spans="1:1" ht="16.5" customHeight="1">
      <c r="A675" s="162"/>
    </row>
    <row r="676" spans="1:1" ht="16.5" customHeight="1">
      <c r="A676" s="162"/>
    </row>
    <row r="677" spans="1:1" ht="16.5" customHeight="1">
      <c r="A677" s="162"/>
    </row>
    <row r="678" spans="1:1" ht="16.5" customHeight="1">
      <c r="A678" s="162"/>
    </row>
    <row r="679" spans="1:1" ht="16.5" customHeight="1">
      <c r="A679" s="162"/>
    </row>
    <row r="680" spans="1:1" ht="16.5" customHeight="1">
      <c r="A680" s="162"/>
    </row>
    <row r="681" spans="1:1" ht="16.5" customHeight="1">
      <c r="A681" s="162"/>
    </row>
    <row r="682" spans="1:1" ht="16.5" customHeight="1">
      <c r="A682" s="162"/>
    </row>
    <row r="683" spans="1:1" ht="16.5" customHeight="1">
      <c r="A683" s="162"/>
    </row>
    <row r="684" spans="1:1" ht="16.5" customHeight="1">
      <c r="A684" s="162"/>
    </row>
    <row r="685" spans="1:1" ht="16.5" customHeight="1">
      <c r="A685" s="162"/>
    </row>
    <row r="686" spans="1:1" ht="16.5" customHeight="1">
      <c r="A686" s="162"/>
    </row>
    <row r="687" spans="1:1" ht="16.5" customHeight="1">
      <c r="A687" s="162"/>
    </row>
    <row r="688" spans="1:1" ht="16.5" customHeight="1">
      <c r="A688" s="162"/>
    </row>
    <row r="689" spans="1:1" ht="16.5" customHeight="1">
      <c r="A689" s="162"/>
    </row>
    <row r="690" spans="1:1" ht="16.5" customHeight="1">
      <c r="A690" s="162"/>
    </row>
    <row r="691" spans="1:1" ht="16.5" customHeight="1">
      <c r="A691" s="162"/>
    </row>
    <row r="692" spans="1:1" ht="16.5" customHeight="1">
      <c r="A692" s="162"/>
    </row>
    <row r="693" spans="1:1" ht="16.5" customHeight="1">
      <c r="A693" s="162"/>
    </row>
    <row r="694" spans="1:1" ht="16.5" customHeight="1">
      <c r="A694" s="162"/>
    </row>
    <row r="695" spans="1:1" ht="16.5" customHeight="1">
      <c r="A695" s="162"/>
    </row>
    <row r="696" spans="1:1" ht="16.5" customHeight="1">
      <c r="A696" s="162"/>
    </row>
    <row r="697" spans="1:1" ht="16.5" customHeight="1">
      <c r="A697" s="162"/>
    </row>
    <row r="698" spans="1:1" ht="16.5" customHeight="1">
      <c r="A698" s="162"/>
    </row>
    <row r="699" spans="1:1" ht="16.5" customHeight="1">
      <c r="A699" s="162"/>
    </row>
    <row r="700" spans="1:1" ht="16.5" customHeight="1">
      <c r="A700" s="162"/>
    </row>
    <row r="701" spans="1:1" ht="16.5" customHeight="1">
      <c r="A701" s="162"/>
    </row>
    <row r="702" spans="1:1" ht="16.5" customHeight="1">
      <c r="A702" s="162"/>
    </row>
    <row r="703" spans="1:1" ht="16.5" customHeight="1">
      <c r="A703" s="162"/>
    </row>
    <row r="704" spans="1:1" ht="16.5" customHeight="1">
      <c r="A704" s="162"/>
    </row>
    <row r="705" spans="1:1" ht="16.5" customHeight="1">
      <c r="A705" s="162"/>
    </row>
    <row r="706" spans="1:1" ht="16.5" customHeight="1">
      <c r="A706" s="162"/>
    </row>
    <row r="707" spans="1:1" ht="16.5" customHeight="1">
      <c r="A707" s="162"/>
    </row>
    <row r="708" spans="1:1" ht="16.5" customHeight="1">
      <c r="A708" s="162"/>
    </row>
    <row r="709" spans="1:1" ht="16.5" customHeight="1">
      <c r="A709" s="162"/>
    </row>
    <row r="710" spans="1:1" ht="16.5" customHeight="1">
      <c r="A710" s="162"/>
    </row>
    <row r="711" spans="1:1" ht="16.5" customHeight="1">
      <c r="A711" s="162"/>
    </row>
    <row r="712" spans="1:1" ht="16.5" customHeight="1">
      <c r="A712" s="162"/>
    </row>
    <row r="714" spans="1:1" ht="16.5" customHeight="1">
      <c r="A714" s="162"/>
    </row>
    <row r="715" spans="1:1" ht="16.5" customHeight="1">
      <c r="A715" s="162"/>
    </row>
    <row r="716" spans="1:1" ht="16.5" customHeight="1">
      <c r="A716" s="162"/>
    </row>
    <row r="718" spans="1:1" ht="16.5" customHeight="1">
      <c r="A718" s="162"/>
    </row>
    <row r="719" spans="1:1" ht="16.5" customHeight="1">
      <c r="A719" s="162"/>
    </row>
    <row r="720" spans="1:1" ht="16.5" customHeight="1">
      <c r="A720" s="162"/>
    </row>
    <row r="721" spans="1:1" ht="16.5" customHeight="1">
      <c r="A721" s="162"/>
    </row>
    <row r="722" spans="1:1" ht="16.5" customHeight="1">
      <c r="A722" s="162"/>
    </row>
    <row r="723" spans="1:1" ht="16.5" customHeight="1">
      <c r="A723" s="162"/>
    </row>
    <row r="724" spans="1:1" ht="16.5" customHeight="1">
      <c r="A724" s="162"/>
    </row>
    <row r="725" spans="1:1" ht="16.5" customHeight="1">
      <c r="A725" s="162"/>
    </row>
    <row r="726" spans="1:1" ht="16.5" customHeight="1">
      <c r="A726" s="162"/>
    </row>
    <row r="727" spans="1:1" ht="16.5" customHeight="1">
      <c r="A727" s="162"/>
    </row>
    <row r="728" spans="1:1" ht="16.5" customHeight="1">
      <c r="A728" s="162"/>
    </row>
    <row r="729" spans="1:1" ht="16.5" customHeight="1">
      <c r="A729" s="162"/>
    </row>
    <row r="730" spans="1:1" ht="16.5" customHeight="1">
      <c r="A730" s="162"/>
    </row>
    <row r="731" spans="1:1" ht="16.5" customHeight="1">
      <c r="A731" s="162"/>
    </row>
    <row r="732" spans="1:1" ht="16.5" customHeight="1">
      <c r="A732" s="162"/>
    </row>
    <row r="733" spans="1:1" ht="16.5" customHeight="1">
      <c r="A733" s="162"/>
    </row>
    <row r="734" spans="1:1" ht="16.5" customHeight="1">
      <c r="A734" s="162"/>
    </row>
    <row r="735" spans="1:1" ht="16.5" customHeight="1">
      <c r="A735" s="162"/>
    </row>
    <row r="736" spans="1:1" ht="16.5" customHeight="1">
      <c r="A736" s="162"/>
    </row>
    <row r="737" spans="1:1" ht="16.5" customHeight="1">
      <c r="A737" s="162"/>
    </row>
    <row r="738" spans="1:1" ht="16.5" customHeight="1">
      <c r="A738" s="162"/>
    </row>
    <row r="739" spans="1:1" ht="16.5" customHeight="1">
      <c r="A739" s="162"/>
    </row>
    <row r="740" spans="1:1" ht="16.5" customHeight="1">
      <c r="A740" s="162"/>
    </row>
    <row r="741" spans="1:1" ht="16.5" customHeight="1">
      <c r="A741" s="162"/>
    </row>
    <row r="742" spans="1:1" ht="16.5" customHeight="1">
      <c r="A742" s="162"/>
    </row>
    <row r="743" spans="1:1" ht="16.5" customHeight="1">
      <c r="A743" s="162"/>
    </row>
    <row r="744" spans="1:1" ht="16.5" customHeight="1">
      <c r="A744" s="162"/>
    </row>
    <row r="745" spans="1:1" ht="16.5" customHeight="1">
      <c r="A745" s="162"/>
    </row>
    <row r="746" spans="1:1" ht="16.5" customHeight="1">
      <c r="A746" s="162"/>
    </row>
    <row r="747" spans="1:1" ht="16.5" customHeight="1">
      <c r="A747" s="162"/>
    </row>
    <row r="748" spans="1:1" ht="16.5" customHeight="1">
      <c r="A748" s="162"/>
    </row>
    <row r="749" spans="1:1" ht="16.5" customHeight="1">
      <c r="A749" s="162"/>
    </row>
    <row r="750" spans="1:1" ht="16.5" customHeight="1">
      <c r="A750" s="162"/>
    </row>
    <row r="751" spans="1:1" ht="16.5" customHeight="1">
      <c r="A751" s="162"/>
    </row>
    <row r="752" spans="1:1" ht="16.5" customHeight="1">
      <c r="A752" s="162"/>
    </row>
    <row r="753" spans="1:1" ht="16.5" customHeight="1">
      <c r="A753" s="162"/>
    </row>
    <row r="754" spans="1:1" ht="16.5" customHeight="1">
      <c r="A754" s="162"/>
    </row>
    <row r="755" spans="1:1" ht="16.5" customHeight="1">
      <c r="A755" s="162"/>
    </row>
    <row r="756" spans="1:1" ht="16.5" customHeight="1">
      <c r="A756" s="162"/>
    </row>
    <row r="757" spans="1:1" ht="16.5" customHeight="1">
      <c r="A757" s="162"/>
    </row>
    <row r="758" spans="1:1" ht="16.5" customHeight="1">
      <c r="A758" s="162"/>
    </row>
    <row r="759" spans="1:1" ht="16.5" customHeight="1">
      <c r="A759" s="162"/>
    </row>
    <row r="760" spans="1:1" ht="16.5" customHeight="1">
      <c r="A760" s="162"/>
    </row>
    <row r="761" spans="1:1" ht="16.5" customHeight="1">
      <c r="A761" s="162"/>
    </row>
    <row r="762" spans="1:1" ht="16.5" customHeight="1">
      <c r="A762" s="162"/>
    </row>
    <row r="763" spans="1:1" ht="16.5" customHeight="1">
      <c r="A763" s="162"/>
    </row>
    <row r="764" spans="1:1" ht="16.5" customHeight="1">
      <c r="A764" s="162"/>
    </row>
    <row r="765" spans="1:1" ht="16.5" customHeight="1">
      <c r="A765" s="162"/>
    </row>
    <row r="766" spans="1:1" ht="16.5" customHeight="1">
      <c r="A766" s="162"/>
    </row>
    <row r="767" spans="1:1" ht="16.5" customHeight="1">
      <c r="A767" s="162"/>
    </row>
    <row r="768" spans="1:1" ht="16.5" customHeight="1">
      <c r="A768" s="162"/>
    </row>
    <row r="769" spans="1:1" ht="16.5" customHeight="1">
      <c r="A769" s="162"/>
    </row>
    <row r="770" spans="1:1" ht="16.5" customHeight="1">
      <c r="A770" s="162"/>
    </row>
    <row r="771" spans="1:1" ht="16.5" customHeight="1">
      <c r="A771" s="162"/>
    </row>
    <row r="772" spans="1:1" ht="16.5" customHeight="1">
      <c r="A772" s="162"/>
    </row>
    <row r="773" spans="1:1" ht="16.5" customHeight="1">
      <c r="A773" s="162"/>
    </row>
    <row r="774" spans="1:1" ht="16.5" customHeight="1">
      <c r="A774" s="162"/>
    </row>
    <row r="775" spans="1:1" ht="16.5" customHeight="1">
      <c r="A775" s="162"/>
    </row>
    <row r="776" spans="1:1" ht="16.5" customHeight="1">
      <c r="A776" s="162"/>
    </row>
    <row r="777" spans="1:1" ht="16.5" customHeight="1">
      <c r="A777" s="162"/>
    </row>
    <row r="778" spans="1:1" ht="16.5" customHeight="1">
      <c r="A778" s="162"/>
    </row>
    <row r="779" spans="1:1" ht="16.5" customHeight="1">
      <c r="A779" s="162"/>
    </row>
    <row r="780" spans="1:1" ht="16.5" customHeight="1">
      <c r="A780" s="162"/>
    </row>
    <row r="781" spans="1:1" ht="16.5" customHeight="1">
      <c r="A781" s="162"/>
    </row>
    <row r="782" spans="1:1" ht="16.5" customHeight="1">
      <c r="A782" s="162"/>
    </row>
    <row r="783" spans="1:1" ht="16.5" customHeight="1">
      <c r="A783" s="162"/>
    </row>
    <row r="784" spans="1:1" ht="16.5" customHeight="1">
      <c r="A784" s="162"/>
    </row>
    <row r="785" spans="1:1" ht="16.5" customHeight="1">
      <c r="A785" s="162"/>
    </row>
    <row r="786" spans="1:1" ht="16.5" customHeight="1">
      <c r="A786" s="162"/>
    </row>
    <row r="787" spans="1:1" ht="16.5" customHeight="1">
      <c r="A787" s="162"/>
    </row>
    <row r="788" spans="1:1" ht="16.5" customHeight="1">
      <c r="A788" s="162"/>
    </row>
    <row r="789" spans="1:1" ht="16.5" customHeight="1">
      <c r="A789" s="162"/>
    </row>
    <row r="790" spans="1:1" ht="16.5" customHeight="1">
      <c r="A790" s="162"/>
    </row>
    <row r="791" spans="1:1" ht="16.5" customHeight="1">
      <c r="A791" s="162"/>
    </row>
    <row r="792" spans="1:1" ht="16.5" customHeight="1">
      <c r="A792" s="162"/>
    </row>
    <row r="793" spans="1:1" ht="16.5" customHeight="1">
      <c r="A793" s="162"/>
    </row>
    <row r="794" spans="1:1" ht="16.5" customHeight="1">
      <c r="A794" s="162"/>
    </row>
    <row r="795" spans="1:1" ht="16.5" customHeight="1">
      <c r="A795" s="162"/>
    </row>
    <row r="796" spans="1:1" ht="16.5" customHeight="1">
      <c r="A796" s="162"/>
    </row>
    <row r="797" spans="1:1" ht="16.5" customHeight="1">
      <c r="A797" s="162"/>
    </row>
    <row r="798" spans="1:1" ht="16.5" customHeight="1">
      <c r="A798" s="162"/>
    </row>
    <row r="799" spans="1:1" ht="16.5" customHeight="1">
      <c r="A799" s="162"/>
    </row>
    <row r="800" spans="1:1" ht="16.5" customHeight="1">
      <c r="A800" s="162"/>
    </row>
    <row r="801" spans="1:1" ht="16.5" customHeight="1">
      <c r="A801" s="162"/>
    </row>
    <row r="802" spans="1:1" ht="16.5" customHeight="1">
      <c r="A802" s="162"/>
    </row>
    <row r="803" spans="1:1" ht="16.5" customHeight="1">
      <c r="A803" s="162"/>
    </row>
    <row r="804" spans="1:1" ht="16.5" customHeight="1">
      <c r="A804" s="162"/>
    </row>
    <row r="805" spans="1:1" ht="16.5" customHeight="1">
      <c r="A805" s="162"/>
    </row>
    <row r="806" spans="1:1" ht="16.5" customHeight="1">
      <c r="A806" s="162"/>
    </row>
    <row r="807" spans="1:1" ht="16.5" customHeight="1">
      <c r="A807" s="162"/>
    </row>
    <row r="808" spans="1:1" ht="16.5" customHeight="1">
      <c r="A808" s="162"/>
    </row>
    <row r="809" spans="1:1" ht="16.5" customHeight="1">
      <c r="A809" s="162"/>
    </row>
    <row r="810" spans="1:1" ht="16.5" customHeight="1">
      <c r="A810" s="162"/>
    </row>
    <row r="811" spans="1:1" ht="16.5" customHeight="1">
      <c r="A811" s="162"/>
    </row>
    <row r="812" spans="1:1" ht="16.5" customHeight="1">
      <c r="A812" s="162"/>
    </row>
    <row r="813" spans="1:1" ht="16.5" customHeight="1">
      <c r="A813" s="162"/>
    </row>
    <row r="814" spans="1:1" ht="16.5" customHeight="1">
      <c r="A814" s="162"/>
    </row>
    <row r="815" spans="1:1" ht="16.5" customHeight="1">
      <c r="A815" s="162"/>
    </row>
    <row r="816" spans="1:1" ht="16.5" customHeight="1">
      <c r="A816" s="162"/>
    </row>
    <row r="817" spans="1:1" ht="16.5" customHeight="1">
      <c r="A817" s="162"/>
    </row>
    <row r="818" spans="1:1" ht="16.5" customHeight="1">
      <c r="A818" s="162"/>
    </row>
    <row r="819" spans="1:1" ht="16.5" customHeight="1">
      <c r="A819" s="162"/>
    </row>
    <row r="820" spans="1:1" ht="16.5" customHeight="1">
      <c r="A820" s="162"/>
    </row>
    <row r="821" spans="1:1" ht="16.5" customHeight="1">
      <c r="A821" s="162"/>
    </row>
    <row r="822" spans="1:1" ht="16.5" customHeight="1">
      <c r="A822" s="162"/>
    </row>
    <row r="823" spans="1:1" ht="16.5" customHeight="1">
      <c r="A823" s="162"/>
    </row>
    <row r="824" spans="1:1" ht="16.5" customHeight="1">
      <c r="A824" s="162"/>
    </row>
    <row r="825" spans="1:1" ht="16.5" customHeight="1">
      <c r="A825" s="162"/>
    </row>
    <row r="826" spans="1:1" ht="16.5" customHeight="1">
      <c r="A826" s="162"/>
    </row>
    <row r="827" spans="1:1" ht="16.5" customHeight="1">
      <c r="A827" s="162"/>
    </row>
    <row r="828" spans="1:1" ht="16.5" customHeight="1">
      <c r="A828" s="162"/>
    </row>
    <row r="829" spans="1:1" ht="16.5" customHeight="1">
      <c r="A829" s="162"/>
    </row>
    <row r="830" spans="1:1" ht="16.5" customHeight="1">
      <c r="A830" s="162"/>
    </row>
    <row r="831" spans="1:1" ht="16.5" customHeight="1">
      <c r="A831" s="162"/>
    </row>
    <row r="832" spans="1:1" ht="16.5" customHeight="1">
      <c r="A832" s="162"/>
    </row>
    <row r="833" spans="1:1" ht="16.5" customHeight="1">
      <c r="A833" s="162"/>
    </row>
    <row r="834" spans="1:1" ht="16.5" customHeight="1">
      <c r="A834" s="162"/>
    </row>
    <row r="835" spans="1:1" ht="16.5" customHeight="1">
      <c r="A835" s="162"/>
    </row>
    <row r="836" spans="1:1" ht="16.5" customHeight="1">
      <c r="A836" s="162"/>
    </row>
    <row r="837" spans="1:1" ht="16.5" customHeight="1">
      <c r="A837" s="162"/>
    </row>
    <row r="838" spans="1:1" ht="16.5" customHeight="1">
      <c r="A838" s="162"/>
    </row>
    <row r="839" spans="1:1" ht="16.5" customHeight="1">
      <c r="A839" s="162"/>
    </row>
    <row r="840" spans="1:1" ht="16.5" customHeight="1">
      <c r="A840" s="162"/>
    </row>
    <row r="841" spans="1:1" ht="16.5" customHeight="1">
      <c r="A841" s="162"/>
    </row>
    <row r="842" spans="1:1" ht="16.5" customHeight="1">
      <c r="A842" s="162"/>
    </row>
    <row r="843" spans="1:1" ht="16.5" customHeight="1">
      <c r="A843" s="162"/>
    </row>
    <row r="844" spans="1:1" ht="16.5" customHeight="1">
      <c r="A844" s="162"/>
    </row>
    <row r="845" spans="1:1" ht="16.5" customHeight="1">
      <c r="A845" s="162"/>
    </row>
    <row r="846" spans="1:1" ht="16.5" customHeight="1">
      <c r="A846" s="162"/>
    </row>
    <row r="847" spans="1:1" ht="16.5" customHeight="1">
      <c r="A847" s="162"/>
    </row>
    <row r="848" spans="1:1" ht="16.5" customHeight="1">
      <c r="A848" s="162"/>
    </row>
    <row r="849" spans="1:1" ht="16.5" customHeight="1">
      <c r="A849" s="162"/>
    </row>
    <row r="850" spans="1:1" ht="16.5" customHeight="1">
      <c r="A850" s="162"/>
    </row>
    <row r="851" spans="1:1" ht="16.5" customHeight="1">
      <c r="A851" s="162"/>
    </row>
    <row r="852" spans="1:1" ht="16.5" customHeight="1">
      <c r="A852" s="162"/>
    </row>
    <row r="853" spans="1:1" ht="16.5" customHeight="1">
      <c r="A853" s="162"/>
    </row>
    <row r="854" spans="1:1" ht="16.5" customHeight="1">
      <c r="A854" s="162"/>
    </row>
    <row r="855" spans="1:1" ht="16.5" customHeight="1">
      <c r="A855" s="162"/>
    </row>
    <row r="856" spans="1:1" ht="16.5" customHeight="1">
      <c r="A856" s="162"/>
    </row>
    <row r="857" spans="1:1" ht="16.5" customHeight="1">
      <c r="A857" s="162"/>
    </row>
    <row r="858" spans="1:1" ht="16.5" customHeight="1">
      <c r="A858" s="162"/>
    </row>
    <row r="859" spans="1:1" ht="16.5" customHeight="1">
      <c r="A859" s="162"/>
    </row>
    <row r="860" spans="1:1" ht="16.5" customHeight="1">
      <c r="A860" s="162"/>
    </row>
    <row r="861" spans="1:1" ht="16.5" customHeight="1">
      <c r="A861" s="162"/>
    </row>
    <row r="862" spans="1:1" ht="16.5" customHeight="1">
      <c r="A862" s="162"/>
    </row>
    <row r="863" spans="1:1" ht="16.5" customHeight="1">
      <c r="A863" s="162"/>
    </row>
    <row r="864" spans="1:1" ht="16.5" customHeight="1">
      <c r="A864" s="162"/>
    </row>
    <row r="865" spans="1:1" ht="16.5" customHeight="1">
      <c r="A865" s="162"/>
    </row>
    <row r="866" spans="1:1" ht="16.5" customHeight="1">
      <c r="A866" s="162"/>
    </row>
    <row r="867" spans="1:1" ht="16.5" customHeight="1">
      <c r="A867" s="162"/>
    </row>
    <row r="868" spans="1:1" ht="16.5" customHeight="1">
      <c r="A868" s="162"/>
    </row>
    <row r="870" spans="1:1" ht="16.5" customHeight="1">
      <c r="A870" s="162"/>
    </row>
    <row r="871" spans="1:1" ht="16.5" customHeight="1">
      <c r="A871" s="162"/>
    </row>
    <row r="872" spans="1:1" ht="16.5" customHeight="1">
      <c r="A872" s="162"/>
    </row>
    <row r="873" spans="1:1" ht="16.5" customHeight="1">
      <c r="A873" s="162"/>
    </row>
    <row r="874" spans="1:1" ht="16.5" customHeight="1">
      <c r="A874" s="162"/>
    </row>
    <row r="875" spans="1:1" ht="16.5" customHeight="1">
      <c r="A875" s="162"/>
    </row>
    <row r="876" spans="1:1" ht="16.5" customHeight="1">
      <c r="A876" s="162"/>
    </row>
    <row r="877" spans="1:1" ht="16.5" customHeight="1">
      <c r="A877" s="162"/>
    </row>
    <row r="878" spans="1:1" ht="16.5" customHeight="1">
      <c r="A878" s="162"/>
    </row>
    <row r="879" spans="1:1" ht="16.5" customHeight="1">
      <c r="A879" s="162"/>
    </row>
    <row r="880" spans="1:1" ht="16.5" customHeight="1">
      <c r="A880" s="162"/>
    </row>
    <row r="881" spans="1:1" ht="16.5" customHeight="1">
      <c r="A881" s="162"/>
    </row>
    <row r="882" spans="1:1" ht="16.5" customHeight="1">
      <c r="A882" s="162"/>
    </row>
    <row r="883" spans="1:1" ht="16.5" customHeight="1">
      <c r="A883" s="162"/>
    </row>
    <row r="884" spans="1:1" ht="16.5" customHeight="1">
      <c r="A884" s="162"/>
    </row>
    <row r="885" spans="1:1" ht="16.5" customHeight="1">
      <c r="A885" s="162"/>
    </row>
    <row r="886" spans="1:1" ht="16.5" customHeight="1">
      <c r="A886" s="162"/>
    </row>
    <row r="887" spans="1:1" ht="16.5" customHeight="1">
      <c r="A887" s="162"/>
    </row>
    <row r="888" spans="1:1" ht="16.5" customHeight="1">
      <c r="A888" s="162"/>
    </row>
    <row r="889" spans="1:1" ht="16.5" customHeight="1">
      <c r="A889" s="162"/>
    </row>
    <row r="890" spans="1:1" ht="16.5" customHeight="1">
      <c r="A890" s="162"/>
    </row>
    <row r="891" spans="1:1" ht="16.5" customHeight="1">
      <c r="A891" s="162"/>
    </row>
    <row r="892" spans="1:1" ht="16.5" customHeight="1">
      <c r="A892" s="162"/>
    </row>
    <row r="893" spans="1:1" ht="16.5" customHeight="1">
      <c r="A893" s="162"/>
    </row>
    <row r="894" spans="1:1" ht="16.5" customHeight="1">
      <c r="A894" s="162"/>
    </row>
    <row r="895" spans="1:1" ht="16.5" customHeight="1">
      <c r="A895" s="162"/>
    </row>
    <row r="896" spans="1:1" ht="16.5" customHeight="1">
      <c r="A896" s="162"/>
    </row>
    <row r="897" spans="1:1" ht="16.5" customHeight="1">
      <c r="A897" s="162"/>
    </row>
    <row r="898" spans="1:1" ht="16.5" customHeight="1">
      <c r="A898" s="162"/>
    </row>
    <row r="899" spans="1:1" ht="16.5" customHeight="1">
      <c r="A899" s="162"/>
    </row>
    <row r="900" spans="1:1" ht="16.5" customHeight="1">
      <c r="A900" s="162"/>
    </row>
    <row r="901" spans="1:1" ht="16.5" customHeight="1">
      <c r="A901" s="162"/>
    </row>
    <row r="902" spans="1:1" ht="16.5" customHeight="1">
      <c r="A902" s="162"/>
    </row>
    <row r="903" spans="1:1" ht="16.5" customHeight="1">
      <c r="A903" s="162"/>
    </row>
    <row r="904" spans="1:1" ht="16.5" customHeight="1">
      <c r="A904" s="162"/>
    </row>
    <row r="905" spans="1:1" ht="16.5" customHeight="1">
      <c r="A905" s="162"/>
    </row>
    <row r="906" spans="1:1" ht="16.5" customHeight="1">
      <c r="A906" s="162"/>
    </row>
    <row r="907" spans="1:1" ht="16.5" customHeight="1">
      <c r="A907" s="162"/>
    </row>
    <row r="908" spans="1:1" ht="16.5" customHeight="1">
      <c r="A908" s="162"/>
    </row>
    <row r="909" spans="1:1" ht="16.5" customHeight="1">
      <c r="A909" s="162"/>
    </row>
    <row r="910" spans="1:1" ht="16.5" customHeight="1">
      <c r="A910" s="162"/>
    </row>
    <row r="911" spans="1:1" ht="16.5" customHeight="1">
      <c r="A911" s="162"/>
    </row>
    <row r="912" spans="1:1" ht="16.5" customHeight="1">
      <c r="A912" s="162"/>
    </row>
    <row r="913" spans="1:1" ht="16.5" customHeight="1">
      <c r="A913" s="162"/>
    </row>
    <row r="914" spans="1:1" ht="16.5" customHeight="1">
      <c r="A914" s="162"/>
    </row>
    <row r="915" spans="1:1" ht="16.5" customHeight="1">
      <c r="A915" s="162"/>
    </row>
    <row r="916" spans="1:1" ht="16.5" customHeight="1">
      <c r="A916" s="162"/>
    </row>
    <row r="917" spans="1:1" ht="16.5" customHeight="1">
      <c r="A917" s="162"/>
    </row>
    <row r="918" spans="1:1" ht="16.5" customHeight="1">
      <c r="A918" s="162"/>
    </row>
    <row r="919" spans="1:1" ht="16.5" customHeight="1">
      <c r="A919" s="162"/>
    </row>
    <row r="920" spans="1:1" ht="16.5" customHeight="1">
      <c r="A920" s="162"/>
    </row>
    <row r="921" spans="1:1" ht="16.5" customHeight="1">
      <c r="A921" s="162"/>
    </row>
    <row r="922" spans="1:1" ht="16.5" customHeight="1">
      <c r="A922" s="162"/>
    </row>
    <row r="923" spans="1:1" ht="16.5" customHeight="1">
      <c r="A923" s="162"/>
    </row>
    <row r="924" spans="1:1" ht="16.5" customHeight="1">
      <c r="A924" s="162"/>
    </row>
    <row r="925" spans="1:1" ht="16.5" customHeight="1">
      <c r="A925" s="162"/>
    </row>
    <row r="926" spans="1:1" ht="16.5" customHeight="1">
      <c r="A926" s="162"/>
    </row>
    <row r="927" spans="1:1" ht="16.5" customHeight="1">
      <c r="A927" s="162"/>
    </row>
    <row r="928" spans="1:1" ht="16.5" customHeight="1">
      <c r="A928" s="162"/>
    </row>
    <row r="929" spans="1:1" ht="16.5" customHeight="1">
      <c r="A929" s="162"/>
    </row>
    <row r="930" spans="1:1" ht="16.5" customHeight="1">
      <c r="A930" s="162"/>
    </row>
    <row r="931" spans="1:1" ht="16.5" customHeight="1">
      <c r="A931" s="162"/>
    </row>
    <row r="932" spans="1:1" ht="16.5" customHeight="1">
      <c r="A932" s="162"/>
    </row>
    <row r="933" spans="1:1" ht="16.5" customHeight="1">
      <c r="A933" s="162"/>
    </row>
    <row r="934" spans="1:1" ht="16.5" customHeight="1">
      <c r="A934" s="162"/>
    </row>
    <row r="935" spans="1:1" ht="16.5" customHeight="1">
      <c r="A935" s="162"/>
    </row>
    <row r="936" spans="1:1" ht="16.5" customHeight="1">
      <c r="A936" s="162"/>
    </row>
    <row r="937" spans="1:1" ht="16.5" customHeight="1">
      <c r="A937" s="162"/>
    </row>
    <row r="938" spans="1:1" ht="16.5" customHeight="1">
      <c r="A938" s="162"/>
    </row>
    <row r="939" spans="1:1" ht="16.5" customHeight="1">
      <c r="A939" s="162"/>
    </row>
    <row r="940" spans="1:1" ht="16.5" customHeight="1">
      <c r="A940" s="162"/>
    </row>
    <row r="941" spans="1:1" ht="16.5" customHeight="1">
      <c r="A941" s="162"/>
    </row>
    <row r="942" spans="1:1" ht="16.5" customHeight="1">
      <c r="A942" s="162"/>
    </row>
    <row r="943" spans="1:1" ht="16.5" customHeight="1">
      <c r="A943" s="162"/>
    </row>
    <row r="944" spans="1:1" ht="16.5" customHeight="1">
      <c r="A944" s="162"/>
    </row>
    <row r="945" spans="1:1" ht="16.5" customHeight="1">
      <c r="A945" s="162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01F24-9F6D-4580-A298-4A8F721C7617}">
  <sheetPr>
    <tabColor rgb="FF92D050"/>
    <outlinePr summaryBelow="0"/>
  </sheetPr>
  <dimension ref="B2:AA212"/>
  <sheetViews>
    <sheetView showGridLines="0" topLeftCell="A8" zoomScale="85" zoomScaleNormal="85" workbookViewId="0">
      <selection activeCell="K58" sqref="K58"/>
    </sheetView>
  </sheetViews>
  <sheetFormatPr defaultColWidth="9.109375" defaultRowHeight="15.6"/>
  <cols>
    <col min="1" max="1" width="3" style="770" customWidth="1"/>
    <col min="2" max="2" width="9.109375" style="770"/>
    <col min="3" max="3" width="52" style="770" bestFit="1" customWidth="1"/>
    <col min="4" max="4" width="12.6640625" style="770" customWidth="1"/>
    <col min="5" max="31" width="8.109375" style="770" customWidth="1"/>
    <col min="32" max="16384" width="9.109375" style="770"/>
  </cols>
  <sheetData>
    <row r="2" spans="2:22">
      <c r="B2" s="769" t="str">
        <f>'Sal._benef.'!B2</f>
        <v>MUNICÍPIO DE XANXERÊ</v>
      </c>
      <c r="C2" s="769"/>
      <c r="D2" s="769"/>
    </row>
    <row r="3" spans="2:22">
      <c r="B3" s="769" t="str">
        <f>'Sal._benef.'!B3</f>
        <v>EVTE PARA A CONCESSÃO DOS SERVIÇOS DE MANEJO DE RESÍDUOS SÓLIDOS E LIMPEZA URBANA</v>
      </c>
      <c r="C3" s="769"/>
      <c r="D3" s="769"/>
    </row>
    <row r="4" spans="2:22">
      <c r="B4" s="769" t="s">
        <v>1485</v>
      </c>
      <c r="C4" s="769"/>
      <c r="D4" s="769"/>
    </row>
    <row r="5" spans="2:22">
      <c r="B5" s="772"/>
      <c r="C5" s="772"/>
      <c r="D5" s="772"/>
    </row>
    <row r="6" spans="2:22">
      <c r="B6" s="845" t="s">
        <v>1455</v>
      </c>
      <c r="C6" s="846"/>
      <c r="D6" s="846"/>
      <c r="E6" s="846"/>
      <c r="F6" s="846"/>
      <c r="G6" s="846"/>
      <c r="H6" s="846"/>
      <c r="I6" s="846"/>
      <c r="J6" s="846"/>
      <c r="K6" s="846"/>
      <c r="L6" s="846"/>
      <c r="M6" s="846"/>
      <c r="N6" s="846"/>
      <c r="O6" s="846"/>
      <c r="P6" s="846"/>
      <c r="Q6" s="846"/>
      <c r="R6" s="846"/>
      <c r="S6" s="846"/>
      <c r="T6" s="846"/>
      <c r="U6" s="846"/>
      <c r="V6" s="847"/>
    </row>
    <row r="7" spans="2:22" ht="93" customHeight="1">
      <c r="B7" s="831" t="s">
        <v>1120</v>
      </c>
      <c r="C7" s="831" t="s">
        <v>1372</v>
      </c>
      <c r="D7" s="832" t="s">
        <v>1456</v>
      </c>
      <c r="E7" s="848" t="s">
        <v>1202</v>
      </c>
      <c r="F7" s="848" t="s">
        <v>1201</v>
      </c>
      <c r="G7" s="848" t="s">
        <v>1200</v>
      </c>
      <c r="H7" s="848" t="s">
        <v>1210</v>
      </c>
      <c r="I7" s="848" t="s">
        <v>1209</v>
      </c>
      <c r="J7" s="848" t="s">
        <v>1208</v>
      </c>
      <c r="K7" s="848" t="s">
        <v>1221</v>
      </c>
      <c r="L7" s="848" t="s">
        <v>1223</v>
      </c>
      <c r="M7" s="848" t="s">
        <v>1222</v>
      </c>
      <c r="N7" s="848" t="s">
        <v>1198</v>
      </c>
      <c r="O7" s="848" t="s">
        <v>1197</v>
      </c>
      <c r="P7" s="848" t="s">
        <v>1203</v>
      </c>
      <c r="Q7" s="848" t="s">
        <v>1212</v>
      </c>
      <c r="R7" s="848" t="s">
        <v>1224</v>
      </c>
      <c r="S7" s="848" t="s">
        <v>1457</v>
      </c>
      <c r="T7" s="848" t="s">
        <v>1458</v>
      </c>
      <c r="U7" s="848" t="s">
        <v>1459</v>
      </c>
      <c r="V7" s="848" t="s">
        <v>1211</v>
      </c>
    </row>
    <row r="8" spans="2:22" ht="15.6" customHeight="1">
      <c r="B8" s="911" t="s">
        <v>1460</v>
      </c>
      <c r="C8" s="912"/>
      <c r="D8" s="849"/>
      <c r="E8" s="850">
        <f>Insumos!E76</f>
        <v>54.9</v>
      </c>
      <c r="F8" s="850">
        <f>Insumos!E75</f>
        <v>68.900000000000006</v>
      </c>
      <c r="G8" s="850">
        <f>Insumos!E74</f>
        <v>300.29000000000002</v>
      </c>
      <c r="H8" s="850">
        <f>Insumos!E82</f>
        <v>29.56</v>
      </c>
      <c r="I8" s="850">
        <f>Insumos!E81</f>
        <v>32.78</v>
      </c>
      <c r="J8" s="850">
        <f>Insumos!E80</f>
        <v>72.11</v>
      </c>
      <c r="K8" s="850">
        <f>Insumos!E92</f>
        <v>234</v>
      </c>
      <c r="L8" s="850">
        <f>Insumos!E94</f>
        <v>64.900000000000006</v>
      </c>
      <c r="M8" s="850">
        <f>Insumos!E93</f>
        <v>67.900000000000006</v>
      </c>
      <c r="N8" s="850">
        <f>Insumos!E72</f>
        <v>17.13</v>
      </c>
      <c r="O8" s="850">
        <f>Insumos!E71</f>
        <v>22.04</v>
      </c>
      <c r="P8" s="850">
        <f>Insumos!E77</f>
        <v>64.900000000000006</v>
      </c>
      <c r="Q8" s="850">
        <f>Insumos!E84</f>
        <v>39.950000000000003</v>
      </c>
      <c r="R8" s="850">
        <f>Insumos!E95</f>
        <v>149.9</v>
      </c>
      <c r="S8" s="850">
        <v>4.5</v>
      </c>
      <c r="T8" s="850">
        <v>3.5</v>
      </c>
      <c r="U8" s="850">
        <v>4.5</v>
      </c>
      <c r="V8" s="850">
        <f>Insumos!E83</f>
        <v>39.950000000000003</v>
      </c>
    </row>
    <row r="9" spans="2:22" s="799" customFormat="1">
      <c r="B9" s="833"/>
      <c r="C9" s="833" t="s">
        <v>1461</v>
      </c>
      <c r="D9" s="823">
        <f t="shared" ref="D9:D29" si="0">SUMPRODUCT($E$8:$V$8,E9:V9)</f>
        <v>974</v>
      </c>
      <c r="E9" s="851">
        <f>2*3</f>
        <v>6</v>
      </c>
      <c r="F9" s="851"/>
      <c r="G9" s="851"/>
      <c r="H9" s="852"/>
      <c r="I9" s="851">
        <v>6</v>
      </c>
      <c r="J9" s="851"/>
      <c r="K9" s="851"/>
      <c r="L9" s="851"/>
      <c r="M9" s="851">
        <f>2*2</f>
        <v>4</v>
      </c>
      <c r="N9" s="851"/>
      <c r="O9" s="851">
        <f>2*4</f>
        <v>8</v>
      </c>
      <c r="P9" s="851"/>
      <c r="Q9" s="851"/>
      <c r="R9" s="851"/>
      <c r="S9" s="851"/>
      <c r="T9" s="851"/>
      <c r="U9" s="851"/>
      <c r="V9" s="851"/>
    </row>
    <row r="10" spans="2:22" s="799" customFormat="1">
      <c r="B10" s="833"/>
      <c r="C10" s="833" t="s">
        <v>1462</v>
      </c>
      <c r="D10" s="823">
        <f t="shared" si="0"/>
        <v>1892.0400000000002</v>
      </c>
      <c r="E10" s="851"/>
      <c r="F10" s="851">
        <v>12</v>
      </c>
      <c r="G10" s="851"/>
      <c r="H10" s="852"/>
      <c r="I10" s="851">
        <v>12</v>
      </c>
      <c r="J10" s="851"/>
      <c r="K10" s="851"/>
      <c r="L10" s="851"/>
      <c r="M10" s="851">
        <v>6</v>
      </c>
      <c r="N10" s="851"/>
      <c r="O10" s="851">
        <v>12</v>
      </c>
      <c r="P10" s="851"/>
      <c r="Q10" s="851"/>
      <c r="R10" s="851"/>
      <c r="S10" s="851"/>
      <c r="T10" s="851"/>
      <c r="U10" s="851"/>
      <c r="V10" s="851"/>
    </row>
    <row r="11" spans="2:22" s="799" customFormat="1">
      <c r="B11" s="833"/>
      <c r="C11" s="833" t="s">
        <v>932</v>
      </c>
      <c r="D11" s="823">
        <f t="shared" si="0"/>
        <v>1833.1200000000001</v>
      </c>
      <c r="E11" s="851"/>
      <c r="F11" s="851">
        <v>12</v>
      </c>
      <c r="G11" s="851"/>
      <c r="H11" s="852"/>
      <c r="I11" s="851">
        <v>12</v>
      </c>
      <c r="J11" s="851"/>
      <c r="K11" s="851"/>
      <c r="L11" s="851"/>
      <c r="M11" s="851">
        <v>6</v>
      </c>
      <c r="N11" s="851">
        <v>12</v>
      </c>
      <c r="O11" s="851"/>
      <c r="P11" s="851"/>
      <c r="Q11" s="851"/>
      <c r="R11" s="851"/>
      <c r="S11" s="851"/>
      <c r="T11" s="851"/>
      <c r="U11" s="851"/>
      <c r="V11" s="851"/>
    </row>
    <row r="12" spans="2:22" s="799" customFormat="1">
      <c r="B12" s="833"/>
      <c r="C12" s="833" t="s">
        <v>1382</v>
      </c>
      <c r="D12" s="823">
        <f t="shared" si="0"/>
        <v>502.27</v>
      </c>
      <c r="E12" s="851"/>
      <c r="F12" s="851"/>
      <c r="G12" s="851"/>
      <c r="H12" s="852"/>
      <c r="I12" s="851"/>
      <c r="J12" s="851"/>
      <c r="K12" s="851">
        <v>1</v>
      </c>
      <c r="L12" s="851"/>
      <c r="M12" s="851"/>
      <c r="N12" s="851">
        <f>2*2</f>
        <v>4</v>
      </c>
      <c r="O12" s="851"/>
      <c r="P12" s="851"/>
      <c r="Q12" s="851"/>
      <c r="R12" s="851"/>
      <c r="S12" s="851"/>
      <c r="T12" s="851"/>
      <c r="U12" s="851"/>
      <c r="V12" s="851">
        <f>5</f>
        <v>5</v>
      </c>
    </row>
    <row r="13" spans="2:22" s="799" customFormat="1">
      <c r="B13" s="833"/>
      <c r="C13" s="833" t="s">
        <v>1463</v>
      </c>
      <c r="D13" s="823">
        <f t="shared" si="0"/>
        <v>843.54</v>
      </c>
      <c r="E13" s="851">
        <f t="shared" ref="E13:E18" si="1">2*3</f>
        <v>6</v>
      </c>
      <c r="F13" s="851"/>
      <c r="G13" s="851"/>
      <c r="H13" s="851">
        <v>6</v>
      </c>
      <c r="I13" s="851"/>
      <c r="J13" s="851"/>
      <c r="K13" s="851">
        <v>1</v>
      </c>
      <c r="L13" s="851"/>
      <c r="M13" s="851"/>
      <c r="N13" s="851">
        <v>6</v>
      </c>
      <c r="O13" s="851"/>
      <c r="P13" s="851"/>
      <c r="Q13" s="851"/>
      <c r="R13" s="851"/>
      <c r="S13" s="851"/>
      <c r="T13" s="851"/>
      <c r="U13" s="851"/>
      <c r="V13" s="851"/>
    </row>
    <row r="14" spans="2:22" s="799" customFormat="1">
      <c r="B14" s="833"/>
      <c r="C14" s="833" t="s">
        <v>1464</v>
      </c>
      <c r="D14" s="823">
        <f t="shared" si="0"/>
        <v>843.54</v>
      </c>
      <c r="E14" s="851">
        <f t="shared" si="1"/>
        <v>6</v>
      </c>
      <c r="F14" s="851"/>
      <c r="G14" s="851"/>
      <c r="H14" s="851">
        <v>6</v>
      </c>
      <c r="I14" s="851"/>
      <c r="J14" s="851"/>
      <c r="K14" s="851">
        <v>1</v>
      </c>
      <c r="L14" s="851"/>
      <c r="M14" s="851"/>
      <c r="N14" s="851">
        <v>6</v>
      </c>
      <c r="O14" s="851"/>
      <c r="P14" s="851"/>
      <c r="Q14" s="851"/>
      <c r="R14" s="851"/>
      <c r="S14" s="851"/>
      <c r="T14" s="851"/>
      <c r="U14" s="851"/>
      <c r="V14" s="851"/>
    </row>
    <row r="15" spans="2:22" s="799" customFormat="1">
      <c r="B15" s="833"/>
      <c r="C15" s="833" t="s">
        <v>1384</v>
      </c>
      <c r="D15" s="823">
        <f t="shared" si="0"/>
        <v>843.54</v>
      </c>
      <c r="E15" s="851">
        <f t="shared" si="1"/>
        <v>6</v>
      </c>
      <c r="F15" s="851"/>
      <c r="G15" s="851"/>
      <c r="H15" s="851">
        <v>6</v>
      </c>
      <c r="I15" s="851"/>
      <c r="J15" s="851"/>
      <c r="K15" s="851">
        <v>1</v>
      </c>
      <c r="L15" s="851"/>
      <c r="M15" s="851"/>
      <c r="N15" s="851">
        <v>6</v>
      </c>
      <c r="O15" s="851"/>
      <c r="P15" s="851"/>
      <c r="Q15" s="851"/>
      <c r="R15" s="851"/>
      <c r="S15" s="851"/>
      <c r="T15" s="851"/>
      <c r="U15" s="851"/>
      <c r="V15" s="851"/>
    </row>
    <row r="16" spans="2:22" s="799" customFormat="1">
      <c r="B16" s="833"/>
      <c r="C16" s="833" t="s">
        <v>1465</v>
      </c>
      <c r="D16" s="823">
        <f t="shared" si="0"/>
        <v>998.94</v>
      </c>
      <c r="E16" s="851">
        <f t="shared" si="1"/>
        <v>6</v>
      </c>
      <c r="F16" s="851"/>
      <c r="G16" s="851"/>
      <c r="H16" s="851">
        <v>6</v>
      </c>
      <c r="I16" s="851"/>
      <c r="J16" s="851"/>
      <c r="K16" s="851"/>
      <c r="L16" s="851">
        <f>2*3</f>
        <v>6</v>
      </c>
      <c r="M16" s="851"/>
      <c r="N16" s="851">
        <v>6</v>
      </c>
      <c r="O16" s="851"/>
      <c r="P16" s="851"/>
      <c r="Q16" s="851"/>
      <c r="R16" s="851"/>
      <c r="S16" s="851"/>
      <c r="T16" s="851"/>
      <c r="U16" s="851"/>
      <c r="V16" s="851"/>
    </row>
    <row r="17" spans="2:27" s="799" customFormat="1">
      <c r="B17" s="833"/>
      <c r="C17" s="833" t="s">
        <v>1466</v>
      </c>
      <c r="D17" s="823">
        <f t="shared" si="0"/>
        <v>998.94</v>
      </c>
      <c r="E17" s="851">
        <f t="shared" si="1"/>
        <v>6</v>
      </c>
      <c r="F17" s="851"/>
      <c r="G17" s="851"/>
      <c r="H17" s="851">
        <v>6</v>
      </c>
      <c r="I17" s="851"/>
      <c r="J17" s="851"/>
      <c r="K17" s="851"/>
      <c r="L17" s="851">
        <f>2*3</f>
        <v>6</v>
      </c>
      <c r="M17" s="851"/>
      <c r="N17" s="851">
        <v>6</v>
      </c>
      <c r="O17" s="851"/>
      <c r="P17" s="851"/>
      <c r="Q17" s="851"/>
      <c r="R17" s="851"/>
      <c r="S17" s="851"/>
      <c r="T17" s="851"/>
      <c r="U17" s="851"/>
      <c r="V17" s="851"/>
    </row>
    <row r="18" spans="2:27" s="799" customFormat="1">
      <c r="B18" s="833"/>
      <c r="C18" s="833" t="s">
        <v>1386</v>
      </c>
      <c r="D18" s="823">
        <f t="shared" si="0"/>
        <v>998.94</v>
      </c>
      <c r="E18" s="851">
        <f t="shared" si="1"/>
        <v>6</v>
      </c>
      <c r="F18" s="851"/>
      <c r="G18" s="851"/>
      <c r="H18" s="851">
        <v>6</v>
      </c>
      <c r="I18" s="851"/>
      <c r="J18" s="851"/>
      <c r="K18" s="851"/>
      <c r="L18" s="851">
        <f>2*3</f>
        <v>6</v>
      </c>
      <c r="M18" s="851"/>
      <c r="N18" s="851">
        <v>6</v>
      </c>
      <c r="O18" s="851"/>
      <c r="P18" s="851"/>
      <c r="Q18" s="851"/>
      <c r="R18" s="851"/>
      <c r="S18" s="851"/>
      <c r="T18" s="851"/>
      <c r="U18" s="851"/>
      <c r="V18" s="851"/>
    </row>
    <row r="19" spans="2:27" s="799" customFormat="1">
      <c r="B19" s="833"/>
      <c r="C19" s="833" t="s">
        <v>1467</v>
      </c>
      <c r="D19" s="823">
        <f t="shared" si="0"/>
        <v>1402.92</v>
      </c>
      <c r="E19" s="851">
        <v>12</v>
      </c>
      <c r="F19" s="851"/>
      <c r="G19" s="851"/>
      <c r="H19" s="852">
        <v>12</v>
      </c>
      <c r="I19" s="851"/>
      <c r="J19" s="851"/>
      <c r="K19" s="851"/>
      <c r="L19" s="851">
        <v>6</v>
      </c>
      <c r="M19" s="851"/>
      <c r="N19" s="851"/>
      <c r="O19" s="851"/>
      <c r="P19" s="851"/>
      <c r="Q19" s="851"/>
      <c r="R19" s="851"/>
      <c r="S19" s="851"/>
      <c r="T19" s="851"/>
      <c r="U19" s="851"/>
      <c r="V19" s="851"/>
    </row>
    <row r="20" spans="2:27" s="799" customFormat="1">
      <c r="B20" s="833"/>
      <c r="C20" s="833" t="s">
        <v>1468</v>
      </c>
      <c r="D20" s="823">
        <f t="shared" si="0"/>
        <v>1402.92</v>
      </c>
      <c r="E20" s="851">
        <v>12</v>
      </c>
      <c r="F20" s="851"/>
      <c r="G20" s="851"/>
      <c r="H20" s="852">
        <v>12</v>
      </c>
      <c r="I20" s="851"/>
      <c r="J20" s="851"/>
      <c r="K20" s="851"/>
      <c r="L20" s="851">
        <v>6</v>
      </c>
      <c r="M20" s="851"/>
      <c r="N20" s="851"/>
      <c r="O20" s="851"/>
      <c r="P20" s="851"/>
      <c r="Q20" s="851"/>
      <c r="R20" s="851"/>
      <c r="S20" s="851"/>
      <c r="T20" s="851"/>
      <c r="U20" s="851"/>
      <c r="V20" s="851"/>
    </row>
    <row r="21" spans="2:27" s="799" customFormat="1">
      <c r="B21" s="833"/>
      <c r="C21" s="833" t="s">
        <v>1469</v>
      </c>
      <c r="D21" s="823">
        <f t="shared" si="0"/>
        <v>1285.1600000000001</v>
      </c>
      <c r="E21" s="851">
        <v>8</v>
      </c>
      <c r="F21" s="851"/>
      <c r="G21" s="851"/>
      <c r="H21" s="852"/>
      <c r="I21" s="851">
        <v>8</v>
      </c>
      <c r="J21" s="851"/>
      <c r="K21" s="851"/>
      <c r="L21" s="851"/>
      <c r="M21" s="851">
        <v>6</v>
      </c>
      <c r="N21" s="851"/>
      <c r="O21" s="851">
        <v>8</v>
      </c>
      <c r="P21" s="851"/>
      <c r="Q21" s="851"/>
      <c r="R21" s="851"/>
      <c r="S21" s="851"/>
      <c r="T21" s="851"/>
      <c r="U21" s="851"/>
      <c r="V21" s="851"/>
    </row>
    <row r="22" spans="2:27" s="799" customFormat="1">
      <c r="B22" s="833"/>
      <c r="C22" s="833" t="s">
        <v>1470</v>
      </c>
      <c r="D22" s="823">
        <f t="shared" si="0"/>
        <v>1285.1600000000001</v>
      </c>
      <c r="E22" s="851">
        <v>8</v>
      </c>
      <c r="F22" s="851"/>
      <c r="G22" s="851"/>
      <c r="H22" s="852"/>
      <c r="I22" s="851">
        <v>8</v>
      </c>
      <c r="J22" s="851"/>
      <c r="K22" s="851"/>
      <c r="L22" s="851"/>
      <c r="M22" s="851">
        <v>6</v>
      </c>
      <c r="N22" s="851"/>
      <c r="O22" s="851">
        <v>8</v>
      </c>
      <c r="P22" s="851"/>
      <c r="Q22" s="851"/>
      <c r="R22" s="851"/>
      <c r="S22" s="851"/>
      <c r="T22" s="851"/>
      <c r="U22" s="851"/>
      <c r="V22" s="851"/>
    </row>
    <row r="23" spans="2:27" s="799" customFormat="1">
      <c r="B23" s="833"/>
      <c r="C23" s="833" t="s">
        <v>1471</v>
      </c>
      <c r="D23" s="823">
        <f t="shared" si="0"/>
        <v>9951.32</v>
      </c>
      <c r="E23" s="853">
        <v>12</v>
      </c>
      <c r="F23" s="853"/>
      <c r="G23" s="853"/>
      <c r="H23" s="854"/>
      <c r="I23" s="853">
        <v>18</v>
      </c>
      <c r="J23" s="853"/>
      <c r="K23" s="853"/>
      <c r="L23" s="853"/>
      <c r="M23" s="853">
        <v>8</v>
      </c>
      <c r="N23" s="853"/>
      <c r="O23" s="853">
        <v>12</v>
      </c>
      <c r="P23" s="853"/>
      <c r="Q23" s="853"/>
      <c r="R23" s="853"/>
      <c r="S23" s="853">
        <f>M23*4.3*12</f>
        <v>412.79999999999995</v>
      </c>
      <c r="T23" s="853">
        <f>I23*4.3*12</f>
        <v>928.8</v>
      </c>
      <c r="U23" s="853">
        <f>E23*4.3*12</f>
        <v>619.19999999999993</v>
      </c>
      <c r="V23" s="853"/>
    </row>
    <row r="24" spans="2:27" s="799" customFormat="1">
      <c r="B24" s="833"/>
      <c r="C24" s="833" t="s">
        <v>1472</v>
      </c>
      <c r="D24" s="823">
        <f t="shared" si="0"/>
        <v>1285.1600000000001</v>
      </c>
      <c r="E24" s="853">
        <v>8</v>
      </c>
      <c r="F24" s="853"/>
      <c r="G24" s="853"/>
      <c r="H24" s="854"/>
      <c r="I24" s="853">
        <v>8</v>
      </c>
      <c r="J24" s="853"/>
      <c r="K24" s="853"/>
      <c r="L24" s="853"/>
      <c r="M24" s="853">
        <v>6</v>
      </c>
      <c r="N24" s="853"/>
      <c r="O24" s="853">
        <v>8</v>
      </c>
      <c r="P24" s="853"/>
      <c r="Q24" s="853"/>
      <c r="R24" s="853"/>
      <c r="S24" s="853"/>
      <c r="T24" s="853"/>
      <c r="U24" s="853"/>
      <c r="V24" s="853"/>
    </row>
    <row r="25" spans="2:27" s="799" customFormat="1">
      <c r="B25" s="833"/>
      <c r="C25" s="833" t="s">
        <v>1473</v>
      </c>
      <c r="D25" s="823">
        <f t="shared" si="0"/>
        <v>1285.1600000000001</v>
      </c>
      <c r="E25" s="853">
        <v>8</v>
      </c>
      <c r="F25" s="853"/>
      <c r="G25" s="853"/>
      <c r="H25" s="854"/>
      <c r="I25" s="853">
        <v>8</v>
      </c>
      <c r="J25" s="853"/>
      <c r="K25" s="853"/>
      <c r="L25" s="853"/>
      <c r="M25" s="853">
        <v>6</v>
      </c>
      <c r="N25" s="853"/>
      <c r="O25" s="853">
        <v>8</v>
      </c>
      <c r="P25" s="853"/>
      <c r="Q25" s="853"/>
      <c r="R25" s="853"/>
      <c r="S25" s="853"/>
      <c r="T25" s="853"/>
      <c r="U25" s="853"/>
      <c r="V25" s="853"/>
    </row>
    <row r="26" spans="2:27" s="799" customFormat="1">
      <c r="B26" s="833"/>
      <c r="C26" s="833" t="s">
        <v>1104</v>
      </c>
      <c r="D26" s="823">
        <f t="shared" si="0"/>
        <v>858.9</v>
      </c>
      <c r="E26" s="853"/>
      <c r="F26" s="853"/>
      <c r="G26" s="853"/>
      <c r="H26" s="854"/>
      <c r="I26" s="853"/>
      <c r="J26" s="853"/>
      <c r="K26" s="853"/>
      <c r="L26" s="853"/>
      <c r="M26" s="853"/>
      <c r="N26" s="853"/>
      <c r="O26" s="853"/>
      <c r="P26" s="853">
        <v>6</v>
      </c>
      <c r="Q26" s="853">
        <v>8</v>
      </c>
      <c r="R26" s="853">
        <v>1</v>
      </c>
      <c r="S26" s="853"/>
      <c r="T26" s="853"/>
      <c r="U26" s="853"/>
      <c r="V26" s="853"/>
    </row>
    <row r="27" spans="2:27" s="799" customFormat="1">
      <c r="B27" s="833"/>
      <c r="C27" s="833" t="s">
        <v>1474</v>
      </c>
      <c r="D27" s="823">
        <f t="shared" si="0"/>
        <v>349.65</v>
      </c>
      <c r="E27" s="853"/>
      <c r="F27" s="853"/>
      <c r="G27" s="853"/>
      <c r="H27" s="854"/>
      <c r="I27" s="853"/>
      <c r="J27" s="853"/>
      <c r="K27" s="853"/>
      <c r="L27" s="853"/>
      <c r="M27" s="853"/>
      <c r="N27" s="853"/>
      <c r="O27" s="853"/>
      <c r="P27" s="853"/>
      <c r="Q27" s="853"/>
      <c r="R27" s="853">
        <v>1</v>
      </c>
      <c r="S27" s="853"/>
      <c r="T27" s="853"/>
      <c r="U27" s="853"/>
      <c r="V27" s="853">
        <v>5</v>
      </c>
    </row>
    <row r="28" spans="2:27" s="799" customFormat="1">
      <c r="B28" s="833"/>
      <c r="C28" s="833" t="s">
        <v>1475</v>
      </c>
      <c r="D28" s="823">
        <f t="shared" si="0"/>
        <v>349.65</v>
      </c>
      <c r="E28" s="851"/>
      <c r="F28" s="851"/>
      <c r="G28" s="851"/>
      <c r="H28" s="852"/>
      <c r="I28" s="851"/>
      <c r="J28" s="851"/>
      <c r="K28" s="851"/>
      <c r="L28" s="851"/>
      <c r="M28" s="851"/>
      <c r="N28" s="851"/>
      <c r="O28" s="851"/>
      <c r="P28" s="851"/>
      <c r="Q28" s="851"/>
      <c r="R28" s="851">
        <v>1</v>
      </c>
      <c r="S28" s="851"/>
      <c r="T28" s="851"/>
      <c r="U28" s="851"/>
      <c r="V28" s="851">
        <v>5</v>
      </c>
    </row>
    <row r="29" spans="2:27" s="799" customFormat="1">
      <c r="B29" s="833"/>
      <c r="C29" s="833" t="s">
        <v>1392</v>
      </c>
      <c r="D29" s="823">
        <f t="shared" si="0"/>
        <v>349.65</v>
      </c>
      <c r="E29" s="851"/>
      <c r="F29" s="851"/>
      <c r="G29" s="851"/>
      <c r="H29" s="852"/>
      <c r="I29" s="851"/>
      <c r="J29" s="851"/>
      <c r="K29" s="851"/>
      <c r="L29" s="851"/>
      <c r="M29" s="851"/>
      <c r="N29" s="851"/>
      <c r="O29" s="851"/>
      <c r="P29" s="851"/>
      <c r="Q29" s="851"/>
      <c r="R29" s="851">
        <v>1</v>
      </c>
      <c r="S29" s="851"/>
      <c r="T29" s="851"/>
      <c r="U29" s="851"/>
      <c r="V29" s="851">
        <v>5</v>
      </c>
    </row>
    <row r="32" spans="2:27">
      <c r="B32" s="845" t="s">
        <v>1476</v>
      </c>
      <c r="C32" s="846"/>
      <c r="D32" s="846"/>
      <c r="E32" s="846"/>
      <c r="F32" s="846"/>
      <c r="G32" s="846"/>
      <c r="H32" s="846"/>
      <c r="I32" s="846"/>
      <c r="J32" s="846"/>
      <c r="K32" s="846"/>
      <c r="L32" s="846"/>
      <c r="M32" s="846"/>
      <c r="N32" s="846"/>
      <c r="O32" s="846"/>
      <c r="P32" s="846"/>
      <c r="Q32" s="846"/>
      <c r="R32" s="846"/>
      <c r="S32" s="846"/>
      <c r="T32" s="846"/>
      <c r="U32" s="846"/>
      <c r="V32" s="846"/>
      <c r="W32" s="846"/>
      <c r="X32" s="846"/>
      <c r="Y32" s="846"/>
      <c r="Z32" s="846"/>
      <c r="AA32" s="846"/>
    </row>
    <row r="33" spans="2:27" ht="93" customHeight="1">
      <c r="B33" s="831" t="s">
        <v>1120</v>
      </c>
      <c r="C33" s="831" t="s">
        <v>1372</v>
      </c>
      <c r="D33" s="832" t="s">
        <v>1456</v>
      </c>
      <c r="E33" s="848" t="s">
        <v>1206</v>
      </c>
      <c r="F33" s="848" t="s">
        <v>1204</v>
      </c>
      <c r="G33" s="848" t="s">
        <v>1217</v>
      </c>
      <c r="H33" s="848" t="s">
        <v>1229</v>
      </c>
      <c r="I33" s="848" t="s">
        <v>1231</v>
      </c>
      <c r="J33" s="848" t="s">
        <v>1226</v>
      </c>
      <c r="K33" s="848" t="s">
        <v>1233</v>
      </c>
      <c r="L33" s="848" t="s">
        <v>1196</v>
      </c>
      <c r="M33" s="848" t="s">
        <v>1237</v>
      </c>
      <c r="N33" s="848" t="s">
        <v>1241</v>
      </c>
      <c r="O33" s="848" t="s">
        <v>1219</v>
      </c>
      <c r="P33" s="848" t="s">
        <v>1477</v>
      </c>
      <c r="Q33" s="848" t="s">
        <v>1478</v>
      </c>
      <c r="R33" s="848" t="s">
        <v>1228</v>
      </c>
      <c r="S33" s="848" t="s">
        <v>1199</v>
      </c>
      <c r="T33" s="848" t="s">
        <v>1215</v>
      </c>
      <c r="U33" s="848" t="s">
        <v>1220</v>
      </c>
      <c r="V33" s="848" t="s">
        <v>1225</v>
      </c>
      <c r="W33" s="848" t="s">
        <v>1243</v>
      </c>
      <c r="X33" s="848" t="s">
        <v>1213</v>
      </c>
      <c r="Y33" s="848" t="s">
        <v>1239</v>
      </c>
      <c r="Z33" s="848" t="s">
        <v>1240</v>
      </c>
      <c r="AA33" s="848" t="s">
        <v>1235</v>
      </c>
    </row>
    <row r="34" spans="2:27" ht="15.6" customHeight="1">
      <c r="B34" s="911" t="s">
        <v>1460</v>
      </c>
      <c r="C34" s="912"/>
      <c r="D34" s="849"/>
      <c r="E34" s="850">
        <f>Insumos!E79</f>
        <v>81.7</v>
      </c>
      <c r="F34" s="850">
        <f>Insumos!E78</f>
        <v>84.99</v>
      </c>
      <c r="G34" s="850">
        <f>Insumos!E89</f>
        <v>134.47</v>
      </c>
      <c r="H34" s="850">
        <f>Insumos!E99</f>
        <v>32.9</v>
      </c>
      <c r="I34" s="850">
        <f>Insumos!E100</f>
        <v>11.93</v>
      </c>
      <c r="J34" s="850">
        <f>Insumos!E97</f>
        <v>13.16</v>
      </c>
      <c r="K34" s="850">
        <f>Insumos!E101</f>
        <v>10.86</v>
      </c>
      <c r="L34" s="850">
        <f>Insumos!E70</f>
        <v>40.98</v>
      </c>
      <c r="M34" s="850">
        <f>Insumos!E103</f>
        <v>49.32</v>
      </c>
      <c r="N34" s="850">
        <f>Insumos!E106</f>
        <v>37.049999999999997</v>
      </c>
      <c r="O34" s="850">
        <f>Insumos!E90</f>
        <v>9.16</v>
      </c>
      <c r="P34" s="850">
        <f>Insumos!E88</f>
        <v>219</v>
      </c>
      <c r="Q34" s="850">
        <f>Insumos!E86</f>
        <v>259</v>
      </c>
      <c r="R34" s="850">
        <f>Insumos!E98</f>
        <v>149</v>
      </c>
      <c r="S34" s="850">
        <f>Insumos!E73</f>
        <v>56</v>
      </c>
      <c r="T34" s="850">
        <f>Insumos!E87</f>
        <v>103.25</v>
      </c>
      <c r="U34" s="850">
        <f>Insumos!E91</f>
        <v>157.65</v>
      </c>
      <c r="V34" s="850">
        <f>Insumos!E96</f>
        <v>356.59</v>
      </c>
      <c r="W34" s="850">
        <f>Insumos!E107</f>
        <v>13.86</v>
      </c>
      <c r="X34" s="850">
        <f>Insumos!E85</f>
        <v>53.5</v>
      </c>
      <c r="Y34" s="850">
        <f>Insumos!E104</f>
        <v>69.05</v>
      </c>
      <c r="Z34" s="850">
        <f>Insumos!E105</f>
        <v>3.87</v>
      </c>
      <c r="AA34" s="850">
        <f>Insumos!E102</f>
        <v>4.7300000000000004</v>
      </c>
    </row>
    <row r="35" spans="2:27" s="799" customFormat="1">
      <c r="B35" s="833"/>
      <c r="C35" s="833" t="s">
        <v>1461</v>
      </c>
      <c r="D35" s="823">
        <f t="shared" ref="D35:D56" si="2">SUMPRODUCT($E$34:$AA$34,E35:AA35)</f>
        <v>1478.82</v>
      </c>
      <c r="E35" s="851"/>
      <c r="F35" s="851">
        <f>2*3</f>
        <v>6</v>
      </c>
      <c r="G35" s="852">
        <f>2*2</f>
        <v>4</v>
      </c>
      <c r="H35" s="851"/>
      <c r="I35" s="851">
        <f>2*6</f>
        <v>12</v>
      </c>
      <c r="J35" s="851"/>
      <c r="K35" s="851"/>
      <c r="L35" s="851"/>
      <c r="M35" s="851"/>
      <c r="N35" s="851"/>
      <c r="O35" s="851">
        <v>2</v>
      </c>
      <c r="P35" s="851"/>
      <c r="Q35" s="851"/>
      <c r="R35" s="851"/>
      <c r="S35" s="851"/>
      <c r="T35" s="851"/>
      <c r="U35" s="851"/>
      <c r="V35" s="851"/>
      <c r="W35" s="851">
        <v>12</v>
      </c>
      <c r="X35" s="851"/>
      <c r="Y35" s="851"/>
      <c r="Z35" s="851">
        <v>12</v>
      </c>
      <c r="AA35" s="851">
        <f>2*6</f>
        <v>12</v>
      </c>
    </row>
    <row r="36" spans="2:27" s="799" customFormat="1">
      <c r="B36" s="833"/>
      <c r="C36" s="833" t="s">
        <v>1462</v>
      </c>
      <c r="D36" s="823">
        <f t="shared" si="2"/>
        <v>3262.7000000000003</v>
      </c>
      <c r="E36" s="851">
        <v>8</v>
      </c>
      <c r="F36" s="851"/>
      <c r="G36" s="852">
        <v>6</v>
      </c>
      <c r="H36" s="851">
        <v>48</v>
      </c>
      <c r="I36" s="851"/>
      <c r="J36" s="851"/>
      <c r="K36" s="851"/>
      <c r="L36" s="851"/>
      <c r="M36" s="851"/>
      <c r="N36" s="851"/>
      <c r="O36" s="851"/>
      <c r="P36" s="851"/>
      <c r="Q36" s="851"/>
      <c r="R36" s="851"/>
      <c r="S36" s="851"/>
      <c r="T36" s="851"/>
      <c r="U36" s="851"/>
      <c r="V36" s="851"/>
      <c r="W36" s="851">
        <v>12</v>
      </c>
      <c r="X36" s="851"/>
      <c r="Y36" s="851"/>
      <c r="Z36" s="851"/>
      <c r="AA36" s="851">
        <v>12</v>
      </c>
    </row>
    <row r="37" spans="2:27" s="799" customFormat="1">
      <c r="B37" s="833"/>
      <c r="C37" s="833" t="s">
        <v>932</v>
      </c>
      <c r="D37" s="823">
        <f t="shared" si="2"/>
        <v>3096.38</v>
      </c>
      <c r="E37" s="851">
        <v>8</v>
      </c>
      <c r="F37" s="851"/>
      <c r="G37" s="852">
        <v>6</v>
      </c>
      <c r="H37" s="851">
        <v>48</v>
      </c>
      <c r="I37" s="851"/>
      <c r="J37" s="851"/>
      <c r="K37" s="851"/>
      <c r="L37" s="851"/>
      <c r="M37" s="851"/>
      <c r="N37" s="851"/>
      <c r="O37" s="851"/>
      <c r="P37" s="851"/>
      <c r="Q37" s="851"/>
      <c r="R37" s="851"/>
      <c r="S37" s="851"/>
      <c r="T37" s="851"/>
      <c r="U37" s="851"/>
      <c r="V37" s="851"/>
      <c r="W37" s="851"/>
      <c r="X37" s="851"/>
      <c r="Y37" s="851"/>
      <c r="Z37" s="851"/>
      <c r="AA37" s="851">
        <v>12</v>
      </c>
    </row>
    <row r="38" spans="2:27" s="799" customFormat="1">
      <c r="B38" s="833"/>
      <c r="C38" s="833" t="s">
        <v>1382</v>
      </c>
      <c r="D38" s="823">
        <f t="shared" si="2"/>
        <v>896.74</v>
      </c>
      <c r="E38" s="851"/>
      <c r="F38" s="851">
        <f>2*2</f>
        <v>4</v>
      </c>
      <c r="G38" s="852">
        <v>2</v>
      </c>
      <c r="H38" s="851"/>
      <c r="I38" s="851"/>
      <c r="J38" s="851"/>
      <c r="K38" s="851"/>
      <c r="L38" s="851"/>
      <c r="M38" s="851"/>
      <c r="N38" s="851"/>
      <c r="O38" s="851">
        <v>2</v>
      </c>
      <c r="P38" s="851"/>
      <c r="Q38" s="851"/>
      <c r="R38" s="851"/>
      <c r="S38" s="851"/>
      <c r="T38" s="851"/>
      <c r="U38" s="851"/>
      <c r="V38" s="851"/>
      <c r="W38" s="851">
        <v>12</v>
      </c>
      <c r="X38" s="851"/>
      <c r="Y38" s="851"/>
      <c r="Z38" s="851">
        <v>12</v>
      </c>
      <c r="AA38" s="851">
        <v>12</v>
      </c>
    </row>
    <row r="39" spans="2:27" s="799" customFormat="1">
      <c r="B39" s="833"/>
      <c r="C39" s="833" t="s">
        <v>1463</v>
      </c>
      <c r="D39" s="823">
        <f t="shared" si="2"/>
        <v>2098.08</v>
      </c>
      <c r="E39" s="851"/>
      <c r="F39" s="851">
        <f t="shared" ref="F39:F44" si="3">2*3</f>
        <v>6</v>
      </c>
      <c r="G39" s="852">
        <v>2</v>
      </c>
      <c r="H39" s="851">
        <v>12</v>
      </c>
      <c r="I39" s="851"/>
      <c r="J39" s="851"/>
      <c r="K39" s="851"/>
      <c r="L39" s="851"/>
      <c r="M39" s="851"/>
      <c r="N39" s="851"/>
      <c r="O39" s="851">
        <v>2</v>
      </c>
      <c r="P39" s="851">
        <v>1</v>
      </c>
      <c r="Q39" s="851">
        <v>1</v>
      </c>
      <c r="R39" s="851">
        <v>1</v>
      </c>
      <c r="S39" s="851">
        <v>1</v>
      </c>
      <c r="T39" s="851"/>
      <c r="U39" s="851"/>
      <c r="V39" s="851"/>
      <c r="W39" s="851">
        <v>12</v>
      </c>
      <c r="X39" s="851"/>
      <c r="Y39" s="851"/>
      <c r="Z39" s="851"/>
      <c r="AA39" s="851">
        <v>12</v>
      </c>
    </row>
    <row r="40" spans="2:27" s="799" customFormat="1">
      <c r="B40" s="833"/>
      <c r="C40" s="833" t="s">
        <v>1464</v>
      </c>
      <c r="D40" s="823">
        <f t="shared" si="2"/>
        <v>1931.7599999999998</v>
      </c>
      <c r="E40" s="851"/>
      <c r="F40" s="851">
        <f t="shared" si="3"/>
        <v>6</v>
      </c>
      <c r="G40" s="852">
        <v>2</v>
      </c>
      <c r="H40" s="851">
        <v>12</v>
      </c>
      <c r="I40" s="851"/>
      <c r="J40" s="851"/>
      <c r="K40" s="851"/>
      <c r="L40" s="851"/>
      <c r="M40" s="851"/>
      <c r="N40" s="851"/>
      <c r="O40" s="851">
        <v>2</v>
      </c>
      <c r="P40" s="851">
        <v>1</v>
      </c>
      <c r="Q40" s="851">
        <v>1</v>
      </c>
      <c r="R40" s="851">
        <v>1</v>
      </c>
      <c r="S40" s="851">
        <v>1</v>
      </c>
      <c r="T40" s="851"/>
      <c r="U40" s="851"/>
      <c r="V40" s="851"/>
      <c r="W40" s="851"/>
      <c r="X40" s="851"/>
      <c r="Y40" s="851"/>
      <c r="Z40" s="851"/>
      <c r="AA40" s="851">
        <v>12</v>
      </c>
    </row>
    <row r="41" spans="2:27" s="799" customFormat="1">
      <c r="B41" s="833"/>
      <c r="C41" s="833" t="s">
        <v>1384</v>
      </c>
      <c r="D41" s="823">
        <f t="shared" si="2"/>
        <v>1892.8799999999999</v>
      </c>
      <c r="E41" s="851"/>
      <c r="F41" s="851">
        <f t="shared" si="3"/>
        <v>6</v>
      </c>
      <c r="G41" s="852">
        <v>2</v>
      </c>
      <c r="H41" s="851"/>
      <c r="I41" s="851">
        <v>12</v>
      </c>
      <c r="J41" s="851"/>
      <c r="K41" s="851"/>
      <c r="L41" s="851"/>
      <c r="M41" s="851"/>
      <c r="N41" s="851"/>
      <c r="O41" s="851">
        <v>2</v>
      </c>
      <c r="P41" s="851">
        <v>1</v>
      </c>
      <c r="Q41" s="851">
        <v>1</v>
      </c>
      <c r="R41" s="851">
        <v>1</v>
      </c>
      <c r="S41" s="851">
        <v>1</v>
      </c>
      <c r="T41" s="851"/>
      <c r="U41" s="851"/>
      <c r="V41" s="851"/>
      <c r="W41" s="851">
        <v>12</v>
      </c>
      <c r="X41" s="851"/>
      <c r="Y41" s="851"/>
      <c r="Z41" s="851">
        <v>12</v>
      </c>
      <c r="AA41" s="851">
        <v>12</v>
      </c>
    </row>
    <row r="42" spans="2:27" s="799" customFormat="1">
      <c r="B42" s="833"/>
      <c r="C42" s="833" t="s">
        <v>1465</v>
      </c>
      <c r="D42" s="823">
        <f t="shared" si="2"/>
        <v>1684.0199999999998</v>
      </c>
      <c r="E42" s="851"/>
      <c r="F42" s="851">
        <f t="shared" si="3"/>
        <v>6</v>
      </c>
      <c r="G42" s="852">
        <f>2*2</f>
        <v>4</v>
      </c>
      <c r="H42" s="851">
        <v>12</v>
      </c>
      <c r="I42" s="851"/>
      <c r="J42" s="851"/>
      <c r="K42" s="851"/>
      <c r="L42" s="851"/>
      <c r="M42" s="851"/>
      <c r="N42" s="851"/>
      <c r="O42" s="851">
        <v>2</v>
      </c>
      <c r="P42" s="851"/>
      <c r="Q42" s="851"/>
      <c r="R42" s="851"/>
      <c r="S42" s="851"/>
      <c r="T42" s="851"/>
      <c r="U42" s="851"/>
      <c r="V42" s="851"/>
      <c r="W42" s="851">
        <v>12</v>
      </c>
      <c r="X42" s="851"/>
      <c r="Y42" s="851"/>
      <c r="Z42" s="851"/>
      <c r="AA42" s="851">
        <v>12</v>
      </c>
    </row>
    <row r="43" spans="2:27" s="799" customFormat="1">
      <c r="B43" s="833"/>
      <c r="C43" s="833" t="s">
        <v>1466</v>
      </c>
      <c r="D43" s="823">
        <f t="shared" si="2"/>
        <v>1517.6999999999998</v>
      </c>
      <c r="E43" s="851"/>
      <c r="F43" s="851">
        <f t="shared" si="3"/>
        <v>6</v>
      </c>
      <c r="G43" s="852">
        <f>2*2</f>
        <v>4</v>
      </c>
      <c r="H43" s="851">
        <v>12</v>
      </c>
      <c r="I43" s="851"/>
      <c r="J43" s="851"/>
      <c r="K43" s="851"/>
      <c r="L43" s="851"/>
      <c r="M43" s="851"/>
      <c r="N43" s="851"/>
      <c r="O43" s="851">
        <v>2</v>
      </c>
      <c r="P43" s="851"/>
      <c r="Q43" s="851"/>
      <c r="R43" s="851"/>
      <c r="S43" s="851"/>
      <c r="T43" s="851"/>
      <c r="U43" s="851"/>
      <c r="V43" s="851"/>
      <c r="W43" s="851"/>
      <c r="X43" s="851"/>
      <c r="Y43" s="851"/>
      <c r="Z43" s="851"/>
      <c r="AA43" s="851">
        <v>12</v>
      </c>
    </row>
    <row r="44" spans="2:27" s="799" customFormat="1">
      <c r="B44" s="833"/>
      <c r="C44" s="833" t="s">
        <v>1386</v>
      </c>
      <c r="D44" s="823">
        <f t="shared" si="2"/>
        <v>1478.82</v>
      </c>
      <c r="E44" s="851"/>
      <c r="F44" s="851">
        <f t="shared" si="3"/>
        <v>6</v>
      </c>
      <c r="G44" s="852">
        <f>2*2</f>
        <v>4</v>
      </c>
      <c r="H44" s="851"/>
      <c r="I44" s="851">
        <v>12</v>
      </c>
      <c r="J44" s="851"/>
      <c r="K44" s="851"/>
      <c r="L44" s="851"/>
      <c r="M44" s="851"/>
      <c r="N44" s="851"/>
      <c r="O44" s="851">
        <v>2</v>
      </c>
      <c r="P44" s="851"/>
      <c r="Q44" s="851"/>
      <c r="R44" s="851"/>
      <c r="S44" s="851"/>
      <c r="T44" s="851"/>
      <c r="U44" s="851"/>
      <c r="V44" s="851"/>
      <c r="W44" s="851">
        <v>12</v>
      </c>
      <c r="X44" s="851"/>
      <c r="Y44" s="851"/>
      <c r="Z44" s="851">
        <v>12</v>
      </c>
      <c r="AA44" s="851">
        <v>12</v>
      </c>
    </row>
    <row r="45" spans="2:27" s="799" customFormat="1">
      <c r="B45" s="833"/>
      <c r="C45" s="833" t="s">
        <v>1467</v>
      </c>
      <c r="D45" s="823">
        <f t="shared" si="2"/>
        <v>1910.7999999999997</v>
      </c>
      <c r="E45" s="851"/>
      <c r="F45" s="851">
        <v>6</v>
      </c>
      <c r="G45" s="852">
        <v>4</v>
      </c>
      <c r="H45" s="851">
        <v>12</v>
      </c>
      <c r="I45" s="851"/>
      <c r="J45" s="851"/>
      <c r="K45" s="851"/>
      <c r="L45" s="851"/>
      <c r="M45" s="851"/>
      <c r="N45" s="851"/>
      <c r="O45" s="851"/>
      <c r="P45" s="851"/>
      <c r="Q45" s="851"/>
      <c r="R45" s="851"/>
      <c r="S45" s="851"/>
      <c r="T45" s="851"/>
      <c r="U45" s="851"/>
      <c r="V45" s="851"/>
      <c r="W45" s="851">
        <v>12</v>
      </c>
      <c r="X45" s="851">
        <v>2</v>
      </c>
      <c r="Y45" s="851">
        <v>2</v>
      </c>
      <c r="Z45" s="851"/>
      <c r="AA45" s="851">
        <v>12</v>
      </c>
    </row>
    <row r="46" spans="2:27" s="799" customFormat="1">
      <c r="B46" s="833"/>
      <c r="C46" s="833" t="s">
        <v>1468</v>
      </c>
      <c r="D46" s="823">
        <f t="shared" si="2"/>
        <v>1744.4799999999998</v>
      </c>
      <c r="E46" s="851"/>
      <c r="F46" s="851">
        <v>6</v>
      </c>
      <c r="G46" s="852">
        <v>4</v>
      </c>
      <c r="H46" s="851">
        <v>12</v>
      </c>
      <c r="I46" s="851"/>
      <c r="J46" s="851"/>
      <c r="K46" s="851"/>
      <c r="L46" s="851"/>
      <c r="M46" s="851"/>
      <c r="N46" s="851"/>
      <c r="O46" s="851"/>
      <c r="P46" s="851"/>
      <c r="Q46" s="851"/>
      <c r="R46" s="851"/>
      <c r="S46" s="851"/>
      <c r="T46" s="851"/>
      <c r="U46" s="851"/>
      <c r="V46" s="851"/>
      <c r="W46" s="851"/>
      <c r="X46" s="851">
        <v>2</v>
      </c>
      <c r="Y46" s="851">
        <v>2</v>
      </c>
      <c r="Z46" s="851"/>
      <c r="AA46" s="851">
        <v>12</v>
      </c>
    </row>
    <row r="47" spans="2:27" s="799" customFormat="1">
      <c r="B47" s="833"/>
      <c r="C47" s="833" t="s">
        <v>1469</v>
      </c>
      <c r="D47" s="823">
        <f t="shared" si="2"/>
        <v>1969.3199999999997</v>
      </c>
      <c r="E47" s="851"/>
      <c r="F47" s="851">
        <v>6</v>
      </c>
      <c r="G47" s="852">
        <v>6</v>
      </c>
      <c r="H47" s="851"/>
      <c r="I47" s="851">
        <v>36</v>
      </c>
      <c r="J47" s="851"/>
      <c r="K47" s="851"/>
      <c r="L47" s="851"/>
      <c r="M47" s="851"/>
      <c r="N47" s="851"/>
      <c r="O47" s="851"/>
      <c r="P47" s="851"/>
      <c r="Q47" s="851"/>
      <c r="R47" s="851"/>
      <c r="S47" s="851"/>
      <c r="T47" s="851"/>
      <c r="U47" s="851"/>
      <c r="V47" s="851"/>
      <c r="W47" s="851">
        <v>12</v>
      </c>
      <c r="X47" s="851"/>
      <c r="Y47" s="851"/>
      <c r="Z47" s="851"/>
      <c r="AA47" s="851">
        <v>12</v>
      </c>
    </row>
    <row r="48" spans="2:27" s="799" customFormat="1">
      <c r="B48" s="833"/>
      <c r="C48" s="833" t="s">
        <v>1470</v>
      </c>
      <c r="D48" s="823">
        <f t="shared" si="2"/>
        <v>2062.1999999999998</v>
      </c>
      <c r="E48" s="853"/>
      <c r="F48" s="853">
        <v>6</v>
      </c>
      <c r="G48" s="854">
        <v>6</v>
      </c>
      <c r="H48" s="853"/>
      <c r="I48" s="853">
        <v>36</v>
      </c>
      <c r="J48" s="853"/>
      <c r="K48" s="853"/>
      <c r="L48" s="853"/>
      <c r="M48" s="853"/>
      <c r="N48" s="853"/>
      <c r="O48" s="853"/>
      <c r="P48" s="853"/>
      <c r="Q48" s="853"/>
      <c r="R48" s="853"/>
      <c r="S48" s="853"/>
      <c r="T48" s="853"/>
      <c r="U48" s="853"/>
      <c r="V48" s="853"/>
      <c r="W48" s="853">
        <v>12</v>
      </c>
      <c r="X48" s="853"/>
      <c r="Y48" s="853"/>
      <c r="Z48" s="853">
        <v>24</v>
      </c>
      <c r="AA48" s="853">
        <v>12</v>
      </c>
    </row>
    <row r="49" spans="2:27" s="799" customFormat="1">
      <c r="B49" s="833"/>
      <c r="C49" s="833" t="s">
        <v>1471</v>
      </c>
      <c r="D49" s="823">
        <f t="shared" si="2"/>
        <v>2375.34</v>
      </c>
      <c r="E49" s="853"/>
      <c r="F49" s="853">
        <v>8</v>
      </c>
      <c r="G49" s="854">
        <v>6</v>
      </c>
      <c r="H49" s="853"/>
      <c r="I49" s="853">
        <v>48</v>
      </c>
      <c r="J49" s="853"/>
      <c r="K49" s="853"/>
      <c r="L49" s="853"/>
      <c r="M49" s="853"/>
      <c r="N49" s="853"/>
      <c r="O49" s="853"/>
      <c r="P49" s="853"/>
      <c r="Q49" s="853"/>
      <c r="R49" s="853"/>
      <c r="S49" s="853"/>
      <c r="T49" s="853"/>
      <c r="U49" s="853"/>
      <c r="V49" s="853"/>
      <c r="W49" s="853">
        <v>12</v>
      </c>
      <c r="X49" s="853"/>
      <c r="Y49" s="853"/>
      <c r="Z49" s="853">
        <v>24</v>
      </c>
      <c r="AA49" s="853">
        <v>12</v>
      </c>
    </row>
    <row r="50" spans="2:27" s="799" customFormat="1">
      <c r="B50" s="833"/>
      <c r="C50" s="833" t="s">
        <v>1472</v>
      </c>
      <c r="D50" s="823">
        <f t="shared" si="2"/>
        <v>2870.5800000000004</v>
      </c>
      <c r="E50" s="853"/>
      <c r="F50" s="853">
        <v>6</v>
      </c>
      <c r="G50" s="854">
        <v>6</v>
      </c>
      <c r="H50" s="853"/>
      <c r="I50" s="853"/>
      <c r="J50" s="853">
        <v>36</v>
      </c>
      <c r="K50" s="853"/>
      <c r="L50" s="853">
        <v>6</v>
      </c>
      <c r="M50" s="853">
        <v>6</v>
      </c>
      <c r="N50" s="853">
        <v>6</v>
      </c>
      <c r="O50" s="853"/>
      <c r="P50" s="853"/>
      <c r="Q50" s="853"/>
      <c r="R50" s="853"/>
      <c r="S50" s="853"/>
      <c r="T50" s="853"/>
      <c r="U50" s="853"/>
      <c r="V50" s="853"/>
      <c r="W50" s="853">
        <v>12</v>
      </c>
      <c r="X50" s="853"/>
      <c r="Y50" s="853"/>
      <c r="Z50" s="853">
        <v>24</v>
      </c>
      <c r="AA50" s="853">
        <v>12</v>
      </c>
    </row>
    <row r="51" spans="2:27" s="799" customFormat="1">
      <c r="B51" s="833"/>
      <c r="C51" s="833" t="s">
        <v>1473</v>
      </c>
      <c r="D51" s="823">
        <f t="shared" si="2"/>
        <v>2015.7599999999998</v>
      </c>
      <c r="E51" s="851"/>
      <c r="F51" s="851">
        <v>6</v>
      </c>
      <c r="G51" s="852">
        <v>6</v>
      </c>
      <c r="H51" s="851"/>
      <c r="I51" s="851">
        <v>36</v>
      </c>
      <c r="J51" s="851"/>
      <c r="K51" s="851"/>
      <c r="L51" s="851"/>
      <c r="M51" s="851"/>
      <c r="N51" s="851"/>
      <c r="O51" s="851"/>
      <c r="P51" s="851"/>
      <c r="Q51" s="851"/>
      <c r="R51" s="851"/>
      <c r="S51" s="851"/>
      <c r="T51" s="851"/>
      <c r="U51" s="851"/>
      <c r="V51" s="851"/>
      <c r="W51" s="851">
        <v>12</v>
      </c>
      <c r="X51" s="851"/>
      <c r="Y51" s="851"/>
      <c r="Z51" s="851">
        <v>12</v>
      </c>
      <c r="AA51" s="851">
        <v>12</v>
      </c>
    </row>
    <row r="52" spans="2:27" s="799" customFormat="1">
      <c r="B52" s="833"/>
      <c r="C52" s="833" t="s">
        <v>1479</v>
      </c>
      <c r="D52" s="823">
        <f t="shared" si="2"/>
        <v>2157.2600000000002</v>
      </c>
      <c r="E52" s="851">
        <v>8</v>
      </c>
      <c r="F52" s="851"/>
      <c r="G52" s="852">
        <v>6</v>
      </c>
      <c r="H52" s="851"/>
      <c r="I52" s="851"/>
      <c r="J52" s="851">
        <v>36</v>
      </c>
      <c r="K52" s="851"/>
      <c r="L52" s="851"/>
      <c r="M52" s="851"/>
      <c r="N52" s="851"/>
      <c r="O52" s="851"/>
      <c r="P52" s="851"/>
      <c r="Q52" s="851"/>
      <c r="R52" s="851"/>
      <c r="S52" s="851"/>
      <c r="T52" s="851"/>
      <c r="U52" s="851"/>
      <c r="V52" s="851"/>
      <c r="W52" s="851">
        <v>12</v>
      </c>
      <c r="X52" s="851"/>
      <c r="Y52" s="851"/>
      <c r="Z52" s="851"/>
      <c r="AA52" s="851">
        <v>12</v>
      </c>
    </row>
    <row r="53" spans="2:27" s="799" customFormat="1">
      <c r="B53" s="833"/>
      <c r="C53" s="833" t="s">
        <v>1104</v>
      </c>
      <c r="D53" s="823">
        <f t="shared" si="2"/>
        <v>1018.18</v>
      </c>
      <c r="E53" s="851"/>
      <c r="F53" s="851">
        <v>4</v>
      </c>
      <c r="G53" s="852">
        <v>2</v>
      </c>
      <c r="H53" s="851"/>
      <c r="I53" s="851"/>
      <c r="J53" s="851"/>
      <c r="K53" s="851">
        <v>36</v>
      </c>
      <c r="L53" s="851"/>
      <c r="M53" s="851"/>
      <c r="N53" s="851"/>
      <c r="O53" s="851">
        <v>2</v>
      </c>
      <c r="P53" s="851"/>
      <c r="Q53" s="851"/>
      <c r="R53" s="851"/>
      <c r="S53" s="851"/>
      <c r="T53" s="851"/>
      <c r="U53" s="851"/>
      <c r="V53" s="851"/>
      <c r="W53" s="851"/>
      <c r="X53" s="851"/>
      <c r="Y53" s="851"/>
      <c r="Z53" s="851"/>
      <c r="AA53" s="851"/>
    </row>
    <row r="54" spans="2:27" s="799" customFormat="1">
      <c r="B54" s="833"/>
      <c r="C54" s="833" t="s">
        <v>1474</v>
      </c>
      <c r="D54" s="823">
        <f t="shared" si="2"/>
        <v>821.92</v>
      </c>
      <c r="E54" s="851"/>
      <c r="F54" s="851">
        <v>4</v>
      </c>
      <c r="G54" s="852">
        <v>2</v>
      </c>
      <c r="H54" s="851"/>
      <c r="I54" s="851"/>
      <c r="J54" s="851"/>
      <c r="K54" s="851"/>
      <c r="L54" s="851"/>
      <c r="M54" s="851"/>
      <c r="N54" s="851"/>
      <c r="O54" s="851">
        <v>2</v>
      </c>
      <c r="P54" s="851"/>
      <c r="Q54" s="851"/>
      <c r="R54" s="851"/>
      <c r="S54" s="851"/>
      <c r="T54" s="851"/>
      <c r="U54" s="851"/>
      <c r="V54" s="851"/>
      <c r="W54" s="851">
        <v>12</v>
      </c>
      <c r="X54" s="851"/>
      <c r="Y54" s="851"/>
      <c r="Z54" s="851"/>
      <c r="AA54" s="851">
        <v>6</v>
      </c>
    </row>
    <row r="55" spans="2:27" s="799" customFormat="1">
      <c r="B55" s="833"/>
      <c r="C55" s="833" t="s">
        <v>1475</v>
      </c>
      <c r="D55" s="823">
        <f t="shared" si="2"/>
        <v>18.32</v>
      </c>
      <c r="E55" s="851"/>
      <c r="F55" s="851"/>
      <c r="G55" s="852"/>
      <c r="H55" s="851"/>
      <c r="I55" s="851"/>
      <c r="J55" s="851"/>
      <c r="K55" s="851"/>
      <c r="L55" s="851"/>
      <c r="M55" s="851"/>
      <c r="N55" s="851"/>
      <c r="O55" s="851">
        <v>2</v>
      </c>
      <c r="P55" s="851"/>
      <c r="Q55" s="851"/>
      <c r="R55" s="851"/>
      <c r="S55" s="851"/>
      <c r="T55" s="851"/>
      <c r="U55" s="851"/>
      <c r="V55" s="851"/>
      <c r="W55" s="851"/>
      <c r="X55" s="851"/>
      <c r="Y55" s="851"/>
      <c r="Z55" s="851"/>
      <c r="AA55" s="851"/>
    </row>
    <row r="56" spans="2:27" s="799" customFormat="1">
      <c r="B56" s="833"/>
      <c r="C56" s="833" t="s">
        <v>1392</v>
      </c>
      <c r="D56" s="823">
        <f t="shared" si="2"/>
        <v>821.92</v>
      </c>
      <c r="E56" s="851"/>
      <c r="F56" s="851">
        <v>4</v>
      </c>
      <c r="G56" s="852">
        <v>2</v>
      </c>
      <c r="H56" s="851"/>
      <c r="I56" s="851"/>
      <c r="J56" s="851"/>
      <c r="K56" s="851"/>
      <c r="L56" s="851"/>
      <c r="M56" s="851"/>
      <c r="N56" s="851"/>
      <c r="O56" s="851">
        <v>2</v>
      </c>
      <c r="P56" s="851"/>
      <c r="Q56" s="851"/>
      <c r="R56" s="851"/>
      <c r="S56" s="851"/>
      <c r="T56" s="851"/>
      <c r="U56" s="851"/>
      <c r="V56" s="851"/>
      <c r="W56" s="851">
        <v>12</v>
      </c>
      <c r="X56" s="851"/>
      <c r="Y56" s="851"/>
      <c r="Z56" s="851"/>
      <c r="AA56" s="851">
        <v>6</v>
      </c>
    </row>
    <row r="212" spans="5:5">
      <c r="E212" s="770" t="s">
        <v>1357</v>
      </c>
    </row>
  </sheetData>
  <mergeCells count="2">
    <mergeCell ref="B8:C8"/>
    <mergeCell ref="B34:C34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60944-3C74-4369-8D56-31420F85EF6F}">
  <sheetPr>
    <tabColor rgb="FF92D050"/>
  </sheetPr>
  <dimension ref="B2:K392"/>
  <sheetViews>
    <sheetView showGridLines="0" zoomScale="85" zoomScaleNormal="85" workbookViewId="0">
      <pane ySplit="7" topLeftCell="A9" activePane="bottomLeft" state="frozen"/>
      <selection activeCell="G262" sqref="G262"/>
      <selection pane="bottomLeft" activeCell="F189" sqref="F189"/>
    </sheetView>
  </sheetViews>
  <sheetFormatPr defaultColWidth="9.109375" defaultRowHeight="15.6"/>
  <cols>
    <col min="1" max="1" width="3" style="770" customWidth="1"/>
    <col min="2" max="2" width="9.109375" style="770"/>
    <col min="3" max="3" width="73.88671875" style="770" customWidth="1"/>
    <col min="4" max="4" width="11" style="770" bestFit="1" customWidth="1"/>
    <col min="5" max="5" width="19.33203125" style="771" customWidth="1"/>
    <col min="6" max="6" width="60.6640625" style="770" customWidth="1"/>
    <col min="7" max="7" width="13.77734375" style="771" customWidth="1"/>
    <col min="8" max="8" width="14.44140625" style="770" customWidth="1"/>
    <col min="9" max="9" width="9.109375" style="770"/>
    <col min="10" max="11" width="14.33203125" style="770" bestFit="1" customWidth="1"/>
    <col min="12" max="16384" width="9.109375" style="770"/>
  </cols>
  <sheetData>
    <row r="2" spans="2:7">
      <c r="B2" s="769" t="s">
        <v>1116</v>
      </c>
      <c r="E2" s="861"/>
    </row>
    <row r="3" spans="2:7">
      <c r="B3" s="769" t="s">
        <v>1117</v>
      </c>
    </row>
    <row r="4" spans="2:7">
      <c r="B4" s="769" t="s">
        <v>1118</v>
      </c>
      <c r="C4" s="772"/>
      <c r="E4" s="816" t="s">
        <v>1359</v>
      </c>
      <c r="F4" s="817" t="s">
        <v>1480</v>
      </c>
    </row>
    <row r="5" spans="2:7">
      <c r="B5" s="773"/>
      <c r="C5" s="769"/>
    </row>
    <row r="6" spans="2:7">
      <c r="B6" s="774" t="s">
        <v>1119</v>
      </c>
      <c r="C6" s="775"/>
      <c r="D6" s="775"/>
      <c r="E6" s="776"/>
      <c r="F6" s="776"/>
      <c r="G6" s="777"/>
    </row>
    <row r="7" spans="2:7" ht="37.5" customHeight="1">
      <c r="B7" s="778" t="s">
        <v>1120</v>
      </c>
      <c r="C7" s="778" t="s">
        <v>1121</v>
      </c>
      <c r="D7" s="778" t="s">
        <v>1122</v>
      </c>
      <c r="E7" s="779" t="s">
        <v>1123</v>
      </c>
      <c r="F7" s="778" t="s">
        <v>1124</v>
      </c>
      <c r="G7" s="778" t="s">
        <v>1125</v>
      </c>
    </row>
    <row r="8" spans="2:7" hidden="1">
      <c r="B8" s="780"/>
      <c r="C8" s="781" t="s">
        <v>1126</v>
      </c>
      <c r="D8" s="782"/>
      <c r="E8" s="783"/>
      <c r="F8" s="784"/>
      <c r="G8" s="782"/>
    </row>
    <row r="9" spans="2:7">
      <c r="B9" s="785" t="s">
        <v>1127</v>
      </c>
      <c r="C9" s="775"/>
      <c r="D9" s="786"/>
      <c r="E9" s="787"/>
      <c r="F9" s="788"/>
      <c r="G9" s="789"/>
    </row>
    <row r="10" spans="2:7">
      <c r="B10" s="782"/>
      <c r="C10" s="781" t="s">
        <v>1128</v>
      </c>
      <c r="D10" s="782" t="s">
        <v>1129</v>
      </c>
      <c r="E10" s="790">
        <v>2765</v>
      </c>
      <c r="F10" s="791" t="s">
        <v>1130</v>
      </c>
      <c r="G10" s="792">
        <v>0</v>
      </c>
    </row>
    <row r="11" spans="2:7">
      <c r="B11" s="782"/>
      <c r="C11" s="781" t="s">
        <v>1131</v>
      </c>
      <c r="D11" s="782" t="s">
        <v>1129</v>
      </c>
      <c r="E11" s="790">
        <v>5.4</v>
      </c>
      <c r="F11" s="791" t="s">
        <v>1130</v>
      </c>
      <c r="G11" s="792">
        <v>0</v>
      </c>
    </row>
    <row r="12" spans="2:7">
      <c r="B12" s="782"/>
      <c r="C12" s="781" t="s">
        <v>1132</v>
      </c>
      <c r="D12" s="782" t="s">
        <v>1129</v>
      </c>
      <c r="E12" s="790">
        <v>7200</v>
      </c>
      <c r="F12" s="791" t="s">
        <v>1130</v>
      </c>
      <c r="G12" s="792">
        <v>10</v>
      </c>
    </row>
    <row r="13" spans="2:7">
      <c r="B13" s="782"/>
      <c r="C13" s="781" t="s">
        <v>1133</v>
      </c>
      <c r="D13" s="782" t="s">
        <v>1129</v>
      </c>
      <c r="E13" s="790">
        <v>27000</v>
      </c>
      <c r="F13" s="791" t="s">
        <v>1130</v>
      </c>
      <c r="G13" s="792">
        <v>7</v>
      </c>
    </row>
    <row r="14" spans="2:7">
      <c r="B14" s="782"/>
      <c r="C14" s="781" t="s">
        <v>1134</v>
      </c>
      <c r="D14" s="782" t="s">
        <v>1129</v>
      </c>
      <c r="E14" s="790">
        <f>198.63+188.86</f>
        <v>387.49</v>
      </c>
      <c r="F14" s="791" t="s">
        <v>1135</v>
      </c>
      <c r="G14" s="792">
        <v>5</v>
      </c>
    </row>
    <row r="15" spans="2:7">
      <c r="B15" s="782"/>
      <c r="C15" s="781" t="s">
        <v>1136</v>
      </c>
      <c r="D15" s="782" t="s">
        <v>1129</v>
      </c>
      <c r="E15" s="790">
        <v>568500</v>
      </c>
      <c r="F15" s="791" t="s">
        <v>1137</v>
      </c>
      <c r="G15" s="792">
        <v>7</v>
      </c>
    </row>
    <row r="16" spans="2:7">
      <c r="B16" s="782"/>
      <c r="C16" s="781" t="s">
        <v>1138</v>
      </c>
      <c r="D16" s="782" t="s">
        <v>1129</v>
      </c>
      <c r="E16" s="790">
        <v>584446</v>
      </c>
      <c r="F16" s="791" t="s">
        <v>1139</v>
      </c>
      <c r="G16" s="792">
        <v>7</v>
      </c>
    </row>
    <row r="17" spans="2:7">
      <c r="B17" s="782"/>
      <c r="C17" s="781" t="s">
        <v>1140</v>
      </c>
      <c r="D17" s="782" t="s">
        <v>1129</v>
      </c>
      <c r="E17" s="790">
        <v>536009</v>
      </c>
      <c r="F17" s="791" t="s">
        <v>1141</v>
      </c>
      <c r="G17" s="792">
        <v>7</v>
      </c>
    </row>
    <row r="18" spans="2:7">
      <c r="B18" s="782"/>
      <c r="C18" s="781" t="s">
        <v>1142</v>
      </c>
      <c r="D18" s="782" t="s">
        <v>1129</v>
      </c>
      <c r="E18" s="790">
        <v>312246.11</v>
      </c>
      <c r="F18" s="791" t="s">
        <v>1143</v>
      </c>
      <c r="G18" s="792">
        <v>7</v>
      </c>
    </row>
    <row r="19" spans="2:7">
      <c r="B19" s="782"/>
      <c r="C19" s="781" t="s">
        <v>1144</v>
      </c>
      <c r="D19" s="782" t="s">
        <v>1129</v>
      </c>
      <c r="E19" s="790">
        <v>13808.42</v>
      </c>
      <c r="F19" s="791" t="s">
        <v>1546</v>
      </c>
      <c r="G19" s="792">
        <v>7</v>
      </c>
    </row>
    <row r="20" spans="2:7">
      <c r="B20" s="782"/>
      <c r="C20" s="781" t="s">
        <v>1145</v>
      </c>
      <c r="D20" s="782" t="s">
        <v>1129</v>
      </c>
      <c r="E20" s="790">
        <v>1357.63</v>
      </c>
      <c r="F20" s="791" t="s">
        <v>1130</v>
      </c>
      <c r="G20" s="792">
        <v>5</v>
      </c>
    </row>
    <row r="21" spans="2:7">
      <c r="B21" s="782"/>
      <c r="C21" s="781" t="s">
        <v>1146</v>
      </c>
      <c r="D21" s="782" t="s">
        <v>1129</v>
      </c>
      <c r="E21" s="790">
        <v>592.25</v>
      </c>
      <c r="F21" s="791" t="s">
        <v>1130</v>
      </c>
      <c r="G21" s="792">
        <v>5</v>
      </c>
    </row>
    <row r="22" spans="2:7">
      <c r="B22" s="782"/>
      <c r="C22" s="781" t="s">
        <v>1147</v>
      </c>
      <c r="D22" s="782" t="s">
        <v>1129</v>
      </c>
      <c r="E22" s="790">
        <v>549</v>
      </c>
      <c r="F22" s="791" t="s">
        <v>1130</v>
      </c>
      <c r="G22" s="792">
        <v>5</v>
      </c>
    </row>
    <row r="23" spans="2:7">
      <c r="B23" s="782"/>
      <c r="C23" s="781" t="s">
        <v>1148</v>
      </c>
      <c r="D23" s="782" t="s">
        <v>1129</v>
      </c>
      <c r="E23" s="790">
        <v>30000</v>
      </c>
      <c r="F23" s="791" t="s">
        <v>1149</v>
      </c>
      <c r="G23" s="792">
        <v>5</v>
      </c>
    </row>
    <row r="24" spans="2:7">
      <c r="B24" s="782"/>
      <c r="C24" s="781" t="s">
        <v>1150</v>
      </c>
      <c r="D24" s="782" t="s">
        <v>1129</v>
      </c>
      <c r="E24" s="790">
        <v>219.8</v>
      </c>
      <c r="F24" s="791" t="s">
        <v>1130</v>
      </c>
      <c r="G24" s="792">
        <v>5</v>
      </c>
    </row>
    <row r="25" spans="2:7">
      <c r="B25" s="782"/>
      <c r="C25" s="781" t="s">
        <v>1151</v>
      </c>
      <c r="D25" s="782" t="s">
        <v>1129</v>
      </c>
      <c r="E25" s="790">
        <v>399900</v>
      </c>
      <c r="F25" s="791" t="s">
        <v>1152</v>
      </c>
      <c r="G25" s="792">
        <v>10</v>
      </c>
    </row>
    <row r="26" spans="2:7">
      <c r="B26" s="782"/>
      <c r="C26" s="781" t="s">
        <v>1153</v>
      </c>
      <c r="D26" s="782" t="s">
        <v>1129</v>
      </c>
      <c r="E26" s="790">
        <v>21160</v>
      </c>
      <c r="F26" s="791" t="s">
        <v>1154</v>
      </c>
      <c r="G26" s="792">
        <v>4</v>
      </c>
    </row>
    <row r="27" spans="2:7">
      <c r="B27" s="782"/>
      <c r="C27" s="781" t="s">
        <v>1155</v>
      </c>
      <c r="D27" s="782" t="s">
        <v>1129</v>
      </c>
      <c r="E27" s="790">
        <f>70000*1.0787044</f>
        <v>75509.30799999999</v>
      </c>
      <c r="F27" s="791" t="s">
        <v>1130</v>
      </c>
      <c r="G27" s="792">
        <v>7</v>
      </c>
    </row>
    <row r="28" spans="2:7">
      <c r="B28" s="782"/>
      <c r="C28" s="781" t="s">
        <v>1156</v>
      </c>
      <c r="D28" s="782" t="s">
        <v>1129</v>
      </c>
      <c r="E28" s="790">
        <v>80219.759999999995</v>
      </c>
      <c r="F28" s="791" t="s">
        <v>1130</v>
      </c>
      <c r="G28" s="792">
        <v>7</v>
      </c>
    </row>
    <row r="29" spans="2:7">
      <c r="B29" s="782"/>
      <c r="C29" s="781" t="s">
        <v>1157</v>
      </c>
      <c r="D29" s="782" t="s">
        <v>1129</v>
      </c>
      <c r="E29" s="790">
        <v>386576.85</v>
      </c>
      <c r="F29" s="791" t="s">
        <v>1130</v>
      </c>
      <c r="G29" s="792"/>
    </row>
    <row r="30" spans="2:7">
      <c r="B30" s="782"/>
      <c r="C30" s="781" t="s">
        <v>1158</v>
      </c>
      <c r="D30" s="782" t="s">
        <v>1129</v>
      </c>
      <c r="E30" s="790">
        <v>140000</v>
      </c>
      <c r="F30" s="791" t="s">
        <v>1130</v>
      </c>
      <c r="G30" s="792">
        <v>7</v>
      </c>
    </row>
    <row r="31" spans="2:7">
      <c r="B31" s="782"/>
      <c r="C31" s="781" t="s">
        <v>1159</v>
      </c>
      <c r="D31" s="782" t="s">
        <v>1129</v>
      </c>
      <c r="E31" s="790">
        <v>3490</v>
      </c>
      <c r="F31" s="791" t="s">
        <v>1160</v>
      </c>
      <c r="G31" s="792">
        <v>10</v>
      </c>
    </row>
    <row r="32" spans="2:7">
      <c r="B32" s="782"/>
      <c r="C32" s="781" t="s">
        <v>811</v>
      </c>
      <c r="D32" s="782" t="s">
        <v>1129</v>
      </c>
      <c r="E32" s="790">
        <f>107*2+229+401+1798+250</f>
        <v>2892</v>
      </c>
      <c r="F32" s="791" t="s">
        <v>1130</v>
      </c>
      <c r="G32" s="792">
        <v>7</v>
      </c>
    </row>
    <row r="33" spans="2:7">
      <c r="B33" s="782"/>
      <c r="C33" s="781" t="s">
        <v>1161</v>
      </c>
      <c r="D33" s="782" t="s">
        <v>1129</v>
      </c>
      <c r="E33" s="790">
        <v>1399</v>
      </c>
      <c r="F33" s="791" t="s">
        <v>1130</v>
      </c>
      <c r="G33" s="792">
        <v>10</v>
      </c>
    </row>
    <row r="34" spans="2:7">
      <c r="B34" s="785" t="s">
        <v>1162</v>
      </c>
      <c r="C34" s="775"/>
      <c r="D34" s="786"/>
      <c r="E34" s="787"/>
      <c r="F34" s="788"/>
      <c r="G34" s="789"/>
    </row>
    <row r="35" spans="2:7">
      <c r="B35" s="782"/>
      <c r="C35" s="793" t="s">
        <v>1163</v>
      </c>
      <c r="D35" s="791" t="s">
        <v>1129</v>
      </c>
      <c r="E35" s="790">
        <f>78.82+12.12</f>
        <v>90.94</v>
      </c>
      <c r="F35" s="791" t="s">
        <v>1164</v>
      </c>
      <c r="G35" s="792"/>
    </row>
    <row r="36" spans="2:7">
      <c r="B36" s="782"/>
      <c r="C36" s="793" t="s">
        <v>1165</v>
      </c>
      <c r="D36" s="791" t="s">
        <v>1166</v>
      </c>
      <c r="E36" s="790">
        <v>4.5</v>
      </c>
      <c r="F36" s="791" t="s">
        <v>1130</v>
      </c>
      <c r="G36" s="792"/>
    </row>
    <row r="37" spans="2:7">
      <c r="B37" s="782"/>
      <c r="C37" s="793" t="s">
        <v>1167</v>
      </c>
      <c r="D37" s="791" t="s">
        <v>1166</v>
      </c>
      <c r="E37" s="783">
        <v>7.51</v>
      </c>
      <c r="F37" s="791" t="s">
        <v>1482</v>
      </c>
      <c r="G37" s="792"/>
    </row>
    <row r="38" spans="2:7">
      <c r="B38" s="782"/>
      <c r="C38" s="793" t="s">
        <v>1168</v>
      </c>
      <c r="D38" s="791" t="s">
        <v>1169</v>
      </c>
      <c r="E38" s="783">
        <v>0.96</v>
      </c>
      <c r="F38" s="791" t="s">
        <v>1130</v>
      </c>
      <c r="G38" s="792"/>
    </row>
    <row r="39" spans="2:7">
      <c r="B39" s="782"/>
      <c r="C39" s="793" t="s">
        <v>1170</v>
      </c>
      <c r="D39" s="791" t="s">
        <v>1166</v>
      </c>
      <c r="E39" s="783">
        <f>38*2</f>
        <v>76</v>
      </c>
      <c r="F39" s="791" t="s">
        <v>1130</v>
      </c>
      <c r="G39" s="792"/>
    </row>
    <row r="40" spans="2:7">
      <c r="B40" s="782"/>
      <c r="C40" s="793" t="s">
        <v>1171</v>
      </c>
      <c r="D40" s="791" t="s">
        <v>1166</v>
      </c>
      <c r="E40" s="783">
        <v>6.88</v>
      </c>
      <c r="F40" s="791" t="s">
        <v>1482</v>
      </c>
      <c r="G40" s="792"/>
    </row>
    <row r="41" spans="2:7">
      <c r="B41" s="782"/>
      <c r="C41" s="793" t="s">
        <v>1172</v>
      </c>
      <c r="D41" s="791" t="s">
        <v>1166</v>
      </c>
      <c r="E41" s="790">
        <v>55</v>
      </c>
      <c r="F41" s="791" t="s">
        <v>1130</v>
      </c>
      <c r="G41" s="792"/>
    </row>
    <row r="42" spans="2:7">
      <c r="B42" s="782"/>
      <c r="C42" s="793" t="s">
        <v>1173</v>
      </c>
      <c r="D42" s="791" t="s">
        <v>1129</v>
      </c>
      <c r="E42" s="790">
        <v>30</v>
      </c>
      <c r="F42" s="791" t="s">
        <v>1130</v>
      </c>
      <c r="G42" s="792"/>
    </row>
    <row r="43" spans="2:7">
      <c r="B43" s="782"/>
      <c r="C43" s="793" t="s">
        <v>1174</v>
      </c>
      <c r="D43" s="791" t="s">
        <v>1129</v>
      </c>
      <c r="E43" s="790">
        <v>25</v>
      </c>
      <c r="F43" s="791" t="s">
        <v>1130</v>
      </c>
      <c r="G43" s="792"/>
    </row>
    <row r="44" spans="2:7">
      <c r="B44" s="782"/>
      <c r="C44" s="793" t="s">
        <v>1175</v>
      </c>
      <c r="D44" s="791" t="s">
        <v>1129</v>
      </c>
      <c r="E44" s="790">
        <v>300</v>
      </c>
      <c r="F44" s="791" t="s">
        <v>1130</v>
      </c>
      <c r="G44" s="792"/>
    </row>
    <row r="45" spans="2:7">
      <c r="B45" s="782"/>
      <c r="C45" s="793" t="s">
        <v>1176</v>
      </c>
      <c r="D45" s="791" t="s">
        <v>1129</v>
      </c>
      <c r="E45" s="790">
        <v>60</v>
      </c>
      <c r="F45" s="791" t="s">
        <v>1130</v>
      </c>
      <c r="G45" s="792"/>
    </row>
    <row r="46" spans="2:7">
      <c r="B46" s="782"/>
      <c r="C46" s="793" t="s">
        <v>916</v>
      </c>
      <c r="D46" s="791" t="s">
        <v>1129</v>
      </c>
      <c r="E46" s="790">
        <v>149.37</v>
      </c>
      <c r="F46" s="791" t="s">
        <v>1483</v>
      </c>
      <c r="G46" s="792"/>
    </row>
    <row r="47" spans="2:7">
      <c r="B47" s="782"/>
      <c r="C47" s="793" t="s">
        <v>1177</v>
      </c>
      <c r="D47" s="791" t="s">
        <v>1129</v>
      </c>
      <c r="E47" s="790">
        <v>544</v>
      </c>
      <c r="F47" s="791" t="s">
        <v>1130</v>
      </c>
      <c r="G47" s="792"/>
    </row>
    <row r="48" spans="2:7">
      <c r="B48" s="782"/>
      <c r="C48" s="793" t="s">
        <v>1178</v>
      </c>
      <c r="D48" s="791" t="s">
        <v>1129</v>
      </c>
      <c r="E48" s="790">
        <v>1649</v>
      </c>
      <c r="F48" s="791" t="s">
        <v>1130</v>
      </c>
      <c r="G48" s="792"/>
    </row>
    <row r="49" spans="2:7">
      <c r="B49" s="782"/>
      <c r="C49" s="793" t="s">
        <v>1179</v>
      </c>
      <c r="D49" s="791" t="s">
        <v>1129</v>
      </c>
      <c r="E49" s="790">
        <v>2620</v>
      </c>
      <c r="F49" s="791" t="s">
        <v>1130</v>
      </c>
      <c r="G49" s="792"/>
    </row>
    <row r="50" spans="2:7">
      <c r="B50" s="782"/>
      <c r="C50" s="793" t="s">
        <v>1180</v>
      </c>
      <c r="D50" s="791" t="s">
        <v>1129</v>
      </c>
      <c r="E50" s="790">
        <v>750</v>
      </c>
      <c r="F50" s="791" t="s">
        <v>1130</v>
      </c>
      <c r="G50" s="792"/>
    </row>
    <row r="51" spans="2:7">
      <c r="B51" s="782"/>
      <c r="C51" s="795" t="s">
        <v>1181</v>
      </c>
      <c r="D51" s="791" t="s">
        <v>1129</v>
      </c>
      <c r="E51" s="790">
        <v>275</v>
      </c>
      <c r="F51" s="791" t="s">
        <v>1130</v>
      </c>
      <c r="G51" s="792"/>
    </row>
    <row r="52" spans="2:7">
      <c r="B52" s="782"/>
      <c r="C52" s="795" t="s">
        <v>1182</v>
      </c>
      <c r="D52" s="791" t="s">
        <v>1129</v>
      </c>
      <c r="E52" s="790">
        <v>1544</v>
      </c>
      <c r="F52" s="791" t="s">
        <v>1130</v>
      </c>
      <c r="G52" s="792"/>
    </row>
    <row r="53" spans="2:7">
      <c r="B53" s="782"/>
      <c r="C53" s="793" t="s">
        <v>1183</v>
      </c>
      <c r="D53" s="791" t="s">
        <v>1129</v>
      </c>
      <c r="E53" s="790">
        <v>276.43</v>
      </c>
      <c r="F53" s="791" t="s">
        <v>1164</v>
      </c>
      <c r="G53" s="792"/>
    </row>
    <row r="54" spans="2:7">
      <c r="B54" s="785" t="s">
        <v>1184</v>
      </c>
      <c r="C54" s="775"/>
      <c r="D54" s="786"/>
      <c r="E54" s="787"/>
      <c r="F54" s="788"/>
      <c r="G54" s="789"/>
    </row>
    <row r="55" spans="2:7">
      <c r="B55" s="782"/>
      <c r="C55" s="794" t="s">
        <v>1185</v>
      </c>
      <c r="D55" s="791" t="s">
        <v>1129</v>
      </c>
      <c r="E55" s="790">
        <v>0.22</v>
      </c>
      <c r="F55" s="791" t="s">
        <v>1130</v>
      </c>
      <c r="G55" s="792"/>
    </row>
    <row r="56" spans="2:7">
      <c r="B56" s="782"/>
      <c r="C56" s="781" t="s">
        <v>975</v>
      </c>
      <c r="D56" s="782" t="s">
        <v>1129</v>
      </c>
      <c r="E56" s="783">
        <v>13</v>
      </c>
      <c r="F56" s="782" t="s">
        <v>1130</v>
      </c>
      <c r="G56" s="792"/>
    </row>
    <row r="57" spans="2:7" s="798" customFormat="1">
      <c r="B57" s="796"/>
      <c r="C57" s="781" t="s">
        <v>977</v>
      </c>
      <c r="D57" s="782" t="s">
        <v>1129</v>
      </c>
      <c r="E57" s="783">
        <v>212.9</v>
      </c>
      <c r="F57" s="782" t="s">
        <v>1130</v>
      </c>
      <c r="G57" s="797"/>
    </row>
    <row r="58" spans="2:7" s="799" customFormat="1">
      <c r="B58" s="782"/>
      <c r="C58" s="781" t="s">
        <v>1186</v>
      </c>
      <c r="D58" s="782" t="s">
        <v>1129</v>
      </c>
      <c r="E58" s="783">
        <v>1160.9100000000001</v>
      </c>
      <c r="F58" s="782" t="s">
        <v>1130</v>
      </c>
      <c r="G58" s="792"/>
    </row>
    <row r="59" spans="2:7">
      <c r="B59" s="782"/>
      <c r="C59" s="800" t="s">
        <v>1187</v>
      </c>
      <c r="D59" s="782" t="s">
        <v>1129</v>
      </c>
      <c r="E59" s="783">
        <v>22.59</v>
      </c>
      <c r="F59" s="782" t="s">
        <v>1188</v>
      </c>
      <c r="G59" s="792"/>
    </row>
    <row r="60" spans="2:7">
      <c r="B60" s="782"/>
      <c r="C60" s="801" t="s">
        <v>1189</v>
      </c>
      <c r="D60" s="782" t="s">
        <v>1129</v>
      </c>
      <c r="E60" s="783">
        <v>550</v>
      </c>
      <c r="F60" s="782" t="s">
        <v>1149</v>
      </c>
      <c r="G60" s="792"/>
    </row>
    <row r="61" spans="2:7">
      <c r="B61" s="782"/>
      <c r="C61" s="781" t="s">
        <v>974</v>
      </c>
      <c r="D61" s="782" t="s">
        <v>1129</v>
      </c>
      <c r="E61" s="783">
        <v>62.4</v>
      </c>
      <c r="F61" s="782" t="s">
        <v>1130</v>
      </c>
      <c r="G61" s="792"/>
    </row>
    <row r="62" spans="2:7" s="799" customFormat="1">
      <c r="B62" s="782"/>
      <c r="C62" s="801" t="s">
        <v>1036</v>
      </c>
      <c r="D62" s="782" t="s">
        <v>1129</v>
      </c>
      <c r="E62" s="783">
        <v>1100</v>
      </c>
      <c r="F62" s="782" t="s">
        <v>1130</v>
      </c>
      <c r="G62" s="792"/>
    </row>
    <row r="63" spans="2:7">
      <c r="B63" s="782"/>
      <c r="C63" s="781" t="s">
        <v>1190</v>
      </c>
      <c r="D63" s="782" t="s">
        <v>1129</v>
      </c>
      <c r="E63" s="783">
        <v>58.9</v>
      </c>
      <c r="F63" s="782" t="s">
        <v>1130</v>
      </c>
      <c r="G63" s="792"/>
    </row>
    <row r="64" spans="2:7">
      <c r="B64" s="782"/>
      <c r="C64" s="802" t="s">
        <v>1191</v>
      </c>
      <c r="D64" s="803" t="s">
        <v>1129</v>
      </c>
      <c r="E64" s="783">
        <v>0.96</v>
      </c>
      <c r="F64" s="782" t="s">
        <v>1130</v>
      </c>
      <c r="G64" s="792"/>
    </row>
    <row r="65" spans="2:7" s="798" customFormat="1">
      <c r="B65" s="796"/>
      <c r="C65" s="805" t="s">
        <v>973</v>
      </c>
      <c r="D65" s="782" t="s">
        <v>1129</v>
      </c>
      <c r="E65" s="783">
        <v>60</v>
      </c>
      <c r="F65" s="782" t="s">
        <v>1130</v>
      </c>
      <c r="G65" s="797"/>
    </row>
    <row r="66" spans="2:7">
      <c r="B66" s="791"/>
      <c r="C66" s="805" t="s">
        <v>1192</v>
      </c>
      <c r="D66" s="782" t="s">
        <v>1129</v>
      </c>
      <c r="E66" s="783">
        <v>0.43</v>
      </c>
      <c r="F66" s="782" t="s">
        <v>1130</v>
      </c>
      <c r="G66" s="807"/>
    </row>
    <row r="67" spans="2:7" s="798" customFormat="1">
      <c r="B67" s="796"/>
      <c r="C67" s="805" t="s">
        <v>1193</v>
      </c>
      <c r="D67" s="782" t="s">
        <v>1129</v>
      </c>
      <c r="E67" s="783">
        <f>44/100</f>
        <v>0.44</v>
      </c>
      <c r="F67" s="782" t="s">
        <v>1130</v>
      </c>
      <c r="G67" s="797"/>
    </row>
    <row r="68" spans="2:7" s="798" customFormat="1">
      <c r="B68" s="796"/>
      <c r="C68" s="805" t="s">
        <v>1194</v>
      </c>
      <c r="D68" s="782" t="s">
        <v>1129</v>
      </c>
      <c r="E68" s="783">
        <v>23</v>
      </c>
      <c r="F68" s="782" t="s">
        <v>1130</v>
      </c>
      <c r="G68" s="797"/>
    </row>
    <row r="69" spans="2:7">
      <c r="B69" s="785" t="s">
        <v>1195</v>
      </c>
      <c r="C69" s="775"/>
      <c r="D69" s="786"/>
      <c r="E69" s="787"/>
      <c r="F69" s="788"/>
      <c r="G69" s="789"/>
    </row>
    <row r="70" spans="2:7">
      <c r="B70" s="782"/>
      <c r="C70" s="781" t="s">
        <v>1196</v>
      </c>
      <c r="D70" s="782" t="s">
        <v>1129</v>
      </c>
      <c r="E70" s="783">
        <v>40.98</v>
      </c>
      <c r="F70" s="782" t="s">
        <v>1130</v>
      </c>
      <c r="G70" s="792"/>
    </row>
    <row r="71" spans="2:7">
      <c r="B71" s="782"/>
      <c r="C71" s="781" t="s">
        <v>1197</v>
      </c>
      <c r="D71" s="782" t="s">
        <v>1129</v>
      </c>
      <c r="E71" s="783">
        <v>22.04</v>
      </c>
      <c r="F71" s="782" t="s">
        <v>1130</v>
      </c>
      <c r="G71" s="792"/>
    </row>
    <row r="72" spans="2:7">
      <c r="B72" s="782"/>
      <c r="C72" s="781" t="s">
        <v>1198</v>
      </c>
      <c r="D72" s="782" t="s">
        <v>1129</v>
      </c>
      <c r="E72" s="783">
        <v>17.13</v>
      </c>
      <c r="F72" s="782" t="s">
        <v>1130</v>
      </c>
      <c r="G72" s="792"/>
    </row>
    <row r="73" spans="2:7">
      <c r="B73" s="782"/>
      <c r="C73" s="781" t="s">
        <v>1199</v>
      </c>
      <c r="D73" s="782" t="s">
        <v>1129</v>
      </c>
      <c r="E73" s="783">
        <v>56</v>
      </c>
      <c r="F73" s="782" t="s">
        <v>1130</v>
      </c>
      <c r="G73" s="792"/>
    </row>
    <row r="74" spans="2:7">
      <c r="B74" s="782"/>
      <c r="C74" s="781" t="s">
        <v>1200</v>
      </c>
      <c r="D74" s="782" t="s">
        <v>1129</v>
      </c>
      <c r="E74" s="783">
        <v>300.29000000000002</v>
      </c>
      <c r="F74" s="782" t="s">
        <v>1130</v>
      </c>
      <c r="G74" s="792"/>
    </row>
    <row r="75" spans="2:7">
      <c r="B75" s="782"/>
      <c r="C75" s="781" t="s">
        <v>1201</v>
      </c>
      <c r="D75" s="782" t="s">
        <v>1129</v>
      </c>
      <c r="E75" s="783">
        <v>68.900000000000006</v>
      </c>
      <c r="F75" s="782" t="s">
        <v>1130</v>
      </c>
      <c r="G75" s="792"/>
    </row>
    <row r="76" spans="2:7">
      <c r="B76" s="782"/>
      <c r="C76" s="781" t="s">
        <v>1202</v>
      </c>
      <c r="D76" s="782" t="s">
        <v>1129</v>
      </c>
      <c r="E76" s="783">
        <v>54.9</v>
      </c>
      <c r="F76" s="782" t="s">
        <v>1130</v>
      </c>
      <c r="G76" s="792"/>
    </row>
    <row r="77" spans="2:7">
      <c r="B77" s="782"/>
      <c r="C77" s="781" t="s">
        <v>1203</v>
      </c>
      <c r="D77" s="782" t="s">
        <v>1129</v>
      </c>
      <c r="E77" s="783">
        <v>64.900000000000006</v>
      </c>
      <c r="F77" s="782" t="s">
        <v>1130</v>
      </c>
      <c r="G77" s="792"/>
    </row>
    <row r="78" spans="2:7">
      <c r="B78" s="782"/>
      <c r="C78" s="781" t="s">
        <v>1204</v>
      </c>
      <c r="D78" s="782" t="s">
        <v>1129</v>
      </c>
      <c r="E78" s="783">
        <v>84.99</v>
      </c>
      <c r="F78" s="782" t="s">
        <v>1205</v>
      </c>
      <c r="G78" s="792"/>
    </row>
    <row r="79" spans="2:7">
      <c r="B79" s="782"/>
      <c r="C79" s="781" t="s">
        <v>1206</v>
      </c>
      <c r="D79" s="782" t="s">
        <v>1129</v>
      </c>
      <c r="E79" s="783">
        <v>81.7</v>
      </c>
      <c r="F79" s="782" t="s">
        <v>1207</v>
      </c>
      <c r="G79" s="792"/>
    </row>
    <row r="80" spans="2:7">
      <c r="B80" s="782"/>
      <c r="C80" s="781" t="s">
        <v>1208</v>
      </c>
      <c r="D80" s="782" t="s">
        <v>1129</v>
      </c>
      <c r="E80" s="783">
        <v>72.11</v>
      </c>
      <c r="F80" s="782" t="s">
        <v>1130</v>
      </c>
      <c r="G80" s="792"/>
    </row>
    <row r="81" spans="2:7">
      <c r="B81" s="782"/>
      <c r="C81" s="781" t="s">
        <v>1209</v>
      </c>
      <c r="D81" s="782" t="s">
        <v>1129</v>
      </c>
      <c r="E81" s="783">
        <v>32.78</v>
      </c>
      <c r="F81" s="782" t="s">
        <v>1130</v>
      </c>
      <c r="G81" s="792"/>
    </row>
    <row r="82" spans="2:7">
      <c r="B82" s="782"/>
      <c r="C82" s="781" t="s">
        <v>1210</v>
      </c>
      <c r="D82" s="782" t="s">
        <v>1129</v>
      </c>
      <c r="E82" s="783">
        <v>29.56</v>
      </c>
      <c r="F82" s="782" t="s">
        <v>1130</v>
      </c>
      <c r="G82" s="792"/>
    </row>
    <row r="83" spans="2:7">
      <c r="B83" s="782"/>
      <c r="C83" s="781" t="s">
        <v>1211</v>
      </c>
      <c r="D83" s="782" t="s">
        <v>1129</v>
      </c>
      <c r="E83" s="783">
        <v>39.950000000000003</v>
      </c>
      <c r="F83" s="782" t="s">
        <v>1130</v>
      </c>
      <c r="G83" s="792"/>
    </row>
    <row r="84" spans="2:7">
      <c r="B84" s="782"/>
      <c r="C84" s="781" t="s">
        <v>1212</v>
      </c>
      <c r="D84" s="782" t="s">
        <v>1129</v>
      </c>
      <c r="E84" s="783">
        <v>39.950000000000003</v>
      </c>
      <c r="F84" s="782" t="s">
        <v>1130</v>
      </c>
      <c r="G84" s="792"/>
    </row>
    <row r="85" spans="2:7">
      <c r="B85" s="782"/>
      <c r="C85" s="781" t="s">
        <v>1213</v>
      </c>
      <c r="D85" s="782" t="s">
        <v>1129</v>
      </c>
      <c r="E85" s="783">
        <v>53.5</v>
      </c>
      <c r="F85" s="782" t="s">
        <v>1130</v>
      </c>
      <c r="G85" s="792"/>
    </row>
    <row r="86" spans="2:7">
      <c r="B86" s="782"/>
      <c r="C86" s="781" t="s">
        <v>1214</v>
      </c>
      <c r="D86" s="782" t="s">
        <v>1129</v>
      </c>
      <c r="E86" s="783">
        <v>259</v>
      </c>
      <c r="F86" s="782" t="s">
        <v>1130</v>
      </c>
      <c r="G86" s="792"/>
    </row>
    <row r="87" spans="2:7">
      <c r="B87" s="782"/>
      <c r="C87" s="781" t="s">
        <v>1215</v>
      </c>
      <c r="D87" s="782" t="s">
        <v>1129</v>
      </c>
      <c r="E87" s="783">
        <v>103.25</v>
      </c>
      <c r="F87" s="782" t="s">
        <v>1130</v>
      </c>
      <c r="G87" s="792"/>
    </row>
    <row r="88" spans="2:7">
      <c r="B88" s="782"/>
      <c r="C88" s="781" t="s">
        <v>1216</v>
      </c>
      <c r="D88" s="782" t="s">
        <v>1129</v>
      </c>
      <c r="E88" s="783">
        <v>219</v>
      </c>
      <c r="F88" s="782" t="s">
        <v>1130</v>
      </c>
      <c r="G88" s="792"/>
    </row>
    <row r="89" spans="2:7">
      <c r="B89" s="782"/>
      <c r="C89" s="781" t="s">
        <v>1217</v>
      </c>
      <c r="D89" s="782" t="s">
        <v>1129</v>
      </c>
      <c r="E89" s="783">
        <f>48.55+85.92</f>
        <v>134.47</v>
      </c>
      <c r="F89" s="782" t="s">
        <v>1218</v>
      </c>
      <c r="G89" s="792"/>
    </row>
    <row r="90" spans="2:7">
      <c r="B90" s="782"/>
      <c r="C90" s="781" t="s">
        <v>1219</v>
      </c>
      <c r="D90" s="782" t="s">
        <v>1129</v>
      </c>
      <c r="E90" s="783">
        <f>3.76+5.4</f>
        <v>9.16</v>
      </c>
      <c r="F90" s="782" t="s">
        <v>1130</v>
      </c>
      <c r="G90" s="792"/>
    </row>
    <row r="91" spans="2:7">
      <c r="B91" s="782"/>
      <c r="C91" s="781" t="s">
        <v>1220</v>
      </c>
      <c r="D91" s="782" t="s">
        <v>1129</v>
      </c>
      <c r="E91" s="783">
        <v>157.65</v>
      </c>
      <c r="F91" s="782" t="s">
        <v>1130</v>
      </c>
      <c r="G91" s="792"/>
    </row>
    <row r="92" spans="2:7" s="798" customFormat="1">
      <c r="B92" s="796"/>
      <c r="C92" s="781" t="s">
        <v>1221</v>
      </c>
      <c r="D92" s="782" t="s">
        <v>1129</v>
      </c>
      <c r="E92" s="783">
        <v>234</v>
      </c>
      <c r="F92" s="782" t="s">
        <v>1130</v>
      </c>
      <c r="G92" s="797"/>
    </row>
    <row r="93" spans="2:7">
      <c r="B93" s="782"/>
      <c r="C93" s="781" t="s">
        <v>1222</v>
      </c>
      <c r="D93" s="782" t="s">
        <v>1129</v>
      </c>
      <c r="E93" s="783">
        <v>67.900000000000006</v>
      </c>
      <c r="F93" s="782" t="s">
        <v>1130</v>
      </c>
      <c r="G93" s="792"/>
    </row>
    <row r="94" spans="2:7">
      <c r="B94" s="782"/>
      <c r="C94" s="781" t="s">
        <v>1223</v>
      </c>
      <c r="D94" s="782" t="s">
        <v>1129</v>
      </c>
      <c r="E94" s="783">
        <v>64.900000000000006</v>
      </c>
      <c r="F94" s="782" t="s">
        <v>1130</v>
      </c>
      <c r="G94" s="792"/>
    </row>
    <row r="95" spans="2:7">
      <c r="B95" s="782"/>
      <c r="C95" s="781" t="s">
        <v>1224</v>
      </c>
      <c r="D95" s="782" t="s">
        <v>1129</v>
      </c>
      <c r="E95" s="783">
        <v>149.9</v>
      </c>
      <c r="F95" s="782" t="s">
        <v>1130</v>
      </c>
      <c r="G95" s="792"/>
    </row>
    <row r="96" spans="2:7">
      <c r="B96" s="782"/>
      <c r="C96" s="781" t="s">
        <v>1225</v>
      </c>
      <c r="D96" s="782" t="s">
        <v>1129</v>
      </c>
      <c r="E96" s="783">
        <v>356.59</v>
      </c>
      <c r="F96" s="782" t="s">
        <v>1130</v>
      </c>
      <c r="G96" s="792"/>
    </row>
    <row r="97" spans="2:7">
      <c r="B97" s="782"/>
      <c r="C97" s="781" t="s">
        <v>1226</v>
      </c>
      <c r="D97" s="782" t="s">
        <v>1129</v>
      </c>
      <c r="E97" s="783">
        <v>13.16</v>
      </c>
      <c r="F97" s="782" t="s">
        <v>1227</v>
      </c>
      <c r="G97" s="792"/>
    </row>
    <row r="98" spans="2:7">
      <c r="B98" s="782"/>
      <c r="C98" s="781" t="s">
        <v>1228</v>
      </c>
      <c r="D98" s="782" t="s">
        <v>1129</v>
      </c>
      <c r="E98" s="783">
        <v>149</v>
      </c>
      <c r="F98" s="782" t="s">
        <v>1130</v>
      </c>
      <c r="G98" s="792"/>
    </row>
    <row r="99" spans="2:7">
      <c r="B99" s="782"/>
      <c r="C99" s="781" t="s">
        <v>1229</v>
      </c>
      <c r="D99" s="782" t="s">
        <v>1129</v>
      </c>
      <c r="E99" s="783">
        <v>32.9</v>
      </c>
      <c r="F99" s="782" t="s">
        <v>1230</v>
      </c>
      <c r="G99" s="792"/>
    </row>
    <row r="100" spans="2:7">
      <c r="B100" s="782"/>
      <c r="C100" s="781" t="s">
        <v>1231</v>
      </c>
      <c r="D100" s="782" t="s">
        <v>1129</v>
      </c>
      <c r="E100" s="783">
        <v>11.93</v>
      </c>
      <c r="F100" s="782" t="s">
        <v>1232</v>
      </c>
      <c r="G100" s="792"/>
    </row>
    <row r="101" spans="2:7">
      <c r="B101" s="782"/>
      <c r="C101" s="781" t="s">
        <v>1233</v>
      </c>
      <c r="D101" s="782" t="s">
        <v>1129</v>
      </c>
      <c r="E101" s="783">
        <v>10.86</v>
      </c>
      <c r="F101" s="782" t="s">
        <v>1234</v>
      </c>
      <c r="G101" s="792"/>
    </row>
    <row r="102" spans="2:7">
      <c r="B102" s="782"/>
      <c r="C102" s="781" t="s">
        <v>1235</v>
      </c>
      <c r="D102" s="782" t="s">
        <v>1129</v>
      </c>
      <c r="E102" s="783">
        <v>4.7300000000000004</v>
      </c>
      <c r="F102" s="782" t="s">
        <v>1236</v>
      </c>
      <c r="G102" s="792"/>
    </row>
    <row r="103" spans="2:7">
      <c r="B103" s="782"/>
      <c r="C103" s="781" t="s">
        <v>1237</v>
      </c>
      <c r="D103" s="782" t="s">
        <v>1129</v>
      </c>
      <c r="E103" s="783">
        <v>49.32</v>
      </c>
      <c r="F103" s="782" t="s">
        <v>1238</v>
      </c>
      <c r="G103" s="792"/>
    </row>
    <row r="104" spans="2:7">
      <c r="B104" s="782"/>
      <c r="C104" s="781" t="s">
        <v>1239</v>
      </c>
      <c r="D104" s="782" t="s">
        <v>1129</v>
      </c>
      <c r="E104" s="783">
        <v>69.05</v>
      </c>
      <c r="F104" s="782" t="s">
        <v>1130</v>
      </c>
      <c r="G104" s="792"/>
    </row>
    <row r="105" spans="2:7">
      <c r="B105" s="782"/>
      <c r="C105" s="781" t="s">
        <v>1240</v>
      </c>
      <c r="D105" s="782" t="s">
        <v>1129</v>
      </c>
      <c r="E105" s="783">
        <v>3.87</v>
      </c>
      <c r="F105" s="782" t="s">
        <v>1130</v>
      </c>
      <c r="G105" s="792"/>
    </row>
    <row r="106" spans="2:7">
      <c r="B106" s="782"/>
      <c r="C106" s="781" t="s">
        <v>1241</v>
      </c>
      <c r="D106" s="782" t="s">
        <v>1129</v>
      </c>
      <c r="E106" s="783">
        <v>37.049999999999997</v>
      </c>
      <c r="F106" s="782" t="s">
        <v>1242</v>
      </c>
      <c r="G106" s="792"/>
    </row>
    <row r="107" spans="2:7">
      <c r="B107" s="782"/>
      <c r="C107" s="781" t="s">
        <v>1243</v>
      </c>
      <c r="D107" s="782" t="s">
        <v>1129</v>
      </c>
      <c r="E107" s="783">
        <v>13.86</v>
      </c>
      <c r="F107" s="782" t="s">
        <v>1244</v>
      </c>
      <c r="G107" s="792"/>
    </row>
    <row r="108" spans="2:7">
      <c r="B108" s="785" t="s">
        <v>1245</v>
      </c>
      <c r="C108" s="775"/>
      <c r="D108" s="786"/>
      <c r="E108" s="787"/>
      <c r="F108" s="788"/>
      <c r="G108" s="789"/>
    </row>
    <row r="109" spans="2:7" s="799" customFormat="1">
      <c r="B109" s="782"/>
      <c r="C109" s="781" t="s">
        <v>1246</v>
      </c>
      <c r="D109" s="782" t="s">
        <v>1247</v>
      </c>
      <c r="E109" s="783">
        <v>600</v>
      </c>
      <c r="F109" s="782" t="s">
        <v>1248</v>
      </c>
      <c r="G109" s="792"/>
    </row>
    <row r="110" spans="2:7" s="799" customFormat="1">
      <c r="B110" s="782"/>
      <c r="C110" s="781" t="s">
        <v>1249</v>
      </c>
      <c r="D110" s="782" t="s">
        <v>1247</v>
      </c>
      <c r="E110" s="783">
        <v>200</v>
      </c>
      <c r="F110" s="782" t="s">
        <v>1248</v>
      </c>
      <c r="G110" s="792"/>
    </row>
    <row r="111" spans="2:7" s="799" customFormat="1">
      <c r="B111" s="782"/>
      <c r="C111" s="781" t="s">
        <v>1250</v>
      </c>
      <c r="D111" s="782" t="s">
        <v>1247</v>
      </c>
      <c r="E111" s="783">
        <v>3600</v>
      </c>
      <c r="F111" s="782" t="s">
        <v>1248</v>
      </c>
      <c r="G111" s="792"/>
    </row>
    <row r="112" spans="2:7" s="799" customFormat="1">
      <c r="B112" s="782"/>
      <c r="C112" s="781" t="s">
        <v>1251</v>
      </c>
      <c r="D112" s="782" t="s">
        <v>1247</v>
      </c>
      <c r="E112" s="783">
        <v>940</v>
      </c>
      <c r="F112" s="782" t="s">
        <v>1248</v>
      </c>
      <c r="G112" s="792"/>
    </row>
    <row r="113" spans="2:9" s="799" customFormat="1">
      <c r="B113" s="782"/>
      <c r="C113" s="781" t="s">
        <v>1252</v>
      </c>
      <c r="D113" s="782" t="s">
        <v>1247</v>
      </c>
      <c r="E113" s="783">
        <v>150</v>
      </c>
      <c r="F113" s="782" t="s">
        <v>1248</v>
      </c>
      <c r="G113" s="792"/>
      <c r="I113" s="808"/>
    </row>
    <row r="114" spans="2:9" s="799" customFormat="1">
      <c r="B114" s="782"/>
      <c r="C114" s="781" t="s">
        <v>1253</v>
      </c>
      <c r="D114" s="782" t="s">
        <v>1247</v>
      </c>
      <c r="E114" s="783">
        <v>20000</v>
      </c>
      <c r="F114" s="782" t="s">
        <v>1248</v>
      </c>
      <c r="G114" s="792"/>
    </row>
    <row r="115" spans="2:9" s="799" customFormat="1">
      <c r="B115" s="782"/>
      <c r="C115" s="781" t="s">
        <v>1254</v>
      </c>
      <c r="D115" s="782" t="s">
        <v>1247</v>
      </c>
      <c r="E115" s="783">
        <v>600</v>
      </c>
      <c r="F115" s="782" t="s">
        <v>1248</v>
      </c>
      <c r="G115" s="792"/>
      <c r="I115" s="808"/>
    </row>
    <row r="116" spans="2:9" s="799" customFormat="1">
      <c r="B116" s="782"/>
      <c r="C116" s="781" t="s">
        <v>1255</v>
      </c>
      <c r="D116" s="782" t="s">
        <v>1247</v>
      </c>
      <c r="E116" s="783">
        <v>210</v>
      </c>
      <c r="F116" s="782" t="s">
        <v>1248</v>
      </c>
      <c r="G116" s="792"/>
    </row>
    <row r="117" spans="2:9" s="799" customFormat="1">
      <c r="B117" s="782"/>
      <c r="C117" s="781" t="s">
        <v>1256</v>
      </c>
      <c r="D117" s="782" t="s">
        <v>1247</v>
      </c>
      <c r="E117" s="783">
        <v>2500</v>
      </c>
      <c r="F117" s="782" t="s">
        <v>1248</v>
      </c>
      <c r="G117" s="792"/>
    </row>
    <row r="118" spans="2:9" s="799" customFormat="1">
      <c r="B118" s="782"/>
      <c r="C118" s="781" t="s">
        <v>1257</v>
      </c>
      <c r="D118" s="782" t="s">
        <v>1247</v>
      </c>
      <c r="E118" s="783">
        <v>40</v>
      </c>
      <c r="F118" s="782" t="s">
        <v>1248</v>
      </c>
      <c r="G118" s="792"/>
    </row>
    <row r="119" spans="2:9" s="799" customFormat="1">
      <c r="B119" s="782"/>
      <c r="C119" s="781" t="s">
        <v>1258</v>
      </c>
      <c r="D119" s="782" t="s">
        <v>1247</v>
      </c>
      <c r="E119" s="783">
        <v>1200</v>
      </c>
      <c r="F119" s="782" t="s">
        <v>1248</v>
      </c>
      <c r="G119" s="792"/>
      <c r="I119" s="808"/>
    </row>
    <row r="120" spans="2:9" s="798" customFormat="1" ht="16.5" customHeight="1">
      <c r="B120" s="796"/>
      <c r="C120" s="781" t="s">
        <v>1259</v>
      </c>
      <c r="D120" s="782" t="s">
        <v>1129</v>
      </c>
      <c r="E120" s="783">
        <v>172.31</v>
      </c>
      <c r="F120" s="782" t="s">
        <v>1248</v>
      </c>
      <c r="G120" s="792"/>
    </row>
    <row r="121" spans="2:9" s="799" customFormat="1">
      <c r="B121" s="782"/>
      <c r="C121" s="781" t="s">
        <v>1260</v>
      </c>
      <c r="D121" s="782" t="s">
        <v>1247</v>
      </c>
      <c r="E121" s="783">
        <v>300</v>
      </c>
      <c r="F121" s="782" t="s">
        <v>1248</v>
      </c>
      <c r="G121" s="792"/>
    </row>
    <row r="122" spans="2:9" s="799" customFormat="1">
      <c r="B122" s="782"/>
      <c r="C122" s="781" t="s">
        <v>1261</v>
      </c>
      <c r="D122" s="782" t="s">
        <v>1129</v>
      </c>
      <c r="E122" s="783">
        <v>250</v>
      </c>
      <c r="F122" s="782" t="s">
        <v>1248</v>
      </c>
      <c r="G122" s="792"/>
    </row>
    <row r="123" spans="2:9" s="799" customFormat="1">
      <c r="B123" s="782"/>
      <c r="C123" s="781" t="s">
        <v>1262</v>
      </c>
      <c r="D123" s="782" t="s">
        <v>1247</v>
      </c>
      <c r="E123" s="783">
        <v>500</v>
      </c>
      <c r="F123" s="782" t="s">
        <v>1248</v>
      </c>
      <c r="G123" s="792"/>
    </row>
    <row r="124" spans="2:9" s="798" customFormat="1">
      <c r="B124" s="796"/>
      <c r="C124" s="781" t="s">
        <v>1263</v>
      </c>
      <c r="D124" s="782" t="s">
        <v>1129</v>
      </c>
      <c r="E124" s="783">
        <f>(41.95)/12</f>
        <v>3.4958333333333336</v>
      </c>
      <c r="F124" s="782" t="s">
        <v>1248</v>
      </c>
      <c r="G124" s="792"/>
    </row>
    <row r="125" spans="2:9" s="798" customFormat="1">
      <c r="B125" s="796"/>
      <c r="C125" s="781" t="s">
        <v>1264</v>
      </c>
      <c r="D125" s="782" t="s">
        <v>1129</v>
      </c>
      <c r="E125" s="783">
        <f>(41.95+38.8+25.7+28.85)/12</f>
        <v>11.275</v>
      </c>
      <c r="F125" s="782" t="s">
        <v>1248</v>
      </c>
      <c r="G125" s="792"/>
    </row>
    <row r="126" spans="2:9" s="799" customFormat="1">
      <c r="B126" s="782"/>
      <c r="C126" s="781" t="s">
        <v>1265</v>
      </c>
      <c r="D126" s="782" t="s">
        <v>1247</v>
      </c>
      <c r="E126" s="783">
        <v>0.95</v>
      </c>
      <c r="F126" s="782" t="s">
        <v>1248</v>
      </c>
      <c r="G126" s="792">
        <v>5</v>
      </c>
    </row>
    <row r="127" spans="2:9" s="799" customFormat="1" ht="15.9" customHeight="1">
      <c r="B127" s="782"/>
      <c r="C127" s="781" t="s">
        <v>1266</v>
      </c>
      <c r="D127" s="782" t="s">
        <v>1247</v>
      </c>
      <c r="E127" s="783">
        <v>250</v>
      </c>
      <c r="F127" s="782" t="s">
        <v>1248</v>
      </c>
      <c r="G127" s="792"/>
    </row>
    <row r="128" spans="2:9" s="799" customFormat="1" ht="15.9" customHeight="1">
      <c r="B128" s="782"/>
      <c r="C128" s="781" t="s">
        <v>1267</v>
      </c>
      <c r="D128" s="782" t="s">
        <v>1247</v>
      </c>
      <c r="E128" s="783">
        <v>50</v>
      </c>
      <c r="F128" s="782" t="s">
        <v>1248</v>
      </c>
      <c r="G128" s="792"/>
    </row>
    <row r="129" spans="2:9" s="799" customFormat="1" ht="15.9" customHeight="1">
      <c r="B129" s="782"/>
      <c r="C129" s="781" t="s">
        <v>1268</v>
      </c>
      <c r="D129" s="782" t="s">
        <v>1247</v>
      </c>
      <c r="E129" s="783">
        <f>3167.01/12</f>
        <v>263.91750000000002</v>
      </c>
      <c r="F129" s="782" t="s">
        <v>1248</v>
      </c>
      <c r="G129" s="792"/>
    </row>
    <row r="130" spans="2:9" s="799" customFormat="1">
      <c r="B130" s="782"/>
      <c r="C130" s="781" t="s">
        <v>1269</v>
      </c>
      <c r="D130" s="782" t="s">
        <v>1247</v>
      </c>
      <c r="E130" s="783">
        <v>220</v>
      </c>
      <c r="F130" s="782" t="s">
        <v>1248</v>
      </c>
      <c r="G130" s="792"/>
    </row>
    <row r="131" spans="2:9" s="799" customFormat="1">
      <c r="B131" s="782"/>
      <c r="C131" s="781" t="s">
        <v>1270</v>
      </c>
      <c r="D131" s="782" t="s">
        <v>1247</v>
      </c>
      <c r="E131" s="783">
        <v>750</v>
      </c>
      <c r="F131" s="782" t="s">
        <v>1248</v>
      </c>
      <c r="G131" s="792"/>
    </row>
    <row r="132" spans="2:9" s="799" customFormat="1">
      <c r="B132" s="782"/>
      <c r="C132" s="781" t="s">
        <v>1271</v>
      </c>
      <c r="D132" s="782" t="s">
        <v>1247</v>
      </c>
      <c r="E132" s="783">
        <v>200</v>
      </c>
      <c r="F132" s="782" t="s">
        <v>1248</v>
      </c>
      <c r="G132" s="792"/>
    </row>
    <row r="133" spans="2:9" s="799" customFormat="1">
      <c r="B133" s="782"/>
      <c r="C133" s="781" t="s">
        <v>1272</v>
      </c>
      <c r="D133" s="782" t="s">
        <v>1247</v>
      </c>
      <c r="E133" s="806">
        <v>750</v>
      </c>
      <c r="F133" s="782" t="s">
        <v>1248</v>
      </c>
      <c r="G133" s="792"/>
    </row>
    <row r="134" spans="2:9" s="799" customFormat="1">
      <c r="B134" s="782"/>
      <c r="C134" s="781" t="s">
        <v>1273</v>
      </c>
      <c r="D134" s="782" t="s">
        <v>1129</v>
      </c>
      <c r="E134" s="806">
        <v>250</v>
      </c>
      <c r="F134" s="782"/>
      <c r="G134" s="792"/>
    </row>
    <row r="135" spans="2:9" s="798" customFormat="1">
      <c r="B135" s="796"/>
      <c r="C135" s="781" t="s">
        <v>1274</v>
      </c>
      <c r="D135" s="782" t="s">
        <v>1129</v>
      </c>
      <c r="E135" s="783">
        <f>F224</f>
        <v>100899.39</v>
      </c>
      <c r="F135" s="782" t="s">
        <v>1248</v>
      </c>
      <c r="G135" s="792">
        <v>10</v>
      </c>
    </row>
    <row r="136" spans="2:9" s="798" customFormat="1">
      <c r="B136" s="796"/>
      <c r="C136" s="781" t="s">
        <v>1275</v>
      </c>
      <c r="D136" s="782" t="s">
        <v>1129</v>
      </c>
      <c r="E136" s="783">
        <f>F246</f>
        <v>28034.609999999997</v>
      </c>
      <c r="F136" s="782" t="s">
        <v>1248</v>
      </c>
      <c r="G136" s="792">
        <v>10</v>
      </c>
    </row>
    <row r="137" spans="2:9" s="798" customFormat="1" ht="31.2">
      <c r="B137" s="796"/>
      <c r="C137" s="781" t="s">
        <v>1276</v>
      </c>
      <c r="D137" s="782" t="s">
        <v>1129</v>
      </c>
      <c r="E137" s="783">
        <v>5209.8999999999996</v>
      </c>
      <c r="F137" s="809" t="s">
        <v>1277</v>
      </c>
      <c r="G137" s="792">
        <v>5</v>
      </c>
    </row>
    <row r="138" spans="2:9" s="798" customFormat="1">
      <c r="B138" s="796"/>
      <c r="C138" s="781" t="s">
        <v>1278</v>
      </c>
      <c r="D138" s="782" t="s">
        <v>1247</v>
      </c>
      <c r="E138" s="783">
        <v>40</v>
      </c>
      <c r="F138" s="782" t="s">
        <v>1248</v>
      </c>
      <c r="G138" s="792"/>
      <c r="I138" s="810"/>
    </row>
    <row r="139" spans="2:9" s="799" customFormat="1">
      <c r="B139" s="782"/>
      <c r="C139" s="781" t="s">
        <v>1279</v>
      </c>
      <c r="D139" s="782" t="s">
        <v>1247</v>
      </c>
      <c r="E139" s="783">
        <v>150</v>
      </c>
      <c r="F139" s="782" t="s">
        <v>1248</v>
      </c>
      <c r="G139" s="792"/>
    </row>
    <row r="140" spans="2:9" s="799" customFormat="1">
      <c r="B140" s="782"/>
      <c r="C140" s="781" t="s">
        <v>1280</v>
      </c>
      <c r="D140" s="782" t="s">
        <v>1247</v>
      </c>
      <c r="E140" s="783">
        <v>150</v>
      </c>
      <c r="F140" s="782" t="s">
        <v>1248</v>
      </c>
      <c r="G140" s="792"/>
    </row>
    <row r="141" spans="2:9" s="799" customFormat="1">
      <c r="B141" s="782"/>
      <c r="C141" s="781" t="s">
        <v>1281</v>
      </c>
      <c r="D141" s="782" t="s">
        <v>1247</v>
      </c>
      <c r="E141" s="783">
        <v>750</v>
      </c>
      <c r="F141" s="782" t="s">
        <v>1248</v>
      </c>
      <c r="G141" s="792"/>
    </row>
    <row r="142" spans="2:9" s="799" customFormat="1">
      <c r="B142" s="782"/>
      <c r="C142" s="781" t="s">
        <v>1282</v>
      </c>
      <c r="D142" s="782" t="s">
        <v>1129</v>
      </c>
      <c r="E142" s="783">
        <v>20000</v>
      </c>
      <c r="F142" s="782" t="s">
        <v>1248</v>
      </c>
      <c r="G142" s="792">
        <v>5</v>
      </c>
      <c r="H142" s="798"/>
    </row>
    <row r="143" spans="2:9" s="799" customFormat="1">
      <c r="B143" s="782"/>
      <c r="C143" s="781" t="s">
        <v>1283</v>
      </c>
      <c r="D143" s="782" t="s">
        <v>1247</v>
      </c>
      <c r="E143" s="783">
        <v>115</v>
      </c>
      <c r="F143" s="782" t="s">
        <v>1248</v>
      </c>
      <c r="G143" s="792"/>
      <c r="H143" s="798"/>
    </row>
    <row r="144" spans="2:9" s="799" customFormat="1">
      <c r="B144" s="782"/>
      <c r="C144" s="781" t="s">
        <v>1284</v>
      </c>
      <c r="D144" s="782" t="s">
        <v>1247</v>
      </c>
      <c r="E144" s="783">
        <v>23.75</v>
      </c>
      <c r="F144" s="782" t="s">
        <v>1248</v>
      </c>
      <c r="G144" s="792"/>
      <c r="H144" s="798"/>
    </row>
    <row r="145" spans="2:7" s="799" customFormat="1">
      <c r="B145" s="782"/>
      <c r="C145" s="781" t="s">
        <v>1055</v>
      </c>
      <c r="D145" s="782" t="s">
        <v>1247</v>
      </c>
      <c r="E145" s="783">
        <v>1785</v>
      </c>
      <c r="F145" s="782" t="s">
        <v>1248</v>
      </c>
      <c r="G145" s="792"/>
    </row>
    <row r="146" spans="2:7" s="799" customFormat="1">
      <c r="B146" s="782"/>
      <c r="C146" s="781" t="s">
        <v>1285</v>
      </c>
      <c r="D146" s="782" t="s">
        <v>1129</v>
      </c>
      <c r="E146" s="783">
        <v>150000</v>
      </c>
      <c r="F146" s="782" t="s">
        <v>1248</v>
      </c>
      <c r="G146" s="792">
        <v>30</v>
      </c>
    </row>
    <row r="147" spans="2:7" s="799" customFormat="1">
      <c r="B147" s="782"/>
      <c r="C147" s="781" t="s">
        <v>1286</v>
      </c>
      <c r="D147" s="782" t="s">
        <v>1247</v>
      </c>
      <c r="E147" s="783">
        <v>25000</v>
      </c>
      <c r="F147" s="782" t="s">
        <v>1248</v>
      </c>
      <c r="G147" s="792"/>
    </row>
    <row r="148" spans="2:7" s="799" customFormat="1">
      <c r="B148" s="782"/>
      <c r="C148" s="781" t="s">
        <v>1053</v>
      </c>
      <c r="D148" s="782" t="s">
        <v>1247</v>
      </c>
      <c r="E148" s="783">
        <v>1600</v>
      </c>
      <c r="F148" s="782" t="s">
        <v>1248</v>
      </c>
      <c r="G148" s="792"/>
    </row>
    <row r="149" spans="2:7" s="799" customFormat="1">
      <c r="B149" s="782"/>
      <c r="C149" s="781" t="s">
        <v>1287</v>
      </c>
      <c r="D149" s="782" t="s">
        <v>1129</v>
      </c>
      <c r="E149" s="783">
        <v>22600</v>
      </c>
      <c r="F149" s="782" t="s">
        <v>1248</v>
      </c>
      <c r="G149" s="792">
        <v>30</v>
      </c>
    </row>
    <row r="150" spans="2:7" s="799" customFormat="1">
      <c r="B150" s="782"/>
      <c r="C150" s="781" t="s">
        <v>1288</v>
      </c>
      <c r="D150" s="782" t="s">
        <v>1247</v>
      </c>
      <c r="E150" s="783">
        <v>2400</v>
      </c>
      <c r="F150" s="782" t="s">
        <v>1248</v>
      </c>
      <c r="G150" s="792"/>
    </row>
    <row r="151" spans="2:7" s="799" customFormat="1">
      <c r="B151" s="782"/>
      <c r="C151" s="781" t="s">
        <v>1056</v>
      </c>
      <c r="D151" s="782" t="s">
        <v>1129</v>
      </c>
      <c r="E151" s="783">
        <v>130</v>
      </c>
      <c r="F151" s="782" t="s">
        <v>1248</v>
      </c>
      <c r="G151" s="792"/>
    </row>
    <row r="152" spans="2:7" s="799" customFormat="1">
      <c r="B152" s="782"/>
      <c r="C152" s="781" t="s">
        <v>1092</v>
      </c>
      <c r="D152" s="782" t="s">
        <v>1247</v>
      </c>
      <c r="E152" s="783">
        <v>500</v>
      </c>
      <c r="F152" s="782" t="s">
        <v>1248</v>
      </c>
      <c r="G152" s="792"/>
    </row>
    <row r="153" spans="2:7" s="799" customFormat="1">
      <c r="B153" s="782"/>
      <c r="C153" s="781" t="s">
        <v>1289</v>
      </c>
      <c r="D153" s="782" t="s">
        <v>1247</v>
      </c>
      <c r="E153" s="783">
        <v>400</v>
      </c>
      <c r="F153" s="782" t="s">
        <v>1248</v>
      </c>
      <c r="G153" s="792"/>
    </row>
    <row r="154" spans="2:7" s="799" customFormat="1">
      <c r="B154" s="782"/>
      <c r="C154" s="781" t="s">
        <v>1290</v>
      </c>
      <c r="D154" s="782" t="s">
        <v>1247</v>
      </c>
      <c r="E154" s="783">
        <v>400</v>
      </c>
      <c r="F154" s="782" t="s">
        <v>1248</v>
      </c>
      <c r="G154" s="792"/>
    </row>
    <row r="155" spans="2:7" s="799" customFormat="1">
      <c r="B155" s="782"/>
      <c r="C155" s="781" t="s">
        <v>867</v>
      </c>
      <c r="D155" s="782" t="s">
        <v>1129</v>
      </c>
      <c r="E155" s="783">
        <v>455</v>
      </c>
      <c r="F155" s="782" t="s">
        <v>1248</v>
      </c>
      <c r="G155" s="792">
        <v>5</v>
      </c>
    </row>
    <row r="156" spans="2:7" s="799" customFormat="1">
      <c r="B156" s="782"/>
      <c r="C156" s="781" t="s">
        <v>1057</v>
      </c>
      <c r="D156" s="782" t="s">
        <v>1247</v>
      </c>
      <c r="E156" s="783">
        <v>125</v>
      </c>
      <c r="F156" s="782" t="s">
        <v>1248</v>
      </c>
      <c r="G156" s="792"/>
    </row>
    <row r="157" spans="2:7" s="799" customFormat="1">
      <c r="B157" s="782"/>
      <c r="C157" s="781" t="s">
        <v>1070</v>
      </c>
      <c r="D157" s="782" t="s">
        <v>1129</v>
      </c>
      <c r="E157" s="804">
        <v>1.2</v>
      </c>
      <c r="F157" s="782" t="s">
        <v>1248</v>
      </c>
      <c r="G157" s="792"/>
    </row>
    <row r="158" spans="2:7" s="799" customFormat="1">
      <c r="B158" s="782"/>
      <c r="C158" s="781" t="s">
        <v>1073</v>
      </c>
      <c r="D158" s="782" t="s">
        <v>1129</v>
      </c>
      <c r="E158" s="804">
        <v>1.2</v>
      </c>
      <c r="F158" s="782" t="s">
        <v>1248</v>
      </c>
      <c r="G158" s="792"/>
    </row>
    <row r="159" spans="2:7" s="799" customFormat="1">
      <c r="B159" s="782"/>
      <c r="C159" s="781" t="s">
        <v>1074</v>
      </c>
      <c r="D159" s="782" t="s">
        <v>1129</v>
      </c>
      <c r="E159" s="804">
        <v>0.7</v>
      </c>
      <c r="F159" s="782" t="s">
        <v>1248</v>
      </c>
      <c r="G159" s="792"/>
    </row>
    <row r="160" spans="2:7" s="799" customFormat="1">
      <c r="B160" s="782"/>
      <c r="C160" s="781" t="s">
        <v>1075</v>
      </c>
      <c r="D160" s="782" t="s">
        <v>1129</v>
      </c>
      <c r="E160" s="804">
        <v>0.1</v>
      </c>
      <c r="F160" s="782" t="s">
        <v>1248</v>
      </c>
      <c r="G160" s="792"/>
    </row>
    <row r="161" spans="2:10" s="799" customFormat="1">
      <c r="B161" s="782"/>
      <c r="C161" s="781" t="s">
        <v>1076</v>
      </c>
      <c r="D161" s="782" t="s">
        <v>1129</v>
      </c>
      <c r="E161" s="804">
        <v>1.88</v>
      </c>
      <c r="F161" s="782" t="s">
        <v>1248</v>
      </c>
      <c r="G161" s="792"/>
    </row>
    <row r="162" spans="2:10" s="799" customFormat="1">
      <c r="B162" s="782"/>
      <c r="C162" s="781" t="s">
        <v>1077</v>
      </c>
      <c r="D162" s="782" t="s">
        <v>1129</v>
      </c>
      <c r="E162" s="804">
        <v>3.84</v>
      </c>
      <c r="F162" s="782" t="s">
        <v>1248</v>
      </c>
      <c r="G162" s="792"/>
    </row>
    <row r="163" spans="2:10" s="799" customFormat="1">
      <c r="B163" s="782"/>
      <c r="C163" s="781" t="s">
        <v>1291</v>
      </c>
      <c r="D163" s="782" t="s">
        <v>1129</v>
      </c>
      <c r="E163" s="804">
        <v>3.3</v>
      </c>
      <c r="F163" s="782" t="s">
        <v>1248</v>
      </c>
      <c r="G163" s="792"/>
    </row>
    <row r="164" spans="2:10" s="799" customFormat="1">
      <c r="B164" s="782"/>
      <c r="C164" s="781" t="s">
        <v>1079</v>
      </c>
      <c r="D164" s="782" t="s">
        <v>1129</v>
      </c>
      <c r="E164" s="804">
        <v>0.04</v>
      </c>
      <c r="F164" s="782" t="s">
        <v>1248</v>
      </c>
      <c r="G164" s="792"/>
    </row>
    <row r="165" spans="2:10" s="799" customFormat="1">
      <c r="B165" s="782"/>
      <c r="C165" s="781" t="s">
        <v>1080</v>
      </c>
      <c r="D165" s="782" t="s">
        <v>1129</v>
      </c>
      <c r="E165" s="804">
        <f>1.34/12</f>
        <v>0.11166666666666668</v>
      </c>
      <c r="F165" s="782" t="s">
        <v>1248</v>
      </c>
      <c r="G165" s="792"/>
    </row>
    <row r="166" spans="2:10" s="799" customFormat="1">
      <c r="B166" s="782"/>
      <c r="C166" s="781" t="s">
        <v>1081</v>
      </c>
      <c r="D166" s="782" t="s">
        <v>1129</v>
      </c>
      <c r="E166" s="804">
        <v>2.6</v>
      </c>
      <c r="F166" s="782" t="s">
        <v>1248</v>
      </c>
      <c r="G166" s="792"/>
    </row>
    <row r="167" spans="2:10">
      <c r="B167" s="785" t="s">
        <v>1292</v>
      </c>
      <c r="C167" s="775"/>
      <c r="D167" s="786"/>
      <c r="E167" s="787"/>
      <c r="F167" s="788"/>
      <c r="G167" s="789"/>
    </row>
    <row r="168" spans="2:10">
      <c r="B168" s="782"/>
      <c r="C168" s="781" t="s">
        <v>1293</v>
      </c>
      <c r="D168" s="782" t="s">
        <v>1247</v>
      </c>
      <c r="E168" s="783">
        <v>134.76</v>
      </c>
      <c r="F168" s="782" t="s">
        <v>1294</v>
      </c>
      <c r="G168" s="782"/>
    </row>
    <row r="169" spans="2:10">
      <c r="B169" s="782"/>
      <c r="C169" s="781" t="s">
        <v>1295</v>
      </c>
      <c r="D169" s="782" t="s">
        <v>1247</v>
      </c>
      <c r="E169" s="783">
        <v>18900</v>
      </c>
      <c r="F169" s="782" t="s">
        <v>1481</v>
      </c>
      <c r="G169" s="782"/>
      <c r="I169" s="885"/>
    </row>
    <row r="170" spans="2:10">
      <c r="B170" s="782"/>
      <c r="C170" s="781" t="s">
        <v>1296</v>
      </c>
      <c r="D170" s="782" t="s">
        <v>1247</v>
      </c>
      <c r="E170" s="783">
        <v>3620.7521000000002</v>
      </c>
      <c r="F170" s="782" t="s">
        <v>1297</v>
      </c>
      <c r="G170" s="782"/>
      <c r="I170" s="888"/>
      <c r="J170" s="886"/>
    </row>
    <row r="171" spans="2:10">
      <c r="B171" s="782"/>
      <c r="C171" s="781" t="s">
        <v>1298</v>
      </c>
      <c r="D171" s="782" t="s">
        <v>1247</v>
      </c>
      <c r="E171" s="783">
        <v>4034.5523400000002</v>
      </c>
      <c r="F171" s="782" t="s">
        <v>1297</v>
      </c>
      <c r="G171" s="782"/>
      <c r="I171" s="888"/>
      <c r="J171" s="886"/>
    </row>
    <row r="172" spans="2:10">
      <c r="B172" s="782"/>
      <c r="C172" s="781" t="s">
        <v>1299</v>
      </c>
      <c r="D172" s="782" t="s">
        <v>1247</v>
      </c>
      <c r="E172" s="783">
        <v>35832.545567518006</v>
      </c>
      <c r="F172" s="782" t="s">
        <v>1300</v>
      </c>
      <c r="G172" s="782"/>
      <c r="I172" s="888"/>
      <c r="J172" s="886"/>
    </row>
    <row r="173" spans="2:10">
      <c r="B173" s="782"/>
      <c r="C173" s="781" t="s">
        <v>1301</v>
      </c>
      <c r="D173" s="782" t="s">
        <v>1247</v>
      </c>
      <c r="E173" s="783">
        <v>46655.977060000005</v>
      </c>
      <c r="F173" s="782" t="s">
        <v>1300</v>
      </c>
      <c r="G173" s="782"/>
      <c r="I173" s="888"/>
      <c r="J173" s="886"/>
    </row>
    <row r="174" spans="2:10">
      <c r="B174" s="782"/>
      <c r="C174" s="781" t="s">
        <v>1302</v>
      </c>
      <c r="D174" s="782" t="s">
        <v>1247</v>
      </c>
      <c r="E174" s="783">
        <v>1984.1721508000003</v>
      </c>
      <c r="F174" s="782" t="s">
        <v>1130</v>
      </c>
      <c r="G174" s="782"/>
      <c r="I174" s="888"/>
      <c r="J174" s="886"/>
    </row>
    <row r="175" spans="2:10">
      <c r="B175" s="782"/>
      <c r="C175" s="781" t="s">
        <v>1303</v>
      </c>
      <c r="D175" s="782" t="s">
        <v>1304</v>
      </c>
      <c r="E175" s="783">
        <v>233.4</v>
      </c>
      <c r="F175" s="782" t="s">
        <v>1543</v>
      </c>
      <c r="G175" s="782"/>
      <c r="I175" s="888"/>
      <c r="J175" s="886"/>
    </row>
    <row r="176" spans="2:10">
      <c r="B176" s="782"/>
      <c r="C176" s="781" t="s">
        <v>1305</v>
      </c>
      <c r="D176" s="782" t="s">
        <v>1304</v>
      </c>
      <c r="E176" s="783">
        <v>233.4</v>
      </c>
      <c r="F176" s="782" t="s">
        <v>1543</v>
      </c>
      <c r="G176" s="782"/>
      <c r="I176" s="888"/>
      <c r="J176" s="886"/>
    </row>
    <row r="177" spans="2:11">
      <c r="B177" s="782"/>
      <c r="C177" s="781" t="s">
        <v>1306</v>
      </c>
      <c r="D177" s="782" t="s">
        <v>1166</v>
      </c>
      <c r="E177" s="783">
        <v>3.6207521000000003</v>
      </c>
      <c r="F177" s="782" t="s">
        <v>1544</v>
      </c>
      <c r="G177" s="782"/>
      <c r="I177" s="888"/>
      <c r="J177" s="886"/>
    </row>
    <row r="178" spans="2:11">
      <c r="B178" s="785" t="s">
        <v>121</v>
      </c>
      <c r="C178" s="775"/>
      <c r="D178" s="786"/>
      <c r="E178" s="787"/>
      <c r="F178" s="788"/>
      <c r="G178" s="789"/>
    </row>
    <row r="179" spans="2:11">
      <c r="B179" s="782"/>
      <c r="C179" s="780" t="s">
        <v>854</v>
      </c>
      <c r="D179" s="782"/>
      <c r="E179" s="783"/>
      <c r="F179" s="782"/>
      <c r="G179" s="782"/>
    </row>
    <row r="180" spans="2:11" s="798" customFormat="1">
      <c r="B180" s="796"/>
      <c r="C180" s="811" t="s">
        <v>1307</v>
      </c>
      <c r="D180" s="782" t="s">
        <v>1247</v>
      </c>
      <c r="E180" s="783">
        <v>400</v>
      </c>
      <c r="F180" s="782" t="s">
        <v>1248</v>
      </c>
      <c r="G180" s="782"/>
      <c r="I180" s="770"/>
      <c r="K180" s="895"/>
    </row>
    <row r="181" spans="2:11" s="799" customFormat="1">
      <c r="B181" s="782"/>
      <c r="C181" s="811" t="s">
        <v>1308</v>
      </c>
      <c r="D181" s="782" t="s">
        <v>1129</v>
      </c>
      <c r="E181" s="783">
        <v>28005.1</v>
      </c>
      <c r="F181" s="782" t="s">
        <v>1248</v>
      </c>
      <c r="G181" s="782">
        <v>30</v>
      </c>
      <c r="I181" s="770"/>
      <c r="J181" s="770"/>
      <c r="K181" s="887"/>
    </row>
    <row r="182" spans="2:11" s="799" customFormat="1">
      <c r="B182" s="782"/>
      <c r="C182" s="811" t="s">
        <v>1309</v>
      </c>
      <c r="D182" s="782" t="s">
        <v>1129</v>
      </c>
      <c r="E182" s="783">
        <v>1090940.5917308449</v>
      </c>
      <c r="F182" s="782" t="s">
        <v>1248</v>
      </c>
      <c r="G182" s="782">
        <v>30</v>
      </c>
      <c r="I182" s="770"/>
      <c r="J182" s="770"/>
    </row>
    <row r="183" spans="2:11" s="799" customFormat="1">
      <c r="B183" s="782"/>
      <c r="C183" s="780" t="s">
        <v>1310</v>
      </c>
      <c r="D183" s="782" t="s">
        <v>1129</v>
      </c>
      <c r="F183" s="782"/>
      <c r="G183" s="782">
        <v>30</v>
      </c>
      <c r="I183" s="770"/>
      <c r="J183" s="770"/>
    </row>
    <row r="184" spans="2:11" s="799" customFormat="1">
      <c r="B184" s="782"/>
      <c r="C184" s="811" t="s">
        <v>1311</v>
      </c>
      <c r="D184" s="782" t="s">
        <v>1129</v>
      </c>
      <c r="E184" s="783">
        <v>158899.29216000001</v>
      </c>
      <c r="F184" s="782" t="s">
        <v>1312</v>
      </c>
      <c r="G184" s="782"/>
      <c r="I184" s="770"/>
      <c r="J184" s="770"/>
    </row>
    <row r="185" spans="2:11" s="799" customFormat="1">
      <c r="B185" s="782"/>
      <c r="C185" s="811" t="s">
        <v>1313</v>
      </c>
      <c r="D185" s="782" t="s">
        <v>1129</v>
      </c>
      <c r="E185" s="783">
        <v>2497</v>
      </c>
      <c r="F185" s="782" t="s">
        <v>1312</v>
      </c>
      <c r="G185" s="782"/>
      <c r="I185" s="770"/>
      <c r="J185" s="770"/>
    </row>
    <row r="186" spans="2:11" s="799" customFormat="1">
      <c r="B186" s="782"/>
      <c r="C186" s="780" t="s">
        <v>1314</v>
      </c>
      <c r="D186" s="782"/>
      <c r="E186" s="783"/>
      <c r="F186" s="782"/>
      <c r="G186" s="782"/>
      <c r="I186" s="770"/>
      <c r="J186" s="770"/>
    </row>
    <row r="187" spans="2:11" s="799" customFormat="1">
      <c r="B187" s="782"/>
      <c r="C187" s="811" t="s">
        <v>1315</v>
      </c>
      <c r="D187" s="782" t="s">
        <v>1129</v>
      </c>
      <c r="E187" s="783">
        <v>5554769.9858210282</v>
      </c>
      <c r="F187" s="782" t="s">
        <v>1316</v>
      </c>
      <c r="G187" s="782">
        <v>30</v>
      </c>
      <c r="I187" s="770"/>
      <c r="J187" s="886"/>
    </row>
    <row r="188" spans="2:11" s="799" customFormat="1">
      <c r="B188" s="782"/>
      <c r="C188" s="811" t="s">
        <v>1317</v>
      </c>
      <c r="D188" s="782" t="s">
        <v>1129</v>
      </c>
      <c r="E188" s="783">
        <v>6602767.7358392412</v>
      </c>
      <c r="F188" s="782" t="s">
        <v>1547</v>
      </c>
      <c r="G188" s="782">
        <v>30</v>
      </c>
      <c r="I188" s="770"/>
      <c r="J188" s="886"/>
    </row>
    <row r="189" spans="2:11" s="799" customFormat="1">
      <c r="B189" s="782"/>
      <c r="C189" s="811" t="s">
        <v>1318</v>
      </c>
      <c r="D189" s="782" t="s">
        <v>1129</v>
      </c>
      <c r="E189" s="783">
        <v>109482.48127874402</v>
      </c>
      <c r="F189" s="782" t="s">
        <v>1319</v>
      </c>
      <c r="G189" s="782">
        <v>10</v>
      </c>
      <c r="I189" s="887"/>
      <c r="J189" s="886"/>
    </row>
    <row r="190" spans="2:11">
      <c r="B190" s="782"/>
      <c r="C190" s="811" t="s">
        <v>1320</v>
      </c>
      <c r="D190" s="782" t="s">
        <v>1129</v>
      </c>
      <c r="E190" s="783">
        <v>175865.10200000001</v>
      </c>
      <c r="F190" s="782" t="s">
        <v>1248</v>
      </c>
      <c r="G190" s="782">
        <v>10</v>
      </c>
      <c r="I190" s="888"/>
      <c r="J190" s="886"/>
    </row>
    <row r="191" spans="2:11">
      <c r="B191" s="782"/>
      <c r="C191" s="811" t="s">
        <v>1321</v>
      </c>
      <c r="D191" s="782" t="s">
        <v>1247</v>
      </c>
      <c r="E191" s="783">
        <v>86389.72784017802</v>
      </c>
      <c r="F191" s="782" t="s">
        <v>1248</v>
      </c>
      <c r="G191" s="782"/>
      <c r="I191" s="888"/>
      <c r="J191" s="886"/>
    </row>
    <row r="192" spans="2:11">
      <c r="B192" s="782"/>
      <c r="C192" s="811" t="s">
        <v>1322</v>
      </c>
      <c r="D192" s="782" t="s">
        <v>1247</v>
      </c>
      <c r="E192" s="783">
        <v>310.35018000000002</v>
      </c>
      <c r="F192" s="782" t="s">
        <v>1248</v>
      </c>
      <c r="G192" s="782"/>
      <c r="I192" s="888"/>
      <c r="J192" s="886"/>
    </row>
    <row r="193" spans="2:10">
      <c r="B193" s="782"/>
      <c r="C193" s="811" t="s">
        <v>1323</v>
      </c>
      <c r="D193" s="782" t="s">
        <v>1247</v>
      </c>
      <c r="E193" s="806">
        <v>258.62515000000002</v>
      </c>
      <c r="F193" s="782" t="s">
        <v>1248</v>
      </c>
      <c r="G193" s="782"/>
      <c r="I193" s="888"/>
      <c r="J193" s="886"/>
    </row>
    <row r="194" spans="2:10">
      <c r="B194" s="782"/>
      <c r="C194" s="811" t="s">
        <v>1324</v>
      </c>
      <c r="D194" s="782" t="s">
        <v>1247</v>
      </c>
      <c r="E194" s="806">
        <v>155.17509000000001</v>
      </c>
      <c r="F194" s="782" t="s">
        <v>1248</v>
      </c>
      <c r="G194" s="782"/>
      <c r="I194" s="888"/>
      <c r="J194" s="886"/>
    </row>
    <row r="195" spans="2:10">
      <c r="B195" s="782"/>
      <c r="C195" s="811" t="s">
        <v>1325</v>
      </c>
      <c r="D195" s="782" t="s">
        <v>1247</v>
      </c>
      <c r="E195" s="806">
        <v>206.90012000000002</v>
      </c>
      <c r="F195" s="782" t="s">
        <v>1248</v>
      </c>
      <c r="G195" s="782"/>
      <c r="I195" s="888"/>
      <c r="J195" s="886"/>
    </row>
    <row r="196" spans="2:10">
      <c r="B196" s="782"/>
      <c r="C196" s="811" t="s">
        <v>1326</v>
      </c>
      <c r="D196" s="782" t="s">
        <v>1247</v>
      </c>
      <c r="E196" s="806">
        <v>310.35018000000002</v>
      </c>
      <c r="F196" s="791" t="s">
        <v>1130</v>
      </c>
      <c r="G196" s="782"/>
      <c r="I196" s="888"/>
      <c r="J196" s="886"/>
    </row>
    <row r="197" spans="2:10">
      <c r="B197" s="782"/>
      <c r="C197" s="811" t="s">
        <v>1327</v>
      </c>
      <c r="D197" s="782" t="s">
        <v>1129</v>
      </c>
      <c r="E197" s="806">
        <v>134.48507800000002</v>
      </c>
      <c r="F197" s="782" t="s">
        <v>1248</v>
      </c>
      <c r="G197" s="782"/>
      <c r="I197" s="888"/>
      <c r="J197" s="886"/>
    </row>
    <row r="198" spans="2:10">
      <c r="B198" s="782"/>
      <c r="C198" s="781" t="s">
        <v>1328</v>
      </c>
      <c r="D198" s="782" t="s">
        <v>1129</v>
      </c>
      <c r="E198" s="783">
        <v>20483.11188</v>
      </c>
      <c r="F198" s="782" t="s">
        <v>1248</v>
      </c>
      <c r="G198" s="782">
        <v>10</v>
      </c>
      <c r="H198" s="798"/>
      <c r="I198" s="888"/>
      <c r="J198" s="886"/>
    </row>
    <row r="199" spans="2:10">
      <c r="B199" s="782"/>
      <c r="C199" s="781" t="s">
        <v>1329</v>
      </c>
      <c r="D199" s="782" t="s">
        <v>1129</v>
      </c>
      <c r="E199" s="783">
        <v>114582.66234179802</v>
      </c>
      <c r="F199" s="782" t="s">
        <v>1248</v>
      </c>
      <c r="G199" s="782">
        <v>10</v>
      </c>
      <c r="H199" s="798"/>
      <c r="I199" s="888"/>
      <c r="J199" s="886"/>
    </row>
    <row r="200" spans="2:10">
      <c r="B200" s="782"/>
      <c r="C200" s="781" t="s">
        <v>1330</v>
      </c>
      <c r="D200" s="782" t="s">
        <v>1129</v>
      </c>
      <c r="E200" s="783">
        <v>517.25030000000004</v>
      </c>
      <c r="F200" s="782" t="s">
        <v>1248</v>
      </c>
      <c r="G200" s="782"/>
      <c r="H200" s="798"/>
      <c r="I200" s="888"/>
      <c r="J200" s="886"/>
    </row>
    <row r="201" spans="2:10">
      <c r="B201" s="782"/>
      <c r="C201" s="781" t="s">
        <v>1331</v>
      </c>
      <c r="D201" s="782" t="s">
        <v>1129</v>
      </c>
      <c r="E201" s="783">
        <v>25862.515000000003</v>
      </c>
      <c r="F201" s="782" t="s">
        <v>1248</v>
      </c>
      <c r="G201" s="782"/>
      <c r="H201" s="798"/>
      <c r="I201" s="888"/>
      <c r="J201" s="886"/>
    </row>
    <row r="202" spans="2:10">
      <c r="B202" s="782"/>
      <c r="C202" s="781" t="s">
        <v>1332</v>
      </c>
      <c r="D202" s="782" t="s">
        <v>1129</v>
      </c>
      <c r="E202" s="783">
        <v>155175.09000000003</v>
      </c>
      <c r="F202" s="782" t="s">
        <v>1248</v>
      </c>
      <c r="G202" s="782"/>
      <c r="H202" s="798"/>
      <c r="I202" s="888"/>
      <c r="J202" s="886"/>
    </row>
    <row r="203" spans="2:10">
      <c r="B203" s="782"/>
      <c r="C203" s="781" t="s">
        <v>1333</v>
      </c>
      <c r="D203" s="782" t="s">
        <v>1129</v>
      </c>
      <c r="E203" s="783">
        <v>434.04541674200004</v>
      </c>
      <c r="F203" s="791" t="s">
        <v>1130</v>
      </c>
      <c r="G203" s="782">
        <v>1</v>
      </c>
      <c r="I203" s="888"/>
      <c r="J203" s="886"/>
    </row>
    <row r="205" spans="2:10" s="812" customFormat="1" ht="31.2">
      <c r="C205" s="813" t="s">
        <v>1334</v>
      </c>
      <c r="D205" s="786" t="s">
        <v>1335</v>
      </c>
      <c r="E205" s="814" t="s">
        <v>1336</v>
      </c>
      <c r="F205" s="814" t="s">
        <v>1337</v>
      </c>
    </row>
    <row r="206" spans="2:10">
      <c r="C206" s="781" t="s">
        <v>1338</v>
      </c>
      <c r="D206" s="782">
        <v>10</v>
      </c>
      <c r="E206" s="783">
        <v>803</v>
      </c>
      <c r="F206" s="783">
        <f>D206*E206</f>
        <v>8030</v>
      </c>
      <c r="G206" s="770"/>
    </row>
    <row r="207" spans="2:10">
      <c r="C207" s="781" t="s">
        <v>1339</v>
      </c>
      <c r="D207" s="782">
        <v>10</v>
      </c>
      <c r="E207" s="783">
        <v>452</v>
      </c>
      <c r="F207" s="783">
        <f t="shared" ref="F207:F223" si="0">D207*E207</f>
        <v>4520</v>
      </c>
      <c r="G207" s="770"/>
    </row>
    <row r="208" spans="2:10">
      <c r="C208" s="781" t="s">
        <v>1340</v>
      </c>
      <c r="D208" s="782">
        <v>15</v>
      </c>
      <c r="E208" s="783">
        <v>670</v>
      </c>
      <c r="F208" s="783">
        <f t="shared" si="0"/>
        <v>10050</v>
      </c>
      <c r="G208" s="770"/>
    </row>
    <row r="209" spans="2:10">
      <c r="C209" s="781" t="s">
        <v>1341</v>
      </c>
      <c r="D209" s="782">
        <v>4</v>
      </c>
      <c r="E209" s="783">
        <v>810</v>
      </c>
      <c r="F209" s="783">
        <f t="shared" si="0"/>
        <v>3240</v>
      </c>
      <c r="G209" s="770"/>
    </row>
    <row r="210" spans="2:10">
      <c r="C210" s="781" t="s">
        <v>1342</v>
      </c>
      <c r="D210" s="782">
        <v>2</v>
      </c>
      <c r="E210" s="783">
        <v>612.74</v>
      </c>
      <c r="F210" s="783">
        <f t="shared" si="0"/>
        <v>1225.48</v>
      </c>
      <c r="G210" s="770"/>
    </row>
    <row r="211" spans="2:10">
      <c r="C211" s="781" t="s">
        <v>1343</v>
      </c>
      <c r="D211" s="782">
        <v>20</v>
      </c>
      <c r="E211" s="783">
        <v>398</v>
      </c>
      <c r="F211" s="783">
        <f t="shared" si="0"/>
        <v>7960</v>
      </c>
      <c r="G211" s="770"/>
    </row>
    <row r="212" spans="2:10">
      <c r="C212" s="781" t="s">
        <v>1344</v>
      </c>
      <c r="D212" s="782">
        <f>50</f>
        <v>50</v>
      </c>
      <c r="E212" s="783">
        <v>115</v>
      </c>
      <c r="F212" s="783">
        <f t="shared" si="0"/>
        <v>5750</v>
      </c>
      <c r="G212" s="770"/>
    </row>
    <row r="213" spans="2:10">
      <c r="C213" s="781" t="s">
        <v>1345</v>
      </c>
      <c r="D213" s="782">
        <v>3</v>
      </c>
      <c r="E213" s="783">
        <v>1804.17</v>
      </c>
      <c r="F213" s="783">
        <f t="shared" si="0"/>
        <v>5412.51</v>
      </c>
      <c r="G213" s="770"/>
    </row>
    <row r="214" spans="2:10">
      <c r="C214" s="781" t="s">
        <v>1346</v>
      </c>
      <c r="D214" s="782">
        <v>5</v>
      </c>
      <c r="E214" s="783">
        <v>299</v>
      </c>
      <c r="F214" s="783">
        <f t="shared" si="0"/>
        <v>1495</v>
      </c>
      <c r="G214" s="770"/>
    </row>
    <row r="215" spans="2:10">
      <c r="C215" s="781" t="s">
        <v>1347</v>
      </c>
      <c r="D215" s="782">
        <f>D216</f>
        <v>12</v>
      </c>
      <c r="E215" s="783">
        <v>167</v>
      </c>
      <c r="F215" s="783">
        <f t="shared" si="0"/>
        <v>2004</v>
      </c>
    </row>
    <row r="216" spans="2:10">
      <c r="C216" s="781" t="s">
        <v>1348</v>
      </c>
      <c r="D216" s="782">
        <v>12</v>
      </c>
      <c r="E216" s="783">
        <v>617</v>
      </c>
      <c r="F216" s="783">
        <f t="shared" si="0"/>
        <v>7404</v>
      </c>
    </row>
    <row r="217" spans="2:10">
      <c r="C217" s="781" t="s">
        <v>1349</v>
      </c>
      <c r="D217" s="782">
        <v>2</v>
      </c>
      <c r="E217" s="783">
        <v>799</v>
      </c>
      <c r="F217" s="783">
        <f t="shared" si="0"/>
        <v>1598</v>
      </c>
    </row>
    <row r="218" spans="2:10">
      <c r="C218" s="781" t="s">
        <v>1350</v>
      </c>
      <c r="D218" s="782">
        <v>1</v>
      </c>
      <c r="E218" s="783">
        <v>375</v>
      </c>
      <c r="F218" s="783">
        <f t="shared" si="0"/>
        <v>375</v>
      </c>
    </row>
    <row r="219" spans="2:10">
      <c r="C219" s="781" t="s">
        <v>1351</v>
      </c>
      <c r="D219" s="782">
        <v>2</v>
      </c>
      <c r="E219" s="783">
        <v>1399</v>
      </c>
      <c r="F219" s="783">
        <f t="shared" si="0"/>
        <v>2798</v>
      </c>
    </row>
    <row r="220" spans="2:10">
      <c r="C220" s="781" t="s">
        <v>1352</v>
      </c>
      <c r="D220" s="782">
        <v>32</v>
      </c>
      <c r="E220" s="783">
        <v>956.1</v>
      </c>
      <c r="F220" s="783">
        <f t="shared" si="0"/>
        <v>30595.200000000001</v>
      </c>
    </row>
    <row r="221" spans="2:10">
      <c r="C221" s="781" t="s">
        <v>1353</v>
      </c>
      <c r="D221" s="782">
        <v>2</v>
      </c>
      <c r="E221" s="783">
        <v>935.6</v>
      </c>
      <c r="F221" s="783">
        <f t="shared" si="0"/>
        <v>1871.2</v>
      </c>
    </row>
    <row r="222" spans="2:10">
      <c r="C222" s="781" t="s">
        <v>1354</v>
      </c>
      <c r="D222" s="782">
        <v>6</v>
      </c>
      <c r="E222" s="783">
        <v>562</v>
      </c>
      <c r="F222" s="783">
        <f t="shared" si="0"/>
        <v>3372</v>
      </c>
    </row>
    <row r="223" spans="2:10">
      <c r="C223" s="781" t="s">
        <v>1355</v>
      </c>
      <c r="D223" s="782">
        <v>1</v>
      </c>
      <c r="E223" s="783">
        <v>3199</v>
      </c>
      <c r="F223" s="783">
        <f t="shared" si="0"/>
        <v>3199</v>
      </c>
    </row>
    <row r="224" spans="2:10" s="771" customFormat="1">
      <c r="B224" s="770"/>
      <c r="C224" s="780" t="s">
        <v>45</v>
      </c>
      <c r="D224" s="782"/>
      <c r="E224" s="783"/>
      <c r="F224" s="815">
        <f>SUM(F206:F223)</f>
        <v>100899.39</v>
      </c>
      <c r="H224" s="770"/>
      <c r="I224" s="770"/>
      <c r="J224" s="770"/>
    </row>
    <row r="227" spans="2:10" s="812" customFormat="1" ht="31.2">
      <c r="C227" s="813" t="s">
        <v>1356</v>
      </c>
      <c r="D227" s="786" t="s">
        <v>1335</v>
      </c>
      <c r="E227" s="814" t="s">
        <v>1336</v>
      </c>
      <c r="F227" s="814" t="s">
        <v>1337</v>
      </c>
    </row>
    <row r="228" spans="2:10" s="771" customFormat="1">
      <c r="B228" s="770"/>
      <c r="C228" s="781" t="s">
        <v>1338</v>
      </c>
      <c r="D228" s="782">
        <v>4</v>
      </c>
      <c r="E228" s="783">
        <v>803</v>
      </c>
      <c r="F228" s="783">
        <f>D228*E228</f>
        <v>3212</v>
      </c>
      <c r="H228" s="770"/>
      <c r="I228" s="770"/>
      <c r="J228" s="770"/>
    </row>
    <row r="229" spans="2:10" s="771" customFormat="1">
      <c r="B229" s="770"/>
      <c r="C229" s="781" t="s">
        <v>1339</v>
      </c>
      <c r="D229" s="782">
        <v>4</v>
      </c>
      <c r="E229" s="783">
        <v>452</v>
      </c>
      <c r="F229" s="783">
        <f t="shared" ref="F229:F245" si="1">D229*E229</f>
        <v>1808</v>
      </c>
      <c r="H229" s="770"/>
      <c r="I229" s="770"/>
      <c r="J229" s="770"/>
    </row>
    <row r="230" spans="2:10" s="771" customFormat="1">
      <c r="B230" s="770"/>
      <c r="C230" s="781" t="s">
        <v>1340</v>
      </c>
      <c r="D230" s="782">
        <v>2</v>
      </c>
      <c r="E230" s="783">
        <v>670</v>
      </c>
      <c r="F230" s="783">
        <f t="shared" si="1"/>
        <v>1340</v>
      </c>
      <c r="H230" s="770"/>
      <c r="I230" s="770"/>
      <c r="J230" s="770"/>
    </row>
    <row r="231" spans="2:10" s="771" customFormat="1">
      <c r="B231" s="770"/>
      <c r="C231" s="781" t="s">
        <v>1341</v>
      </c>
      <c r="D231" s="782">
        <v>3</v>
      </c>
      <c r="E231" s="783">
        <v>810</v>
      </c>
      <c r="F231" s="783">
        <f t="shared" si="1"/>
        <v>2430</v>
      </c>
      <c r="H231" s="770"/>
      <c r="I231" s="770"/>
      <c r="J231" s="770"/>
    </row>
    <row r="232" spans="2:10" s="771" customFormat="1">
      <c r="B232" s="770"/>
      <c r="C232" s="781" t="s">
        <v>1342</v>
      </c>
      <c r="D232" s="782">
        <v>1</v>
      </c>
      <c r="E232" s="783">
        <v>612.74</v>
      </c>
      <c r="F232" s="783">
        <f t="shared" si="1"/>
        <v>612.74</v>
      </c>
      <c r="H232" s="770"/>
      <c r="I232" s="770"/>
      <c r="J232" s="770"/>
    </row>
    <row r="233" spans="2:10" s="771" customFormat="1">
      <c r="B233" s="770"/>
      <c r="C233" s="781" t="s">
        <v>1343</v>
      </c>
      <c r="D233" s="782">
        <v>6</v>
      </c>
      <c r="E233" s="783">
        <v>398</v>
      </c>
      <c r="F233" s="783">
        <f t="shared" si="1"/>
        <v>2388</v>
      </c>
      <c r="H233" s="770"/>
      <c r="I233" s="770"/>
      <c r="J233" s="770"/>
    </row>
    <row r="234" spans="2:10" s="771" customFormat="1">
      <c r="B234" s="770"/>
      <c r="C234" s="781" t="s">
        <v>1344</v>
      </c>
      <c r="D234" s="782">
        <v>10</v>
      </c>
      <c r="E234" s="783">
        <v>115</v>
      </c>
      <c r="F234" s="783">
        <f t="shared" si="1"/>
        <v>1150</v>
      </c>
      <c r="H234" s="770"/>
      <c r="I234" s="770"/>
      <c r="J234" s="770"/>
    </row>
    <row r="235" spans="2:10" s="771" customFormat="1">
      <c r="B235" s="770"/>
      <c r="C235" s="781" t="s">
        <v>1345</v>
      </c>
      <c r="D235" s="782">
        <v>1</v>
      </c>
      <c r="E235" s="783">
        <v>1804.17</v>
      </c>
      <c r="F235" s="783">
        <f t="shared" si="1"/>
        <v>1804.17</v>
      </c>
      <c r="H235" s="770"/>
      <c r="I235" s="770"/>
      <c r="J235" s="770"/>
    </row>
    <row r="236" spans="2:10" s="771" customFormat="1">
      <c r="B236" s="770"/>
      <c r="C236" s="781" t="s">
        <v>1346</v>
      </c>
      <c r="D236" s="782">
        <v>1</v>
      </c>
      <c r="E236" s="783">
        <v>299</v>
      </c>
      <c r="F236" s="783">
        <f t="shared" si="1"/>
        <v>299</v>
      </c>
      <c r="H236" s="770"/>
      <c r="I236" s="770"/>
      <c r="J236" s="770"/>
    </row>
    <row r="237" spans="2:10" s="771" customFormat="1">
      <c r="B237" s="770"/>
      <c r="C237" s="781" t="s">
        <v>1347</v>
      </c>
      <c r="D237" s="782">
        <v>3</v>
      </c>
      <c r="E237" s="783">
        <v>167</v>
      </c>
      <c r="F237" s="783">
        <f t="shared" si="1"/>
        <v>501</v>
      </c>
      <c r="H237" s="770"/>
      <c r="I237" s="770"/>
      <c r="J237" s="770"/>
    </row>
    <row r="238" spans="2:10" s="771" customFormat="1">
      <c r="B238" s="770"/>
      <c r="C238" s="781" t="s">
        <v>1348</v>
      </c>
      <c r="D238" s="782">
        <v>6</v>
      </c>
      <c r="E238" s="783">
        <v>617</v>
      </c>
      <c r="F238" s="783">
        <f t="shared" si="1"/>
        <v>3702</v>
      </c>
      <c r="H238" s="770"/>
      <c r="I238" s="770"/>
      <c r="J238" s="770"/>
    </row>
    <row r="239" spans="2:10" s="771" customFormat="1">
      <c r="B239" s="770"/>
      <c r="C239" s="781" t="s">
        <v>1349</v>
      </c>
      <c r="D239" s="782">
        <v>1</v>
      </c>
      <c r="E239" s="783">
        <v>799</v>
      </c>
      <c r="F239" s="783">
        <f t="shared" si="1"/>
        <v>799</v>
      </c>
      <c r="H239" s="770"/>
      <c r="I239" s="770"/>
      <c r="J239" s="770"/>
    </row>
    <row r="240" spans="2:10" s="771" customFormat="1">
      <c r="B240" s="770"/>
      <c r="C240" s="781" t="s">
        <v>1350</v>
      </c>
      <c r="D240" s="782">
        <v>1</v>
      </c>
      <c r="E240" s="783">
        <v>375</v>
      </c>
      <c r="F240" s="783">
        <f t="shared" si="1"/>
        <v>375</v>
      </c>
      <c r="H240" s="770"/>
      <c r="I240" s="770"/>
      <c r="J240" s="770"/>
    </row>
    <row r="241" spans="2:10" s="771" customFormat="1">
      <c r="B241" s="770"/>
      <c r="C241" s="781" t="s">
        <v>1351</v>
      </c>
      <c r="D241" s="782">
        <v>1</v>
      </c>
      <c r="E241" s="783">
        <v>1399</v>
      </c>
      <c r="F241" s="783">
        <f t="shared" si="1"/>
        <v>1399</v>
      </c>
      <c r="H241" s="770"/>
      <c r="I241" s="770"/>
      <c r="J241" s="770"/>
    </row>
    <row r="242" spans="2:10" s="771" customFormat="1">
      <c r="B242" s="770"/>
      <c r="C242" s="781" t="s">
        <v>1352</v>
      </c>
      <c r="D242" s="782">
        <v>1</v>
      </c>
      <c r="E242" s="783">
        <v>956.1</v>
      </c>
      <c r="F242" s="783">
        <f t="shared" si="1"/>
        <v>956.1</v>
      </c>
      <c r="H242" s="770"/>
      <c r="I242" s="770"/>
      <c r="J242" s="770"/>
    </row>
    <row r="243" spans="2:10" s="771" customFormat="1">
      <c r="B243" s="770"/>
      <c r="C243" s="781" t="s">
        <v>1353</v>
      </c>
      <c r="D243" s="782">
        <v>1</v>
      </c>
      <c r="E243" s="806">
        <v>935.6</v>
      </c>
      <c r="F243" s="806">
        <f>D243*E243</f>
        <v>935.6</v>
      </c>
      <c r="H243" s="770"/>
      <c r="I243" s="770"/>
      <c r="J243" s="770"/>
    </row>
    <row r="244" spans="2:10" s="771" customFormat="1">
      <c r="B244" s="770"/>
      <c r="C244" s="781" t="s">
        <v>1354</v>
      </c>
      <c r="D244" s="782">
        <v>2</v>
      </c>
      <c r="E244" s="783">
        <v>562</v>
      </c>
      <c r="F244" s="783">
        <f t="shared" si="1"/>
        <v>1124</v>
      </c>
      <c r="H244" s="770"/>
      <c r="I244" s="770"/>
      <c r="J244" s="770"/>
    </row>
    <row r="245" spans="2:10" s="771" customFormat="1">
      <c r="B245" s="770"/>
      <c r="C245" s="781" t="s">
        <v>1355</v>
      </c>
      <c r="D245" s="782">
        <v>1</v>
      </c>
      <c r="E245" s="783">
        <v>3199</v>
      </c>
      <c r="F245" s="783">
        <f t="shared" si="1"/>
        <v>3199</v>
      </c>
      <c r="H245" s="770"/>
      <c r="I245" s="770"/>
      <c r="J245" s="770"/>
    </row>
    <row r="246" spans="2:10" s="771" customFormat="1">
      <c r="B246" s="770"/>
      <c r="C246" s="780" t="s">
        <v>45</v>
      </c>
      <c r="D246" s="782"/>
      <c r="E246" s="783"/>
      <c r="F246" s="815">
        <f>SUM(F228:F245)</f>
        <v>28034.609999999997</v>
      </c>
      <c r="H246" s="770"/>
      <c r="I246" s="770"/>
      <c r="J246" s="770"/>
    </row>
    <row r="392" spans="3:3">
      <c r="C392" s="770" t="s">
        <v>1357</v>
      </c>
    </row>
  </sheetData>
  <phoneticPr fontId="67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8348D-EE5F-440A-94E8-3595131045B7}">
  <sheetPr>
    <tabColor rgb="FF92D050"/>
    <outlinePr summaryBelow="0"/>
  </sheetPr>
  <dimension ref="B2:L294"/>
  <sheetViews>
    <sheetView showGridLines="0" zoomScale="80" zoomScaleNormal="80" workbookViewId="0">
      <selection activeCell="N18" sqref="N18"/>
    </sheetView>
  </sheetViews>
  <sheetFormatPr defaultColWidth="9.109375" defaultRowHeight="15.6" outlineLevelRow="1"/>
  <cols>
    <col min="1" max="1" width="3" style="770" customWidth="1"/>
    <col min="2" max="2" width="9.109375" style="770"/>
    <col min="3" max="3" width="43.6640625" style="770" bestFit="1" customWidth="1"/>
    <col min="4" max="4" width="20.44140625" style="770" bestFit="1" customWidth="1"/>
    <col min="5" max="5" width="20.6640625" style="770" bestFit="1" customWidth="1"/>
    <col min="6" max="6" width="13.88671875" style="770" bestFit="1" customWidth="1"/>
    <col min="7" max="7" width="15" style="770" customWidth="1"/>
    <col min="8" max="8" width="18.33203125" style="770" bestFit="1" customWidth="1"/>
    <col min="9" max="9" width="9.88671875" style="770" customWidth="1"/>
    <col min="10" max="10" width="10.44140625" style="770" customWidth="1"/>
    <col min="11" max="11" width="17.33203125" style="770" customWidth="1"/>
    <col min="12" max="12" width="12.109375" style="770" bestFit="1" customWidth="1"/>
    <col min="13" max="13" width="9.109375" style="770"/>
    <col min="14" max="14" width="12.33203125" style="770" customWidth="1"/>
    <col min="15" max="16384" width="9.109375" style="770"/>
  </cols>
  <sheetData>
    <row r="2" spans="2:12">
      <c r="B2" s="769" t="str">
        <f>Insumos!B2</f>
        <v>MUNICÍPIO DE XANXERÊ</v>
      </c>
      <c r="C2" s="769"/>
    </row>
    <row r="3" spans="2:12">
      <c r="B3" s="769" t="str">
        <f>Insumos!B3</f>
        <v>EVTE PARA A CONCESSÃO DOS SERVIÇOS DE MANEJO DE RESÍDUOS SÓLIDOS E LIMPEZA URBANA</v>
      </c>
      <c r="C3" s="769"/>
    </row>
    <row r="4" spans="2:12">
      <c r="B4" s="769" t="s">
        <v>1358</v>
      </c>
      <c r="C4" s="772"/>
    </row>
    <row r="5" spans="2:12">
      <c r="B5" s="773"/>
      <c r="C5" s="769"/>
      <c r="D5" s="816" t="s">
        <v>1359</v>
      </c>
      <c r="E5" s="817" t="s">
        <v>1480</v>
      </c>
    </row>
    <row r="6" spans="2:12">
      <c r="C6" s="773"/>
      <c r="D6" s="769"/>
      <c r="E6" s="769"/>
    </row>
    <row r="7" spans="2:12">
      <c r="C7" s="818" t="s">
        <v>1360</v>
      </c>
      <c r="D7" s="819"/>
      <c r="E7" s="820"/>
    </row>
    <row r="8" spans="2:12" outlineLevel="1">
      <c r="C8" s="920" t="s">
        <v>1361</v>
      </c>
      <c r="D8" s="921"/>
      <c r="E8" s="821" t="s">
        <v>23</v>
      </c>
      <c r="F8" s="822">
        <v>0.06</v>
      </c>
    </row>
    <row r="9" spans="2:12" outlineLevel="1">
      <c r="C9" s="920" t="s">
        <v>1362</v>
      </c>
      <c r="D9" s="921"/>
      <c r="E9" s="821" t="s">
        <v>20</v>
      </c>
      <c r="F9" s="823">
        <v>5</v>
      </c>
      <c r="G9" s="824"/>
    </row>
    <row r="10" spans="2:12" outlineLevel="1">
      <c r="C10" s="920" t="s">
        <v>929</v>
      </c>
      <c r="D10" s="921"/>
      <c r="E10" s="821" t="s">
        <v>20</v>
      </c>
      <c r="F10" s="823">
        <v>1621</v>
      </c>
      <c r="G10" s="824"/>
    </row>
    <row r="11" spans="2:12" outlineLevel="1">
      <c r="C11" s="920" t="s">
        <v>1363</v>
      </c>
      <c r="D11" s="921"/>
      <c r="E11" s="821" t="s">
        <v>23</v>
      </c>
      <c r="F11" s="825">
        <f>$D$75</f>
        <v>0.71030000000000004</v>
      </c>
      <c r="G11" s="826"/>
      <c r="I11" s="862">
        <f ca="1">Ops!F2</f>
        <v>0.10790613293647766</v>
      </c>
    </row>
    <row r="12" spans="2:12" outlineLevel="1">
      <c r="C12" s="920" t="s">
        <v>1364</v>
      </c>
      <c r="D12" s="921"/>
      <c r="E12" s="821" t="s">
        <v>1365</v>
      </c>
      <c r="F12" s="827">
        <v>25.83</v>
      </c>
      <c r="G12" s="828"/>
    </row>
    <row r="13" spans="2:12" outlineLevel="1">
      <c r="C13" s="920" t="s">
        <v>1366</v>
      </c>
      <c r="D13" s="921"/>
      <c r="E13" s="821" t="s">
        <v>1365</v>
      </c>
      <c r="F13" s="827">
        <v>25.17</v>
      </c>
      <c r="G13" s="828"/>
    </row>
    <row r="14" spans="2:12" outlineLevel="1">
      <c r="C14" s="920" t="s">
        <v>1367</v>
      </c>
      <c r="D14" s="921"/>
      <c r="E14" s="821" t="s">
        <v>23</v>
      </c>
      <c r="F14" s="822">
        <v>0.2</v>
      </c>
      <c r="G14" s="828"/>
    </row>
    <row r="15" spans="2:12" outlineLevel="1">
      <c r="C15" s="920" t="s">
        <v>1368</v>
      </c>
      <c r="D15" s="921"/>
      <c r="E15" s="821" t="s">
        <v>1369</v>
      </c>
      <c r="F15" s="827">
        <f>ROUND(I15*L15,2)</f>
        <v>8</v>
      </c>
      <c r="G15" s="828"/>
      <c r="I15" s="829">
        <v>7</v>
      </c>
      <c r="J15" s="924" t="s">
        <v>1370</v>
      </c>
      <c r="K15" s="925"/>
      <c r="L15" s="830">
        <f>60/52.5</f>
        <v>1.1428571428571428</v>
      </c>
    </row>
    <row r="17" spans="2:11">
      <c r="B17" s="922" t="s">
        <v>1371</v>
      </c>
      <c r="C17" s="923"/>
      <c r="D17" s="923"/>
      <c r="E17" s="923"/>
      <c r="F17" s="923"/>
      <c r="G17" s="923"/>
      <c r="H17" s="923"/>
      <c r="I17" s="923"/>
      <c r="J17" s="923"/>
      <c r="K17" s="923"/>
    </row>
    <row r="18" spans="2:11" ht="91.5" customHeight="1">
      <c r="B18" s="831" t="s">
        <v>1120</v>
      </c>
      <c r="C18" s="831" t="s">
        <v>1372</v>
      </c>
      <c r="D18" s="832" t="s">
        <v>1373</v>
      </c>
      <c r="E18" s="832" t="s">
        <v>1374</v>
      </c>
      <c r="F18" s="832" t="s">
        <v>1375</v>
      </c>
      <c r="G18" s="832" t="s">
        <v>1376</v>
      </c>
      <c r="H18" s="832" t="s">
        <v>1377</v>
      </c>
      <c r="I18" s="832" t="s">
        <v>1378</v>
      </c>
      <c r="J18" s="832" t="s">
        <v>1379</v>
      </c>
      <c r="K18" s="832" t="s">
        <v>1380</v>
      </c>
    </row>
    <row r="19" spans="2:11">
      <c r="B19" s="833"/>
      <c r="C19" s="833" t="s">
        <v>1381</v>
      </c>
      <c r="D19" s="823">
        <v>1842</v>
      </c>
      <c r="E19" s="834">
        <f>ROUND(D19/220,2)</f>
        <v>8.3699999999999992</v>
      </c>
      <c r="F19" s="835">
        <v>0.4</v>
      </c>
      <c r="G19" s="835"/>
      <c r="H19" s="834">
        <f t="shared" ref="H19:H26" si="0">$F$15*$F$12*$F$14</f>
        <v>41.328000000000003</v>
      </c>
      <c r="I19" s="834">
        <v>500</v>
      </c>
      <c r="J19" s="834">
        <f t="shared" ref="J19:J34" si="1">IF((($F$9*$F$13*2)-(D19*$F$8))&gt;0,($F$9*$F$13*2)-(D19*$F$8),0)</f>
        <v>141.18</v>
      </c>
      <c r="K19" s="823">
        <v>5.53</v>
      </c>
    </row>
    <row r="20" spans="2:11">
      <c r="B20" s="833"/>
      <c r="C20" s="833" t="s">
        <v>1382</v>
      </c>
      <c r="D20" s="823">
        <v>4266.97</v>
      </c>
      <c r="E20" s="834">
        <f t="shared" ref="E20:E29" si="2">ROUND(D20/220,2)</f>
        <v>19.399999999999999</v>
      </c>
      <c r="F20" s="835">
        <v>0.4</v>
      </c>
      <c r="G20" s="835"/>
      <c r="H20" s="834">
        <f t="shared" si="0"/>
        <v>41.328000000000003</v>
      </c>
      <c r="I20" s="834">
        <v>500</v>
      </c>
      <c r="J20" s="834">
        <f t="shared" si="1"/>
        <v>0</v>
      </c>
      <c r="K20" s="823">
        <v>5.53</v>
      </c>
    </row>
    <row r="21" spans="2:11">
      <c r="B21" s="833"/>
      <c r="C21" s="833" t="s">
        <v>1383</v>
      </c>
      <c r="D21" s="823">
        <v>3245.32</v>
      </c>
      <c r="E21" s="834">
        <f t="shared" si="2"/>
        <v>14.75</v>
      </c>
      <c r="F21" s="835">
        <v>0.4</v>
      </c>
      <c r="G21" s="835">
        <v>0.2</v>
      </c>
      <c r="H21" s="834">
        <f t="shared" si="0"/>
        <v>41.328000000000003</v>
      </c>
      <c r="I21" s="834">
        <v>500</v>
      </c>
      <c r="J21" s="834">
        <f t="shared" si="1"/>
        <v>56.980800000000016</v>
      </c>
      <c r="K21" s="823">
        <v>5.53</v>
      </c>
    </row>
    <row r="22" spans="2:11">
      <c r="B22" s="833"/>
      <c r="C22" s="833" t="s">
        <v>1384</v>
      </c>
      <c r="D22" s="823">
        <v>2969.8</v>
      </c>
      <c r="E22" s="834">
        <f t="shared" si="2"/>
        <v>13.5</v>
      </c>
      <c r="F22" s="835">
        <v>0.2</v>
      </c>
      <c r="G22" s="835"/>
      <c r="H22" s="834"/>
      <c r="I22" s="834">
        <v>500</v>
      </c>
      <c r="J22" s="834">
        <f t="shared" si="1"/>
        <v>73.512</v>
      </c>
      <c r="K22" s="823">
        <v>5.53</v>
      </c>
    </row>
    <row r="23" spans="2:11">
      <c r="B23" s="833"/>
      <c r="C23" s="833" t="s">
        <v>1385</v>
      </c>
      <c r="D23" s="823">
        <v>2540</v>
      </c>
      <c r="E23" s="823">
        <f t="shared" si="2"/>
        <v>11.55</v>
      </c>
      <c r="F23" s="836">
        <v>0.2</v>
      </c>
      <c r="G23" s="836"/>
      <c r="H23" s="834">
        <f t="shared" si="0"/>
        <v>41.328000000000003</v>
      </c>
      <c r="I23" s="834">
        <v>500</v>
      </c>
      <c r="J23" s="823">
        <f t="shared" si="1"/>
        <v>99.300000000000011</v>
      </c>
      <c r="K23" s="823">
        <v>5.53</v>
      </c>
    </row>
    <row r="24" spans="2:11">
      <c r="B24" s="833"/>
      <c r="C24" s="833" t="s">
        <v>1386</v>
      </c>
      <c r="D24" s="823">
        <f>D23</f>
        <v>2540</v>
      </c>
      <c r="E24" s="823">
        <f t="shared" si="2"/>
        <v>11.55</v>
      </c>
      <c r="F24" s="836">
        <v>0.2</v>
      </c>
      <c r="G24" s="836"/>
      <c r="H24" s="823"/>
      <c r="I24" s="834">
        <v>500</v>
      </c>
      <c r="J24" s="823">
        <f t="shared" si="1"/>
        <v>99.300000000000011</v>
      </c>
      <c r="K24" s="823">
        <v>5.53</v>
      </c>
    </row>
    <row r="25" spans="2:11">
      <c r="B25" s="833"/>
      <c r="C25" s="833" t="s">
        <v>1387</v>
      </c>
      <c r="D25" s="823">
        <v>2499.61</v>
      </c>
      <c r="E25" s="823">
        <f>ROUND(D25/220,2)</f>
        <v>11.36</v>
      </c>
      <c r="F25" s="836">
        <v>0.4</v>
      </c>
      <c r="G25" s="836"/>
      <c r="H25" s="834">
        <f t="shared" si="0"/>
        <v>41.328000000000003</v>
      </c>
      <c r="I25" s="834">
        <v>500</v>
      </c>
      <c r="J25" s="823">
        <f t="shared" si="1"/>
        <v>101.72340000000003</v>
      </c>
      <c r="K25" s="823">
        <v>5.53</v>
      </c>
    </row>
    <row r="26" spans="2:11">
      <c r="B26" s="833"/>
      <c r="C26" s="833" t="s">
        <v>1027</v>
      </c>
      <c r="D26" s="823">
        <v>1843.6</v>
      </c>
      <c r="E26" s="823">
        <f>ROUND(D26/220,2)</f>
        <v>8.3800000000000008</v>
      </c>
      <c r="F26" s="836">
        <v>0.4</v>
      </c>
      <c r="G26" s="836"/>
      <c r="H26" s="834">
        <f t="shared" si="0"/>
        <v>41.328000000000003</v>
      </c>
      <c r="I26" s="834">
        <v>500</v>
      </c>
      <c r="J26" s="823">
        <f t="shared" si="1"/>
        <v>141.08400000000003</v>
      </c>
      <c r="K26" s="823">
        <v>5.53</v>
      </c>
    </row>
    <row r="27" spans="2:11">
      <c r="B27" s="833"/>
      <c r="C27" s="833" t="s">
        <v>1388</v>
      </c>
      <c r="D27" s="823">
        <v>1842</v>
      </c>
      <c r="E27" s="823">
        <f t="shared" si="2"/>
        <v>8.3699999999999992</v>
      </c>
      <c r="F27" s="836">
        <v>0.4</v>
      </c>
      <c r="G27" s="836"/>
      <c r="H27" s="823"/>
      <c r="I27" s="834">
        <v>500</v>
      </c>
      <c r="J27" s="823">
        <f t="shared" si="1"/>
        <v>141.18</v>
      </c>
      <c r="K27" s="823">
        <v>5.53</v>
      </c>
    </row>
    <row r="28" spans="2:11">
      <c r="B28" s="833"/>
      <c r="C28" s="833" t="s">
        <v>1389</v>
      </c>
      <c r="D28" s="823">
        <f>D27</f>
        <v>1842</v>
      </c>
      <c r="E28" s="823">
        <f>ROUND(D28/220,2)</f>
        <v>8.3699999999999992</v>
      </c>
      <c r="F28" s="836">
        <v>0.4</v>
      </c>
      <c r="G28" s="836"/>
      <c r="H28" s="823"/>
      <c r="I28" s="834">
        <v>500</v>
      </c>
      <c r="J28" s="823">
        <f t="shared" si="1"/>
        <v>141.18</v>
      </c>
      <c r="K28" s="823">
        <v>5.53</v>
      </c>
    </row>
    <row r="29" spans="2:11">
      <c r="B29" s="833"/>
      <c r="C29" s="833" t="s">
        <v>1104</v>
      </c>
      <c r="D29" s="823">
        <f>D28</f>
        <v>1842</v>
      </c>
      <c r="E29" s="823">
        <f t="shared" si="2"/>
        <v>8.3699999999999992</v>
      </c>
      <c r="F29" s="836">
        <v>0.2</v>
      </c>
      <c r="G29" s="836"/>
      <c r="H29" s="823"/>
      <c r="I29" s="834">
        <v>500</v>
      </c>
      <c r="J29" s="823">
        <f t="shared" si="1"/>
        <v>141.18</v>
      </c>
      <c r="K29" s="823">
        <v>5.53</v>
      </c>
    </row>
    <row r="30" spans="2:11">
      <c r="B30" s="833"/>
      <c r="C30" s="833" t="s">
        <v>1390</v>
      </c>
      <c r="D30" s="823">
        <v>6104.02</v>
      </c>
      <c r="E30" s="823"/>
      <c r="F30" s="836"/>
      <c r="G30" s="836"/>
      <c r="H30" s="823"/>
      <c r="I30" s="834">
        <v>500</v>
      </c>
      <c r="J30" s="823">
        <f t="shared" si="1"/>
        <v>0</v>
      </c>
      <c r="K30" s="823">
        <v>5.53</v>
      </c>
    </row>
    <row r="31" spans="2:11">
      <c r="B31" s="833"/>
      <c r="C31" s="833" t="s">
        <v>1038</v>
      </c>
      <c r="D31" s="823">
        <v>2141.46</v>
      </c>
      <c r="E31" s="834"/>
      <c r="F31" s="835"/>
      <c r="G31" s="835"/>
      <c r="H31" s="834"/>
      <c r="I31" s="834">
        <v>500</v>
      </c>
      <c r="J31" s="834">
        <f t="shared" si="1"/>
        <v>123.21240000000003</v>
      </c>
      <c r="K31" s="823">
        <v>5.53</v>
      </c>
    </row>
    <row r="32" spans="2:11">
      <c r="B32" s="833"/>
      <c r="C32" s="833" t="s">
        <v>1391</v>
      </c>
      <c r="D32" s="823">
        <v>2141.46</v>
      </c>
      <c r="E32" s="834"/>
      <c r="F32" s="835"/>
      <c r="G32" s="835"/>
      <c r="H32" s="834"/>
      <c r="I32" s="834">
        <v>500</v>
      </c>
      <c r="J32" s="834">
        <f t="shared" si="1"/>
        <v>123.21240000000003</v>
      </c>
      <c r="K32" s="823">
        <v>5.53</v>
      </c>
    </row>
    <row r="33" spans="2:11">
      <c r="B33" s="833"/>
      <c r="C33" s="833" t="s">
        <v>1084</v>
      </c>
      <c r="D33" s="823">
        <v>2141.46</v>
      </c>
      <c r="E33" s="834"/>
      <c r="F33" s="835"/>
      <c r="G33" s="835"/>
      <c r="H33" s="834"/>
      <c r="I33" s="834">
        <v>500</v>
      </c>
      <c r="J33" s="834">
        <f t="shared" si="1"/>
        <v>123.21240000000003</v>
      </c>
      <c r="K33" s="823">
        <v>5.53</v>
      </c>
    </row>
    <row r="34" spans="2:11" s="798" customFormat="1">
      <c r="B34" s="833"/>
      <c r="C34" s="833" t="s">
        <v>1101</v>
      </c>
      <c r="D34" s="823">
        <v>9677.8799999999992</v>
      </c>
      <c r="E34" s="834"/>
      <c r="F34" s="835"/>
      <c r="G34" s="835"/>
      <c r="H34" s="834"/>
      <c r="I34" s="834">
        <v>500</v>
      </c>
      <c r="J34" s="834">
        <f t="shared" si="1"/>
        <v>0</v>
      </c>
      <c r="K34" s="823">
        <v>5.53</v>
      </c>
    </row>
    <row r="35" spans="2:11">
      <c r="B35" s="833"/>
      <c r="C35" s="833" t="s">
        <v>1102</v>
      </c>
      <c r="D35" s="823">
        <v>838</v>
      </c>
      <c r="E35" s="834"/>
      <c r="F35" s="835"/>
      <c r="G35" s="835"/>
      <c r="H35" s="834"/>
      <c r="I35" s="834">
        <v>500</v>
      </c>
      <c r="J35" s="834">
        <v>0</v>
      </c>
      <c r="K35" s="823">
        <v>5.53</v>
      </c>
    </row>
    <row r="36" spans="2:11">
      <c r="B36" s="833"/>
      <c r="C36" s="833" t="s">
        <v>1392</v>
      </c>
      <c r="D36" s="823">
        <v>4414.2</v>
      </c>
      <c r="E36" s="834"/>
      <c r="F36" s="835"/>
      <c r="G36" s="835"/>
      <c r="H36" s="834"/>
      <c r="I36" s="834">
        <v>500</v>
      </c>
      <c r="J36" s="834">
        <f>IF((($F$9*$F$13*2)-(D36*$F$8))&gt;0,($F$9*$F$13*2)-(D36*$F$8),0)</f>
        <v>0</v>
      </c>
      <c r="K36" s="823">
        <v>5.53</v>
      </c>
    </row>
    <row r="38" spans="2:11">
      <c r="B38" s="926" t="s">
        <v>1484</v>
      </c>
      <c r="C38" s="927"/>
      <c r="D38" s="928"/>
    </row>
    <row r="39" spans="2:11">
      <c r="B39" s="917" t="s">
        <v>1393</v>
      </c>
      <c r="C39" s="918"/>
      <c r="D39" s="919"/>
    </row>
    <row r="40" spans="2:11">
      <c r="B40" s="837" t="s">
        <v>1394</v>
      </c>
      <c r="C40" s="837" t="s">
        <v>1121</v>
      </c>
      <c r="D40" s="837" t="s">
        <v>23</v>
      </c>
    </row>
    <row r="41" spans="2:11">
      <c r="B41" s="913" t="s">
        <v>1395</v>
      </c>
      <c r="C41" s="914"/>
      <c r="D41" s="915"/>
    </row>
    <row r="42" spans="2:11">
      <c r="B42" s="838" t="s">
        <v>1396</v>
      </c>
      <c r="C42" s="839" t="s">
        <v>1397</v>
      </c>
      <c r="D42" s="840">
        <v>0.2</v>
      </c>
    </row>
    <row r="43" spans="2:11">
      <c r="B43" s="838" t="s">
        <v>1398</v>
      </c>
      <c r="C43" s="839" t="s">
        <v>1399</v>
      </c>
      <c r="D43" s="840">
        <v>1.4999999999999999E-2</v>
      </c>
    </row>
    <row r="44" spans="2:11">
      <c r="B44" s="838" t="s">
        <v>1400</v>
      </c>
      <c r="C44" s="839" t="s">
        <v>1401</v>
      </c>
      <c r="D44" s="840">
        <v>0.01</v>
      </c>
    </row>
    <row r="45" spans="2:11">
      <c r="B45" s="838" t="s">
        <v>1402</v>
      </c>
      <c r="C45" s="839" t="s">
        <v>1403</v>
      </c>
      <c r="D45" s="840">
        <v>2E-3</v>
      </c>
    </row>
    <row r="46" spans="2:11">
      <c r="B46" s="838" t="s">
        <v>1404</v>
      </c>
      <c r="C46" s="839" t="s">
        <v>1405</v>
      </c>
      <c r="D46" s="840">
        <v>6.0000000000000001E-3</v>
      </c>
    </row>
    <row r="47" spans="2:11">
      <c r="B47" s="838" t="s">
        <v>1406</v>
      </c>
      <c r="C47" s="839" t="s">
        <v>1407</v>
      </c>
      <c r="D47" s="840">
        <v>2.5000000000000001E-2</v>
      </c>
    </row>
    <row r="48" spans="2:11">
      <c r="B48" s="838" t="s">
        <v>1408</v>
      </c>
      <c r="C48" s="839" t="s">
        <v>1409</v>
      </c>
      <c r="D48" s="840">
        <v>0.03</v>
      </c>
    </row>
    <row r="49" spans="2:4">
      <c r="B49" s="838" t="s">
        <v>1410</v>
      </c>
      <c r="C49" s="839" t="s">
        <v>1411</v>
      </c>
      <c r="D49" s="840">
        <v>0.08</v>
      </c>
    </row>
    <row r="50" spans="2:4">
      <c r="B50" s="838" t="s">
        <v>1412</v>
      </c>
      <c r="C50" s="839" t="s">
        <v>1413</v>
      </c>
      <c r="D50" s="840">
        <v>0.01</v>
      </c>
    </row>
    <row r="51" spans="2:4">
      <c r="B51" s="841" t="s">
        <v>1414</v>
      </c>
      <c r="C51" s="842" t="s">
        <v>45</v>
      </c>
      <c r="D51" s="843">
        <f>SUM(D42:D50)</f>
        <v>0.37800000000000006</v>
      </c>
    </row>
    <row r="52" spans="2:4">
      <c r="B52" s="913" t="s">
        <v>1415</v>
      </c>
      <c r="C52" s="914"/>
      <c r="D52" s="915"/>
    </row>
    <row r="53" spans="2:4">
      <c r="B53" s="838" t="s">
        <v>1416</v>
      </c>
      <c r="C53" s="839" t="s">
        <v>1417</v>
      </c>
      <c r="D53" s="840">
        <v>0</v>
      </c>
    </row>
    <row r="54" spans="2:4">
      <c r="B54" s="838" t="s">
        <v>1418</v>
      </c>
      <c r="C54" s="839" t="s">
        <v>1419</v>
      </c>
      <c r="D54" s="840">
        <v>0</v>
      </c>
    </row>
    <row r="55" spans="2:4">
      <c r="B55" s="838" t="s">
        <v>360</v>
      </c>
      <c r="C55" s="839" t="s">
        <v>1420</v>
      </c>
      <c r="D55" s="840">
        <v>6.7000000000000002E-3</v>
      </c>
    </row>
    <row r="56" spans="2:4">
      <c r="B56" s="838" t="s">
        <v>1421</v>
      </c>
      <c r="C56" s="839" t="s">
        <v>1422</v>
      </c>
      <c r="D56" s="840">
        <v>8.3199999999999996E-2</v>
      </c>
    </row>
    <row r="57" spans="2:4">
      <c r="B57" s="838" t="s">
        <v>1423</v>
      </c>
      <c r="C57" s="839" t="s">
        <v>1424</v>
      </c>
      <c r="D57" s="840">
        <v>5.0000000000000001E-4</v>
      </c>
    </row>
    <row r="58" spans="2:4">
      <c r="B58" s="838" t="s">
        <v>1425</v>
      </c>
      <c r="C58" s="839" t="s">
        <v>1426</v>
      </c>
      <c r="D58" s="840">
        <v>5.5999999999999999E-3</v>
      </c>
    </row>
    <row r="59" spans="2:4">
      <c r="B59" s="838" t="s">
        <v>1427</v>
      </c>
      <c r="C59" s="839" t="s">
        <v>1428</v>
      </c>
      <c r="D59" s="840">
        <v>0</v>
      </c>
    </row>
    <row r="60" spans="2:4">
      <c r="B60" s="838" t="s">
        <v>1429</v>
      </c>
      <c r="C60" s="839" t="s">
        <v>1430</v>
      </c>
      <c r="D60" s="840">
        <v>2.0000000000000001E-4</v>
      </c>
    </row>
    <row r="61" spans="2:4">
      <c r="B61" s="838" t="s">
        <v>1431</v>
      </c>
      <c r="C61" s="839" t="s">
        <v>1432</v>
      </c>
      <c r="D61" s="840">
        <v>0.1002</v>
      </c>
    </row>
    <row r="62" spans="2:4">
      <c r="B62" s="838" t="s">
        <v>1433</v>
      </c>
      <c r="C62" s="839" t="s">
        <v>1434</v>
      </c>
      <c r="D62" s="840">
        <v>2.9999999999999997E-4</v>
      </c>
    </row>
    <row r="63" spans="2:4">
      <c r="B63" s="841" t="s">
        <v>1435</v>
      </c>
      <c r="C63" s="842" t="s">
        <v>45</v>
      </c>
      <c r="D63" s="843">
        <f>SUM(D53:D62)</f>
        <v>0.19669999999999999</v>
      </c>
    </row>
    <row r="64" spans="2:4">
      <c r="B64" s="913" t="s">
        <v>1436</v>
      </c>
      <c r="C64" s="914"/>
      <c r="D64" s="915"/>
    </row>
    <row r="65" spans="2:4">
      <c r="B65" s="838" t="s">
        <v>1437</v>
      </c>
      <c r="C65" s="839" t="s">
        <v>1438</v>
      </c>
      <c r="D65" s="840">
        <v>3.27E-2</v>
      </c>
    </row>
    <row r="66" spans="2:4">
      <c r="B66" s="838" t="s">
        <v>1439</v>
      </c>
      <c r="C66" s="839" t="s">
        <v>1440</v>
      </c>
      <c r="D66" s="840">
        <v>8.0000000000000004E-4</v>
      </c>
    </row>
    <row r="67" spans="2:4">
      <c r="B67" s="838" t="s">
        <v>1441</v>
      </c>
      <c r="C67" s="839" t="s">
        <v>1442</v>
      </c>
      <c r="D67" s="840">
        <v>8.2000000000000007E-3</v>
      </c>
    </row>
    <row r="68" spans="2:4">
      <c r="B68" s="838" t="s">
        <v>1443</v>
      </c>
      <c r="C68" s="839" t="s">
        <v>1444</v>
      </c>
      <c r="D68" s="840">
        <v>1.3899999999999999E-2</v>
      </c>
    </row>
    <row r="69" spans="2:4">
      <c r="B69" s="838" t="s">
        <v>1445</v>
      </c>
      <c r="C69" s="839" t="s">
        <v>1446</v>
      </c>
      <c r="D69" s="840">
        <v>2.7000000000000001E-3</v>
      </c>
    </row>
    <row r="70" spans="2:4">
      <c r="B70" s="841" t="s">
        <v>1447</v>
      </c>
      <c r="C70" s="842" t="s">
        <v>45</v>
      </c>
      <c r="D70" s="843">
        <f>ROUND(SUM(D65:D69),4)</f>
        <v>5.8299999999999998E-2</v>
      </c>
    </row>
    <row r="71" spans="2:4">
      <c r="B71" s="913" t="s">
        <v>1448</v>
      </c>
      <c r="C71" s="914"/>
      <c r="D71" s="915"/>
    </row>
    <row r="72" spans="2:4">
      <c r="B72" s="838" t="s">
        <v>1449</v>
      </c>
      <c r="C72" s="839" t="s">
        <v>1450</v>
      </c>
      <c r="D72" s="840">
        <f>ROUND(D51*D63,4)</f>
        <v>7.4399999999999994E-2</v>
      </c>
    </row>
    <row r="73" spans="2:4" ht="43.2">
      <c r="B73" s="838" t="s">
        <v>1451</v>
      </c>
      <c r="C73" s="839" t="s">
        <v>1452</v>
      </c>
      <c r="D73" s="840">
        <f>ROUND((D51*D66)+(D49*D65),4)</f>
        <v>2.8999999999999998E-3</v>
      </c>
    </row>
    <row r="74" spans="2:4">
      <c r="B74" s="841" t="s">
        <v>1453</v>
      </c>
      <c r="C74" s="842" t="s">
        <v>45</v>
      </c>
      <c r="D74" s="843">
        <f>ROUND(SUM(D72:D73),4)</f>
        <v>7.7299999999999994E-2</v>
      </c>
    </row>
    <row r="75" spans="2:4">
      <c r="B75" s="916" t="s">
        <v>1454</v>
      </c>
      <c r="C75" s="916"/>
      <c r="D75" s="844">
        <f>D51+D63+D70+D74</f>
        <v>0.71030000000000004</v>
      </c>
    </row>
    <row r="294" spans="4:4">
      <c r="D294" s="770" t="s">
        <v>1357</v>
      </c>
    </row>
  </sheetData>
  <mergeCells count="17">
    <mergeCell ref="B39:D39"/>
    <mergeCell ref="C8:D8"/>
    <mergeCell ref="C9:D9"/>
    <mergeCell ref="C10:D10"/>
    <mergeCell ref="C11:D11"/>
    <mergeCell ref="C12:D12"/>
    <mergeCell ref="C13:D13"/>
    <mergeCell ref="B17:K17"/>
    <mergeCell ref="C14:D14"/>
    <mergeCell ref="C15:D15"/>
    <mergeCell ref="J15:K15"/>
    <mergeCell ref="B38:D38"/>
    <mergeCell ref="B41:D41"/>
    <mergeCell ref="B52:D52"/>
    <mergeCell ref="B64:D64"/>
    <mergeCell ref="B71:D71"/>
    <mergeCell ref="B75:C7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C9C64460872464CAD20AD64CAFB6024" ma:contentTypeVersion="19" ma:contentTypeDescription="Crie um novo documento." ma:contentTypeScope="" ma:versionID="778c0737d1894991fc361fad25372f68">
  <xsd:schema xmlns:xsd="http://www.w3.org/2001/XMLSchema" xmlns:xs="http://www.w3.org/2001/XMLSchema" xmlns:p="http://schemas.microsoft.com/office/2006/metadata/properties" xmlns:ns2="222568b7-24b0-4308-897d-551952eebca6" xmlns:ns3="f8f7c187-df46-4022-94aa-8130388f010d" targetNamespace="http://schemas.microsoft.com/office/2006/metadata/properties" ma:root="true" ma:fieldsID="b9b0c7de22f8ff1991c80027f7b8874a" ns2:_="" ns3:_="">
    <xsd:import namespace="222568b7-24b0-4308-897d-551952eebca6"/>
    <xsd:import namespace="f8f7c187-df46-4022-94aa-8130388f010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LengthInSecond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lcf76f155ced4ddcb4097134ff3c332f" minOccurs="0"/>
                <xsd:element ref="ns2:TaxCatchAll" minOccurs="0"/>
                <xsd:element ref="ns3:MediaServiceLocation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2568b7-24b0-4308-897d-551952eebca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e04cc-bb24-424b-b7af-ea2de9612ee3}" ma:internalName="TaxCatchAll" ma:showField="CatchAllData" ma:web="222568b7-24b0-4308-897d-551952eebca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f7c187-df46-4022-94aa-8130388f01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Marcações de imagem" ma:readOnly="false" ma:fieldId="{5cf76f15-5ced-4ddc-b409-7134ff3c332f}" ma:taxonomyMulti="true" ma:sspId="9c825292-3282-4b93-818c-23c32b4a2a3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8f7c187-df46-4022-94aa-8130388f010d">
      <Terms xmlns="http://schemas.microsoft.com/office/infopath/2007/PartnerControls"/>
    </lcf76f155ced4ddcb4097134ff3c332f>
    <TaxCatchAll xmlns="222568b7-24b0-4308-897d-551952eebca6" xsi:nil="true"/>
  </documentManagement>
</p:properties>
</file>

<file path=customXml/itemProps1.xml><?xml version="1.0" encoding="utf-8"?>
<ds:datastoreItem xmlns:ds="http://schemas.openxmlformats.org/officeDocument/2006/customXml" ds:itemID="{9FAA0EEB-05A3-456A-8386-E6379743F1EC}"/>
</file>

<file path=customXml/itemProps2.xml><?xml version="1.0" encoding="utf-8"?>
<ds:datastoreItem xmlns:ds="http://schemas.openxmlformats.org/officeDocument/2006/customXml" ds:itemID="{9B8A8743-86DE-4488-B0F8-6B42FDF55F39}"/>
</file>

<file path=customXml/itemProps3.xml><?xml version="1.0" encoding="utf-8"?>
<ds:datastoreItem xmlns:ds="http://schemas.openxmlformats.org/officeDocument/2006/customXml" ds:itemID="{6A65C0A6-2DE3-4586-A34A-9148B3FA40B2}"/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22</vt:i4>
      </vt:variant>
      <vt:variant>
        <vt:lpstr>Intervalos Nomeados</vt:lpstr>
      </vt:variant>
      <vt:variant>
        <vt:i4>49</vt:i4>
      </vt:variant>
    </vt:vector>
  </HeadingPairs>
  <TitlesOfParts>
    <vt:vector size="71" baseType="lpstr">
      <vt:lpstr>Disclaimer</vt:lpstr>
      <vt:lpstr>Summary</vt:lpstr>
      <vt:lpstr>DFs</vt:lpstr>
      <vt:lpstr>Usos e fontes</vt:lpstr>
      <vt:lpstr>Inputs</vt:lpstr>
      <vt:lpstr>Ops</vt:lpstr>
      <vt:lpstr>Debt</vt:lpstr>
      <vt:lpstr>NPV, TIR e Payback</vt:lpstr>
      <vt:lpstr>Value for Money (VfM)</vt:lpstr>
      <vt:lpstr>WACC</vt:lpstr>
      <vt:lpstr>Flags</vt:lpstr>
      <vt:lpstr>Sensitivity</vt:lpstr>
      <vt:lpstr>Macro</vt:lpstr>
      <vt:lpstr>SETUP</vt:lpstr>
      <vt:lpstr>CHECKS</vt:lpstr>
      <vt:lpstr>Suporte Cliente -&gt;</vt:lpstr>
      <vt:lpstr>CAPEX</vt:lpstr>
      <vt:lpstr>OPEX</vt:lpstr>
      <vt:lpstr>CAPEX - Imobilizado fiscal</vt:lpstr>
      <vt:lpstr>EPIs_unif.</vt:lpstr>
      <vt:lpstr>Insumos</vt:lpstr>
      <vt:lpstr>Sal._benef.</vt:lpstr>
      <vt:lpstr>Debt!Area_de_impressao</vt:lpstr>
      <vt:lpstr>DFs!Area_de_impressao</vt:lpstr>
      <vt:lpstr>Disclaimer!Area_de_impressao</vt:lpstr>
      <vt:lpstr>Flags!Area_de_impressao</vt:lpstr>
      <vt:lpstr>Inputs!Area_de_impressao</vt:lpstr>
      <vt:lpstr>'NPV, TIR e Payback'!Area_de_impressao</vt:lpstr>
      <vt:lpstr>Ops!Area_de_impressao</vt:lpstr>
      <vt:lpstr>Summary!Area_de_impressao</vt:lpstr>
      <vt:lpstr>'Usos e fontes'!Area_de_impressao</vt:lpstr>
      <vt:lpstr>'Value for Money (VfM)'!Area_de_impressao</vt:lpstr>
      <vt:lpstr>WACC!Area_de_impressao</vt:lpstr>
      <vt:lpstr>Aumento_real</vt:lpstr>
      <vt:lpstr>CAPEX_Sens</vt:lpstr>
      <vt:lpstr>CAPEX_start</vt:lpstr>
      <vt:lpstr>Cons_start</vt:lpstr>
      <vt:lpstr>CP</vt:lpstr>
      <vt:lpstr>CP_Meta_macro</vt:lpstr>
      <vt:lpstr>CP_sens</vt:lpstr>
      <vt:lpstr>Days_month</vt:lpstr>
      <vt:lpstr>Days_yr</vt:lpstr>
      <vt:lpstr>Dividends</vt:lpstr>
      <vt:lpstr>FinancialCloseDate</vt:lpstr>
      <vt:lpstr>IFRIC12_Check</vt:lpstr>
      <vt:lpstr>IRR_Copy</vt:lpstr>
      <vt:lpstr>Kd</vt:lpstr>
      <vt:lpstr>Macro_Precision</vt:lpstr>
      <vt:lpstr>Macro_Run</vt:lpstr>
      <vt:lpstr>MacroCheck</vt:lpstr>
      <vt:lpstr>Master_Check</vt:lpstr>
      <vt:lpstr>Million</vt:lpstr>
      <vt:lpstr>Model_Name</vt:lpstr>
      <vt:lpstr>Model_Start</vt:lpstr>
      <vt:lpstr>Months_halfyr</vt:lpstr>
      <vt:lpstr>Months_qtr</vt:lpstr>
      <vt:lpstr>Months_yr</vt:lpstr>
      <vt:lpstr>OPEX_Sens</vt:lpstr>
      <vt:lpstr>OPEX_start</vt:lpstr>
      <vt:lpstr>Project_IRR</vt:lpstr>
      <vt:lpstr>Project_IRR_Paste</vt:lpstr>
      <vt:lpstr>Project_NPV</vt:lpstr>
      <vt:lpstr>Qtrs_yr</vt:lpstr>
      <vt:lpstr>Scenario_Live</vt:lpstr>
      <vt:lpstr>Scenario_max</vt:lpstr>
      <vt:lpstr>Scenario_Selection</vt:lpstr>
      <vt:lpstr>Sens_OPEX_CAPEX</vt:lpstr>
      <vt:lpstr>Sens_start</vt:lpstr>
      <vt:lpstr>Small_num</vt:lpstr>
      <vt:lpstr>Thousand</vt:lpstr>
      <vt:lpstr>TIR_meta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2026-05-12T19:50:57Z</dcterms:created>
  <dcterms:modified xsi:type="dcterms:W3CDTF">2026-05-12T19:52:33Z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0x0101009C9C64460872464CAD20AD64CAFB6024</vt:lpwstr>
  </property>
</Properties>
</file>